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$2024_RateCase\Initial Proposal\Public Rate Impacts\"/>
    </mc:Choice>
  </mc:AlternateContent>
  <bookViews>
    <workbookView xWindow="1512" yWindow="48" windowWidth="27072" windowHeight="11652" firstSheet="14" activeTab="18"/>
  </bookViews>
  <sheets>
    <sheet name="Init" sheetId="11" r:id="rId1"/>
    <sheet name="TOCA_previous" sheetId="10" r:id="rId2"/>
    <sheet name="TOCA_current" sheetId="9" r:id="rId3"/>
    <sheet name="LS_previous" sheetId="8" r:id="rId4"/>
    <sheet name="LS_current" sheetId="7" r:id="rId5"/>
    <sheet name="Demand_previous" sheetId="6" r:id="rId6"/>
    <sheet name="Demand_current" sheetId="4" r:id="rId7"/>
    <sheet name="Rates_previous" sheetId="2" r:id="rId8"/>
    <sheet name="Rates_current" sheetId="3" r:id="rId9"/>
    <sheet name="IRD" sheetId="1" r:id="rId10"/>
    <sheet name="RT1SC" sheetId="16" r:id="rId11"/>
    <sheet name="LS_Demand_Rates_Restatement" sheetId="13" r:id="rId12"/>
    <sheet name="Staging Table" sheetId="27" r:id="rId13"/>
    <sheet name="Charges_Including Slice and LS" sheetId="12" r:id="rId14"/>
    <sheet name="Charges_NonSlice" sheetId="30" r:id="rId15"/>
    <sheet name="Charges_NonSlice &amp; Excl LS" sheetId="31" r:id="rId16"/>
    <sheet name="Outputs" sheetId="20" r:id="rId17"/>
    <sheet name="Restatement" sheetId="23" r:id="rId18"/>
    <sheet name="Non-Slice Chart" sheetId="24" r:id="rId19"/>
    <sheet name="Non-Slice - Ordered Chart" sheetId="25" r:id="rId20"/>
  </sheets>
  <externalReferences>
    <externalReference r:id="rId21"/>
  </externalReferences>
  <definedNames>
    <definedName name="_xlnm._FilterDatabase" localSheetId="16" hidden="1">Outputs!$AG$3:$AG$109</definedName>
    <definedName name="_xlnm._FilterDatabase" localSheetId="17" hidden="1">Restatement!$X$3:$AB$3</definedName>
    <definedName name="CurrentYear">Init!$AS$3:$AS$4</definedName>
    <definedName name="DemandRateSelect" localSheetId="14">[1]Rates_TRM_12!#REF!</definedName>
    <definedName name="DemandRateSelect" localSheetId="15">[1]Rates_TRM_12!#REF!</definedName>
    <definedName name="DemandRateSelect">[1]Rates_TRM_12!#REF!</definedName>
    <definedName name="No" localSheetId="14">[1]Rates_TRM_12!#REF!</definedName>
    <definedName name="No" localSheetId="15">[1]Rates_TRM_12!#REF!</definedName>
    <definedName name="No">[1]Rates_TRM_12!#REF!</definedName>
    <definedName name="_xlnm.Print_Area" localSheetId="8">Rates_current!$A$1:$O$81</definedName>
    <definedName name="YesNo">Init!$AT$3:$AT$4</definedName>
  </definedNames>
  <calcPr calcId="162913"/>
</workbook>
</file>

<file path=xl/calcChain.xml><?xml version="1.0" encoding="utf-8"?>
<calcChain xmlns="http://schemas.openxmlformats.org/spreadsheetml/2006/main">
  <c r="V5" i="12" l="1"/>
  <c r="V6" i="12"/>
  <c r="V7" i="12"/>
  <c r="V8" i="12"/>
  <c r="V9" i="12"/>
  <c r="W9" i="12"/>
  <c r="X9" i="12"/>
  <c r="Y9" i="12"/>
  <c r="V10" i="12"/>
  <c r="V11" i="12"/>
  <c r="W11" i="12"/>
  <c r="X11" i="12"/>
  <c r="Y11" i="12"/>
  <c r="V12" i="12"/>
  <c r="V13" i="12"/>
  <c r="V14" i="12"/>
  <c r="V15" i="12"/>
  <c r="V16" i="12"/>
  <c r="V17" i="12"/>
  <c r="V18" i="12"/>
  <c r="V19" i="12"/>
  <c r="V20" i="12"/>
  <c r="V21" i="12"/>
  <c r="V22" i="12"/>
  <c r="V23" i="12"/>
  <c r="V24" i="12"/>
  <c r="V25" i="12"/>
  <c r="V26" i="12"/>
  <c r="V27" i="12"/>
  <c r="V28" i="12"/>
  <c r="V29" i="12"/>
  <c r="V30" i="12"/>
  <c r="V31" i="12"/>
  <c r="V32" i="12"/>
  <c r="V33" i="12"/>
  <c r="V34" i="12"/>
  <c r="V35" i="12"/>
  <c r="V36" i="12"/>
  <c r="V37" i="12"/>
  <c r="V38" i="12"/>
  <c r="V39" i="12"/>
  <c r="V40" i="12"/>
  <c r="V41" i="12"/>
  <c r="V42" i="12"/>
  <c r="V43" i="12"/>
  <c r="V44" i="12"/>
  <c r="W44" i="12"/>
  <c r="X44" i="12"/>
  <c r="Y44" i="12"/>
  <c r="V45" i="12"/>
  <c r="V46" i="12"/>
  <c r="V47" i="12"/>
  <c r="V48" i="12"/>
  <c r="V49" i="12"/>
  <c r="V50" i="12"/>
  <c r="W50" i="12"/>
  <c r="X50" i="12"/>
  <c r="Y50" i="12"/>
  <c r="V51" i="12"/>
  <c r="W51" i="12"/>
  <c r="X51" i="12"/>
  <c r="Y51" i="12"/>
  <c r="V52" i="12"/>
  <c r="V53" i="12"/>
  <c r="W53" i="12"/>
  <c r="X53" i="12"/>
  <c r="Y53" i="12"/>
  <c r="V54" i="12"/>
  <c r="V55" i="12"/>
  <c r="V56" i="12"/>
  <c r="U57" i="12"/>
  <c r="V57" i="12"/>
  <c r="V58" i="12"/>
  <c r="V59" i="12"/>
  <c r="V60" i="12"/>
  <c r="V61" i="12"/>
  <c r="W61" i="12"/>
  <c r="X61" i="12"/>
  <c r="Y61" i="12"/>
  <c r="V62" i="12"/>
  <c r="V63" i="12"/>
  <c r="V64" i="12"/>
  <c r="W64" i="12"/>
  <c r="X64" i="12"/>
  <c r="Y64" i="12"/>
  <c r="V65" i="12"/>
  <c r="V66" i="12"/>
  <c r="V67" i="12"/>
  <c r="V68" i="12"/>
  <c r="V69" i="12"/>
  <c r="V70" i="12"/>
  <c r="V71" i="12"/>
  <c r="V72" i="12"/>
  <c r="V73" i="12"/>
  <c r="V74" i="12"/>
  <c r="V75" i="12"/>
  <c r="V76" i="12"/>
  <c r="V77" i="12"/>
  <c r="V78" i="12"/>
  <c r="W78" i="12"/>
  <c r="X78" i="12"/>
  <c r="Y78" i="12"/>
  <c r="U79" i="12"/>
  <c r="V79" i="12"/>
  <c r="V80" i="12"/>
  <c r="W80" i="12"/>
  <c r="X80" i="12"/>
  <c r="Y80" i="12"/>
  <c r="V81" i="12"/>
  <c r="V82" i="12"/>
  <c r="V83" i="12"/>
  <c r="V84" i="12"/>
  <c r="V85" i="12"/>
  <c r="V86" i="12"/>
  <c r="V87" i="12"/>
  <c r="V88" i="12"/>
  <c r="V89" i="12"/>
  <c r="V90" i="12"/>
  <c r="W90" i="12"/>
  <c r="X90" i="12"/>
  <c r="Y90" i="12"/>
  <c r="V91" i="12"/>
  <c r="V92" i="12"/>
  <c r="V93" i="12"/>
  <c r="W93" i="12"/>
  <c r="X93" i="12"/>
  <c r="Y93" i="12"/>
  <c r="V94" i="12"/>
  <c r="V95" i="12"/>
  <c r="W95" i="12"/>
  <c r="X95" i="12"/>
  <c r="Y95" i="12"/>
  <c r="V96" i="12"/>
  <c r="V97" i="12"/>
  <c r="V98" i="12"/>
  <c r="V99" i="12"/>
  <c r="V100" i="12"/>
  <c r="V101" i="12"/>
  <c r="V102" i="12"/>
  <c r="W102" i="12"/>
  <c r="X102" i="12"/>
  <c r="Y102" i="12"/>
  <c r="V103" i="12"/>
  <c r="W103" i="12"/>
  <c r="X103" i="12"/>
  <c r="Y103" i="12"/>
  <c r="V104" i="12"/>
  <c r="V105" i="12"/>
  <c r="V106" i="12"/>
  <c r="V107" i="12"/>
  <c r="V108" i="12"/>
  <c r="V109" i="12"/>
  <c r="V110" i="12"/>
  <c r="V111" i="12"/>
  <c r="V112" i="12"/>
  <c r="V113" i="12"/>
  <c r="V114" i="12"/>
  <c r="V115" i="12"/>
  <c r="V116" i="12"/>
  <c r="V117" i="12"/>
  <c r="V118" i="12"/>
  <c r="V119" i="12"/>
  <c r="V120" i="12"/>
  <c r="V121" i="12"/>
  <c r="V122" i="12"/>
  <c r="V123" i="12"/>
  <c r="V124" i="12"/>
  <c r="V125" i="12"/>
  <c r="V126" i="12"/>
  <c r="V127" i="12"/>
  <c r="V128" i="12"/>
  <c r="V129" i="12"/>
  <c r="W129" i="12"/>
  <c r="X129" i="12"/>
  <c r="Y129" i="12"/>
  <c r="V130" i="12"/>
  <c r="V131" i="12"/>
  <c r="V132" i="12"/>
  <c r="V133" i="12"/>
  <c r="V134" i="12"/>
  <c r="V135" i="12"/>
  <c r="V136" i="12"/>
  <c r="V137" i="12"/>
  <c r="V138" i="12"/>
  <c r="K5" i="12"/>
  <c r="K6" i="12"/>
  <c r="K7" i="12"/>
  <c r="K8" i="12"/>
  <c r="K9" i="12"/>
  <c r="L9" i="12"/>
  <c r="M9" i="12"/>
  <c r="N9" i="12"/>
  <c r="K10" i="12"/>
  <c r="K11" i="12"/>
  <c r="L11" i="12"/>
  <c r="M11" i="12"/>
  <c r="N11" i="12"/>
  <c r="K12" i="12"/>
  <c r="K13" i="12"/>
  <c r="K14" i="12"/>
  <c r="K15" i="12"/>
  <c r="K16" i="12"/>
  <c r="K17" i="12"/>
  <c r="K18" i="12"/>
  <c r="K19" i="12"/>
  <c r="K20" i="12"/>
  <c r="K21" i="12"/>
  <c r="K22" i="12"/>
  <c r="K23" i="12"/>
  <c r="K24" i="12"/>
  <c r="K25" i="12"/>
  <c r="K26" i="12"/>
  <c r="K27" i="12"/>
  <c r="K28" i="12"/>
  <c r="K29" i="12"/>
  <c r="K30" i="12"/>
  <c r="K31" i="12"/>
  <c r="K32" i="12"/>
  <c r="K33" i="12"/>
  <c r="K34" i="12"/>
  <c r="K35" i="12"/>
  <c r="K36" i="12"/>
  <c r="K37" i="12"/>
  <c r="K38" i="12"/>
  <c r="K39" i="12"/>
  <c r="K40" i="12"/>
  <c r="K41" i="12"/>
  <c r="K42" i="12"/>
  <c r="K43" i="12"/>
  <c r="K44" i="12"/>
  <c r="L44" i="12"/>
  <c r="M44" i="12"/>
  <c r="N44" i="12"/>
  <c r="K45" i="12"/>
  <c r="K46" i="12"/>
  <c r="K47" i="12"/>
  <c r="K48" i="12"/>
  <c r="K49" i="12"/>
  <c r="K50" i="12"/>
  <c r="L50" i="12"/>
  <c r="M50" i="12"/>
  <c r="N50" i="12"/>
  <c r="K51" i="12"/>
  <c r="L51" i="12"/>
  <c r="M51" i="12"/>
  <c r="N51" i="12"/>
  <c r="K52" i="12"/>
  <c r="K53" i="12"/>
  <c r="L53" i="12"/>
  <c r="M53" i="12"/>
  <c r="N53" i="12"/>
  <c r="K54" i="12"/>
  <c r="K55" i="12"/>
  <c r="K56" i="12"/>
  <c r="J57" i="12"/>
  <c r="K57" i="12"/>
  <c r="K58" i="12"/>
  <c r="K59" i="12"/>
  <c r="K60" i="12"/>
  <c r="K61" i="12"/>
  <c r="L61" i="12"/>
  <c r="M61" i="12"/>
  <c r="N61" i="12"/>
  <c r="K62" i="12"/>
  <c r="K63" i="12"/>
  <c r="K64" i="12"/>
  <c r="L64" i="12"/>
  <c r="M64" i="12"/>
  <c r="N64" i="12"/>
  <c r="K65" i="12"/>
  <c r="K66" i="12"/>
  <c r="K67" i="12"/>
  <c r="K68" i="12"/>
  <c r="K69" i="12"/>
  <c r="K70" i="12"/>
  <c r="K71" i="12"/>
  <c r="K72" i="12"/>
  <c r="K73" i="12"/>
  <c r="K74" i="12"/>
  <c r="K75" i="12"/>
  <c r="K76" i="12"/>
  <c r="K77" i="12"/>
  <c r="K78" i="12"/>
  <c r="L78" i="12"/>
  <c r="M78" i="12"/>
  <c r="N78" i="12"/>
  <c r="J79" i="12"/>
  <c r="K79" i="12"/>
  <c r="K80" i="12"/>
  <c r="L80" i="12"/>
  <c r="M80" i="12"/>
  <c r="N80" i="12"/>
  <c r="K81" i="12"/>
  <c r="K82" i="12"/>
  <c r="K83" i="12"/>
  <c r="K84" i="12"/>
  <c r="K85" i="12"/>
  <c r="K86" i="12"/>
  <c r="K87" i="12"/>
  <c r="K88" i="12"/>
  <c r="K89" i="12"/>
  <c r="K90" i="12"/>
  <c r="L90" i="12"/>
  <c r="M90" i="12"/>
  <c r="N90" i="12"/>
  <c r="K91" i="12"/>
  <c r="K92" i="12"/>
  <c r="K93" i="12"/>
  <c r="L93" i="12"/>
  <c r="M93" i="12"/>
  <c r="N93" i="12"/>
  <c r="K94" i="12"/>
  <c r="K95" i="12"/>
  <c r="L95" i="12"/>
  <c r="M95" i="12"/>
  <c r="N95" i="12"/>
  <c r="K96" i="12"/>
  <c r="K97" i="12"/>
  <c r="K98" i="12"/>
  <c r="K99" i="12"/>
  <c r="K100" i="12"/>
  <c r="K101" i="12"/>
  <c r="K102" i="12"/>
  <c r="L102" i="12"/>
  <c r="M102" i="12"/>
  <c r="N102" i="12"/>
  <c r="K103" i="12"/>
  <c r="L103" i="12"/>
  <c r="M103" i="12"/>
  <c r="N103" i="12"/>
  <c r="K104" i="12"/>
  <c r="K105" i="12"/>
  <c r="K106" i="12"/>
  <c r="K107" i="12"/>
  <c r="K108" i="12"/>
  <c r="K109" i="12"/>
  <c r="K110" i="12"/>
  <c r="K111" i="12"/>
  <c r="K112" i="12"/>
  <c r="K113" i="12"/>
  <c r="K114" i="12"/>
  <c r="K115" i="12"/>
  <c r="K116" i="12"/>
  <c r="K117" i="12"/>
  <c r="K118" i="12"/>
  <c r="K119" i="12"/>
  <c r="K120" i="12"/>
  <c r="K121" i="12"/>
  <c r="K122" i="12"/>
  <c r="K123" i="12"/>
  <c r="K124" i="12"/>
  <c r="K125" i="12"/>
  <c r="K126" i="12"/>
  <c r="K127" i="12"/>
  <c r="K128" i="12"/>
  <c r="K129" i="12"/>
  <c r="L129" i="12"/>
  <c r="M129" i="12"/>
  <c r="N129" i="12"/>
  <c r="K130" i="12"/>
  <c r="K131" i="12"/>
  <c r="K132" i="12"/>
  <c r="K133" i="12"/>
  <c r="K134" i="12"/>
  <c r="K135" i="12"/>
  <c r="K136" i="12"/>
  <c r="K137" i="12"/>
  <c r="K138" i="12"/>
  <c r="BU59" i="27" l="1"/>
  <c r="H59" i="27"/>
  <c r="C25" i="23" l="1"/>
  <c r="F38" i="23"/>
  <c r="L38" i="23"/>
  <c r="L41" i="23"/>
  <c r="L57" i="23"/>
  <c r="L63" i="23"/>
  <c r="C65" i="23"/>
  <c r="C81" i="23"/>
  <c r="F86" i="23"/>
  <c r="P103" i="23"/>
  <c r="C104" i="23"/>
  <c r="A20" i="23"/>
  <c r="A21" i="23"/>
  <c r="A22" i="23"/>
  <c r="N22" i="23" s="1"/>
  <c r="A23" i="23"/>
  <c r="C23" i="23" s="1"/>
  <c r="A24" i="23"/>
  <c r="F24" i="23" s="1"/>
  <c r="A25" i="23"/>
  <c r="P25" i="23" s="1"/>
  <c r="A26" i="23"/>
  <c r="A27" i="23"/>
  <c r="L27" i="23" s="1"/>
  <c r="A28" i="23"/>
  <c r="P28" i="23" s="1"/>
  <c r="A29" i="23"/>
  <c r="A30" i="23"/>
  <c r="N30" i="23" s="1"/>
  <c r="A31" i="23"/>
  <c r="C31" i="23" s="1"/>
  <c r="A32" i="23"/>
  <c r="F32" i="23" s="1"/>
  <c r="A33" i="23"/>
  <c r="P33" i="23" s="1"/>
  <c r="A34" i="23"/>
  <c r="A35" i="23"/>
  <c r="L35" i="23" s="1"/>
  <c r="A36" i="23"/>
  <c r="A37" i="23"/>
  <c r="A38" i="23"/>
  <c r="N38" i="23" s="1"/>
  <c r="A39" i="23"/>
  <c r="C39" i="23" s="1"/>
  <c r="A40" i="23"/>
  <c r="F40" i="23" s="1"/>
  <c r="A41" i="23"/>
  <c r="P41" i="23" s="1"/>
  <c r="A42" i="23"/>
  <c r="N42" i="23" s="1"/>
  <c r="A43" i="23"/>
  <c r="L43" i="23" s="1"/>
  <c r="A44" i="23"/>
  <c r="F44" i="23" s="1"/>
  <c r="A45" i="23"/>
  <c r="A46" i="23"/>
  <c r="N46" i="23" s="1"/>
  <c r="A47" i="23"/>
  <c r="C47" i="23" s="1"/>
  <c r="A48" i="23"/>
  <c r="F48" i="23" s="1"/>
  <c r="A49" i="23"/>
  <c r="P49" i="23" s="1"/>
  <c r="A50" i="23"/>
  <c r="N50" i="23" s="1"/>
  <c r="A51" i="23"/>
  <c r="L51" i="23" s="1"/>
  <c r="A52" i="23"/>
  <c r="N52" i="23" s="1"/>
  <c r="A53" i="23"/>
  <c r="P53" i="23" s="1"/>
  <c r="A54" i="23"/>
  <c r="N54" i="23" s="1"/>
  <c r="A55" i="23"/>
  <c r="C55" i="23" s="1"/>
  <c r="A56" i="23"/>
  <c r="F56" i="23" s="1"/>
  <c r="A57" i="23"/>
  <c r="P57" i="23" s="1"/>
  <c r="A58" i="23"/>
  <c r="N58" i="23" s="1"/>
  <c r="A59" i="23"/>
  <c r="L59" i="23" s="1"/>
  <c r="A60" i="23"/>
  <c r="F60" i="23" s="1"/>
  <c r="A61" i="23"/>
  <c r="A62" i="23"/>
  <c r="N62" i="23" s="1"/>
  <c r="A63" i="23"/>
  <c r="C63" i="23" s="1"/>
  <c r="A64" i="23"/>
  <c r="F64" i="23" s="1"/>
  <c r="A65" i="23"/>
  <c r="P65" i="23" s="1"/>
  <c r="A66" i="23"/>
  <c r="A67" i="23"/>
  <c r="L67" i="23" s="1"/>
  <c r="A68" i="23"/>
  <c r="N68" i="23" s="1"/>
  <c r="A69" i="23"/>
  <c r="P69" i="23" s="1"/>
  <c r="A70" i="23"/>
  <c r="N70" i="23" s="1"/>
  <c r="A71" i="23"/>
  <c r="C71" i="23" s="1"/>
  <c r="A72" i="23"/>
  <c r="F72" i="23" s="1"/>
  <c r="A73" i="23"/>
  <c r="P73" i="23" s="1"/>
  <c r="A74" i="23"/>
  <c r="A75" i="23"/>
  <c r="L75" i="23" s="1"/>
  <c r="A76" i="23"/>
  <c r="P76" i="23" s="1"/>
  <c r="A77" i="23"/>
  <c r="P77" i="23" s="1"/>
  <c r="A78" i="23"/>
  <c r="N78" i="23" s="1"/>
  <c r="A79" i="23"/>
  <c r="C79" i="23" s="1"/>
  <c r="A80" i="23"/>
  <c r="F80" i="23" s="1"/>
  <c r="A81" i="23"/>
  <c r="P81" i="23" s="1"/>
  <c r="A82" i="23"/>
  <c r="N82" i="23" s="1"/>
  <c r="A83" i="23"/>
  <c r="A84" i="23"/>
  <c r="N84" i="23" s="1"/>
  <c r="A85" i="23"/>
  <c r="P85" i="23" s="1"/>
  <c r="A86" i="23"/>
  <c r="N86" i="23" s="1"/>
  <c r="A87" i="23"/>
  <c r="C87" i="23" s="1"/>
  <c r="A88" i="23"/>
  <c r="F88" i="23" s="1"/>
  <c r="A89" i="23"/>
  <c r="P89" i="23" s="1"/>
  <c r="A90" i="23"/>
  <c r="N90" i="23" s="1"/>
  <c r="A91" i="23"/>
  <c r="M91" i="23" s="1"/>
  <c r="A92" i="23"/>
  <c r="P92" i="23" s="1"/>
  <c r="A93" i="23"/>
  <c r="A94" i="23"/>
  <c r="N94" i="23" s="1"/>
  <c r="A95" i="23"/>
  <c r="C95" i="23" s="1"/>
  <c r="A96" i="23"/>
  <c r="F96" i="23" s="1"/>
  <c r="A97" i="23"/>
  <c r="Q97" i="23" s="1"/>
  <c r="A98" i="23"/>
  <c r="N98" i="23" s="1"/>
  <c r="A99" i="23"/>
  <c r="L99" i="23" s="1"/>
  <c r="A100" i="23"/>
  <c r="A101" i="23"/>
  <c r="P101" i="23" s="1"/>
  <c r="A102" i="23"/>
  <c r="N102" i="23" s="1"/>
  <c r="A103" i="23"/>
  <c r="C103" i="23" s="1"/>
  <c r="A104" i="23"/>
  <c r="F104" i="23" s="1"/>
  <c r="A105" i="23"/>
  <c r="Q105" i="23" s="1"/>
  <c r="A106" i="23"/>
  <c r="N106" i="23" s="1"/>
  <c r="A107" i="23"/>
  <c r="L107" i="23" s="1"/>
  <c r="A108" i="23"/>
  <c r="F108" i="23" s="1"/>
  <c r="A109" i="23"/>
  <c r="A110" i="23"/>
  <c r="N110" i="23" s="1"/>
  <c r="A111" i="23"/>
  <c r="D111" i="23" s="1"/>
  <c r="A112" i="23"/>
  <c r="G112" i="23" s="1"/>
  <c r="A113" i="23"/>
  <c r="A114" i="23"/>
  <c r="N114" i="23" s="1"/>
  <c r="A115" i="23"/>
  <c r="A116" i="23"/>
  <c r="G116" i="23" s="1"/>
  <c r="A117" i="23"/>
  <c r="A118" i="23"/>
  <c r="A119" i="23"/>
  <c r="D119" i="23" s="1"/>
  <c r="A120" i="23"/>
  <c r="F120" i="23" s="1"/>
  <c r="A121" i="23"/>
  <c r="P121" i="23" s="1"/>
  <c r="A122" i="23"/>
  <c r="O122" i="23" s="1"/>
  <c r="A19" i="23"/>
  <c r="L19" i="23" s="1"/>
  <c r="N121" i="23" l="1"/>
  <c r="L79" i="23"/>
  <c r="L121" i="23"/>
  <c r="M97" i="23"/>
  <c r="N73" i="23"/>
  <c r="L54" i="23"/>
  <c r="P31" i="23"/>
  <c r="D97" i="23"/>
  <c r="C73" i="23"/>
  <c r="F54" i="23"/>
  <c r="L31" i="23"/>
  <c r="L102" i="23"/>
  <c r="P95" i="23"/>
  <c r="F70" i="23"/>
  <c r="F52" i="23"/>
  <c r="F30" i="23"/>
  <c r="F110" i="23"/>
  <c r="L89" i="23"/>
  <c r="C49" i="23"/>
  <c r="L86" i="23"/>
  <c r="F68" i="23"/>
  <c r="L47" i="23"/>
  <c r="L23" i="23"/>
  <c r="C80" i="23"/>
  <c r="C64" i="23"/>
  <c r="C59" i="23"/>
  <c r="C48" i="23"/>
  <c r="C24" i="23"/>
  <c r="C121" i="23"/>
  <c r="F107" i="23"/>
  <c r="L103" i="23"/>
  <c r="C96" i="23"/>
  <c r="N89" i="23"/>
  <c r="P84" i="23"/>
  <c r="P79" i="23"/>
  <c r="L73" i="23"/>
  <c r="P68" i="23"/>
  <c r="P63" i="23"/>
  <c r="N57" i="23"/>
  <c r="P47" i="23"/>
  <c r="N41" i="23"/>
  <c r="F35" i="23"/>
  <c r="L30" i="23"/>
  <c r="P23" i="23"/>
  <c r="Q119" i="23"/>
  <c r="D112" i="23"/>
  <c r="F102" i="23"/>
  <c r="L95" i="23"/>
  <c r="C89" i="23"/>
  <c r="L78" i="23"/>
  <c r="C72" i="23"/>
  <c r="F67" i="23"/>
  <c r="L62" i="23"/>
  <c r="C57" i="23"/>
  <c r="F51" i="23"/>
  <c r="L46" i="23"/>
  <c r="C41" i="23"/>
  <c r="N33" i="23"/>
  <c r="F27" i="23"/>
  <c r="L22" i="23"/>
  <c r="C43" i="23"/>
  <c r="C107" i="23"/>
  <c r="M119" i="23"/>
  <c r="Q111" i="23"/>
  <c r="O105" i="23"/>
  <c r="F99" i="23"/>
  <c r="L94" i="23"/>
  <c r="C88" i="23"/>
  <c r="F78" i="23"/>
  <c r="P71" i="23"/>
  <c r="C67" i="23"/>
  <c r="F62" i="23"/>
  <c r="C56" i="23"/>
  <c r="C51" i="23"/>
  <c r="F46" i="23"/>
  <c r="C40" i="23"/>
  <c r="L33" i="23"/>
  <c r="C27" i="23"/>
  <c r="F22" i="23"/>
  <c r="D91" i="23"/>
  <c r="F59" i="23"/>
  <c r="C120" i="23"/>
  <c r="O116" i="23"/>
  <c r="M111" i="23"/>
  <c r="M105" i="23"/>
  <c r="C99" i="23"/>
  <c r="F94" i="23"/>
  <c r="P87" i="23"/>
  <c r="N81" i="23"/>
  <c r="N76" i="23"/>
  <c r="L71" i="23"/>
  <c r="N65" i="23"/>
  <c r="P60" i="23"/>
  <c r="P55" i="23"/>
  <c r="N49" i="23"/>
  <c r="P39" i="23"/>
  <c r="C33" i="23"/>
  <c r="N25" i="23"/>
  <c r="F19" i="23"/>
  <c r="C75" i="23"/>
  <c r="C35" i="23"/>
  <c r="L110" i="23"/>
  <c r="D105" i="23"/>
  <c r="O97" i="23"/>
  <c r="G91" i="23"/>
  <c r="L87" i="23"/>
  <c r="L81" i="23"/>
  <c r="F75" i="23"/>
  <c r="L70" i="23"/>
  <c r="L65" i="23"/>
  <c r="N60" i="23"/>
  <c r="L55" i="23"/>
  <c r="L49" i="23"/>
  <c r="F43" i="23"/>
  <c r="L39" i="23"/>
  <c r="C32" i="23"/>
  <c r="L25" i="23"/>
  <c r="C19" i="23"/>
  <c r="O118" i="23"/>
  <c r="Q118" i="23"/>
  <c r="D118" i="23"/>
  <c r="C109" i="23"/>
  <c r="F109" i="23"/>
  <c r="L109" i="23"/>
  <c r="N109" i="23"/>
  <c r="C61" i="23"/>
  <c r="F61" i="23"/>
  <c r="L61" i="23"/>
  <c r="N61" i="23"/>
  <c r="C45" i="23"/>
  <c r="F45" i="23"/>
  <c r="L45" i="23"/>
  <c r="N45" i="23"/>
  <c r="C93" i="23"/>
  <c r="F93" i="23"/>
  <c r="L93" i="23"/>
  <c r="N93" i="23"/>
  <c r="C37" i="23"/>
  <c r="F37" i="23"/>
  <c r="L37" i="23"/>
  <c r="N37" i="23"/>
  <c r="P93" i="23"/>
  <c r="D116" i="23"/>
  <c r="M116" i="23"/>
  <c r="C100" i="23"/>
  <c r="L100" i="23"/>
  <c r="C76" i="23"/>
  <c r="L76" i="23"/>
  <c r="C68" i="23"/>
  <c r="L68" i="23"/>
  <c r="C52" i="23"/>
  <c r="L52" i="23"/>
  <c r="C36" i="23"/>
  <c r="L36" i="23"/>
  <c r="C28" i="23"/>
  <c r="F28" i="23"/>
  <c r="L28" i="23"/>
  <c r="N28" i="23"/>
  <c r="F20" i="23"/>
  <c r="C20" i="23"/>
  <c r="L20" i="23"/>
  <c r="N20" i="23"/>
  <c r="M118" i="23"/>
  <c r="F76" i="23"/>
  <c r="P37" i="23"/>
  <c r="C77" i="23"/>
  <c r="F77" i="23"/>
  <c r="L77" i="23"/>
  <c r="N77" i="23"/>
  <c r="C29" i="23"/>
  <c r="F29" i="23"/>
  <c r="L29" i="23"/>
  <c r="N29" i="23"/>
  <c r="P29" i="23"/>
  <c r="C108" i="23"/>
  <c r="L108" i="23"/>
  <c r="C92" i="23"/>
  <c r="L92" i="23"/>
  <c r="C84" i="23"/>
  <c r="L84" i="23"/>
  <c r="C60" i="23"/>
  <c r="L60" i="23"/>
  <c r="C44" i="23"/>
  <c r="L44" i="23"/>
  <c r="G118" i="23"/>
  <c r="P109" i="23"/>
  <c r="P100" i="23"/>
  <c r="N92" i="23"/>
  <c r="F84" i="23"/>
  <c r="P45" i="23"/>
  <c r="P36" i="23"/>
  <c r="P20" i="23"/>
  <c r="D117" i="23"/>
  <c r="G117" i="23"/>
  <c r="M117" i="23"/>
  <c r="O117" i="23"/>
  <c r="C85" i="23"/>
  <c r="F85" i="23"/>
  <c r="L85" i="23"/>
  <c r="N85" i="23"/>
  <c r="C69" i="23"/>
  <c r="F69" i="23"/>
  <c r="L69" i="23"/>
  <c r="N69" i="23"/>
  <c r="C21" i="23"/>
  <c r="F21" i="23"/>
  <c r="L21" i="23"/>
  <c r="P21" i="23"/>
  <c r="N21" i="23"/>
  <c r="C114" i="23"/>
  <c r="F114" i="23"/>
  <c r="L114" i="23"/>
  <c r="P114" i="23"/>
  <c r="C106" i="23"/>
  <c r="F106" i="23"/>
  <c r="L106" i="23"/>
  <c r="P106" i="23"/>
  <c r="C98" i="23"/>
  <c r="F98" i="23"/>
  <c r="L98" i="23"/>
  <c r="P98" i="23"/>
  <c r="C90" i="23"/>
  <c r="F90" i="23"/>
  <c r="L90" i="23"/>
  <c r="P90" i="23"/>
  <c r="C74" i="23"/>
  <c r="F74" i="23"/>
  <c r="L74" i="23"/>
  <c r="P74" i="23"/>
  <c r="C66" i="23"/>
  <c r="F66" i="23"/>
  <c r="L66" i="23"/>
  <c r="P66" i="23"/>
  <c r="C50" i="23"/>
  <c r="F50" i="23"/>
  <c r="L50" i="23"/>
  <c r="P50" i="23"/>
  <c r="C42" i="23"/>
  <c r="F42" i="23"/>
  <c r="L42" i="23"/>
  <c r="P42" i="23"/>
  <c r="C34" i="23"/>
  <c r="F34" i="23"/>
  <c r="N34" i="23"/>
  <c r="L34" i="23"/>
  <c r="P34" i="23"/>
  <c r="C26" i="23"/>
  <c r="F26" i="23"/>
  <c r="L26" i="23"/>
  <c r="N26" i="23"/>
  <c r="P26" i="23"/>
  <c r="Q117" i="23"/>
  <c r="P108" i="23"/>
  <c r="N100" i="23"/>
  <c r="F92" i="23"/>
  <c r="N66" i="23"/>
  <c r="P44" i="23"/>
  <c r="N36" i="23"/>
  <c r="C101" i="23"/>
  <c r="F101" i="23"/>
  <c r="L101" i="23"/>
  <c r="N101" i="23"/>
  <c r="C53" i="23"/>
  <c r="F53" i="23"/>
  <c r="L53" i="23"/>
  <c r="N53" i="23"/>
  <c r="D122" i="23"/>
  <c r="G122" i="23"/>
  <c r="M122" i="23"/>
  <c r="Q122" i="23"/>
  <c r="C82" i="23"/>
  <c r="F82" i="23"/>
  <c r="L82" i="23"/>
  <c r="P82" i="23"/>
  <c r="C58" i="23"/>
  <c r="F58" i="23"/>
  <c r="L58" i="23"/>
  <c r="P58" i="23"/>
  <c r="Q116" i="23"/>
  <c r="N108" i="23"/>
  <c r="F100" i="23"/>
  <c r="N74" i="23"/>
  <c r="P61" i="23"/>
  <c r="P52" i="23"/>
  <c r="N44" i="23"/>
  <c r="F36" i="23"/>
  <c r="F121" i="23"/>
  <c r="O119" i="23"/>
  <c r="O111" i="23"/>
  <c r="C110" i="23"/>
  <c r="G105" i="23"/>
  <c r="N103" i="23"/>
  <c r="C102" i="23"/>
  <c r="G97" i="23"/>
  <c r="N95" i="23"/>
  <c r="C94" i="23"/>
  <c r="F89" i="23"/>
  <c r="N87" i="23"/>
  <c r="C86" i="23"/>
  <c r="F81" i="23"/>
  <c r="N79" i="23"/>
  <c r="C78" i="23"/>
  <c r="F73" i="23"/>
  <c r="N71" i="23"/>
  <c r="C70" i="23"/>
  <c r="F65" i="23"/>
  <c r="N63" i="23"/>
  <c r="C62" i="23"/>
  <c r="F57" i="23"/>
  <c r="N55" i="23"/>
  <c r="C54" i="23"/>
  <c r="F49" i="23"/>
  <c r="N47" i="23"/>
  <c r="C46" i="23"/>
  <c r="F41" i="23"/>
  <c r="N39" i="23"/>
  <c r="C38" i="23"/>
  <c r="F33" i="23"/>
  <c r="N31" i="23"/>
  <c r="C30" i="23"/>
  <c r="F25" i="23"/>
  <c r="N23" i="23"/>
  <c r="C22" i="23"/>
  <c r="P120" i="23"/>
  <c r="G119" i="23"/>
  <c r="Q112" i="23"/>
  <c r="G111" i="23"/>
  <c r="P104" i="23"/>
  <c r="F103" i="23"/>
  <c r="P96" i="23"/>
  <c r="F95" i="23"/>
  <c r="P88" i="23"/>
  <c r="F87" i="23"/>
  <c r="P80" i="23"/>
  <c r="F79" i="23"/>
  <c r="P72" i="23"/>
  <c r="F71" i="23"/>
  <c r="P64" i="23"/>
  <c r="F63" i="23"/>
  <c r="P56" i="23"/>
  <c r="F55" i="23"/>
  <c r="P48" i="23"/>
  <c r="F47" i="23"/>
  <c r="P40" i="23"/>
  <c r="F39" i="23"/>
  <c r="P32" i="23"/>
  <c r="F31" i="23"/>
  <c r="P24" i="23"/>
  <c r="F23" i="23"/>
  <c r="N120" i="23"/>
  <c r="O112" i="23"/>
  <c r="P107" i="23"/>
  <c r="N104" i="23"/>
  <c r="P99" i="23"/>
  <c r="N96" i="23"/>
  <c r="Q91" i="23"/>
  <c r="N88" i="23"/>
  <c r="N80" i="23"/>
  <c r="P75" i="23"/>
  <c r="N72" i="23"/>
  <c r="P67" i="23"/>
  <c r="N64" i="23"/>
  <c r="P59" i="23"/>
  <c r="N56" i="23"/>
  <c r="P51" i="23"/>
  <c r="N48" i="23"/>
  <c r="P43" i="23"/>
  <c r="N40" i="23"/>
  <c r="P35" i="23"/>
  <c r="N32" i="23"/>
  <c r="P27" i="23"/>
  <c r="N24" i="23"/>
  <c r="P19" i="23"/>
  <c r="L120" i="23"/>
  <c r="M112" i="23"/>
  <c r="P110" i="23"/>
  <c r="N107" i="23"/>
  <c r="L104" i="23"/>
  <c r="P102" i="23"/>
  <c r="N99" i="23"/>
  <c r="L96" i="23"/>
  <c r="P94" i="23"/>
  <c r="O91" i="23"/>
  <c r="L88" i="23"/>
  <c r="P86" i="23"/>
  <c r="L80" i="23"/>
  <c r="P78" i="23"/>
  <c r="N75" i="23"/>
  <c r="L72" i="23"/>
  <c r="P70" i="23"/>
  <c r="N67" i="23"/>
  <c r="L64" i="23"/>
  <c r="P62" i="23"/>
  <c r="N59" i="23"/>
  <c r="L56" i="23"/>
  <c r="P54" i="23"/>
  <c r="N51" i="23"/>
  <c r="L48" i="23"/>
  <c r="P46" i="23"/>
  <c r="N43" i="23"/>
  <c r="L40" i="23"/>
  <c r="P38" i="23"/>
  <c r="N35" i="23"/>
  <c r="L32" i="23"/>
  <c r="P30" i="23"/>
  <c r="N27" i="23"/>
  <c r="L24" i="23"/>
  <c r="P22" i="23"/>
  <c r="N19" i="23"/>
  <c r="H34" i="2"/>
  <c r="H34" i="3"/>
  <c r="BH44" i="27"/>
  <c r="BH45" i="27"/>
  <c r="BH54" i="27"/>
  <c r="BH59" i="27"/>
  <c r="BH61" i="27"/>
  <c r="BH67" i="27"/>
  <c r="BH74" i="27"/>
  <c r="BH81" i="27"/>
  <c r="BH96" i="27"/>
  <c r="BH101" i="27"/>
  <c r="BH109" i="27"/>
  <c r="BH111" i="27"/>
  <c r="BH115" i="27"/>
  <c r="DU44" i="27"/>
  <c r="DU45" i="27"/>
  <c r="DU54" i="27"/>
  <c r="DU59" i="27"/>
  <c r="DU61" i="27"/>
  <c r="DU67" i="27"/>
  <c r="DU74" i="27"/>
  <c r="DU81" i="27"/>
  <c r="DU96" i="27"/>
  <c r="DU101" i="27"/>
  <c r="DU109" i="27"/>
  <c r="DU111" i="27"/>
  <c r="DU115" i="27"/>
  <c r="A123" i="20"/>
  <c r="R6" i="3" l="1"/>
  <c r="D94" i="3"/>
  <c r="C94" i="3"/>
  <c r="C86" i="3"/>
  <c r="C4" i="16" l="1"/>
  <c r="R3" i="11"/>
  <c r="D87" i="3" l="1"/>
  <c r="C88" i="3"/>
  <c r="H81" i="27" l="1"/>
  <c r="BU81" i="27"/>
  <c r="K139" i="27" l="1"/>
  <c r="K137" i="30" l="1"/>
  <c r="K137" i="31"/>
  <c r="D86" i="3"/>
  <c r="D88" i="3" s="1"/>
  <c r="C7" i="27" l="1"/>
  <c r="C8" i="27"/>
  <c r="C9" i="27"/>
  <c r="C10" i="27"/>
  <c r="C11" i="27"/>
  <c r="C12" i="27"/>
  <c r="C13" i="27"/>
  <c r="C14" i="27"/>
  <c r="C15" i="27"/>
  <c r="C16" i="27"/>
  <c r="C17" i="27"/>
  <c r="C18" i="27"/>
  <c r="C19" i="27"/>
  <c r="C20" i="27"/>
  <c r="C21" i="27"/>
  <c r="C22" i="27"/>
  <c r="C23" i="27"/>
  <c r="C24" i="27"/>
  <c r="C25" i="27"/>
  <c r="C26" i="27"/>
  <c r="C27" i="27"/>
  <c r="C28" i="27"/>
  <c r="C29" i="27"/>
  <c r="C30" i="27"/>
  <c r="C31" i="27"/>
  <c r="C32" i="27"/>
  <c r="C33" i="27"/>
  <c r="C34" i="27"/>
  <c r="C35" i="27"/>
  <c r="C36" i="27"/>
  <c r="C37" i="27"/>
  <c r="C38" i="27"/>
  <c r="C39" i="27"/>
  <c r="C40" i="27"/>
  <c r="C41" i="27"/>
  <c r="C42" i="27"/>
  <c r="C43" i="27"/>
  <c r="C44" i="27"/>
  <c r="C45" i="27"/>
  <c r="C46" i="27"/>
  <c r="C47" i="27"/>
  <c r="C48" i="27"/>
  <c r="C49" i="27"/>
  <c r="C50" i="27"/>
  <c r="C51" i="27"/>
  <c r="C52" i="27"/>
  <c r="C53" i="27"/>
  <c r="C54" i="27"/>
  <c r="C55" i="27"/>
  <c r="C56" i="27"/>
  <c r="C57" i="27"/>
  <c r="C58" i="27"/>
  <c r="C59" i="27"/>
  <c r="C60" i="27"/>
  <c r="C61" i="27"/>
  <c r="C62" i="27"/>
  <c r="C63" i="27"/>
  <c r="C64" i="27"/>
  <c r="C65" i="27"/>
  <c r="C66" i="27"/>
  <c r="C67" i="27"/>
  <c r="C68" i="27"/>
  <c r="C69" i="27"/>
  <c r="C70" i="27"/>
  <c r="C71" i="27"/>
  <c r="C72" i="27"/>
  <c r="C73" i="27"/>
  <c r="C74" i="27"/>
  <c r="C75" i="27"/>
  <c r="C76" i="27"/>
  <c r="C77" i="27"/>
  <c r="C78" i="27"/>
  <c r="C79" i="27"/>
  <c r="C80" i="27"/>
  <c r="C81" i="27"/>
  <c r="C82" i="27"/>
  <c r="C83" i="27"/>
  <c r="C84" i="27"/>
  <c r="C85" i="27"/>
  <c r="C86" i="27"/>
  <c r="C87" i="27"/>
  <c r="C88" i="27"/>
  <c r="C89" i="27"/>
  <c r="C90" i="27"/>
  <c r="C91" i="27"/>
  <c r="C92" i="27"/>
  <c r="C93" i="27"/>
  <c r="C94" i="27"/>
  <c r="C95" i="27"/>
  <c r="C96" i="27"/>
  <c r="C97" i="27"/>
  <c r="C98" i="27"/>
  <c r="C99" i="27"/>
  <c r="C100" i="27"/>
  <c r="C101" i="27"/>
  <c r="C102" i="27"/>
  <c r="C103" i="27"/>
  <c r="C104" i="27"/>
  <c r="C105" i="27"/>
  <c r="C106" i="27"/>
  <c r="C107" i="27"/>
  <c r="C108" i="27"/>
  <c r="C109" i="27"/>
  <c r="C110" i="27"/>
  <c r="C111" i="27"/>
  <c r="C112" i="27"/>
  <c r="C113" i="27"/>
  <c r="C114" i="27"/>
  <c r="C115" i="27"/>
  <c r="C116" i="27"/>
  <c r="C117" i="27"/>
  <c r="C118" i="27"/>
  <c r="C119" i="27"/>
  <c r="C120" i="27"/>
  <c r="C121" i="27"/>
  <c r="C122" i="27"/>
  <c r="C123" i="27"/>
  <c r="C124" i="27"/>
  <c r="C125" i="27"/>
  <c r="C126" i="27"/>
  <c r="C127" i="27"/>
  <c r="C128" i="27"/>
  <c r="C129" i="27"/>
  <c r="C130" i="27"/>
  <c r="C131" i="27"/>
  <c r="C132" i="27"/>
  <c r="C133" i="27"/>
  <c r="C134" i="27"/>
  <c r="C135" i="27"/>
  <c r="C136" i="27"/>
  <c r="C137" i="27"/>
  <c r="C138" i="27"/>
  <c r="C139" i="27"/>
  <c r="C140" i="27"/>
  <c r="C6" i="27"/>
  <c r="C3" i="16"/>
  <c r="R7" i="3"/>
  <c r="S7" i="3"/>
  <c r="R8" i="3"/>
  <c r="S8" i="3"/>
  <c r="R9" i="3"/>
  <c r="S9" i="3"/>
  <c r="R10" i="3"/>
  <c r="S10" i="3"/>
  <c r="R11" i="3"/>
  <c r="S11" i="3"/>
  <c r="R12" i="3"/>
  <c r="S12" i="3"/>
  <c r="R13" i="3"/>
  <c r="S13" i="3"/>
  <c r="R14" i="3"/>
  <c r="S14" i="3"/>
  <c r="R15" i="3"/>
  <c r="S15" i="3"/>
  <c r="R16" i="3"/>
  <c r="S16" i="3"/>
  <c r="R17" i="3"/>
  <c r="S17" i="3"/>
  <c r="R18" i="3"/>
  <c r="S18" i="3"/>
  <c r="R19" i="3"/>
  <c r="S19" i="3"/>
  <c r="R20" i="3"/>
  <c r="S20" i="3"/>
  <c r="R21" i="3"/>
  <c r="S21" i="3"/>
  <c r="R22" i="3"/>
  <c r="S22" i="3"/>
  <c r="R23" i="3"/>
  <c r="S23" i="3"/>
  <c r="R24" i="3"/>
  <c r="S24" i="3"/>
  <c r="R25" i="3"/>
  <c r="S25" i="3"/>
  <c r="R26" i="3"/>
  <c r="S26" i="3"/>
  <c r="R27" i="3"/>
  <c r="S27" i="3"/>
  <c r="R28" i="3"/>
  <c r="S28" i="3"/>
  <c r="R29" i="3"/>
  <c r="S29" i="3"/>
  <c r="S6" i="3"/>
  <c r="X53" i="31" l="1"/>
  <c r="Z53" i="31"/>
  <c r="AA53" i="31" s="1"/>
  <c r="Z53" i="12"/>
  <c r="Z53" i="30"/>
  <c r="W53" i="31"/>
  <c r="W53" i="30"/>
  <c r="M53" i="30"/>
  <c r="L53" i="30"/>
  <c r="M53" i="31"/>
  <c r="BH55" i="27"/>
  <c r="DU55" i="27"/>
  <c r="L53" i="31"/>
  <c r="X53" i="30"/>
  <c r="Y53" i="31"/>
  <c r="N53" i="31"/>
  <c r="Y53" i="30"/>
  <c r="N53" i="30"/>
  <c r="M44" i="31"/>
  <c r="Y44" i="31"/>
  <c r="N44" i="31"/>
  <c r="BH46" i="27"/>
  <c r="DU46" i="27"/>
  <c r="W44" i="31"/>
  <c r="L44" i="31"/>
  <c r="W44" i="30"/>
  <c r="L44" i="30"/>
  <c r="Y44" i="30"/>
  <c r="N44" i="30"/>
  <c r="X44" i="31"/>
  <c r="X44" i="30"/>
  <c r="M44" i="30"/>
  <c r="Z44" i="31"/>
  <c r="AA44" i="31" s="1"/>
  <c r="Z44" i="12"/>
  <c r="Z44" i="30"/>
  <c r="X11" i="31"/>
  <c r="M11" i="31"/>
  <c r="X11" i="30"/>
  <c r="M11" i="30"/>
  <c r="Y11" i="31"/>
  <c r="N11" i="31"/>
  <c r="Y11" i="30"/>
  <c r="N11" i="30"/>
  <c r="DU13" i="27"/>
  <c r="BH13" i="27"/>
  <c r="Z11" i="31"/>
  <c r="AA11" i="31" s="1"/>
  <c r="Z11" i="12"/>
  <c r="Z11" i="30"/>
  <c r="W11" i="31"/>
  <c r="L11" i="31"/>
  <c r="L11" i="30"/>
  <c r="W11" i="30"/>
  <c r="BH95" i="27"/>
  <c r="Z93" i="31"/>
  <c r="AA93" i="31" s="1"/>
  <c r="DU95" i="27"/>
  <c r="W93" i="31"/>
  <c r="L93" i="31"/>
  <c r="W93" i="30"/>
  <c r="L93" i="30"/>
  <c r="X93" i="31"/>
  <c r="M93" i="30"/>
  <c r="M93" i="31"/>
  <c r="X93" i="30"/>
  <c r="N93" i="31"/>
  <c r="Y93" i="31"/>
  <c r="Y93" i="30"/>
  <c r="Z93" i="12"/>
  <c r="N93" i="30"/>
  <c r="Z93" i="30"/>
  <c r="Z51" i="31"/>
  <c r="AA51" i="31" s="1"/>
  <c r="W51" i="31"/>
  <c r="L51" i="31"/>
  <c r="Z51" i="12"/>
  <c r="Z51" i="30"/>
  <c r="W51" i="30"/>
  <c r="L51" i="30"/>
  <c r="BH53" i="27"/>
  <c r="DU53" i="27"/>
  <c r="X51" i="31"/>
  <c r="M51" i="31"/>
  <c r="X51" i="30"/>
  <c r="M51" i="30"/>
  <c r="Y51" i="31"/>
  <c r="N51" i="31"/>
  <c r="Y51" i="30"/>
  <c r="N51" i="30"/>
  <c r="N90" i="30"/>
  <c r="Y90" i="30"/>
  <c r="W90" i="31"/>
  <c r="L90" i="31"/>
  <c r="W90" i="30"/>
  <c r="L90" i="30"/>
  <c r="X90" i="30"/>
  <c r="M90" i="30"/>
  <c r="Y90" i="31"/>
  <c r="X90" i="31"/>
  <c r="M90" i="31"/>
  <c r="N90" i="31"/>
  <c r="DU92" i="27"/>
  <c r="Z90" i="31"/>
  <c r="AA90" i="31" s="1"/>
  <c r="Z90" i="12"/>
  <c r="Z90" i="30"/>
  <c r="BH92" i="27"/>
  <c r="BH52" i="27"/>
  <c r="DU52" i="27"/>
  <c r="Z50" i="31"/>
  <c r="AA50" i="31" s="1"/>
  <c r="W50" i="31"/>
  <c r="L50" i="31"/>
  <c r="W50" i="30"/>
  <c r="L50" i="30"/>
  <c r="X50" i="31"/>
  <c r="M50" i="31"/>
  <c r="X50" i="30"/>
  <c r="M50" i="30"/>
  <c r="N50" i="31"/>
  <c r="Z50" i="12"/>
  <c r="N50" i="30"/>
  <c r="Y50" i="31"/>
  <c r="Z50" i="30"/>
  <c r="Y50" i="30"/>
  <c r="BH131" i="27"/>
  <c r="DU131" i="27"/>
  <c r="W129" i="31"/>
  <c r="L129" i="31"/>
  <c r="W129" i="30"/>
  <c r="L129" i="30"/>
  <c r="Z129" i="31"/>
  <c r="AA129" i="31" s="1"/>
  <c r="Z129" i="12"/>
  <c r="Y129" i="30"/>
  <c r="N129" i="30"/>
  <c r="X129" i="31"/>
  <c r="M129" i="31"/>
  <c r="X129" i="30"/>
  <c r="M129" i="30"/>
  <c r="Y129" i="31"/>
  <c r="Z129" i="30"/>
  <c r="N129" i="31"/>
  <c r="Z9" i="30"/>
  <c r="L9" i="30"/>
  <c r="Z9" i="31"/>
  <c r="AA9" i="31" s="1"/>
  <c r="L9" i="31"/>
  <c r="Z9" i="12"/>
  <c r="BH11" i="27"/>
  <c r="DU11" i="27"/>
  <c r="W9" i="31"/>
  <c r="W9" i="30"/>
  <c r="X9" i="31"/>
  <c r="M9" i="31"/>
  <c r="X9" i="30"/>
  <c r="M9" i="30"/>
  <c r="Y9" i="30"/>
  <c r="N9" i="30"/>
  <c r="Y9" i="31"/>
  <c r="N9" i="31"/>
  <c r="X80" i="31"/>
  <c r="M80" i="31"/>
  <c r="X80" i="30"/>
  <c r="M80" i="30"/>
  <c r="Y80" i="31"/>
  <c r="N80" i="31"/>
  <c r="Y80" i="30"/>
  <c r="N80" i="30"/>
  <c r="BH82" i="27"/>
  <c r="DU82" i="27"/>
  <c r="Z80" i="31"/>
  <c r="AA80" i="31" s="1"/>
  <c r="Z80" i="12"/>
  <c r="Z80" i="30"/>
  <c r="W80" i="31"/>
  <c r="W80" i="30"/>
  <c r="L80" i="30"/>
  <c r="L80" i="31"/>
  <c r="W64" i="31"/>
  <c r="L64" i="31"/>
  <c r="W64" i="30"/>
  <c r="L64" i="30"/>
  <c r="Y64" i="31"/>
  <c r="N64" i="31"/>
  <c r="Z64" i="12"/>
  <c r="Z64" i="30"/>
  <c r="Y64" i="30"/>
  <c r="N64" i="30"/>
  <c r="X64" i="31"/>
  <c r="M64" i="31"/>
  <c r="X64" i="30"/>
  <c r="M64" i="30"/>
  <c r="Z64" i="31"/>
  <c r="BH66" i="27"/>
  <c r="DU66" i="27"/>
  <c r="Y61" i="31"/>
  <c r="N61" i="31"/>
  <c r="Y61" i="30"/>
  <c r="N61" i="30"/>
  <c r="Z61" i="31"/>
  <c r="AA61" i="31" s="1"/>
  <c r="Z61" i="12"/>
  <c r="Z61" i="30"/>
  <c r="W61" i="31"/>
  <c r="W61" i="30"/>
  <c r="L61" i="30"/>
  <c r="BH63" i="27"/>
  <c r="DU63" i="27"/>
  <c r="L61" i="31"/>
  <c r="X61" i="31"/>
  <c r="M61" i="31"/>
  <c r="M61" i="30"/>
  <c r="X61" i="30"/>
  <c r="Y103" i="31"/>
  <c r="N103" i="31"/>
  <c r="Y103" i="30"/>
  <c r="N103" i="30"/>
  <c r="Z103" i="31"/>
  <c r="Z103" i="12"/>
  <c r="Z103" i="30"/>
  <c r="BH105" i="27"/>
  <c r="DU105" i="27"/>
  <c r="W103" i="31"/>
  <c r="L103" i="31"/>
  <c r="W103" i="30"/>
  <c r="L103" i="30"/>
  <c r="M103" i="31"/>
  <c r="M103" i="30"/>
  <c r="X103" i="30"/>
  <c r="X103" i="31"/>
  <c r="Z95" i="31"/>
  <c r="AA95" i="31" s="1"/>
  <c r="W95" i="31"/>
  <c r="L95" i="31"/>
  <c r="Z95" i="12"/>
  <c r="Z95" i="30"/>
  <c r="W95" i="30"/>
  <c r="L95" i="30"/>
  <c r="BH97" i="27"/>
  <c r="DU97" i="27"/>
  <c r="X95" i="31"/>
  <c r="M95" i="31"/>
  <c r="X95" i="30"/>
  <c r="M95" i="30"/>
  <c r="Y95" i="31"/>
  <c r="N95" i="31"/>
  <c r="Y95" i="30"/>
  <c r="N95" i="30"/>
  <c r="Z102" i="31"/>
  <c r="AA102" i="31" s="1"/>
  <c r="Z102" i="12"/>
  <c r="Z102" i="30"/>
  <c r="W102" i="31"/>
  <c r="L102" i="31"/>
  <c r="M102" i="31"/>
  <c r="W102" i="30"/>
  <c r="M102" i="30"/>
  <c r="L102" i="30"/>
  <c r="X102" i="31"/>
  <c r="X102" i="30"/>
  <c r="BH104" i="27"/>
  <c r="DU104" i="27"/>
  <c r="Y102" i="31"/>
  <c r="N102" i="31"/>
  <c r="Y102" i="30"/>
  <c r="N102" i="30"/>
  <c r="L78" i="31"/>
  <c r="W78" i="30"/>
  <c r="Z78" i="30"/>
  <c r="Z78" i="31"/>
  <c r="AA78" i="31" s="1"/>
  <c r="BH80" i="27"/>
  <c r="DU80" i="27"/>
  <c r="Z78" i="12"/>
  <c r="L78" i="30"/>
  <c r="W78" i="31"/>
  <c r="X78" i="31"/>
  <c r="M78" i="31"/>
  <c r="X78" i="30"/>
  <c r="M78" i="30"/>
  <c r="N78" i="31"/>
  <c r="Y78" i="30"/>
  <c r="Y78" i="31"/>
  <c r="N78" i="30"/>
  <c r="AA53" i="12" l="1"/>
  <c r="AA50" i="12"/>
  <c r="AA93" i="12"/>
  <c r="AA44" i="12"/>
  <c r="AA51" i="12"/>
  <c r="AA95" i="12"/>
  <c r="AA90" i="12"/>
  <c r="AA11" i="12"/>
  <c r="AA80" i="12"/>
  <c r="AA9" i="12"/>
  <c r="AA78" i="12"/>
  <c r="AA61" i="12"/>
  <c r="AA50" i="30"/>
  <c r="AA129" i="30"/>
  <c r="AA93" i="30"/>
  <c r="AA61" i="30"/>
  <c r="AA44" i="30"/>
  <c r="AA90" i="30"/>
  <c r="AA53" i="30"/>
  <c r="AA11" i="30"/>
  <c r="AA102" i="30"/>
  <c r="AA80" i="30"/>
  <c r="AA51" i="30"/>
  <c r="AA9" i="30"/>
  <c r="AA95" i="30"/>
  <c r="AA78" i="30"/>
  <c r="F1" i="27" l="1"/>
  <c r="BK4" i="27" l="1"/>
  <c r="BV7" i="27"/>
  <c r="BW7" i="27"/>
  <c r="BV8" i="27"/>
  <c r="BW8" i="27"/>
  <c r="BV9" i="27"/>
  <c r="BW9" i="27"/>
  <c r="BV10" i="27"/>
  <c r="BW10" i="27"/>
  <c r="BV12" i="27"/>
  <c r="BW12" i="27"/>
  <c r="BV14" i="27"/>
  <c r="BW14" i="27"/>
  <c r="BV15" i="27"/>
  <c r="BW15" i="27"/>
  <c r="BV16" i="27"/>
  <c r="BW16" i="27"/>
  <c r="BV17" i="27"/>
  <c r="BW17" i="27"/>
  <c r="BV18" i="27"/>
  <c r="BW18" i="27"/>
  <c r="BV19" i="27"/>
  <c r="BW19" i="27"/>
  <c r="BV20" i="27"/>
  <c r="BW20" i="27"/>
  <c r="BV21" i="27"/>
  <c r="BW21" i="27"/>
  <c r="BV22" i="27"/>
  <c r="BW22" i="27"/>
  <c r="BV23" i="27"/>
  <c r="BW23" i="27"/>
  <c r="BV24" i="27"/>
  <c r="BW24" i="27"/>
  <c r="BV25" i="27"/>
  <c r="BW25" i="27"/>
  <c r="BV26" i="27"/>
  <c r="BW26" i="27"/>
  <c r="BV27" i="27"/>
  <c r="BW27" i="27"/>
  <c r="BV28" i="27"/>
  <c r="BW28" i="27"/>
  <c r="BV29" i="27"/>
  <c r="BW29" i="27"/>
  <c r="BV30" i="27"/>
  <c r="BW30" i="27"/>
  <c r="BV31" i="27"/>
  <c r="BW31" i="27"/>
  <c r="BV32" i="27"/>
  <c r="BW32" i="27"/>
  <c r="BV33" i="27"/>
  <c r="BW33" i="27"/>
  <c r="BV34" i="27"/>
  <c r="BW34" i="27"/>
  <c r="BV35" i="27"/>
  <c r="BW35" i="27"/>
  <c r="BV36" i="27"/>
  <c r="BW36" i="27"/>
  <c r="BV37" i="27"/>
  <c r="BW37" i="27"/>
  <c r="BV38" i="27"/>
  <c r="BW38" i="27"/>
  <c r="BV39" i="27"/>
  <c r="BW39" i="27"/>
  <c r="BV40" i="27"/>
  <c r="BW40" i="27"/>
  <c r="BV41" i="27"/>
  <c r="BW41" i="27"/>
  <c r="BV42" i="27"/>
  <c r="BW42" i="27"/>
  <c r="BV43" i="27"/>
  <c r="BW43" i="27"/>
  <c r="BV44" i="27"/>
  <c r="BW44" i="27"/>
  <c r="BV45" i="27"/>
  <c r="BW45" i="27"/>
  <c r="BV47" i="27"/>
  <c r="BW47" i="27"/>
  <c r="BV48" i="27"/>
  <c r="BW48" i="27"/>
  <c r="BV49" i="27"/>
  <c r="BW49" i="27"/>
  <c r="BV50" i="27"/>
  <c r="BW50" i="27"/>
  <c r="BV51" i="27"/>
  <c r="BW51" i="27"/>
  <c r="BV54" i="27"/>
  <c r="BW54" i="27"/>
  <c r="BV56" i="27"/>
  <c r="BW56" i="27"/>
  <c r="BV57" i="27"/>
  <c r="BW57" i="27"/>
  <c r="BV58" i="27"/>
  <c r="BW58" i="27"/>
  <c r="BV59" i="27"/>
  <c r="BW59" i="27"/>
  <c r="BV60" i="27"/>
  <c r="BW60" i="27"/>
  <c r="BV61" i="27"/>
  <c r="BW61" i="27"/>
  <c r="BV62" i="27"/>
  <c r="BW62" i="27"/>
  <c r="BV64" i="27"/>
  <c r="BW64" i="27"/>
  <c r="BV65" i="27"/>
  <c r="BW65" i="27"/>
  <c r="BV67" i="27"/>
  <c r="BW67" i="27"/>
  <c r="BV68" i="27"/>
  <c r="BW68" i="27"/>
  <c r="BV69" i="27"/>
  <c r="BW69" i="27"/>
  <c r="BV70" i="27"/>
  <c r="BW70" i="27"/>
  <c r="BV71" i="27"/>
  <c r="BW71" i="27"/>
  <c r="BV72" i="27"/>
  <c r="BW72" i="27"/>
  <c r="BV73" i="27"/>
  <c r="BW73" i="27"/>
  <c r="BV74" i="27"/>
  <c r="BW74" i="27"/>
  <c r="BV75" i="27"/>
  <c r="BW75" i="27"/>
  <c r="BV76" i="27"/>
  <c r="BW76" i="27"/>
  <c r="BV77" i="27"/>
  <c r="BW77" i="27"/>
  <c r="BV78" i="27"/>
  <c r="BW78" i="27"/>
  <c r="BV79" i="27"/>
  <c r="BW79" i="27"/>
  <c r="BV81" i="27"/>
  <c r="BW81" i="27"/>
  <c r="BV83" i="27"/>
  <c r="BW83" i="27"/>
  <c r="BV84" i="27"/>
  <c r="BW84" i="27"/>
  <c r="BV85" i="27"/>
  <c r="BW85" i="27"/>
  <c r="BV86" i="27"/>
  <c r="BW86" i="27"/>
  <c r="BV87" i="27"/>
  <c r="BW87" i="27"/>
  <c r="BV88" i="27"/>
  <c r="BW88" i="27"/>
  <c r="BV89" i="27"/>
  <c r="BW89" i="27"/>
  <c r="BV90" i="27"/>
  <c r="BW90" i="27"/>
  <c r="BV91" i="27"/>
  <c r="BW91" i="27"/>
  <c r="BV93" i="27"/>
  <c r="BW93" i="27"/>
  <c r="BV94" i="27"/>
  <c r="BW94" i="27"/>
  <c r="BV96" i="27"/>
  <c r="BW96" i="27"/>
  <c r="BV98" i="27"/>
  <c r="BW98" i="27"/>
  <c r="BV99" i="27"/>
  <c r="BW99" i="27"/>
  <c r="BV100" i="27"/>
  <c r="BW100" i="27"/>
  <c r="BV101" i="27"/>
  <c r="BW101" i="27"/>
  <c r="BV102" i="27"/>
  <c r="BW102" i="27"/>
  <c r="BV103" i="27"/>
  <c r="BW103" i="27"/>
  <c r="BV106" i="27"/>
  <c r="BW106" i="27"/>
  <c r="BV107" i="27"/>
  <c r="BW107" i="27"/>
  <c r="BV108" i="27"/>
  <c r="BW108" i="27"/>
  <c r="BV109" i="27"/>
  <c r="BW109" i="27"/>
  <c r="BV110" i="27"/>
  <c r="BW110" i="27"/>
  <c r="BV111" i="27"/>
  <c r="BW111" i="27"/>
  <c r="BV112" i="27"/>
  <c r="BW112" i="27"/>
  <c r="BV113" i="27"/>
  <c r="BW113" i="27"/>
  <c r="BV114" i="27"/>
  <c r="BW114" i="27"/>
  <c r="BV115" i="27"/>
  <c r="BW115" i="27"/>
  <c r="BV116" i="27"/>
  <c r="BW116" i="27"/>
  <c r="BV117" i="27"/>
  <c r="BW117" i="27"/>
  <c r="BV118" i="27"/>
  <c r="BW118" i="27"/>
  <c r="BV119" i="27"/>
  <c r="BW119" i="27"/>
  <c r="BV121" i="27"/>
  <c r="BW121" i="27"/>
  <c r="BV122" i="27"/>
  <c r="BW122" i="27"/>
  <c r="BV123" i="27"/>
  <c r="BW123" i="27"/>
  <c r="BV124" i="27"/>
  <c r="BW124" i="27"/>
  <c r="BV125" i="27"/>
  <c r="BW125" i="27"/>
  <c r="BV126" i="27"/>
  <c r="BW126" i="27"/>
  <c r="BV127" i="27"/>
  <c r="BW127" i="27"/>
  <c r="BV128" i="27"/>
  <c r="BW128" i="27"/>
  <c r="BV129" i="27"/>
  <c r="BW129" i="27"/>
  <c r="BV130" i="27"/>
  <c r="BW130" i="27"/>
  <c r="BV132" i="27"/>
  <c r="BW132" i="27"/>
  <c r="BV133" i="27"/>
  <c r="BW133" i="27"/>
  <c r="BV134" i="27"/>
  <c r="BW134" i="27"/>
  <c r="BV135" i="27"/>
  <c r="BW135" i="27"/>
  <c r="BV136" i="27"/>
  <c r="BW136" i="27"/>
  <c r="BV137" i="27"/>
  <c r="BW137" i="27"/>
  <c r="BV138" i="27"/>
  <c r="BW138" i="27"/>
  <c r="BV139" i="27"/>
  <c r="BW139" i="27"/>
  <c r="BV140" i="27"/>
  <c r="BW140" i="27"/>
  <c r="BW6" i="27"/>
  <c r="BV6" i="27"/>
  <c r="J7" i="27"/>
  <c r="J8" i="27"/>
  <c r="J9" i="27"/>
  <c r="J10" i="27"/>
  <c r="J12" i="27"/>
  <c r="J14" i="27"/>
  <c r="J15" i="27"/>
  <c r="J16" i="27"/>
  <c r="J17" i="27"/>
  <c r="J18" i="27"/>
  <c r="J19" i="27"/>
  <c r="J20" i="27"/>
  <c r="J21" i="27"/>
  <c r="J22" i="27"/>
  <c r="J23" i="27"/>
  <c r="J24" i="27"/>
  <c r="J25" i="27"/>
  <c r="J26" i="27"/>
  <c r="J27" i="27"/>
  <c r="J28" i="27"/>
  <c r="J29" i="27"/>
  <c r="J30" i="27"/>
  <c r="J31" i="27"/>
  <c r="J32" i="27"/>
  <c r="J33" i="27"/>
  <c r="J34" i="27"/>
  <c r="J35" i="27"/>
  <c r="J36" i="27"/>
  <c r="J37" i="27"/>
  <c r="J38" i="27"/>
  <c r="J39" i="27"/>
  <c r="J40" i="27"/>
  <c r="J41" i="27"/>
  <c r="J42" i="27"/>
  <c r="J43" i="27"/>
  <c r="J44" i="27"/>
  <c r="J45" i="27"/>
  <c r="J47" i="27"/>
  <c r="J48" i="27"/>
  <c r="J49" i="27"/>
  <c r="J50" i="27"/>
  <c r="J51" i="27"/>
  <c r="J54" i="27"/>
  <c r="J56" i="27"/>
  <c r="J57" i="27"/>
  <c r="J58" i="27"/>
  <c r="J59" i="27"/>
  <c r="J60" i="27"/>
  <c r="J61" i="27"/>
  <c r="J62" i="27"/>
  <c r="J64" i="27"/>
  <c r="J65" i="27"/>
  <c r="J67" i="27"/>
  <c r="J68" i="27"/>
  <c r="J69" i="27"/>
  <c r="J70" i="27"/>
  <c r="J71" i="27"/>
  <c r="J72" i="27"/>
  <c r="J73" i="27"/>
  <c r="J74" i="27"/>
  <c r="J75" i="27"/>
  <c r="J76" i="27"/>
  <c r="J77" i="27"/>
  <c r="J78" i="27"/>
  <c r="J79" i="27"/>
  <c r="J81" i="27"/>
  <c r="J83" i="27"/>
  <c r="J84" i="27"/>
  <c r="J85" i="27"/>
  <c r="J86" i="27"/>
  <c r="J87" i="27"/>
  <c r="J88" i="27"/>
  <c r="J89" i="27"/>
  <c r="J90" i="27"/>
  <c r="J91" i="27"/>
  <c r="J93" i="27"/>
  <c r="J94" i="27"/>
  <c r="J96" i="27"/>
  <c r="J98" i="27"/>
  <c r="J99" i="27"/>
  <c r="J100" i="27"/>
  <c r="J101" i="27"/>
  <c r="J102" i="27"/>
  <c r="J103" i="27"/>
  <c r="J106" i="27"/>
  <c r="J107" i="27"/>
  <c r="J108" i="27"/>
  <c r="J109" i="27"/>
  <c r="J110" i="27"/>
  <c r="J111" i="27"/>
  <c r="J112" i="27"/>
  <c r="J113" i="27"/>
  <c r="J114" i="27"/>
  <c r="J115" i="27"/>
  <c r="J116" i="27"/>
  <c r="J117" i="27"/>
  <c r="J118" i="27"/>
  <c r="J119" i="27"/>
  <c r="J121" i="27"/>
  <c r="J122" i="27"/>
  <c r="J123" i="27"/>
  <c r="J124" i="27"/>
  <c r="J125" i="27"/>
  <c r="J126" i="27"/>
  <c r="J127" i="27"/>
  <c r="J128" i="27"/>
  <c r="J129" i="27"/>
  <c r="J130" i="27"/>
  <c r="J132" i="27"/>
  <c r="J133" i="27"/>
  <c r="J134" i="27"/>
  <c r="J135" i="27"/>
  <c r="J136" i="27"/>
  <c r="J137" i="27"/>
  <c r="J138" i="27"/>
  <c r="J139" i="27"/>
  <c r="J140" i="27"/>
  <c r="J6" i="27"/>
  <c r="I7" i="27"/>
  <c r="I8" i="27"/>
  <c r="I9" i="27"/>
  <c r="I10" i="27"/>
  <c r="I12" i="27"/>
  <c r="I14" i="27"/>
  <c r="I15" i="27"/>
  <c r="I16" i="27"/>
  <c r="I17" i="27"/>
  <c r="I18" i="27"/>
  <c r="I19" i="27"/>
  <c r="I20" i="27"/>
  <c r="I21" i="27"/>
  <c r="I22" i="27"/>
  <c r="I23" i="27"/>
  <c r="I24" i="27"/>
  <c r="I25" i="27"/>
  <c r="I26" i="27"/>
  <c r="I27" i="27"/>
  <c r="I28" i="27"/>
  <c r="I29" i="27"/>
  <c r="I30" i="27"/>
  <c r="I31" i="27"/>
  <c r="I32" i="27"/>
  <c r="I33" i="27"/>
  <c r="I34" i="27"/>
  <c r="I35" i="27"/>
  <c r="I36" i="27"/>
  <c r="I37" i="27"/>
  <c r="I38" i="27"/>
  <c r="I39" i="27"/>
  <c r="I40" i="27"/>
  <c r="I41" i="27"/>
  <c r="I42" i="27"/>
  <c r="I43" i="27"/>
  <c r="I44" i="27"/>
  <c r="I45" i="27"/>
  <c r="I47" i="27"/>
  <c r="I48" i="27"/>
  <c r="I49" i="27"/>
  <c r="I50" i="27"/>
  <c r="I51" i="27"/>
  <c r="I54" i="27"/>
  <c r="I56" i="27"/>
  <c r="I57" i="27"/>
  <c r="I58" i="27"/>
  <c r="I59" i="27"/>
  <c r="I60" i="27"/>
  <c r="I61" i="27"/>
  <c r="I62" i="27"/>
  <c r="I64" i="27"/>
  <c r="I65" i="27"/>
  <c r="I67" i="27"/>
  <c r="I68" i="27"/>
  <c r="I69" i="27"/>
  <c r="I70" i="27"/>
  <c r="I71" i="27"/>
  <c r="I72" i="27"/>
  <c r="I73" i="27"/>
  <c r="I74" i="27"/>
  <c r="I75" i="27"/>
  <c r="I76" i="27"/>
  <c r="I77" i="27"/>
  <c r="I78" i="27"/>
  <c r="I79" i="27"/>
  <c r="I81" i="27"/>
  <c r="I83" i="27"/>
  <c r="I84" i="27"/>
  <c r="I85" i="27"/>
  <c r="I86" i="27"/>
  <c r="I87" i="27"/>
  <c r="I88" i="27"/>
  <c r="I89" i="27"/>
  <c r="I90" i="27"/>
  <c r="I91" i="27"/>
  <c r="I93" i="27"/>
  <c r="I94" i="27"/>
  <c r="I96" i="27"/>
  <c r="I98" i="27"/>
  <c r="I99" i="27"/>
  <c r="I100" i="27"/>
  <c r="I101" i="27"/>
  <c r="I102" i="27"/>
  <c r="I103" i="27"/>
  <c r="I106" i="27"/>
  <c r="I107" i="27"/>
  <c r="I108" i="27"/>
  <c r="I109" i="27"/>
  <c r="I110" i="27"/>
  <c r="I111" i="27"/>
  <c r="I112" i="27"/>
  <c r="I113" i="27"/>
  <c r="I114" i="27"/>
  <c r="I115" i="27"/>
  <c r="I116" i="27"/>
  <c r="I117" i="27"/>
  <c r="I118" i="27"/>
  <c r="I119" i="27"/>
  <c r="I121" i="27"/>
  <c r="I122" i="27"/>
  <c r="I123" i="27"/>
  <c r="I124" i="27"/>
  <c r="I125" i="27"/>
  <c r="I126" i="27"/>
  <c r="I127" i="27"/>
  <c r="I128" i="27"/>
  <c r="I129" i="27"/>
  <c r="I130" i="27"/>
  <c r="I132" i="27"/>
  <c r="I133" i="27"/>
  <c r="I134" i="27"/>
  <c r="I135" i="27"/>
  <c r="I136" i="27"/>
  <c r="I137" i="27"/>
  <c r="I138" i="27"/>
  <c r="I139" i="27"/>
  <c r="I140" i="27"/>
  <c r="I6" i="27"/>
  <c r="A5" i="23" l="1"/>
  <c r="A6" i="23"/>
  <c r="A7" i="23"/>
  <c r="A8" i="23"/>
  <c r="A9" i="23"/>
  <c r="A10" i="23"/>
  <c r="A11" i="23"/>
  <c r="A12" i="23"/>
  <c r="A13" i="23"/>
  <c r="A14" i="23"/>
  <c r="A15" i="23"/>
  <c r="A16" i="23"/>
  <c r="A17" i="23"/>
  <c r="A18" i="23"/>
  <c r="A4" i="23"/>
  <c r="F12" i="23" l="1"/>
  <c r="C12" i="23"/>
  <c r="L12" i="23"/>
  <c r="N12" i="23"/>
  <c r="P12" i="23"/>
  <c r="L11" i="23"/>
  <c r="N11" i="23"/>
  <c r="P11" i="23"/>
  <c r="C11" i="23"/>
  <c r="F11" i="23"/>
  <c r="C18" i="23"/>
  <c r="F18" i="23"/>
  <c r="N18" i="23"/>
  <c r="L18" i="23"/>
  <c r="P18" i="23"/>
  <c r="C10" i="23"/>
  <c r="F10" i="23"/>
  <c r="N10" i="23"/>
  <c r="L10" i="23"/>
  <c r="P10" i="23"/>
  <c r="F8" i="23"/>
  <c r="L8" i="23"/>
  <c r="N8" i="23"/>
  <c r="P8" i="23"/>
  <c r="C8" i="23"/>
  <c r="P9" i="23"/>
  <c r="C9" i="23"/>
  <c r="F9" i="23"/>
  <c r="L9" i="23"/>
  <c r="N9" i="23"/>
  <c r="C15" i="23"/>
  <c r="L15" i="23"/>
  <c r="F15" i="23"/>
  <c r="N15" i="23"/>
  <c r="P15" i="23"/>
  <c r="C7" i="23"/>
  <c r="F7" i="23"/>
  <c r="L7" i="23"/>
  <c r="N7" i="23"/>
  <c r="P7" i="23"/>
  <c r="N14" i="23"/>
  <c r="P14" i="23"/>
  <c r="C14" i="23"/>
  <c r="F14" i="23"/>
  <c r="L14" i="23"/>
  <c r="N6" i="23"/>
  <c r="P6" i="23"/>
  <c r="C6" i="23"/>
  <c r="F6" i="23"/>
  <c r="L6" i="23"/>
  <c r="P17" i="23"/>
  <c r="C17" i="23"/>
  <c r="F17" i="23"/>
  <c r="L17" i="23"/>
  <c r="N17" i="23"/>
  <c r="F16" i="23"/>
  <c r="L16" i="23"/>
  <c r="N16" i="23"/>
  <c r="P16" i="23"/>
  <c r="C16" i="23"/>
  <c r="C13" i="23"/>
  <c r="F13" i="23"/>
  <c r="L13" i="23"/>
  <c r="P13" i="23"/>
  <c r="N13" i="23"/>
  <c r="C5" i="23"/>
  <c r="F5" i="23"/>
  <c r="L5" i="23"/>
  <c r="P5" i="23"/>
  <c r="N5" i="23"/>
  <c r="AA102" i="12"/>
  <c r="AA129" i="12"/>
  <c r="D9" i="13" l="1"/>
  <c r="C9" i="13"/>
  <c r="E12" i="13"/>
  <c r="E9" i="13" s="1"/>
  <c r="ED44" i="27"/>
  <c r="S42" i="12" s="1"/>
  <c r="ED45" i="27"/>
  <c r="S43" i="12" s="1"/>
  <c r="ED54" i="27"/>
  <c r="S52" i="12" s="1"/>
  <c r="ED59" i="27"/>
  <c r="S57" i="12" s="1"/>
  <c r="ED61" i="27"/>
  <c r="S59" i="12" s="1"/>
  <c r="ED67" i="27"/>
  <c r="S65" i="12" s="1"/>
  <c r="ED74" i="27"/>
  <c r="S72" i="12" s="1"/>
  <c r="ED81" i="27"/>
  <c r="S79" i="12" s="1"/>
  <c r="ED96" i="27"/>
  <c r="S94" i="12" s="1"/>
  <c r="ED101" i="27"/>
  <c r="S99" i="12" s="1"/>
  <c r="ED109" i="27"/>
  <c r="S107" i="12" s="1"/>
  <c r="ED111" i="27"/>
  <c r="S109" i="12" s="1"/>
  <c r="ED115" i="27"/>
  <c r="S113" i="12" s="1"/>
  <c r="BQ44" i="27"/>
  <c r="H42" i="12" s="1"/>
  <c r="BQ45" i="27"/>
  <c r="H43" i="12" s="1"/>
  <c r="BQ54" i="27"/>
  <c r="H52" i="12" s="1"/>
  <c r="BQ59" i="27"/>
  <c r="H57" i="12" s="1"/>
  <c r="BQ61" i="27"/>
  <c r="H59" i="12" s="1"/>
  <c r="BQ67" i="27"/>
  <c r="H65" i="12" s="1"/>
  <c r="BQ74" i="27"/>
  <c r="H72" i="12" s="1"/>
  <c r="BQ81" i="27"/>
  <c r="H79" i="12" s="1"/>
  <c r="BQ96" i="27"/>
  <c r="H94" i="12" s="1"/>
  <c r="BQ101" i="27"/>
  <c r="H99" i="12" s="1"/>
  <c r="BQ109" i="27"/>
  <c r="H107" i="12" s="1"/>
  <c r="BQ111" i="27"/>
  <c r="H109" i="12" s="1"/>
  <c r="BQ115" i="27"/>
  <c r="H113" i="12" s="1"/>
  <c r="S99" i="30" l="1"/>
  <c r="S57" i="30"/>
  <c r="S94" i="30"/>
  <c r="S79" i="30"/>
  <c r="S113" i="30"/>
  <c r="S43" i="30"/>
  <c r="S72" i="30"/>
  <c r="S109" i="30"/>
  <c r="S65" i="30"/>
  <c r="S52" i="30"/>
  <c r="S42" i="30"/>
  <c r="S107" i="30"/>
  <c r="S59" i="30"/>
  <c r="H79" i="30"/>
  <c r="H99" i="30"/>
  <c r="H57" i="30"/>
  <c r="H94" i="30"/>
  <c r="H109" i="30"/>
  <c r="H52" i="30"/>
  <c r="H43" i="30"/>
  <c r="H42" i="30"/>
  <c r="H72" i="30"/>
  <c r="H113" i="30"/>
  <c r="H65" i="30"/>
  <c r="H107" i="30"/>
  <c r="H59" i="30"/>
  <c r="F12" i="13"/>
  <c r="F9" i="13" l="1"/>
  <c r="G12" i="13"/>
  <c r="F2" i="27"/>
  <c r="BI13" i="27" l="1"/>
  <c r="BM13" i="27" s="1"/>
  <c r="BI77" i="27"/>
  <c r="BM77" i="27" s="1"/>
  <c r="BI6" i="27"/>
  <c r="BM6" i="27" s="1"/>
  <c r="BI70" i="27"/>
  <c r="BM70" i="27" s="1"/>
  <c r="BI134" i="27"/>
  <c r="BM134" i="27" s="1"/>
  <c r="BI63" i="27"/>
  <c r="BM63" i="27" s="1"/>
  <c r="BI127" i="27"/>
  <c r="BM127" i="27" s="1"/>
  <c r="BI56" i="27"/>
  <c r="BM56" i="27" s="1"/>
  <c r="BI120" i="27"/>
  <c r="BM120" i="27" s="1"/>
  <c r="BI50" i="27"/>
  <c r="BM50" i="27" s="1"/>
  <c r="BI114" i="27"/>
  <c r="BM114" i="27" s="1"/>
  <c r="BI43" i="27"/>
  <c r="BM43" i="27" s="1"/>
  <c r="BI107" i="27"/>
  <c r="BM107" i="27" s="1"/>
  <c r="BI113" i="27"/>
  <c r="BM113" i="27" s="1"/>
  <c r="BI57" i="27"/>
  <c r="BM57" i="27" s="1"/>
  <c r="BI65" i="27"/>
  <c r="BM65" i="27" s="1"/>
  <c r="BI108" i="27"/>
  <c r="BM108" i="27" s="1"/>
  <c r="BI21" i="27"/>
  <c r="BM21" i="27" s="1"/>
  <c r="BI85" i="27"/>
  <c r="BM85" i="27" s="1"/>
  <c r="BI14" i="27"/>
  <c r="BM14" i="27" s="1"/>
  <c r="BI78" i="27"/>
  <c r="BM78" i="27" s="1"/>
  <c r="BI7" i="27"/>
  <c r="BM7" i="27" s="1"/>
  <c r="BI71" i="27"/>
  <c r="BM71" i="27" s="1"/>
  <c r="BI135" i="27"/>
  <c r="BM135" i="27" s="1"/>
  <c r="BI64" i="27"/>
  <c r="BM64" i="27" s="1"/>
  <c r="BI128" i="27"/>
  <c r="BM128" i="27" s="1"/>
  <c r="BI58" i="27"/>
  <c r="BM58" i="27" s="1"/>
  <c r="BI122" i="27"/>
  <c r="BM122" i="27" s="1"/>
  <c r="BI51" i="27"/>
  <c r="BM51" i="27" s="1"/>
  <c r="BI115" i="27"/>
  <c r="BM115" i="27" s="1"/>
  <c r="BI68" i="27"/>
  <c r="BM68" i="27" s="1"/>
  <c r="BI89" i="27"/>
  <c r="BM89" i="27" s="1"/>
  <c r="BI97" i="27"/>
  <c r="BM97" i="27" s="1"/>
  <c r="BI140" i="27"/>
  <c r="BM140" i="27" s="1"/>
  <c r="BI29" i="27"/>
  <c r="BM29" i="27" s="1"/>
  <c r="BI93" i="27"/>
  <c r="BM93" i="27" s="1"/>
  <c r="BI22" i="27"/>
  <c r="BM22" i="27" s="1"/>
  <c r="BI86" i="27"/>
  <c r="BM86" i="27" s="1"/>
  <c r="BI15" i="27"/>
  <c r="BM15" i="27" s="1"/>
  <c r="BI79" i="27"/>
  <c r="BM79" i="27" s="1"/>
  <c r="BI8" i="27"/>
  <c r="BM8" i="27" s="1"/>
  <c r="BI72" i="27"/>
  <c r="BM72" i="27" s="1"/>
  <c r="BI136" i="27"/>
  <c r="BM136" i="27" s="1"/>
  <c r="BI66" i="27"/>
  <c r="BM66" i="27" s="1"/>
  <c r="BI130" i="27"/>
  <c r="BM130" i="27" s="1"/>
  <c r="BI59" i="27"/>
  <c r="BM59" i="27" s="1"/>
  <c r="BI123" i="27"/>
  <c r="BM123" i="27" s="1"/>
  <c r="BI132" i="27"/>
  <c r="BM132" i="27" s="1"/>
  <c r="BI121" i="27"/>
  <c r="BM121" i="27" s="1"/>
  <c r="BI129" i="27"/>
  <c r="BM129" i="27" s="1"/>
  <c r="BI9" i="27"/>
  <c r="BM9" i="27" s="1"/>
  <c r="BI37" i="27"/>
  <c r="BM37" i="27" s="1"/>
  <c r="BI101" i="27"/>
  <c r="BM101" i="27" s="1"/>
  <c r="BI30" i="27"/>
  <c r="BM30" i="27" s="1"/>
  <c r="BI94" i="27"/>
  <c r="BM94" i="27" s="1"/>
  <c r="BI23" i="27"/>
  <c r="BM23" i="27" s="1"/>
  <c r="BI87" i="27"/>
  <c r="BM87" i="27" s="1"/>
  <c r="BI16" i="27"/>
  <c r="BM16" i="27" s="1"/>
  <c r="BI80" i="27"/>
  <c r="BM80" i="27" s="1"/>
  <c r="BI10" i="27"/>
  <c r="BM10" i="27" s="1"/>
  <c r="BI74" i="27"/>
  <c r="BM74" i="27" s="1"/>
  <c r="BI138" i="27"/>
  <c r="BM138" i="27" s="1"/>
  <c r="BI67" i="27"/>
  <c r="BM67" i="27" s="1"/>
  <c r="BI131" i="27"/>
  <c r="BM131" i="27" s="1"/>
  <c r="BI20" i="27"/>
  <c r="BM20" i="27" s="1"/>
  <c r="BI28" i="27"/>
  <c r="BM28" i="27" s="1"/>
  <c r="BI36" i="27"/>
  <c r="BM36" i="27" s="1"/>
  <c r="BI41" i="27"/>
  <c r="BM41" i="27" s="1"/>
  <c r="BI45" i="27"/>
  <c r="BM45" i="27" s="1"/>
  <c r="BI109" i="27"/>
  <c r="BM109" i="27" s="1"/>
  <c r="BI38" i="27"/>
  <c r="BM38" i="27" s="1"/>
  <c r="BI102" i="27"/>
  <c r="BM102" i="27" s="1"/>
  <c r="BI31" i="27"/>
  <c r="BM31" i="27" s="1"/>
  <c r="BI95" i="27"/>
  <c r="BM95" i="27" s="1"/>
  <c r="BI24" i="27"/>
  <c r="BM24" i="27" s="1"/>
  <c r="BI88" i="27"/>
  <c r="BM88" i="27" s="1"/>
  <c r="BI18" i="27"/>
  <c r="BM18" i="27" s="1"/>
  <c r="BI82" i="27"/>
  <c r="BM82" i="27" s="1"/>
  <c r="BI11" i="27"/>
  <c r="BM11" i="27" s="1"/>
  <c r="BI75" i="27"/>
  <c r="BM75" i="27" s="1"/>
  <c r="BI139" i="27"/>
  <c r="BM139" i="27" s="1"/>
  <c r="BI52" i="27"/>
  <c r="BM52" i="27" s="1"/>
  <c r="BI60" i="27"/>
  <c r="BM60" i="27" s="1"/>
  <c r="BI100" i="27"/>
  <c r="BM100" i="27" s="1"/>
  <c r="BI73" i="27"/>
  <c r="BM73" i="27" s="1"/>
  <c r="BI53" i="27"/>
  <c r="BM53" i="27" s="1"/>
  <c r="BI117" i="27"/>
  <c r="BM117" i="27" s="1"/>
  <c r="BI46" i="27"/>
  <c r="BM46" i="27" s="1"/>
  <c r="BI110" i="27"/>
  <c r="BM110" i="27" s="1"/>
  <c r="BI39" i="27"/>
  <c r="BM39" i="27" s="1"/>
  <c r="BI103" i="27"/>
  <c r="BM103" i="27" s="1"/>
  <c r="BI32" i="27"/>
  <c r="BM32" i="27" s="1"/>
  <c r="BI96" i="27"/>
  <c r="BM96" i="27" s="1"/>
  <c r="BI26" i="27"/>
  <c r="BM26" i="27" s="1"/>
  <c r="BI90" i="27"/>
  <c r="BM90" i="27" s="1"/>
  <c r="BI19" i="27"/>
  <c r="BM19" i="27" s="1"/>
  <c r="BI83" i="27"/>
  <c r="BM83" i="27" s="1"/>
  <c r="BI17" i="27"/>
  <c r="BM17" i="27" s="1"/>
  <c r="BI84" i="27"/>
  <c r="BM84" i="27" s="1"/>
  <c r="BI92" i="27"/>
  <c r="BM92" i="27" s="1"/>
  <c r="BI12" i="27"/>
  <c r="BM12" i="27" s="1"/>
  <c r="BI105" i="27"/>
  <c r="BM105" i="27" s="1"/>
  <c r="BI61" i="27"/>
  <c r="BM61" i="27" s="1"/>
  <c r="BI125" i="27"/>
  <c r="BM125" i="27" s="1"/>
  <c r="BI54" i="27"/>
  <c r="BM54" i="27" s="1"/>
  <c r="BI118" i="27"/>
  <c r="BM118" i="27" s="1"/>
  <c r="BI47" i="27"/>
  <c r="BM47" i="27" s="1"/>
  <c r="BI111" i="27"/>
  <c r="BM111" i="27" s="1"/>
  <c r="BI40" i="27"/>
  <c r="BM40" i="27" s="1"/>
  <c r="BI104" i="27"/>
  <c r="BM104" i="27" s="1"/>
  <c r="BI34" i="27"/>
  <c r="BM34" i="27" s="1"/>
  <c r="BI98" i="27"/>
  <c r="BM98" i="27" s="1"/>
  <c r="BI27" i="27"/>
  <c r="BM27" i="27" s="1"/>
  <c r="BI91" i="27"/>
  <c r="BM91" i="27" s="1"/>
  <c r="BI49" i="27"/>
  <c r="BM49" i="27" s="1"/>
  <c r="BI116" i="27"/>
  <c r="BM116" i="27" s="1"/>
  <c r="BI124" i="27"/>
  <c r="BM124" i="27" s="1"/>
  <c r="BI44" i="27"/>
  <c r="BM44" i="27" s="1"/>
  <c r="BI137" i="27"/>
  <c r="BM137" i="27" s="1"/>
  <c r="BI69" i="27"/>
  <c r="BM69" i="27" s="1"/>
  <c r="BI133" i="27"/>
  <c r="BM133" i="27" s="1"/>
  <c r="BI62" i="27"/>
  <c r="BM62" i="27" s="1"/>
  <c r="BI126" i="27"/>
  <c r="BM126" i="27" s="1"/>
  <c r="BI55" i="27"/>
  <c r="BM55" i="27" s="1"/>
  <c r="BI119" i="27"/>
  <c r="BM119" i="27" s="1"/>
  <c r="BI48" i="27"/>
  <c r="BM48" i="27" s="1"/>
  <c r="BI112" i="27"/>
  <c r="BM112" i="27" s="1"/>
  <c r="BI42" i="27"/>
  <c r="BM42" i="27" s="1"/>
  <c r="BI106" i="27"/>
  <c r="BM106" i="27" s="1"/>
  <c r="BI35" i="27"/>
  <c r="BM35" i="27" s="1"/>
  <c r="BI99" i="27"/>
  <c r="BM99" i="27" s="1"/>
  <c r="BI81" i="27"/>
  <c r="BM81" i="27" s="1"/>
  <c r="BI25" i="27"/>
  <c r="BM25" i="27" s="1"/>
  <c r="BI33" i="27"/>
  <c r="BM33" i="27" s="1"/>
  <c r="BI76" i="27"/>
  <c r="BM76" i="27" s="1"/>
  <c r="BK6" i="27"/>
  <c r="H12" i="13"/>
  <c r="G9" i="13"/>
  <c r="BK9" i="27"/>
  <c r="BK25" i="27"/>
  <c r="BK41" i="27"/>
  <c r="BK57" i="27"/>
  <c r="BK73" i="27"/>
  <c r="BK89" i="27"/>
  <c r="BK105" i="27"/>
  <c r="BK121" i="27"/>
  <c r="BK137" i="27"/>
  <c r="BK38" i="27"/>
  <c r="BK70" i="27"/>
  <c r="BK102" i="27"/>
  <c r="BK134" i="27"/>
  <c r="BK19" i="27"/>
  <c r="BK35" i="27"/>
  <c r="BK51" i="27"/>
  <c r="BK67" i="27"/>
  <c r="BK83" i="27"/>
  <c r="BK99" i="27"/>
  <c r="BK115" i="27"/>
  <c r="BK131" i="27"/>
  <c r="BK12" i="27"/>
  <c r="BK28" i="27"/>
  <c r="BK44" i="27"/>
  <c r="BK60" i="27"/>
  <c r="BK76" i="27"/>
  <c r="BK92" i="27"/>
  <c r="BK108" i="27"/>
  <c r="BK124" i="27"/>
  <c r="BK140" i="27"/>
  <c r="BK30" i="27"/>
  <c r="BK58" i="27"/>
  <c r="BK90" i="27"/>
  <c r="BK122" i="27"/>
  <c r="BK17" i="27"/>
  <c r="BK33" i="27"/>
  <c r="BK49" i="27"/>
  <c r="BK65" i="27"/>
  <c r="BK81" i="27"/>
  <c r="BK97" i="27"/>
  <c r="BK113" i="27"/>
  <c r="BK129" i="27"/>
  <c r="BK18" i="27"/>
  <c r="BK54" i="27"/>
  <c r="BK86" i="27"/>
  <c r="BK118" i="27"/>
  <c r="BK11" i="27"/>
  <c r="BK27" i="27"/>
  <c r="BK43" i="27"/>
  <c r="BK59" i="27"/>
  <c r="BK75" i="27"/>
  <c r="BK91" i="27"/>
  <c r="BK107" i="27"/>
  <c r="BK123" i="27"/>
  <c r="BK139" i="27"/>
  <c r="BK20" i="27"/>
  <c r="BK36" i="27"/>
  <c r="BK52" i="27"/>
  <c r="BK68" i="27"/>
  <c r="BK84" i="27"/>
  <c r="BK100" i="27"/>
  <c r="BK116" i="27"/>
  <c r="BK132" i="27"/>
  <c r="BK14" i="27"/>
  <c r="BK42" i="27"/>
  <c r="BK74" i="27"/>
  <c r="BK106" i="27"/>
  <c r="BK138" i="27"/>
  <c r="BK37" i="27"/>
  <c r="BK69" i="27"/>
  <c r="BK101" i="27"/>
  <c r="BK133" i="27"/>
  <c r="BK62" i="27"/>
  <c r="BK126" i="27"/>
  <c r="BK31" i="27"/>
  <c r="BK63" i="27"/>
  <c r="BK95" i="27"/>
  <c r="BK127" i="27"/>
  <c r="BK24" i="27"/>
  <c r="BK56" i="27"/>
  <c r="BK88" i="27"/>
  <c r="BK120" i="27"/>
  <c r="BK22" i="27"/>
  <c r="BK82" i="27"/>
  <c r="BK117" i="27"/>
  <c r="BK15" i="27"/>
  <c r="BK79" i="27"/>
  <c r="BK72" i="27"/>
  <c r="BK136" i="27"/>
  <c r="BK29" i="27"/>
  <c r="BK61" i="27"/>
  <c r="BK125" i="27"/>
  <c r="BK23" i="27"/>
  <c r="BK55" i="27"/>
  <c r="BK119" i="27"/>
  <c r="BK48" i="27"/>
  <c r="BK112" i="27"/>
  <c r="BK130" i="27"/>
  <c r="BK13" i="27"/>
  <c r="BK45" i="27"/>
  <c r="BK77" i="27"/>
  <c r="BK109" i="27"/>
  <c r="BK8" i="27"/>
  <c r="BK78" i="27"/>
  <c r="BK7" i="27"/>
  <c r="BK39" i="27"/>
  <c r="BK71" i="27"/>
  <c r="BK103" i="27"/>
  <c r="BK135" i="27"/>
  <c r="BK32" i="27"/>
  <c r="BK64" i="27"/>
  <c r="BK96" i="27"/>
  <c r="BK128" i="27"/>
  <c r="BK34" i="27"/>
  <c r="BK98" i="27"/>
  <c r="BK21" i="27"/>
  <c r="BK53" i="27"/>
  <c r="BK85" i="27"/>
  <c r="BK26" i="27"/>
  <c r="BK94" i="27"/>
  <c r="BK47" i="27"/>
  <c r="BK111" i="27"/>
  <c r="BK40" i="27"/>
  <c r="BK104" i="27"/>
  <c r="BK50" i="27"/>
  <c r="BK114" i="27"/>
  <c r="BK93" i="27"/>
  <c r="BK46" i="27"/>
  <c r="BK110" i="27"/>
  <c r="BK87" i="27"/>
  <c r="BK16" i="27"/>
  <c r="BK80" i="27"/>
  <c r="BK10" i="27"/>
  <c r="BK66" i="27"/>
  <c r="BI4" i="27"/>
  <c r="BJ4" i="27"/>
  <c r="BL4" i="27"/>
  <c r="BM4" i="27"/>
  <c r="C8" i="16"/>
  <c r="BQ4" i="27"/>
  <c r="I12" i="13" l="1"/>
  <c r="H9" i="13"/>
  <c r="BX7" i="27"/>
  <c r="BX8" i="27"/>
  <c r="BX9" i="27"/>
  <c r="BX10" i="27"/>
  <c r="BX11" i="27"/>
  <c r="BX12" i="27"/>
  <c r="BX13" i="27"/>
  <c r="BX14" i="27"/>
  <c r="BX15" i="27"/>
  <c r="BX16" i="27"/>
  <c r="BX17" i="27"/>
  <c r="BX18" i="27"/>
  <c r="BX19" i="27"/>
  <c r="BX20" i="27"/>
  <c r="BX21" i="27"/>
  <c r="BX22" i="27"/>
  <c r="BX23" i="27"/>
  <c r="BX24" i="27"/>
  <c r="BX25" i="27"/>
  <c r="BX26" i="27"/>
  <c r="BX27" i="27"/>
  <c r="BX28" i="27"/>
  <c r="BX29" i="27"/>
  <c r="BX30" i="27"/>
  <c r="BX31" i="27"/>
  <c r="BX32" i="27"/>
  <c r="BX33" i="27"/>
  <c r="BX34" i="27"/>
  <c r="BX35" i="27"/>
  <c r="BX36" i="27"/>
  <c r="BX37" i="27"/>
  <c r="BX38" i="27"/>
  <c r="BX39" i="27"/>
  <c r="BX40" i="27"/>
  <c r="BX41" i="27"/>
  <c r="BX42" i="27"/>
  <c r="BX43" i="27"/>
  <c r="BX44" i="27"/>
  <c r="BX45" i="27"/>
  <c r="BX46" i="27"/>
  <c r="BX47" i="27"/>
  <c r="BX48" i="27"/>
  <c r="BX49" i="27"/>
  <c r="BX50" i="27"/>
  <c r="BX51" i="27"/>
  <c r="BX52" i="27"/>
  <c r="BX53" i="27"/>
  <c r="BX54" i="27"/>
  <c r="BX55" i="27"/>
  <c r="BX56" i="27"/>
  <c r="BX57" i="27"/>
  <c r="BX58" i="27"/>
  <c r="BX59" i="27"/>
  <c r="BX60" i="27"/>
  <c r="BX61" i="27"/>
  <c r="BX62" i="27"/>
  <c r="BX63" i="27"/>
  <c r="BX64" i="27"/>
  <c r="BX65" i="27"/>
  <c r="BX66" i="27"/>
  <c r="BX67" i="27"/>
  <c r="BX68" i="27"/>
  <c r="BX69" i="27"/>
  <c r="BX70" i="27"/>
  <c r="BX71" i="27"/>
  <c r="BX72" i="27"/>
  <c r="BX73" i="27"/>
  <c r="BX74" i="27"/>
  <c r="BX75" i="27"/>
  <c r="BX76" i="27"/>
  <c r="BX77" i="27"/>
  <c r="BX78" i="27"/>
  <c r="BX79" i="27"/>
  <c r="BX80" i="27"/>
  <c r="BX81" i="27"/>
  <c r="BX82" i="27"/>
  <c r="BX83" i="27"/>
  <c r="BX84" i="27"/>
  <c r="BX85" i="27"/>
  <c r="BX86" i="27"/>
  <c r="BX87" i="27"/>
  <c r="BX88" i="27"/>
  <c r="BX89" i="27"/>
  <c r="BX90" i="27"/>
  <c r="BX91" i="27"/>
  <c r="BX92" i="27"/>
  <c r="BX93" i="27"/>
  <c r="BX94" i="27"/>
  <c r="BX95" i="27"/>
  <c r="BX96" i="27"/>
  <c r="BX97" i="27"/>
  <c r="BX98" i="27"/>
  <c r="BX99" i="27"/>
  <c r="BX100" i="27"/>
  <c r="BX101" i="27"/>
  <c r="BX102" i="27"/>
  <c r="BX103" i="27"/>
  <c r="BX104" i="27"/>
  <c r="BX105" i="27"/>
  <c r="BX106" i="27"/>
  <c r="BX107" i="27"/>
  <c r="BX108" i="27"/>
  <c r="BX109" i="27"/>
  <c r="BX110" i="27"/>
  <c r="BX111" i="27"/>
  <c r="BX112" i="27"/>
  <c r="BX113" i="27"/>
  <c r="BX114" i="27"/>
  <c r="BX115" i="27"/>
  <c r="BX116" i="27"/>
  <c r="BX117" i="27"/>
  <c r="BX118" i="27"/>
  <c r="BX119" i="27"/>
  <c r="BX120" i="27"/>
  <c r="BX121" i="27"/>
  <c r="BX122" i="27"/>
  <c r="BX123" i="27"/>
  <c r="BX124" i="27"/>
  <c r="BX125" i="27"/>
  <c r="BX126" i="27"/>
  <c r="BX127" i="27"/>
  <c r="BX128" i="27"/>
  <c r="BX129" i="27"/>
  <c r="BX130" i="27"/>
  <c r="BX131" i="27"/>
  <c r="BX132" i="27"/>
  <c r="BX133" i="27"/>
  <c r="BX134" i="27"/>
  <c r="BX135" i="27"/>
  <c r="BX136" i="27"/>
  <c r="BX137" i="27"/>
  <c r="BX138" i="27"/>
  <c r="BX139" i="27"/>
  <c r="BX6" i="27"/>
  <c r="V130" i="31" l="1"/>
  <c r="V130" i="30"/>
  <c r="V122" i="30"/>
  <c r="V122" i="31"/>
  <c r="V114" i="30"/>
  <c r="V114" i="31"/>
  <c r="V106" i="30"/>
  <c r="V106" i="31"/>
  <c r="V98" i="31"/>
  <c r="V98" i="30"/>
  <c r="V90" i="30"/>
  <c r="V90" i="31"/>
  <c r="V82" i="30"/>
  <c r="V82" i="31"/>
  <c r="V74" i="31"/>
  <c r="V74" i="30"/>
  <c r="V66" i="31"/>
  <c r="V66" i="30"/>
  <c r="V58" i="31"/>
  <c r="V58" i="30"/>
  <c r="V50" i="31"/>
  <c r="V50" i="30"/>
  <c r="V42" i="30"/>
  <c r="V42" i="31"/>
  <c r="V34" i="30"/>
  <c r="V34" i="31"/>
  <c r="V26" i="30"/>
  <c r="V26" i="31"/>
  <c r="V18" i="30"/>
  <c r="V18" i="31"/>
  <c r="V10" i="31"/>
  <c r="V10" i="30"/>
  <c r="V129" i="30"/>
  <c r="V129" i="31"/>
  <c r="V121" i="30"/>
  <c r="V121" i="31"/>
  <c r="V113" i="30"/>
  <c r="V113" i="31"/>
  <c r="V105" i="30"/>
  <c r="V105" i="31"/>
  <c r="V97" i="30"/>
  <c r="V97" i="31"/>
  <c r="V89" i="30"/>
  <c r="V89" i="31"/>
  <c r="V81" i="30"/>
  <c r="V81" i="31"/>
  <c r="V73" i="31"/>
  <c r="V73" i="30"/>
  <c r="V65" i="31"/>
  <c r="V65" i="30"/>
  <c r="V57" i="31"/>
  <c r="V57" i="30"/>
  <c r="V49" i="31"/>
  <c r="V49" i="30"/>
  <c r="V41" i="30"/>
  <c r="V41" i="31"/>
  <c r="V33" i="30"/>
  <c r="V33" i="31"/>
  <c r="V25" i="30"/>
  <c r="V25" i="31"/>
  <c r="V17" i="30"/>
  <c r="V17" i="31"/>
  <c r="V9" i="31"/>
  <c r="V9" i="30"/>
  <c r="V128" i="31"/>
  <c r="V128" i="30"/>
  <c r="V120" i="31"/>
  <c r="V120" i="30"/>
  <c r="V112" i="31"/>
  <c r="V112" i="30"/>
  <c r="V104" i="31"/>
  <c r="V104" i="30"/>
  <c r="V96" i="30"/>
  <c r="V96" i="31"/>
  <c r="V88" i="30"/>
  <c r="V88" i="31"/>
  <c r="V80" i="31"/>
  <c r="V80" i="30"/>
  <c r="V72" i="30"/>
  <c r="V72" i="31"/>
  <c r="V64" i="31"/>
  <c r="V64" i="30"/>
  <c r="V56" i="31"/>
  <c r="V56" i="30"/>
  <c r="V48" i="31"/>
  <c r="V48" i="30"/>
  <c r="V40" i="30"/>
  <c r="V40" i="31"/>
  <c r="V32" i="30"/>
  <c r="V32" i="31"/>
  <c r="V24" i="30"/>
  <c r="V24" i="31"/>
  <c r="V16" i="30"/>
  <c r="V16" i="31"/>
  <c r="V8" i="30"/>
  <c r="V8" i="31"/>
  <c r="V136" i="30"/>
  <c r="V136" i="31"/>
  <c r="V127" i="31"/>
  <c r="V127" i="30"/>
  <c r="V119" i="31"/>
  <c r="V119" i="30"/>
  <c r="V111" i="31"/>
  <c r="V111" i="30"/>
  <c r="V103" i="31"/>
  <c r="V103" i="30"/>
  <c r="V95" i="31"/>
  <c r="V95" i="30"/>
  <c r="V87" i="31"/>
  <c r="V87" i="30"/>
  <c r="V79" i="31"/>
  <c r="V79" i="30"/>
  <c r="V71" i="30"/>
  <c r="V71" i="31"/>
  <c r="V63" i="31"/>
  <c r="V63" i="30"/>
  <c r="V55" i="31"/>
  <c r="V55" i="30"/>
  <c r="V47" i="30"/>
  <c r="V47" i="31"/>
  <c r="V39" i="31"/>
  <c r="V39" i="30"/>
  <c r="V31" i="31"/>
  <c r="V31" i="30"/>
  <c r="V23" i="31"/>
  <c r="V23" i="30"/>
  <c r="V15" i="31"/>
  <c r="V15" i="30"/>
  <c r="V7" i="30"/>
  <c r="V7" i="31"/>
  <c r="V137" i="31"/>
  <c r="V137" i="30"/>
  <c r="V126" i="31"/>
  <c r="V126" i="30"/>
  <c r="V118" i="31"/>
  <c r="V118" i="30"/>
  <c r="V110" i="31"/>
  <c r="V110" i="30"/>
  <c r="V102" i="31"/>
  <c r="V102" i="30"/>
  <c r="V94" i="31"/>
  <c r="V94" i="30"/>
  <c r="V86" i="31"/>
  <c r="V86" i="30"/>
  <c r="V78" i="30"/>
  <c r="V78" i="31"/>
  <c r="V70" i="30"/>
  <c r="V70" i="31"/>
  <c r="V62" i="31"/>
  <c r="V62" i="30"/>
  <c r="V54" i="30"/>
  <c r="V54" i="31"/>
  <c r="V46" i="30"/>
  <c r="V46" i="31"/>
  <c r="V38" i="31"/>
  <c r="V38" i="30"/>
  <c r="V30" i="31"/>
  <c r="V30" i="30"/>
  <c r="V22" i="31"/>
  <c r="V22" i="30"/>
  <c r="V14" i="31"/>
  <c r="V14" i="30"/>
  <c r="V6" i="30"/>
  <c r="V6" i="31"/>
  <c r="V135" i="30"/>
  <c r="V135" i="31"/>
  <c r="V125" i="31"/>
  <c r="V125" i="30"/>
  <c r="V117" i="31"/>
  <c r="V117" i="30"/>
  <c r="V109" i="31"/>
  <c r="V109" i="30"/>
  <c r="V101" i="31"/>
  <c r="V101" i="30"/>
  <c r="V93" i="30"/>
  <c r="V93" i="31"/>
  <c r="V85" i="31"/>
  <c r="V85" i="30"/>
  <c r="V77" i="31"/>
  <c r="V77" i="30"/>
  <c r="V69" i="31"/>
  <c r="V69" i="30"/>
  <c r="V61" i="30"/>
  <c r="V61" i="31"/>
  <c r="V53" i="31"/>
  <c r="V53" i="30"/>
  <c r="V45" i="30"/>
  <c r="V45" i="31"/>
  <c r="V37" i="31"/>
  <c r="V37" i="30"/>
  <c r="V29" i="31"/>
  <c r="V29" i="30"/>
  <c r="V21" i="31"/>
  <c r="V21" i="30"/>
  <c r="V13" i="31"/>
  <c r="V13" i="30"/>
  <c r="V5" i="31"/>
  <c r="V5" i="30"/>
  <c r="V134" i="30"/>
  <c r="V134" i="31"/>
  <c r="V132" i="31"/>
  <c r="V132" i="30"/>
  <c r="V124" i="31"/>
  <c r="V124" i="30"/>
  <c r="V116" i="31"/>
  <c r="V116" i="30"/>
  <c r="V108" i="31"/>
  <c r="V108" i="30"/>
  <c r="V100" i="31"/>
  <c r="V100" i="30"/>
  <c r="V92" i="31"/>
  <c r="V92" i="30"/>
  <c r="V84" i="31"/>
  <c r="V84" i="30"/>
  <c r="V76" i="31"/>
  <c r="V76" i="30"/>
  <c r="V68" i="31"/>
  <c r="V68" i="30"/>
  <c r="V60" i="30"/>
  <c r="V60" i="31"/>
  <c r="V52" i="31"/>
  <c r="V52" i="30"/>
  <c r="V44" i="31"/>
  <c r="V44" i="30"/>
  <c r="V36" i="31"/>
  <c r="V36" i="30"/>
  <c r="V28" i="31"/>
  <c r="V28" i="30"/>
  <c r="V20" i="31"/>
  <c r="V20" i="30"/>
  <c r="V12" i="31"/>
  <c r="V12" i="30"/>
  <c r="V133" i="31"/>
  <c r="V133" i="30"/>
  <c r="V131" i="31"/>
  <c r="V131" i="30"/>
  <c r="V123" i="30"/>
  <c r="V123" i="31"/>
  <c r="V115" i="30"/>
  <c r="V115" i="31"/>
  <c r="V107" i="30"/>
  <c r="V107" i="31"/>
  <c r="V99" i="31"/>
  <c r="V99" i="30"/>
  <c r="V91" i="31"/>
  <c r="V91" i="30"/>
  <c r="V83" i="31"/>
  <c r="V83" i="30"/>
  <c r="V75" i="31"/>
  <c r="V75" i="30"/>
  <c r="V67" i="31"/>
  <c r="V67" i="30"/>
  <c r="V59" i="31"/>
  <c r="V59" i="30"/>
  <c r="V51" i="30"/>
  <c r="V51" i="31"/>
  <c r="V43" i="31"/>
  <c r="V43" i="30"/>
  <c r="V35" i="31"/>
  <c r="V35" i="30"/>
  <c r="V27" i="31"/>
  <c r="V27" i="30"/>
  <c r="V19" i="31"/>
  <c r="V19" i="30"/>
  <c r="V11" i="30"/>
  <c r="V11" i="31"/>
  <c r="J12" i="13"/>
  <c r="I9" i="13"/>
  <c r="V4" i="31"/>
  <c r="V4" i="30"/>
  <c r="V4" i="12"/>
  <c r="BH4" i="27"/>
  <c r="K12" i="13" l="1"/>
  <c r="J9" i="13"/>
  <c r="K7" i="27"/>
  <c r="K8" i="27"/>
  <c r="K9" i="27"/>
  <c r="K10" i="27"/>
  <c r="K11" i="27"/>
  <c r="K12" i="27"/>
  <c r="K13" i="27"/>
  <c r="K14" i="27"/>
  <c r="K15" i="27"/>
  <c r="K16" i="27"/>
  <c r="K17" i="27"/>
  <c r="K18" i="27"/>
  <c r="K19" i="27"/>
  <c r="K20" i="27"/>
  <c r="K21" i="27"/>
  <c r="K22" i="27"/>
  <c r="K23" i="27"/>
  <c r="K24" i="27"/>
  <c r="K25" i="27"/>
  <c r="K26" i="27"/>
  <c r="K27" i="27"/>
  <c r="K28" i="27"/>
  <c r="K29" i="27"/>
  <c r="K30" i="27"/>
  <c r="K31" i="27"/>
  <c r="K32" i="27"/>
  <c r="K33" i="27"/>
  <c r="K34" i="27"/>
  <c r="K35" i="27"/>
  <c r="K36" i="27"/>
  <c r="K37" i="27"/>
  <c r="K38" i="27"/>
  <c r="K39" i="27"/>
  <c r="K40" i="27"/>
  <c r="K41" i="27"/>
  <c r="K42" i="27"/>
  <c r="K43" i="27"/>
  <c r="K44" i="27"/>
  <c r="K45" i="27"/>
  <c r="K46" i="27"/>
  <c r="K47" i="27"/>
  <c r="K48" i="27"/>
  <c r="K49" i="27"/>
  <c r="K50" i="27"/>
  <c r="K51" i="27"/>
  <c r="K52" i="27"/>
  <c r="K53" i="27"/>
  <c r="K54" i="27"/>
  <c r="K55" i="27"/>
  <c r="K56" i="27"/>
  <c r="K57" i="27"/>
  <c r="K58" i="27"/>
  <c r="K59" i="27"/>
  <c r="K60" i="27"/>
  <c r="K61" i="27"/>
  <c r="K62" i="27"/>
  <c r="K63" i="27"/>
  <c r="K64" i="27"/>
  <c r="K65" i="27"/>
  <c r="K66" i="27"/>
  <c r="K67" i="27"/>
  <c r="K68" i="27"/>
  <c r="K69" i="27"/>
  <c r="K70" i="27"/>
  <c r="K71" i="27"/>
  <c r="K72" i="27"/>
  <c r="K73" i="27"/>
  <c r="K74" i="27"/>
  <c r="K75" i="27"/>
  <c r="K76" i="27"/>
  <c r="K77" i="27"/>
  <c r="K78" i="27"/>
  <c r="K79" i="27"/>
  <c r="K80" i="27"/>
  <c r="K81" i="27"/>
  <c r="K82" i="27"/>
  <c r="K83" i="27"/>
  <c r="K84" i="27"/>
  <c r="K85" i="27"/>
  <c r="K86" i="27"/>
  <c r="K87" i="27"/>
  <c r="K88" i="27"/>
  <c r="K89" i="27"/>
  <c r="K90" i="27"/>
  <c r="K91" i="27"/>
  <c r="K92" i="27"/>
  <c r="K93" i="27"/>
  <c r="K94" i="27"/>
  <c r="K95" i="27"/>
  <c r="K96" i="27"/>
  <c r="K97" i="27"/>
  <c r="K98" i="27"/>
  <c r="K99" i="27"/>
  <c r="K100" i="27"/>
  <c r="K101" i="27"/>
  <c r="K102" i="27"/>
  <c r="K103" i="27"/>
  <c r="K104" i="27"/>
  <c r="K105" i="27"/>
  <c r="K106" i="27"/>
  <c r="K107" i="27"/>
  <c r="K108" i="27"/>
  <c r="K109" i="27"/>
  <c r="K110" i="27"/>
  <c r="K111" i="27"/>
  <c r="K112" i="27"/>
  <c r="K113" i="27"/>
  <c r="K114" i="27"/>
  <c r="K115" i="27"/>
  <c r="K116" i="27"/>
  <c r="K117" i="27"/>
  <c r="K118" i="27"/>
  <c r="K119" i="27"/>
  <c r="K120" i="27"/>
  <c r="K121" i="27"/>
  <c r="K122" i="27"/>
  <c r="K123" i="27"/>
  <c r="K124" i="27"/>
  <c r="K125" i="27"/>
  <c r="K126" i="27"/>
  <c r="K127" i="27"/>
  <c r="K128" i="27"/>
  <c r="K129" i="27"/>
  <c r="K130" i="27"/>
  <c r="K131" i="27"/>
  <c r="K132" i="27"/>
  <c r="K133" i="27"/>
  <c r="K134" i="27"/>
  <c r="K135" i="27"/>
  <c r="K136" i="27"/>
  <c r="K137" i="27"/>
  <c r="K138" i="27"/>
  <c r="K6" i="27"/>
  <c r="BS1" i="27"/>
  <c r="H4" i="27"/>
  <c r="H120" i="27" s="1"/>
  <c r="K130" i="31" l="1"/>
  <c r="K130" i="30"/>
  <c r="K122" i="31"/>
  <c r="K122" i="30"/>
  <c r="K114" i="31"/>
  <c r="K114" i="30"/>
  <c r="K106" i="31"/>
  <c r="K106" i="30"/>
  <c r="K98" i="30"/>
  <c r="K98" i="31"/>
  <c r="K90" i="30"/>
  <c r="K90" i="31"/>
  <c r="K82" i="30"/>
  <c r="K82" i="31"/>
  <c r="K74" i="31"/>
  <c r="K74" i="30"/>
  <c r="K66" i="31"/>
  <c r="K66" i="30"/>
  <c r="K58" i="31"/>
  <c r="K58" i="30"/>
  <c r="K50" i="31"/>
  <c r="K50" i="30"/>
  <c r="K42" i="30"/>
  <c r="K42" i="31"/>
  <c r="K34" i="30"/>
  <c r="K34" i="31"/>
  <c r="K26" i="30"/>
  <c r="K26" i="31"/>
  <c r="K18" i="30"/>
  <c r="K18" i="31"/>
  <c r="K10" i="31"/>
  <c r="K10" i="30"/>
  <c r="K129" i="31"/>
  <c r="K129" i="30"/>
  <c r="K121" i="31"/>
  <c r="K121" i="30"/>
  <c r="K113" i="31"/>
  <c r="K113" i="30"/>
  <c r="K105" i="31"/>
  <c r="K105" i="30"/>
  <c r="K97" i="30"/>
  <c r="K97" i="31"/>
  <c r="K89" i="31"/>
  <c r="K89" i="30"/>
  <c r="K81" i="31"/>
  <c r="K81" i="30"/>
  <c r="K73" i="30"/>
  <c r="K73" i="31"/>
  <c r="K65" i="30"/>
  <c r="K65" i="31"/>
  <c r="K57" i="31"/>
  <c r="K57" i="30"/>
  <c r="K49" i="31"/>
  <c r="K49" i="30"/>
  <c r="K41" i="31"/>
  <c r="K41" i="30"/>
  <c r="K33" i="31"/>
  <c r="K33" i="30"/>
  <c r="K25" i="31"/>
  <c r="K25" i="30"/>
  <c r="K17" i="31"/>
  <c r="K17" i="30"/>
  <c r="K9" i="30"/>
  <c r="K9" i="31"/>
  <c r="K128" i="31"/>
  <c r="K128" i="30"/>
  <c r="K120" i="31"/>
  <c r="K120" i="30"/>
  <c r="K112" i="31"/>
  <c r="K112" i="30"/>
  <c r="K104" i="31"/>
  <c r="K104" i="30"/>
  <c r="K96" i="31"/>
  <c r="K96" i="30"/>
  <c r="K88" i="31"/>
  <c r="K88" i="30"/>
  <c r="K80" i="31"/>
  <c r="K80" i="30"/>
  <c r="K72" i="30"/>
  <c r="K72" i="31"/>
  <c r="K64" i="31"/>
  <c r="K64" i="30"/>
  <c r="K56" i="31"/>
  <c r="K56" i="30"/>
  <c r="K48" i="30"/>
  <c r="K48" i="31"/>
  <c r="K40" i="31"/>
  <c r="K40" i="30"/>
  <c r="K32" i="31"/>
  <c r="K32" i="30"/>
  <c r="K24" i="31"/>
  <c r="K24" i="30"/>
  <c r="K16" i="31"/>
  <c r="K16" i="30"/>
  <c r="K8" i="30"/>
  <c r="K8" i="31"/>
  <c r="K136" i="30"/>
  <c r="K136" i="31"/>
  <c r="K135" i="31"/>
  <c r="K135" i="30"/>
  <c r="K127" i="31"/>
  <c r="K127" i="30"/>
  <c r="K119" i="31"/>
  <c r="K119" i="30"/>
  <c r="K111" i="31"/>
  <c r="K111" i="30"/>
  <c r="K103" i="30"/>
  <c r="K103" i="31"/>
  <c r="K95" i="30"/>
  <c r="K95" i="31"/>
  <c r="K87" i="31"/>
  <c r="K87" i="30"/>
  <c r="K79" i="31"/>
  <c r="K79" i="30"/>
  <c r="K71" i="31"/>
  <c r="K71" i="30"/>
  <c r="K63" i="31"/>
  <c r="K63" i="30"/>
  <c r="K55" i="30"/>
  <c r="K55" i="31"/>
  <c r="K47" i="30"/>
  <c r="K47" i="31"/>
  <c r="K39" i="31"/>
  <c r="K39" i="30"/>
  <c r="K31" i="31"/>
  <c r="K31" i="30"/>
  <c r="K23" i="31"/>
  <c r="K23" i="30"/>
  <c r="K15" i="31"/>
  <c r="K15" i="30"/>
  <c r="K7" i="31"/>
  <c r="K7" i="30"/>
  <c r="K134" i="31"/>
  <c r="K134" i="30"/>
  <c r="K126" i="30"/>
  <c r="K126" i="31"/>
  <c r="K118" i="30"/>
  <c r="K118" i="31"/>
  <c r="K110" i="30"/>
  <c r="K110" i="31"/>
  <c r="K102" i="31"/>
  <c r="K102" i="30"/>
  <c r="K94" i="31"/>
  <c r="K94" i="30"/>
  <c r="K86" i="31"/>
  <c r="K86" i="30"/>
  <c r="K78" i="31"/>
  <c r="K78" i="30"/>
  <c r="K70" i="31"/>
  <c r="K70" i="30"/>
  <c r="K62" i="31"/>
  <c r="K62" i="30"/>
  <c r="K54" i="30"/>
  <c r="K54" i="31"/>
  <c r="K46" i="31"/>
  <c r="K46" i="30"/>
  <c r="K38" i="31"/>
  <c r="K38" i="30"/>
  <c r="K30" i="31"/>
  <c r="K30" i="30"/>
  <c r="K22" i="31"/>
  <c r="K22" i="30"/>
  <c r="K14" i="31"/>
  <c r="K14" i="30"/>
  <c r="K6" i="31"/>
  <c r="K6" i="30"/>
  <c r="K125" i="31"/>
  <c r="K125" i="30"/>
  <c r="K117" i="31"/>
  <c r="K117" i="30"/>
  <c r="K109" i="31"/>
  <c r="K109" i="30"/>
  <c r="K101" i="31"/>
  <c r="K101" i="30"/>
  <c r="K93" i="31"/>
  <c r="K93" i="30"/>
  <c r="K85" i="31"/>
  <c r="K85" i="30"/>
  <c r="K77" i="31"/>
  <c r="K77" i="30"/>
  <c r="K69" i="31"/>
  <c r="K69" i="30"/>
  <c r="K61" i="31"/>
  <c r="K61" i="30"/>
  <c r="K53" i="31"/>
  <c r="K53" i="30"/>
  <c r="K45" i="31"/>
  <c r="K45" i="30"/>
  <c r="K37" i="31"/>
  <c r="K37" i="30"/>
  <c r="K29" i="31"/>
  <c r="K29" i="30"/>
  <c r="K21" i="31"/>
  <c r="K21" i="30"/>
  <c r="K13" i="31"/>
  <c r="K13" i="30"/>
  <c r="K5" i="31"/>
  <c r="K5" i="30"/>
  <c r="K133" i="31"/>
  <c r="K133" i="30"/>
  <c r="K124" i="30"/>
  <c r="K124" i="31"/>
  <c r="K108" i="30"/>
  <c r="K108" i="31"/>
  <c r="K100" i="30"/>
  <c r="K100" i="31"/>
  <c r="K92" i="31"/>
  <c r="K92" i="30"/>
  <c r="K84" i="31"/>
  <c r="K84" i="30"/>
  <c r="K76" i="31"/>
  <c r="K76" i="30"/>
  <c r="K68" i="31"/>
  <c r="K68" i="30"/>
  <c r="K60" i="31"/>
  <c r="K60" i="30"/>
  <c r="K52" i="31"/>
  <c r="K52" i="30"/>
  <c r="K44" i="31"/>
  <c r="K44" i="30"/>
  <c r="K36" i="31"/>
  <c r="K36" i="30"/>
  <c r="K28" i="31"/>
  <c r="K28" i="30"/>
  <c r="K20" i="31"/>
  <c r="K20" i="30"/>
  <c r="K12" i="30"/>
  <c r="K12" i="31"/>
  <c r="K132" i="31"/>
  <c r="K132" i="30"/>
  <c r="K116" i="30"/>
  <c r="K116" i="31"/>
  <c r="K131" i="30"/>
  <c r="K131" i="31"/>
  <c r="K123" i="30"/>
  <c r="K123" i="31"/>
  <c r="K115" i="30"/>
  <c r="K115" i="31"/>
  <c r="K107" i="30"/>
  <c r="K107" i="31"/>
  <c r="K99" i="31"/>
  <c r="K99" i="30"/>
  <c r="K91" i="31"/>
  <c r="K91" i="30"/>
  <c r="K83" i="30"/>
  <c r="K83" i="31"/>
  <c r="K75" i="31"/>
  <c r="K75" i="30"/>
  <c r="K67" i="31"/>
  <c r="K67" i="30"/>
  <c r="K59" i="31"/>
  <c r="K59" i="30"/>
  <c r="K51" i="31"/>
  <c r="K51" i="30"/>
  <c r="K43" i="30"/>
  <c r="K43" i="31"/>
  <c r="K35" i="30"/>
  <c r="K35" i="31"/>
  <c r="K27" i="30"/>
  <c r="K27" i="31"/>
  <c r="K19" i="30"/>
  <c r="K19" i="31"/>
  <c r="K11" i="31"/>
  <c r="K11" i="30"/>
  <c r="H138" i="27"/>
  <c r="H6" i="27"/>
  <c r="L12" i="13"/>
  <c r="K9" i="13"/>
  <c r="K4" i="30"/>
  <c r="K4" i="31"/>
  <c r="DX4" i="27"/>
  <c r="K4" i="12"/>
  <c r="DV4" i="27"/>
  <c r="ED4" i="27"/>
  <c r="DU4" i="27"/>
  <c r="DZ4" i="27"/>
  <c r="DW4" i="27"/>
  <c r="BS2" i="27"/>
  <c r="DV44" i="27" s="1"/>
  <c r="DY4" i="27"/>
  <c r="CS4" i="27"/>
  <c r="CG4" i="27"/>
  <c r="BU4" i="27"/>
  <c r="CQ4" i="27"/>
  <c r="CO4" i="27"/>
  <c r="CE4" i="27"/>
  <c r="CM4" i="27"/>
  <c r="CC4" i="27"/>
  <c r="CK4" i="27"/>
  <c r="CA4" i="27"/>
  <c r="CU4" i="27"/>
  <c r="CI4" i="27"/>
  <c r="BY4" i="27"/>
  <c r="BT4" i="27"/>
  <c r="BR4" i="27"/>
  <c r="BR55" i="27" s="1"/>
  <c r="O53" i="12" s="1"/>
  <c r="BX4" i="27"/>
  <c r="BS4" i="27"/>
  <c r="BS135" i="27" s="1"/>
  <c r="P133" i="12" s="1"/>
  <c r="K4" i="27"/>
  <c r="G4" i="27"/>
  <c r="R4" i="27"/>
  <c r="AM4" i="27" s="1"/>
  <c r="V4" i="27"/>
  <c r="AO4" i="27" s="1"/>
  <c r="AD4" i="27"/>
  <c r="AS4" i="27" s="1"/>
  <c r="X4" i="27"/>
  <c r="AP4" i="27" s="1"/>
  <c r="AF4" i="27"/>
  <c r="AT4" i="27" s="1"/>
  <c r="Z4" i="27"/>
  <c r="AQ4" i="27" s="1"/>
  <c r="AH4" i="27"/>
  <c r="AU4" i="27" s="1"/>
  <c r="T4" i="27"/>
  <c r="AN4" i="27" s="1"/>
  <c r="AB4" i="27"/>
  <c r="AR4" i="27" s="1"/>
  <c r="L4" i="27"/>
  <c r="AJ4" i="27" s="1"/>
  <c r="P4" i="27"/>
  <c r="AL4" i="27" s="1"/>
  <c r="N4" i="27"/>
  <c r="E4" i="27"/>
  <c r="E6" i="27" s="1"/>
  <c r="H10" i="27"/>
  <c r="H14" i="27"/>
  <c r="H18" i="27"/>
  <c r="H22" i="27"/>
  <c r="H26" i="27"/>
  <c r="H30" i="27"/>
  <c r="H34" i="27"/>
  <c r="H38" i="27"/>
  <c r="H42" i="27"/>
  <c r="H46" i="27"/>
  <c r="H50" i="27"/>
  <c r="H54" i="27"/>
  <c r="J52" i="12" s="1"/>
  <c r="H58" i="27"/>
  <c r="H62" i="27"/>
  <c r="H66" i="27"/>
  <c r="H70" i="27"/>
  <c r="H74" i="27"/>
  <c r="J72" i="12" s="1"/>
  <c r="H78" i="27"/>
  <c r="H82" i="27"/>
  <c r="H86" i="27"/>
  <c r="H90" i="27"/>
  <c r="H94" i="27"/>
  <c r="H98" i="27"/>
  <c r="H102" i="27"/>
  <c r="H106" i="27"/>
  <c r="H110" i="27"/>
  <c r="H114" i="27"/>
  <c r="H118" i="27"/>
  <c r="H122" i="27"/>
  <c r="H126" i="27"/>
  <c r="H130" i="27"/>
  <c r="H134" i="27"/>
  <c r="H7" i="27"/>
  <c r="H11" i="27"/>
  <c r="H15" i="27"/>
  <c r="H19" i="27"/>
  <c r="H23" i="27"/>
  <c r="H27" i="27"/>
  <c r="H31" i="27"/>
  <c r="H35" i="27"/>
  <c r="H39" i="27"/>
  <c r="H43" i="27"/>
  <c r="H47" i="27"/>
  <c r="H51" i="27"/>
  <c r="H55" i="27"/>
  <c r="H63" i="27"/>
  <c r="H67" i="27"/>
  <c r="J65" i="12" s="1"/>
  <c r="H71" i="27"/>
  <c r="H75" i="27"/>
  <c r="H79" i="27"/>
  <c r="H83" i="27"/>
  <c r="H87" i="27"/>
  <c r="H91" i="27"/>
  <c r="H95" i="27"/>
  <c r="H99" i="27"/>
  <c r="H103" i="27"/>
  <c r="H107" i="27"/>
  <c r="H111" i="27"/>
  <c r="J109" i="12" s="1"/>
  <c r="H115" i="27"/>
  <c r="J113" i="12" s="1"/>
  <c r="H119" i="27"/>
  <c r="H123" i="27"/>
  <c r="H127" i="27"/>
  <c r="H131" i="27"/>
  <c r="H135" i="27"/>
  <c r="H139" i="27"/>
  <c r="H93" i="27"/>
  <c r="H101" i="27"/>
  <c r="J99" i="12" s="1"/>
  <c r="H109" i="27"/>
  <c r="J107" i="12" s="1"/>
  <c r="H117" i="27"/>
  <c r="H125" i="27"/>
  <c r="H133" i="27"/>
  <c r="H8" i="27"/>
  <c r="H12" i="27"/>
  <c r="H16" i="27"/>
  <c r="H20" i="27"/>
  <c r="H24" i="27"/>
  <c r="H28" i="27"/>
  <c r="H32" i="27"/>
  <c r="H36" i="27"/>
  <c r="H40" i="27"/>
  <c r="H44" i="27"/>
  <c r="J42" i="12" s="1"/>
  <c r="H48" i="27"/>
  <c r="H52" i="27"/>
  <c r="H56" i="27"/>
  <c r="H60" i="27"/>
  <c r="H64" i="27"/>
  <c r="H68" i="27"/>
  <c r="H72" i="27"/>
  <c r="H76" i="27"/>
  <c r="H80" i="27"/>
  <c r="H84" i="27"/>
  <c r="H88" i="27"/>
  <c r="H92" i="27"/>
  <c r="H96" i="27"/>
  <c r="J94" i="12" s="1"/>
  <c r="H100" i="27"/>
  <c r="H104" i="27"/>
  <c r="H108" i="27"/>
  <c r="H112" i="27"/>
  <c r="H116" i="27"/>
  <c r="H124" i="27"/>
  <c r="H128" i="27"/>
  <c r="H132" i="27"/>
  <c r="H136" i="27"/>
  <c r="H9" i="27"/>
  <c r="H13" i="27"/>
  <c r="H17" i="27"/>
  <c r="H21" i="27"/>
  <c r="H25" i="27"/>
  <c r="H29" i="27"/>
  <c r="H33" i="27"/>
  <c r="H37" i="27"/>
  <c r="H41" i="27"/>
  <c r="H45" i="27"/>
  <c r="J43" i="12" s="1"/>
  <c r="H49" i="27"/>
  <c r="H53" i="27"/>
  <c r="H57" i="27"/>
  <c r="H61" i="27"/>
  <c r="J59" i="12" s="1"/>
  <c r="H65" i="27"/>
  <c r="H69" i="27"/>
  <c r="H73" i="27"/>
  <c r="H77" i="27"/>
  <c r="H85" i="27"/>
  <c r="H89" i="27"/>
  <c r="H97" i="27"/>
  <c r="H105" i="27"/>
  <c r="H113" i="27"/>
  <c r="H121" i="27"/>
  <c r="H129" i="27"/>
  <c r="H137" i="27"/>
  <c r="F4" i="27"/>
  <c r="F133" i="27" s="1"/>
  <c r="E131" i="12" s="1"/>
  <c r="O133" i="31" l="1"/>
  <c r="P133" i="31"/>
  <c r="X133" i="31"/>
  <c r="O133" i="30"/>
  <c r="P133" i="30"/>
  <c r="I66" i="27"/>
  <c r="I105" i="27"/>
  <c r="M131" i="31"/>
  <c r="D131" i="31"/>
  <c r="E131" i="31"/>
  <c r="E131" i="30"/>
  <c r="D131" i="30"/>
  <c r="DV51" i="27"/>
  <c r="DV107" i="27"/>
  <c r="DV72" i="27"/>
  <c r="DZ72" i="27" s="1"/>
  <c r="DV96" i="27"/>
  <c r="DZ96" i="27" s="1"/>
  <c r="DV98" i="27"/>
  <c r="DV34" i="27"/>
  <c r="DZ34" i="27" s="1"/>
  <c r="DV105" i="27"/>
  <c r="DZ105" i="27" s="1"/>
  <c r="DV41" i="27"/>
  <c r="DZ41" i="27" s="1"/>
  <c r="DV111" i="27"/>
  <c r="DV47" i="27"/>
  <c r="DV118" i="27"/>
  <c r="DZ118" i="27" s="1"/>
  <c r="DV54" i="27"/>
  <c r="DZ54" i="27" s="1"/>
  <c r="DV125" i="27"/>
  <c r="DV61" i="27"/>
  <c r="DZ61" i="27" s="1"/>
  <c r="DV132" i="27"/>
  <c r="DZ132" i="27" s="1"/>
  <c r="DV68" i="27"/>
  <c r="DZ68" i="27" s="1"/>
  <c r="DV120" i="27"/>
  <c r="DV19" i="27"/>
  <c r="DV75" i="27"/>
  <c r="DZ75" i="27" s="1"/>
  <c r="DV40" i="27"/>
  <c r="DZ40" i="27" s="1"/>
  <c r="DV64" i="27"/>
  <c r="DV90" i="27"/>
  <c r="DZ90" i="27" s="1"/>
  <c r="DV26" i="27"/>
  <c r="DZ26" i="27" s="1"/>
  <c r="DV97" i="27"/>
  <c r="DV33" i="27"/>
  <c r="DV103" i="27"/>
  <c r="DV39" i="27"/>
  <c r="DZ39" i="27" s="1"/>
  <c r="DV110" i="27"/>
  <c r="DZ110" i="27" s="1"/>
  <c r="DV46" i="27"/>
  <c r="DV117" i="27"/>
  <c r="DZ117" i="27" s="1"/>
  <c r="DV53" i="27"/>
  <c r="DZ53" i="27" s="1"/>
  <c r="DV124" i="27"/>
  <c r="DZ124" i="27" s="1"/>
  <c r="DV60" i="27"/>
  <c r="DV88" i="27"/>
  <c r="DV112" i="27"/>
  <c r="DZ112" i="27" s="1"/>
  <c r="DV43" i="27"/>
  <c r="DZ43" i="27" s="1"/>
  <c r="DV8" i="27"/>
  <c r="DV32" i="27"/>
  <c r="DZ32" i="27" s="1"/>
  <c r="DV82" i="27"/>
  <c r="DZ82" i="27" s="1"/>
  <c r="DV18" i="27"/>
  <c r="DZ18" i="27" s="1"/>
  <c r="DV89" i="27"/>
  <c r="DV25" i="27"/>
  <c r="DV95" i="27"/>
  <c r="DZ95" i="27" s="1"/>
  <c r="DV31" i="27"/>
  <c r="DZ31" i="27" s="1"/>
  <c r="DV102" i="27"/>
  <c r="DV38" i="27"/>
  <c r="DZ38" i="27" s="1"/>
  <c r="DV109" i="27"/>
  <c r="DZ109" i="27" s="1"/>
  <c r="DV45" i="27"/>
  <c r="DV116" i="27"/>
  <c r="DV52" i="27"/>
  <c r="DV56" i="27"/>
  <c r="DZ56" i="27" s="1"/>
  <c r="DV80" i="27"/>
  <c r="DZ80" i="27" s="1"/>
  <c r="DV11" i="27"/>
  <c r="DV131" i="27"/>
  <c r="DV138" i="27"/>
  <c r="DZ138" i="27" s="1"/>
  <c r="DV74" i="27"/>
  <c r="DZ74" i="27" s="1"/>
  <c r="DV10" i="27"/>
  <c r="DV81" i="27"/>
  <c r="DV17" i="27"/>
  <c r="DZ17" i="27" s="1"/>
  <c r="DV87" i="27"/>
  <c r="DZ87" i="27" s="1"/>
  <c r="DV23" i="27"/>
  <c r="DV94" i="27"/>
  <c r="DZ94" i="27" s="1"/>
  <c r="DV30" i="27"/>
  <c r="DZ30" i="27" s="1"/>
  <c r="DV101" i="27"/>
  <c r="DZ101" i="27" s="1"/>
  <c r="DV37" i="27"/>
  <c r="DZ37" i="27" s="1"/>
  <c r="DV108" i="27"/>
  <c r="DZ108" i="27" s="1"/>
  <c r="DZ11" i="27"/>
  <c r="DZ19" i="27"/>
  <c r="DZ51" i="27"/>
  <c r="DZ107" i="27"/>
  <c r="DZ131" i="27"/>
  <c r="DZ23" i="27"/>
  <c r="DZ44" i="27"/>
  <c r="DZ52" i="27"/>
  <c r="DZ60" i="27"/>
  <c r="DZ116" i="27"/>
  <c r="DZ47" i="27"/>
  <c r="DZ45" i="27"/>
  <c r="DZ125" i="27"/>
  <c r="DZ103" i="27"/>
  <c r="DZ46" i="27"/>
  <c r="DZ102" i="27"/>
  <c r="DZ8" i="27"/>
  <c r="DZ64" i="27"/>
  <c r="DZ88" i="27"/>
  <c r="DZ120" i="27"/>
  <c r="DZ25" i="27"/>
  <c r="DZ33" i="27"/>
  <c r="DZ81" i="27"/>
  <c r="DZ89" i="27"/>
  <c r="DZ97" i="27"/>
  <c r="DZ10" i="27"/>
  <c r="DZ98" i="27"/>
  <c r="DZ111" i="27"/>
  <c r="DV24" i="27"/>
  <c r="DZ24" i="27" s="1"/>
  <c r="DV48" i="27"/>
  <c r="DZ48" i="27" s="1"/>
  <c r="DV123" i="27"/>
  <c r="DZ123" i="27" s="1"/>
  <c r="DV99" i="27"/>
  <c r="DZ99" i="27" s="1"/>
  <c r="DV130" i="27"/>
  <c r="DZ130" i="27" s="1"/>
  <c r="DV66" i="27"/>
  <c r="DZ66" i="27" s="1"/>
  <c r="DV137" i="27"/>
  <c r="DZ137" i="27" s="1"/>
  <c r="DV73" i="27"/>
  <c r="DZ73" i="27" s="1"/>
  <c r="DV9" i="27"/>
  <c r="DZ9" i="27" s="1"/>
  <c r="DV79" i="27"/>
  <c r="DZ79" i="27" s="1"/>
  <c r="DV15" i="27"/>
  <c r="DZ15" i="27" s="1"/>
  <c r="DV86" i="27"/>
  <c r="DZ86" i="27" s="1"/>
  <c r="DV22" i="27"/>
  <c r="DZ22" i="27" s="1"/>
  <c r="DV93" i="27"/>
  <c r="DZ93" i="27" s="1"/>
  <c r="DV29" i="27"/>
  <c r="DZ29" i="27" s="1"/>
  <c r="DV100" i="27"/>
  <c r="DZ100" i="27" s="1"/>
  <c r="DV36" i="27"/>
  <c r="DZ36" i="27" s="1"/>
  <c r="DV91" i="27"/>
  <c r="DZ91" i="27" s="1"/>
  <c r="DV16" i="27"/>
  <c r="DZ16" i="27" s="1"/>
  <c r="DV27" i="27"/>
  <c r="DZ27" i="27" s="1"/>
  <c r="DV67" i="27"/>
  <c r="DZ67" i="27" s="1"/>
  <c r="DV122" i="27"/>
  <c r="DZ122" i="27" s="1"/>
  <c r="DV58" i="27"/>
  <c r="DZ58" i="27" s="1"/>
  <c r="DV129" i="27"/>
  <c r="DZ129" i="27" s="1"/>
  <c r="DV65" i="27"/>
  <c r="DZ65" i="27" s="1"/>
  <c r="DV135" i="27"/>
  <c r="DZ135" i="27" s="1"/>
  <c r="DV71" i="27"/>
  <c r="DZ71" i="27" s="1"/>
  <c r="DV7" i="27"/>
  <c r="DZ7" i="27" s="1"/>
  <c r="DV78" i="27"/>
  <c r="DZ78" i="27" s="1"/>
  <c r="DV14" i="27"/>
  <c r="DZ14" i="27" s="1"/>
  <c r="DV85" i="27"/>
  <c r="DZ85" i="27" s="1"/>
  <c r="DV21" i="27"/>
  <c r="DZ21" i="27" s="1"/>
  <c r="DV92" i="27"/>
  <c r="DZ92" i="27" s="1"/>
  <c r="DV28" i="27"/>
  <c r="DZ28" i="27" s="1"/>
  <c r="DV115" i="27"/>
  <c r="DZ115" i="27" s="1"/>
  <c r="DV59" i="27"/>
  <c r="DZ59" i="27" s="1"/>
  <c r="DV136" i="27"/>
  <c r="DZ136" i="27" s="1"/>
  <c r="DV35" i="27"/>
  <c r="DZ35" i="27" s="1"/>
  <c r="DV114" i="27"/>
  <c r="DZ114" i="27" s="1"/>
  <c r="DV50" i="27"/>
  <c r="DZ50" i="27" s="1"/>
  <c r="DV121" i="27"/>
  <c r="DZ121" i="27" s="1"/>
  <c r="DV57" i="27"/>
  <c r="DZ57" i="27" s="1"/>
  <c r="DV127" i="27"/>
  <c r="DZ127" i="27" s="1"/>
  <c r="DV63" i="27"/>
  <c r="DZ63" i="27" s="1"/>
  <c r="DV134" i="27"/>
  <c r="DZ134" i="27" s="1"/>
  <c r="DV70" i="27"/>
  <c r="DZ70" i="27" s="1"/>
  <c r="DV6" i="27"/>
  <c r="DZ6" i="27" s="1"/>
  <c r="DV77" i="27"/>
  <c r="DZ77" i="27" s="1"/>
  <c r="DV13" i="27"/>
  <c r="DZ13" i="27" s="1"/>
  <c r="DV84" i="27"/>
  <c r="DZ84" i="27" s="1"/>
  <c r="DV20" i="27"/>
  <c r="DZ20" i="27" s="1"/>
  <c r="DV83" i="27"/>
  <c r="DZ83" i="27" s="1"/>
  <c r="DV139" i="27"/>
  <c r="DZ139" i="27" s="1"/>
  <c r="DV104" i="27"/>
  <c r="DZ104" i="27" s="1"/>
  <c r="DV128" i="27"/>
  <c r="DZ128" i="27" s="1"/>
  <c r="DV106" i="27"/>
  <c r="DZ106" i="27" s="1"/>
  <c r="DV42" i="27"/>
  <c r="DZ42" i="27" s="1"/>
  <c r="DV113" i="27"/>
  <c r="DZ113" i="27" s="1"/>
  <c r="DV49" i="27"/>
  <c r="DZ49" i="27" s="1"/>
  <c r="DV119" i="27"/>
  <c r="DZ119" i="27" s="1"/>
  <c r="DV55" i="27"/>
  <c r="DZ55" i="27" s="1"/>
  <c r="DV126" i="27"/>
  <c r="DZ126" i="27" s="1"/>
  <c r="DV62" i="27"/>
  <c r="DZ62" i="27" s="1"/>
  <c r="DV133" i="27"/>
  <c r="DZ133" i="27" s="1"/>
  <c r="DV69" i="27"/>
  <c r="DZ69" i="27" s="1"/>
  <c r="DV140" i="27"/>
  <c r="DZ140" i="27" s="1"/>
  <c r="DV76" i="27"/>
  <c r="DZ76" i="27" s="1"/>
  <c r="DV12" i="27"/>
  <c r="DZ12" i="27" s="1"/>
  <c r="M12" i="13"/>
  <c r="L9" i="13"/>
  <c r="BR17" i="27"/>
  <c r="BB4" i="27"/>
  <c r="BB133" i="27" s="1"/>
  <c r="AP44" i="27" a="1"/>
  <c r="AP44" i="27" s="1"/>
  <c r="AP8" i="27" a="1"/>
  <c r="AP8" i="27" s="1"/>
  <c r="AP45" i="27" a="1"/>
  <c r="AP45" i="27" s="1"/>
  <c r="AP61" i="27" a="1"/>
  <c r="AP61" i="27" s="1"/>
  <c r="AP70" i="27" a="1"/>
  <c r="AP70" i="27" s="1"/>
  <c r="AP81" i="27" a="1"/>
  <c r="AP81" i="27" s="1"/>
  <c r="AP54" i="27" a="1"/>
  <c r="AP54" i="27" s="1"/>
  <c r="AP74" i="27" a="1"/>
  <c r="AP74" i="27" s="1"/>
  <c r="AP67" i="27" a="1"/>
  <c r="AP67" i="27" s="1"/>
  <c r="AP59" i="27" a="1"/>
  <c r="AP59" i="27" s="1"/>
  <c r="AP111" i="27" a="1"/>
  <c r="AP111" i="27" s="1"/>
  <c r="AP115" i="27" a="1"/>
  <c r="AP115" i="27" s="1"/>
  <c r="AP99" i="27" a="1"/>
  <c r="AP99" i="27" s="1"/>
  <c r="AP101" i="27" a="1"/>
  <c r="AP101" i="27" s="1"/>
  <c r="AP109" i="27" a="1"/>
  <c r="AP109" i="27" s="1"/>
  <c r="AP96" i="27" a="1"/>
  <c r="AP96" i="27" s="1"/>
  <c r="AX4" i="27"/>
  <c r="AX133" i="27" s="1"/>
  <c r="AL45" i="27" a="1"/>
  <c r="AL45" i="27" s="1"/>
  <c r="AL44" i="27" a="1"/>
  <c r="AL44" i="27" s="1"/>
  <c r="AL8" i="27" a="1"/>
  <c r="AL8" i="27" s="1"/>
  <c r="AL59" i="27" a="1"/>
  <c r="AL59" i="27" s="1"/>
  <c r="AL67" i="27" a="1"/>
  <c r="AL67" i="27" s="1"/>
  <c r="AL61" i="27" a="1"/>
  <c r="AL61" i="27" s="1"/>
  <c r="AL70" i="27" a="1"/>
  <c r="AL70" i="27" s="1"/>
  <c r="AL74" i="27" a="1"/>
  <c r="AL74" i="27" s="1"/>
  <c r="AL81" i="27" a="1"/>
  <c r="AL81" i="27" s="1"/>
  <c r="AL101" i="27" a="1"/>
  <c r="AL101" i="27" s="1"/>
  <c r="AL96" i="27" a="1"/>
  <c r="AL96" i="27" s="1"/>
  <c r="AL109" i="27" a="1"/>
  <c r="AL109" i="27" s="1"/>
  <c r="AL111" i="27" a="1"/>
  <c r="AL111" i="27" s="1"/>
  <c r="AL54" i="27" a="1"/>
  <c r="AL54" i="27" s="1"/>
  <c r="AL115" i="27" a="1"/>
  <c r="AL115" i="27" s="1"/>
  <c r="AL99" i="27" a="1"/>
  <c r="AL99" i="27" s="1"/>
  <c r="BE4" i="27"/>
  <c r="BE133" i="27" s="1"/>
  <c r="AS45" i="27" a="1"/>
  <c r="AS45" i="27" s="1"/>
  <c r="AS44" i="27" a="1"/>
  <c r="AS44" i="27" s="1"/>
  <c r="AS8" i="27" a="1"/>
  <c r="AS8" i="27" s="1"/>
  <c r="AS59" i="27" a="1"/>
  <c r="AS59" i="27" s="1"/>
  <c r="AS61" i="27" a="1"/>
  <c r="AS61" i="27" s="1"/>
  <c r="AS70" i="27" a="1"/>
  <c r="AS70" i="27" s="1"/>
  <c r="AS81" i="27" a="1"/>
  <c r="AS81" i="27" s="1"/>
  <c r="AS74" i="27" a="1"/>
  <c r="AS74" i="27" s="1"/>
  <c r="AS101" i="27" a="1"/>
  <c r="AS101" i="27" s="1"/>
  <c r="AS67" i="27" a="1"/>
  <c r="AS67" i="27" s="1"/>
  <c r="AS96" i="27" a="1"/>
  <c r="AS96" i="27" s="1"/>
  <c r="AS109" i="27" a="1"/>
  <c r="AS109" i="27" s="1"/>
  <c r="AS111" i="27" a="1"/>
  <c r="AS111" i="27" s="1"/>
  <c r="AS54" i="27" a="1"/>
  <c r="AS54" i="27" s="1"/>
  <c r="AS99" i="27" a="1"/>
  <c r="AS99" i="27" s="1"/>
  <c r="AS115" i="27" a="1"/>
  <c r="AS115" i="27" s="1"/>
  <c r="AV4" i="27"/>
  <c r="AV133" i="27" s="1"/>
  <c r="AJ44" i="27" a="1"/>
  <c r="AJ44" i="27" s="1"/>
  <c r="AJ8" i="27" a="1"/>
  <c r="AJ8" i="27" s="1"/>
  <c r="AJ61" i="27" a="1"/>
  <c r="AJ61" i="27" s="1"/>
  <c r="AJ70" i="27" a="1"/>
  <c r="AJ70" i="27" s="1"/>
  <c r="AJ74" i="27" a="1"/>
  <c r="AJ74" i="27" s="1"/>
  <c r="AJ45" i="27" a="1"/>
  <c r="AJ45" i="27" s="1"/>
  <c r="AJ54" i="27" a="1"/>
  <c r="AJ54" i="27" s="1"/>
  <c r="AJ59" i="27" a="1"/>
  <c r="AJ59" i="27" s="1"/>
  <c r="AJ67" i="27" a="1"/>
  <c r="AJ67" i="27" s="1"/>
  <c r="AJ96" i="27" a="1"/>
  <c r="AJ96" i="27" s="1"/>
  <c r="AJ109" i="27" a="1"/>
  <c r="AJ109" i="27" s="1"/>
  <c r="AJ111" i="27" a="1"/>
  <c r="AJ111" i="27" s="1"/>
  <c r="AJ115" i="27" a="1"/>
  <c r="AJ115" i="27" s="1"/>
  <c r="AJ81" i="27" a="1"/>
  <c r="AJ81" i="27" s="1"/>
  <c r="AJ99" i="27" a="1"/>
  <c r="AJ99" i="27" s="1"/>
  <c r="AJ101" i="27" a="1"/>
  <c r="AJ101" i="27" s="1"/>
  <c r="BA4" i="27"/>
  <c r="BA133" i="27" s="1"/>
  <c r="AO44" i="27" a="1"/>
  <c r="AO44" i="27" s="1"/>
  <c r="AO8" i="27" a="1"/>
  <c r="AO8" i="27" s="1"/>
  <c r="AO45" i="27" a="1"/>
  <c r="AO45" i="27" s="1"/>
  <c r="AO70" i="27" a="1"/>
  <c r="AO70" i="27" s="1"/>
  <c r="AO81" i="27" a="1"/>
  <c r="AO81" i="27" s="1"/>
  <c r="AO54" i="27" a="1"/>
  <c r="AO54" i="27" s="1"/>
  <c r="AO74" i="27" a="1"/>
  <c r="AO74" i="27" s="1"/>
  <c r="AO67" i="27" a="1"/>
  <c r="AO67" i="27" s="1"/>
  <c r="AO59" i="27" a="1"/>
  <c r="AO59" i="27" s="1"/>
  <c r="AO61" i="27" a="1"/>
  <c r="AO61" i="27" s="1"/>
  <c r="AO115" i="27" a="1"/>
  <c r="AO115" i="27" s="1"/>
  <c r="AO99" i="27" a="1"/>
  <c r="AO99" i="27" s="1"/>
  <c r="AO101" i="27" a="1"/>
  <c r="AO101" i="27" s="1"/>
  <c r="AO96" i="27" a="1"/>
  <c r="AO96" i="27" s="1"/>
  <c r="AO109" i="27" a="1"/>
  <c r="AO109" i="27" s="1"/>
  <c r="AO111" i="27" a="1"/>
  <c r="AO111" i="27" s="1"/>
  <c r="BD4" i="27"/>
  <c r="BD133" i="27" s="1"/>
  <c r="AR44" i="27" a="1"/>
  <c r="AR44" i="27" s="1"/>
  <c r="AR8" i="27" a="1"/>
  <c r="AR8" i="27" s="1"/>
  <c r="AR61" i="27" a="1"/>
  <c r="AR61" i="27" s="1"/>
  <c r="AR70" i="27" a="1"/>
  <c r="AR70" i="27" s="1"/>
  <c r="AR74" i="27" a="1"/>
  <c r="AR74" i="27" s="1"/>
  <c r="AR45" i="27" a="1"/>
  <c r="AR45" i="27" s="1"/>
  <c r="AR54" i="27" a="1"/>
  <c r="AR54" i="27" s="1"/>
  <c r="AR67" i="27" a="1"/>
  <c r="AR67" i="27" s="1"/>
  <c r="AR96" i="27" a="1"/>
  <c r="AR96" i="27" s="1"/>
  <c r="AR109" i="27" a="1"/>
  <c r="AR109" i="27" s="1"/>
  <c r="AR111" i="27" a="1"/>
  <c r="AR111" i="27" s="1"/>
  <c r="AR115" i="27" a="1"/>
  <c r="AR115" i="27" s="1"/>
  <c r="AR59" i="27" a="1"/>
  <c r="AR59" i="27" s="1"/>
  <c r="AR99" i="27" a="1"/>
  <c r="AR99" i="27" s="1"/>
  <c r="AR101" i="27" a="1"/>
  <c r="AR101" i="27" s="1"/>
  <c r="AR81" i="27" a="1"/>
  <c r="AR81" i="27" s="1"/>
  <c r="AY4" i="27"/>
  <c r="AY133" i="27" s="1"/>
  <c r="AM45" i="27" a="1"/>
  <c r="AM45" i="27" s="1"/>
  <c r="AM44" i="27" a="1"/>
  <c r="AM44" i="27" s="1"/>
  <c r="AM54" i="27" a="1"/>
  <c r="AM54" i="27" s="1"/>
  <c r="AM67" i="27" a="1"/>
  <c r="AM67" i="27" s="1"/>
  <c r="AM8" i="27" a="1"/>
  <c r="AM8" i="27" s="1"/>
  <c r="AM59" i="27" a="1"/>
  <c r="AM59" i="27" s="1"/>
  <c r="AM61" i="27" a="1"/>
  <c r="AM61" i="27" s="1"/>
  <c r="AM99" i="27" a="1"/>
  <c r="AM99" i="27" s="1"/>
  <c r="AM101" i="27" a="1"/>
  <c r="AM101" i="27" s="1"/>
  <c r="AM96" i="27" a="1"/>
  <c r="AM96" i="27" s="1"/>
  <c r="AM74" i="27" a="1"/>
  <c r="AM74" i="27" s="1"/>
  <c r="AM109" i="27" a="1"/>
  <c r="AM109" i="27" s="1"/>
  <c r="AM111" i="27" a="1"/>
  <c r="AM111" i="27" s="1"/>
  <c r="AM70" i="27" a="1"/>
  <c r="AM70" i="27" s="1"/>
  <c r="AM81" i="27" a="1"/>
  <c r="AM81" i="27" s="1"/>
  <c r="AM115" i="27" a="1"/>
  <c r="AM115" i="27" s="1"/>
  <c r="AZ4" i="27"/>
  <c r="AZ133" i="27" s="1"/>
  <c r="AN8" i="27" a="1"/>
  <c r="AN8" i="27" s="1"/>
  <c r="AN45" i="27" a="1"/>
  <c r="AN45" i="27" s="1"/>
  <c r="AN44" i="27" a="1"/>
  <c r="AN44" i="27" s="1"/>
  <c r="AN70" i="27" a="1"/>
  <c r="AN70" i="27" s="1"/>
  <c r="AN74" i="27" a="1"/>
  <c r="AN74" i="27" s="1"/>
  <c r="AN81" i="27" a="1"/>
  <c r="AN81" i="27" s="1"/>
  <c r="AN54" i="27" a="1"/>
  <c r="AN54" i="27" s="1"/>
  <c r="AN67" i="27" a="1"/>
  <c r="AN67" i="27" s="1"/>
  <c r="AN59" i="27" a="1"/>
  <c r="AN59" i="27" s="1"/>
  <c r="AN61" i="27" a="1"/>
  <c r="AN61" i="27" s="1"/>
  <c r="AN99" i="27" a="1"/>
  <c r="AN99" i="27" s="1"/>
  <c r="AN101" i="27" a="1"/>
  <c r="AN101" i="27" s="1"/>
  <c r="AN96" i="27" a="1"/>
  <c r="AN96" i="27" s="1"/>
  <c r="AN109" i="27" a="1"/>
  <c r="AN109" i="27" s="1"/>
  <c r="AN111" i="27" a="1"/>
  <c r="AN111" i="27" s="1"/>
  <c r="AN115" i="27" a="1"/>
  <c r="AN115" i="27" s="1"/>
  <c r="BG4" i="27"/>
  <c r="BG133" i="27" s="1"/>
  <c r="AU44" i="27" a="1"/>
  <c r="AU44" i="27" s="1"/>
  <c r="AU45" i="27" a="1"/>
  <c r="AU45" i="27" s="1"/>
  <c r="AU74" i="27" a="1"/>
  <c r="AU74" i="27" s="1"/>
  <c r="AU54" i="27" a="1"/>
  <c r="AU54" i="27" s="1"/>
  <c r="AU67" i="27" a="1"/>
  <c r="AU67" i="27" s="1"/>
  <c r="AU8" i="27" a="1"/>
  <c r="AU8" i="27" s="1"/>
  <c r="AU59" i="27" a="1"/>
  <c r="AU59" i="27" s="1"/>
  <c r="AU81" i="27" a="1"/>
  <c r="AU81" i="27" s="1"/>
  <c r="AU99" i="27" a="1"/>
  <c r="AU99" i="27" s="1"/>
  <c r="AU115" i="27" a="1"/>
  <c r="AU115" i="27" s="1"/>
  <c r="AU61" i="27" a="1"/>
  <c r="AU61" i="27" s="1"/>
  <c r="AU101" i="27" a="1"/>
  <c r="AU101" i="27" s="1"/>
  <c r="AU96" i="27" a="1"/>
  <c r="AU96" i="27" s="1"/>
  <c r="AU109" i="27" a="1"/>
  <c r="AU109" i="27" s="1"/>
  <c r="AU111" i="27" a="1"/>
  <c r="AU111" i="27" s="1"/>
  <c r="AU70" i="27" a="1"/>
  <c r="AU70" i="27" s="1"/>
  <c r="BF4" i="27"/>
  <c r="BF133" i="27" s="1"/>
  <c r="AT44" i="27" a="1"/>
  <c r="AT44" i="27" s="1"/>
  <c r="AT8" i="27" a="1"/>
  <c r="AT8" i="27" s="1"/>
  <c r="AT54" i="27" a="1"/>
  <c r="AT54" i="27" s="1"/>
  <c r="AT67" i="27" a="1"/>
  <c r="AT67" i="27" s="1"/>
  <c r="AT59" i="27" a="1"/>
  <c r="AT59" i="27" s="1"/>
  <c r="AT61" i="27" a="1"/>
  <c r="AT61" i="27" s="1"/>
  <c r="AT70" i="27" a="1"/>
  <c r="AT70" i="27" s="1"/>
  <c r="AT81" i="27" a="1"/>
  <c r="AT81" i="27" s="1"/>
  <c r="AT45" i="27" a="1"/>
  <c r="AT45" i="27" s="1"/>
  <c r="AT101" i="27" a="1"/>
  <c r="AT101" i="27" s="1"/>
  <c r="AT96" i="27" a="1"/>
  <c r="AT96" i="27" s="1"/>
  <c r="AT109" i="27" a="1"/>
  <c r="AT109" i="27" s="1"/>
  <c r="AT74" i="27" a="1"/>
  <c r="AT74" i="27" s="1"/>
  <c r="AT111" i="27" a="1"/>
  <c r="AT111" i="27" s="1"/>
  <c r="AT99" i="27" a="1"/>
  <c r="AT99" i="27" s="1"/>
  <c r="AT115" i="27" a="1"/>
  <c r="AT115" i="27" s="1"/>
  <c r="BC4" i="27"/>
  <c r="BC133" i="27" s="1"/>
  <c r="AQ44" i="27" a="1"/>
  <c r="AQ44" i="27" s="1"/>
  <c r="AQ8" i="27" a="1"/>
  <c r="AQ8" i="27" s="1"/>
  <c r="AQ45" i="27" a="1"/>
  <c r="AQ45" i="27" s="1"/>
  <c r="AQ61" i="27" a="1"/>
  <c r="AQ61" i="27" s="1"/>
  <c r="AQ70" i="27" a="1"/>
  <c r="AQ70" i="27" s="1"/>
  <c r="AQ81" i="27" a="1"/>
  <c r="AQ81" i="27" s="1"/>
  <c r="AQ74" i="27" a="1"/>
  <c r="AQ74" i="27" s="1"/>
  <c r="AQ54" i="27" a="1"/>
  <c r="AQ54" i="27" s="1"/>
  <c r="AQ67" i="27" a="1"/>
  <c r="AQ67" i="27" s="1"/>
  <c r="AQ59" i="27" a="1"/>
  <c r="AQ59" i="27" s="1"/>
  <c r="AQ96" i="27" a="1"/>
  <c r="AQ96" i="27" s="1"/>
  <c r="AQ109" i="27" a="1"/>
  <c r="AQ109" i="27" s="1"/>
  <c r="AQ111" i="27" a="1"/>
  <c r="AQ111" i="27" s="1"/>
  <c r="AQ115" i="27" a="1"/>
  <c r="AQ115" i="27" s="1"/>
  <c r="AQ99" i="27" a="1"/>
  <c r="AQ99" i="27" s="1"/>
  <c r="AQ101" i="27" a="1"/>
  <c r="AQ101" i="27" s="1"/>
  <c r="BR101" i="27"/>
  <c r="BR78" i="27"/>
  <c r="BR30" i="27"/>
  <c r="BR123" i="27"/>
  <c r="BR66" i="27"/>
  <c r="O64" i="12" s="1"/>
  <c r="BR113" i="27"/>
  <c r="DX21" i="27"/>
  <c r="DX37" i="27"/>
  <c r="DX53" i="27"/>
  <c r="DX69" i="27"/>
  <c r="DX85" i="27"/>
  <c r="DX101" i="27"/>
  <c r="DX117" i="27"/>
  <c r="DX133" i="27"/>
  <c r="DX26" i="27"/>
  <c r="DX42" i="27"/>
  <c r="DX58" i="27"/>
  <c r="DX74" i="27"/>
  <c r="DX90" i="27"/>
  <c r="DX106" i="27"/>
  <c r="DX122" i="27"/>
  <c r="DX138" i="27"/>
  <c r="DX19" i="27"/>
  <c r="DX35" i="27"/>
  <c r="DX51" i="27"/>
  <c r="DX67" i="27"/>
  <c r="DX83" i="27"/>
  <c r="DX99" i="27"/>
  <c r="DX115" i="27"/>
  <c r="DX131" i="27"/>
  <c r="DX18" i="27"/>
  <c r="DX16" i="27"/>
  <c r="DX32" i="27"/>
  <c r="DX48" i="27"/>
  <c r="DX64" i="27"/>
  <c r="DX80" i="27"/>
  <c r="DX96" i="27"/>
  <c r="DX112" i="27"/>
  <c r="DX128" i="27"/>
  <c r="DX6" i="27"/>
  <c r="DX9" i="27"/>
  <c r="DX25" i="27"/>
  <c r="DX41" i="27"/>
  <c r="DX57" i="27"/>
  <c r="DX73" i="27"/>
  <c r="DX89" i="27"/>
  <c r="DX105" i="27"/>
  <c r="DX121" i="27"/>
  <c r="DX137" i="27"/>
  <c r="DX30" i="27"/>
  <c r="DX46" i="27"/>
  <c r="DX62" i="27"/>
  <c r="DX78" i="27"/>
  <c r="DX94" i="27"/>
  <c r="DX110" i="27"/>
  <c r="DX126" i="27"/>
  <c r="DX23" i="27"/>
  <c r="DX39" i="27"/>
  <c r="DX55" i="27"/>
  <c r="DX71" i="27"/>
  <c r="DX87" i="27"/>
  <c r="DX103" i="27"/>
  <c r="DX119" i="27"/>
  <c r="DX135" i="27"/>
  <c r="DX11" i="27"/>
  <c r="DX20" i="27"/>
  <c r="DX36" i="27"/>
  <c r="DX52" i="27"/>
  <c r="DX68" i="27"/>
  <c r="DX84" i="27"/>
  <c r="DX100" i="27"/>
  <c r="DX116" i="27"/>
  <c r="DX132" i="27"/>
  <c r="DX13" i="27"/>
  <c r="DX29" i="27"/>
  <c r="DX45" i="27"/>
  <c r="DX61" i="27"/>
  <c r="DX77" i="27"/>
  <c r="DX93" i="27"/>
  <c r="DX109" i="27"/>
  <c r="DX125" i="27"/>
  <c r="DX14" i="27"/>
  <c r="DX34" i="27"/>
  <c r="DX50" i="27"/>
  <c r="DX66" i="27"/>
  <c r="DX82" i="27"/>
  <c r="DX98" i="27"/>
  <c r="DX114" i="27"/>
  <c r="DX130" i="27"/>
  <c r="DX7" i="27"/>
  <c r="DX27" i="27"/>
  <c r="DX43" i="27"/>
  <c r="DX59" i="27"/>
  <c r="DX75" i="27"/>
  <c r="DX91" i="27"/>
  <c r="DX107" i="27"/>
  <c r="DX123" i="27"/>
  <c r="DX139" i="27"/>
  <c r="DX8" i="27"/>
  <c r="DX24" i="27"/>
  <c r="DX40" i="27"/>
  <c r="DX56" i="27"/>
  <c r="DX72" i="27"/>
  <c r="DX88" i="27"/>
  <c r="DX104" i="27"/>
  <c r="DX120" i="27"/>
  <c r="DX136" i="27"/>
  <c r="DX17" i="27"/>
  <c r="DX33" i="27"/>
  <c r="DX49" i="27"/>
  <c r="DX65" i="27"/>
  <c r="DX81" i="27"/>
  <c r="DX97" i="27"/>
  <c r="DX113" i="27"/>
  <c r="DX129" i="27"/>
  <c r="DX22" i="27"/>
  <c r="DX38" i="27"/>
  <c r="DX54" i="27"/>
  <c r="DX70" i="27"/>
  <c r="DX86" i="27"/>
  <c r="DX102" i="27"/>
  <c r="DX118" i="27"/>
  <c r="DX134" i="27"/>
  <c r="DX15" i="27"/>
  <c r="DX31" i="27"/>
  <c r="DX47" i="27"/>
  <c r="DX63" i="27"/>
  <c r="DX79" i="27"/>
  <c r="DX95" i="27"/>
  <c r="DX111" i="27"/>
  <c r="DX127" i="27"/>
  <c r="DX10" i="27"/>
  <c r="DX12" i="27"/>
  <c r="DX28" i="27"/>
  <c r="DX44" i="27"/>
  <c r="DX60" i="27"/>
  <c r="DX76" i="27"/>
  <c r="DX92" i="27"/>
  <c r="DX108" i="27"/>
  <c r="DX124" i="27"/>
  <c r="DX140" i="27"/>
  <c r="BW55" i="27"/>
  <c r="I95" i="27"/>
  <c r="I63" i="27"/>
  <c r="I82" i="27"/>
  <c r="I53" i="27"/>
  <c r="I120" i="27"/>
  <c r="I104" i="27"/>
  <c r="I55" i="27"/>
  <c r="I46" i="27"/>
  <c r="I97" i="27"/>
  <c r="I13" i="27"/>
  <c r="I80" i="27"/>
  <c r="I92" i="27"/>
  <c r="I11" i="27"/>
  <c r="I52" i="27"/>
  <c r="I131" i="27"/>
  <c r="E106" i="27"/>
  <c r="E42" i="27"/>
  <c r="E10" i="27"/>
  <c r="E139" i="27"/>
  <c r="F101" i="27"/>
  <c r="E99" i="12" s="1"/>
  <c r="BR10" i="27"/>
  <c r="BR6" i="27"/>
  <c r="D4" i="12" s="1"/>
  <c r="BR136" i="27"/>
  <c r="BR89" i="27"/>
  <c r="BR43" i="27"/>
  <c r="BS112" i="27"/>
  <c r="P110" i="12" s="1"/>
  <c r="E74" i="27"/>
  <c r="BR132" i="27"/>
  <c r="BR98" i="27"/>
  <c r="BR63" i="27"/>
  <c r="O61" i="12" s="1"/>
  <c r="BR139" i="27"/>
  <c r="BR127" i="27"/>
  <c r="BR115" i="27"/>
  <c r="BR103" i="27"/>
  <c r="BR92" i="27"/>
  <c r="O90" i="12" s="1"/>
  <c r="BR80" i="27"/>
  <c r="O78" i="12" s="1"/>
  <c r="BR69" i="27"/>
  <c r="BR57" i="27"/>
  <c r="BR45" i="27"/>
  <c r="BR35" i="27"/>
  <c r="BR19" i="27"/>
  <c r="BR121" i="27"/>
  <c r="BR109" i="27"/>
  <c r="BR86" i="27"/>
  <c r="BR74" i="27"/>
  <c r="BR51" i="27"/>
  <c r="BR41" i="27"/>
  <c r="BR27" i="27"/>
  <c r="BR12" i="27"/>
  <c r="BR129" i="27"/>
  <c r="BR117" i="27"/>
  <c r="BR107" i="27"/>
  <c r="BR95" i="27"/>
  <c r="O93" i="12" s="1"/>
  <c r="BR84" i="27"/>
  <c r="BR72" i="27"/>
  <c r="BR60" i="27"/>
  <c r="BR49" i="27"/>
  <c r="BR37" i="27"/>
  <c r="BR24" i="27"/>
  <c r="BR9" i="27"/>
  <c r="BR140" i="27"/>
  <c r="BR134" i="27"/>
  <c r="BR128" i="27"/>
  <c r="BR122" i="27"/>
  <c r="BR116" i="27"/>
  <c r="BR110" i="27"/>
  <c r="BR105" i="27"/>
  <c r="O103" i="12" s="1"/>
  <c r="BR99" i="27"/>
  <c r="BR93" i="27"/>
  <c r="BR87" i="27"/>
  <c r="BR81" i="27"/>
  <c r="BR77" i="27"/>
  <c r="BR71" i="27"/>
  <c r="BR65" i="27"/>
  <c r="BR59" i="27"/>
  <c r="BR53" i="27"/>
  <c r="O51" i="12" s="1"/>
  <c r="BR48" i="27"/>
  <c r="BR42" i="27"/>
  <c r="BR36" i="27"/>
  <c r="BR29" i="27"/>
  <c r="BR21" i="27"/>
  <c r="BR15" i="27"/>
  <c r="BR7" i="27"/>
  <c r="BR138" i="27"/>
  <c r="BR131" i="27"/>
  <c r="O129" i="12" s="1"/>
  <c r="BR125" i="27"/>
  <c r="BR120" i="27"/>
  <c r="BR114" i="27"/>
  <c r="BR108" i="27"/>
  <c r="BR102" i="27"/>
  <c r="BR96" i="27"/>
  <c r="BR91" i="27"/>
  <c r="BR85" i="27"/>
  <c r="BR79" i="27"/>
  <c r="BR73" i="27"/>
  <c r="BR67" i="27"/>
  <c r="BR62" i="27"/>
  <c r="BR56" i="27"/>
  <c r="BR50" i="27"/>
  <c r="BR44" i="27"/>
  <c r="BR38" i="27"/>
  <c r="BR33" i="27"/>
  <c r="BR25" i="27"/>
  <c r="BR18" i="27"/>
  <c r="BR11" i="27"/>
  <c r="O9" i="12" s="1"/>
  <c r="BS40" i="27"/>
  <c r="P38" i="12" s="1"/>
  <c r="BS82" i="27"/>
  <c r="P80" i="12" s="1"/>
  <c r="BS10" i="27"/>
  <c r="P8" i="12" s="1"/>
  <c r="BS76" i="27"/>
  <c r="P74" i="12" s="1"/>
  <c r="BS118" i="27"/>
  <c r="P116" i="12" s="1"/>
  <c r="BS46" i="27"/>
  <c r="P44" i="12" s="1"/>
  <c r="BS106" i="27"/>
  <c r="P104" i="12" s="1"/>
  <c r="BS70" i="27"/>
  <c r="P68" i="12" s="1"/>
  <c r="BS34" i="27"/>
  <c r="P32" i="12" s="1"/>
  <c r="BS137" i="27"/>
  <c r="P135" i="12" s="1"/>
  <c r="BS100" i="27"/>
  <c r="P98" i="12" s="1"/>
  <c r="BS64" i="27"/>
  <c r="P62" i="12" s="1"/>
  <c r="BS28" i="27"/>
  <c r="P26" i="12" s="1"/>
  <c r="BR133" i="27"/>
  <c r="BR126" i="27"/>
  <c r="BR119" i="27"/>
  <c r="BR111" i="27"/>
  <c r="BR104" i="27"/>
  <c r="O102" i="12" s="1"/>
  <c r="BR97" i="27"/>
  <c r="O95" i="12" s="1"/>
  <c r="BR90" i="27"/>
  <c r="BR83" i="27"/>
  <c r="BR75" i="27"/>
  <c r="BR68" i="27"/>
  <c r="BR61" i="27"/>
  <c r="BR54" i="27"/>
  <c r="BR47" i="27"/>
  <c r="BR39" i="27"/>
  <c r="BR31" i="27"/>
  <c r="BR23" i="27"/>
  <c r="BR13" i="27"/>
  <c r="O11" i="12" s="1"/>
  <c r="BS130" i="27"/>
  <c r="P128" i="12" s="1"/>
  <c r="BS94" i="27"/>
  <c r="P92" i="12" s="1"/>
  <c r="BS58" i="27"/>
  <c r="P56" i="12" s="1"/>
  <c r="BS22" i="27"/>
  <c r="P20" i="12" s="1"/>
  <c r="BS124" i="27"/>
  <c r="P122" i="12" s="1"/>
  <c r="BS88" i="27"/>
  <c r="P86" i="12" s="1"/>
  <c r="BS52" i="27"/>
  <c r="P50" i="12" s="1"/>
  <c r="BS16" i="27"/>
  <c r="P14" i="12" s="1"/>
  <c r="BR32" i="27"/>
  <c r="BR26" i="27"/>
  <c r="BR20" i="27"/>
  <c r="BR14" i="27"/>
  <c r="BR8" i="27"/>
  <c r="BR135" i="27"/>
  <c r="BR137" i="27"/>
  <c r="BR130" i="27"/>
  <c r="BR124" i="27"/>
  <c r="BR118" i="27"/>
  <c r="BR112" i="27"/>
  <c r="BR106" i="27"/>
  <c r="BR100" i="27"/>
  <c r="BR94" i="27"/>
  <c r="BR88" i="27"/>
  <c r="BR82" i="27"/>
  <c r="O80" i="12" s="1"/>
  <c r="BR76" i="27"/>
  <c r="BR70" i="27"/>
  <c r="BR64" i="27"/>
  <c r="BR58" i="27"/>
  <c r="BR52" i="27"/>
  <c r="O50" i="12" s="1"/>
  <c r="BR46" i="27"/>
  <c r="O44" i="12" s="1"/>
  <c r="BR40" i="27"/>
  <c r="BR34" i="27"/>
  <c r="BR28" i="27"/>
  <c r="BR22" i="27"/>
  <c r="BR16" i="27"/>
  <c r="BS127" i="27"/>
  <c r="P125" i="12" s="1"/>
  <c r="BS138" i="27"/>
  <c r="P136" i="12" s="1"/>
  <c r="BS131" i="27"/>
  <c r="P129" i="12" s="1"/>
  <c r="BS125" i="27"/>
  <c r="P123" i="12" s="1"/>
  <c r="BS119" i="27"/>
  <c r="P117" i="12" s="1"/>
  <c r="BS113" i="27"/>
  <c r="P111" i="12" s="1"/>
  <c r="BS107" i="27"/>
  <c r="P105" i="12" s="1"/>
  <c r="BS101" i="27"/>
  <c r="P99" i="12" s="1"/>
  <c r="BS95" i="27"/>
  <c r="P93" i="12" s="1"/>
  <c r="BS89" i="27"/>
  <c r="P87" i="12" s="1"/>
  <c r="BS83" i="27"/>
  <c r="P81" i="12" s="1"/>
  <c r="BS77" i="27"/>
  <c r="P75" i="12" s="1"/>
  <c r="BS71" i="27"/>
  <c r="P69" i="12" s="1"/>
  <c r="BS65" i="27"/>
  <c r="P63" i="12" s="1"/>
  <c r="BS59" i="27"/>
  <c r="P57" i="12" s="1"/>
  <c r="BS53" i="27"/>
  <c r="P51" i="12" s="1"/>
  <c r="BS47" i="27"/>
  <c r="P45" i="12" s="1"/>
  <c r="BS41" i="27"/>
  <c r="P39" i="12" s="1"/>
  <c r="BS35" i="27"/>
  <c r="P33" i="12" s="1"/>
  <c r="BS29" i="27"/>
  <c r="P27" i="12" s="1"/>
  <c r="BS23" i="27"/>
  <c r="P21" i="12" s="1"/>
  <c r="BS17" i="27"/>
  <c r="P15" i="12" s="1"/>
  <c r="BS11" i="27"/>
  <c r="P9" i="12" s="1"/>
  <c r="BS136" i="27"/>
  <c r="P134" i="12" s="1"/>
  <c r="BS129" i="27"/>
  <c r="P127" i="12" s="1"/>
  <c r="BS123" i="27"/>
  <c r="P121" i="12" s="1"/>
  <c r="BS117" i="27"/>
  <c r="P115" i="12" s="1"/>
  <c r="BS111" i="27"/>
  <c r="P109" i="12" s="1"/>
  <c r="BS105" i="27"/>
  <c r="P103" i="12" s="1"/>
  <c r="BS99" i="27"/>
  <c r="P97" i="12" s="1"/>
  <c r="BS93" i="27"/>
  <c r="P91" i="12" s="1"/>
  <c r="BS87" i="27"/>
  <c r="P85" i="12" s="1"/>
  <c r="BS81" i="27"/>
  <c r="P79" i="12" s="1"/>
  <c r="BS75" i="27"/>
  <c r="P73" i="12" s="1"/>
  <c r="BS69" i="27"/>
  <c r="P67" i="12" s="1"/>
  <c r="BS63" i="27"/>
  <c r="P61" i="12" s="1"/>
  <c r="BS57" i="27"/>
  <c r="P55" i="12" s="1"/>
  <c r="BS51" i="27"/>
  <c r="P49" i="12" s="1"/>
  <c r="BS45" i="27"/>
  <c r="P43" i="12" s="1"/>
  <c r="BS39" i="27"/>
  <c r="P37" i="12" s="1"/>
  <c r="BS33" i="27"/>
  <c r="P31" i="12" s="1"/>
  <c r="BS27" i="27"/>
  <c r="P25" i="12" s="1"/>
  <c r="BS21" i="27"/>
  <c r="P19" i="12" s="1"/>
  <c r="BS15" i="27"/>
  <c r="P13" i="12" s="1"/>
  <c r="BS9" i="27"/>
  <c r="P7" i="12" s="1"/>
  <c r="BS6" i="27"/>
  <c r="BS134" i="27"/>
  <c r="P132" i="12" s="1"/>
  <c r="BS128" i="27"/>
  <c r="P126" i="12" s="1"/>
  <c r="BS122" i="27"/>
  <c r="P120" i="12" s="1"/>
  <c r="BS116" i="27"/>
  <c r="P114" i="12" s="1"/>
  <c r="BS110" i="27"/>
  <c r="P108" i="12" s="1"/>
  <c r="BS104" i="27"/>
  <c r="P102" i="12" s="1"/>
  <c r="BS98" i="27"/>
  <c r="P96" i="12" s="1"/>
  <c r="BS92" i="27"/>
  <c r="P90" i="12" s="1"/>
  <c r="BS86" i="27"/>
  <c r="P84" i="12" s="1"/>
  <c r="BS80" i="27"/>
  <c r="P78" i="12" s="1"/>
  <c r="BS74" i="27"/>
  <c r="P72" i="12" s="1"/>
  <c r="BS68" i="27"/>
  <c r="P66" i="12" s="1"/>
  <c r="BS62" i="27"/>
  <c r="P60" i="12" s="1"/>
  <c r="BS56" i="27"/>
  <c r="P54" i="12" s="1"/>
  <c r="BS50" i="27"/>
  <c r="P48" i="12" s="1"/>
  <c r="BS44" i="27"/>
  <c r="P42" i="12" s="1"/>
  <c r="BS38" i="27"/>
  <c r="P36" i="12" s="1"/>
  <c r="BS32" i="27"/>
  <c r="P30" i="12" s="1"/>
  <c r="BS26" i="27"/>
  <c r="P24" i="12" s="1"/>
  <c r="BS20" i="27"/>
  <c r="P18" i="12" s="1"/>
  <c r="BS14" i="27"/>
  <c r="P12" i="12" s="1"/>
  <c r="BS8" i="27"/>
  <c r="P6" i="12" s="1"/>
  <c r="BS133" i="27"/>
  <c r="P131" i="12" s="1"/>
  <c r="BS121" i="27"/>
  <c r="P119" i="12" s="1"/>
  <c r="BS115" i="27"/>
  <c r="P113" i="12" s="1"/>
  <c r="BS103" i="27"/>
  <c r="P101" i="12" s="1"/>
  <c r="BS97" i="27"/>
  <c r="P95" i="12" s="1"/>
  <c r="BS91" i="27"/>
  <c r="P89" i="12" s="1"/>
  <c r="BS85" i="27"/>
  <c r="P83" i="12" s="1"/>
  <c r="BS79" i="27"/>
  <c r="P77" i="12" s="1"/>
  <c r="BS73" i="27"/>
  <c r="P71" i="12" s="1"/>
  <c r="BS67" i="27"/>
  <c r="P65" i="12" s="1"/>
  <c r="BS61" i="27"/>
  <c r="P59" i="12" s="1"/>
  <c r="BS55" i="27"/>
  <c r="P53" i="12" s="1"/>
  <c r="BS49" i="27"/>
  <c r="P47" i="12" s="1"/>
  <c r="BS43" i="27"/>
  <c r="P41" i="12" s="1"/>
  <c r="BS37" i="27"/>
  <c r="P35" i="12" s="1"/>
  <c r="BS31" i="27"/>
  <c r="P29" i="12" s="1"/>
  <c r="BS25" i="27"/>
  <c r="P23" i="12" s="1"/>
  <c r="BS19" i="27"/>
  <c r="P17" i="12" s="1"/>
  <c r="BS13" i="27"/>
  <c r="P11" i="12" s="1"/>
  <c r="BS7" i="27"/>
  <c r="P5" i="12" s="1"/>
  <c r="BS140" i="27"/>
  <c r="P138" i="12" s="1"/>
  <c r="BS109" i="27"/>
  <c r="P107" i="12" s="1"/>
  <c r="BS139" i="27"/>
  <c r="P137" i="12" s="1"/>
  <c r="BS132" i="27"/>
  <c r="P130" i="12" s="1"/>
  <c r="BS126" i="27"/>
  <c r="P124" i="12" s="1"/>
  <c r="BS120" i="27"/>
  <c r="P118" i="12" s="1"/>
  <c r="BS114" i="27"/>
  <c r="P112" i="12" s="1"/>
  <c r="BS108" i="27"/>
  <c r="P106" i="12" s="1"/>
  <c r="BS102" i="27"/>
  <c r="P100" i="12" s="1"/>
  <c r="BS96" i="27"/>
  <c r="P94" i="12" s="1"/>
  <c r="BS90" i="27"/>
  <c r="P88" i="12" s="1"/>
  <c r="BS84" i="27"/>
  <c r="P82" i="12" s="1"/>
  <c r="BS78" i="27"/>
  <c r="P76" i="12" s="1"/>
  <c r="BS72" i="27"/>
  <c r="P70" i="12" s="1"/>
  <c r="BS66" i="27"/>
  <c r="P64" i="12" s="1"/>
  <c r="BS60" i="27"/>
  <c r="P58" i="12" s="1"/>
  <c r="BS54" i="27"/>
  <c r="P52" i="12" s="1"/>
  <c r="BS48" i="27"/>
  <c r="P46" i="12" s="1"/>
  <c r="BS42" i="27"/>
  <c r="P40" i="12" s="1"/>
  <c r="BS36" i="27"/>
  <c r="P34" i="12" s="1"/>
  <c r="BS30" i="27"/>
  <c r="P28" i="12" s="1"/>
  <c r="BS24" i="27"/>
  <c r="P22" i="12" s="1"/>
  <c r="BS18" i="27"/>
  <c r="P16" i="12" s="1"/>
  <c r="BS12" i="27"/>
  <c r="P10" i="12" s="1"/>
  <c r="F69" i="27"/>
  <c r="E67" i="12" s="1"/>
  <c r="E133" i="27"/>
  <c r="E101" i="27"/>
  <c r="E69" i="27"/>
  <c r="E37" i="27"/>
  <c r="E126" i="27"/>
  <c r="E94" i="27"/>
  <c r="E62" i="27"/>
  <c r="E30" i="27"/>
  <c r="E122" i="27"/>
  <c r="E90" i="27"/>
  <c r="E58" i="27"/>
  <c r="E26" i="27"/>
  <c r="E117" i="27"/>
  <c r="E85" i="27"/>
  <c r="E53" i="27"/>
  <c r="D51" i="12" s="1"/>
  <c r="E21" i="27"/>
  <c r="E110" i="27"/>
  <c r="E78" i="27"/>
  <c r="E46" i="27"/>
  <c r="D44" i="12" s="1"/>
  <c r="E14" i="27"/>
  <c r="CJ4" i="27"/>
  <c r="DB4" i="27"/>
  <c r="CF4" i="27"/>
  <c r="CZ4" i="27"/>
  <c r="DH4" i="27"/>
  <c r="CV4" i="27"/>
  <c r="DE4" i="27"/>
  <c r="CP4" i="27"/>
  <c r="CB4" i="27"/>
  <c r="CX4" i="27"/>
  <c r="CR4" i="27"/>
  <c r="DF4" i="27"/>
  <c r="CL4" i="27"/>
  <c r="DC4" i="27"/>
  <c r="BU10" i="27"/>
  <c r="BU16" i="27"/>
  <c r="BU22" i="27"/>
  <c r="BU28" i="27"/>
  <c r="BU34" i="27"/>
  <c r="BU40" i="27"/>
  <c r="BU46" i="27"/>
  <c r="BU52" i="27"/>
  <c r="BU58" i="27"/>
  <c r="BU64" i="27"/>
  <c r="BU70" i="27"/>
  <c r="BU76" i="27"/>
  <c r="BU82" i="27"/>
  <c r="BU88" i="27"/>
  <c r="BU94" i="27"/>
  <c r="BU100" i="27"/>
  <c r="BU106" i="27"/>
  <c r="BU112" i="27"/>
  <c r="BU118" i="27"/>
  <c r="BU124" i="27"/>
  <c r="BU130" i="27"/>
  <c r="BU136" i="27"/>
  <c r="BU90" i="27"/>
  <c r="BU132" i="27"/>
  <c r="BU67" i="27"/>
  <c r="U65" i="12" s="1"/>
  <c r="BU97" i="27"/>
  <c r="BV97" i="27" s="1"/>
  <c r="BU121" i="27"/>
  <c r="BU11" i="27"/>
  <c r="BU17" i="27"/>
  <c r="BU23" i="27"/>
  <c r="BU29" i="27"/>
  <c r="BU35" i="27"/>
  <c r="BU41" i="27"/>
  <c r="BU47" i="27"/>
  <c r="BU53" i="27"/>
  <c r="BU65" i="27"/>
  <c r="BU71" i="27"/>
  <c r="BU77" i="27"/>
  <c r="BU83" i="27"/>
  <c r="BU89" i="27"/>
  <c r="BU95" i="27"/>
  <c r="BV95" i="27" s="1"/>
  <c r="BU101" i="27"/>
  <c r="U99" i="12" s="1"/>
  <c r="BU107" i="27"/>
  <c r="BU113" i="27"/>
  <c r="BU119" i="27"/>
  <c r="BU125" i="27"/>
  <c r="BU131" i="27"/>
  <c r="BV131" i="27" s="1"/>
  <c r="BU137" i="27"/>
  <c r="BU12" i="27"/>
  <c r="BU18" i="27"/>
  <c r="BU30" i="27"/>
  <c r="BU36" i="27"/>
  <c r="BU48" i="27"/>
  <c r="BU60" i="27"/>
  <c r="BU78" i="27"/>
  <c r="BU96" i="27"/>
  <c r="U94" i="12" s="1"/>
  <c r="BU120" i="27"/>
  <c r="BV120" i="27" s="1"/>
  <c r="BU138" i="27"/>
  <c r="BU49" i="27"/>
  <c r="BU85" i="27"/>
  <c r="BU109" i="27"/>
  <c r="U107" i="12" s="1"/>
  <c r="BU127" i="27"/>
  <c r="BU24" i="27"/>
  <c r="BU66" i="27"/>
  <c r="BV66" i="27" s="1"/>
  <c r="BU108" i="27"/>
  <c r="BU7" i="27"/>
  <c r="BU13" i="27"/>
  <c r="BU19" i="27"/>
  <c r="BU25" i="27"/>
  <c r="BU31" i="27"/>
  <c r="BU37" i="27"/>
  <c r="BU43" i="27"/>
  <c r="BU61" i="27"/>
  <c r="U59" i="12" s="1"/>
  <c r="BU73" i="27"/>
  <c r="BU79" i="27"/>
  <c r="BU103" i="27"/>
  <c r="BU139" i="27"/>
  <c r="BU8" i="27"/>
  <c r="BU14" i="27"/>
  <c r="BU20" i="27"/>
  <c r="BU26" i="27"/>
  <c r="BU32" i="27"/>
  <c r="BU38" i="27"/>
  <c r="BU44" i="27"/>
  <c r="U42" i="12" s="1"/>
  <c r="BU50" i="27"/>
  <c r="BU56" i="27"/>
  <c r="BU62" i="27"/>
  <c r="BU68" i="27"/>
  <c r="BU74" i="27"/>
  <c r="U72" i="12" s="1"/>
  <c r="BU80" i="27"/>
  <c r="BU86" i="27"/>
  <c r="BU92" i="27"/>
  <c r="BV92" i="27" s="1"/>
  <c r="BU98" i="27"/>
  <c r="BU104" i="27"/>
  <c r="BV104" i="27" s="1"/>
  <c r="BU110" i="27"/>
  <c r="BU116" i="27"/>
  <c r="BU122" i="27"/>
  <c r="BU128" i="27"/>
  <c r="BU134" i="27"/>
  <c r="BU9" i="27"/>
  <c r="BU15" i="27"/>
  <c r="BU21" i="27"/>
  <c r="BU27" i="27"/>
  <c r="BU33" i="27"/>
  <c r="BU39" i="27"/>
  <c r="BU45" i="27"/>
  <c r="U43" i="12" s="1"/>
  <c r="BU51" i="27"/>
  <c r="BU57" i="27"/>
  <c r="BU63" i="27"/>
  <c r="BU69" i="27"/>
  <c r="BU75" i="27"/>
  <c r="BU87" i="27"/>
  <c r="BU93" i="27"/>
  <c r="BU99" i="27"/>
  <c r="BU105" i="27"/>
  <c r="BV105" i="27" s="1"/>
  <c r="BU111" i="27"/>
  <c r="U109" i="12" s="1"/>
  <c r="BU117" i="27"/>
  <c r="BU123" i="27"/>
  <c r="BU129" i="27"/>
  <c r="BU135" i="27"/>
  <c r="BU6" i="27"/>
  <c r="BU42" i="27"/>
  <c r="BU54" i="27"/>
  <c r="U52" i="12" s="1"/>
  <c r="BU72" i="27"/>
  <c r="BU84" i="27"/>
  <c r="BU102" i="27"/>
  <c r="BU114" i="27"/>
  <c r="BU126" i="27"/>
  <c r="BU55" i="27"/>
  <c r="BU91" i="27"/>
  <c r="BU115" i="27"/>
  <c r="U113" i="12" s="1"/>
  <c r="BU133" i="27"/>
  <c r="CY4" i="27"/>
  <c r="CD4" i="27"/>
  <c r="DA4" i="27"/>
  <c r="CH4" i="27"/>
  <c r="CW4" i="27"/>
  <c r="BZ4" i="27"/>
  <c r="DD4" i="27"/>
  <c r="CN4" i="27"/>
  <c r="CT4" i="27"/>
  <c r="DG4" i="27"/>
  <c r="AK4" i="27"/>
  <c r="F6" i="27"/>
  <c r="G6" i="27" s="1"/>
  <c r="F37" i="27"/>
  <c r="E35" i="12" s="1"/>
  <c r="Q4" i="27"/>
  <c r="AI4" i="27"/>
  <c r="AE4" i="27"/>
  <c r="E130" i="27"/>
  <c r="E118" i="27"/>
  <c r="E109" i="27"/>
  <c r="E98" i="27"/>
  <c r="E86" i="27"/>
  <c r="E77" i="27"/>
  <c r="E66" i="27"/>
  <c r="D64" i="12" s="1"/>
  <c r="E54" i="27"/>
  <c r="E45" i="27"/>
  <c r="E34" i="27"/>
  <c r="E22" i="27"/>
  <c r="E13" i="27"/>
  <c r="D11" i="12" s="1"/>
  <c r="F105" i="27"/>
  <c r="E103" i="12" s="1"/>
  <c r="F41" i="27"/>
  <c r="E39" i="12" s="1"/>
  <c r="M4" i="27"/>
  <c r="AA4" i="27"/>
  <c r="W4" i="27"/>
  <c r="AC4" i="27"/>
  <c r="AG4" i="27"/>
  <c r="S4" i="27"/>
  <c r="E134" i="27"/>
  <c r="E125" i="27"/>
  <c r="E114" i="27"/>
  <c r="E102" i="27"/>
  <c r="E93" i="27"/>
  <c r="E82" i="27"/>
  <c r="D80" i="12" s="1"/>
  <c r="E70" i="27"/>
  <c r="E61" i="27"/>
  <c r="E50" i="27"/>
  <c r="E38" i="27"/>
  <c r="E29" i="27"/>
  <c r="E18" i="27"/>
  <c r="F138" i="27"/>
  <c r="E136" i="12" s="1"/>
  <c r="F73" i="27"/>
  <c r="E71" i="12" s="1"/>
  <c r="F9" i="27"/>
  <c r="E7" i="12" s="1"/>
  <c r="O4" i="27"/>
  <c r="U4" i="27"/>
  <c r="Y4" i="27"/>
  <c r="F121" i="27"/>
  <c r="E119" i="12" s="1"/>
  <c r="F89" i="27"/>
  <c r="E87" i="12" s="1"/>
  <c r="F57" i="27"/>
  <c r="E55" i="12" s="1"/>
  <c r="F25" i="27"/>
  <c r="E23" i="12" s="1"/>
  <c r="E138" i="27"/>
  <c r="E129" i="27"/>
  <c r="E121" i="27"/>
  <c r="E113" i="27"/>
  <c r="E105" i="27"/>
  <c r="D103" i="12" s="1"/>
  <c r="E97" i="27"/>
  <c r="D95" i="12" s="1"/>
  <c r="E89" i="27"/>
  <c r="E81" i="27"/>
  <c r="E73" i="27"/>
  <c r="E65" i="27"/>
  <c r="E57" i="27"/>
  <c r="E49" i="27"/>
  <c r="E41" i="27"/>
  <c r="E33" i="27"/>
  <c r="E25" i="27"/>
  <c r="E17" i="27"/>
  <c r="E9" i="27"/>
  <c r="F117" i="27"/>
  <c r="E115" i="12" s="1"/>
  <c r="F85" i="27"/>
  <c r="E83" i="12" s="1"/>
  <c r="F53" i="27"/>
  <c r="E51" i="12" s="1"/>
  <c r="F21" i="27"/>
  <c r="E19" i="12" s="1"/>
  <c r="E124" i="27"/>
  <c r="E140" i="27"/>
  <c r="E136" i="27"/>
  <c r="E131" i="27"/>
  <c r="D129" i="12" s="1"/>
  <c r="E127" i="27"/>
  <c r="E123" i="27"/>
  <c r="E119" i="27"/>
  <c r="E115" i="27"/>
  <c r="E111" i="27"/>
  <c r="E107" i="27"/>
  <c r="E103" i="27"/>
  <c r="E99" i="27"/>
  <c r="E95" i="27"/>
  <c r="D93" i="12" s="1"/>
  <c r="E91" i="27"/>
  <c r="E87" i="27"/>
  <c r="E83" i="27"/>
  <c r="E79" i="27"/>
  <c r="E75" i="27"/>
  <c r="E71" i="27"/>
  <c r="E67" i="27"/>
  <c r="E63" i="27"/>
  <c r="D61" i="12" s="1"/>
  <c r="E59" i="27"/>
  <c r="E55" i="27"/>
  <c r="D53" i="12" s="1"/>
  <c r="E51" i="27"/>
  <c r="E47" i="27"/>
  <c r="E43" i="27"/>
  <c r="E39" i="27"/>
  <c r="E35" i="27"/>
  <c r="E31" i="27"/>
  <c r="E27" i="27"/>
  <c r="E23" i="27"/>
  <c r="E19" i="27"/>
  <c r="E15" i="27"/>
  <c r="E11" i="27"/>
  <c r="D9" i="12" s="1"/>
  <c r="E7" i="27"/>
  <c r="F125" i="27"/>
  <c r="E123" i="12" s="1"/>
  <c r="F109" i="27"/>
  <c r="E107" i="12" s="1"/>
  <c r="F93" i="27"/>
  <c r="E91" i="12" s="1"/>
  <c r="F77" i="27"/>
  <c r="E75" i="12" s="1"/>
  <c r="F61" i="27"/>
  <c r="E59" i="12" s="1"/>
  <c r="F45" i="27"/>
  <c r="F29" i="27"/>
  <c r="E27" i="12" s="1"/>
  <c r="F13" i="27"/>
  <c r="E11" i="12" s="1"/>
  <c r="E135" i="27"/>
  <c r="E137" i="27"/>
  <c r="E132" i="27"/>
  <c r="E128" i="27"/>
  <c r="E120" i="27"/>
  <c r="E116" i="27"/>
  <c r="E112" i="27"/>
  <c r="E108" i="27"/>
  <c r="E104" i="27"/>
  <c r="D102" i="12" s="1"/>
  <c r="E100" i="27"/>
  <c r="E96" i="27"/>
  <c r="E92" i="27"/>
  <c r="D90" i="12" s="1"/>
  <c r="E88" i="27"/>
  <c r="E84" i="27"/>
  <c r="E80" i="27"/>
  <c r="D78" i="12" s="1"/>
  <c r="E76" i="27"/>
  <c r="E72" i="27"/>
  <c r="E68" i="27"/>
  <c r="E64" i="27"/>
  <c r="E60" i="27"/>
  <c r="E56" i="27"/>
  <c r="E52" i="27"/>
  <c r="D50" i="12" s="1"/>
  <c r="E48" i="27"/>
  <c r="E44" i="27"/>
  <c r="E40" i="27"/>
  <c r="E36" i="27"/>
  <c r="E32" i="27"/>
  <c r="E28" i="27"/>
  <c r="E24" i="27"/>
  <c r="E20" i="27"/>
  <c r="E16" i="27"/>
  <c r="E12" i="27"/>
  <c r="E8" i="27"/>
  <c r="F129" i="27"/>
  <c r="E127" i="12" s="1"/>
  <c r="F113" i="27"/>
  <c r="E111" i="12" s="1"/>
  <c r="F97" i="27"/>
  <c r="E95" i="12" s="1"/>
  <c r="F81" i="27"/>
  <c r="E79" i="12" s="1"/>
  <c r="F65" i="27"/>
  <c r="E63" i="12" s="1"/>
  <c r="F49" i="27"/>
  <c r="E47" i="12" s="1"/>
  <c r="F33" i="27"/>
  <c r="E31" i="12" s="1"/>
  <c r="F17" i="27"/>
  <c r="E15" i="12" s="1"/>
  <c r="F132" i="27"/>
  <c r="E130" i="12" s="1"/>
  <c r="F124" i="27"/>
  <c r="E122" i="12" s="1"/>
  <c r="F116" i="27"/>
  <c r="E114" i="12" s="1"/>
  <c r="F108" i="27"/>
  <c r="E106" i="12" s="1"/>
  <c r="F100" i="27"/>
  <c r="E98" i="12" s="1"/>
  <c r="F92" i="27"/>
  <c r="E90" i="12" s="1"/>
  <c r="F84" i="27"/>
  <c r="E82" i="12" s="1"/>
  <c r="F76" i="27"/>
  <c r="E74" i="12" s="1"/>
  <c r="F68" i="27"/>
  <c r="E66" i="12" s="1"/>
  <c r="F56" i="27"/>
  <c r="E54" i="12" s="1"/>
  <c r="F44" i="27"/>
  <c r="E42" i="12" s="1"/>
  <c r="F135" i="27"/>
  <c r="E133" i="12" s="1"/>
  <c r="F140" i="27"/>
  <c r="E138" i="12" s="1"/>
  <c r="F136" i="27"/>
  <c r="E134" i="12" s="1"/>
  <c r="F131" i="27"/>
  <c r="E129" i="12" s="1"/>
  <c r="F127" i="27"/>
  <c r="E125" i="12" s="1"/>
  <c r="F123" i="27"/>
  <c r="E121" i="12" s="1"/>
  <c r="F119" i="27"/>
  <c r="E117" i="12" s="1"/>
  <c r="F115" i="27"/>
  <c r="E113" i="12" s="1"/>
  <c r="F111" i="27"/>
  <c r="E109" i="12" s="1"/>
  <c r="F107" i="27"/>
  <c r="E105" i="12" s="1"/>
  <c r="F103" i="27"/>
  <c r="E101" i="12" s="1"/>
  <c r="F99" i="27"/>
  <c r="E97" i="12" s="1"/>
  <c r="F95" i="27"/>
  <c r="E93" i="12" s="1"/>
  <c r="F91" i="27"/>
  <c r="E89" i="12" s="1"/>
  <c r="F87" i="27"/>
  <c r="E85" i="12" s="1"/>
  <c r="F83" i="27"/>
  <c r="E81" i="12" s="1"/>
  <c r="F79" i="27"/>
  <c r="E77" i="12" s="1"/>
  <c r="F75" i="27"/>
  <c r="E73" i="12" s="1"/>
  <c r="F71" i="27"/>
  <c r="E69" i="12" s="1"/>
  <c r="F67" i="27"/>
  <c r="E65" i="12" s="1"/>
  <c r="F63" i="27"/>
  <c r="E61" i="12" s="1"/>
  <c r="F59" i="27"/>
  <c r="E57" i="12" s="1"/>
  <c r="F55" i="27"/>
  <c r="E53" i="12" s="1"/>
  <c r="F51" i="27"/>
  <c r="E49" i="12" s="1"/>
  <c r="F47" i="27"/>
  <c r="E45" i="12" s="1"/>
  <c r="F43" i="27"/>
  <c r="E41" i="12" s="1"/>
  <c r="F39" i="27"/>
  <c r="E37" i="12" s="1"/>
  <c r="F35" i="27"/>
  <c r="E33" i="12" s="1"/>
  <c r="F31" i="27"/>
  <c r="E29" i="12" s="1"/>
  <c r="F27" i="27"/>
  <c r="E25" i="12" s="1"/>
  <c r="F23" i="27"/>
  <c r="E21" i="12" s="1"/>
  <c r="F19" i="27"/>
  <c r="E17" i="12" s="1"/>
  <c r="F15" i="27"/>
  <c r="E13" i="12" s="1"/>
  <c r="F11" i="27"/>
  <c r="E9" i="12" s="1"/>
  <c r="F7" i="27"/>
  <c r="E5" i="12" s="1"/>
  <c r="F137" i="27"/>
  <c r="E135" i="12" s="1"/>
  <c r="F128" i="27"/>
  <c r="E126" i="12" s="1"/>
  <c r="F120" i="27"/>
  <c r="E118" i="12" s="1"/>
  <c r="F112" i="27"/>
  <c r="E110" i="12" s="1"/>
  <c r="F104" i="27"/>
  <c r="E102" i="12" s="1"/>
  <c r="F96" i="27"/>
  <c r="E94" i="12" s="1"/>
  <c r="F88" i="27"/>
  <c r="E86" i="12" s="1"/>
  <c r="F80" i="27"/>
  <c r="E78" i="12" s="1"/>
  <c r="F72" i="27"/>
  <c r="E70" i="12" s="1"/>
  <c r="F64" i="27"/>
  <c r="E62" i="12" s="1"/>
  <c r="F60" i="27"/>
  <c r="E58" i="12" s="1"/>
  <c r="F52" i="27"/>
  <c r="E50" i="12" s="1"/>
  <c r="F48" i="27"/>
  <c r="E46" i="12" s="1"/>
  <c r="F40" i="27"/>
  <c r="E38" i="12" s="1"/>
  <c r="F36" i="27"/>
  <c r="E34" i="12" s="1"/>
  <c r="F32" i="27"/>
  <c r="E30" i="12" s="1"/>
  <c r="F28" i="27"/>
  <c r="E26" i="12" s="1"/>
  <c r="F24" i="27"/>
  <c r="E22" i="12" s="1"/>
  <c r="F20" i="27"/>
  <c r="E18" i="12" s="1"/>
  <c r="F16" i="27"/>
  <c r="E14" i="12" s="1"/>
  <c r="F12" i="27"/>
  <c r="E10" i="12" s="1"/>
  <c r="F8" i="27"/>
  <c r="E6" i="12" s="1"/>
  <c r="F139" i="27"/>
  <c r="E137" i="12" s="1"/>
  <c r="F134" i="27"/>
  <c r="E132" i="12" s="1"/>
  <c r="F130" i="27"/>
  <c r="E128" i="12" s="1"/>
  <c r="F126" i="27"/>
  <c r="E124" i="12" s="1"/>
  <c r="F122" i="27"/>
  <c r="E120" i="12" s="1"/>
  <c r="F118" i="27"/>
  <c r="E116" i="12" s="1"/>
  <c r="F114" i="27"/>
  <c r="E112" i="12" s="1"/>
  <c r="F110" i="27"/>
  <c r="E108" i="12" s="1"/>
  <c r="F106" i="27"/>
  <c r="E104" i="12" s="1"/>
  <c r="F102" i="27"/>
  <c r="E100" i="12" s="1"/>
  <c r="F98" i="27"/>
  <c r="E96" i="12" s="1"/>
  <c r="F94" i="27"/>
  <c r="E92" i="12" s="1"/>
  <c r="F90" i="27"/>
  <c r="E88" i="12" s="1"/>
  <c r="F86" i="27"/>
  <c r="E84" i="12" s="1"/>
  <c r="F82" i="27"/>
  <c r="E80" i="12" s="1"/>
  <c r="F78" i="27"/>
  <c r="E76" i="12" s="1"/>
  <c r="F74" i="27"/>
  <c r="E72" i="12" s="1"/>
  <c r="F70" i="27"/>
  <c r="E68" i="12" s="1"/>
  <c r="F66" i="27"/>
  <c r="E64" i="12" s="1"/>
  <c r="F62" i="27"/>
  <c r="E60" i="12" s="1"/>
  <c r="F58" i="27"/>
  <c r="E56" i="12" s="1"/>
  <c r="F54" i="27"/>
  <c r="E52" i="12" s="1"/>
  <c r="F50" i="27"/>
  <c r="E48" i="12" s="1"/>
  <c r="F46" i="27"/>
  <c r="E44" i="12" s="1"/>
  <c r="F42" i="27"/>
  <c r="E40" i="12" s="1"/>
  <c r="F38" i="27"/>
  <c r="E36" i="12" s="1"/>
  <c r="F34" i="27"/>
  <c r="E32" i="12" s="1"/>
  <c r="F30" i="27"/>
  <c r="E28" i="12" s="1"/>
  <c r="F26" i="27"/>
  <c r="E24" i="12" s="1"/>
  <c r="F22" i="27"/>
  <c r="E20" i="12" s="1"/>
  <c r="F18" i="27"/>
  <c r="E16" i="12" s="1"/>
  <c r="F14" i="27"/>
  <c r="E12" i="12" s="1"/>
  <c r="F10" i="27"/>
  <c r="E8" i="12" s="1"/>
  <c r="D26" i="12" l="1"/>
  <c r="D58" i="12"/>
  <c r="D126" i="12"/>
  <c r="D21" i="12"/>
  <c r="D85" i="12"/>
  <c r="D117" i="12"/>
  <c r="D47" i="12"/>
  <c r="D111" i="12"/>
  <c r="D36" i="12"/>
  <c r="D123" i="12"/>
  <c r="D75" i="12"/>
  <c r="D12" i="12"/>
  <c r="D24" i="12"/>
  <c r="D35" i="12"/>
  <c r="O32" i="12"/>
  <c r="O128" i="12"/>
  <c r="O73" i="12"/>
  <c r="O131" i="12"/>
  <c r="O23" i="12"/>
  <c r="O71" i="12"/>
  <c r="O118" i="12"/>
  <c r="O34" i="12"/>
  <c r="O79" i="12"/>
  <c r="O126" i="12"/>
  <c r="O70" i="12"/>
  <c r="O39" i="12"/>
  <c r="O43" i="12"/>
  <c r="O137" i="12"/>
  <c r="O134" i="12"/>
  <c r="O15" i="12"/>
  <c r="D30" i="12"/>
  <c r="D62" i="12"/>
  <c r="D94" i="12"/>
  <c r="D130" i="12"/>
  <c r="D25" i="12"/>
  <c r="D57" i="12"/>
  <c r="D89" i="12"/>
  <c r="D121" i="12"/>
  <c r="D55" i="12"/>
  <c r="D119" i="12"/>
  <c r="D48" i="12"/>
  <c r="D132" i="12"/>
  <c r="D84" i="12"/>
  <c r="D56" i="12"/>
  <c r="D67" i="12"/>
  <c r="O38" i="12"/>
  <c r="O86" i="12"/>
  <c r="O135" i="12"/>
  <c r="O21" i="12"/>
  <c r="O81" i="12"/>
  <c r="O31" i="12"/>
  <c r="O77" i="12"/>
  <c r="O123" i="12"/>
  <c r="O40" i="12"/>
  <c r="O85" i="12"/>
  <c r="O132" i="12"/>
  <c r="O82" i="12"/>
  <c r="O49" i="12"/>
  <c r="O55" i="12"/>
  <c r="O121" i="12"/>
  <c r="D34" i="12"/>
  <c r="D66" i="12"/>
  <c r="D98" i="12"/>
  <c r="D135" i="12"/>
  <c r="D29" i="12"/>
  <c r="D125" i="12"/>
  <c r="D63" i="12"/>
  <c r="D127" i="12"/>
  <c r="D59" i="12"/>
  <c r="D96" i="12"/>
  <c r="D76" i="12"/>
  <c r="D88" i="12"/>
  <c r="D99" i="12"/>
  <c r="O92" i="12"/>
  <c r="O133" i="12"/>
  <c r="O29" i="12"/>
  <c r="O88" i="12"/>
  <c r="O36" i="12"/>
  <c r="O83" i="12"/>
  <c r="O46" i="12"/>
  <c r="O91" i="12"/>
  <c r="O138" i="12"/>
  <c r="O72" i="12"/>
  <c r="O67" i="12"/>
  <c r="O96" i="12"/>
  <c r="O8" i="12"/>
  <c r="O28" i="12"/>
  <c r="D6" i="12"/>
  <c r="D38" i="12"/>
  <c r="D70" i="12"/>
  <c r="D133" i="12"/>
  <c r="D33" i="12"/>
  <c r="D65" i="12"/>
  <c r="D97" i="12"/>
  <c r="D7" i="12"/>
  <c r="D71" i="12"/>
  <c r="D136" i="12"/>
  <c r="D68" i="12"/>
  <c r="D20" i="12"/>
  <c r="D107" i="12"/>
  <c r="D108" i="12"/>
  <c r="D120" i="12"/>
  <c r="D131" i="12"/>
  <c r="O98" i="12"/>
  <c r="O6" i="12"/>
  <c r="O37" i="12"/>
  <c r="O42" i="12"/>
  <c r="O89" i="12"/>
  <c r="O136" i="12"/>
  <c r="O97" i="12"/>
  <c r="O7" i="12"/>
  <c r="O105" i="12"/>
  <c r="O84" i="12"/>
  <c r="O130" i="12"/>
  <c r="O76" i="12"/>
  <c r="D10" i="12"/>
  <c r="D42" i="12"/>
  <c r="D74" i="12"/>
  <c r="D106" i="12"/>
  <c r="D5" i="12"/>
  <c r="D37" i="12"/>
  <c r="D69" i="12"/>
  <c r="D101" i="12"/>
  <c r="D134" i="12"/>
  <c r="D15" i="12"/>
  <c r="D79" i="12"/>
  <c r="D32" i="12"/>
  <c r="D116" i="12"/>
  <c r="D19" i="12"/>
  <c r="D28" i="12"/>
  <c r="O56" i="12"/>
  <c r="O104" i="12"/>
  <c r="O12" i="12"/>
  <c r="O45" i="12"/>
  <c r="O48" i="12"/>
  <c r="O94" i="12"/>
  <c r="O5" i="12"/>
  <c r="O57" i="12"/>
  <c r="O22" i="12"/>
  <c r="O115" i="12"/>
  <c r="O107" i="12"/>
  <c r="D72" i="12"/>
  <c r="D137" i="12"/>
  <c r="O99" i="12"/>
  <c r="D14" i="12"/>
  <c r="D46" i="12"/>
  <c r="D110" i="12"/>
  <c r="D41" i="12"/>
  <c r="D73" i="12"/>
  <c r="D105" i="12"/>
  <c r="D138" i="12"/>
  <c r="D23" i="12"/>
  <c r="D87" i="12"/>
  <c r="D91" i="12"/>
  <c r="D43" i="12"/>
  <c r="D128" i="12"/>
  <c r="D60" i="12"/>
  <c r="O14" i="12"/>
  <c r="O62" i="12"/>
  <c r="O110" i="12"/>
  <c r="O18" i="12"/>
  <c r="O52" i="12"/>
  <c r="O109" i="12"/>
  <c r="O54" i="12"/>
  <c r="O100" i="12"/>
  <c r="O13" i="12"/>
  <c r="O63" i="12"/>
  <c r="O108" i="12"/>
  <c r="O35" i="12"/>
  <c r="O127" i="12"/>
  <c r="O119" i="12"/>
  <c r="O101" i="12"/>
  <c r="D8" i="12"/>
  <c r="D18" i="12"/>
  <c r="D82" i="12"/>
  <c r="D114" i="12"/>
  <c r="J43" i="31"/>
  <c r="E43" i="12"/>
  <c r="D13" i="12"/>
  <c r="D45" i="12"/>
  <c r="D77" i="12"/>
  <c r="D109" i="12"/>
  <c r="D122" i="12"/>
  <c r="D31" i="12"/>
  <c r="D16" i="12"/>
  <c r="D100" i="12"/>
  <c r="D52" i="12"/>
  <c r="D83" i="12"/>
  <c r="D92" i="12"/>
  <c r="O20" i="12"/>
  <c r="O68" i="12"/>
  <c r="O116" i="12"/>
  <c r="O24" i="12"/>
  <c r="O59" i="12"/>
  <c r="O117" i="12"/>
  <c r="O60" i="12"/>
  <c r="O106" i="12"/>
  <c r="O19" i="12"/>
  <c r="O69" i="12"/>
  <c r="O114" i="12"/>
  <c r="O47" i="12"/>
  <c r="O10" i="12"/>
  <c r="O17" i="12"/>
  <c r="O113" i="12"/>
  <c r="O41" i="12"/>
  <c r="D40" i="12"/>
  <c r="D22" i="12"/>
  <c r="D54" i="12"/>
  <c r="D86" i="12"/>
  <c r="D118" i="12"/>
  <c r="D17" i="12"/>
  <c r="D49" i="12"/>
  <c r="D81" i="12"/>
  <c r="D113" i="12"/>
  <c r="D39" i="12"/>
  <c r="D27" i="12"/>
  <c r="D112" i="12"/>
  <c r="D115" i="12"/>
  <c r="D124" i="12"/>
  <c r="O26" i="12"/>
  <c r="O74" i="12"/>
  <c r="O122" i="12"/>
  <c r="O30" i="12"/>
  <c r="O66" i="12"/>
  <c r="O124" i="12"/>
  <c r="O16" i="12"/>
  <c r="O65" i="12"/>
  <c r="O112" i="12"/>
  <c r="O27" i="12"/>
  <c r="O75" i="12"/>
  <c r="O120" i="12"/>
  <c r="O58" i="12"/>
  <c r="O25" i="12"/>
  <c r="O33" i="12"/>
  <c r="O125" i="12"/>
  <c r="O87" i="12"/>
  <c r="D104" i="12"/>
  <c r="O111" i="12"/>
  <c r="J43" i="30"/>
  <c r="J107" i="30"/>
  <c r="J107" i="31"/>
  <c r="J94" i="31"/>
  <c r="D50" i="31"/>
  <c r="E50" i="31"/>
  <c r="E50" i="30"/>
  <c r="D50" i="30"/>
  <c r="M122" i="31"/>
  <c r="D122" i="31"/>
  <c r="E122" i="31"/>
  <c r="D122" i="30"/>
  <c r="E122" i="30"/>
  <c r="M120" i="31"/>
  <c r="D120" i="31"/>
  <c r="E120" i="31"/>
  <c r="D120" i="30"/>
  <c r="E120" i="30"/>
  <c r="M128" i="31"/>
  <c r="D128" i="31"/>
  <c r="E128" i="31"/>
  <c r="D128" i="30"/>
  <c r="E128" i="30"/>
  <c r="M70" i="31"/>
  <c r="D70" i="31"/>
  <c r="E70" i="31"/>
  <c r="D70" i="30"/>
  <c r="E70" i="30"/>
  <c r="D65" i="31"/>
  <c r="E65" i="31"/>
  <c r="M65" i="31"/>
  <c r="D65" i="30"/>
  <c r="E65" i="30"/>
  <c r="M82" i="31"/>
  <c r="D82" i="31"/>
  <c r="E82" i="31"/>
  <c r="D82" i="30"/>
  <c r="E82" i="30"/>
  <c r="D11" i="31"/>
  <c r="E11" i="31"/>
  <c r="D11" i="30"/>
  <c r="E11" i="30"/>
  <c r="M23" i="31"/>
  <c r="D23" i="31"/>
  <c r="E23" i="31"/>
  <c r="D23" i="30"/>
  <c r="E23" i="30"/>
  <c r="D71" i="31"/>
  <c r="E71" i="31"/>
  <c r="M71" i="31"/>
  <c r="E71" i="30"/>
  <c r="D71" i="30"/>
  <c r="M67" i="31"/>
  <c r="D67" i="31"/>
  <c r="E67" i="31"/>
  <c r="E67" i="30"/>
  <c r="D67" i="30"/>
  <c r="O52" i="31"/>
  <c r="P52" i="31"/>
  <c r="X52" i="31"/>
  <c r="O52" i="30"/>
  <c r="P52" i="30"/>
  <c r="X100" i="31"/>
  <c r="O100" i="31"/>
  <c r="P100" i="31"/>
  <c r="O100" i="30"/>
  <c r="P100" i="30"/>
  <c r="O138" i="31"/>
  <c r="P138" i="31"/>
  <c r="X138" i="31"/>
  <c r="O138" i="30"/>
  <c r="P138" i="30"/>
  <c r="O47" i="31"/>
  <c r="P47" i="31"/>
  <c r="X47" i="31"/>
  <c r="O47" i="30"/>
  <c r="P47" i="30"/>
  <c r="O95" i="31"/>
  <c r="P95" i="31"/>
  <c r="O95" i="30"/>
  <c r="P95" i="30"/>
  <c r="O24" i="31"/>
  <c r="P24" i="31"/>
  <c r="X24" i="31"/>
  <c r="O24" i="30"/>
  <c r="P24" i="30"/>
  <c r="X72" i="31"/>
  <c r="O72" i="31"/>
  <c r="P72" i="31"/>
  <c r="O72" i="30"/>
  <c r="P72" i="30"/>
  <c r="O120" i="31"/>
  <c r="P120" i="31"/>
  <c r="X120" i="31"/>
  <c r="O120" i="30"/>
  <c r="P120" i="30"/>
  <c r="P31" i="31"/>
  <c r="X31" i="31"/>
  <c r="O31" i="31"/>
  <c r="P31" i="30"/>
  <c r="O31" i="30"/>
  <c r="X79" i="31"/>
  <c r="O79" i="31"/>
  <c r="P79" i="31"/>
  <c r="U79" i="31"/>
  <c r="O79" i="30"/>
  <c r="P79" i="30"/>
  <c r="U79" i="30"/>
  <c r="J79" i="30"/>
  <c r="O127" i="31"/>
  <c r="P127" i="31"/>
  <c r="X127" i="31"/>
  <c r="P127" i="30"/>
  <c r="O127" i="30"/>
  <c r="O45" i="31"/>
  <c r="P45" i="31"/>
  <c r="X45" i="31"/>
  <c r="O45" i="30"/>
  <c r="P45" i="30"/>
  <c r="O93" i="31"/>
  <c r="P93" i="31"/>
  <c r="O93" i="30"/>
  <c r="P93" i="30"/>
  <c r="O125" i="31"/>
  <c r="P125" i="31"/>
  <c r="X125" i="31"/>
  <c r="O125" i="30"/>
  <c r="P125" i="30"/>
  <c r="O20" i="31"/>
  <c r="P20" i="31"/>
  <c r="X20" i="31"/>
  <c r="O20" i="30"/>
  <c r="P20" i="30"/>
  <c r="O135" i="31"/>
  <c r="P135" i="31"/>
  <c r="X135" i="31"/>
  <c r="O135" i="30"/>
  <c r="P135" i="30"/>
  <c r="O80" i="31"/>
  <c r="P80" i="31"/>
  <c r="O80" i="30"/>
  <c r="P80" i="30"/>
  <c r="BW105" i="27"/>
  <c r="D14" i="31"/>
  <c r="E14" i="31"/>
  <c r="M14" i="31"/>
  <c r="E14" i="30"/>
  <c r="D14" i="30"/>
  <c r="M117" i="31"/>
  <c r="D117" i="31"/>
  <c r="E117" i="31"/>
  <c r="D117" i="30"/>
  <c r="E117" i="30"/>
  <c r="M56" i="31"/>
  <c r="D56" i="31"/>
  <c r="E56" i="31"/>
  <c r="D56" i="30"/>
  <c r="E56" i="30"/>
  <c r="D32" i="31"/>
  <c r="E32" i="31"/>
  <c r="M32" i="31"/>
  <c r="D32" i="30"/>
  <c r="E32" i="30"/>
  <c r="D96" i="31"/>
  <c r="E96" i="31"/>
  <c r="M96" i="31"/>
  <c r="D96" i="30"/>
  <c r="E96" i="30"/>
  <c r="D135" i="31"/>
  <c r="E135" i="31"/>
  <c r="M135" i="31"/>
  <c r="E135" i="30"/>
  <c r="D135" i="30"/>
  <c r="D129" i="31"/>
  <c r="E129" i="31"/>
  <c r="D129" i="30"/>
  <c r="E129" i="30"/>
  <c r="E36" i="31"/>
  <c r="M36" i="31"/>
  <c r="D36" i="31"/>
  <c r="D36" i="30"/>
  <c r="E36" i="30"/>
  <c r="D100" i="31"/>
  <c r="E100" i="31"/>
  <c r="M100" i="31"/>
  <c r="D100" i="30"/>
  <c r="E100" i="30"/>
  <c r="D132" i="31"/>
  <c r="E132" i="31"/>
  <c r="M132" i="31"/>
  <c r="D132" i="30"/>
  <c r="E132" i="30"/>
  <c r="D30" i="31"/>
  <c r="E30" i="31"/>
  <c r="M30" i="31"/>
  <c r="D30" i="30"/>
  <c r="E30" i="30"/>
  <c r="D78" i="31"/>
  <c r="E78" i="31"/>
  <c r="D78" i="30"/>
  <c r="E78" i="30"/>
  <c r="E5" i="31"/>
  <c r="M5" i="31"/>
  <c r="D5" i="31"/>
  <c r="D5" i="30"/>
  <c r="E5" i="30"/>
  <c r="M37" i="31"/>
  <c r="D37" i="31"/>
  <c r="E37" i="31"/>
  <c r="D37" i="30"/>
  <c r="E37" i="30"/>
  <c r="E69" i="31"/>
  <c r="M69" i="31"/>
  <c r="D69" i="31"/>
  <c r="D69" i="30"/>
  <c r="E69" i="30"/>
  <c r="M101" i="31"/>
  <c r="D101" i="31"/>
  <c r="E101" i="31"/>
  <c r="E101" i="30"/>
  <c r="D101" i="30"/>
  <c r="M134" i="31"/>
  <c r="D134" i="31"/>
  <c r="E134" i="31"/>
  <c r="D134" i="30"/>
  <c r="E134" i="30"/>
  <c r="D90" i="31"/>
  <c r="E90" i="31"/>
  <c r="E90" i="30"/>
  <c r="D90" i="30"/>
  <c r="D47" i="31"/>
  <c r="E47" i="31"/>
  <c r="M47" i="31"/>
  <c r="D47" i="30"/>
  <c r="E47" i="30"/>
  <c r="D27" i="31"/>
  <c r="E27" i="31"/>
  <c r="M27" i="31"/>
  <c r="D27" i="30"/>
  <c r="E27" i="30"/>
  <c r="D55" i="31"/>
  <c r="E55" i="31"/>
  <c r="M55" i="31"/>
  <c r="E55" i="30"/>
  <c r="D55" i="30"/>
  <c r="M136" i="31"/>
  <c r="D136" i="31"/>
  <c r="E136" i="31"/>
  <c r="D136" i="30"/>
  <c r="E136" i="30"/>
  <c r="U107" i="31"/>
  <c r="U107" i="30"/>
  <c r="O10" i="31"/>
  <c r="P10" i="31"/>
  <c r="X10" i="31"/>
  <c r="O10" i="30"/>
  <c r="P10" i="30"/>
  <c r="P58" i="31"/>
  <c r="X58" i="31"/>
  <c r="O58" i="31"/>
  <c r="O58" i="30"/>
  <c r="P58" i="30"/>
  <c r="O106" i="31"/>
  <c r="P106" i="31"/>
  <c r="X106" i="31"/>
  <c r="O106" i="30"/>
  <c r="P106" i="30"/>
  <c r="O5" i="31"/>
  <c r="P5" i="31"/>
  <c r="X5" i="31"/>
  <c r="O5" i="30"/>
  <c r="P5" i="30"/>
  <c r="O53" i="31"/>
  <c r="P53" i="31"/>
  <c r="O53" i="30"/>
  <c r="P53" i="30"/>
  <c r="O101" i="31"/>
  <c r="P101" i="31"/>
  <c r="X101" i="31"/>
  <c r="O101" i="30"/>
  <c r="P101" i="30"/>
  <c r="O30" i="31"/>
  <c r="P30" i="31"/>
  <c r="X30" i="31"/>
  <c r="P30" i="30"/>
  <c r="O30" i="30"/>
  <c r="P78" i="31"/>
  <c r="O78" i="31"/>
  <c r="O78" i="30"/>
  <c r="P78" i="30"/>
  <c r="O126" i="31"/>
  <c r="P126" i="31"/>
  <c r="X126" i="31"/>
  <c r="O126" i="30"/>
  <c r="P126" i="30"/>
  <c r="P37" i="31"/>
  <c r="X37" i="31"/>
  <c r="O37" i="31"/>
  <c r="O37" i="30"/>
  <c r="P37" i="30"/>
  <c r="O85" i="31"/>
  <c r="P85" i="31"/>
  <c r="X85" i="31"/>
  <c r="O85" i="30"/>
  <c r="P85" i="30"/>
  <c r="O134" i="31"/>
  <c r="X134" i="31"/>
  <c r="P134" i="31"/>
  <c r="O134" i="30"/>
  <c r="P134" i="30"/>
  <c r="O51" i="31"/>
  <c r="P51" i="31"/>
  <c r="O51" i="30"/>
  <c r="P51" i="30"/>
  <c r="O99" i="31"/>
  <c r="P99" i="31"/>
  <c r="X99" i="31"/>
  <c r="P99" i="30"/>
  <c r="O99" i="30"/>
  <c r="X56" i="31"/>
  <c r="O56" i="31"/>
  <c r="P56" i="31"/>
  <c r="O56" i="30"/>
  <c r="P56" i="30"/>
  <c r="O32" i="31"/>
  <c r="P32" i="31"/>
  <c r="X32" i="31"/>
  <c r="O32" i="30"/>
  <c r="P32" i="30"/>
  <c r="O38" i="31"/>
  <c r="P38" i="31"/>
  <c r="X38" i="31"/>
  <c r="O38" i="30"/>
  <c r="P38" i="30"/>
  <c r="O110" i="31"/>
  <c r="P110" i="31"/>
  <c r="X110" i="31"/>
  <c r="O110" i="30"/>
  <c r="P110" i="30"/>
  <c r="D116" i="31"/>
  <c r="E116" i="31"/>
  <c r="M116" i="31"/>
  <c r="D116" i="30"/>
  <c r="E116" i="30"/>
  <c r="M85" i="31"/>
  <c r="D85" i="31"/>
  <c r="E85" i="31"/>
  <c r="E85" i="30"/>
  <c r="D85" i="30"/>
  <c r="D24" i="31"/>
  <c r="E24" i="31"/>
  <c r="M24" i="31"/>
  <c r="D24" i="30"/>
  <c r="E24" i="30"/>
  <c r="D58" i="31"/>
  <c r="E58" i="31"/>
  <c r="M58" i="31"/>
  <c r="D58" i="30"/>
  <c r="E58" i="30"/>
  <c r="D64" i="31"/>
  <c r="E64" i="31"/>
  <c r="D64" i="30"/>
  <c r="E64" i="30"/>
  <c r="M26" i="31"/>
  <c r="D26" i="31"/>
  <c r="E26" i="31"/>
  <c r="E26" i="30"/>
  <c r="D26" i="30"/>
  <c r="D33" i="31"/>
  <c r="E33" i="31"/>
  <c r="M33" i="31"/>
  <c r="E33" i="30"/>
  <c r="D33" i="30"/>
  <c r="D97" i="31"/>
  <c r="E97" i="31"/>
  <c r="M97" i="31"/>
  <c r="D97" i="30"/>
  <c r="E97" i="30"/>
  <c r="M31" i="31"/>
  <c r="D31" i="31"/>
  <c r="E31" i="31"/>
  <c r="D31" i="30"/>
  <c r="E31" i="30"/>
  <c r="D68" i="31"/>
  <c r="E68" i="31"/>
  <c r="M68" i="31"/>
  <c r="D68" i="30"/>
  <c r="E68" i="30"/>
  <c r="E8" i="31"/>
  <c r="M8" i="31"/>
  <c r="D8" i="31"/>
  <c r="D8" i="30"/>
  <c r="E8" i="30"/>
  <c r="D40" i="31"/>
  <c r="E40" i="31"/>
  <c r="M40" i="31"/>
  <c r="D40" i="30"/>
  <c r="E40" i="30"/>
  <c r="M72" i="31"/>
  <c r="D72" i="31"/>
  <c r="E72" i="31"/>
  <c r="D72" i="30"/>
  <c r="E72" i="30"/>
  <c r="D104" i="31"/>
  <c r="E104" i="31"/>
  <c r="M104" i="31"/>
  <c r="D104" i="30"/>
  <c r="E104" i="30"/>
  <c r="D137" i="31"/>
  <c r="E137" i="31"/>
  <c r="M137" i="31"/>
  <c r="D137" i="30"/>
  <c r="E137" i="30"/>
  <c r="M34" i="31"/>
  <c r="D34" i="31"/>
  <c r="E34" i="31"/>
  <c r="D34" i="30"/>
  <c r="E34" i="30"/>
  <c r="D86" i="31"/>
  <c r="E86" i="31"/>
  <c r="M86" i="31"/>
  <c r="D86" i="30"/>
  <c r="E86" i="30"/>
  <c r="D9" i="31"/>
  <c r="E9" i="31"/>
  <c r="D9" i="30"/>
  <c r="E9" i="30"/>
  <c r="D41" i="31"/>
  <c r="E41" i="31"/>
  <c r="M41" i="31"/>
  <c r="D41" i="30"/>
  <c r="E41" i="30"/>
  <c r="M73" i="31"/>
  <c r="D73" i="31"/>
  <c r="E73" i="31"/>
  <c r="D73" i="30"/>
  <c r="E73" i="30"/>
  <c r="M105" i="31"/>
  <c r="D105" i="31"/>
  <c r="E105" i="31"/>
  <c r="D105" i="30"/>
  <c r="E105" i="30"/>
  <c r="D138" i="31"/>
  <c r="E138" i="31"/>
  <c r="M138" i="31"/>
  <c r="D138" i="30"/>
  <c r="E138" i="30"/>
  <c r="M98" i="31"/>
  <c r="D98" i="31"/>
  <c r="E98" i="31"/>
  <c r="D98" i="30"/>
  <c r="E98" i="30"/>
  <c r="M63" i="31"/>
  <c r="D63" i="31"/>
  <c r="E63" i="31"/>
  <c r="D63" i="30"/>
  <c r="E63" i="30"/>
  <c r="M43" i="31"/>
  <c r="D43" i="31"/>
  <c r="E43" i="31"/>
  <c r="D43" i="30"/>
  <c r="E43" i="30"/>
  <c r="E87" i="31"/>
  <c r="M87" i="31"/>
  <c r="D87" i="31"/>
  <c r="D87" i="30"/>
  <c r="E87" i="30"/>
  <c r="U109" i="31"/>
  <c r="U109" i="30"/>
  <c r="U42" i="31"/>
  <c r="U42" i="30"/>
  <c r="O16" i="31"/>
  <c r="P16" i="31"/>
  <c r="X16" i="31"/>
  <c r="O16" i="30"/>
  <c r="P16" i="30"/>
  <c r="O64" i="31"/>
  <c r="P64" i="31"/>
  <c r="O64" i="30"/>
  <c r="P64" i="30"/>
  <c r="O112" i="31"/>
  <c r="P112" i="31"/>
  <c r="X112" i="31"/>
  <c r="O112" i="30"/>
  <c r="P112" i="30"/>
  <c r="O11" i="31"/>
  <c r="P11" i="31"/>
  <c r="O11" i="30"/>
  <c r="P11" i="30"/>
  <c r="O59" i="31"/>
  <c r="P59" i="31"/>
  <c r="X59" i="31"/>
  <c r="O59" i="30"/>
  <c r="P59" i="30"/>
  <c r="P113" i="31"/>
  <c r="X113" i="31"/>
  <c r="O113" i="31"/>
  <c r="O113" i="30"/>
  <c r="P113" i="30"/>
  <c r="O36" i="31"/>
  <c r="P36" i="31"/>
  <c r="X36" i="31"/>
  <c r="O36" i="30"/>
  <c r="P36" i="30"/>
  <c r="O84" i="31"/>
  <c r="P84" i="31"/>
  <c r="X84" i="31"/>
  <c r="P84" i="30"/>
  <c r="O84" i="30"/>
  <c r="O132" i="31"/>
  <c r="P132" i="31"/>
  <c r="X132" i="31"/>
  <c r="O132" i="30"/>
  <c r="P132" i="30"/>
  <c r="O43" i="31"/>
  <c r="P43" i="31"/>
  <c r="X43" i="31"/>
  <c r="O43" i="30"/>
  <c r="P43" i="30"/>
  <c r="O91" i="31"/>
  <c r="P91" i="31"/>
  <c r="X91" i="31"/>
  <c r="O91" i="30"/>
  <c r="P91" i="30"/>
  <c r="O9" i="31"/>
  <c r="P9" i="31"/>
  <c r="O9" i="30"/>
  <c r="P9" i="30"/>
  <c r="O57" i="31"/>
  <c r="P57" i="31"/>
  <c r="U57" i="31"/>
  <c r="X57" i="31"/>
  <c r="U57" i="30"/>
  <c r="O57" i="30"/>
  <c r="P57" i="30"/>
  <c r="J57" i="30"/>
  <c r="X105" i="31"/>
  <c r="O105" i="31"/>
  <c r="P105" i="31"/>
  <c r="O105" i="30"/>
  <c r="P105" i="30"/>
  <c r="X92" i="31"/>
  <c r="O92" i="31"/>
  <c r="P92" i="31"/>
  <c r="P92" i="30"/>
  <c r="O92" i="30"/>
  <c r="X68" i="31"/>
  <c r="O68" i="31"/>
  <c r="P68" i="31"/>
  <c r="O68" i="30"/>
  <c r="P68" i="30"/>
  <c r="J72" i="30"/>
  <c r="E12" i="31"/>
  <c r="M12" i="31"/>
  <c r="D12" i="31"/>
  <c r="D12" i="30"/>
  <c r="E12" i="30"/>
  <c r="D76" i="31"/>
  <c r="E76" i="31"/>
  <c r="M76" i="31"/>
  <c r="D76" i="30"/>
  <c r="E76" i="30"/>
  <c r="M6" i="31"/>
  <c r="D6" i="31"/>
  <c r="E6" i="31"/>
  <c r="D6" i="30"/>
  <c r="E6" i="30"/>
  <c r="M94" i="31"/>
  <c r="D94" i="31"/>
  <c r="E94" i="31"/>
  <c r="D94" i="30"/>
  <c r="E94" i="30"/>
  <c r="M13" i="31"/>
  <c r="D13" i="31"/>
  <c r="E13" i="31"/>
  <c r="D13" i="30"/>
  <c r="E13" i="30"/>
  <c r="D45" i="31"/>
  <c r="E45" i="31"/>
  <c r="M45" i="31"/>
  <c r="D45" i="30"/>
  <c r="E45" i="30"/>
  <c r="M109" i="31"/>
  <c r="D109" i="31"/>
  <c r="E109" i="31"/>
  <c r="D109" i="30"/>
  <c r="E109" i="30"/>
  <c r="D106" i="31"/>
  <c r="E106" i="31"/>
  <c r="M106" i="31"/>
  <c r="D106" i="30"/>
  <c r="E106" i="30"/>
  <c r="M59" i="31"/>
  <c r="D59" i="31"/>
  <c r="E59" i="31"/>
  <c r="D59" i="30"/>
  <c r="E59" i="30"/>
  <c r="D19" i="31"/>
  <c r="E19" i="31"/>
  <c r="M19" i="31"/>
  <c r="D19" i="30"/>
  <c r="E19" i="30"/>
  <c r="J105" i="27"/>
  <c r="E119" i="31"/>
  <c r="M119" i="31"/>
  <c r="D119" i="31"/>
  <c r="D119" i="30"/>
  <c r="E119" i="30"/>
  <c r="J66" i="27"/>
  <c r="U113" i="31"/>
  <c r="U113" i="30"/>
  <c r="U52" i="31"/>
  <c r="U52" i="30"/>
  <c r="O22" i="31"/>
  <c r="P22" i="31"/>
  <c r="X22" i="31"/>
  <c r="O22" i="30"/>
  <c r="P22" i="30"/>
  <c r="X70" i="31"/>
  <c r="O70" i="31"/>
  <c r="P70" i="31"/>
  <c r="O70" i="30"/>
  <c r="P70" i="30"/>
  <c r="O118" i="31"/>
  <c r="P118" i="31"/>
  <c r="X118" i="31"/>
  <c r="O118" i="30"/>
  <c r="P118" i="30"/>
  <c r="P17" i="31"/>
  <c r="X17" i="31"/>
  <c r="O17" i="31"/>
  <c r="O17" i="30"/>
  <c r="P17" i="30"/>
  <c r="O65" i="31"/>
  <c r="P65" i="31"/>
  <c r="X65" i="31"/>
  <c r="O65" i="30"/>
  <c r="P65" i="30"/>
  <c r="O119" i="31"/>
  <c r="P119" i="31"/>
  <c r="X119" i="31"/>
  <c r="O119" i="30"/>
  <c r="P119" i="30"/>
  <c r="O42" i="31"/>
  <c r="P42" i="31"/>
  <c r="X42" i="31"/>
  <c r="O42" i="30"/>
  <c r="P42" i="30"/>
  <c r="O90" i="31"/>
  <c r="P90" i="31"/>
  <c r="O90" i="30"/>
  <c r="P90" i="30"/>
  <c r="O49" i="31"/>
  <c r="P49" i="31"/>
  <c r="X49" i="31"/>
  <c r="O49" i="30"/>
  <c r="P49" i="30"/>
  <c r="P97" i="31"/>
  <c r="X97" i="31"/>
  <c r="O97" i="31"/>
  <c r="O97" i="30"/>
  <c r="P97" i="30"/>
  <c r="P15" i="31"/>
  <c r="X15" i="31"/>
  <c r="O15" i="31"/>
  <c r="O15" i="30"/>
  <c r="P15" i="30"/>
  <c r="X63" i="31"/>
  <c r="O63" i="31"/>
  <c r="P63" i="31"/>
  <c r="P63" i="30"/>
  <c r="O63" i="30"/>
  <c r="P111" i="31"/>
  <c r="X111" i="31"/>
  <c r="O111" i="31"/>
  <c r="O111" i="30"/>
  <c r="P111" i="30"/>
  <c r="O128" i="31"/>
  <c r="P128" i="31"/>
  <c r="X128" i="31"/>
  <c r="O128" i="30"/>
  <c r="P128" i="30"/>
  <c r="O104" i="31"/>
  <c r="P104" i="31"/>
  <c r="X104" i="31"/>
  <c r="O104" i="30"/>
  <c r="P104" i="30"/>
  <c r="J113" i="30"/>
  <c r="J72" i="31"/>
  <c r="J42" i="30"/>
  <c r="E20" i="31"/>
  <c r="M20" i="31"/>
  <c r="D20" i="31"/>
  <c r="D20" i="30"/>
  <c r="E20" i="30"/>
  <c r="D44" i="31"/>
  <c r="E44" i="31"/>
  <c r="D44" i="30"/>
  <c r="E44" i="30"/>
  <c r="M108" i="31"/>
  <c r="D108" i="31"/>
  <c r="E108" i="31"/>
  <c r="D108" i="30"/>
  <c r="E108" i="30"/>
  <c r="D38" i="31"/>
  <c r="E38" i="31"/>
  <c r="M38" i="31"/>
  <c r="D38" i="30"/>
  <c r="E38" i="30"/>
  <c r="D77" i="31"/>
  <c r="E77" i="31"/>
  <c r="M77" i="31"/>
  <c r="D77" i="30"/>
  <c r="E77" i="30"/>
  <c r="E133" i="31"/>
  <c r="M133" i="31"/>
  <c r="D133" i="31"/>
  <c r="D133" i="30"/>
  <c r="E133" i="30"/>
  <c r="M79" i="31"/>
  <c r="D79" i="31"/>
  <c r="E79" i="31"/>
  <c r="J79" i="31"/>
  <c r="D79" i="30"/>
  <c r="E79" i="30"/>
  <c r="D16" i="31"/>
  <c r="E16" i="31"/>
  <c r="M16" i="31"/>
  <c r="D16" i="30"/>
  <c r="E16" i="30"/>
  <c r="E48" i="31"/>
  <c r="M48" i="31"/>
  <c r="D48" i="31"/>
  <c r="D48" i="30"/>
  <c r="E48" i="30"/>
  <c r="D80" i="31"/>
  <c r="E80" i="31"/>
  <c r="D80" i="30"/>
  <c r="E80" i="30"/>
  <c r="D112" i="31"/>
  <c r="E112" i="31"/>
  <c r="M112" i="31"/>
  <c r="D112" i="30"/>
  <c r="E112" i="30"/>
  <c r="D10" i="31"/>
  <c r="E10" i="31"/>
  <c r="M10" i="31"/>
  <c r="D10" i="30"/>
  <c r="E10" i="30"/>
  <c r="M46" i="31"/>
  <c r="D46" i="31"/>
  <c r="E46" i="31"/>
  <c r="D46" i="30"/>
  <c r="E46" i="30"/>
  <c r="D102" i="31"/>
  <c r="E102" i="31"/>
  <c r="D102" i="30"/>
  <c r="E102" i="30"/>
  <c r="D17" i="31"/>
  <c r="E17" i="31"/>
  <c r="M17" i="31"/>
  <c r="D17" i="30"/>
  <c r="E17" i="30"/>
  <c r="M49" i="31"/>
  <c r="D49" i="31"/>
  <c r="E49" i="31"/>
  <c r="D49" i="30"/>
  <c r="E49" i="30"/>
  <c r="D81" i="31"/>
  <c r="E81" i="31"/>
  <c r="M81" i="31"/>
  <c r="D81" i="30"/>
  <c r="E81" i="30"/>
  <c r="D113" i="31"/>
  <c r="E113" i="31"/>
  <c r="M113" i="31"/>
  <c r="D113" i="30"/>
  <c r="E113" i="30"/>
  <c r="M42" i="31"/>
  <c r="D42" i="31"/>
  <c r="E42" i="31"/>
  <c r="D42" i="30"/>
  <c r="E42" i="30"/>
  <c r="M114" i="31"/>
  <c r="D114" i="31"/>
  <c r="E114" i="31"/>
  <c r="D114" i="30"/>
  <c r="E114" i="30"/>
  <c r="D95" i="31"/>
  <c r="E95" i="31"/>
  <c r="D95" i="30"/>
  <c r="E95" i="30"/>
  <c r="M75" i="31"/>
  <c r="D75" i="31"/>
  <c r="E75" i="31"/>
  <c r="E75" i="30"/>
  <c r="D75" i="30"/>
  <c r="D51" i="31"/>
  <c r="E51" i="31"/>
  <c r="D51" i="30"/>
  <c r="E51" i="30"/>
  <c r="M39" i="31"/>
  <c r="D39" i="31"/>
  <c r="E39" i="31"/>
  <c r="D39" i="30"/>
  <c r="E39" i="30"/>
  <c r="U43" i="31"/>
  <c r="U43" i="30"/>
  <c r="U99" i="31"/>
  <c r="U99" i="30"/>
  <c r="O28" i="31"/>
  <c r="P28" i="31"/>
  <c r="X28" i="31"/>
  <c r="O28" i="30"/>
  <c r="P28" i="30"/>
  <c r="P76" i="31"/>
  <c r="X76" i="31"/>
  <c r="O76" i="31"/>
  <c r="O76" i="30"/>
  <c r="P76" i="30"/>
  <c r="O124" i="31"/>
  <c r="P124" i="31"/>
  <c r="X124" i="31"/>
  <c r="O124" i="30"/>
  <c r="P124" i="30"/>
  <c r="P23" i="31"/>
  <c r="X23" i="31"/>
  <c r="O23" i="31"/>
  <c r="O23" i="30"/>
  <c r="P23" i="30"/>
  <c r="O71" i="31"/>
  <c r="P71" i="31"/>
  <c r="X71" i="31"/>
  <c r="O71" i="30"/>
  <c r="P71" i="30"/>
  <c r="O131" i="31"/>
  <c r="P131" i="31"/>
  <c r="X131" i="31"/>
  <c r="O131" i="30"/>
  <c r="P131" i="30"/>
  <c r="P48" i="31"/>
  <c r="X48" i="31"/>
  <c r="O48" i="31"/>
  <c r="O48" i="30"/>
  <c r="P48" i="30"/>
  <c r="O96" i="31"/>
  <c r="P96" i="31"/>
  <c r="X96" i="31"/>
  <c r="O96" i="30"/>
  <c r="P96" i="30"/>
  <c r="O7" i="31"/>
  <c r="P7" i="31"/>
  <c r="X7" i="31"/>
  <c r="P7" i="30"/>
  <c r="O7" i="30"/>
  <c r="O55" i="31"/>
  <c r="P55" i="31"/>
  <c r="X55" i="31"/>
  <c r="O55" i="30"/>
  <c r="P55" i="30"/>
  <c r="O103" i="31"/>
  <c r="P103" i="31"/>
  <c r="O103" i="30"/>
  <c r="P103" i="30"/>
  <c r="P21" i="31"/>
  <c r="X21" i="31"/>
  <c r="O21" i="31"/>
  <c r="P21" i="30"/>
  <c r="O21" i="30"/>
  <c r="O69" i="31"/>
  <c r="P69" i="31"/>
  <c r="X69" i="31"/>
  <c r="O69" i="30"/>
  <c r="P69" i="30"/>
  <c r="O117" i="31"/>
  <c r="P117" i="31"/>
  <c r="X117" i="31"/>
  <c r="O117" i="30"/>
  <c r="P117" i="30"/>
  <c r="O14" i="31"/>
  <c r="P14" i="31"/>
  <c r="X14" i="31"/>
  <c r="O14" i="30"/>
  <c r="P14" i="30"/>
  <c r="O44" i="31"/>
  <c r="P44" i="31"/>
  <c r="P44" i="30"/>
  <c r="O44" i="30"/>
  <c r="J113" i="31"/>
  <c r="J42" i="31"/>
  <c r="E52" i="31"/>
  <c r="M52" i="31"/>
  <c r="D52" i="31"/>
  <c r="D52" i="30"/>
  <c r="E52" i="30"/>
  <c r="M21" i="31"/>
  <c r="D21" i="31"/>
  <c r="E21" i="31"/>
  <c r="D21" i="30"/>
  <c r="E21" i="30"/>
  <c r="M111" i="31"/>
  <c r="D111" i="31"/>
  <c r="E111" i="31"/>
  <c r="E111" i="30"/>
  <c r="D111" i="30"/>
  <c r="M91" i="31"/>
  <c r="D91" i="31"/>
  <c r="E91" i="31"/>
  <c r="E91" i="30"/>
  <c r="D91" i="30"/>
  <c r="D83" i="31"/>
  <c r="E83" i="31"/>
  <c r="M83" i="31"/>
  <c r="D83" i="30"/>
  <c r="E83" i="30"/>
  <c r="D103" i="31"/>
  <c r="E103" i="31"/>
  <c r="D103" i="30"/>
  <c r="E103" i="30"/>
  <c r="D35" i="31"/>
  <c r="E35" i="31"/>
  <c r="M35" i="31"/>
  <c r="D35" i="30"/>
  <c r="E35" i="30"/>
  <c r="U72" i="31"/>
  <c r="U72" i="30"/>
  <c r="U59" i="31"/>
  <c r="U59" i="30"/>
  <c r="U65" i="31"/>
  <c r="U65" i="30"/>
  <c r="O34" i="31"/>
  <c r="P34" i="31"/>
  <c r="X34" i="31"/>
  <c r="O34" i="30"/>
  <c r="P34" i="30"/>
  <c r="O82" i="31"/>
  <c r="P82" i="31"/>
  <c r="X82" i="31"/>
  <c r="O82" i="30"/>
  <c r="P82" i="30"/>
  <c r="X130" i="31"/>
  <c r="O130" i="31"/>
  <c r="P130" i="31"/>
  <c r="P130" i="30"/>
  <c r="O130" i="30"/>
  <c r="P29" i="31"/>
  <c r="X29" i="31"/>
  <c r="O29" i="31"/>
  <c r="P29" i="30"/>
  <c r="O29" i="30"/>
  <c r="O77" i="31"/>
  <c r="P77" i="31"/>
  <c r="X77" i="31"/>
  <c r="P77" i="30"/>
  <c r="O77" i="30"/>
  <c r="X6" i="31"/>
  <c r="O6" i="31"/>
  <c r="P6" i="31"/>
  <c r="O6" i="30"/>
  <c r="P6" i="30"/>
  <c r="X54" i="31"/>
  <c r="O54" i="31"/>
  <c r="P54" i="31"/>
  <c r="O54" i="30"/>
  <c r="P54" i="30"/>
  <c r="O102" i="31"/>
  <c r="P102" i="31"/>
  <c r="P102" i="30"/>
  <c r="O102" i="30"/>
  <c r="P13" i="31"/>
  <c r="X13" i="31"/>
  <c r="O13" i="31"/>
  <c r="O13" i="30"/>
  <c r="P13" i="30"/>
  <c r="O61" i="31"/>
  <c r="P61" i="31"/>
  <c r="O61" i="30"/>
  <c r="P61" i="30"/>
  <c r="X109" i="31"/>
  <c r="O109" i="31"/>
  <c r="P109" i="31"/>
  <c r="O109" i="30"/>
  <c r="P109" i="30"/>
  <c r="P27" i="31"/>
  <c r="X27" i="31"/>
  <c r="O27" i="31"/>
  <c r="O27" i="30"/>
  <c r="P27" i="30"/>
  <c r="O75" i="31"/>
  <c r="P75" i="31"/>
  <c r="X75" i="31"/>
  <c r="O75" i="30"/>
  <c r="P75" i="30"/>
  <c r="O123" i="31"/>
  <c r="P123" i="31"/>
  <c r="X123" i="31"/>
  <c r="O123" i="30"/>
  <c r="P123" i="30"/>
  <c r="P50" i="31"/>
  <c r="O50" i="31"/>
  <c r="O50" i="30"/>
  <c r="P50" i="30"/>
  <c r="O26" i="31"/>
  <c r="P26" i="31"/>
  <c r="X26" i="31"/>
  <c r="O26" i="30"/>
  <c r="P26" i="30"/>
  <c r="O116" i="31"/>
  <c r="P116" i="31"/>
  <c r="X116" i="31"/>
  <c r="O116" i="30"/>
  <c r="P116" i="30"/>
  <c r="J109" i="30"/>
  <c r="J59" i="30"/>
  <c r="D84" i="31"/>
  <c r="E84" i="31"/>
  <c r="M84" i="31"/>
  <c r="D84" i="30"/>
  <c r="E84" i="30"/>
  <c r="D53" i="31"/>
  <c r="E53" i="31"/>
  <c r="D53" i="30"/>
  <c r="E53" i="30"/>
  <c r="M18" i="31"/>
  <c r="D18" i="31"/>
  <c r="E18" i="31"/>
  <c r="E18" i="30"/>
  <c r="D18" i="30"/>
  <c r="D89" i="31"/>
  <c r="E89" i="31"/>
  <c r="M89" i="31"/>
  <c r="D89" i="30"/>
  <c r="E89" i="30"/>
  <c r="D121" i="31"/>
  <c r="E121" i="31"/>
  <c r="M121" i="31"/>
  <c r="D121" i="30"/>
  <c r="E121" i="30"/>
  <c r="E66" i="31"/>
  <c r="M66" i="31"/>
  <c r="D66" i="31"/>
  <c r="D66" i="30"/>
  <c r="E66" i="30"/>
  <c r="D130" i="31"/>
  <c r="E130" i="31"/>
  <c r="M130" i="31"/>
  <c r="D130" i="30"/>
  <c r="E130" i="30"/>
  <c r="E127" i="31"/>
  <c r="M127" i="31"/>
  <c r="D127" i="31"/>
  <c r="D127" i="30"/>
  <c r="E127" i="30"/>
  <c r="D107" i="31"/>
  <c r="E107" i="31"/>
  <c r="M107" i="31"/>
  <c r="D107" i="30"/>
  <c r="E107" i="30"/>
  <c r="D115" i="31"/>
  <c r="E115" i="31"/>
  <c r="M115" i="31"/>
  <c r="E115" i="30"/>
  <c r="D115" i="30"/>
  <c r="U94" i="31"/>
  <c r="U94" i="30"/>
  <c r="O40" i="31"/>
  <c r="P40" i="31"/>
  <c r="X40" i="31"/>
  <c r="O40" i="30"/>
  <c r="P40" i="30"/>
  <c r="O88" i="31"/>
  <c r="P88" i="31"/>
  <c r="X88" i="31"/>
  <c r="O88" i="30"/>
  <c r="P88" i="30"/>
  <c r="P137" i="31"/>
  <c r="X137" i="31"/>
  <c r="O137" i="31"/>
  <c r="O137" i="30"/>
  <c r="P137" i="30"/>
  <c r="P35" i="31"/>
  <c r="X35" i="31"/>
  <c r="O35" i="31"/>
  <c r="O35" i="30"/>
  <c r="P35" i="30"/>
  <c r="O83" i="31"/>
  <c r="P83" i="31"/>
  <c r="X83" i="31"/>
  <c r="O83" i="30"/>
  <c r="P83" i="30"/>
  <c r="O12" i="31"/>
  <c r="P12" i="31"/>
  <c r="X12" i="31"/>
  <c r="O12" i="30"/>
  <c r="P12" i="30"/>
  <c r="O60" i="31"/>
  <c r="P60" i="31"/>
  <c r="X60" i="31"/>
  <c r="O60" i="30"/>
  <c r="P60" i="30"/>
  <c r="O108" i="31"/>
  <c r="P108" i="31"/>
  <c r="X108" i="31"/>
  <c r="O108" i="30"/>
  <c r="P108" i="30"/>
  <c r="P19" i="31"/>
  <c r="X19" i="31"/>
  <c r="O19" i="31"/>
  <c r="O19" i="30"/>
  <c r="P19" i="30"/>
  <c r="O67" i="31"/>
  <c r="P67" i="31"/>
  <c r="X67" i="31"/>
  <c r="O67" i="30"/>
  <c r="P67" i="30"/>
  <c r="O115" i="31"/>
  <c r="P115" i="31"/>
  <c r="X115" i="31"/>
  <c r="O115" i="30"/>
  <c r="P115" i="30"/>
  <c r="P33" i="31"/>
  <c r="X33" i="31"/>
  <c r="O33" i="31"/>
  <c r="P33" i="30"/>
  <c r="O33" i="30"/>
  <c r="O81" i="31"/>
  <c r="P81" i="31"/>
  <c r="X81" i="31"/>
  <c r="O81" i="30"/>
  <c r="P81" i="30"/>
  <c r="O129" i="31"/>
  <c r="P129" i="31"/>
  <c r="O129" i="30"/>
  <c r="P129" i="30"/>
  <c r="O86" i="31"/>
  <c r="P86" i="31"/>
  <c r="X86" i="31"/>
  <c r="O86" i="30"/>
  <c r="P86" i="30"/>
  <c r="O62" i="31"/>
  <c r="P62" i="31"/>
  <c r="X62" i="31"/>
  <c r="O62" i="30"/>
  <c r="P62" i="30"/>
  <c r="P74" i="31"/>
  <c r="X74" i="31"/>
  <c r="O74" i="31"/>
  <c r="O74" i="30"/>
  <c r="P74" i="30"/>
  <c r="J109" i="31"/>
  <c r="J99" i="30"/>
  <c r="J52" i="30"/>
  <c r="J59" i="31"/>
  <c r="J65" i="30"/>
  <c r="D110" i="31"/>
  <c r="E110" i="31"/>
  <c r="M110" i="31"/>
  <c r="D110" i="30"/>
  <c r="E110" i="30"/>
  <c r="M54" i="31"/>
  <c r="D54" i="31"/>
  <c r="E54" i="31"/>
  <c r="D54" i="30"/>
  <c r="E54" i="30"/>
  <c r="M88" i="31"/>
  <c r="D88" i="31"/>
  <c r="E88" i="31"/>
  <c r="D88" i="30"/>
  <c r="E88" i="30"/>
  <c r="D118" i="31"/>
  <c r="E118" i="31"/>
  <c r="M118" i="31"/>
  <c r="D118" i="30"/>
  <c r="E118" i="30"/>
  <c r="D25" i="31"/>
  <c r="E25" i="31"/>
  <c r="M25" i="31"/>
  <c r="D25" i="30"/>
  <c r="E25" i="30"/>
  <c r="M57" i="31"/>
  <c r="D57" i="31"/>
  <c r="E57" i="31"/>
  <c r="J57" i="31"/>
  <c r="D57" i="30"/>
  <c r="E57" i="30"/>
  <c r="E28" i="31"/>
  <c r="M28" i="31"/>
  <c r="D28" i="31"/>
  <c r="D28" i="30"/>
  <c r="E28" i="30"/>
  <c r="M60" i="31"/>
  <c r="D60" i="31"/>
  <c r="E60" i="31"/>
  <c r="D60" i="30"/>
  <c r="E60" i="30"/>
  <c r="D92" i="31"/>
  <c r="E92" i="31"/>
  <c r="M92" i="31"/>
  <c r="D92" i="30"/>
  <c r="E92" i="30"/>
  <c r="D124" i="31"/>
  <c r="E124" i="31"/>
  <c r="M124" i="31"/>
  <c r="D124" i="30"/>
  <c r="E124" i="30"/>
  <c r="D22" i="31"/>
  <c r="E22" i="31"/>
  <c r="M22" i="31"/>
  <c r="D22" i="30"/>
  <c r="E22" i="30"/>
  <c r="D62" i="31"/>
  <c r="E62" i="31"/>
  <c r="M62" i="31"/>
  <c r="E62" i="30"/>
  <c r="D62" i="30"/>
  <c r="D126" i="31"/>
  <c r="E126" i="31"/>
  <c r="M126" i="31"/>
  <c r="E126" i="30"/>
  <c r="D126" i="30"/>
  <c r="M29" i="31"/>
  <c r="D29" i="31"/>
  <c r="E29" i="31"/>
  <c r="E29" i="30"/>
  <c r="D29" i="30"/>
  <c r="D61" i="31"/>
  <c r="E61" i="31"/>
  <c r="E61" i="30"/>
  <c r="D61" i="30"/>
  <c r="E93" i="31"/>
  <c r="D93" i="31"/>
  <c r="D93" i="30"/>
  <c r="E93" i="30"/>
  <c r="M125" i="31"/>
  <c r="D125" i="31"/>
  <c r="E125" i="31"/>
  <c r="D125" i="30"/>
  <c r="E125" i="30"/>
  <c r="D74" i="31"/>
  <c r="E74" i="31"/>
  <c r="M74" i="31"/>
  <c r="D74" i="30"/>
  <c r="E74" i="30"/>
  <c r="M15" i="31"/>
  <c r="D15" i="31"/>
  <c r="E15" i="31"/>
  <c r="D15" i="30"/>
  <c r="E15" i="30"/>
  <c r="D123" i="31"/>
  <c r="E123" i="31"/>
  <c r="M123" i="31"/>
  <c r="D123" i="30"/>
  <c r="E123" i="30"/>
  <c r="D7" i="31"/>
  <c r="E7" i="31"/>
  <c r="M7" i="31"/>
  <c r="D7" i="30"/>
  <c r="E7" i="30"/>
  <c r="P46" i="31"/>
  <c r="X46" i="31"/>
  <c r="O46" i="31"/>
  <c r="O46" i="30"/>
  <c r="P46" i="30"/>
  <c r="O94" i="31"/>
  <c r="P94" i="31"/>
  <c r="X94" i="31"/>
  <c r="O94" i="30"/>
  <c r="P94" i="30"/>
  <c r="X107" i="31"/>
  <c r="O107" i="31"/>
  <c r="P107" i="31"/>
  <c r="O107" i="30"/>
  <c r="P107" i="30"/>
  <c r="P41" i="31"/>
  <c r="X41" i="31"/>
  <c r="O41" i="31"/>
  <c r="O41" i="30"/>
  <c r="P41" i="30"/>
  <c r="O89" i="31"/>
  <c r="P89" i="31"/>
  <c r="X89" i="31"/>
  <c r="O89" i="30"/>
  <c r="P89" i="30"/>
  <c r="O18" i="31"/>
  <c r="P18" i="31"/>
  <c r="X18" i="31"/>
  <c r="O18" i="30"/>
  <c r="P18" i="30"/>
  <c r="X66" i="31"/>
  <c r="O66" i="31"/>
  <c r="P66" i="31"/>
  <c r="O66" i="30"/>
  <c r="P66" i="30"/>
  <c r="O114" i="31"/>
  <c r="P114" i="31"/>
  <c r="X114" i="31"/>
  <c r="P114" i="30"/>
  <c r="O114" i="30"/>
  <c r="P25" i="31"/>
  <c r="X25" i="31"/>
  <c r="O25" i="31"/>
  <c r="O25" i="30"/>
  <c r="P25" i="30"/>
  <c r="O73" i="31"/>
  <c r="P73" i="31"/>
  <c r="X73" i="31"/>
  <c r="O73" i="30"/>
  <c r="P73" i="30"/>
  <c r="O121" i="31"/>
  <c r="P121" i="31"/>
  <c r="X121" i="31"/>
  <c r="O121" i="30"/>
  <c r="P121" i="30"/>
  <c r="P39" i="31"/>
  <c r="X39" i="31"/>
  <c r="O39" i="31"/>
  <c r="O39" i="30"/>
  <c r="P39" i="30"/>
  <c r="O87" i="31"/>
  <c r="P87" i="31"/>
  <c r="X87" i="31"/>
  <c r="O87" i="30"/>
  <c r="P87" i="30"/>
  <c r="O136" i="31"/>
  <c r="P136" i="31"/>
  <c r="X136" i="31"/>
  <c r="O136" i="30"/>
  <c r="P136" i="30"/>
  <c r="O122" i="31"/>
  <c r="P122" i="31"/>
  <c r="X122" i="31"/>
  <c r="O122" i="30"/>
  <c r="P122" i="30"/>
  <c r="O98" i="31"/>
  <c r="P98" i="31"/>
  <c r="X98" i="31"/>
  <c r="O98" i="30"/>
  <c r="P98" i="30"/>
  <c r="P8" i="31"/>
  <c r="X8" i="31"/>
  <c r="O8" i="31"/>
  <c r="O8" i="30"/>
  <c r="P8" i="30"/>
  <c r="M99" i="31"/>
  <c r="D99" i="31"/>
  <c r="E99" i="31"/>
  <c r="D99" i="30"/>
  <c r="E99" i="30"/>
  <c r="J99" i="31"/>
  <c r="J52" i="31"/>
  <c r="J94" i="30"/>
  <c r="J65" i="31"/>
  <c r="BW66" i="27"/>
  <c r="DJ4" i="27"/>
  <c r="DJ135" i="27" s="1"/>
  <c r="CX21" i="27" a="1"/>
  <c r="CX21" i="27" s="1"/>
  <c r="CX45" i="27" a="1"/>
  <c r="CX45" i="27" s="1"/>
  <c r="CX8" i="27" a="1"/>
  <c r="CX8" i="27" s="1"/>
  <c r="CX24" i="27" a="1"/>
  <c r="CX24" i="27" s="1"/>
  <c r="CX28" i="27" a="1"/>
  <c r="CX28" i="27" s="1"/>
  <c r="CX6" i="27" a="1"/>
  <c r="CX6" i="27" s="1"/>
  <c r="CX20" i="27" a="1"/>
  <c r="CX20" i="27" s="1"/>
  <c r="CX27" i="27" a="1"/>
  <c r="CX27" i="27" s="1"/>
  <c r="CX41" i="27" a="1"/>
  <c r="CX41" i="27" s="1"/>
  <c r="CX42" i="27" a="1"/>
  <c r="CX42" i="27" s="1"/>
  <c r="CX7" i="27" a="1"/>
  <c r="CX7" i="27" s="1"/>
  <c r="CX19" i="27" a="1"/>
  <c r="CX19" i="27" s="1"/>
  <c r="CX39" i="27" a="1"/>
  <c r="CX39" i="27" s="1"/>
  <c r="CX40" i="27" a="1"/>
  <c r="CX40" i="27" s="1"/>
  <c r="CX14" i="27" a="1"/>
  <c r="CX14" i="27" s="1"/>
  <c r="CX18" i="27" a="1"/>
  <c r="CX18" i="27" s="1"/>
  <c r="CX23" i="27" a="1"/>
  <c r="CX23" i="27" s="1"/>
  <c r="CX26" i="27" a="1"/>
  <c r="CX26" i="27" s="1"/>
  <c r="CX30" i="27" a="1"/>
  <c r="CX30" i="27" s="1"/>
  <c r="CX50" i="27" a="1"/>
  <c r="CX50" i="27" s="1"/>
  <c r="CX12" i="27" a="1"/>
  <c r="CX12" i="27" s="1"/>
  <c r="CX15" i="27" a="1"/>
  <c r="CX15" i="27" s="1"/>
  <c r="CX16" i="27" a="1"/>
  <c r="CX16" i="27" s="1"/>
  <c r="CX33" i="27" a="1"/>
  <c r="CX33" i="27" s="1"/>
  <c r="CX34" i="27" a="1"/>
  <c r="CX34" i="27" s="1"/>
  <c r="CX35" i="27" a="1"/>
  <c r="CX35" i="27" s="1"/>
  <c r="CX37" i="27" a="1"/>
  <c r="CX37" i="27" s="1"/>
  <c r="CX38" i="27" a="1"/>
  <c r="CX38" i="27" s="1"/>
  <c r="CX51" i="27" a="1"/>
  <c r="CX51" i="27" s="1"/>
  <c r="CX9" i="27" a="1"/>
  <c r="CX9" i="27" s="1"/>
  <c r="CX22" i="27" a="1"/>
  <c r="CX22" i="27" s="1"/>
  <c r="CX29" i="27" a="1"/>
  <c r="CX29" i="27" s="1"/>
  <c r="CX32" i="27" a="1"/>
  <c r="CX32" i="27" s="1"/>
  <c r="CX46" i="27" a="1"/>
  <c r="CX46" i="27" s="1"/>
  <c r="CX11" i="27" a="1"/>
  <c r="CX11" i="27" s="1"/>
  <c r="CX47" i="27" a="1"/>
  <c r="CX47" i="27" s="1"/>
  <c r="CX57" i="27" a="1"/>
  <c r="CX57" i="27" s="1"/>
  <c r="CX75" i="27" a="1"/>
  <c r="CX75" i="27" s="1"/>
  <c r="CX76" i="27" a="1"/>
  <c r="CX76" i="27" s="1"/>
  <c r="CX25" i="27" a="1"/>
  <c r="CX25" i="27" s="1"/>
  <c r="CX43" i="27" a="1"/>
  <c r="CX43" i="27" s="1"/>
  <c r="CX55" i="27" a="1"/>
  <c r="CX55" i="27" s="1"/>
  <c r="CX56" i="27" a="1"/>
  <c r="CX56" i="27" s="1"/>
  <c r="CX63" i="27" a="1"/>
  <c r="CX63" i="27" s="1"/>
  <c r="CX77" i="27" a="1"/>
  <c r="CX77" i="27" s="1"/>
  <c r="CX78" i="27" a="1"/>
  <c r="CX78" i="27" s="1"/>
  <c r="CX79" i="27" a="1"/>
  <c r="CX79" i="27" s="1"/>
  <c r="CX54" i="27" a="1"/>
  <c r="CX54" i="27" s="1"/>
  <c r="CX64" i="27" a="1"/>
  <c r="CX64" i="27" s="1"/>
  <c r="CX65" i="27" a="1"/>
  <c r="CX65" i="27" s="1"/>
  <c r="CX68" i="27" a="1"/>
  <c r="CX68" i="27" s="1"/>
  <c r="CX13" i="27" a="1"/>
  <c r="CX13" i="27" s="1"/>
  <c r="CX17" i="27" a="1"/>
  <c r="CX17" i="27" s="1"/>
  <c r="CX49" i="27" a="1"/>
  <c r="CX49" i="27" s="1"/>
  <c r="CX62" i="27" a="1"/>
  <c r="CX62" i="27" s="1"/>
  <c r="CX66" i="27" a="1"/>
  <c r="CX66" i="27" s="1"/>
  <c r="CX67" i="27" a="1"/>
  <c r="CX67" i="27" s="1"/>
  <c r="CX69" i="27" a="1"/>
  <c r="CX69" i="27" s="1"/>
  <c r="CX71" i="27" a="1"/>
  <c r="CX71" i="27" s="1"/>
  <c r="CX83" i="27" a="1"/>
  <c r="CX83" i="27" s="1"/>
  <c r="CX31" i="27" a="1"/>
  <c r="CX31" i="27" s="1"/>
  <c r="CX60" i="27" a="1"/>
  <c r="CX60" i="27" s="1"/>
  <c r="CX61" i="27" a="1"/>
  <c r="CX61" i="27" s="1"/>
  <c r="CX70" i="27" a="1"/>
  <c r="CX70" i="27" s="1"/>
  <c r="CX81" i="27" a="1"/>
  <c r="CX81" i="27" s="1"/>
  <c r="CX82" i="27" a="1"/>
  <c r="CX82" i="27" s="1"/>
  <c r="CX10" i="27" a="1"/>
  <c r="CX10" i="27" s="1"/>
  <c r="CX48" i="27" a="1"/>
  <c r="CX48" i="27" s="1"/>
  <c r="CX52" i="27" a="1"/>
  <c r="CX52" i="27" s="1"/>
  <c r="CX72" i="27" a="1"/>
  <c r="CX72" i="27" s="1"/>
  <c r="CX73" i="27" a="1"/>
  <c r="CX73" i="27" s="1"/>
  <c r="CX85" i="27" a="1"/>
  <c r="CX85" i="27" s="1"/>
  <c r="CX87" i="27" a="1"/>
  <c r="CX87" i="27" s="1"/>
  <c r="CX89" i="27" a="1"/>
  <c r="CX89" i="27" s="1"/>
  <c r="CX110" i="27" a="1"/>
  <c r="CX110" i="27" s="1"/>
  <c r="CX118" i="27" a="1"/>
  <c r="CX118" i="27" s="1"/>
  <c r="CX111" i="27" a="1"/>
  <c r="CX111" i="27" s="1"/>
  <c r="CX53" i="27" a="1"/>
  <c r="CX53" i="27" s="1"/>
  <c r="CX99" i="27" a="1"/>
  <c r="CX99" i="27" s="1"/>
  <c r="CX117" i="27" a="1"/>
  <c r="CX117" i="27" s="1"/>
  <c r="CX127" i="27" a="1"/>
  <c r="CX127" i="27" s="1"/>
  <c r="CX131" i="27" a="1"/>
  <c r="CX131" i="27" s="1"/>
  <c r="CX135" i="27" a="1"/>
  <c r="CX135" i="27" s="1"/>
  <c r="CX44" i="27" a="1"/>
  <c r="CX44" i="27" s="1"/>
  <c r="CX58" i="27" a="1"/>
  <c r="CX58" i="27" s="1"/>
  <c r="CX74" i="27" a="1"/>
  <c r="CX74" i="27" s="1"/>
  <c r="CX102" i="27" a="1"/>
  <c r="CX102" i="27" s="1"/>
  <c r="CX105" i="27" a="1"/>
  <c r="CX105" i="27" s="1"/>
  <c r="CX107" i="27" a="1"/>
  <c r="CX107" i="27" s="1"/>
  <c r="CX115" i="27" a="1"/>
  <c r="CX115" i="27" s="1"/>
  <c r="CX116" i="27" a="1"/>
  <c r="CX116" i="27" s="1"/>
  <c r="CX119" i="27" a="1"/>
  <c r="CX119" i="27" s="1"/>
  <c r="CX139" i="27" a="1"/>
  <c r="CX139" i="27" s="1"/>
  <c r="CX140" i="27" a="1"/>
  <c r="CX140" i="27" s="1"/>
  <c r="CX136" i="27" a="1"/>
  <c r="CX136" i="27" s="1"/>
  <c r="CX138" i="27" a="1"/>
  <c r="CX138" i="27" s="1"/>
  <c r="CX101" i="27" a="1"/>
  <c r="CX101" i="27" s="1"/>
  <c r="CX109" i="27" a="1"/>
  <c r="CX109" i="27" s="1"/>
  <c r="CX113" i="27" a="1"/>
  <c r="CX113" i="27" s="1"/>
  <c r="CX120" i="27" a="1"/>
  <c r="CX120" i="27" s="1"/>
  <c r="CX121" i="27" a="1"/>
  <c r="CX121" i="27" s="1"/>
  <c r="CX128" i="27" a="1"/>
  <c r="CX128" i="27" s="1"/>
  <c r="CX132" i="27" a="1"/>
  <c r="CX132" i="27" s="1"/>
  <c r="CX100" i="27" a="1"/>
  <c r="CX100" i="27" s="1"/>
  <c r="CX59" i="27" a="1"/>
  <c r="CX59" i="27" s="1"/>
  <c r="CX114" i="27" a="1"/>
  <c r="CX114" i="27" s="1"/>
  <c r="CX129" i="27" a="1"/>
  <c r="CX129" i="27" s="1"/>
  <c r="CX133" i="27" a="1"/>
  <c r="CX133" i="27" s="1"/>
  <c r="CX137" i="27" a="1"/>
  <c r="CX137" i="27" s="1"/>
  <c r="CX80" i="27" a="1"/>
  <c r="CX80" i="27" s="1"/>
  <c r="CX93" i="27" a="1"/>
  <c r="CX93" i="27" s="1"/>
  <c r="CX94" i="27" a="1"/>
  <c r="CX94" i="27" s="1"/>
  <c r="CX95" i="27" a="1"/>
  <c r="CX95" i="27" s="1"/>
  <c r="CX96" i="27" a="1"/>
  <c r="CX96" i="27" s="1"/>
  <c r="CX98" i="27" a="1"/>
  <c r="CX98" i="27" s="1"/>
  <c r="CX104" i="27" a="1"/>
  <c r="CX104" i="27" s="1"/>
  <c r="CX112" i="27" a="1"/>
  <c r="CX112" i="27" s="1"/>
  <c r="CX97" i="27" a="1"/>
  <c r="CX97" i="27" s="1"/>
  <c r="CX106" i="27" a="1"/>
  <c r="CX106" i="27" s="1"/>
  <c r="CX36" i="27" a="1"/>
  <c r="CX36" i="27" s="1"/>
  <c r="CX84" i="27" a="1"/>
  <c r="CX84" i="27" s="1"/>
  <c r="CX86" i="27" a="1"/>
  <c r="CX86" i="27" s="1"/>
  <c r="CX88" i="27" a="1"/>
  <c r="CX88" i="27" s="1"/>
  <c r="CX90" i="27" a="1"/>
  <c r="CX90" i="27" s="1"/>
  <c r="CX91" i="27" a="1"/>
  <c r="CX91" i="27" s="1"/>
  <c r="CX92" i="27" a="1"/>
  <c r="CX92" i="27" s="1"/>
  <c r="CX103" i="27" a="1"/>
  <c r="CX103" i="27" s="1"/>
  <c r="CX108" i="27" a="1"/>
  <c r="CX108" i="27" s="1"/>
  <c r="CX125" i="27" a="1"/>
  <c r="CX125" i="27" s="1"/>
  <c r="CX123" i="27" a="1"/>
  <c r="CX123" i="27" s="1"/>
  <c r="CX134" i="27" a="1"/>
  <c r="CX134" i="27" s="1"/>
  <c r="CX124" i="27" a="1"/>
  <c r="CX124" i="27" s="1"/>
  <c r="CX130" i="27" a="1"/>
  <c r="CX130" i="27" s="1"/>
  <c r="CX122" i="27" a="1"/>
  <c r="CX122" i="27" s="1"/>
  <c r="CX126" i="27" a="1"/>
  <c r="CX126" i="27" s="1"/>
  <c r="DN4" i="27"/>
  <c r="DN135" i="27" s="1"/>
  <c r="DB6" i="27" a="1"/>
  <c r="DB6" i="27" s="1"/>
  <c r="DB7" i="27" a="1"/>
  <c r="DB7" i="27" s="1"/>
  <c r="DB19" i="27" a="1"/>
  <c r="DB19" i="27" s="1"/>
  <c r="DB39" i="27" a="1"/>
  <c r="DB39" i="27" s="1"/>
  <c r="DB40" i="27" a="1"/>
  <c r="DB40" i="27" s="1"/>
  <c r="DB41" i="27" a="1"/>
  <c r="DB41" i="27" s="1"/>
  <c r="DB42" i="27" a="1"/>
  <c r="DB42" i="27" s="1"/>
  <c r="DB43" i="27" a="1"/>
  <c r="DB43" i="27" s="1"/>
  <c r="DB14" i="27" a="1"/>
  <c r="DB14" i="27" s="1"/>
  <c r="DB23" i="27" a="1"/>
  <c r="DB23" i="27" s="1"/>
  <c r="DB26" i="27" a="1"/>
  <c r="DB26" i="27" s="1"/>
  <c r="DB38" i="27" a="1"/>
  <c r="DB38" i="27" s="1"/>
  <c r="DB13" i="27" a="1"/>
  <c r="DB13" i="27" s="1"/>
  <c r="DB18" i="27" a="1"/>
  <c r="DB18" i="27" s="1"/>
  <c r="DB25" i="27" a="1"/>
  <c r="DB25" i="27" s="1"/>
  <c r="DB33" i="27" a="1"/>
  <c r="DB33" i="27" s="1"/>
  <c r="DB36" i="27" a="1"/>
  <c r="DB36" i="27" s="1"/>
  <c r="DB37" i="27" a="1"/>
  <c r="DB37" i="27" s="1"/>
  <c r="DB49" i="27" a="1"/>
  <c r="DB49" i="27" s="1"/>
  <c r="DB10" i="27" a="1"/>
  <c r="DB10" i="27" s="1"/>
  <c r="DB12" i="27" a="1"/>
  <c r="DB12" i="27" s="1"/>
  <c r="DB15" i="27" a="1"/>
  <c r="DB15" i="27" s="1"/>
  <c r="DB16" i="27" a="1"/>
  <c r="DB16" i="27" s="1"/>
  <c r="DB17" i="27" a="1"/>
  <c r="DB17" i="27" s="1"/>
  <c r="DB29" i="27" a="1"/>
  <c r="DB29" i="27" s="1"/>
  <c r="DB30" i="27" a="1"/>
  <c r="DB30" i="27" s="1"/>
  <c r="DB32" i="27" a="1"/>
  <c r="DB32" i="27" s="1"/>
  <c r="DB34" i="27" a="1"/>
  <c r="DB34" i="27" s="1"/>
  <c r="DB35" i="27" a="1"/>
  <c r="DB35" i="27" s="1"/>
  <c r="DB9" i="27" a="1"/>
  <c r="DB9" i="27" s="1"/>
  <c r="DB11" i="27" a="1"/>
  <c r="DB11" i="27" s="1"/>
  <c r="DB22" i="27" a="1"/>
  <c r="DB22" i="27" s="1"/>
  <c r="DB31" i="27" a="1"/>
  <c r="DB31" i="27" s="1"/>
  <c r="DB47" i="27" a="1"/>
  <c r="DB47" i="27" s="1"/>
  <c r="DB48" i="27" a="1"/>
  <c r="DB48" i="27" s="1"/>
  <c r="DB8" i="27" a="1"/>
  <c r="DB8" i="27" s="1"/>
  <c r="DB21" i="27" a="1"/>
  <c r="DB21" i="27" s="1"/>
  <c r="DB24" i="27" a="1"/>
  <c r="DB24" i="27" s="1"/>
  <c r="DB45" i="27" a="1"/>
  <c r="DB45" i="27" s="1"/>
  <c r="DB27" i="27" a="1"/>
  <c r="DB27" i="27" s="1"/>
  <c r="DB44" i="27" a="1"/>
  <c r="DB44" i="27" s="1"/>
  <c r="DB28" i="27" a="1"/>
  <c r="DB28" i="27" s="1"/>
  <c r="DB54" i="27" a="1"/>
  <c r="DB54" i="27" s="1"/>
  <c r="DB55" i="27" a="1"/>
  <c r="DB55" i="27" s="1"/>
  <c r="DB63" i="27" a="1"/>
  <c r="DB63" i="27" s="1"/>
  <c r="DB64" i="27" a="1"/>
  <c r="DB64" i="27" s="1"/>
  <c r="DB67" i="27" a="1"/>
  <c r="DB67" i="27" s="1"/>
  <c r="DB76" i="27" a="1"/>
  <c r="DB76" i="27" s="1"/>
  <c r="DB52" i="27" a="1"/>
  <c r="DB52" i="27" s="1"/>
  <c r="DB62" i="27" a="1"/>
  <c r="DB62" i="27" s="1"/>
  <c r="DB68" i="27" a="1"/>
  <c r="DB68" i="27" s="1"/>
  <c r="DB20" i="27" a="1"/>
  <c r="DB20" i="27" s="1"/>
  <c r="DB51" i="27" a="1"/>
  <c r="DB51" i="27" s="1"/>
  <c r="DB53" i="27" a="1"/>
  <c r="DB53" i="27" s="1"/>
  <c r="DB61" i="27" a="1"/>
  <c r="DB61" i="27" s="1"/>
  <c r="DB65" i="27" a="1"/>
  <c r="DB65" i="27" s="1"/>
  <c r="DB66" i="27" a="1"/>
  <c r="DB66" i="27" s="1"/>
  <c r="DB69" i="27" a="1"/>
  <c r="DB69" i="27" s="1"/>
  <c r="DB70" i="27" a="1"/>
  <c r="DB70" i="27" s="1"/>
  <c r="DB71" i="27" a="1"/>
  <c r="DB71" i="27" s="1"/>
  <c r="DB80" i="27" a="1"/>
  <c r="DB80" i="27" s="1"/>
  <c r="DB81" i="27" a="1"/>
  <c r="DB81" i="27" s="1"/>
  <c r="DB82" i="27" a="1"/>
  <c r="DB82" i="27" s="1"/>
  <c r="DB50" i="27" a="1"/>
  <c r="DB50" i="27" s="1"/>
  <c r="DB59" i="27" a="1"/>
  <c r="DB59" i="27" s="1"/>
  <c r="DB60" i="27" a="1"/>
  <c r="DB60" i="27" s="1"/>
  <c r="DB72" i="27" a="1"/>
  <c r="DB72" i="27" s="1"/>
  <c r="DB46" i="27" a="1"/>
  <c r="DB46" i="27" s="1"/>
  <c r="DB73" i="27" a="1"/>
  <c r="DB73" i="27" s="1"/>
  <c r="DB74" i="27" a="1"/>
  <c r="DB74" i="27" s="1"/>
  <c r="DB85" i="27" a="1"/>
  <c r="DB85" i="27" s="1"/>
  <c r="DB57" i="27" a="1"/>
  <c r="DB57" i="27" s="1"/>
  <c r="DB58" i="27" a="1"/>
  <c r="DB58" i="27" s="1"/>
  <c r="DB75" i="27" a="1"/>
  <c r="DB75" i="27" s="1"/>
  <c r="DB86" i="27" a="1"/>
  <c r="DB86" i="27" s="1"/>
  <c r="DB56" i="27" a="1"/>
  <c r="DB56" i="27" s="1"/>
  <c r="DB87" i="27" a="1"/>
  <c r="DB87" i="27" s="1"/>
  <c r="DB101" i="27" a="1"/>
  <c r="DB101" i="27" s="1"/>
  <c r="DB114" i="27" a="1"/>
  <c r="DB114" i="27" s="1"/>
  <c r="DB120" i="27" a="1"/>
  <c r="DB120" i="27" s="1"/>
  <c r="DB138" i="27" a="1"/>
  <c r="DB138" i="27" s="1"/>
  <c r="DB102" i="27" a="1"/>
  <c r="DB102" i="27" s="1"/>
  <c r="DB77" i="27" a="1"/>
  <c r="DB77" i="27" s="1"/>
  <c r="DB79" i="27" a="1"/>
  <c r="DB79" i="27" s="1"/>
  <c r="DB84" i="27" a="1"/>
  <c r="DB84" i="27" s="1"/>
  <c r="DB98" i="27" a="1"/>
  <c r="DB98" i="27" s="1"/>
  <c r="DB112" i="27" a="1"/>
  <c r="DB112" i="27" s="1"/>
  <c r="DB113" i="27" a="1"/>
  <c r="DB113" i="27" s="1"/>
  <c r="DB128" i="27" a="1"/>
  <c r="DB128" i="27" s="1"/>
  <c r="DB132" i="27" a="1"/>
  <c r="DB132" i="27" s="1"/>
  <c r="DB136" i="27" a="1"/>
  <c r="DB136" i="27" s="1"/>
  <c r="DB137" i="27" a="1"/>
  <c r="DB137" i="27" s="1"/>
  <c r="DB100" i="27" a="1"/>
  <c r="DB100" i="27" s="1"/>
  <c r="DB104" i="27" a="1"/>
  <c r="DB104" i="27" s="1"/>
  <c r="DB106" i="27" a="1"/>
  <c r="DB106" i="27" s="1"/>
  <c r="DB121" i="27" a="1"/>
  <c r="DB121" i="27" s="1"/>
  <c r="DB129" i="27" a="1"/>
  <c r="DB129" i="27" s="1"/>
  <c r="DB133" i="27" a="1"/>
  <c r="DB133" i="27" s="1"/>
  <c r="DB107" i="27" a="1"/>
  <c r="DB107" i="27" s="1"/>
  <c r="DB78" i="27" a="1"/>
  <c r="DB78" i="27" s="1"/>
  <c r="DB83" i="27" a="1"/>
  <c r="DB83" i="27" s="1"/>
  <c r="DB92" i="27" a="1"/>
  <c r="DB92" i="27" s="1"/>
  <c r="DB93" i="27" a="1"/>
  <c r="DB93" i="27" s="1"/>
  <c r="DB94" i="27" a="1"/>
  <c r="DB94" i="27" s="1"/>
  <c r="DB95" i="27" a="1"/>
  <c r="DB95" i="27" s="1"/>
  <c r="DB96" i="27" a="1"/>
  <c r="DB96" i="27" s="1"/>
  <c r="DB103" i="27" a="1"/>
  <c r="DB103" i="27" s="1"/>
  <c r="DB108" i="27" a="1"/>
  <c r="DB108" i="27" s="1"/>
  <c r="DB111" i="27" a="1"/>
  <c r="DB111" i="27" s="1"/>
  <c r="DB122" i="27" a="1"/>
  <c r="DB122" i="27" s="1"/>
  <c r="DB123" i="27" a="1"/>
  <c r="DB123" i="27" s="1"/>
  <c r="DB89" i="27" a="1"/>
  <c r="DB89" i="27" s="1"/>
  <c r="DB97" i="27" a="1"/>
  <c r="DB97" i="27" s="1"/>
  <c r="DB110" i="27" a="1"/>
  <c r="DB110" i="27" s="1"/>
  <c r="DB124" i="27" a="1"/>
  <c r="DB124" i="27" s="1"/>
  <c r="DB125" i="27" a="1"/>
  <c r="DB125" i="27" s="1"/>
  <c r="DB126" i="27" a="1"/>
  <c r="DB126" i="27" s="1"/>
  <c r="DB130" i="27" a="1"/>
  <c r="DB130" i="27" s="1"/>
  <c r="DB134" i="27" a="1"/>
  <c r="DB134" i="27" s="1"/>
  <c r="DB105" i="27" a="1"/>
  <c r="DB105" i="27" s="1"/>
  <c r="DB88" i="27" a="1"/>
  <c r="DB88" i="27" s="1"/>
  <c r="DB90" i="27" a="1"/>
  <c r="DB90" i="27" s="1"/>
  <c r="DB91" i="27" a="1"/>
  <c r="DB91" i="27" s="1"/>
  <c r="DB99" i="27" a="1"/>
  <c r="DB99" i="27" s="1"/>
  <c r="DB117" i="27" a="1"/>
  <c r="DB117" i="27" s="1"/>
  <c r="DB109" i="27" a="1"/>
  <c r="DB109" i="27" s="1"/>
  <c r="DB115" i="27" a="1"/>
  <c r="DB115" i="27" s="1"/>
  <c r="DB116" i="27" a="1"/>
  <c r="DB116" i="27" s="1"/>
  <c r="DB119" i="27" a="1"/>
  <c r="DB119" i="27" s="1"/>
  <c r="DB127" i="27" a="1"/>
  <c r="DB127" i="27" s="1"/>
  <c r="DB131" i="27" a="1"/>
  <c r="DB131" i="27" s="1"/>
  <c r="DB135" i="27" a="1"/>
  <c r="DB135" i="27" s="1"/>
  <c r="DB139" i="27" a="1"/>
  <c r="DB139" i="27" s="1"/>
  <c r="DB140" i="27" a="1"/>
  <c r="DB140" i="27" s="1"/>
  <c r="DB118" i="27" a="1"/>
  <c r="DB118" i="27" s="1"/>
  <c r="DP4" i="27"/>
  <c r="DP135" i="27" s="1"/>
  <c r="DD8" i="27" a="1"/>
  <c r="DD8" i="27" s="1"/>
  <c r="DD21" i="27" a="1"/>
  <c r="DD21" i="27" s="1"/>
  <c r="DD20" i="27" a="1"/>
  <c r="DD20" i="27" s="1"/>
  <c r="DD28" i="27" a="1"/>
  <c r="DD28" i="27" s="1"/>
  <c r="DD7" i="27" a="1"/>
  <c r="DD7" i="27" s="1"/>
  <c r="DD19" i="27" a="1"/>
  <c r="DD19" i="27" s="1"/>
  <c r="DD27" i="27" a="1"/>
  <c r="DD27" i="27" s="1"/>
  <c r="DD39" i="27" a="1"/>
  <c r="DD39" i="27" s="1"/>
  <c r="DD40" i="27" a="1"/>
  <c r="DD40" i="27" s="1"/>
  <c r="DD42" i="27" a="1"/>
  <c r="DD42" i="27" s="1"/>
  <c r="DD43" i="27" a="1"/>
  <c r="DD43" i="27" s="1"/>
  <c r="DD6" i="27" a="1"/>
  <c r="DD6" i="27" s="1"/>
  <c r="DD23" i="27" a="1"/>
  <c r="DD23" i="27" s="1"/>
  <c r="DD26" i="27" a="1"/>
  <c r="DD26" i="27" s="1"/>
  <c r="DD41" i="27" a="1"/>
  <c r="DD41" i="27" s="1"/>
  <c r="DD14" i="27" a="1"/>
  <c r="DD14" i="27" s="1"/>
  <c r="DD18" i="27" a="1"/>
  <c r="DD18" i="27" s="1"/>
  <c r="DD25" i="27" a="1"/>
  <c r="DD25" i="27" s="1"/>
  <c r="DD38" i="27" a="1"/>
  <c r="DD38" i="27" s="1"/>
  <c r="DD50" i="27" a="1"/>
  <c r="DD50" i="27" s="1"/>
  <c r="DD12" i="27" a="1"/>
  <c r="DD12" i="27" s="1"/>
  <c r="DD13" i="27" a="1"/>
  <c r="DD13" i="27" s="1"/>
  <c r="DD16" i="27" a="1"/>
  <c r="DD16" i="27" s="1"/>
  <c r="DD17" i="27" a="1"/>
  <c r="DD17" i="27" s="1"/>
  <c r="DD29" i="27" a="1"/>
  <c r="DD29" i="27" s="1"/>
  <c r="DD33" i="27" a="1"/>
  <c r="DD33" i="27" s="1"/>
  <c r="DD35" i="27" a="1"/>
  <c r="DD35" i="27" s="1"/>
  <c r="DD36" i="27" a="1"/>
  <c r="DD36" i="27" s="1"/>
  <c r="DD37" i="27" a="1"/>
  <c r="DD37" i="27" s="1"/>
  <c r="DD49" i="27" a="1"/>
  <c r="DD49" i="27" s="1"/>
  <c r="DD11" i="27" a="1"/>
  <c r="DD11" i="27" s="1"/>
  <c r="DD24" i="27" a="1"/>
  <c r="DD24" i="27" s="1"/>
  <c r="DD45" i="27" a="1"/>
  <c r="DD45" i="27" s="1"/>
  <c r="DD47" i="27" a="1"/>
  <c r="DD47" i="27" s="1"/>
  <c r="DD52" i="27" a="1"/>
  <c r="DD52" i="27" s="1"/>
  <c r="DD32" i="27" a="1"/>
  <c r="DD32" i="27" s="1"/>
  <c r="DD56" i="27" a="1"/>
  <c r="DD56" i="27" s="1"/>
  <c r="DD57" i="27" a="1"/>
  <c r="DD57" i="27" s="1"/>
  <c r="DD15" i="27" a="1"/>
  <c r="DD15" i="27" s="1"/>
  <c r="DD48" i="27" a="1"/>
  <c r="DD48" i="27" s="1"/>
  <c r="DD75" i="27" a="1"/>
  <c r="DD75" i="27" s="1"/>
  <c r="DD77" i="27" a="1"/>
  <c r="DD77" i="27" s="1"/>
  <c r="DD44" i="27" a="1"/>
  <c r="DD44" i="27" s="1"/>
  <c r="DD55" i="27" a="1"/>
  <c r="DD55" i="27" s="1"/>
  <c r="DD63" i="27" a="1"/>
  <c r="DD63" i="27" s="1"/>
  <c r="DD76" i="27" a="1"/>
  <c r="DD76" i="27" s="1"/>
  <c r="DD51" i="27" a="1"/>
  <c r="DD51" i="27" s="1"/>
  <c r="DD64" i="27" a="1"/>
  <c r="DD64" i="27" s="1"/>
  <c r="DD67" i="27" a="1"/>
  <c r="DD67" i="27" s="1"/>
  <c r="DD30" i="27" a="1"/>
  <c r="DD30" i="27" s="1"/>
  <c r="DD34" i="27" a="1"/>
  <c r="DD34" i="27" s="1"/>
  <c r="DD53" i="27" a="1"/>
  <c r="DD53" i="27" s="1"/>
  <c r="DD54" i="27" a="1"/>
  <c r="DD54" i="27" s="1"/>
  <c r="DD61" i="27" a="1"/>
  <c r="DD61" i="27" s="1"/>
  <c r="DD62" i="27" a="1"/>
  <c r="DD62" i="27" s="1"/>
  <c r="DD66" i="27" a="1"/>
  <c r="DD66" i="27" s="1"/>
  <c r="DD68" i="27" a="1"/>
  <c r="DD68" i="27" s="1"/>
  <c r="DD69" i="27" a="1"/>
  <c r="DD69" i="27" s="1"/>
  <c r="DD80" i="27" a="1"/>
  <c r="DD80" i="27" s="1"/>
  <c r="DD81" i="27" a="1"/>
  <c r="DD81" i="27" s="1"/>
  <c r="DD9" i="27" a="1"/>
  <c r="DD9" i="27" s="1"/>
  <c r="DD46" i="27" a="1"/>
  <c r="DD46" i="27" s="1"/>
  <c r="DD60" i="27" a="1"/>
  <c r="DD60" i="27" s="1"/>
  <c r="DD65" i="27" a="1"/>
  <c r="DD65" i="27" s="1"/>
  <c r="DD70" i="27" a="1"/>
  <c r="DD70" i="27" s="1"/>
  <c r="DD71" i="27" a="1"/>
  <c r="DD71" i="27" s="1"/>
  <c r="DD83" i="27" a="1"/>
  <c r="DD83" i="27" s="1"/>
  <c r="DD22" i="27" a="1"/>
  <c r="DD22" i="27" s="1"/>
  <c r="DD31" i="27" a="1"/>
  <c r="DD31" i="27" s="1"/>
  <c r="DD59" i="27" a="1"/>
  <c r="DD59" i="27" s="1"/>
  <c r="DD72" i="27" a="1"/>
  <c r="DD72" i="27" s="1"/>
  <c r="DD73" i="27" a="1"/>
  <c r="DD73" i="27" s="1"/>
  <c r="DD82" i="27" a="1"/>
  <c r="DD82" i="27" s="1"/>
  <c r="DD84" i="27" a="1"/>
  <c r="DD84" i="27" s="1"/>
  <c r="DD90" i="27" a="1"/>
  <c r="DD90" i="27" s="1"/>
  <c r="DD102" i="27" a="1"/>
  <c r="DD102" i="27" s="1"/>
  <c r="DD105" i="27" a="1"/>
  <c r="DD105" i="27" s="1"/>
  <c r="DD107" i="27" a="1"/>
  <c r="DD107" i="27" s="1"/>
  <c r="DD86" i="27" a="1"/>
  <c r="DD86" i="27" s="1"/>
  <c r="DD97" i="27" a="1"/>
  <c r="DD97" i="27" s="1"/>
  <c r="DD10" i="27" a="1"/>
  <c r="DD10" i="27" s="1"/>
  <c r="DD109" i="27" a="1"/>
  <c r="DD109" i="27" s="1"/>
  <c r="DD116" i="27" a="1"/>
  <c r="DD116" i="27" s="1"/>
  <c r="DD117" i="27" a="1"/>
  <c r="DD117" i="27" s="1"/>
  <c r="DD118" i="27" a="1"/>
  <c r="DD118" i="27" s="1"/>
  <c r="DD119" i="27" a="1"/>
  <c r="DD119" i="27" s="1"/>
  <c r="DD127" i="27" a="1"/>
  <c r="DD127" i="27" s="1"/>
  <c r="DD131" i="27" a="1"/>
  <c r="DD131" i="27" s="1"/>
  <c r="DD135" i="27" a="1"/>
  <c r="DD135" i="27" s="1"/>
  <c r="DD139" i="27" a="1"/>
  <c r="DD139" i="27" s="1"/>
  <c r="DD140" i="27" a="1"/>
  <c r="DD140" i="27" s="1"/>
  <c r="DD103" i="27" a="1"/>
  <c r="DD103" i="27" s="1"/>
  <c r="DD85" i="27" a="1"/>
  <c r="DD85" i="27" s="1"/>
  <c r="DD101" i="27" a="1"/>
  <c r="DD101" i="27" s="1"/>
  <c r="DD115" i="27" a="1"/>
  <c r="DD115" i="27" s="1"/>
  <c r="DD58" i="27" a="1"/>
  <c r="DD58" i="27" s="1"/>
  <c r="DD74" i="27" a="1"/>
  <c r="DD74" i="27" s="1"/>
  <c r="DD79" i="27" a="1"/>
  <c r="DD79" i="27" s="1"/>
  <c r="DD98" i="27" a="1"/>
  <c r="DD98" i="27" s="1"/>
  <c r="DD113" i="27" a="1"/>
  <c r="DD113" i="27" s="1"/>
  <c r="DD114" i="27" a="1"/>
  <c r="DD114" i="27" s="1"/>
  <c r="DD138" i="27" a="1"/>
  <c r="DD138" i="27" s="1"/>
  <c r="DD87" i="27" a="1"/>
  <c r="DD87" i="27" s="1"/>
  <c r="DD104" i="27" a="1"/>
  <c r="DD104" i="27" s="1"/>
  <c r="DD106" i="27" a="1"/>
  <c r="DD106" i="27" s="1"/>
  <c r="DD120" i="27" a="1"/>
  <c r="DD120" i="27" s="1"/>
  <c r="DD128" i="27" a="1"/>
  <c r="DD128" i="27" s="1"/>
  <c r="DD132" i="27" a="1"/>
  <c r="DD132" i="27" s="1"/>
  <c r="DD136" i="27" a="1"/>
  <c r="DD136" i="27" s="1"/>
  <c r="DD137" i="27" a="1"/>
  <c r="DD137" i="27" s="1"/>
  <c r="DD95" i="27" a="1"/>
  <c r="DD95" i="27" s="1"/>
  <c r="DD78" i="27" a="1"/>
  <c r="DD78" i="27" s="1"/>
  <c r="DD93" i="27" a="1"/>
  <c r="DD93" i="27" s="1"/>
  <c r="DD94" i="27" a="1"/>
  <c r="DD94" i="27" s="1"/>
  <c r="DD96" i="27" a="1"/>
  <c r="DD96" i="27" s="1"/>
  <c r="DD100" i="27" a="1"/>
  <c r="DD100" i="27" s="1"/>
  <c r="DD108" i="27" a="1"/>
  <c r="DD108" i="27" s="1"/>
  <c r="DD111" i="27" a="1"/>
  <c r="DD111" i="27" s="1"/>
  <c r="DD112" i="27" a="1"/>
  <c r="DD112" i="27" s="1"/>
  <c r="DD121" i="27" a="1"/>
  <c r="DD121" i="27" s="1"/>
  <c r="DD122" i="27" a="1"/>
  <c r="DD122" i="27" s="1"/>
  <c r="DD110" i="27" a="1"/>
  <c r="DD110" i="27" s="1"/>
  <c r="DD88" i="27" a="1"/>
  <c r="DD88" i="27" s="1"/>
  <c r="DD89" i="27" a="1"/>
  <c r="DD89" i="27" s="1"/>
  <c r="DD91" i="27" a="1"/>
  <c r="DD91" i="27" s="1"/>
  <c r="DD99" i="27" a="1"/>
  <c r="DD99" i="27" s="1"/>
  <c r="DD124" i="27" a="1"/>
  <c r="DD124" i="27" s="1"/>
  <c r="DD125" i="27" a="1"/>
  <c r="DD125" i="27" s="1"/>
  <c r="DD126" i="27" a="1"/>
  <c r="DD126" i="27" s="1"/>
  <c r="DD130" i="27" a="1"/>
  <c r="DD130" i="27" s="1"/>
  <c r="DD134" i="27" a="1"/>
  <c r="DD134" i="27" s="1"/>
  <c r="DD92" i="27" a="1"/>
  <c r="DD92" i="27" s="1"/>
  <c r="DD123" i="27" a="1"/>
  <c r="DD123" i="27" s="1"/>
  <c r="DD133" i="27" a="1"/>
  <c r="DD133" i="27" s="1"/>
  <c r="DD129" i="27" a="1"/>
  <c r="DD129" i="27" s="1"/>
  <c r="DI4" i="27"/>
  <c r="DI135" i="27" s="1"/>
  <c r="CW8" i="27" a="1"/>
  <c r="CW8" i="27" s="1"/>
  <c r="CW24" i="27" a="1"/>
  <c r="CW24" i="27" s="1"/>
  <c r="CW28" i="27" a="1"/>
  <c r="CW28" i="27" s="1"/>
  <c r="CW44" i="27" a="1"/>
  <c r="CW44" i="27" s="1"/>
  <c r="CW6" i="27" a="1"/>
  <c r="CW6" i="27" s="1"/>
  <c r="CW7" i="27" a="1"/>
  <c r="CW7" i="27" s="1"/>
  <c r="CW20" i="27" a="1"/>
  <c r="CW20" i="27" s="1"/>
  <c r="CW27" i="27" a="1"/>
  <c r="CW27" i="27" s="1"/>
  <c r="CW40" i="27" a="1"/>
  <c r="CW40" i="27" s="1"/>
  <c r="CW41" i="27" a="1"/>
  <c r="CW41" i="27" s="1"/>
  <c r="CW19" i="27" a="1"/>
  <c r="CW19" i="27" s="1"/>
  <c r="CW39" i="27" a="1"/>
  <c r="CW39" i="27" s="1"/>
  <c r="CW14" i="27" a="1"/>
  <c r="CW14" i="27" s="1"/>
  <c r="CW15" i="27" a="1"/>
  <c r="CW15" i="27" s="1"/>
  <c r="CW18" i="27" a="1"/>
  <c r="CW18" i="27" s="1"/>
  <c r="CW23" i="27" a="1"/>
  <c r="CW23" i="27" s="1"/>
  <c r="CW26" i="27" a="1"/>
  <c r="CW26" i="27" s="1"/>
  <c r="CW30" i="27" a="1"/>
  <c r="CW30" i="27" s="1"/>
  <c r="CW34" i="27" a="1"/>
  <c r="CW34" i="27" s="1"/>
  <c r="CW35" i="27" a="1"/>
  <c r="CW35" i="27" s="1"/>
  <c r="CW38" i="27" a="1"/>
  <c r="CW38" i="27" s="1"/>
  <c r="CW12" i="27" a="1"/>
  <c r="CW12" i="27" s="1"/>
  <c r="CW13" i="27" a="1"/>
  <c r="CW13" i="27" s="1"/>
  <c r="CW16" i="27" a="1"/>
  <c r="CW16" i="27" s="1"/>
  <c r="CW17" i="27" a="1"/>
  <c r="CW17" i="27" s="1"/>
  <c r="CW31" i="27" a="1"/>
  <c r="CW31" i="27" s="1"/>
  <c r="CW33" i="27" a="1"/>
  <c r="CW33" i="27" s="1"/>
  <c r="CW36" i="27" a="1"/>
  <c r="CW36" i="27" s="1"/>
  <c r="CW37" i="27" a="1"/>
  <c r="CW37" i="27" s="1"/>
  <c r="CW49" i="27" a="1"/>
  <c r="CW49" i="27" s="1"/>
  <c r="CW51" i="27" a="1"/>
  <c r="CW51" i="27" s="1"/>
  <c r="CW52" i="27" a="1"/>
  <c r="CW52" i="27" s="1"/>
  <c r="CW10" i="27" a="1"/>
  <c r="CW10" i="27" s="1"/>
  <c r="CW11" i="27" a="1"/>
  <c r="CW11" i="27" s="1"/>
  <c r="CW25" i="27" a="1"/>
  <c r="CW25" i="27" s="1"/>
  <c r="CW32" i="27" a="1"/>
  <c r="CW32" i="27" s="1"/>
  <c r="CW47" i="27" a="1"/>
  <c r="CW47" i="27" s="1"/>
  <c r="CW48" i="27" a="1"/>
  <c r="CW48" i="27" s="1"/>
  <c r="CW53" i="27" a="1"/>
  <c r="CW53" i="27" s="1"/>
  <c r="CW21" i="27" a="1"/>
  <c r="CW21" i="27" s="1"/>
  <c r="CW45" i="27" a="1"/>
  <c r="CW45" i="27" s="1"/>
  <c r="CW56" i="27" a="1"/>
  <c r="CW56" i="27" s="1"/>
  <c r="CW77" i="27" a="1"/>
  <c r="CW77" i="27" s="1"/>
  <c r="CW29" i="27" a="1"/>
  <c r="CW29" i="27" s="1"/>
  <c r="CW43" i="27" a="1"/>
  <c r="CW43" i="27" s="1"/>
  <c r="CW50" i="27" a="1"/>
  <c r="CW50" i="27" s="1"/>
  <c r="CW55" i="27" a="1"/>
  <c r="CW55" i="27" s="1"/>
  <c r="CW63" i="27" a="1"/>
  <c r="CW63" i="27" s="1"/>
  <c r="CW78" i="27" a="1"/>
  <c r="CW78" i="27" s="1"/>
  <c r="CW46" i="27" a="1"/>
  <c r="CW46" i="27" s="1"/>
  <c r="CW54" i="27" a="1"/>
  <c r="CW54" i="27" s="1"/>
  <c r="CW64" i="27" a="1"/>
  <c r="CW64" i="27" s="1"/>
  <c r="CW65" i="27" a="1"/>
  <c r="CW65" i="27" s="1"/>
  <c r="CW66" i="27" a="1"/>
  <c r="CW66" i="27" s="1"/>
  <c r="CW68" i="27" a="1"/>
  <c r="CW68" i="27" s="1"/>
  <c r="CW69" i="27" a="1"/>
  <c r="CW69" i="27" s="1"/>
  <c r="CW80" i="27" a="1"/>
  <c r="CW80" i="27" s="1"/>
  <c r="CW62" i="27" a="1"/>
  <c r="CW62" i="27" s="1"/>
  <c r="CW67" i="27" a="1"/>
  <c r="CW67" i="27" s="1"/>
  <c r="CW70" i="27" a="1"/>
  <c r="CW70" i="27" s="1"/>
  <c r="CW71" i="27" a="1"/>
  <c r="CW71" i="27" s="1"/>
  <c r="CW9" i="27" a="1"/>
  <c r="CW9" i="27" s="1"/>
  <c r="CW42" i="27" a="1"/>
  <c r="CW42" i="27" s="1"/>
  <c r="CW60" i="27" a="1"/>
  <c r="CW60" i="27" s="1"/>
  <c r="CW61" i="27" a="1"/>
  <c r="CW61" i="27" s="1"/>
  <c r="CW72" i="27" a="1"/>
  <c r="CW72" i="27" s="1"/>
  <c r="CW73" i="27" a="1"/>
  <c r="CW73" i="27" s="1"/>
  <c r="CW82" i="27" a="1"/>
  <c r="CW82" i="27" s="1"/>
  <c r="CW22" i="27" a="1"/>
  <c r="CW22" i="27" s="1"/>
  <c r="CW74" i="27" a="1"/>
  <c r="CW74" i="27" s="1"/>
  <c r="CW84" i="27" a="1"/>
  <c r="CW84" i="27" s="1"/>
  <c r="CW85" i="27" a="1"/>
  <c r="CW85" i="27" s="1"/>
  <c r="CW86" i="27" a="1"/>
  <c r="CW86" i="27" s="1"/>
  <c r="CW58" i="27" a="1"/>
  <c r="CW58" i="27" s="1"/>
  <c r="CW59" i="27" a="1"/>
  <c r="CW59" i="27" s="1"/>
  <c r="CW57" i="27" a="1"/>
  <c r="CW57" i="27" s="1"/>
  <c r="CW83" i="27" a="1"/>
  <c r="CW83" i="27" s="1"/>
  <c r="CW99" i="27" a="1"/>
  <c r="CW99" i="27" s="1"/>
  <c r="CW102" i="27" a="1"/>
  <c r="CW102" i="27" s="1"/>
  <c r="CW116" i="27" a="1"/>
  <c r="CW116" i="27" s="1"/>
  <c r="CW117" i="27" a="1"/>
  <c r="CW117" i="27" s="1"/>
  <c r="CW119" i="27" a="1"/>
  <c r="CW119" i="27" s="1"/>
  <c r="CW140" i="27" a="1"/>
  <c r="CW140" i="27" s="1"/>
  <c r="CW136" i="27" a="1"/>
  <c r="CW136" i="27" s="1"/>
  <c r="CW139" i="27" a="1"/>
  <c r="CW139" i="27" s="1"/>
  <c r="CW92" i="27" a="1"/>
  <c r="CW92" i="27" s="1"/>
  <c r="CW105" i="27" a="1"/>
  <c r="CW105" i="27" s="1"/>
  <c r="CW107" i="27" a="1"/>
  <c r="CW107" i="27" s="1"/>
  <c r="CW115" i="27" a="1"/>
  <c r="CW115" i="27" s="1"/>
  <c r="CW120" i="27" a="1"/>
  <c r="CW120" i="27" s="1"/>
  <c r="CW128" i="27" a="1"/>
  <c r="CW128" i="27" s="1"/>
  <c r="CW132" i="27" a="1"/>
  <c r="CW132" i="27" s="1"/>
  <c r="CW101" i="27" a="1"/>
  <c r="CW101" i="27" s="1"/>
  <c r="CW109" i="27" a="1"/>
  <c r="CW109" i="27" s="1"/>
  <c r="CW113" i="27" a="1"/>
  <c r="CW113" i="27" s="1"/>
  <c r="CW114" i="27" a="1"/>
  <c r="CW114" i="27" s="1"/>
  <c r="CW121" i="27" a="1"/>
  <c r="CW121" i="27" s="1"/>
  <c r="CW138" i="27" a="1"/>
  <c r="CW138" i="27" s="1"/>
  <c r="CW137" i="27" a="1"/>
  <c r="CW137" i="27" s="1"/>
  <c r="CW103" i="27" a="1"/>
  <c r="CW103" i="27" s="1"/>
  <c r="CW94" i="27" a="1"/>
  <c r="CW94" i="27" s="1"/>
  <c r="CW129" i="27" a="1"/>
  <c r="CW129" i="27" s="1"/>
  <c r="CW133" i="27" a="1"/>
  <c r="CW133" i="27" s="1"/>
  <c r="CW108" i="27" a="1"/>
  <c r="CW108" i="27" s="1"/>
  <c r="CW75" i="27" a="1"/>
  <c r="CW75" i="27" s="1"/>
  <c r="CW81" i="27" a="1"/>
  <c r="CW81" i="27" s="1"/>
  <c r="CW93" i="27" a="1"/>
  <c r="CW93" i="27" s="1"/>
  <c r="CW95" i="27" a="1"/>
  <c r="CW95" i="27" s="1"/>
  <c r="CW96" i="27" a="1"/>
  <c r="CW96" i="27" s="1"/>
  <c r="CW98" i="27" a="1"/>
  <c r="CW98" i="27" s="1"/>
  <c r="CW104" i="27" a="1"/>
  <c r="CW104" i="27" s="1"/>
  <c r="CW111" i="27" a="1"/>
  <c r="CW111" i="27" s="1"/>
  <c r="CW112" i="27" a="1"/>
  <c r="CW112" i="27" s="1"/>
  <c r="CW122" i="27" a="1"/>
  <c r="CW122" i="27" s="1"/>
  <c r="CW123" i="27" a="1"/>
  <c r="CW123" i="27" s="1"/>
  <c r="CW87" i="27" a="1"/>
  <c r="CW87" i="27" s="1"/>
  <c r="CW90" i="27" a="1"/>
  <c r="CW90" i="27" s="1"/>
  <c r="CW110" i="27" a="1"/>
  <c r="CW110" i="27" s="1"/>
  <c r="CW91" i="27" a="1"/>
  <c r="CW91" i="27" s="1"/>
  <c r="CW97" i="27" a="1"/>
  <c r="CW97" i="27" s="1"/>
  <c r="CW100" i="27" a="1"/>
  <c r="CW100" i="27" s="1"/>
  <c r="CW106" i="27" a="1"/>
  <c r="CW106" i="27" s="1"/>
  <c r="CW124" i="27" a="1"/>
  <c r="CW124" i="27" s="1"/>
  <c r="CW126" i="27" a="1"/>
  <c r="CW126" i="27" s="1"/>
  <c r="CW130" i="27" a="1"/>
  <c r="CW130" i="27" s="1"/>
  <c r="CW134" i="27" a="1"/>
  <c r="CW134" i="27" s="1"/>
  <c r="CW76" i="27" a="1"/>
  <c r="CW76" i="27" s="1"/>
  <c r="CW88" i="27" a="1"/>
  <c r="CW88" i="27" s="1"/>
  <c r="CW79" i="27" a="1"/>
  <c r="CW79" i="27" s="1"/>
  <c r="CW89" i="27" a="1"/>
  <c r="CW89" i="27" s="1"/>
  <c r="CW118" i="27" a="1"/>
  <c r="CW118" i="27" s="1"/>
  <c r="CW127" i="27" a="1"/>
  <c r="CW127" i="27" s="1"/>
  <c r="CW131" i="27" a="1"/>
  <c r="CW131" i="27" s="1"/>
  <c r="CW135" i="27" a="1"/>
  <c r="CW135" i="27" s="1"/>
  <c r="CW125" i="27" a="1"/>
  <c r="CW125" i="27" s="1"/>
  <c r="DQ4" i="27"/>
  <c r="DQ135" i="27" s="1"/>
  <c r="DE10" i="27" a="1"/>
  <c r="DE10" i="27" s="1"/>
  <c r="DE11" i="27" a="1"/>
  <c r="DE11" i="27" s="1"/>
  <c r="DE24" i="27" a="1"/>
  <c r="DE24" i="27" s="1"/>
  <c r="DE45" i="27" a="1"/>
  <c r="DE45" i="27" s="1"/>
  <c r="DE46" i="27" a="1"/>
  <c r="DE46" i="27" s="1"/>
  <c r="DE47" i="27" a="1"/>
  <c r="DE47" i="27" s="1"/>
  <c r="DE52" i="27" a="1"/>
  <c r="DE52" i="27" s="1"/>
  <c r="DE8" i="27" a="1"/>
  <c r="DE8" i="27" s="1"/>
  <c r="DE21" i="27" a="1"/>
  <c r="DE21" i="27" s="1"/>
  <c r="DE20" i="27" a="1"/>
  <c r="DE20" i="27" s="1"/>
  <c r="DE28" i="27" a="1"/>
  <c r="DE28" i="27" s="1"/>
  <c r="DE44" i="27" a="1"/>
  <c r="DE44" i="27" s="1"/>
  <c r="DE7" i="27" a="1"/>
  <c r="DE7" i="27" s="1"/>
  <c r="DE19" i="27" a="1"/>
  <c r="DE19" i="27" s="1"/>
  <c r="DE27" i="27" a="1"/>
  <c r="DE27" i="27" s="1"/>
  <c r="DE6" i="27" a="1"/>
  <c r="DE6" i="27" s="1"/>
  <c r="DE23" i="27" a="1"/>
  <c r="DE23" i="27" s="1"/>
  <c r="DE26" i="27" a="1"/>
  <c r="DE26" i="27" s="1"/>
  <c r="DE39" i="27" a="1"/>
  <c r="DE39" i="27" s="1"/>
  <c r="DE40" i="27" a="1"/>
  <c r="DE40" i="27" s="1"/>
  <c r="DE41" i="27" a="1"/>
  <c r="DE41" i="27" s="1"/>
  <c r="DE42" i="27" a="1"/>
  <c r="DE42" i="27" s="1"/>
  <c r="DE43" i="27" a="1"/>
  <c r="DE43" i="27" s="1"/>
  <c r="DE14" i="27" a="1"/>
  <c r="DE14" i="27" s="1"/>
  <c r="DE18" i="27" a="1"/>
  <c r="DE18" i="27" s="1"/>
  <c r="DE38" i="27" a="1"/>
  <c r="DE38" i="27" s="1"/>
  <c r="DE9" i="27" a="1"/>
  <c r="DE9" i="27" s="1"/>
  <c r="DE15" i="27" a="1"/>
  <c r="DE15" i="27" s="1"/>
  <c r="DE16" i="27" a="1"/>
  <c r="DE16" i="27" s="1"/>
  <c r="DE17" i="27" a="1"/>
  <c r="DE17" i="27" s="1"/>
  <c r="DE22" i="27" a="1"/>
  <c r="DE22" i="27" s="1"/>
  <c r="DE30" i="27" a="1"/>
  <c r="DE30" i="27" s="1"/>
  <c r="DE31" i="27" a="1"/>
  <c r="DE31" i="27" s="1"/>
  <c r="DE32" i="27" a="1"/>
  <c r="DE32" i="27" s="1"/>
  <c r="DE34" i="27" a="1"/>
  <c r="DE34" i="27" s="1"/>
  <c r="DE48" i="27" a="1"/>
  <c r="DE48" i="27" s="1"/>
  <c r="DE51" i="27" a="1"/>
  <c r="DE51" i="27" s="1"/>
  <c r="DE36" i="27" a="1"/>
  <c r="DE36" i="27" s="1"/>
  <c r="DE58" i="27" a="1"/>
  <c r="DE58" i="27" s="1"/>
  <c r="DE59" i="27" a="1"/>
  <c r="DE59" i="27" s="1"/>
  <c r="DE72" i="27" a="1"/>
  <c r="DE72" i="27" s="1"/>
  <c r="DE74" i="27" a="1"/>
  <c r="DE74" i="27" s="1"/>
  <c r="DE84" i="27" a="1"/>
  <c r="DE84" i="27" s="1"/>
  <c r="DE85" i="27" a="1"/>
  <c r="DE85" i="27" s="1"/>
  <c r="DE57" i="27" a="1"/>
  <c r="DE57" i="27" s="1"/>
  <c r="DE29" i="27" a="1"/>
  <c r="DE29" i="27" s="1"/>
  <c r="DE33" i="27" a="1"/>
  <c r="DE33" i="27" s="1"/>
  <c r="DE37" i="27" a="1"/>
  <c r="DE37" i="27" s="1"/>
  <c r="DE56" i="27" a="1"/>
  <c r="DE56" i="27" s="1"/>
  <c r="DE77" i="27" a="1"/>
  <c r="DE77" i="27" s="1"/>
  <c r="DE12" i="27" a="1"/>
  <c r="DE12" i="27" s="1"/>
  <c r="DE25" i="27" a="1"/>
  <c r="DE25" i="27" s="1"/>
  <c r="DE55" i="27" a="1"/>
  <c r="DE55" i="27" s="1"/>
  <c r="DE63" i="27" a="1"/>
  <c r="DE63" i="27" s="1"/>
  <c r="DE75" i="27" a="1"/>
  <c r="DE75" i="27" s="1"/>
  <c r="DE76" i="27" a="1"/>
  <c r="DE76" i="27" s="1"/>
  <c r="DE78" i="27" a="1"/>
  <c r="DE78" i="27" s="1"/>
  <c r="DE13" i="27" a="1"/>
  <c r="DE13" i="27" s="1"/>
  <c r="DE50" i="27" a="1"/>
  <c r="DE50" i="27" s="1"/>
  <c r="DE53" i="27" a="1"/>
  <c r="DE53" i="27" s="1"/>
  <c r="DE54" i="27" a="1"/>
  <c r="DE54" i="27" s="1"/>
  <c r="DE62" i="27" a="1"/>
  <c r="DE62" i="27" s="1"/>
  <c r="DE64" i="27" a="1"/>
  <c r="DE64" i="27" s="1"/>
  <c r="DE66" i="27" a="1"/>
  <c r="DE66" i="27" s="1"/>
  <c r="DE67" i="27" a="1"/>
  <c r="DE67" i="27" s="1"/>
  <c r="DE68" i="27" a="1"/>
  <c r="DE68" i="27" s="1"/>
  <c r="DE79" i="27" a="1"/>
  <c r="DE79" i="27" s="1"/>
  <c r="DE80" i="27" a="1"/>
  <c r="DE80" i="27" s="1"/>
  <c r="DE35" i="27" a="1"/>
  <c r="DE35" i="27" s="1"/>
  <c r="DE60" i="27" a="1"/>
  <c r="DE60" i="27" s="1"/>
  <c r="DE61" i="27" a="1"/>
  <c r="DE61" i="27" s="1"/>
  <c r="DE65" i="27" a="1"/>
  <c r="DE65" i="27" s="1"/>
  <c r="DE69" i="27" a="1"/>
  <c r="DE69" i="27" s="1"/>
  <c r="DE70" i="27" a="1"/>
  <c r="DE70" i="27" s="1"/>
  <c r="DE71" i="27" a="1"/>
  <c r="DE71" i="27" s="1"/>
  <c r="DE81" i="27" a="1"/>
  <c r="DE81" i="27" s="1"/>
  <c r="DE83" i="27" a="1"/>
  <c r="DE83" i="27" s="1"/>
  <c r="DE88" i="27" a="1"/>
  <c r="DE88" i="27" s="1"/>
  <c r="DE91" i="27" a="1"/>
  <c r="DE91" i="27" s="1"/>
  <c r="DE92" i="27" a="1"/>
  <c r="DE92" i="27" s="1"/>
  <c r="DE99" i="27" a="1"/>
  <c r="DE99" i="27" s="1"/>
  <c r="DE124" i="27" a="1"/>
  <c r="DE124" i="27" s="1"/>
  <c r="DE73" i="27" a="1"/>
  <c r="DE73" i="27" s="1"/>
  <c r="DE89" i="27" a="1"/>
  <c r="DE89" i="27" s="1"/>
  <c r="DE90" i="27" a="1"/>
  <c r="DE90" i="27" s="1"/>
  <c r="DE102" i="27" a="1"/>
  <c r="DE102" i="27" s="1"/>
  <c r="DE105" i="27" a="1"/>
  <c r="DE105" i="27" s="1"/>
  <c r="DE107" i="27" a="1"/>
  <c r="DE107" i="27" s="1"/>
  <c r="DE125" i="27" a="1"/>
  <c r="DE125" i="27" s="1"/>
  <c r="DE126" i="27" a="1"/>
  <c r="DE126" i="27" s="1"/>
  <c r="DE130" i="27" a="1"/>
  <c r="DE130" i="27" s="1"/>
  <c r="DE134" i="27" a="1"/>
  <c r="DE134" i="27" s="1"/>
  <c r="DE108" i="27" a="1"/>
  <c r="DE108" i="27" s="1"/>
  <c r="DE111" i="27" a="1"/>
  <c r="DE111" i="27" s="1"/>
  <c r="DE109" i="27" a="1"/>
  <c r="DE109" i="27" s="1"/>
  <c r="DE116" i="27" a="1"/>
  <c r="DE116" i="27" s="1"/>
  <c r="DE117" i="27" a="1"/>
  <c r="DE117" i="27" s="1"/>
  <c r="DE118" i="27" a="1"/>
  <c r="DE118" i="27" s="1"/>
  <c r="DE140" i="27" a="1"/>
  <c r="DE140" i="27" s="1"/>
  <c r="DE101" i="27" a="1"/>
  <c r="DE101" i="27" s="1"/>
  <c r="DE115" i="27" a="1"/>
  <c r="DE115" i="27" s="1"/>
  <c r="DE119" i="27" a="1"/>
  <c r="DE119" i="27" s="1"/>
  <c r="DE127" i="27" a="1"/>
  <c r="DE127" i="27" s="1"/>
  <c r="DE131" i="27" a="1"/>
  <c r="DE131" i="27" s="1"/>
  <c r="DE135" i="27" a="1"/>
  <c r="DE135" i="27" s="1"/>
  <c r="DE139" i="27" a="1"/>
  <c r="DE139" i="27" s="1"/>
  <c r="DE93" i="27" a="1"/>
  <c r="DE93" i="27" s="1"/>
  <c r="DE112" i="27" a="1"/>
  <c r="DE112" i="27" s="1"/>
  <c r="DE98" i="27" a="1"/>
  <c r="DE98" i="27" s="1"/>
  <c r="DE113" i="27" a="1"/>
  <c r="DE113" i="27" s="1"/>
  <c r="DE114" i="27" a="1"/>
  <c r="DE114" i="27" s="1"/>
  <c r="DE138" i="27" a="1"/>
  <c r="DE138" i="27" s="1"/>
  <c r="DE49" i="27" a="1"/>
  <c r="DE49" i="27" s="1"/>
  <c r="DE87" i="27" a="1"/>
  <c r="DE87" i="27" s="1"/>
  <c r="DE100" i="27" a="1"/>
  <c r="DE100" i="27" s="1"/>
  <c r="DE104" i="27" a="1"/>
  <c r="DE104" i="27" s="1"/>
  <c r="DE106" i="27" a="1"/>
  <c r="DE106" i="27" s="1"/>
  <c r="DE120" i="27" a="1"/>
  <c r="DE120" i="27" s="1"/>
  <c r="DE128" i="27" a="1"/>
  <c r="DE128" i="27" s="1"/>
  <c r="DE132" i="27" a="1"/>
  <c r="DE132" i="27" s="1"/>
  <c r="DE136" i="27" a="1"/>
  <c r="DE136" i="27" s="1"/>
  <c r="DE137" i="27" a="1"/>
  <c r="DE137" i="27" s="1"/>
  <c r="DE86" i="27" a="1"/>
  <c r="DE86" i="27" s="1"/>
  <c r="DE94" i="27" a="1"/>
  <c r="DE94" i="27" s="1"/>
  <c r="DE95" i="27" a="1"/>
  <c r="DE95" i="27" s="1"/>
  <c r="DE96" i="27" a="1"/>
  <c r="DE96" i="27" s="1"/>
  <c r="DE97" i="27" a="1"/>
  <c r="DE97" i="27" s="1"/>
  <c r="DE103" i="27" a="1"/>
  <c r="DE103" i="27" s="1"/>
  <c r="DE110" i="27" a="1"/>
  <c r="DE110" i="27" s="1"/>
  <c r="DE122" i="27" a="1"/>
  <c r="DE122" i="27" s="1"/>
  <c r="DE123" i="27" a="1"/>
  <c r="DE123" i="27" s="1"/>
  <c r="DE129" i="27" a="1"/>
  <c r="DE129" i="27" s="1"/>
  <c r="DE133" i="27" a="1"/>
  <c r="DE133" i="27" s="1"/>
  <c r="DE82" i="27" a="1"/>
  <c r="DE82" i="27" s="1"/>
  <c r="DE121" i="27" a="1"/>
  <c r="DE121" i="27" s="1"/>
  <c r="DO4" i="27"/>
  <c r="DO135" i="27" s="1"/>
  <c r="DC20" i="27" a="1"/>
  <c r="DC20" i="27" s="1"/>
  <c r="DC44" i="27" a="1"/>
  <c r="DC44" i="27" s="1"/>
  <c r="DC7" i="27" a="1"/>
  <c r="DC7" i="27" s="1"/>
  <c r="DC19" i="27" a="1"/>
  <c r="DC19" i="27" s="1"/>
  <c r="DC27" i="27" a="1"/>
  <c r="DC27" i="27" s="1"/>
  <c r="DC39" i="27" a="1"/>
  <c r="DC39" i="27" s="1"/>
  <c r="DC40" i="27" a="1"/>
  <c r="DC40" i="27" s="1"/>
  <c r="DC6" i="27" a="1"/>
  <c r="DC6" i="27" s="1"/>
  <c r="DC23" i="27" a="1"/>
  <c r="DC23" i="27" s="1"/>
  <c r="DC26" i="27" a="1"/>
  <c r="DC26" i="27" s="1"/>
  <c r="DC38" i="27" a="1"/>
  <c r="DC38" i="27" s="1"/>
  <c r="DC50" i="27" a="1"/>
  <c r="DC50" i="27" s="1"/>
  <c r="DC13" i="27" a="1"/>
  <c r="DC13" i="27" s="1"/>
  <c r="DC14" i="27" a="1"/>
  <c r="DC14" i="27" s="1"/>
  <c r="DC18" i="27" a="1"/>
  <c r="DC18" i="27" s="1"/>
  <c r="DC25" i="27" a="1"/>
  <c r="DC25" i="27" s="1"/>
  <c r="DC33" i="27" a="1"/>
  <c r="DC33" i="27" s="1"/>
  <c r="DC36" i="27" a="1"/>
  <c r="DC36" i="27" s="1"/>
  <c r="DC37" i="27" a="1"/>
  <c r="DC37" i="27" s="1"/>
  <c r="DC12" i="27" a="1"/>
  <c r="DC12" i="27" s="1"/>
  <c r="DC15" i="27" a="1"/>
  <c r="DC15" i="27" s="1"/>
  <c r="DC16" i="27" a="1"/>
  <c r="DC16" i="27" s="1"/>
  <c r="DC17" i="27" a="1"/>
  <c r="DC17" i="27" s="1"/>
  <c r="DC29" i="27" a="1"/>
  <c r="DC29" i="27" s="1"/>
  <c r="DC30" i="27" a="1"/>
  <c r="DC30" i="27" s="1"/>
  <c r="DC32" i="27" a="1"/>
  <c r="DC32" i="27" s="1"/>
  <c r="DC34" i="27" a="1"/>
  <c r="DC34" i="27" s="1"/>
  <c r="DC35" i="27" a="1"/>
  <c r="DC35" i="27" s="1"/>
  <c r="DC49" i="27" a="1"/>
  <c r="DC49" i="27" s="1"/>
  <c r="DC51" i="27" a="1"/>
  <c r="DC51" i="27" s="1"/>
  <c r="DC9" i="27" a="1"/>
  <c r="DC9" i="27" s="1"/>
  <c r="DC10" i="27" a="1"/>
  <c r="DC10" i="27" s="1"/>
  <c r="DC11" i="27" a="1"/>
  <c r="DC11" i="27" s="1"/>
  <c r="DC22" i="27" a="1"/>
  <c r="DC22" i="27" s="1"/>
  <c r="DC31" i="27" a="1"/>
  <c r="DC31" i="27" s="1"/>
  <c r="DC46" i="27" a="1"/>
  <c r="DC46" i="27" s="1"/>
  <c r="DC47" i="27" a="1"/>
  <c r="DC47" i="27" s="1"/>
  <c r="DC48" i="27" a="1"/>
  <c r="DC48" i="27" s="1"/>
  <c r="DC53" i="27" a="1"/>
  <c r="DC53" i="27" s="1"/>
  <c r="DC8" i="27" a="1"/>
  <c r="DC8" i="27" s="1"/>
  <c r="DC28" i="27" a="1"/>
  <c r="DC28" i="27" s="1"/>
  <c r="DC77" i="27" a="1"/>
  <c r="DC77" i="27" s="1"/>
  <c r="DC24" i="27" a="1"/>
  <c r="DC24" i="27" s="1"/>
  <c r="DC55" i="27" a="1"/>
  <c r="DC55" i="27" s="1"/>
  <c r="DC63" i="27" a="1"/>
  <c r="DC63" i="27" s="1"/>
  <c r="DC64" i="27" a="1"/>
  <c r="DC64" i="27" s="1"/>
  <c r="DC67" i="27" a="1"/>
  <c r="DC67" i="27" s="1"/>
  <c r="DC76" i="27" a="1"/>
  <c r="DC76" i="27" s="1"/>
  <c r="DC41" i="27" a="1"/>
  <c r="DC41" i="27" s="1"/>
  <c r="DC52" i="27" a="1"/>
  <c r="DC52" i="27" s="1"/>
  <c r="DC54" i="27" a="1"/>
  <c r="DC54" i="27" s="1"/>
  <c r="DC68" i="27" a="1"/>
  <c r="DC68" i="27" s="1"/>
  <c r="DC61" i="27" a="1"/>
  <c r="DC61" i="27" s="1"/>
  <c r="DC62" i="27" a="1"/>
  <c r="DC62" i="27" s="1"/>
  <c r="DC66" i="27" a="1"/>
  <c r="DC66" i="27" s="1"/>
  <c r="DC69" i="27" a="1"/>
  <c r="DC69" i="27" s="1"/>
  <c r="DC70" i="27" a="1"/>
  <c r="DC70" i="27" s="1"/>
  <c r="DC71" i="27" a="1"/>
  <c r="DC71" i="27" s="1"/>
  <c r="DC21" i="27" a="1"/>
  <c r="DC21" i="27" s="1"/>
  <c r="DC43" i="27" a="1"/>
  <c r="DC43" i="27" s="1"/>
  <c r="DC60" i="27" a="1"/>
  <c r="DC60" i="27" s="1"/>
  <c r="DC65" i="27" a="1"/>
  <c r="DC65" i="27" s="1"/>
  <c r="DC72" i="27" a="1"/>
  <c r="DC72" i="27" s="1"/>
  <c r="DC82" i="27" a="1"/>
  <c r="DC82" i="27" s="1"/>
  <c r="DC83" i="27" a="1"/>
  <c r="DC83" i="27" s="1"/>
  <c r="DC84" i="27" a="1"/>
  <c r="DC84" i="27" s="1"/>
  <c r="DC59" i="27" a="1"/>
  <c r="DC59" i="27" s="1"/>
  <c r="DC73" i="27" a="1"/>
  <c r="DC73" i="27" s="1"/>
  <c r="DC74" i="27" a="1"/>
  <c r="DC74" i="27" s="1"/>
  <c r="DC42" i="27" a="1"/>
  <c r="DC42" i="27" s="1"/>
  <c r="DC58" i="27" a="1"/>
  <c r="DC58" i="27" s="1"/>
  <c r="DC85" i="27" a="1"/>
  <c r="DC85" i="27" s="1"/>
  <c r="DC109" i="27" a="1"/>
  <c r="DC109" i="27" s="1"/>
  <c r="DC116" i="27" a="1"/>
  <c r="DC116" i="27" s="1"/>
  <c r="DC119" i="27" a="1"/>
  <c r="DC119" i="27" s="1"/>
  <c r="DC127" i="27" a="1"/>
  <c r="DC127" i="27" s="1"/>
  <c r="DC131" i="27" a="1"/>
  <c r="DC131" i="27" s="1"/>
  <c r="DC135" i="27" a="1"/>
  <c r="DC135" i="27" s="1"/>
  <c r="DC139" i="27" a="1"/>
  <c r="DC139" i="27" s="1"/>
  <c r="DC140" i="27" a="1"/>
  <c r="DC140" i="27" s="1"/>
  <c r="DC57" i="27" a="1"/>
  <c r="DC57" i="27" s="1"/>
  <c r="DC80" i="27" a="1"/>
  <c r="DC80" i="27" s="1"/>
  <c r="DC101" i="27" a="1"/>
  <c r="DC101" i="27" s="1"/>
  <c r="DC114" i="27" a="1"/>
  <c r="DC114" i="27" s="1"/>
  <c r="DC115" i="27" a="1"/>
  <c r="DC115" i="27" s="1"/>
  <c r="DC138" i="27" a="1"/>
  <c r="DC138" i="27" s="1"/>
  <c r="DC79" i="27" a="1"/>
  <c r="DC79" i="27" s="1"/>
  <c r="DC87" i="27" a="1"/>
  <c r="DC87" i="27" s="1"/>
  <c r="DC98" i="27" a="1"/>
  <c r="DC98" i="27" s="1"/>
  <c r="DC113" i="27" a="1"/>
  <c r="DC113" i="27" s="1"/>
  <c r="DC120" i="27" a="1"/>
  <c r="DC120" i="27" s="1"/>
  <c r="DC132" i="27" a="1"/>
  <c r="DC132" i="27" s="1"/>
  <c r="DC45" i="27" a="1"/>
  <c r="DC45" i="27" s="1"/>
  <c r="DC100" i="27" a="1"/>
  <c r="DC100" i="27" s="1"/>
  <c r="DC104" i="27" a="1"/>
  <c r="DC104" i="27" s="1"/>
  <c r="DC106" i="27" a="1"/>
  <c r="DC106" i="27" s="1"/>
  <c r="DC112" i="27" a="1"/>
  <c r="DC112" i="27" s="1"/>
  <c r="DC121" i="27" a="1"/>
  <c r="DC121" i="27" s="1"/>
  <c r="DC128" i="27" a="1"/>
  <c r="DC128" i="27" s="1"/>
  <c r="DC136" i="27" a="1"/>
  <c r="DC136" i="27" s="1"/>
  <c r="DC137" i="27" a="1"/>
  <c r="DC137" i="27" s="1"/>
  <c r="DC88" i="27" a="1"/>
  <c r="DC88" i="27" s="1"/>
  <c r="DC78" i="27" a="1"/>
  <c r="DC78" i="27" s="1"/>
  <c r="DC92" i="27" a="1"/>
  <c r="DC92" i="27" s="1"/>
  <c r="DC93" i="27" a="1"/>
  <c r="DC93" i="27" s="1"/>
  <c r="DC94" i="27" a="1"/>
  <c r="DC94" i="27" s="1"/>
  <c r="DC95" i="27" a="1"/>
  <c r="DC95" i="27" s="1"/>
  <c r="DC96" i="27" a="1"/>
  <c r="DC96" i="27" s="1"/>
  <c r="DC108" i="27" a="1"/>
  <c r="DC108" i="27" s="1"/>
  <c r="DC111" i="27" a="1"/>
  <c r="DC111" i="27" s="1"/>
  <c r="DC122" i="27" a="1"/>
  <c r="DC122" i="27" s="1"/>
  <c r="DC129" i="27" a="1"/>
  <c r="DC129" i="27" s="1"/>
  <c r="DC133" i="27" a="1"/>
  <c r="DC133" i="27" s="1"/>
  <c r="DC75" i="27" a="1"/>
  <c r="DC75" i="27" s="1"/>
  <c r="DC86" i="27" a="1"/>
  <c r="DC86" i="27" s="1"/>
  <c r="DC89" i="27" a="1"/>
  <c r="DC89" i="27" s="1"/>
  <c r="DC97" i="27" a="1"/>
  <c r="DC97" i="27" s="1"/>
  <c r="DC103" i="27" a="1"/>
  <c r="DC103" i="27" s="1"/>
  <c r="DC110" i="27" a="1"/>
  <c r="DC110" i="27" s="1"/>
  <c r="DC123" i="27" a="1"/>
  <c r="DC123" i="27" s="1"/>
  <c r="DC124" i="27" a="1"/>
  <c r="DC124" i="27" s="1"/>
  <c r="DC126" i="27" a="1"/>
  <c r="DC126" i="27" s="1"/>
  <c r="DC130" i="27" a="1"/>
  <c r="DC130" i="27" s="1"/>
  <c r="DC134" i="27" a="1"/>
  <c r="DC134" i="27" s="1"/>
  <c r="DC91" i="27" a="1"/>
  <c r="DC91" i="27" s="1"/>
  <c r="DC56" i="27" a="1"/>
  <c r="DC56" i="27" s="1"/>
  <c r="DC81" i="27" a="1"/>
  <c r="DC81" i="27" s="1"/>
  <c r="DC90" i="27" a="1"/>
  <c r="DC90" i="27" s="1"/>
  <c r="DC102" i="27" a="1"/>
  <c r="DC102" i="27" s="1"/>
  <c r="DC105" i="27" a="1"/>
  <c r="DC105" i="27" s="1"/>
  <c r="DC107" i="27" a="1"/>
  <c r="DC107" i="27" s="1"/>
  <c r="DC117" i="27" a="1"/>
  <c r="DC117" i="27" s="1"/>
  <c r="DC118" i="27" a="1"/>
  <c r="DC118" i="27" s="1"/>
  <c r="DC99" i="27" a="1"/>
  <c r="DC99" i="27" s="1"/>
  <c r="DC125" i="27" a="1"/>
  <c r="DC125" i="27" s="1"/>
  <c r="DM4" i="27"/>
  <c r="DM135" i="27" s="1"/>
  <c r="DA14" i="27" a="1"/>
  <c r="DA14" i="27" s="1"/>
  <c r="DA18" i="27" a="1"/>
  <c r="DA18" i="27" s="1"/>
  <c r="DA23" i="27" a="1"/>
  <c r="DA23" i="27" s="1"/>
  <c r="DA38" i="27" a="1"/>
  <c r="DA38" i="27" s="1"/>
  <c r="DA50" i="27" a="1"/>
  <c r="DA50" i="27" s="1"/>
  <c r="DA13" i="27" a="1"/>
  <c r="DA13" i="27" s="1"/>
  <c r="DA15" i="27" a="1"/>
  <c r="DA15" i="27" s="1"/>
  <c r="DA17" i="27" a="1"/>
  <c r="DA17" i="27" s="1"/>
  <c r="DA25" i="27" a="1"/>
  <c r="DA25" i="27" s="1"/>
  <c r="DA30" i="27" a="1"/>
  <c r="DA30" i="27" s="1"/>
  <c r="DA33" i="27" a="1"/>
  <c r="DA33" i="27" s="1"/>
  <c r="DA34" i="27" a="1"/>
  <c r="DA34" i="27" s="1"/>
  <c r="DA36" i="27" a="1"/>
  <c r="DA36" i="27" s="1"/>
  <c r="DA37" i="27" a="1"/>
  <c r="DA37" i="27" s="1"/>
  <c r="DA10" i="27" a="1"/>
  <c r="DA10" i="27" s="1"/>
  <c r="DA11" i="27" a="1"/>
  <c r="DA11" i="27" s="1"/>
  <c r="DA12" i="27" a="1"/>
  <c r="DA12" i="27" s="1"/>
  <c r="DA16" i="27" a="1"/>
  <c r="DA16" i="27" s="1"/>
  <c r="DA29" i="27" a="1"/>
  <c r="DA29" i="27" s="1"/>
  <c r="DA32" i="27" a="1"/>
  <c r="DA32" i="27" s="1"/>
  <c r="DA35" i="27" a="1"/>
  <c r="DA35" i="27" s="1"/>
  <c r="DA46" i="27" a="1"/>
  <c r="DA46" i="27" s="1"/>
  <c r="DA47" i="27" a="1"/>
  <c r="DA47" i="27" s="1"/>
  <c r="DA9" i="27" a="1"/>
  <c r="DA9" i="27" s="1"/>
  <c r="DA22" i="27" a="1"/>
  <c r="DA22" i="27" s="1"/>
  <c r="DA31" i="27" a="1"/>
  <c r="DA31" i="27" s="1"/>
  <c r="DA8" i="27" a="1"/>
  <c r="DA8" i="27" s="1"/>
  <c r="DA21" i="27" a="1"/>
  <c r="DA21" i="27" s="1"/>
  <c r="DA24" i="27" a="1"/>
  <c r="DA24" i="27" s="1"/>
  <c r="DA45" i="27" a="1"/>
  <c r="DA45" i="27" s="1"/>
  <c r="DA20" i="27" a="1"/>
  <c r="DA20" i="27" s="1"/>
  <c r="DA28" i="27" a="1"/>
  <c r="DA28" i="27" s="1"/>
  <c r="DA44" i="27" a="1"/>
  <c r="DA44" i="27" s="1"/>
  <c r="DA6" i="27" a="1"/>
  <c r="DA6" i="27" s="1"/>
  <c r="DA7" i="27" a="1"/>
  <c r="DA7" i="27" s="1"/>
  <c r="DA19" i="27" a="1"/>
  <c r="DA19" i="27" s="1"/>
  <c r="DA26" i="27" a="1"/>
  <c r="DA26" i="27" s="1"/>
  <c r="DA39" i="27" a="1"/>
  <c r="DA39" i="27" s="1"/>
  <c r="DA42" i="27" a="1"/>
  <c r="DA42" i="27" s="1"/>
  <c r="DA48" i="27" a="1"/>
  <c r="DA48" i="27" s="1"/>
  <c r="DA52" i="27" a="1"/>
  <c r="DA52" i="27" s="1"/>
  <c r="DA65" i="27" a="1"/>
  <c r="DA65" i="27" s="1"/>
  <c r="DA70" i="27" a="1"/>
  <c r="DA70" i="27" s="1"/>
  <c r="DA80" i="27" a="1"/>
  <c r="DA80" i="27" s="1"/>
  <c r="DA82" i="27" a="1"/>
  <c r="DA82" i="27" s="1"/>
  <c r="DA41" i="27" a="1"/>
  <c r="DA41" i="27" s="1"/>
  <c r="DA51" i="27" a="1"/>
  <c r="DA51" i="27" s="1"/>
  <c r="DA53" i="27" a="1"/>
  <c r="DA53" i="27" s="1"/>
  <c r="DA60" i="27" a="1"/>
  <c r="DA60" i="27" s="1"/>
  <c r="DA61" i="27" a="1"/>
  <c r="DA61" i="27" s="1"/>
  <c r="DA66" i="27" a="1"/>
  <c r="DA66" i="27" s="1"/>
  <c r="DA69" i="27" a="1"/>
  <c r="DA69" i="27" s="1"/>
  <c r="DA71" i="27" a="1"/>
  <c r="DA71" i="27" s="1"/>
  <c r="DA59" i="27" a="1"/>
  <c r="DA59" i="27" s="1"/>
  <c r="DA72" i="27" a="1"/>
  <c r="DA72" i="27" s="1"/>
  <c r="DA73" i="27" a="1"/>
  <c r="DA73" i="27" s="1"/>
  <c r="DA83" i="27" a="1"/>
  <c r="DA83" i="27" s="1"/>
  <c r="DA84" i="27" a="1"/>
  <c r="DA84" i="27" s="1"/>
  <c r="DA43" i="27" a="1"/>
  <c r="DA43" i="27" s="1"/>
  <c r="DA57" i="27" a="1"/>
  <c r="DA57" i="27" s="1"/>
  <c r="DA74" i="27" a="1"/>
  <c r="DA74" i="27" s="1"/>
  <c r="DA58" i="27" a="1"/>
  <c r="DA58" i="27" s="1"/>
  <c r="DA75" i="27" a="1"/>
  <c r="DA75" i="27" s="1"/>
  <c r="DA49" i="27" a="1"/>
  <c r="DA49" i="27" s="1"/>
  <c r="DA56" i="27" a="1"/>
  <c r="DA56" i="27" s="1"/>
  <c r="DA78" i="27" a="1"/>
  <c r="DA78" i="27" s="1"/>
  <c r="DA27" i="27" a="1"/>
  <c r="DA27" i="27" s="1"/>
  <c r="DA64" i="27" a="1"/>
  <c r="DA64" i="27" s="1"/>
  <c r="DA76" i="27" a="1"/>
  <c r="DA76" i="27" s="1"/>
  <c r="DA77" i="27" a="1"/>
  <c r="DA77" i="27" s="1"/>
  <c r="DA79" i="27" a="1"/>
  <c r="DA79" i="27" s="1"/>
  <c r="DA40" i="27" a="1"/>
  <c r="DA40" i="27" s="1"/>
  <c r="DA85" i="27" a="1"/>
  <c r="DA85" i="27" s="1"/>
  <c r="DA98" i="27" a="1"/>
  <c r="DA98" i="27" s="1"/>
  <c r="DA112" i="27" a="1"/>
  <c r="DA112" i="27" s="1"/>
  <c r="DA113" i="27" a="1"/>
  <c r="DA113" i="27" s="1"/>
  <c r="DA137" i="27" a="1"/>
  <c r="DA137" i="27" s="1"/>
  <c r="DA93" i="27" a="1"/>
  <c r="DA93" i="27" s="1"/>
  <c r="DA94" i="27" a="1"/>
  <c r="DA94" i="27" s="1"/>
  <c r="DA95" i="27" a="1"/>
  <c r="DA95" i="27" s="1"/>
  <c r="DA100" i="27" a="1"/>
  <c r="DA100" i="27" s="1"/>
  <c r="DA104" i="27" a="1"/>
  <c r="DA104" i="27" s="1"/>
  <c r="DA106" i="27" a="1"/>
  <c r="DA106" i="27" s="1"/>
  <c r="DA121" i="27" a="1"/>
  <c r="DA121" i="27" s="1"/>
  <c r="DA123" i="27" a="1"/>
  <c r="DA123" i="27" s="1"/>
  <c r="DA129" i="27" a="1"/>
  <c r="DA129" i="27" s="1"/>
  <c r="DA133" i="27" a="1"/>
  <c r="DA133" i="27" s="1"/>
  <c r="DA62" i="27" a="1"/>
  <c r="DA62" i="27" s="1"/>
  <c r="DA92" i="27" a="1"/>
  <c r="DA92" i="27" s="1"/>
  <c r="DA96" i="27" a="1"/>
  <c r="DA96" i="27" s="1"/>
  <c r="DA97" i="27" a="1"/>
  <c r="DA97" i="27" s="1"/>
  <c r="DA103" i="27" a="1"/>
  <c r="DA103" i="27" s="1"/>
  <c r="DA108" i="27" a="1"/>
  <c r="DA108" i="27" s="1"/>
  <c r="DA111" i="27" a="1"/>
  <c r="DA111" i="27" s="1"/>
  <c r="DA122" i="27" a="1"/>
  <c r="DA122" i="27" s="1"/>
  <c r="DA134" i="27" a="1"/>
  <c r="DA134" i="27" s="1"/>
  <c r="DA54" i="27" a="1"/>
  <c r="DA54" i="27" s="1"/>
  <c r="DA89" i="27" a="1"/>
  <c r="DA89" i="27" s="1"/>
  <c r="DA90" i="27" a="1"/>
  <c r="DA90" i="27" s="1"/>
  <c r="DA110" i="27" a="1"/>
  <c r="DA110" i="27" s="1"/>
  <c r="DA124" i="27" a="1"/>
  <c r="DA124" i="27" s="1"/>
  <c r="DA125" i="27" a="1"/>
  <c r="DA125" i="27" s="1"/>
  <c r="DA126" i="27" a="1"/>
  <c r="DA126" i="27" s="1"/>
  <c r="DA130" i="27" a="1"/>
  <c r="DA130" i="27" s="1"/>
  <c r="DA63" i="27" a="1"/>
  <c r="DA63" i="27" s="1"/>
  <c r="DA67" i="27" a="1"/>
  <c r="DA67" i="27" s="1"/>
  <c r="DA86" i="27" a="1"/>
  <c r="DA86" i="27" s="1"/>
  <c r="DA88" i="27" a="1"/>
  <c r="DA88" i="27" s="1"/>
  <c r="DA91" i="27" a="1"/>
  <c r="DA91" i="27" s="1"/>
  <c r="DA99" i="27" a="1"/>
  <c r="DA99" i="27" s="1"/>
  <c r="DA117" i="27" a="1"/>
  <c r="DA117" i="27" s="1"/>
  <c r="DA55" i="27" a="1"/>
  <c r="DA55" i="27" s="1"/>
  <c r="DA102" i="27" a="1"/>
  <c r="DA102" i="27" s="1"/>
  <c r="DA105" i="27" a="1"/>
  <c r="DA105" i="27" s="1"/>
  <c r="DA107" i="27" a="1"/>
  <c r="DA107" i="27" s="1"/>
  <c r="DA118" i="27" a="1"/>
  <c r="DA118" i="27" s="1"/>
  <c r="DA127" i="27" a="1"/>
  <c r="DA127" i="27" s="1"/>
  <c r="DA131" i="27" a="1"/>
  <c r="DA131" i="27" s="1"/>
  <c r="DA135" i="27" a="1"/>
  <c r="DA135" i="27" s="1"/>
  <c r="DA140" i="27" a="1"/>
  <c r="DA140" i="27" s="1"/>
  <c r="DA68" i="27" a="1"/>
  <c r="DA68" i="27" s="1"/>
  <c r="DA81" i="27" a="1"/>
  <c r="DA81" i="27" s="1"/>
  <c r="DA87" i="27" a="1"/>
  <c r="DA87" i="27" s="1"/>
  <c r="DA101" i="27" a="1"/>
  <c r="DA101" i="27" s="1"/>
  <c r="DA114" i="27" a="1"/>
  <c r="DA114" i="27" s="1"/>
  <c r="DA128" i="27" a="1"/>
  <c r="DA128" i="27" s="1"/>
  <c r="DA132" i="27" a="1"/>
  <c r="DA132" i="27" s="1"/>
  <c r="DA136" i="27" a="1"/>
  <c r="DA136" i="27" s="1"/>
  <c r="DA138" i="27" a="1"/>
  <c r="DA138" i="27" s="1"/>
  <c r="DA109" i="27" a="1"/>
  <c r="DA109" i="27" s="1"/>
  <c r="DA115" i="27" a="1"/>
  <c r="DA115" i="27" s="1"/>
  <c r="DA119" i="27" a="1"/>
  <c r="DA119" i="27" s="1"/>
  <c r="DA116" i="27" a="1"/>
  <c r="DA116" i="27" s="1"/>
  <c r="DA120" i="27" a="1"/>
  <c r="DA120" i="27" s="1"/>
  <c r="DA139" i="27" a="1"/>
  <c r="DA139" i="27" s="1"/>
  <c r="DT4" i="27"/>
  <c r="DT135" i="27" s="1"/>
  <c r="DH18" i="27" a="1"/>
  <c r="DH18" i="27" s="1"/>
  <c r="DH19" i="27" a="1"/>
  <c r="DH19" i="27" s="1"/>
  <c r="DH26" i="27" a="1"/>
  <c r="DH26" i="27" s="1"/>
  <c r="DH39" i="27" a="1"/>
  <c r="DH39" i="27" s="1"/>
  <c r="DH40" i="27" a="1"/>
  <c r="DH40" i="27" s="1"/>
  <c r="DH41" i="27" a="1"/>
  <c r="DH41" i="27" s="1"/>
  <c r="DH42" i="27" a="1"/>
  <c r="DH42" i="27" s="1"/>
  <c r="DH14" i="27" a="1"/>
  <c r="DH14" i="27" s="1"/>
  <c r="DH25" i="27" a="1"/>
  <c r="DH25" i="27" s="1"/>
  <c r="DH29" i="27" a="1"/>
  <c r="DH29" i="27" s="1"/>
  <c r="DH38" i="27" a="1"/>
  <c r="DH38" i="27" s="1"/>
  <c r="DH12" i="27" a="1"/>
  <c r="DH12" i="27" s="1"/>
  <c r="DH13" i="27" a="1"/>
  <c r="DH13" i="27" s="1"/>
  <c r="DH17" i="27" a="1"/>
  <c r="DH17" i="27" s="1"/>
  <c r="DH22" i="27" a="1"/>
  <c r="DH22" i="27" s="1"/>
  <c r="DH30" i="27" a="1"/>
  <c r="DH30" i="27" s="1"/>
  <c r="DH33" i="27" a="1"/>
  <c r="DH33" i="27" s="1"/>
  <c r="DH34" i="27" a="1"/>
  <c r="DH34" i="27" s="1"/>
  <c r="DH35" i="27" a="1"/>
  <c r="DH35" i="27" s="1"/>
  <c r="DH37" i="27" a="1"/>
  <c r="DH37" i="27" s="1"/>
  <c r="DH49" i="27" a="1"/>
  <c r="DH49" i="27" s="1"/>
  <c r="DH50" i="27" a="1"/>
  <c r="DH50" i="27" s="1"/>
  <c r="DH11" i="27" a="1"/>
  <c r="DH11" i="27" s="1"/>
  <c r="DH15" i="27" a="1"/>
  <c r="DH15" i="27" s="1"/>
  <c r="DH16" i="27" a="1"/>
  <c r="DH16" i="27" s="1"/>
  <c r="DH32" i="27" a="1"/>
  <c r="DH32" i="27" s="1"/>
  <c r="DH36" i="27" a="1"/>
  <c r="DH36" i="27" s="1"/>
  <c r="DH8" i="27" a="1"/>
  <c r="DH8" i="27" s="1"/>
  <c r="DH9" i="27" a="1"/>
  <c r="DH9" i="27" s="1"/>
  <c r="DH10" i="27" a="1"/>
  <c r="DH10" i="27" s="1"/>
  <c r="DH21" i="27" a="1"/>
  <c r="DH21" i="27" s="1"/>
  <c r="DH24" i="27" a="1"/>
  <c r="DH24" i="27" s="1"/>
  <c r="DH31" i="27" a="1"/>
  <c r="DH31" i="27" s="1"/>
  <c r="DH46" i="27" a="1"/>
  <c r="DH46" i="27" s="1"/>
  <c r="DH28" i="27" a="1"/>
  <c r="DH28" i="27" s="1"/>
  <c r="DH44" i="27" a="1"/>
  <c r="DH44" i="27" s="1"/>
  <c r="DH45" i="27" a="1"/>
  <c r="DH45" i="27" s="1"/>
  <c r="DH6" i="27" a="1"/>
  <c r="DH6" i="27" s="1"/>
  <c r="DH7" i="27" a="1"/>
  <c r="DH7" i="27" s="1"/>
  <c r="DH23" i="27" a="1"/>
  <c r="DH23" i="27" s="1"/>
  <c r="DH27" i="27" a="1"/>
  <c r="DH27" i="27" s="1"/>
  <c r="DH43" i="27" a="1"/>
  <c r="DH43" i="27" s="1"/>
  <c r="DH54" i="27" a="1"/>
  <c r="DH54" i="27" s="1"/>
  <c r="DH62" i="27" a="1"/>
  <c r="DH62" i="27" s="1"/>
  <c r="DH63" i="27" a="1"/>
  <c r="DH63" i="27" s="1"/>
  <c r="DH78" i="27" a="1"/>
  <c r="DH78" i="27" s="1"/>
  <c r="DH53" i="27" a="1"/>
  <c r="DH53" i="27" s="1"/>
  <c r="DH64" i="27" a="1"/>
  <c r="DH64" i="27" s="1"/>
  <c r="DH65" i="27" a="1"/>
  <c r="DH65" i="27" s="1"/>
  <c r="DH67" i="27" a="1"/>
  <c r="DH67" i="27" s="1"/>
  <c r="DH68" i="27" a="1"/>
  <c r="DH68" i="27" s="1"/>
  <c r="DH60" i="27" a="1"/>
  <c r="DH60" i="27" s="1"/>
  <c r="DH61" i="27" a="1"/>
  <c r="DH61" i="27" s="1"/>
  <c r="DH66" i="27" a="1"/>
  <c r="DH66" i="27" s="1"/>
  <c r="DH69" i="27" a="1"/>
  <c r="DH69" i="27" s="1"/>
  <c r="DH70" i="27" a="1"/>
  <c r="DH70" i="27" s="1"/>
  <c r="DH82" i="27" a="1"/>
  <c r="DH82" i="27" s="1"/>
  <c r="DH20" i="27" a="1"/>
  <c r="DH20" i="27" s="1"/>
  <c r="DH48" i="27" a="1"/>
  <c r="DH48" i="27" s="1"/>
  <c r="DH59" i="27" a="1"/>
  <c r="DH59" i="27" s="1"/>
  <c r="DH71" i="27" a="1"/>
  <c r="DH71" i="27" s="1"/>
  <c r="DH72" i="27" a="1"/>
  <c r="DH72" i="27" s="1"/>
  <c r="DH73" i="27" a="1"/>
  <c r="DH73" i="27" s="1"/>
  <c r="DH57" i="27" a="1"/>
  <c r="DH57" i="27" s="1"/>
  <c r="DH84" i="27" a="1"/>
  <c r="DH84" i="27" s="1"/>
  <c r="DH47" i="27" a="1"/>
  <c r="DH47" i="27" s="1"/>
  <c r="DH51" i="27" a="1"/>
  <c r="DH51" i="27" s="1"/>
  <c r="DH52" i="27" a="1"/>
  <c r="DH52" i="27" s="1"/>
  <c r="DH58" i="27" a="1"/>
  <c r="DH58" i="27" s="1"/>
  <c r="DH55" i="27" a="1"/>
  <c r="DH55" i="27" s="1"/>
  <c r="DH56" i="27" a="1"/>
  <c r="DH56" i="27" s="1"/>
  <c r="DH74" i="27" a="1"/>
  <c r="DH74" i="27" s="1"/>
  <c r="DH75" i="27" a="1"/>
  <c r="DH75" i="27" s="1"/>
  <c r="DH76" i="27" a="1"/>
  <c r="DH76" i="27" s="1"/>
  <c r="DH104" i="27" a="1"/>
  <c r="DH104" i="27" s="1"/>
  <c r="DH106" i="27" a="1"/>
  <c r="DH106" i="27" s="1"/>
  <c r="DH113" i="27" a="1"/>
  <c r="DH113" i="27" s="1"/>
  <c r="DH114" i="27" a="1"/>
  <c r="DH114" i="27" s="1"/>
  <c r="DH119" i="27" a="1"/>
  <c r="DH119" i="27" s="1"/>
  <c r="DH138" i="27" a="1"/>
  <c r="DH138" i="27" s="1"/>
  <c r="DH137" i="27" a="1"/>
  <c r="DH137" i="27" s="1"/>
  <c r="DH100" i="27" a="1"/>
  <c r="DH100" i="27" s="1"/>
  <c r="DH108" i="27" a="1"/>
  <c r="DH108" i="27" s="1"/>
  <c r="DH112" i="27" a="1"/>
  <c r="DH112" i="27" s="1"/>
  <c r="DH120" i="27" a="1"/>
  <c r="DH120" i="27" s="1"/>
  <c r="DH83" i="27" a="1"/>
  <c r="DH83" i="27" s="1"/>
  <c r="DH77" i="27" a="1"/>
  <c r="DH77" i="27" s="1"/>
  <c r="DH81" i="27" a="1"/>
  <c r="DH81" i="27" s="1"/>
  <c r="DH93" i="27" a="1"/>
  <c r="DH93" i="27" s="1"/>
  <c r="DH110" i="27" a="1"/>
  <c r="DH110" i="27" s="1"/>
  <c r="DH121" i="27" a="1"/>
  <c r="DH121" i="27" s="1"/>
  <c r="DH128" i="27" a="1"/>
  <c r="DH128" i="27" s="1"/>
  <c r="DH132" i="27" a="1"/>
  <c r="DH132" i="27" s="1"/>
  <c r="DH136" i="27" a="1"/>
  <c r="DH136" i="27" s="1"/>
  <c r="DH80" i="27" a="1"/>
  <c r="DH80" i="27" s="1"/>
  <c r="DH92" i="27" a="1"/>
  <c r="DH92" i="27" s="1"/>
  <c r="DH94" i="27" a="1"/>
  <c r="DH94" i="27" s="1"/>
  <c r="DH95" i="27" a="1"/>
  <c r="DH95" i="27" s="1"/>
  <c r="DH97" i="27" a="1"/>
  <c r="DH97" i="27" s="1"/>
  <c r="DH103" i="27" a="1"/>
  <c r="DH103" i="27" s="1"/>
  <c r="DH111" i="27" a="1"/>
  <c r="DH111" i="27" s="1"/>
  <c r="DH122" i="27" a="1"/>
  <c r="DH122" i="27" s="1"/>
  <c r="DH123" i="27" a="1"/>
  <c r="DH123" i="27" s="1"/>
  <c r="DH87" i="27" a="1"/>
  <c r="DH87" i="27" s="1"/>
  <c r="DH90" i="27" a="1"/>
  <c r="DH90" i="27" s="1"/>
  <c r="DH96" i="27" a="1"/>
  <c r="DH96" i="27" s="1"/>
  <c r="DH99" i="27" a="1"/>
  <c r="DH99" i="27" s="1"/>
  <c r="DH105" i="27" a="1"/>
  <c r="DH105" i="27" s="1"/>
  <c r="DH125" i="27" a="1"/>
  <c r="DH125" i="27" s="1"/>
  <c r="DH129" i="27" a="1"/>
  <c r="DH129" i="27" s="1"/>
  <c r="DH133" i="27" a="1"/>
  <c r="DH133" i="27" s="1"/>
  <c r="DH79" i="27" a="1"/>
  <c r="DH79" i="27" s="1"/>
  <c r="DH85" i="27" a="1"/>
  <c r="DH85" i="27" s="1"/>
  <c r="DH86" i="27" a="1"/>
  <c r="DH86" i="27" s="1"/>
  <c r="DH88" i="27" a="1"/>
  <c r="DH88" i="27" s="1"/>
  <c r="DH89" i="27" a="1"/>
  <c r="DH89" i="27" s="1"/>
  <c r="DH91" i="27" a="1"/>
  <c r="DH91" i="27" s="1"/>
  <c r="DH102" i="27" a="1"/>
  <c r="DH102" i="27" s="1"/>
  <c r="DH107" i="27" a="1"/>
  <c r="DH107" i="27" s="1"/>
  <c r="DH109" i="27" a="1"/>
  <c r="DH109" i="27" s="1"/>
  <c r="DH124" i="27" a="1"/>
  <c r="DH124" i="27" s="1"/>
  <c r="DH126" i="27" a="1"/>
  <c r="DH126" i="27" s="1"/>
  <c r="DH130" i="27" a="1"/>
  <c r="DH130" i="27" s="1"/>
  <c r="DH134" i="27" a="1"/>
  <c r="DH134" i="27" s="1"/>
  <c r="DH101" i="27" a="1"/>
  <c r="DH101" i="27" s="1"/>
  <c r="DH98" i="27" a="1"/>
  <c r="DH98" i="27" s="1"/>
  <c r="DH116" i="27" a="1"/>
  <c r="DH116" i="27" s="1"/>
  <c r="DH127" i="27" a="1"/>
  <c r="DH127" i="27" s="1"/>
  <c r="DH131" i="27" a="1"/>
  <c r="DH131" i="27" s="1"/>
  <c r="DH135" i="27" a="1"/>
  <c r="DH135" i="27" s="1"/>
  <c r="DH115" i="27" a="1"/>
  <c r="DH115" i="27" s="1"/>
  <c r="DH139" i="27" a="1"/>
  <c r="DH139" i="27" s="1"/>
  <c r="DH117" i="27" a="1"/>
  <c r="DH117" i="27" s="1"/>
  <c r="DH140" i="27" a="1"/>
  <c r="DH140" i="27" s="1"/>
  <c r="DH118" i="27" a="1"/>
  <c r="DH118" i="27" s="1"/>
  <c r="DR4" i="27"/>
  <c r="DR135" i="27" s="1"/>
  <c r="DF13" i="27" a="1"/>
  <c r="DF13" i="27" s="1"/>
  <c r="DF15" i="27" a="1"/>
  <c r="DF15" i="27" s="1"/>
  <c r="DF16" i="27" a="1"/>
  <c r="DF16" i="27" s="1"/>
  <c r="DF17" i="27" a="1"/>
  <c r="DF17" i="27" s="1"/>
  <c r="DF22" i="27" a="1"/>
  <c r="DF22" i="27" s="1"/>
  <c r="DF30" i="27" a="1"/>
  <c r="DF30" i="27" s="1"/>
  <c r="DF32" i="27" a="1"/>
  <c r="DF32" i="27" s="1"/>
  <c r="DF34" i="27" a="1"/>
  <c r="DF34" i="27" s="1"/>
  <c r="DF36" i="27" a="1"/>
  <c r="DF36" i="27" s="1"/>
  <c r="DF9" i="27" a="1"/>
  <c r="DF9" i="27" s="1"/>
  <c r="DF10" i="27" a="1"/>
  <c r="DF10" i="27" s="1"/>
  <c r="DF11" i="27" a="1"/>
  <c r="DF11" i="27" s="1"/>
  <c r="DF24" i="27" a="1"/>
  <c r="DF24" i="27" s="1"/>
  <c r="DF31" i="27" a="1"/>
  <c r="DF31" i="27" s="1"/>
  <c r="DF8" i="27" a="1"/>
  <c r="DF8" i="27" s="1"/>
  <c r="DF21" i="27" a="1"/>
  <c r="DF21" i="27" s="1"/>
  <c r="DF45" i="27" a="1"/>
  <c r="DF45" i="27" s="1"/>
  <c r="DF20" i="27" a="1"/>
  <c r="DF20" i="27" s="1"/>
  <c r="DF28" i="27" a="1"/>
  <c r="DF28" i="27" s="1"/>
  <c r="DF27" i="27" a="1"/>
  <c r="DF27" i="27" s="1"/>
  <c r="DF6" i="27" a="1"/>
  <c r="DF6" i="27" s="1"/>
  <c r="DF7" i="27" a="1"/>
  <c r="DF7" i="27" s="1"/>
  <c r="DF19" i="27" a="1"/>
  <c r="DF19" i="27" s="1"/>
  <c r="DF23" i="27" a="1"/>
  <c r="DF23" i="27" s="1"/>
  <c r="DF39" i="27" a="1"/>
  <c r="DF39" i="27" s="1"/>
  <c r="DF40" i="27" a="1"/>
  <c r="DF40" i="27" s="1"/>
  <c r="DF41" i="27" a="1"/>
  <c r="DF41" i="27" s="1"/>
  <c r="DF42" i="27" a="1"/>
  <c r="DF42" i="27" s="1"/>
  <c r="DF43" i="27" a="1"/>
  <c r="DF43" i="27" s="1"/>
  <c r="DF12" i="27" a="1"/>
  <c r="DF12" i="27" s="1"/>
  <c r="DF25" i="27" a="1"/>
  <c r="DF25" i="27" s="1"/>
  <c r="DF29" i="27" a="1"/>
  <c r="DF29" i="27" s="1"/>
  <c r="DF33" i="27" a="1"/>
  <c r="DF33" i="27" s="1"/>
  <c r="DF35" i="27" a="1"/>
  <c r="DF35" i="27" s="1"/>
  <c r="DF37" i="27" a="1"/>
  <c r="DF37" i="27" s="1"/>
  <c r="DF49" i="27" a="1"/>
  <c r="DF49" i="27" s="1"/>
  <c r="DF50" i="27" a="1"/>
  <c r="DF50" i="27" s="1"/>
  <c r="DF61" i="27" a="1"/>
  <c r="DF61" i="27" s="1"/>
  <c r="DF73" i="27" a="1"/>
  <c r="DF73" i="27" s="1"/>
  <c r="DF81" i="27" a="1"/>
  <c r="DF81" i="27" s="1"/>
  <c r="DF82" i="27" a="1"/>
  <c r="DF82" i="27" s="1"/>
  <c r="DF59" i="27" a="1"/>
  <c r="DF59" i="27" s="1"/>
  <c r="DF72" i="27" a="1"/>
  <c r="DF72" i="27" s="1"/>
  <c r="DF48" i="27" a="1"/>
  <c r="DF48" i="27" s="1"/>
  <c r="DF57" i="27" a="1"/>
  <c r="DF57" i="27" s="1"/>
  <c r="DF58" i="27" a="1"/>
  <c r="DF58" i="27" s="1"/>
  <c r="DF74" i="27" a="1"/>
  <c r="DF74" i="27" s="1"/>
  <c r="DF44" i="27" a="1"/>
  <c r="DF44" i="27" s="1"/>
  <c r="DF52" i="27" a="1"/>
  <c r="DF52" i="27" s="1"/>
  <c r="DF38" i="27" a="1"/>
  <c r="DF38" i="27" s="1"/>
  <c r="DF47" i="27" a="1"/>
  <c r="DF47" i="27" s="1"/>
  <c r="DF51" i="27" a="1"/>
  <c r="DF51" i="27" s="1"/>
  <c r="DF55" i="27" a="1"/>
  <c r="DF55" i="27" s="1"/>
  <c r="DF56" i="27" a="1"/>
  <c r="DF56" i="27" s="1"/>
  <c r="DF63" i="27" a="1"/>
  <c r="DF63" i="27" s="1"/>
  <c r="DF75" i="27" a="1"/>
  <c r="DF75" i="27" s="1"/>
  <c r="DF76" i="27" a="1"/>
  <c r="DF76" i="27" s="1"/>
  <c r="DF77" i="27" a="1"/>
  <c r="DF77" i="27" s="1"/>
  <c r="DF26" i="27" a="1"/>
  <c r="DF26" i="27" s="1"/>
  <c r="DF78" i="27" a="1"/>
  <c r="DF78" i="27" s="1"/>
  <c r="DF46" i="27" a="1"/>
  <c r="DF46" i="27" s="1"/>
  <c r="DF53" i="27" a="1"/>
  <c r="DF53" i="27" s="1"/>
  <c r="DF54" i="27" a="1"/>
  <c r="DF54" i="27" s="1"/>
  <c r="DF62" i="27" a="1"/>
  <c r="DF62" i="27" s="1"/>
  <c r="DF66" i="27" a="1"/>
  <c r="DF66" i="27" s="1"/>
  <c r="DF67" i="27" a="1"/>
  <c r="DF67" i="27" s="1"/>
  <c r="DF68" i="27" a="1"/>
  <c r="DF68" i="27" s="1"/>
  <c r="DF79" i="27" a="1"/>
  <c r="DF79" i="27" s="1"/>
  <c r="DF80" i="27" a="1"/>
  <c r="DF80" i="27" s="1"/>
  <c r="DF87" i="27" a="1"/>
  <c r="DF87" i="27" s="1"/>
  <c r="DF94" i="27" a="1"/>
  <c r="DF94" i="27" s="1"/>
  <c r="DF95" i="27" a="1"/>
  <c r="DF95" i="27" s="1"/>
  <c r="DF96" i="27" a="1"/>
  <c r="DF96" i="27" s="1"/>
  <c r="DF103" i="27" a="1"/>
  <c r="DF103" i="27" s="1"/>
  <c r="DF110" i="27" a="1"/>
  <c r="DF110" i="27" s="1"/>
  <c r="DF111" i="27" a="1"/>
  <c r="DF111" i="27" s="1"/>
  <c r="DF123" i="27" a="1"/>
  <c r="DF123" i="27" s="1"/>
  <c r="DF129" i="27" a="1"/>
  <c r="DF129" i="27" s="1"/>
  <c r="DF133" i="27" a="1"/>
  <c r="DF133" i="27" s="1"/>
  <c r="DF106" i="27" a="1"/>
  <c r="DF106" i="27" s="1"/>
  <c r="DF65" i="27" a="1"/>
  <c r="DF65" i="27" s="1"/>
  <c r="DF69" i="27" a="1"/>
  <c r="DF69" i="27" s="1"/>
  <c r="DF86" i="27" a="1"/>
  <c r="DF86" i="27" s="1"/>
  <c r="DF88" i="27" a="1"/>
  <c r="DF88" i="27" s="1"/>
  <c r="DF91" i="27" a="1"/>
  <c r="DF91" i="27" s="1"/>
  <c r="DF92" i="27" a="1"/>
  <c r="DF92" i="27" s="1"/>
  <c r="DF97" i="27" a="1"/>
  <c r="DF97" i="27" s="1"/>
  <c r="DF99" i="27" a="1"/>
  <c r="DF99" i="27" s="1"/>
  <c r="DF122" i="27" a="1"/>
  <c r="DF122" i="27" s="1"/>
  <c r="DF14" i="27" a="1"/>
  <c r="DF14" i="27" s="1"/>
  <c r="DF90" i="27" a="1"/>
  <c r="DF90" i="27" s="1"/>
  <c r="DF105" i="27" a="1"/>
  <c r="DF105" i="27" s="1"/>
  <c r="DF107" i="27" a="1"/>
  <c r="DF107" i="27" s="1"/>
  <c r="DF124" i="27" a="1"/>
  <c r="DF124" i="27" s="1"/>
  <c r="DF125" i="27" a="1"/>
  <c r="DF125" i="27" s="1"/>
  <c r="DF126" i="27" a="1"/>
  <c r="DF126" i="27" s="1"/>
  <c r="DF130" i="27" a="1"/>
  <c r="DF130" i="27" s="1"/>
  <c r="DF134" i="27" a="1"/>
  <c r="DF134" i="27" s="1"/>
  <c r="DF18" i="27" a="1"/>
  <c r="DF18" i="27" s="1"/>
  <c r="DF70" i="27" a="1"/>
  <c r="DF70" i="27" s="1"/>
  <c r="DF85" i="27" a="1"/>
  <c r="DF85" i="27" s="1"/>
  <c r="DF89" i="27" a="1"/>
  <c r="DF89" i="27" s="1"/>
  <c r="DF102" i="27" a="1"/>
  <c r="DF102" i="27" s="1"/>
  <c r="DF109" i="27" a="1"/>
  <c r="DF109" i="27" s="1"/>
  <c r="DF117" i="27" a="1"/>
  <c r="DF117" i="27" s="1"/>
  <c r="DF118" i="27" a="1"/>
  <c r="DF118" i="27" s="1"/>
  <c r="DF83" i="27" a="1"/>
  <c r="DF83" i="27" s="1"/>
  <c r="DF84" i="27" a="1"/>
  <c r="DF84" i="27" s="1"/>
  <c r="DF101" i="27" a="1"/>
  <c r="DF101" i="27" s="1"/>
  <c r="DF115" i="27" a="1"/>
  <c r="DF115" i="27" s="1"/>
  <c r="DF116" i="27" a="1"/>
  <c r="DF116" i="27" s="1"/>
  <c r="DF139" i="27" a="1"/>
  <c r="DF139" i="27" s="1"/>
  <c r="DF140" i="27" a="1"/>
  <c r="DF140" i="27" s="1"/>
  <c r="DF71" i="27" a="1"/>
  <c r="DF71" i="27" s="1"/>
  <c r="DF98" i="27" a="1"/>
  <c r="DF98" i="27" s="1"/>
  <c r="DF113" i="27" a="1"/>
  <c r="DF113" i="27" s="1"/>
  <c r="DF119" i="27" a="1"/>
  <c r="DF119" i="27" s="1"/>
  <c r="DF127" i="27" a="1"/>
  <c r="DF127" i="27" s="1"/>
  <c r="DF131" i="27" a="1"/>
  <c r="DF131" i="27" s="1"/>
  <c r="DF135" i="27" a="1"/>
  <c r="DF135" i="27" s="1"/>
  <c r="DF138" i="27" a="1"/>
  <c r="DF138" i="27" s="1"/>
  <c r="DF60" i="27" a="1"/>
  <c r="DF60" i="27" s="1"/>
  <c r="DF64" i="27" a="1"/>
  <c r="DF64" i="27" s="1"/>
  <c r="DF93" i="27" a="1"/>
  <c r="DF93" i="27" s="1"/>
  <c r="DF100" i="27" a="1"/>
  <c r="DF100" i="27" s="1"/>
  <c r="DF108" i="27" a="1"/>
  <c r="DF108" i="27" s="1"/>
  <c r="DF112" i="27" a="1"/>
  <c r="DF112" i="27" s="1"/>
  <c r="DF121" i="27" a="1"/>
  <c r="DF121" i="27" s="1"/>
  <c r="DF128" i="27" a="1"/>
  <c r="DF128" i="27" s="1"/>
  <c r="DF132" i="27" a="1"/>
  <c r="DF132" i="27" s="1"/>
  <c r="DF136" i="27" a="1"/>
  <c r="DF136" i="27" s="1"/>
  <c r="DF104" i="27" a="1"/>
  <c r="DF104" i="27" s="1"/>
  <c r="DF137" i="27" a="1"/>
  <c r="DF137" i="27" s="1"/>
  <c r="DF120" i="27" a="1"/>
  <c r="DF120" i="27" s="1"/>
  <c r="DF114" i="27" a="1"/>
  <c r="DF114" i="27" s="1"/>
  <c r="DL4" i="27"/>
  <c r="DL135" i="27" s="1"/>
  <c r="CZ12" i="27" a="1"/>
  <c r="CZ12" i="27" s="1"/>
  <c r="CZ13" i="27" a="1"/>
  <c r="CZ13" i="27" s="1"/>
  <c r="CZ15" i="27" a="1"/>
  <c r="CZ15" i="27" s="1"/>
  <c r="CZ16" i="27" a="1"/>
  <c r="CZ16" i="27" s="1"/>
  <c r="CZ17" i="27" a="1"/>
  <c r="CZ17" i="27" s="1"/>
  <c r="CZ25" i="27" a="1"/>
  <c r="CZ25" i="27" s="1"/>
  <c r="CZ35" i="27" a="1"/>
  <c r="CZ35" i="27" s="1"/>
  <c r="CZ36" i="27" a="1"/>
  <c r="CZ36" i="27" s="1"/>
  <c r="CZ49" i="27" a="1"/>
  <c r="CZ49" i="27" s="1"/>
  <c r="CZ10" i="27" a="1"/>
  <c r="CZ10" i="27" s="1"/>
  <c r="CZ11" i="27" a="1"/>
  <c r="CZ11" i="27" s="1"/>
  <c r="CZ22" i="27" a="1"/>
  <c r="CZ22" i="27" s="1"/>
  <c r="CZ29" i="27" a="1"/>
  <c r="CZ29" i="27" s="1"/>
  <c r="CZ31" i="27" a="1"/>
  <c r="CZ31" i="27" s="1"/>
  <c r="CZ32" i="27" a="1"/>
  <c r="CZ32" i="27" s="1"/>
  <c r="CZ9" i="27" a="1"/>
  <c r="CZ9" i="27" s="1"/>
  <c r="CZ53" i="27" a="1"/>
  <c r="CZ53" i="27" s="1"/>
  <c r="CZ8" i="27" a="1"/>
  <c r="CZ8" i="27" s="1"/>
  <c r="CZ21" i="27" a="1"/>
  <c r="CZ21" i="27" s="1"/>
  <c r="CZ24" i="27" a="1"/>
  <c r="CZ24" i="27" s="1"/>
  <c r="CZ20" i="27" a="1"/>
  <c r="CZ20" i="27" s="1"/>
  <c r="CZ28" i="27" a="1"/>
  <c r="CZ28" i="27" s="1"/>
  <c r="CZ44" i="27" a="1"/>
  <c r="CZ44" i="27" s="1"/>
  <c r="CZ6" i="27" a="1"/>
  <c r="CZ6" i="27" s="1"/>
  <c r="CZ27" i="27" a="1"/>
  <c r="CZ27" i="27" s="1"/>
  <c r="CZ39" i="27" a="1"/>
  <c r="CZ39" i="27" s="1"/>
  <c r="CZ40" i="27" a="1"/>
  <c r="CZ40" i="27" s="1"/>
  <c r="CZ41" i="27" a="1"/>
  <c r="CZ41" i="27" s="1"/>
  <c r="CZ42" i="27" a="1"/>
  <c r="CZ42" i="27" s="1"/>
  <c r="CZ43" i="27" a="1"/>
  <c r="CZ43" i="27" s="1"/>
  <c r="CZ18" i="27" a="1"/>
  <c r="CZ18" i="27" s="1"/>
  <c r="CZ23" i="27" a="1"/>
  <c r="CZ23" i="27" s="1"/>
  <c r="CZ30" i="27" a="1"/>
  <c r="CZ30" i="27" s="1"/>
  <c r="CZ33" i="27" a="1"/>
  <c r="CZ33" i="27" s="1"/>
  <c r="CZ34" i="27" a="1"/>
  <c r="CZ34" i="27" s="1"/>
  <c r="CZ37" i="27" a="1"/>
  <c r="CZ37" i="27" s="1"/>
  <c r="CZ38" i="27" a="1"/>
  <c r="CZ38" i="27" s="1"/>
  <c r="CZ50" i="27" a="1"/>
  <c r="CZ50" i="27" s="1"/>
  <c r="CZ51" i="27" a="1"/>
  <c r="CZ51" i="27" s="1"/>
  <c r="CZ19" i="27" a="1"/>
  <c r="CZ19" i="27" s="1"/>
  <c r="CZ60" i="27" a="1"/>
  <c r="CZ60" i="27" s="1"/>
  <c r="CZ61" i="27" a="1"/>
  <c r="CZ61" i="27" s="1"/>
  <c r="CZ66" i="27" a="1"/>
  <c r="CZ66" i="27" s="1"/>
  <c r="CZ72" i="27" a="1"/>
  <c r="CZ72" i="27" s="1"/>
  <c r="CZ73" i="27" a="1"/>
  <c r="CZ73" i="27" s="1"/>
  <c r="CZ81" i="27" a="1"/>
  <c r="CZ81" i="27" s="1"/>
  <c r="CZ83" i="27" a="1"/>
  <c r="CZ83" i="27" s="1"/>
  <c r="CZ85" i="27" a="1"/>
  <c r="CZ85" i="27" s="1"/>
  <c r="CZ7" i="27" a="1"/>
  <c r="CZ7" i="27" s="1"/>
  <c r="CZ47" i="27" a="1"/>
  <c r="CZ47" i="27" s="1"/>
  <c r="CZ59" i="27" a="1"/>
  <c r="CZ59" i="27" s="1"/>
  <c r="CZ57" i="27" a="1"/>
  <c r="CZ57" i="27" s="1"/>
  <c r="CZ74" i="27" a="1"/>
  <c r="CZ74" i="27" s="1"/>
  <c r="CZ75" i="27" a="1"/>
  <c r="CZ75" i="27" s="1"/>
  <c r="CZ46" i="27" a="1"/>
  <c r="CZ46" i="27" s="1"/>
  <c r="CZ58" i="27" a="1"/>
  <c r="CZ58" i="27" s="1"/>
  <c r="CZ26" i="27" a="1"/>
  <c r="CZ26" i="27" s="1"/>
  <c r="CZ56" i="27" a="1"/>
  <c r="CZ56" i="27" s="1"/>
  <c r="CZ76" i="27" a="1"/>
  <c r="CZ76" i="27" s="1"/>
  <c r="CZ78" i="27" a="1"/>
  <c r="CZ78" i="27" s="1"/>
  <c r="CZ54" i="27" a="1"/>
  <c r="CZ54" i="27" s="1"/>
  <c r="CZ55" i="27" a="1"/>
  <c r="CZ55" i="27" s="1"/>
  <c r="CZ64" i="27" a="1"/>
  <c r="CZ64" i="27" s="1"/>
  <c r="CZ68" i="27" a="1"/>
  <c r="CZ68" i="27" s="1"/>
  <c r="CZ77" i="27" a="1"/>
  <c r="CZ77" i="27" s="1"/>
  <c r="CZ79" i="27" a="1"/>
  <c r="CZ79" i="27" s="1"/>
  <c r="CZ14" i="27" a="1"/>
  <c r="CZ14" i="27" s="1"/>
  <c r="CZ45" i="27" a="1"/>
  <c r="CZ45" i="27" s="1"/>
  <c r="CZ62" i="27" a="1"/>
  <c r="CZ62" i="27" s="1"/>
  <c r="CZ63" i="27" a="1"/>
  <c r="CZ63" i="27" s="1"/>
  <c r="CZ65" i="27" a="1"/>
  <c r="CZ65" i="27" s="1"/>
  <c r="CZ67" i="27" a="1"/>
  <c r="CZ67" i="27" s="1"/>
  <c r="CZ80" i="27" a="1"/>
  <c r="CZ80" i="27" s="1"/>
  <c r="CZ52" i="27" a="1"/>
  <c r="CZ52" i="27" s="1"/>
  <c r="CZ69" i="27" a="1"/>
  <c r="CZ69" i="27" s="1"/>
  <c r="CZ84" i="27" a="1"/>
  <c r="CZ84" i="27" s="1"/>
  <c r="CZ94" i="27" a="1"/>
  <c r="CZ94" i="27" s="1"/>
  <c r="CZ95" i="27" a="1"/>
  <c r="CZ95" i="27" s="1"/>
  <c r="CZ96" i="27" a="1"/>
  <c r="CZ96" i="27" s="1"/>
  <c r="CZ97" i="27" a="1"/>
  <c r="CZ97" i="27" s="1"/>
  <c r="CZ100" i="27" a="1"/>
  <c r="CZ100" i="27" s="1"/>
  <c r="CZ104" i="27" a="1"/>
  <c r="CZ104" i="27" s="1"/>
  <c r="CZ106" i="27" a="1"/>
  <c r="CZ106" i="27" s="1"/>
  <c r="CZ122" i="27" a="1"/>
  <c r="CZ122" i="27" s="1"/>
  <c r="CZ123" i="27" a="1"/>
  <c r="CZ123" i="27" s="1"/>
  <c r="CZ129" i="27" a="1"/>
  <c r="CZ129" i="27" s="1"/>
  <c r="CZ133" i="27" a="1"/>
  <c r="CZ133" i="27" s="1"/>
  <c r="CZ90" i="27" a="1"/>
  <c r="CZ90" i="27" s="1"/>
  <c r="CZ92" i="27" a="1"/>
  <c r="CZ92" i="27" s="1"/>
  <c r="CZ103" i="27" a="1"/>
  <c r="CZ103" i="27" s="1"/>
  <c r="CZ108" i="27" a="1"/>
  <c r="CZ108" i="27" s="1"/>
  <c r="CZ111" i="27" a="1"/>
  <c r="CZ111" i="27" s="1"/>
  <c r="CZ125" i="27" a="1"/>
  <c r="CZ125" i="27" s="1"/>
  <c r="CZ126" i="27" a="1"/>
  <c r="CZ126" i="27" s="1"/>
  <c r="CZ130" i="27" a="1"/>
  <c r="CZ130" i="27" s="1"/>
  <c r="CZ134" i="27" a="1"/>
  <c r="CZ134" i="27" s="1"/>
  <c r="CZ70" i="27" a="1"/>
  <c r="CZ70" i="27" s="1"/>
  <c r="CZ89" i="27" a="1"/>
  <c r="CZ89" i="27" s="1"/>
  <c r="CZ110" i="27" a="1"/>
  <c r="CZ110" i="27" s="1"/>
  <c r="CZ124" i="27" a="1"/>
  <c r="CZ124" i="27" s="1"/>
  <c r="CZ135" i="27" a="1"/>
  <c r="CZ135" i="27" s="1"/>
  <c r="CZ82" i="27" a="1"/>
  <c r="CZ82" i="27" s="1"/>
  <c r="CZ86" i="27" a="1"/>
  <c r="CZ86" i="27" s="1"/>
  <c r="CZ88" i="27" a="1"/>
  <c r="CZ88" i="27" s="1"/>
  <c r="CZ91" i="27" a="1"/>
  <c r="CZ91" i="27" s="1"/>
  <c r="CZ99" i="27" a="1"/>
  <c r="CZ99" i="27" s="1"/>
  <c r="CZ117" i="27" a="1"/>
  <c r="CZ117" i="27" s="1"/>
  <c r="CZ118" i="27" a="1"/>
  <c r="CZ118" i="27" s="1"/>
  <c r="CZ127" i="27" a="1"/>
  <c r="CZ127" i="27" s="1"/>
  <c r="CZ131" i="27" a="1"/>
  <c r="CZ131" i="27" s="1"/>
  <c r="CZ71" i="27" a="1"/>
  <c r="CZ71" i="27" s="1"/>
  <c r="CZ87" i="27" a="1"/>
  <c r="CZ87" i="27" s="1"/>
  <c r="CZ102" i="27" a="1"/>
  <c r="CZ102" i="27" s="1"/>
  <c r="CZ105" i="27" a="1"/>
  <c r="CZ105" i="27" s="1"/>
  <c r="CZ107" i="27" a="1"/>
  <c r="CZ107" i="27" s="1"/>
  <c r="CZ115" i="27" a="1"/>
  <c r="CZ115" i="27" s="1"/>
  <c r="CZ119" i="27" a="1"/>
  <c r="CZ119" i="27" s="1"/>
  <c r="CZ139" i="27" a="1"/>
  <c r="CZ139" i="27" s="1"/>
  <c r="CZ140" i="27" a="1"/>
  <c r="CZ140" i="27" s="1"/>
  <c r="CZ48" i="27" a="1"/>
  <c r="CZ48" i="27" s="1"/>
  <c r="CZ101" i="27" a="1"/>
  <c r="CZ101" i="27" s="1"/>
  <c r="CZ109" i="27" a="1"/>
  <c r="CZ109" i="27" s="1"/>
  <c r="CZ116" i="27" a="1"/>
  <c r="CZ116" i="27" s="1"/>
  <c r="CZ120" i="27" a="1"/>
  <c r="CZ120" i="27" s="1"/>
  <c r="CZ93" i="27" a="1"/>
  <c r="CZ93" i="27" s="1"/>
  <c r="CZ98" i="27" a="1"/>
  <c r="CZ98" i="27" s="1"/>
  <c r="CZ112" i="27" a="1"/>
  <c r="CZ112" i="27" s="1"/>
  <c r="CZ121" i="27" a="1"/>
  <c r="CZ121" i="27" s="1"/>
  <c r="CZ137" i="27" a="1"/>
  <c r="CZ137" i="27" s="1"/>
  <c r="CZ113" i="27" a="1"/>
  <c r="CZ113" i="27" s="1"/>
  <c r="CZ138" i="27" a="1"/>
  <c r="CZ138" i="27" s="1"/>
  <c r="CZ128" i="27" a="1"/>
  <c r="CZ128" i="27" s="1"/>
  <c r="CZ132" i="27" a="1"/>
  <c r="CZ132" i="27" s="1"/>
  <c r="CZ136" i="27" a="1"/>
  <c r="CZ136" i="27" s="1"/>
  <c r="CZ114" i="27" a="1"/>
  <c r="CZ114" i="27" s="1"/>
  <c r="DS4" i="27"/>
  <c r="DS135" i="27" s="1"/>
  <c r="DG14" i="27" a="1"/>
  <c r="DG14" i="27" s="1"/>
  <c r="DG25" i="27" a="1"/>
  <c r="DG25" i="27" s="1"/>
  <c r="DG29" i="27" a="1"/>
  <c r="DG29" i="27" s="1"/>
  <c r="DG12" i="27" a="1"/>
  <c r="DG12" i="27" s="1"/>
  <c r="DG13" i="27" a="1"/>
  <c r="DG13" i="27" s="1"/>
  <c r="DG15" i="27" a="1"/>
  <c r="DG15" i="27" s="1"/>
  <c r="DG16" i="27" a="1"/>
  <c r="DG16" i="27" s="1"/>
  <c r="DG17" i="27" a="1"/>
  <c r="DG17" i="27" s="1"/>
  <c r="DG22" i="27" a="1"/>
  <c r="DG22" i="27" s="1"/>
  <c r="DG30" i="27" a="1"/>
  <c r="DG30" i="27" s="1"/>
  <c r="DG33" i="27" a="1"/>
  <c r="DG33" i="27" s="1"/>
  <c r="DG34" i="27" a="1"/>
  <c r="DG34" i="27" s="1"/>
  <c r="DG35" i="27" a="1"/>
  <c r="DG35" i="27" s="1"/>
  <c r="DG37" i="27" a="1"/>
  <c r="DG37" i="27" s="1"/>
  <c r="DG9" i="27" a="1"/>
  <c r="DG9" i="27" s="1"/>
  <c r="DG11" i="27" a="1"/>
  <c r="DG11" i="27" s="1"/>
  <c r="DG24" i="27" a="1"/>
  <c r="DG24" i="27" s="1"/>
  <c r="DG32" i="27" a="1"/>
  <c r="DG32" i="27" s="1"/>
  <c r="DG36" i="27" a="1"/>
  <c r="DG36" i="27" s="1"/>
  <c r="DG47" i="27" a="1"/>
  <c r="DG47" i="27" s="1"/>
  <c r="DG48" i="27" a="1"/>
  <c r="DG48" i="27" s="1"/>
  <c r="DG51" i="27" a="1"/>
  <c r="DG51" i="27" s="1"/>
  <c r="DG8" i="27" a="1"/>
  <c r="DG8" i="27" s="1"/>
  <c r="DG10" i="27" a="1"/>
  <c r="DG10" i="27" s="1"/>
  <c r="DG21" i="27" a="1"/>
  <c r="DG21" i="27" s="1"/>
  <c r="DG31" i="27" a="1"/>
  <c r="DG31" i="27" s="1"/>
  <c r="DG28" i="27" a="1"/>
  <c r="DG28" i="27" s="1"/>
  <c r="DG44" i="27" a="1"/>
  <c r="DG44" i="27" s="1"/>
  <c r="DG20" i="27" a="1"/>
  <c r="DG20" i="27" s="1"/>
  <c r="DG18" i="27" a="1"/>
  <c r="DG18" i="27" s="1"/>
  <c r="DG26" i="27" a="1"/>
  <c r="DG26" i="27" s="1"/>
  <c r="DG38" i="27" a="1"/>
  <c r="DG38" i="27" s="1"/>
  <c r="DG40" i="27" a="1"/>
  <c r="DG40" i="27" s="1"/>
  <c r="DG6" i="27" a="1"/>
  <c r="DG6" i="27" s="1"/>
  <c r="DG23" i="27" a="1"/>
  <c r="DG23" i="27" s="1"/>
  <c r="DG42" i="27" a="1"/>
  <c r="DG42" i="27" s="1"/>
  <c r="DG49" i="27" a="1"/>
  <c r="DG49" i="27" s="1"/>
  <c r="DG53" i="27" a="1"/>
  <c r="DG53" i="27" s="1"/>
  <c r="DG60" i="27" a="1"/>
  <c r="DG60" i="27" s="1"/>
  <c r="DG64" i="27" a="1"/>
  <c r="DG64" i="27" s="1"/>
  <c r="DG65" i="27" a="1"/>
  <c r="DG65" i="27" s="1"/>
  <c r="DG66" i="27" a="1"/>
  <c r="DG66" i="27" s="1"/>
  <c r="DG67" i="27" a="1"/>
  <c r="DG67" i="27" s="1"/>
  <c r="DG19" i="27" a="1"/>
  <c r="DG19" i="27" s="1"/>
  <c r="DG45" i="27" a="1"/>
  <c r="DG45" i="27" s="1"/>
  <c r="DG61" i="27" a="1"/>
  <c r="DG61" i="27" s="1"/>
  <c r="DG69" i="27" a="1"/>
  <c r="DG69" i="27" s="1"/>
  <c r="DG70" i="27" a="1"/>
  <c r="DG70" i="27" s="1"/>
  <c r="DG71" i="27" a="1"/>
  <c r="DG71" i="27" s="1"/>
  <c r="DG7" i="27" a="1"/>
  <c r="DG7" i="27" s="1"/>
  <c r="DG59" i="27" a="1"/>
  <c r="DG59" i="27" s="1"/>
  <c r="DG72" i="27" a="1"/>
  <c r="DG72" i="27" s="1"/>
  <c r="DG73" i="27" a="1"/>
  <c r="DG73" i="27" s="1"/>
  <c r="DG81" i="27" a="1"/>
  <c r="DG81" i="27" s="1"/>
  <c r="DG41" i="27" a="1"/>
  <c r="DG41" i="27" s="1"/>
  <c r="DG57" i="27" a="1"/>
  <c r="DG57" i="27" s="1"/>
  <c r="DG58" i="27" a="1"/>
  <c r="DG58" i="27" s="1"/>
  <c r="DG52" i="27" a="1"/>
  <c r="DG52" i="27" s="1"/>
  <c r="DG74" i="27" a="1"/>
  <c r="DG74" i="27" s="1"/>
  <c r="DG55" i="27" a="1"/>
  <c r="DG55" i="27" s="1"/>
  <c r="DG56" i="27" a="1"/>
  <c r="DG56" i="27" s="1"/>
  <c r="DG75" i="27" a="1"/>
  <c r="DG75" i="27" s="1"/>
  <c r="DG76" i="27" a="1"/>
  <c r="DG76" i="27" s="1"/>
  <c r="DG39" i="27" a="1"/>
  <c r="DG39" i="27" s="1"/>
  <c r="DG43" i="27" a="1"/>
  <c r="DG43" i="27" s="1"/>
  <c r="DG50" i="27" a="1"/>
  <c r="DG50" i="27" s="1"/>
  <c r="DG63" i="27" a="1"/>
  <c r="DG63" i="27" s="1"/>
  <c r="DG77" i="27" a="1"/>
  <c r="DG77" i="27" s="1"/>
  <c r="DG78" i="27" a="1"/>
  <c r="DG78" i="27" s="1"/>
  <c r="DG93" i="27" a="1"/>
  <c r="DG93" i="27" s="1"/>
  <c r="DG100" i="27" a="1"/>
  <c r="DG100" i="27" s="1"/>
  <c r="DG108" i="27" a="1"/>
  <c r="DG108" i="27" s="1"/>
  <c r="DG112" i="27" a="1"/>
  <c r="DG112" i="27" s="1"/>
  <c r="DG120" i="27" a="1"/>
  <c r="DG120" i="27" s="1"/>
  <c r="DG121" i="27" a="1"/>
  <c r="DG121" i="27" s="1"/>
  <c r="DG137" i="27" a="1"/>
  <c r="DG137" i="27" s="1"/>
  <c r="DG136" i="27" a="1"/>
  <c r="DG136" i="27" s="1"/>
  <c r="DG95" i="27" a="1"/>
  <c r="DG95" i="27" s="1"/>
  <c r="DG110" i="27" a="1"/>
  <c r="DG110" i="27" s="1"/>
  <c r="DG128" i="27" a="1"/>
  <c r="DG128" i="27" s="1"/>
  <c r="DG132" i="27" a="1"/>
  <c r="DG132" i="27" s="1"/>
  <c r="DG80" i="27" a="1"/>
  <c r="DG80" i="27" s="1"/>
  <c r="DG87" i="27" a="1"/>
  <c r="DG87" i="27" s="1"/>
  <c r="DG92" i="27" a="1"/>
  <c r="DG92" i="27" s="1"/>
  <c r="DG94" i="27" a="1"/>
  <c r="DG94" i="27" s="1"/>
  <c r="DG96" i="27" a="1"/>
  <c r="DG96" i="27" s="1"/>
  <c r="DG97" i="27" a="1"/>
  <c r="DG97" i="27" s="1"/>
  <c r="DG103" i="27" a="1"/>
  <c r="DG103" i="27" s="1"/>
  <c r="DG111" i="27" a="1"/>
  <c r="DG111" i="27" s="1"/>
  <c r="DG122" i="27" a="1"/>
  <c r="DG122" i="27" s="1"/>
  <c r="DG123" i="27" a="1"/>
  <c r="DG123" i="27" s="1"/>
  <c r="DG129" i="27" a="1"/>
  <c r="DG129" i="27" s="1"/>
  <c r="DG133" i="27" a="1"/>
  <c r="DG133" i="27" s="1"/>
  <c r="DG98" i="27" a="1"/>
  <c r="DG98" i="27" s="1"/>
  <c r="DG62" i="27" a="1"/>
  <c r="DG62" i="27" s="1"/>
  <c r="DG86" i="27" a="1"/>
  <c r="DG86" i="27" s="1"/>
  <c r="DG88" i="27" a="1"/>
  <c r="DG88" i="27" s="1"/>
  <c r="DG90" i="27" a="1"/>
  <c r="DG90" i="27" s="1"/>
  <c r="DG91" i="27" a="1"/>
  <c r="DG91" i="27" s="1"/>
  <c r="DG99" i="27" a="1"/>
  <c r="DG99" i="27" s="1"/>
  <c r="DG105" i="27" a="1"/>
  <c r="DG105" i="27" s="1"/>
  <c r="DG124" i="27" a="1"/>
  <c r="DG124" i="27" s="1"/>
  <c r="DG125" i="27" a="1"/>
  <c r="DG125" i="27" s="1"/>
  <c r="DG126" i="27" a="1"/>
  <c r="DG126" i="27" s="1"/>
  <c r="DG130" i="27" a="1"/>
  <c r="DG130" i="27" s="1"/>
  <c r="DG134" i="27" a="1"/>
  <c r="DG134" i="27" s="1"/>
  <c r="DG46" i="27" a="1"/>
  <c r="DG46" i="27" s="1"/>
  <c r="DG54" i="27" a="1"/>
  <c r="DG54" i="27" s="1"/>
  <c r="DG79" i="27" a="1"/>
  <c r="DG79" i="27" s="1"/>
  <c r="DG85" i="27" a="1"/>
  <c r="DG85" i="27" s="1"/>
  <c r="DG89" i="27" a="1"/>
  <c r="DG89" i="27" s="1"/>
  <c r="DG102" i="27" a="1"/>
  <c r="DG102" i="27" s="1"/>
  <c r="DG107" i="27" a="1"/>
  <c r="DG107" i="27" s="1"/>
  <c r="DG109" i="27" a="1"/>
  <c r="DG109" i="27" s="1"/>
  <c r="DG118" i="27" a="1"/>
  <c r="DG118" i="27" s="1"/>
  <c r="DG27" i="27" a="1"/>
  <c r="DG27" i="27" s="1"/>
  <c r="DG83" i="27" a="1"/>
  <c r="DG83" i="27" s="1"/>
  <c r="DG84" i="27" a="1"/>
  <c r="DG84" i="27" s="1"/>
  <c r="DG101" i="27" a="1"/>
  <c r="DG101" i="27" s="1"/>
  <c r="DG115" i="27" a="1"/>
  <c r="DG115" i="27" s="1"/>
  <c r="DG117" i="27" a="1"/>
  <c r="DG117" i="27" s="1"/>
  <c r="DG139" i="27" a="1"/>
  <c r="DG139" i="27" s="1"/>
  <c r="DG140" i="27" a="1"/>
  <c r="DG140" i="27" s="1"/>
  <c r="DG68" i="27" a="1"/>
  <c r="DG68" i="27" s="1"/>
  <c r="DG82" i="27" a="1"/>
  <c r="DG82" i="27" s="1"/>
  <c r="DG104" i="27" a="1"/>
  <c r="DG104" i="27" s="1"/>
  <c r="DG106" i="27" a="1"/>
  <c r="DG106" i="27" s="1"/>
  <c r="DG113" i="27" a="1"/>
  <c r="DG113" i="27" s="1"/>
  <c r="DG114" i="27" a="1"/>
  <c r="DG114" i="27" s="1"/>
  <c r="DG119" i="27" a="1"/>
  <c r="DG119" i="27" s="1"/>
  <c r="DG127" i="27" a="1"/>
  <c r="DG127" i="27" s="1"/>
  <c r="DG138" i="27" a="1"/>
  <c r="DG138" i="27" s="1"/>
  <c r="DG116" i="27" a="1"/>
  <c r="DG116" i="27" s="1"/>
  <c r="DG131" i="27" a="1"/>
  <c r="DG131" i="27" s="1"/>
  <c r="DG135" i="27" a="1"/>
  <c r="DG135" i="27" s="1"/>
  <c r="DK4" i="27"/>
  <c r="CY9" i="27" a="1"/>
  <c r="CY9" i="27" s="1"/>
  <c r="CY10" i="27" a="1"/>
  <c r="CY10" i="27" s="1"/>
  <c r="CY22" i="27" a="1"/>
  <c r="CY22" i="27" s="1"/>
  <c r="CY29" i="27" a="1"/>
  <c r="CY29" i="27" s="1"/>
  <c r="CY31" i="27" a="1"/>
  <c r="CY31" i="27" s="1"/>
  <c r="CY32" i="27" a="1"/>
  <c r="CY32" i="27" s="1"/>
  <c r="CY46" i="27" a="1"/>
  <c r="CY46" i="27" s="1"/>
  <c r="CY48" i="27" a="1"/>
  <c r="CY48" i="27" s="1"/>
  <c r="CY52" i="27" a="1"/>
  <c r="CY52" i="27" s="1"/>
  <c r="CY53" i="27" a="1"/>
  <c r="CY53" i="27" s="1"/>
  <c r="CY21" i="27" a="1"/>
  <c r="CY21" i="27" s="1"/>
  <c r="CY8" i="27" a="1"/>
  <c r="CY8" i="27" s="1"/>
  <c r="CY24" i="27" a="1"/>
  <c r="CY24" i="27" s="1"/>
  <c r="CY28" i="27" a="1"/>
  <c r="CY28" i="27" s="1"/>
  <c r="CY45" i="27" a="1"/>
  <c r="CY45" i="27" s="1"/>
  <c r="CY20" i="27" a="1"/>
  <c r="CY20" i="27" s="1"/>
  <c r="CY6" i="27" a="1"/>
  <c r="CY6" i="27" s="1"/>
  <c r="CY7" i="27" a="1"/>
  <c r="CY7" i="27" s="1"/>
  <c r="CY27" i="27" a="1"/>
  <c r="CY27" i="27" s="1"/>
  <c r="CY39" i="27" a="1"/>
  <c r="CY39" i="27" s="1"/>
  <c r="CY40" i="27" a="1"/>
  <c r="CY40" i="27" s="1"/>
  <c r="CY41" i="27" a="1"/>
  <c r="CY41" i="27" s="1"/>
  <c r="CY42" i="27" a="1"/>
  <c r="CY42" i="27" s="1"/>
  <c r="CY43" i="27" a="1"/>
  <c r="CY43" i="27" s="1"/>
  <c r="CY14" i="27" a="1"/>
  <c r="CY14" i="27" s="1"/>
  <c r="CY19" i="27" a="1"/>
  <c r="CY19" i="27" s="1"/>
  <c r="CY26" i="27" a="1"/>
  <c r="CY26" i="27" s="1"/>
  <c r="CY30" i="27" a="1"/>
  <c r="CY30" i="27" s="1"/>
  <c r="CY50" i="27" a="1"/>
  <c r="CY50" i="27" s="1"/>
  <c r="CY11" i="27" a="1"/>
  <c r="CY11" i="27" s="1"/>
  <c r="CY12" i="27" a="1"/>
  <c r="CY12" i="27" s="1"/>
  <c r="CY13" i="27" a="1"/>
  <c r="CY13" i="27" s="1"/>
  <c r="CY16" i="27" a="1"/>
  <c r="CY16" i="27" s="1"/>
  <c r="CY17" i="27" a="1"/>
  <c r="CY17" i="27" s="1"/>
  <c r="CY25" i="27" a="1"/>
  <c r="CY25" i="27" s="1"/>
  <c r="CY35" i="27" a="1"/>
  <c r="CY35" i="27" s="1"/>
  <c r="CY36" i="27" a="1"/>
  <c r="CY36" i="27" s="1"/>
  <c r="CY47" i="27" a="1"/>
  <c r="CY47" i="27" s="1"/>
  <c r="CY49" i="27" a="1"/>
  <c r="CY49" i="27" s="1"/>
  <c r="CY15" i="27" a="1"/>
  <c r="CY15" i="27" s="1"/>
  <c r="CY44" i="27" a="1"/>
  <c r="CY44" i="27" s="1"/>
  <c r="CY51" i="27" a="1"/>
  <c r="CY51" i="27" s="1"/>
  <c r="CY59" i="27" a="1"/>
  <c r="CY59" i="27" s="1"/>
  <c r="CY84" i="27" a="1"/>
  <c r="CY84" i="27" s="1"/>
  <c r="CY33" i="27" a="1"/>
  <c r="CY33" i="27" s="1"/>
  <c r="CY37" i="27" a="1"/>
  <c r="CY37" i="27" s="1"/>
  <c r="CY57" i="27" a="1"/>
  <c r="CY57" i="27" s="1"/>
  <c r="CY58" i="27" a="1"/>
  <c r="CY58" i="27" s="1"/>
  <c r="CY74" i="27" a="1"/>
  <c r="CY74" i="27" s="1"/>
  <c r="CY75" i="27" a="1"/>
  <c r="CY75" i="27" s="1"/>
  <c r="CY76" i="27" a="1"/>
  <c r="CY76" i="27" s="1"/>
  <c r="CY34" i="27" a="1"/>
  <c r="CY34" i="27" s="1"/>
  <c r="CY38" i="27" a="1"/>
  <c r="CY38" i="27" s="1"/>
  <c r="CY55" i="27" a="1"/>
  <c r="CY55" i="27" s="1"/>
  <c r="CY56" i="27" a="1"/>
  <c r="CY56" i="27" s="1"/>
  <c r="CY78" i="27" a="1"/>
  <c r="CY78" i="27" s="1"/>
  <c r="CY54" i="27" a="1"/>
  <c r="CY54" i="27" s="1"/>
  <c r="CY63" i="27" a="1"/>
  <c r="CY63" i="27" s="1"/>
  <c r="CY64" i="27" a="1"/>
  <c r="CY64" i="27" s="1"/>
  <c r="CY68" i="27" a="1"/>
  <c r="CY68" i="27" s="1"/>
  <c r="CY77" i="27" a="1"/>
  <c r="CY77" i="27" s="1"/>
  <c r="CY79" i="27" a="1"/>
  <c r="CY79" i="27" s="1"/>
  <c r="CY80" i="27" a="1"/>
  <c r="CY80" i="27" s="1"/>
  <c r="CY62" i="27" a="1"/>
  <c r="CY62" i="27" s="1"/>
  <c r="CY65" i="27" a="1"/>
  <c r="CY65" i="27" s="1"/>
  <c r="CY67" i="27" a="1"/>
  <c r="CY67" i="27" s="1"/>
  <c r="CY18" i="27" a="1"/>
  <c r="CY18" i="27" s="1"/>
  <c r="CY60" i="27" a="1"/>
  <c r="CY60" i="27" s="1"/>
  <c r="CY66" i="27" a="1"/>
  <c r="CY66" i="27" s="1"/>
  <c r="CY69" i="27" a="1"/>
  <c r="CY69" i="27" s="1"/>
  <c r="CY70" i="27" a="1"/>
  <c r="CY70" i="27" s="1"/>
  <c r="CY71" i="27" a="1"/>
  <c r="CY71" i="27" s="1"/>
  <c r="CY82" i="27" a="1"/>
  <c r="CY82" i="27" s="1"/>
  <c r="CY83" i="27" a="1"/>
  <c r="CY83" i="27" s="1"/>
  <c r="CY61" i="27" a="1"/>
  <c r="CY61" i="27" s="1"/>
  <c r="CY73" i="27" a="1"/>
  <c r="CY73" i="27" s="1"/>
  <c r="CY90" i="27" a="1"/>
  <c r="CY90" i="27" s="1"/>
  <c r="CY92" i="27" a="1"/>
  <c r="CY92" i="27" s="1"/>
  <c r="CY103" i="27" a="1"/>
  <c r="CY103" i="27" s="1"/>
  <c r="CY108" i="27" a="1"/>
  <c r="CY108" i="27" s="1"/>
  <c r="CY111" i="27" a="1"/>
  <c r="CY111" i="27" s="1"/>
  <c r="CY124" i="27" a="1"/>
  <c r="CY124" i="27" s="1"/>
  <c r="CY125" i="27" a="1"/>
  <c r="CY125" i="27" s="1"/>
  <c r="CY140" i="27" a="1"/>
  <c r="CY140" i="27" s="1"/>
  <c r="CY86" i="27" a="1"/>
  <c r="CY86" i="27" s="1"/>
  <c r="CY88" i="27" a="1"/>
  <c r="CY88" i="27" s="1"/>
  <c r="CY89" i="27" a="1"/>
  <c r="CY89" i="27" s="1"/>
  <c r="CY91" i="27" a="1"/>
  <c r="CY91" i="27" s="1"/>
  <c r="CY110" i="27" a="1"/>
  <c r="CY110" i="27" s="1"/>
  <c r="CY118" i="27" a="1"/>
  <c r="CY118" i="27" s="1"/>
  <c r="CY93" i="27" a="1"/>
  <c r="CY93" i="27" s="1"/>
  <c r="CY98" i="27" a="1"/>
  <c r="CY98" i="27" s="1"/>
  <c r="CY87" i="27" a="1"/>
  <c r="CY87" i="27" s="1"/>
  <c r="CY99" i="27" a="1"/>
  <c r="CY99" i="27" s="1"/>
  <c r="CY117" i="27" a="1"/>
  <c r="CY117" i="27" s="1"/>
  <c r="CY127" i="27" a="1"/>
  <c r="CY127" i="27" s="1"/>
  <c r="CY131" i="27" a="1"/>
  <c r="CY131" i="27" s="1"/>
  <c r="CY135" i="27" a="1"/>
  <c r="CY135" i="27" s="1"/>
  <c r="CY139" i="27" a="1"/>
  <c r="CY139" i="27" s="1"/>
  <c r="CY85" i="27" a="1"/>
  <c r="CY85" i="27" s="1"/>
  <c r="CY112" i="27" a="1"/>
  <c r="CY112" i="27" s="1"/>
  <c r="CY102" i="27" a="1"/>
  <c r="CY102" i="27" s="1"/>
  <c r="CY105" i="27" a="1"/>
  <c r="CY105" i="27" s="1"/>
  <c r="CY107" i="27" a="1"/>
  <c r="CY107" i="27" s="1"/>
  <c r="CY115" i="27" a="1"/>
  <c r="CY115" i="27" s="1"/>
  <c r="CY116" i="27" a="1"/>
  <c r="CY116" i="27" s="1"/>
  <c r="CY119" i="27" a="1"/>
  <c r="CY119" i="27" s="1"/>
  <c r="CY104" i="27" a="1"/>
  <c r="CY104" i="27" s="1"/>
  <c r="CY23" i="27" a="1"/>
  <c r="CY23" i="27" s="1"/>
  <c r="CY101" i="27" a="1"/>
  <c r="CY101" i="27" s="1"/>
  <c r="CY109" i="27" a="1"/>
  <c r="CY109" i="27" s="1"/>
  <c r="CY113" i="27" a="1"/>
  <c r="CY113" i="27" s="1"/>
  <c r="CY120" i="27" a="1"/>
  <c r="CY120" i="27" s="1"/>
  <c r="CY138" i="27" a="1"/>
  <c r="CY138" i="27" s="1"/>
  <c r="CY72" i="27" a="1"/>
  <c r="CY72" i="27" s="1"/>
  <c r="CY81" i="27" a="1"/>
  <c r="CY81" i="27" s="1"/>
  <c r="CY114" i="27" a="1"/>
  <c r="CY114" i="27" s="1"/>
  <c r="CY121" i="27" a="1"/>
  <c r="CY121" i="27" s="1"/>
  <c r="CY128" i="27" a="1"/>
  <c r="CY128" i="27" s="1"/>
  <c r="CY132" i="27" a="1"/>
  <c r="CY132" i="27" s="1"/>
  <c r="CY136" i="27" a="1"/>
  <c r="CY136" i="27" s="1"/>
  <c r="CY94" i="27" a="1"/>
  <c r="CY94" i="27" s="1"/>
  <c r="CY95" i="27" a="1"/>
  <c r="CY95" i="27" s="1"/>
  <c r="CY96" i="27" a="1"/>
  <c r="CY96" i="27" s="1"/>
  <c r="CY97" i="27" a="1"/>
  <c r="CY97" i="27" s="1"/>
  <c r="CY100" i="27" a="1"/>
  <c r="CY100" i="27" s="1"/>
  <c r="CY106" i="27" a="1"/>
  <c r="CY106" i="27" s="1"/>
  <c r="CY122" i="27" a="1"/>
  <c r="CY122" i="27" s="1"/>
  <c r="CY123" i="27" a="1"/>
  <c r="CY123" i="27" s="1"/>
  <c r="CY126" i="27" a="1"/>
  <c r="CY126" i="27" s="1"/>
  <c r="CY130" i="27" a="1"/>
  <c r="CY130" i="27" s="1"/>
  <c r="CY134" i="27" a="1"/>
  <c r="CY134" i="27" s="1"/>
  <c r="CY133" i="27" a="1"/>
  <c r="CY133" i="27" s="1"/>
  <c r="CY129" i="27" a="1"/>
  <c r="CY129" i="27" s="1"/>
  <c r="CY137" i="27" a="1"/>
  <c r="CY137" i="27" s="1"/>
  <c r="BT17" i="27"/>
  <c r="N12" i="13"/>
  <c r="M9" i="13"/>
  <c r="BD6" i="27"/>
  <c r="AV6" i="27"/>
  <c r="BD7" i="27"/>
  <c r="AW4" i="27"/>
  <c r="AW133" i="27" s="1"/>
  <c r="AK45" i="27" a="1"/>
  <c r="AK45" i="27" s="1"/>
  <c r="G43" i="12" s="1"/>
  <c r="AK44" i="27" a="1"/>
  <c r="AK44" i="27" s="1"/>
  <c r="AK8" i="27" a="1"/>
  <c r="AK8" i="27" s="1"/>
  <c r="G6" i="12" s="1"/>
  <c r="AK61" i="27" a="1"/>
  <c r="AK61" i="27" s="1"/>
  <c r="G59" i="12" s="1"/>
  <c r="AK70" i="27" a="1"/>
  <c r="AK70" i="27" s="1"/>
  <c r="G68" i="12" s="1"/>
  <c r="AK74" i="27" a="1"/>
  <c r="AK74" i="27" s="1"/>
  <c r="G72" i="12" s="1"/>
  <c r="AK81" i="27" a="1"/>
  <c r="AK81" i="27" s="1"/>
  <c r="G79" i="12" s="1"/>
  <c r="AK54" i="27" a="1"/>
  <c r="AK54" i="27" s="1"/>
  <c r="G52" i="12" s="1"/>
  <c r="AK67" i="27" a="1"/>
  <c r="AK67" i="27" s="1"/>
  <c r="G65" i="31" s="1"/>
  <c r="AK96" i="27" a="1"/>
  <c r="AK96" i="27" s="1"/>
  <c r="G94" i="12" s="1"/>
  <c r="AK109" i="27" a="1"/>
  <c r="AK109" i="27" s="1"/>
  <c r="G107" i="12" s="1"/>
  <c r="AK111" i="27" a="1"/>
  <c r="AK111" i="27" s="1"/>
  <c r="G109" i="12" s="1"/>
  <c r="AK59" i="27" a="1"/>
  <c r="AK59" i="27" s="1"/>
  <c r="G57" i="12" s="1"/>
  <c r="AK115" i="27" a="1"/>
  <c r="AK115" i="27" s="1"/>
  <c r="G113" i="12" s="1"/>
  <c r="AK99" i="27" a="1"/>
  <c r="AK99" i="27" s="1"/>
  <c r="G97" i="12" s="1"/>
  <c r="AK101" i="27" a="1"/>
  <c r="AK101" i="27" s="1"/>
  <c r="G99" i="12" s="1"/>
  <c r="DO24" i="27"/>
  <c r="DJ24" i="27"/>
  <c r="DP24" i="27"/>
  <c r="DI24" i="27"/>
  <c r="DQ24" i="27"/>
  <c r="DM24" i="27"/>
  <c r="DT24" i="27"/>
  <c r="DL24" i="27"/>
  <c r="DR24" i="27"/>
  <c r="DN24" i="27"/>
  <c r="DL48" i="27"/>
  <c r="DP48" i="27"/>
  <c r="DT48" i="27"/>
  <c r="DQ48" i="27"/>
  <c r="DI48" i="27"/>
  <c r="DN48" i="27"/>
  <c r="DS48" i="27"/>
  <c r="DM48" i="27"/>
  <c r="DR48" i="27"/>
  <c r="DJ48" i="27"/>
  <c r="DO48" i="27"/>
  <c r="DI72" i="27"/>
  <c r="DM72" i="27"/>
  <c r="DQ72" i="27"/>
  <c r="DN72" i="27"/>
  <c r="DS72" i="27"/>
  <c r="DP72" i="27"/>
  <c r="DL72" i="27"/>
  <c r="DR72" i="27"/>
  <c r="DT72" i="27"/>
  <c r="DJ72" i="27"/>
  <c r="DO72" i="27"/>
  <c r="DI96" i="27"/>
  <c r="DM96" i="27"/>
  <c r="DQ96" i="27"/>
  <c r="DN96" i="27"/>
  <c r="DP96" i="27"/>
  <c r="DO96" i="27"/>
  <c r="DL96" i="27"/>
  <c r="DR96" i="27"/>
  <c r="DT96" i="27"/>
  <c r="DJ96" i="27"/>
  <c r="DI120" i="27"/>
  <c r="DM120" i="27"/>
  <c r="DQ120" i="27"/>
  <c r="DP120" i="27"/>
  <c r="DJ120" i="27"/>
  <c r="DR120" i="27"/>
  <c r="DS120" i="27"/>
  <c r="DL120" i="27"/>
  <c r="DT120" i="27"/>
  <c r="DN120" i="27"/>
  <c r="DO120" i="27"/>
  <c r="DI109" i="27"/>
  <c r="DM109" i="27"/>
  <c r="DQ109" i="27"/>
  <c r="DJ109" i="27"/>
  <c r="DO109" i="27"/>
  <c r="DT109" i="27"/>
  <c r="DN109" i="27"/>
  <c r="DR109" i="27"/>
  <c r="DS109" i="27"/>
  <c r="DL109" i="27"/>
  <c r="DP109" i="27"/>
  <c r="DO19" i="27"/>
  <c r="DL19" i="27"/>
  <c r="DQ19" i="27"/>
  <c r="DM19" i="27"/>
  <c r="DT19" i="27"/>
  <c r="DI19" i="27"/>
  <c r="DP19" i="27"/>
  <c r="DN19" i="27"/>
  <c r="DJ19" i="27"/>
  <c r="DR19" i="27"/>
  <c r="DL43" i="27"/>
  <c r="DP43" i="27"/>
  <c r="DT43" i="27"/>
  <c r="DM43" i="27"/>
  <c r="DR43" i="27"/>
  <c r="DJ43" i="27"/>
  <c r="DO43" i="27"/>
  <c r="DI43" i="27"/>
  <c r="DS43" i="27"/>
  <c r="DN43" i="27"/>
  <c r="DQ43" i="27"/>
  <c r="DL67" i="27"/>
  <c r="DP67" i="27"/>
  <c r="DT67" i="27"/>
  <c r="DJ67" i="27"/>
  <c r="DO67" i="27"/>
  <c r="DI67" i="27"/>
  <c r="DQ67" i="27"/>
  <c r="DM67" i="27"/>
  <c r="DS67" i="27"/>
  <c r="DN67" i="27"/>
  <c r="DR67" i="27"/>
  <c r="DI91" i="27"/>
  <c r="DM91" i="27"/>
  <c r="DQ91" i="27"/>
  <c r="DJ91" i="27"/>
  <c r="DO91" i="27"/>
  <c r="DT91" i="27"/>
  <c r="DL91" i="27"/>
  <c r="DR91" i="27"/>
  <c r="DP91" i="27"/>
  <c r="DS91" i="27"/>
  <c r="DN91" i="27"/>
  <c r="DI121" i="27"/>
  <c r="DM121" i="27"/>
  <c r="DQ121" i="27"/>
  <c r="DJ121" i="27"/>
  <c r="DO121" i="27"/>
  <c r="DT121" i="27"/>
  <c r="DL121" i="27"/>
  <c r="DP121" i="27"/>
  <c r="DR121" i="27"/>
  <c r="DN121" i="27"/>
  <c r="DO20" i="27"/>
  <c r="DS20" i="27"/>
  <c r="DJ20" i="27"/>
  <c r="DP20" i="27"/>
  <c r="DN20" i="27"/>
  <c r="DL20" i="27"/>
  <c r="DR20" i="27"/>
  <c r="DQ20" i="27"/>
  <c r="DI20" i="27"/>
  <c r="DM20" i="27"/>
  <c r="DT20" i="27"/>
  <c r="DL44" i="27"/>
  <c r="DP44" i="27"/>
  <c r="DT44" i="27"/>
  <c r="DQ44" i="27"/>
  <c r="DI44" i="27"/>
  <c r="DN44" i="27"/>
  <c r="DS44" i="27"/>
  <c r="DR44" i="27"/>
  <c r="DM44" i="27"/>
  <c r="DO44" i="27"/>
  <c r="DJ44" i="27"/>
  <c r="DL68" i="27"/>
  <c r="DP68" i="27"/>
  <c r="DT68" i="27"/>
  <c r="DI68" i="27"/>
  <c r="DN68" i="27"/>
  <c r="DS68" i="27"/>
  <c r="DR68" i="27"/>
  <c r="DO68" i="27"/>
  <c r="DJ68" i="27"/>
  <c r="DQ68" i="27"/>
  <c r="DM68" i="27"/>
  <c r="DI92" i="27"/>
  <c r="DM92" i="27"/>
  <c r="DQ92" i="27"/>
  <c r="DN92" i="27"/>
  <c r="DS92" i="27"/>
  <c r="DP92" i="27"/>
  <c r="DJ92" i="27"/>
  <c r="DT92" i="27"/>
  <c r="DR92" i="27"/>
  <c r="DL92" i="27"/>
  <c r="DO92" i="27"/>
  <c r="DI116" i="27"/>
  <c r="DM116" i="27"/>
  <c r="DQ116" i="27"/>
  <c r="DP116" i="27"/>
  <c r="DO116" i="27"/>
  <c r="DJ116" i="27"/>
  <c r="DS116" i="27"/>
  <c r="DL116" i="27"/>
  <c r="DT116" i="27"/>
  <c r="DR116" i="27"/>
  <c r="DN116" i="27"/>
  <c r="DJ6" i="27"/>
  <c r="DN6" i="27"/>
  <c r="DR6" i="27"/>
  <c r="DP6" i="27"/>
  <c r="DI6" i="27"/>
  <c r="DO6" i="27"/>
  <c r="DQ6" i="27"/>
  <c r="DL6" i="27"/>
  <c r="DS6" i="27"/>
  <c r="DM6" i="27"/>
  <c r="DT6" i="27"/>
  <c r="DO27" i="27"/>
  <c r="DL27" i="27"/>
  <c r="DQ27" i="27"/>
  <c r="DI27" i="27"/>
  <c r="DP27" i="27"/>
  <c r="DM27" i="27"/>
  <c r="DT27" i="27"/>
  <c r="DR27" i="27"/>
  <c r="DJ27" i="27"/>
  <c r="DN27" i="27"/>
  <c r="DL51" i="27"/>
  <c r="DP51" i="27"/>
  <c r="DT51" i="27"/>
  <c r="DM51" i="27"/>
  <c r="DR51" i="27"/>
  <c r="DJ51" i="27"/>
  <c r="DO51" i="27"/>
  <c r="DI51" i="27"/>
  <c r="DS51" i="27"/>
  <c r="DN51" i="27"/>
  <c r="DQ51" i="27"/>
  <c r="DI75" i="27"/>
  <c r="DM75" i="27"/>
  <c r="DQ75" i="27"/>
  <c r="DJ75" i="27"/>
  <c r="DO75" i="27"/>
  <c r="DT75" i="27"/>
  <c r="DL75" i="27"/>
  <c r="DR75" i="27"/>
  <c r="DN75" i="27"/>
  <c r="DS75" i="27"/>
  <c r="DP75" i="27"/>
  <c r="DI99" i="27"/>
  <c r="DM99" i="27"/>
  <c r="DQ99" i="27"/>
  <c r="DJ99" i="27"/>
  <c r="DO99" i="27"/>
  <c r="DT99" i="27"/>
  <c r="DL99" i="27"/>
  <c r="DR99" i="27"/>
  <c r="DN99" i="27"/>
  <c r="DP99" i="27"/>
  <c r="DI123" i="27"/>
  <c r="DM123" i="27"/>
  <c r="DQ123" i="27"/>
  <c r="DL123" i="27"/>
  <c r="DR123" i="27"/>
  <c r="DJ123" i="27"/>
  <c r="DP123" i="27"/>
  <c r="DT123" i="27"/>
  <c r="DN123" i="27"/>
  <c r="DO123" i="27"/>
  <c r="DS123" i="27"/>
  <c r="DO17" i="27"/>
  <c r="DS17" i="27"/>
  <c r="DI17" i="27"/>
  <c r="DN17" i="27"/>
  <c r="DT17" i="27"/>
  <c r="DP17" i="27"/>
  <c r="DL17" i="27"/>
  <c r="DR17" i="27"/>
  <c r="DJ17" i="27"/>
  <c r="DQ17" i="27"/>
  <c r="DM17" i="27"/>
  <c r="DL41" i="27"/>
  <c r="DP41" i="27"/>
  <c r="DT41" i="27"/>
  <c r="DJ41" i="27"/>
  <c r="DO41" i="27"/>
  <c r="DM41" i="27"/>
  <c r="DR41" i="27"/>
  <c r="DQ41" i="27"/>
  <c r="DI41" i="27"/>
  <c r="DS41" i="27"/>
  <c r="DN41" i="27"/>
  <c r="DL65" i="27"/>
  <c r="DP65" i="27"/>
  <c r="DT65" i="27"/>
  <c r="DM65" i="27"/>
  <c r="DR65" i="27"/>
  <c r="DS65" i="27"/>
  <c r="DI65" i="27"/>
  <c r="DO65" i="27"/>
  <c r="DJ65" i="27"/>
  <c r="DQ65" i="27"/>
  <c r="DN65" i="27"/>
  <c r="DI89" i="27"/>
  <c r="DM89" i="27"/>
  <c r="DQ89" i="27"/>
  <c r="DL89" i="27"/>
  <c r="DR89" i="27"/>
  <c r="DJ89" i="27"/>
  <c r="DO89" i="27"/>
  <c r="DT89" i="27"/>
  <c r="DN89" i="27"/>
  <c r="DP89" i="27"/>
  <c r="DS89" i="27"/>
  <c r="DI113" i="27"/>
  <c r="DM113" i="27"/>
  <c r="DQ113" i="27"/>
  <c r="DJ113" i="27"/>
  <c r="DO113" i="27"/>
  <c r="DT113" i="27"/>
  <c r="DP113" i="27"/>
  <c r="DR113" i="27"/>
  <c r="DS113" i="27"/>
  <c r="DN113" i="27"/>
  <c r="DL113" i="27"/>
  <c r="DI138" i="27"/>
  <c r="DM138" i="27"/>
  <c r="DQ138" i="27"/>
  <c r="DN138" i="27"/>
  <c r="DS138" i="27"/>
  <c r="DO138" i="27"/>
  <c r="DJ138" i="27"/>
  <c r="DP138" i="27"/>
  <c r="DR138" i="27"/>
  <c r="DL138" i="27"/>
  <c r="DT138" i="27"/>
  <c r="DI124" i="27"/>
  <c r="DM124" i="27"/>
  <c r="DQ124" i="27"/>
  <c r="DP124" i="27"/>
  <c r="DL124" i="27"/>
  <c r="DS124" i="27"/>
  <c r="DR124" i="27"/>
  <c r="DJ124" i="27"/>
  <c r="DT124" i="27"/>
  <c r="DO124" i="27"/>
  <c r="DN124" i="27"/>
  <c r="DI130" i="27"/>
  <c r="DM130" i="27"/>
  <c r="DQ130" i="27"/>
  <c r="DN130" i="27"/>
  <c r="DS130" i="27"/>
  <c r="DR130" i="27"/>
  <c r="DL130" i="27"/>
  <c r="DT130" i="27"/>
  <c r="DO130" i="27"/>
  <c r="DJ130" i="27"/>
  <c r="DP130" i="27"/>
  <c r="DI100" i="27"/>
  <c r="DM100" i="27"/>
  <c r="DQ100" i="27"/>
  <c r="DN100" i="27"/>
  <c r="DS100" i="27"/>
  <c r="DK100" i="27"/>
  <c r="DP100" i="27"/>
  <c r="DJ100" i="27"/>
  <c r="DT100" i="27"/>
  <c r="DL100" i="27"/>
  <c r="DO100" i="27"/>
  <c r="DR100" i="27"/>
  <c r="DI106" i="27"/>
  <c r="DM106" i="27"/>
  <c r="DQ106" i="27"/>
  <c r="DN106" i="27"/>
  <c r="DS106" i="27"/>
  <c r="DO106" i="27"/>
  <c r="DP106" i="27"/>
  <c r="DJ106" i="27"/>
  <c r="DR106" i="27"/>
  <c r="DK106" i="27"/>
  <c r="DL106" i="27"/>
  <c r="DT106" i="27"/>
  <c r="DI76" i="27"/>
  <c r="DM76" i="27"/>
  <c r="DQ76" i="27"/>
  <c r="DN76" i="27"/>
  <c r="DS76" i="27"/>
  <c r="DK76" i="27"/>
  <c r="DP76" i="27"/>
  <c r="DL76" i="27"/>
  <c r="DR76" i="27"/>
  <c r="DO76" i="27"/>
  <c r="DT76" i="27"/>
  <c r="DJ76" i="27"/>
  <c r="DO30" i="27"/>
  <c r="DS30" i="27"/>
  <c r="DM30" i="27"/>
  <c r="DR30" i="27"/>
  <c r="DI30" i="27"/>
  <c r="DP30" i="27"/>
  <c r="DL30" i="27"/>
  <c r="DT30" i="27"/>
  <c r="DJ30" i="27"/>
  <c r="DQ30" i="27"/>
  <c r="DN30" i="27"/>
  <c r="DL54" i="27"/>
  <c r="DP54" i="27"/>
  <c r="DT54" i="27"/>
  <c r="DQ54" i="27"/>
  <c r="DI54" i="27"/>
  <c r="DO54" i="27"/>
  <c r="DM54" i="27"/>
  <c r="DS54" i="27"/>
  <c r="DN54" i="27"/>
  <c r="DR54" i="27"/>
  <c r="DJ54" i="27"/>
  <c r="DI78" i="27"/>
  <c r="DM78" i="27"/>
  <c r="DQ78" i="27"/>
  <c r="DK78" i="27"/>
  <c r="DP78" i="27"/>
  <c r="DN78" i="27"/>
  <c r="DS78" i="27"/>
  <c r="DJ78" i="27"/>
  <c r="DO78" i="27"/>
  <c r="DT78" i="27"/>
  <c r="DL78" i="27"/>
  <c r="DR78" i="27"/>
  <c r="DI102" i="27"/>
  <c r="DM102" i="27"/>
  <c r="DQ102" i="27"/>
  <c r="DP102" i="27"/>
  <c r="DN102" i="27"/>
  <c r="DS102" i="27"/>
  <c r="DR102" i="27"/>
  <c r="DL102" i="27"/>
  <c r="DO102" i="27"/>
  <c r="DT102" i="27"/>
  <c r="DJ102" i="27"/>
  <c r="DI126" i="27"/>
  <c r="DM126" i="27"/>
  <c r="DQ126" i="27"/>
  <c r="DN126" i="27"/>
  <c r="DS126" i="27"/>
  <c r="DK126" i="27"/>
  <c r="DR126" i="27"/>
  <c r="DL126" i="27"/>
  <c r="DT126" i="27"/>
  <c r="DJ126" i="27"/>
  <c r="DO126" i="27"/>
  <c r="DP126" i="27"/>
  <c r="DI140" i="27"/>
  <c r="DM140" i="27"/>
  <c r="DQ140" i="27"/>
  <c r="DP140" i="27"/>
  <c r="DL140" i="27"/>
  <c r="DS140" i="27"/>
  <c r="DN140" i="27"/>
  <c r="DT140" i="27"/>
  <c r="DO140" i="27"/>
  <c r="DJ140" i="27"/>
  <c r="DR140" i="27"/>
  <c r="DO25" i="27"/>
  <c r="DS25" i="27"/>
  <c r="DI25" i="27"/>
  <c r="DN25" i="27"/>
  <c r="DT25" i="27"/>
  <c r="DL25" i="27"/>
  <c r="DR25" i="27"/>
  <c r="DP25" i="27"/>
  <c r="DM25" i="27"/>
  <c r="DJ25" i="27"/>
  <c r="DQ25" i="27"/>
  <c r="DL49" i="27"/>
  <c r="DP49" i="27"/>
  <c r="DT49" i="27"/>
  <c r="DJ49" i="27"/>
  <c r="DO49" i="27"/>
  <c r="DM49" i="27"/>
  <c r="DR49" i="27"/>
  <c r="DK49" i="27"/>
  <c r="DQ49" i="27"/>
  <c r="DI49" i="27"/>
  <c r="DS49" i="27"/>
  <c r="DN49" i="27"/>
  <c r="DI73" i="27"/>
  <c r="DM73" i="27"/>
  <c r="DQ73" i="27"/>
  <c r="DL73" i="27"/>
  <c r="DR73" i="27"/>
  <c r="DJ73" i="27"/>
  <c r="DO73" i="27"/>
  <c r="DT73" i="27"/>
  <c r="DP73" i="27"/>
  <c r="DN73" i="27"/>
  <c r="DS73" i="27"/>
  <c r="DI97" i="27"/>
  <c r="DM97" i="27"/>
  <c r="DQ97" i="27"/>
  <c r="DL97" i="27"/>
  <c r="DR97" i="27"/>
  <c r="DJ97" i="27"/>
  <c r="DO97" i="27"/>
  <c r="DT97" i="27"/>
  <c r="DN97" i="27"/>
  <c r="DP97" i="27"/>
  <c r="DS97" i="27"/>
  <c r="DI133" i="27"/>
  <c r="DM133" i="27"/>
  <c r="DQ133" i="27"/>
  <c r="DJ133" i="27"/>
  <c r="DO133" i="27"/>
  <c r="DT133" i="27"/>
  <c r="DR133" i="27"/>
  <c r="DL133" i="27"/>
  <c r="DS133" i="27"/>
  <c r="DN133" i="27"/>
  <c r="DP133" i="27"/>
  <c r="DO26" i="27"/>
  <c r="DS26" i="27"/>
  <c r="DM26" i="27"/>
  <c r="DR26" i="27"/>
  <c r="DN26" i="27"/>
  <c r="DJ26" i="27"/>
  <c r="DQ26" i="27"/>
  <c r="DP26" i="27"/>
  <c r="DI26" i="27"/>
  <c r="DL26" i="27"/>
  <c r="DT26" i="27"/>
  <c r="DL50" i="27"/>
  <c r="DP50" i="27"/>
  <c r="DT50" i="27"/>
  <c r="DI50" i="27"/>
  <c r="DN50" i="27"/>
  <c r="DS50" i="27"/>
  <c r="DQ50" i="27"/>
  <c r="DJ50" i="27"/>
  <c r="DO50" i="27"/>
  <c r="DR50" i="27"/>
  <c r="DM50" i="27"/>
  <c r="DI74" i="27"/>
  <c r="DM74" i="27"/>
  <c r="DQ74" i="27"/>
  <c r="DP74" i="27"/>
  <c r="DN74" i="27"/>
  <c r="DS74" i="27"/>
  <c r="DJ74" i="27"/>
  <c r="DO74" i="27"/>
  <c r="DT74" i="27"/>
  <c r="DR74" i="27"/>
  <c r="DL74" i="27"/>
  <c r="DI98" i="27"/>
  <c r="DM98" i="27"/>
  <c r="DQ98" i="27"/>
  <c r="DK98" i="27"/>
  <c r="DP98" i="27"/>
  <c r="DN98" i="27"/>
  <c r="DS98" i="27"/>
  <c r="DL98" i="27"/>
  <c r="DR98" i="27"/>
  <c r="DT98" i="27"/>
  <c r="DJ98" i="27"/>
  <c r="DO98" i="27"/>
  <c r="DI122" i="27"/>
  <c r="DM122" i="27"/>
  <c r="DQ122" i="27"/>
  <c r="DN122" i="27"/>
  <c r="DS122" i="27"/>
  <c r="DO122" i="27"/>
  <c r="DL122" i="27"/>
  <c r="DP122" i="27"/>
  <c r="DT122" i="27"/>
  <c r="DJ122" i="27"/>
  <c r="DR122" i="27"/>
  <c r="DO9" i="27"/>
  <c r="DS9" i="27"/>
  <c r="DL9" i="27"/>
  <c r="DQ9" i="27"/>
  <c r="DI9" i="27"/>
  <c r="DN9" i="27"/>
  <c r="DT9" i="27"/>
  <c r="DR9" i="27"/>
  <c r="DM9" i="27"/>
  <c r="DJ9" i="27"/>
  <c r="DP9" i="27"/>
  <c r="DO33" i="27"/>
  <c r="DS33" i="27"/>
  <c r="DI33" i="27"/>
  <c r="DN33" i="27"/>
  <c r="DT33" i="27"/>
  <c r="DP33" i="27"/>
  <c r="DL33" i="27"/>
  <c r="DR33" i="27"/>
  <c r="DQ33" i="27"/>
  <c r="DJ33" i="27"/>
  <c r="DM33" i="27"/>
  <c r="DL57" i="27"/>
  <c r="DP57" i="27"/>
  <c r="DT57" i="27"/>
  <c r="DM57" i="27"/>
  <c r="DR57" i="27"/>
  <c r="DI57" i="27"/>
  <c r="DO57" i="27"/>
  <c r="DS57" i="27"/>
  <c r="DN57" i="27"/>
  <c r="DJ57" i="27"/>
  <c r="DQ57" i="27"/>
  <c r="DI81" i="27"/>
  <c r="DM81" i="27"/>
  <c r="DQ81" i="27"/>
  <c r="DL81" i="27"/>
  <c r="DR81" i="27"/>
  <c r="DJ81" i="27"/>
  <c r="DO81" i="27"/>
  <c r="DT81" i="27"/>
  <c r="DP81" i="27"/>
  <c r="DS81" i="27"/>
  <c r="DN81" i="27"/>
  <c r="DI105" i="27"/>
  <c r="DM105" i="27"/>
  <c r="DQ105" i="27"/>
  <c r="DJ105" i="27"/>
  <c r="DO105" i="27"/>
  <c r="DT105" i="27"/>
  <c r="DL105" i="27"/>
  <c r="DS105" i="27"/>
  <c r="DP105" i="27"/>
  <c r="DR105" i="27"/>
  <c r="DN105" i="27"/>
  <c r="DI129" i="27"/>
  <c r="DM129" i="27"/>
  <c r="DQ129" i="27"/>
  <c r="DJ129" i="27"/>
  <c r="DO129" i="27"/>
  <c r="DT129" i="27"/>
  <c r="DP129" i="27"/>
  <c r="DN129" i="27"/>
  <c r="DR129" i="27"/>
  <c r="DS129" i="27"/>
  <c r="DL129" i="27"/>
  <c r="DO23" i="27"/>
  <c r="DS23" i="27"/>
  <c r="DL23" i="27"/>
  <c r="DQ23" i="27"/>
  <c r="DN23" i="27"/>
  <c r="DJ23" i="27"/>
  <c r="DR23" i="27"/>
  <c r="DI23" i="27"/>
  <c r="DP23" i="27"/>
  <c r="DT23" i="27"/>
  <c r="DM23" i="27"/>
  <c r="DL47" i="27"/>
  <c r="DP47" i="27"/>
  <c r="DT47" i="27"/>
  <c r="DM47" i="27"/>
  <c r="DR47" i="27"/>
  <c r="DJ47" i="27"/>
  <c r="DO47" i="27"/>
  <c r="DN47" i="27"/>
  <c r="DI47" i="27"/>
  <c r="DS47" i="27"/>
  <c r="DQ47" i="27"/>
  <c r="DI71" i="27"/>
  <c r="DM71" i="27"/>
  <c r="DQ71" i="27"/>
  <c r="DJ71" i="27"/>
  <c r="DO71" i="27"/>
  <c r="DT71" i="27"/>
  <c r="DL71" i="27"/>
  <c r="DR71" i="27"/>
  <c r="DN71" i="27"/>
  <c r="DS71" i="27"/>
  <c r="DP71" i="27"/>
  <c r="DI95" i="27"/>
  <c r="DM95" i="27"/>
  <c r="DQ95" i="27"/>
  <c r="DJ95" i="27"/>
  <c r="DO95" i="27"/>
  <c r="DT95" i="27"/>
  <c r="DL95" i="27"/>
  <c r="DR95" i="27"/>
  <c r="DP95" i="27"/>
  <c r="DK95" i="27"/>
  <c r="DN95" i="27"/>
  <c r="DS95" i="27"/>
  <c r="DI119" i="27"/>
  <c r="DM119" i="27"/>
  <c r="DQ119" i="27"/>
  <c r="DL119" i="27"/>
  <c r="DR119" i="27"/>
  <c r="DO119" i="27"/>
  <c r="DT119" i="27"/>
  <c r="DN119" i="27"/>
  <c r="DS119" i="27"/>
  <c r="DJ119" i="27"/>
  <c r="DP119" i="27"/>
  <c r="DI127" i="27"/>
  <c r="DM127" i="27"/>
  <c r="DQ127" i="27"/>
  <c r="DL127" i="27"/>
  <c r="DR127" i="27"/>
  <c r="DN127" i="27"/>
  <c r="DT127" i="27"/>
  <c r="DO127" i="27"/>
  <c r="DP127" i="27"/>
  <c r="DS127" i="27"/>
  <c r="DJ127" i="27"/>
  <c r="DO16" i="27"/>
  <c r="DS16" i="27"/>
  <c r="DJ16" i="27"/>
  <c r="DP16" i="27"/>
  <c r="DM16" i="27"/>
  <c r="DT16" i="27"/>
  <c r="DI16" i="27"/>
  <c r="DQ16" i="27"/>
  <c r="DN16" i="27"/>
  <c r="DR16" i="27"/>
  <c r="DL16" i="27"/>
  <c r="DO22" i="27"/>
  <c r="DS22" i="27"/>
  <c r="DM22" i="27"/>
  <c r="DR22" i="27"/>
  <c r="DL22" i="27"/>
  <c r="DT22" i="27"/>
  <c r="DI22" i="27"/>
  <c r="DP22" i="27"/>
  <c r="DN22" i="27"/>
  <c r="DQ22" i="27"/>
  <c r="DJ22" i="27"/>
  <c r="DI137" i="27"/>
  <c r="DM137" i="27"/>
  <c r="DQ137" i="27"/>
  <c r="DJ137" i="27"/>
  <c r="DO137" i="27"/>
  <c r="DT137" i="27"/>
  <c r="DL137" i="27"/>
  <c r="DS137" i="27"/>
  <c r="DN137" i="27"/>
  <c r="DP137" i="27"/>
  <c r="DR137" i="27"/>
  <c r="DO10" i="27"/>
  <c r="DS10" i="27"/>
  <c r="DJ10" i="27"/>
  <c r="DP10" i="27"/>
  <c r="DM10" i="27"/>
  <c r="DR10" i="27"/>
  <c r="DQ10" i="27"/>
  <c r="DL10" i="27"/>
  <c r="DT10" i="27"/>
  <c r="DI10" i="27"/>
  <c r="DN10" i="27"/>
  <c r="DO12" i="27"/>
  <c r="DS12" i="27"/>
  <c r="DJ12" i="27"/>
  <c r="DP12" i="27"/>
  <c r="DL12" i="27"/>
  <c r="DR12" i="27"/>
  <c r="DN12" i="27"/>
  <c r="DM12" i="27"/>
  <c r="DT12" i="27"/>
  <c r="DI12" i="27"/>
  <c r="DQ12" i="27"/>
  <c r="DL36" i="27"/>
  <c r="DP36" i="27"/>
  <c r="DT36" i="27"/>
  <c r="DQ36" i="27"/>
  <c r="DI36" i="27"/>
  <c r="DN36" i="27"/>
  <c r="DS36" i="27"/>
  <c r="DR36" i="27"/>
  <c r="DM36" i="27"/>
  <c r="DO36" i="27"/>
  <c r="DJ36" i="27"/>
  <c r="DL60" i="27"/>
  <c r="DP60" i="27"/>
  <c r="DT60" i="27"/>
  <c r="DI60" i="27"/>
  <c r="DN60" i="27"/>
  <c r="DS60" i="27"/>
  <c r="DO60" i="27"/>
  <c r="DR60" i="27"/>
  <c r="DM60" i="27"/>
  <c r="DJ60" i="27"/>
  <c r="DQ60" i="27"/>
  <c r="DI84" i="27"/>
  <c r="DM84" i="27"/>
  <c r="DQ84" i="27"/>
  <c r="DN84" i="27"/>
  <c r="DS84" i="27"/>
  <c r="DP84" i="27"/>
  <c r="DJ84" i="27"/>
  <c r="DT84" i="27"/>
  <c r="DO84" i="27"/>
  <c r="DR84" i="27"/>
  <c r="DL84" i="27"/>
  <c r="DI108" i="27"/>
  <c r="DM108" i="27"/>
  <c r="DQ108" i="27"/>
  <c r="DP108" i="27"/>
  <c r="DL108" i="27"/>
  <c r="DS108" i="27"/>
  <c r="DJ108" i="27"/>
  <c r="DT108" i="27"/>
  <c r="DN108" i="27"/>
  <c r="DR108" i="27"/>
  <c r="DO108" i="27"/>
  <c r="DI132" i="27"/>
  <c r="DM132" i="27"/>
  <c r="DQ132" i="27"/>
  <c r="DP132" i="27"/>
  <c r="DO132" i="27"/>
  <c r="DJ132" i="27"/>
  <c r="DR132" i="27"/>
  <c r="DL132" i="27"/>
  <c r="DS132" i="27"/>
  <c r="DN132" i="27"/>
  <c r="DT132" i="27"/>
  <c r="DO7" i="27"/>
  <c r="DS7" i="27"/>
  <c r="DI7" i="27"/>
  <c r="DN7" i="27"/>
  <c r="DT7" i="27"/>
  <c r="DL7" i="27"/>
  <c r="DQ7" i="27"/>
  <c r="DJ7" i="27"/>
  <c r="DP7" i="27"/>
  <c r="DM7" i="27"/>
  <c r="DR7" i="27"/>
  <c r="DO31" i="27"/>
  <c r="DS31" i="27"/>
  <c r="DL31" i="27"/>
  <c r="DQ31" i="27"/>
  <c r="DJ31" i="27"/>
  <c r="DR31" i="27"/>
  <c r="DN31" i="27"/>
  <c r="DM31" i="27"/>
  <c r="DT31" i="27"/>
  <c r="DI31" i="27"/>
  <c r="DP31" i="27"/>
  <c r="DL55" i="27"/>
  <c r="DP55" i="27"/>
  <c r="DT55" i="27"/>
  <c r="DJ55" i="27"/>
  <c r="DO55" i="27"/>
  <c r="DR55" i="27"/>
  <c r="DN55" i="27"/>
  <c r="DI55" i="27"/>
  <c r="DQ55" i="27"/>
  <c r="DM55" i="27"/>
  <c r="DS55" i="27"/>
  <c r="DI79" i="27"/>
  <c r="DM79" i="27"/>
  <c r="DQ79" i="27"/>
  <c r="DJ79" i="27"/>
  <c r="DO79" i="27"/>
  <c r="DT79" i="27"/>
  <c r="DL79" i="27"/>
  <c r="DR79" i="27"/>
  <c r="DN79" i="27"/>
  <c r="DS79" i="27"/>
  <c r="DP79" i="27"/>
  <c r="DI103" i="27"/>
  <c r="DM103" i="27"/>
  <c r="DQ103" i="27"/>
  <c r="DJ103" i="27"/>
  <c r="DO103" i="27"/>
  <c r="DT103" i="27"/>
  <c r="DL103" i="27"/>
  <c r="DR103" i="27"/>
  <c r="DP103" i="27"/>
  <c r="DN103" i="27"/>
  <c r="DS103" i="27"/>
  <c r="DK103" i="27"/>
  <c r="DO8" i="27"/>
  <c r="DS8" i="27"/>
  <c r="DM8" i="27"/>
  <c r="DR8" i="27"/>
  <c r="DJ8" i="27"/>
  <c r="DP8" i="27"/>
  <c r="DI8" i="27"/>
  <c r="DT8" i="27"/>
  <c r="DN8" i="27"/>
  <c r="DL8" i="27"/>
  <c r="DQ8" i="27"/>
  <c r="DO32" i="27"/>
  <c r="DS32" i="27"/>
  <c r="DJ32" i="27"/>
  <c r="DP32" i="27"/>
  <c r="DM32" i="27"/>
  <c r="DT32" i="27"/>
  <c r="DI32" i="27"/>
  <c r="DQ32" i="27"/>
  <c r="DN32" i="27"/>
  <c r="DL32" i="27"/>
  <c r="DR32" i="27"/>
  <c r="DL56" i="27"/>
  <c r="DP56" i="27"/>
  <c r="DT56" i="27"/>
  <c r="DI56" i="27"/>
  <c r="DN56" i="27"/>
  <c r="DS56" i="27"/>
  <c r="DM56" i="27"/>
  <c r="DJ56" i="27"/>
  <c r="DQ56" i="27"/>
  <c r="DK56" i="27"/>
  <c r="DR56" i="27"/>
  <c r="DO56" i="27"/>
  <c r="DI80" i="27"/>
  <c r="DM80" i="27"/>
  <c r="DQ80" i="27"/>
  <c r="DN80" i="27"/>
  <c r="DS80" i="27"/>
  <c r="DK80" i="27"/>
  <c r="DP80" i="27"/>
  <c r="DL80" i="27"/>
  <c r="DR80" i="27"/>
  <c r="DJ80" i="27"/>
  <c r="DO80" i="27"/>
  <c r="DT80" i="27"/>
  <c r="DI104" i="27"/>
  <c r="DM104" i="27"/>
  <c r="DQ104" i="27"/>
  <c r="DN104" i="27"/>
  <c r="DS104" i="27"/>
  <c r="DP104" i="27"/>
  <c r="DO104" i="27"/>
  <c r="DR104" i="27"/>
  <c r="DT104" i="27"/>
  <c r="DJ104" i="27"/>
  <c r="DL104" i="27"/>
  <c r="DI128" i="27"/>
  <c r="DM128" i="27"/>
  <c r="DQ128" i="27"/>
  <c r="DK128" i="27"/>
  <c r="DP128" i="27"/>
  <c r="DO128" i="27"/>
  <c r="DJ128" i="27"/>
  <c r="DR128" i="27"/>
  <c r="DN128" i="27"/>
  <c r="DS128" i="27"/>
  <c r="DT128" i="27"/>
  <c r="DL128" i="27"/>
  <c r="DO15" i="27"/>
  <c r="DS15" i="27"/>
  <c r="DL15" i="27"/>
  <c r="DQ15" i="27"/>
  <c r="DJ15" i="27"/>
  <c r="DR15" i="27"/>
  <c r="DN15" i="27"/>
  <c r="DT15" i="27"/>
  <c r="DM15" i="27"/>
  <c r="DP15" i="27"/>
  <c r="DI15" i="27"/>
  <c r="DL39" i="27"/>
  <c r="DP39" i="27"/>
  <c r="DT39" i="27"/>
  <c r="DM39" i="27"/>
  <c r="DR39" i="27"/>
  <c r="DJ39" i="27"/>
  <c r="DO39" i="27"/>
  <c r="DN39" i="27"/>
  <c r="DI39" i="27"/>
  <c r="DS39" i="27"/>
  <c r="DQ39" i="27"/>
  <c r="DL63" i="27"/>
  <c r="DP63" i="27"/>
  <c r="DT63" i="27"/>
  <c r="DJ63" i="27"/>
  <c r="DO63" i="27"/>
  <c r="DN63" i="27"/>
  <c r="DR63" i="27"/>
  <c r="DM63" i="27"/>
  <c r="DS63" i="27"/>
  <c r="DI63" i="27"/>
  <c r="DQ63" i="27"/>
  <c r="DI87" i="27"/>
  <c r="DM87" i="27"/>
  <c r="DQ87" i="27"/>
  <c r="DJ87" i="27"/>
  <c r="DO87" i="27"/>
  <c r="DT87" i="27"/>
  <c r="DL87" i="27"/>
  <c r="DR87" i="27"/>
  <c r="DP87" i="27"/>
  <c r="DK87" i="27"/>
  <c r="DN87" i="27"/>
  <c r="DS87" i="27"/>
  <c r="DI111" i="27"/>
  <c r="DM111" i="27"/>
  <c r="DQ111" i="27"/>
  <c r="DL111" i="27"/>
  <c r="DR111" i="27"/>
  <c r="DK111" i="27"/>
  <c r="DS111" i="27"/>
  <c r="DN111" i="27"/>
  <c r="DO111" i="27"/>
  <c r="DT111" i="27"/>
  <c r="DJ111" i="27"/>
  <c r="DP111" i="27"/>
  <c r="DI136" i="27"/>
  <c r="DM136" i="27"/>
  <c r="DQ136" i="27"/>
  <c r="DP136" i="27"/>
  <c r="DJ136" i="27"/>
  <c r="DR136" i="27"/>
  <c r="DL136" i="27"/>
  <c r="DS136" i="27"/>
  <c r="DN136" i="27"/>
  <c r="DT136" i="27"/>
  <c r="DO136" i="27"/>
  <c r="DO29" i="27"/>
  <c r="DS29" i="27"/>
  <c r="DI29" i="27"/>
  <c r="DN29" i="27"/>
  <c r="DT29" i="27"/>
  <c r="DM29" i="27"/>
  <c r="DJ29" i="27"/>
  <c r="DQ29" i="27"/>
  <c r="DP29" i="27"/>
  <c r="DR29" i="27"/>
  <c r="DL29" i="27"/>
  <c r="DL53" i="27"/>
  <c r="DP53" i="27"/>
  <c r="DT53" i="27"/>
  <c r="DM53" i="27"/>
  <c r="DR53" i="27"/>
  <c r="DN53" i="27"/>
  <c r="DJ53" i="27"/>
  <c r="DQ53" i="27"/>
  <c r="DS53" i="27"/>
  <c r="DO53" i="27"/>
  <c r="DI53" i="27"/>
  <c r="DI77" i="27"/>
  <c r="DM77" i="27"/>
  <c r="DQ77" i="27"/>
  <c r="DL77" i="27"/>
  <c r="DR77" i="27"/>
  <c r="DJ77" i="27"/>
  <c r="DO77" i="27"/>
  <c r="DT77" i="27"/>
  <c r="DP77" i="27"/>
  <c r="DN77" i="27"/>
  <c r="DS77" i="27"/>
  <c r="DI101" i="27"/>
  <c r="DM101" i="27"/>
  <c r="DQ101" i="27"/>
  <c r="DL101" i="27"/>
  <c r="DR101" i="27"/>
  <c r="DJ101" i="27"/>
  <c r="DO101" i="27"/>
  <c r="DT101" i="27"/>
  <c r="DS101" i="27"/>
  <c r="DK101" i="27"/>
  <c r="DN101" i="27"/>
  <c r="DP101" i="27"/>
  <c r="DI125" i="27"/>
  <c r="DM125" i="27"/>
  <c r="DQ125" i="27"/>
  <c r="DJ125" i="27"/>
  <c r="DO125" i="27"/>
  <c r="DT125" i="27"/>
  <c r="DN125" i="27"/>
  <c r="DP125" i="27"/>
  <c r="DR125" i="27"/>
  <c r="DL125" i="27"/>
  <c r="DS125" i="27"/>
  <c r="DL52" i="27"/>
  <c r="DP52" i="27"/>
  <c r="DT52" i="27"/>
  <c r="DK52" i="27"/>
  <c r="DQ52" i="27"/>
  <c r="DI52" i="27"/>
  <c r="DN52" i="27"/>
  <c r="DS52" i="27"/>
  <c r="DR52" i="27"/>
  <c r="DM52" i="27"/>
  <c r="DO52" i="27"/>
  <c r="DJ52" i="27"/>
  <c r="DL58" i="27"/>
  <c r="DP58" i="27"/>
  <c r="DT58" i="27"/>
  <c r="DQ58" i="27"/>
  <c r="DJ58" i="27"/>
  <c r="DR58" i="27"/>
  <c r="DN58" i="27"/>
  <c r="DI58" i="27"/>
  <c r="DO58" i="27"/>
  <c r="DM58" i="27"/>
  <c r="DS58" i="27"/>
  <c r="DO28" i="27"/>
  <c r="DS28" i="27"/>
  <c r="DJ28" i="27"/>
  <c r="DP28" i="27"/>
  <c r="DL28" i="27"/>
  <c r="DR28" i="27"/>
  <c r="DN28" i="27"/>
  <c r="DT28" i="27"/>
  <c r="DM28" i="27"/>
  <c r="DQ28" i="27"/>
  <c r="DI28" i="27"/>
  <c r="DO34" i="27"/>
  <c r="DS34" i="27"/>
  <c r="DM34" i="27"/>
  <c r="DR34" i="27"/>
  <c r="DJ34" i="27"/>
  <c r="DQ34" i="27"/>
  <c r="DN34" i="27"/>
  <c r="DT34" i="27"/>
  <c r="DL34" i="27"/>
  <c r="DP34" i="27"/>
  <c r="DI34" i="27"/>
  <c r="DL46" i="27"/>
  <c r="DP46" i="27"/>
  <c r="DT46" i="27"/>
  <c r="DI46" i="27"/>
  <c r="DN46" i="27"/>
  <c r="DS46" i="27"/>
  <c r="DQ46" i="27"/>
  <c r="DO46" i="27"/>
  <c r="DJ46" i="27"/>
  <c r="DM46" i="27"/>
  <c r="DR46" i="27"/>
  <c r="DI82" i="27"/>
  <c r="DM82" i="27"/>
  <c r="DQ82" i="27"/>
  <c r="DP82" i="27"/>
  <c r="DN82" i="27"/>
  <c r="DS82" i="27"/>
  <c r="DJ82" i="27"/>
  <c r="DO82" i="27"/>
  <c r="DL82" i="27"/>
  <c r="DR82" i="27"/>
  <c r="DT82" i="27"/>
  <c r="DO18" i="27"/>
  <c r="DS18" i="27"/>
  <c r="DM18" i="27"/>
  <c r="DR18" i="27"/>
  <c r="DJ18" i="27"/>
  <c r="DQ18" i="27"/>
  <c r="DN18" i="27"/>
  <c r="DL18" i="27"/>
  <c r="DT18" i="27"/>
  <c r="DI18" i="27"/>
  <c r="DP18" i="27"/>
  <c r="DL42" i="27"/>
  <c r="DP42" i="27"/>
  <c r="DT42" i="27"/>
  <c r="DI42" i="27"/>
  <c r="DN42" i="27"/>
  <c r="DS42" i="27"/>
  <c r="DQ42" i="27"/>
  <c r="DJ42" i="27"/>
  <c r="DO42" i="27"/>
  <c r="DR42" i="27"/>
  <c r="DM42" i="27"/>
  <c r="DL66" i="27"/>
  <c r="DP66" i="27"/>
  <c r="DT66" i="27"/>
  <c r="DK66" i="27"/>
  <c r="DQ66" i="27"/>
  <c r="DN66" i="27"/>
  <c r="DJ66" i="27"/>
  <c r="DR66" i="27"/>
  <c r="DM66" i="27"/>
  <c r="DS66" i="27"/>
  <c r="DO66" i="27"/>
  <c r="DI66" i="27"/>
  <c r="DI90" i="27"/>
  <c r="DM90" i="27"/>
  <c r="DQ90" i="27"/>
  <c r="DP90" i="27"/>
  <c r="DN90" i="27"/>
  <c r="DS90" i="27"/>
  <c r="DL90" i="27"/>
  <c r="DO90" i="27"/>
  <c r="DR90" i="27"/>
  <c r="DT90" i="27"/>
  <c r="DJ90" i="27"/>
  <c r="DI114" i="27"/>
  <c r="DM114" i="27"/>
  <c r="DQ114" i="27"/>
  <c r="DN114" i="27"/>
  <c r="DS114" i="27"/>
  <c r="DR114" i="27"/>
  <c r="DO114" i="27"/>
  <c r="DP114" i="27"/>
  <c r="DJ114" i="27"/>
  <c r="DL114" i="27"/>
  <c r="DT114" i="27"/>
  <c r="DI139" i="27"/>
  <c r="DM139" i="27"/>
  <c r="DQ139" i="27"/>
  <c r="DL139" i="27"/>
  <c r="DR139" i="27"/>
  <c r="DJ139" i="27"/>
  <c r="DP139" i="27"/>
  <c r="DK139" i="27"/>
  <c r="DS139" i="27"/>
  <c r="DN139" i="27"/>
  <c r="DT139" i="27"/>
  <c r="DO139" i="27"/>
  <c r="DO13" i="27"/>
  <c r="DS13" i="27"/>
  <c r="DI13" i="27"/>
  <c r="DN13" i="27"/>
  <c r="DT13" i="27"/>
  <c r="DM13" i="27"/>
  <c r="DJ13" i="27"/>
  <c r="DQ13" i="27"/>
  <c r="DP13" i="27"/>
  <c r="DL13" i="27"/>
  <c r="DR13" i="27"/>
  <c r="DL37" i="27"/>
  <c r="DP37" i="27"/>
  <c r="DT37" i="27"/>
  <c r="DJ37" i="27"/>
  <c r="DO37" i="27"/>
  <c r="DM37" i="27"/>
  <c r="DR37" i="27"/>
  <c r="DQ37" i="27"/>
  <c r="DN37" i="27"/>
  <c r="DS37" i="27"/>
  <c r="DI37" i="27"/>
  <c r="DL61" i="27"/>
  <c r="DP61" i="27"/>
  <c r="DT61" i="27"/>
  <c r="DM61" i="27"/>
  <c r="DR61" i="27"/>
  <c r="DJ61" i="27"/>
  <c r="DQ61" i="27"/>
  <c r="DN61" i="27"/>
  <c r="DI61" i="27"/>
  <c r="DO61" i="27"/>
  <c r="DS61" i="27"/>
  <c r="DK61" i="27"/>
  <c r="DI85" i="27"/>
  <c r="DM85" i="27"/>
  <c r="DQ85" i="27"/>
  <c r="DL85" i="27"/>
  <c r="DR85" i="27"/>
  <c r="DJ85" i="27"/>
  <c r="DO85" i="27"/>
  <c r="DT85" i="27"/>
  <c r="DS85" i="27"/>
  <c r="DP85" i="27"/>
  <c r="DN85" i="27"/>
  <c r="DI115" i="27"/>
  <c r="DM115" i="27"/>
  <c r="DQ115" i="27"/>
  <c r="DL115" i="27"/>
  <c r="DR115" i="27"/>
  <c r="DN115" i="27"/>
  <c r="DT115" i="27"/>
  <c r="DO115" i="27"/>
  <c r="DJ115" i="27"/>
  <c r="DP115" i="27"/>
  <c r="DS115" i="27"/>
  <c r="DO14" i="27"/>
  <c r="DS14" i="27"/>
  <c r="DM14" i="27"/>
  <c r="DR14" i="27"/>
  <c r="DI14" i="27"/>
  <c r="DP14" i="27"/>
  <c r="DL14" i="27"/>
  <c r="DT14" i="27"/>
  <c r="DQ14" i="27"/>
  <c r="DJ14" i="27"/>
  <c r="DN14" i="27"/>
  <c r="DL38" i="27"/>
  <c r="DP38" i="27"/>
  <c r="DT38" i="27"/>
  <c r="DI38" i="27"/>
  <c r="DN38" i="27"/>
  <c r="DS38" i="27"/>
  <c r="DQ38" i="27"/>
  <c r="DO38" i="27"/>
  <c r="DJ38" i="27"/>
  <c r="DM38" i="27"/>
  <c r="DR38" i="27"/>
  <c r="DL62" i="27"/>
  <c r="DP62" i="27"/>
  <c r="DT62" i="27"/>
  <c r="DQ62" i="27"/>
  <c r="DM62" i="27"/>
  <c r="DS62" i="27"/>
  <c r="DI62" i="27"/>
  <c r="DO62" i="27"/>
  <c r="DJ62" i="27"/>
  <c r="DR62" i="27"/>
  <c r="DN62" i="27"/>
  <c r="DI86" i="27"/>
  <c r="DM86" i="27"/>
  <c r="DQ86" i="27"/>
  <c r="DK86" i="27"/>
  <c r="DP86" i="27"/>
  <c r="DN86" i="27"/>
  <c r="DS86" i="27"/>
  <c r="DR86" i="27"/>
  <c r="DT86" i="27"/>
  <c r="DJ86" i="27"/>
  <c r="DL86" i="27"/>
  <c r="DO86" i="27"/>
  <c r="DI110" i="27"/>
  <c r="DM110" i="27"/>
  <c r="DQ110" i="27"/>
  <c r="DN110" i="27"/>
  <c r="DS110" i="27"/>
  <c r="DJ110" i="27"/>
  <c r="DP110" i="27"/>
  <c r="DO110" i="27"/>
  <c r="DR110" i="27"/>
  <c r="DL110" i="27"/>
  <c r="DT110" i="27"/>
  <c r="DI134" i="27"/>
  <c r="DM134" i="27"/>
  <c r="DQ134" i="27"/>
  <c r="DN134" i="27"/>
  <c r="DS134" i="27"/>
  <c r="DL134" i="27"/>
  <c r="DT134" i="27"/>
  <c r="DO134" i="27"/>
  <c r="DJ134" i="27"/>
  <c r="DP134" i="27"/>
  <c r="DR134" i="27"/>
  <c r="DO21" i="27"/>
  <c r="DS21" i="27"/>
  <c r="DI21" i="27"/>
  <c r="DN21" i="27"/>
  <c r="DT21" i="27"/>
  <c r="DJ21" i="27"/>
  <c r="DQ21" i="27"/>
  <c r="DM21" i="27"/>
  <c r="DR21" i="27"/>
  <c r="DL21" i="27"/>
  <c r="DP21" i="27"/>
  <c r="DL45" i="27"/>
  <c r="DP45" i="27"/>
  <c r="DT45" i="27"/>
  <c r="DJ45" i="27"/>
  <c r="DO45" i="27"/>
  <c r="DM45" i="27"/>
  <c r="DR45" i="27"/>
  <c r="DQ45" i="27"/>
  <c r="DN45" i="27"/>
  <c r="DI45" i="27"/>
  <c r="DS45" i="27"/>
  <c r="DL69" i="27"/>
  <c r="DP69" i="27"/>
  <c r="DT69" i="27"/>
  <c r="DM69" i="27"/>
  <c r="DR69" i="27"/>
  <c r="DN69" i="27"/>
  <c r="DJ69" i="27"/>
  <c r="DQ69" i="27"/>
  <c r="DS69" i="27"/>
  <c r="DI69" i="27"/>
  <c r="DO69" i="27"/>
  <c r="DI93" i="27"/>
  <c r="DM93" i="27"/>
  <c r="DQ93" i="27"/>
  <c r="DL93" i="27"/>
  <c r="DR93" i="27"/>
  <c r="DJ93" i="27"/>
  <c r="DO93" i="27"/>
  <c r="DT93" i="27"/>
  <c r="DS93" i="27"/>
  <c r="DK93" i="27"/>
  <c r="DN93" i="27"/>
  <c r="DP93" i="27"/>
  <c r="DI117" i="27"/>
  <c r="DM117" i="27"/>
  <c r="DQ117" i="27"/>
  <c r="DJ117" i="27"/>
  <c r="DO117" i="27"/>
  <c r="DT117" i="27"/>
  <c r="DR117" i="27"/>
  <c r="DP117" i="27"/>
  <c r="DS117" i="27"/>
  <c r="DL117" i="27"/>
  <c r="DN117" i="27"/>
  <c r="DO11" i="27"/>
  <c r="DS11" i="27"/>
  <c r="DI11" i="27"/>
  <c r="DN11" i="27"/>
  <c r="DL11" i="27"/>
  <c r="DQ11" i="27"/>
  <c r="DP11" i="27"/>
  <c r="DJ11" i="27"/>
  <c r="DT11" i="27"/>
  <c r="DR11" i="27"/>
  <c r="DM11" i="27"/>
  <c r="DL35" i="27"/>
  <c r="DP35" i="27"/>
  <c r="DT35" i="27"/>
  <c r="DM35" i="27"/>
  <c r="DR35" i="27"/>
  <c r="DI35" i="27"/>
  <c r="DO35" i="27"/>
  <c r="DS35" i="27"/>
  <c r="DN35" i="27"/>
  <c r="DQ35" i="27"/>
  <c r="DJ35" i="27"/>
  <c r="DL59" i="27"/>
  <c r="DP59" i="27"/>
  <c r="DT59" i="27"/>
  <c r="DJ59" i="27"/>
  <c r="DO59" i="27"/>
  <c r="DM59" i="27"/>
  <c r="DS59" i="27"/>
  <c r="DI59" i="27"/>
  <c r="DQ59" i="27"/>
  <c r="DK59" i="27"/>
  <c r="DR59" i="27"/>
  <c r="DN59" i="27"/>
  <c r="DI83" i="27"/>
  <c r="DM83" i="27"/>
  <c r="DQ83" i="27"/>
  <c r="DJ83" i="27"/>
  <c r="DO83" i="27"/>
  <c r="DT83" i="27"/>
  <c r="DL83" i="27"/>
  <c r="DR83" i="27"/>
  <c r="DN83" i="27"/>
  <c r="DP83" i="27"/>
  <c r="DS83" i="27"/>
  <c r="DI107" i="27"/>
  <c r="DM107" i="27"/>
  <c r="DQ107" i="27"/>
  <c r="DL107" i="27"/>
  <c r="DR107" i="27"/>
  <c r="DJ107" i="27"/>
  <c r="DP107" i="27"/>
  <c r="DN107" i="27"/>
  <c r="DO107" i="27"/>
  <c r="DK107" i="27"/>
  <c r="DS107" i="27"/>
  <c r="DT107" i="27"/>
  <c r="DI131" i="27"/>
  <c r="DM131" i="27"/>
  <c r="DQ131" i="27"/>
  <c r="DL131" i="27"/>
  <c r="DR131" i="27"/>
  <c r="DN131" i="27"/>
  <c r="DT131" i="27"/>
  <c r="DO131" i="27"/>
  <c r="DJ131" i="27"/>
  <c r="DP131" i="27"/>
  <c r="DS131" i="27"/>
  <c r="DI88" i="27"/>
  <c r="DM88" i="27"/>
  <c r="DQ88" i="27"/>
  <c r="DN88" i="27"/>
  <c r="DS88" i="27"/>
  <c r="DK88" i="27"/>
  <c r="DP88" i="27"/>
  <c r="DO88" i="27"/>
  <c r="DJ88" i="27"/>
  <c r="DL88" i="27"/>
  <c r="DR88" i="27"/>
  <c r="DT88" i="27"/>
  <c r="DI94" i="27"/>
  <c r="DM94" i="27"/>
  <c r="DQ94" i="27"/>
  <c r="DP94" i="27"/>
  <c r="DN94" i="27"/>
  <c r="DS94" i="27"/>
  <c r="DR94" i="27"/>
  <c r="DJ94" i="27"/>
  <c r="DL94" i="27"/>
  <c r="DO94" i="27"/>
  <c r="DT94" i="27"/>
  <c r="DL64" i="27"/>
  <c r="DP64" i="27"/>
  <c r="DT64" i="27"/>
  <c r="DI64" i="27"/>
  <c r="DN64" i="27"/>
  <c r="DS64" i="27"/>
  <c r="DJ64" i="27"/>
  <c r="DQ64" i="27"/>
  <c r="DM64" i="27"/>
  <c r="DO64" i="27"/>
  <c r="DR64" i="27"/>
  <c r="DL70" i="27"/>
  <c r="DP70" i="27"/>
  <c r="DQ70" i="27"/>
  <c r="DI70" i="27"/>
  <c r="DO70" i="27"/>
  <c r="DM70" i="27"/>
  <c r="DS70" i="27"/>
  <c r="DN70" i="27"/>
  <c r="DT70" i="27"/>
  <c r="DJ70" i="27"/>
  <c r="DR70" i="27"/>
  <c r="DI118" i="27"/>
  <c r="DM118" i="27"/>
  <c r="DQ118" i="27"/>
  <c r="DN118" i="27"/>
  <c r="DS118" i="27"/>
  <c r="DL118" i="27"/>
  <c r="DT118" i="27"/>
  <c r="DO118" i="27"/>
  <c r="DP118" i="27"/>
  <c r="DK118" i="27"/>
  <c r="DR118" i="27"/>
  <c r="DJ118" i="27"/>
  <c r="DL40" i="27"/>
  <c r="DP40" i="27"/>
  <c r="DT40" i="27"/>
  <c r="DQ40" i="27"/>
  <c r="DI40" i="27"/>
  <c r="DN40" i="27"/>
  <c r="DS40" i="27"/>
  <c r="DM40" i="27"/>
  <c r="DR40" i="27"/>
  <c r="DJ40" i="27"/>
  <c r="DO40" i="27"/>
  <c r="DI112" i="27"/>
  <c r="DM112" i="27"/>
  <c r="DQ112" i="27"/>
  <c r="DK112" i="27"/>
  <c r="DP112" i="27"/>
  <c r="DN112" i="27"/>
  <c r="DT112" i="27"/>
  <c r="DJ112" i="27"/>
  <c r="DS112" i="27"/>
  <c r="DL112" i="27"/>
  <c r="DO112" i="27"/>
  <c r="DR112" i="27"/>
  <c r="AX26" i="27"/>
  <c r="BB26" i="27"/>
  <c r="BF26" i="27"/>
  <c r="BC26" i="27"/>
  <c r="AZ26" i="27"/>
  <c r="BG26" i="27"/>
  <c r="BA26" i="27"/>
  <c r="AV26" i="27"/>
  <c r="BE26" i="27"/>
  <c r="AY26" i="27"/>
  <c r="BD26" i="27"/>
  <c r="AV58" i="27"/>
  <c r="AZ58" i="27"/>
  <c r="BD58" i="27"/>
  <c r="AY58" i="27"/>
  <c r="BE58" i="27"/>
  <c r="BB58" i="27"/>
  <c r="BG58" i="27"/>
  <c r="BA58" i="27"/>
  <c r="BC58" i="27"/>
  <c r="BF58" i="27"/>
  <c r="AX58" i="27"/>
  <c r="AX18" i="27"/>
  <c r="BB18" i="27"/>
  <c r="BF18" i="27"/>
  <c r="BC18" i="27"/>
  <c r="AV18" i="27"/>
  <c r="BD18" i="27"/>
  <c r="AZ18" i="27"/>
  <c r="BG18" i="27"/>
  <c r="AY18" i="27"/>
  <c r="BE18" i="27"/>
  <c r="BA18" i="27"/>
  <c r="AX34" i="27"/>
  <c r="BB34" i="27"/>
  <c r="BF34" i="27"/>
  <c r="BC34" i="27"/>
  <c r="AV34" i="27"/>
  <c r="BD34" i="27"/>
  <c r="AZ34" i="27"/>
  <c r="BE34" i="27"/>
  <c r="AY34" i="27"/>
  <c r="BA34" i="27"/>
  <c r="BG34" i="27"/>
  <c r="AV50" i="27"/>
  <c r="AZ50" i="27"/>
  <c r="BD50" i="27"/>
  <c r="AY50" i="27"/>
  <c r="BE50" i="27"/>
  <c r="BB50" i="27"/>
  <c r="BG50" i="27"/>
  <c r="BA50" i="27"/>
  <c r="BC50" i="27"/>
  <c r="BF50" i="27"/>
  <c r="AX50" i="27"/>
  <c r="AV66" i="27"/>
  <c r="AZ66" i="27"/>
  <c r="BD66" i="27"/>
  <c r="AY66" i="27"/>
  <c r="BE66" i="27"/>
  <c r="BB66" i="27"/>
  <c r="BG66" i="27"/>
  <c r="BA66" i="27"/>
  <c r="BC66" i="27"/>
  <c r="BF66" i="27"/>
  <c r="AX66" i="27"/>
  <c r="AX82" i="27"/>
  <c r="BB82" i="27"/>
  <c r="BF82" i="27"/>
  <c r="AV82" i="27"/>
  <c r="AZ82" i="27"/>
  <c r="BD82" i="27"/>
  <c r="BC82" i="27"/>
  <c r="BE82" i="27"/>
  <c r="AY82" i="27"/>
  <c r="BG82" i="27"/>
  <c r="BA82" i="27"/>
  <c r="AY98" i="27"/>
  <c r="BC98" i="27"/>
  <c r="BG98" i="27"/>
  <c r="AV98" i="27"/>
  <c r="AZ98" i="27"/>
  <c r="BD98" i="27"/>
  <c r="BA98" i="27"/>
  <c r="BE98" i="27"/>
  <c r="AX98" i="27"/>
  <c r="BB98" i="27"/>
  <c r="BF98" i="27"/>
  <c r="AY114" i="27"/>
  <c r="BC114" i="27"/>
  <c r="BG114" i="27"/>
  <c r="BA114" i="27"/>
  <c r="BE114" i="27"/>
  <c r="AZ114" i="27"/>
  <c r="BB114" i="27"/>
  <c r="AV114" i="27"/>
  <c r="BD114" i="27"/>
  <c r="AX114" i="27"/>
  <c r="BF114" i="27"/>
  <c r="AY130" i="27"/>
  <c r="BC130" i="27"/>
  <c r="BG130" i="27"/>
  <c r="BA130" i="27"/>
  <c r="BE130" i="27"/>
  <c r="AZ130" i="27"/>
  <c r="BB130" i="27"/>
  <c r="AV130" i="27"/>
  <c r="BD130" i="27"/>
  <c r="AX130" i="27"/>
  <c r="BF130" i="27"/>
  <c r="AX12" i="27"/>
  <c r="BB12" i="27"/>
  <c r="BF12" i="27"/>
  <c r="AZ12" i="27"/>
  <c r="BE12" i="27"/>
  <c r="BD12" i="27"/>
  <c r="BA12" i="27"/>
  <c r="AY12" i="27"/>
  <c r="BG12" i="27"/>
  <c r="BC12" i="27"/>
  <c r="AV12" i="27"/>
  <c r="AX28" i="27"/>
  <c r="BB28" i="27"/>
  <c r="BF28" i="27"/>
  <c r="AZ28" i="27"/>
  <c r="BE28" i="27"/>
  <c r="BD28" i="27"/>
  <c r="AV28" i="27"/>
  <c r="BG28" i="27"/>
  <c r="BA28" i="27"/>
  <c r="AY28" i="27"/>
  <c r="BC28" i="27"/>
  <c r="AV48" i="27"/>
  <c r="AZ48" i="27"/>
  <c r="BD48" i="27"/>
  <c r="BB48" i="27"/>
  <c r="BG48" i="27"/>
  <c r="AY48" i="27"/>
  <c r="BE48" i="27"/>
  <c r="BC48" i="27"/>
  <c r="BF48" i="27"/>
  <c r="AX48" i="27"/>
  <c r="BA48" i="27"/>
  <c r="AV72" i="27"/>
  <c r="AZ72" i="27"/>
  <c r="BD72" i="27"/>
  <c r="BB72" i="27"/>
  <c r="BG72" i="27"/>
  <c r="AY72" i="27"/>
  <c r="BE72" i="27"/>
  <c r="BC72" i="27"/>
  <c r="BF72" i="27"/>
  <c r="AX72" i="27"/>
  <c r="BA72" i="27"/>
  <c r="AY104" i="27"/>
  <c r="BC104" i="27"/>
  <c r="BG104" i="27"/>
  <c r="BA104" i="27"/>
  <c r="BE104" i="27"/>
  <c r="AZ104" i="27"/>
  <c r="BB104" i="27"/>
  <c r="AV104" i="27"/>
  <c r="BD104" i="27"/>
  <c r="AX104" i="27"/>
  <c r="BF104" i="27"/>
  <c r="AY137" i="27"/>
  <c r="BC137" i="27"/>
  <c r="BG137" i="27"/>
  <c r="BA137" i="27"/>
  <c r="BE137" i="27"/>
  <c r="AV137" i="27"/>
  <c r="BD137" i="27"/>
  <c r="AX137" i="27"/>
  <c r="BF137" i="27"/>
  <c r="AZ137" i="27"/>
  <c r="BB137" i="27"/>
  <c r="AX19" i="27"/>
  <c r="BB19" i="27"/>
  <c r="BF19" i="27"/>
  <c r="AV19" i="27"/>
  <c r="BA19" i="27"/>
  <c r="BG19" i="27"/>
  <c r="AY19" i="27"/>
  <c r="BE19" i="27"/>
  <c r="BC19" i="27"/>
  <c r="AZ19" i="27"/>
  <c r="BD19" i="27"/>
  <c r="AX35" i="27"/>
  <c r="AV35" i="27"/>
  <c r="BA35" i="27"/>
  <c r="BE35" i="27"/>
  <c r="AY35" i="27"/>
  <c r="BD35" i="27"/>
  <c r="BF35" i="27"/>
  <c r="BB35" i="27"/>
  <c r="AZ35" i="27"/>
  <c r="BC35" i="27"/>
  <c r="BG35" i="27"/>
  <c r="AV51" i="27"/>
  <c r="AZ51" i="27"/>
  <c r="BD51" i="27"/>
  <c r="AX51" i="27"/>
  <c r="BC51" i="27"/>
  <c r="BA51" i="27"/>
  <c r="BF51" i="27"/>
  <c r="AY51" i="27"/>
  <c r="BB51" i="27"/>
  <c r="BE51" i="27"/>
  <c r="BG51" i="27"/>
  <c r="AV67" i="27"/>
  <c r="AZ67" i="27"/>
  <c r="BD67" i="27"/>
  <c r="AX67" i="27"/>
  <c r="BC67" i="27"/>
  <c r="BA67" i="27"/>
  <c r="BF67" i="27"/>
  <c r="AY67" i="27"/>
  <c r="BB67" i="27"/>
  <c r="BE67" i="27"/>
  <c r="BG67" i="27"/>
  <c r="AX83" i="27"/>
  <c r="BB83" i="27"/>
  <c r="BF83" i="27"/>
  <c r="AV83" i="27"/>
  <c r="AZ83" i="27"/>
  <c r="BD83" i="27"/>
  <c r="AY83" i="27"/>
  <c r="BG83" i="27"/>
  <c r="BA83" i="27"/>
  <c r="BC83" i="27"/>
  <c r="BE83" i="27"/>
  <c r="AY99" i="27"/>
  <c r="BC99" i="27"/>
  <c r="BG99" i="27"/>
  <c r="AV99" i="27"/>
  <c r="AZ99" i="27"/>
  <c r="BD99" i="27"/>
  <c r="BA99" i="27"/>
  <c r="BE99" i="27"/>
  <c r="AX99" i="27"/>
  <c r="BB99" i="27"/>
  <c r="BF99" i="27"/>
  <c r="AY115" i="27"/>
  <c r="BC115" i="27"/>
  <c r="BG115" i="27"/>
  <c r="BA115" i="27"/>
  <c r="BE115" i="27"/>
  <c r="AV115" i="27"/>
  <c r="BD115" i="27"/>
  <c r="AX115" i="27"/>
  <c r="BF115" i="27"/>
  <c r="AZ115" i="27"/>
  <c r="BB115" i="27"/>
  <c r="AY131" i="27"/>
  <c r="BC131" i="27"/>
  <c r="BG131" i="27"/>
  <c r="BA131" i="27"/>
  <c r="BE131" i="27"/>
  <c r="AV131" i="27"/>
  <c r="BD131" i="27"/>
  <c r="AX131" i="27"/>
  <c r="BF131" i="27"/>
  <c r="AZ131" i="27"/>
  <c r="BB131" i="27"/>
  <c r="AV44" i="27"/>
  <c r="AZ44" i="27"/>
  <c r="BD44" i="27"/>
  <c r="BB44" i="27"/>
  <c r="BG44" i="27"/>
  <c r="AY44" i="27"/>
  <c r="BE44" i="27"/>
  <c r="AX44" i="27"/>
  <c r="BA44" i="27"/>
  <c r="BC44" i="27"/>
  <c r="BF44" i="27"/>
  <c r="AX84" i="27"/>
  <c r="BB84" i="27"/>
  <c r="BF84" i="27"/>
  <c r="AV84" i="27"/>
  <c r="AZ84" i="27"/>
  <c r="BD84" i="27"/>
  <c r="BC84" i="27"/>
  <c r="BE84" i="27"/>
  <c r="AY84" i="27"/>
  <c r="BG84" i="27"/>
  <c r="BA84" i="27"/>
  <c r="AY116" i="27"/>
  <c r="BC116" i="27"/>
  <c r="BG116" i="27"/>
  <c r="BA116" i="27"/>
  <c r="BE116" i="27"/>
  <c r="AZ116" i="27"/>
  <c r="BB116" i="27"/>
  <c r="AV116" i="27"/>
  <c r="BD116" i="27"/>
  <c r="AX116" i="27"/>
  <c r="BF116" i="27"/>
  <c r="AX33" i="27"/>
  <c r="BB33" i="27"/>
  <c r="BF33" i="27"/>
  <c r="AY33" i="27"/>
  <c r="BD33" i="27"/>
  <c r="BA33" i="27"/>
  <c r="BC33" i="27"/>
  <c r="BG33" i="27"/>
  <c r="BE33" i="27"/>
  <c r="AV33" i="27"/>
  <c r="AZ33" i="27"/>
  <c r="AY97" i="27"/>
  <c r="BC97" i="27"/>
  <c r="BG97" i="27"/>
  <c r="AV97" i="27"/>
  <c r="AZ97" i="27"/>
  <c r="BD97" i="27"/>
  <c r="BA97" i="27"/>
  <c r="BE97" i="27"/>
  <c r="AX97" i="27"/>
  <c r="BB97" i="27"/>
  <c r="BF97" i="27"/>
  <c r="AX13" i="27"/>
  <c r="BB13" i="27"/>
  <c r="BF13" i="27"/>
  <c r="AY13" i="27"/>
  <c r="BD13" i="27"/>
  <c r="AZ13" i="27"/>
  <c r="BG13" i="27"/>
  <c r="AV13" i="27"/>
  <c r="BC13" i="27"/>
  <c r="BA13" i="27"/>
  <c r="BE13" i="27"/>
  <c r="AV77" i="27"/>
  <c r="AZ77" i="27"/>
  <c r="BD77" i="27"/>
  <c r="BA77" i="27"/>
  <c r="BF77" i="27"/>
  <c r="AX77" i="27"/>
  <c r="BC77" i="27"/>
  <c r="BG77" i="27"/>
  <c r="AY77" i="27"/>
  <c r="BB77" i="27"/>
  <c r="BE77" i="27"/>
  <c r="AV53" i="27"/>
  <c r="AZ53" i="27"/>
  <c r="BD53" i="27"/>
  <c r="BA53" i="27"/>
  <c r="BF53" i="27"/>
  <c r="AX53" i="27"/>
  <c r="BC53" i="27"/>
  <c r="BG53" i="27"/>
  <c r="AY53" i="27"/>
  <c r="BB53" i="27"/>
  <c r="BE53" i="27"/>
  <c r="AX25" i="27"/>
  <c r="BB25" i="27"/>
  <c r="BF25" i="27"/>
  <c r="AY25" i="27"/>
  <c r="BD25" i="27"/>
  <c r="BE25" i="27"/>
  <c r="BC25" i="27"/>
  <c r="AZ25" i="27"/>
  <c r="BG25" i="27"/>
  <c r="AV25" i="27"/>
  <c r="BA25" i="27"/>
  <c r="AV73" i="27"/>
  <c r="AZ73" i="27"/>
  <c r="BD73" i="27"/>
  <c r="BA73" i="27"/>
  <c r="BF73" i="27"/>
  <c r="AX73" i="27"/>
  <c r="BC73" i="27"/>
  <c r="BB73" i="27"/>
  <c r="BE73" i="27"/>
  <c r="BG73" i="27"/>
  <c r="AY73" i="27"/>
  <c r="BA41" i="27"/>
  <c r="BE41" i="27"/>
  <c r="AV41" i="27"/>
  <c r="BB41" i="27"/>
  <c r="BG41" i="27"/>
  <c r="AX41" i="27"/>
  <c r="BD41" i="27"/>
  <c r="AZ41" i="27"/>
  <c r="AY41" i="27"/>
  <c r="BC41" i="27"/>
  <c r="BF41" i="27"/>
  <c r="AX22" i="27"/>
  <c r="BB22" i="27"/>
  <c r="BF22" i="27"/>
  <c r="BC22" i="27"/>
  <c r="AY22" i="27"/>
  <c r="BE22" i="27"/>
  <c r="BA22" i="27"/>
  <c r="BG22" i="27"/>
  <c r="AZ22" i="27"/>
  <c r="AV22" i="27"/>
  <c r="BD22" i="27"/>
  <c r="BA38" i="27"/>
  <c r="BE38" i="27"/>
  <c r="AZ38" i="27"/>
  <c r="BF38" i="27"/>
  <c r="AX38" i="27"/>
  <c r="BD38" i="27"/>
  <c r="BB38" i="27"/>
  <c r="BG38" i="27"/>
  <c r="AV38" i="27"/>
  <c r="AY38" i="27"/>
  <c r="BC38" i="27"/>
  <c r="AV54" i="27"/>
  <c r="AZ54" i="27"/>
  <c r="BD54" i="27"/>
  <c r="AY54" i="27"/>
  <c r="BE54" i="27"/>
  <c r="BB54" i="27"/>
  <c r="BG54" i="27"/>
  <c r="BF54" i="27"/>
  <c r="AX54" i="27"/>
  <c r="BA54" i="27"/>
  <c r="BC54" i="27"/>
  <c r="AV70" i="27"/>
  <c r="AZ70" i="27"/>
  <c r="BD70" i="27"/>
  <c r="AY70" i="27"/>
  <c r="BE70" i="27"/>
  <c r="BB70" i="27"/>
  <c r="BG70" i="27"/>
  <c r="BF70" i="27"/>
  <c r="AX70" i="27"/>
  <c r="BA70" i="27"/>
  <c r="BC70" i="27"/>
  <c r="AX86" i="27"/>
  <c r="BB86" i="27"/>
  <c r="BF86" i="27"/>
  <c r="AV86" i="27"/>
  <c r="AZ86" i="27"/>
  <c r="BD86" i="27"/>
  <c r="BC86" i="27"/>
  <c r="BE86" i="27"/>
  <c r="AY86" i="27"/>
  <c r="BG86" i="27"/>
  <c r="BA86" i="27"/>
  <c r="AY102" i="27"/>
  <c r="BC102" i="27"/>
  <c r="BG102" i="27"/>
  <c r="BA102" i="27"/>
  <c r="BE102" i="27"/>
  <c r="AX102" i="27"/>
  <c r="BB102" i="27"/>
  <c r="BF102" i="27"/>
  <c r="BD102" i="27"/>
  <c r="AV102" i="27"/>
  <c r="AZ102" i="27"/>
  <c r="AY118" i="27"/>
  <c r="BC118" i="27"/>
  <c r="BG118" i="27"/>
  <c r="BA118" i="27"/>
  <c r="BE118" i="27"/>
  <c r="AZ118" i="27"/>
  <c r="BB118" i="27"/>
  <c r="AV118" i="27"/>
  <c r="BD118" i="27"/>
  <c r="AX118" i="27"/>
  <c r="BF118" i="27"/>
  <c r="AY134" i="27"/>
  <c r="BC134" i="27"/>
  <c r="BG134" i="27"/>
  <c r="BA134" i="27"/>
  <c r="BE134" i="27"/>
  <c r="AZ134" i="27"/>
  <c r="BB134" i="27"/>
  <c r="AV134" i="27"/>
  <c r="BD134" i="27"/>
  <c r="AX134" i="27"/>
  <c r="BF134" i="27"/>
  <c r="AX16" i="27"/>
  <c r="BB16" i="27"/>
  <c r="BF16" i="27"/>
  <c r="AZ16" i="27"/>
  <c r="BE16" i="27"/>
  <c r="AY16" i="27"/>
  <c r="BG16" i="27"/>
  <c r="AV16" i="27"/>
  <c r="BC16" i="27"/>
  <c r="BA16" i="27"/>
  <c r="BD16" i="27"/>
  <c r="AX32" i="27"/>
  <c r="BB32" i="27"/>
  <c r="BF32" i="27"/>
  <c r="AZ32" i="27"/>
  <c r="BE32" i="27"/>
  <c r="AY32" i="27"/>
  <c r="BG32" i="27"/>
  <c r="AV32" i="27"/>
  <c r="BD32" i="27"/>
  <c r="BA32" i="27"/>
  <c r="BC32" i="27"/>
  <c r="AV52" i="27"/>
  <c r="AZ52" i="27"/>
  <c r="BD52" i="27"/>
  <c r="BB52" i="27"/>
  <c r="BG52" i="27"/>
  <c r="AY52" i="27"/>
  <c r="BE52" i="27"/>
  <c r="AX52" i="27"/>
  <c r="BA52" i="27"/>
  <c r="BC52" i="27"/>
  <c r="BF52" i="27"/>
  <c r="AX80" i="27"/>
  <c r="BB80" i="27"/>
  <c r="BF80" i="27"/>
  <c r="AV80" i="27"/>
  <c r="AZ80" i="27"/>
  <c r="BD80" i="27"/>
  <c r="BC80" i="27"/>
  <c r="BE80" i="27"/>
  <c r="AY80" i="27"/>
  <c r="BG80" i="27"/>
  <c r="BA80" i="27"/>
  <c r="AY112" i="27"/>
  <c r="BC112" i="27"/>
  <c r="BG112" i="27"/>
  <c r="BA112" i="27"/>
  <c r="BE112" i="27"/>
  <c r="AZ112" i="27"/>
  <c r="BB112" i="27"/>
  <c r="AV112" i="27"/>
  <c r="BD112" i="27"/>
  <c r="AX112" i="27"/>
  <c r="BF112" i="27"/>
  <c r="AX7" i="27"/>
  <c r="BB7" i="27"/>
  <c r="BF7" i="27"/>
  <c r="AV7" i="27"/>
  <c r="BA7" i="27"/>
  <c r="BG7" i="27"/>
  <c r="AY7" i="27"/>
  <c r="BC7" i="27"/>
  <c r="AZ7" i="27"/>
  <c r="BE7" i="27"/>
  <c r="AX23" i="27"/>
  <c r="BB23" i="27"/>
  <c r="BF23" i="27"/>
  <c r="AV23" i="27"/>
  <c r="BA23" i="27"/>
  <c r="BG23" i="27"/>
  <c r="AZ23" i="27"/>
  <c r="BD23" i="27"/>
  <c r="BC23" i="27"/>
  <c r="AY23" i="27"/>
  <c r="BE23" i="27"/>
  <c r="BA39" i="27"/>
  <c r="BE39" i="27"/>
  <c r="AY39" i="27"/>
  <c r="BD39" i="27"/>
  <c r="AZ39" i="27"/>
  <c r="BG39" i="27"/>
  <c r="AV39" i="27"/>
  <c r="BC39" i="27"/>
  <c r="AX39" i="27"/>
  <c r="BB39" i="27"/>
  <c r="BF39" i="27"/>
  <c r="AV55" i="27"/>
  <c r="AZ55" i="27"/>
  <c r="BD55" i="27"/>
  <c r="AX55" i="27"/>
  <c r="BC55" i="27"/>
  <c r="BA55" i="27"/>
  <c r="BF55" i="27"/>
  <c r="BE55" i="27"/>
  <c r="BG55" i="27"/>
  <c r="AY55" i="27"/>
  <c r="BB55" i="27"/>
  <c r="AV71" i="27"/>
  <c r="AZ71" i="27"/>
  <c r="BD71" i="27"/>
  <c r="AX71" i="27"/>
  <c r="BC71" i="27"/>
  <c r="BA71" i="27"/>
  <c r="BF71" i="27"/>
  <c r="BE71" i="27"/>
  <c r="BG71" i="27"/>
  <c r="AY71" i="27"/>
  <c r="BB71" i="27"/>
  <c r="AX87" i="27"/>
  <c r="BB87" i="27"/>
  <c r="BF87" i="27"/>
  <c r="AV87" i="27"/>
  <c r="AZ87" i="27"/>
  <c r="BD87" i="27"/>
  <c r="AY87" i="27"/>
  <c r="BG87" i="27"/>
  <c r="BA87" i="27"/>
  <c r="BC87" i="27"/>
  <c r="BE87" i="27"/>
  <c r="AY103" i="27"/>
  <c r="BC103" i="27"/>
  <c r="BG103" i="27"/>
  <c r="BA103" i="27"/>
  <c r="BE103" i="27"/>
  <c r="AX103" i="27"/>
  <c r="BD103" i="27"/>
  <c r="AV103" i="27"/>
  <c r="BF103" i="27"/>
  <c r="AZ103" i="27"/>
  <c r="BB103" i="27"/>
  <c r="AY119" i="27"/>
  <c r="BC119" i="27"/>
  <c r="BG119" i="27"/>
  <c r="BA119" i="27"/>
  <c r="BE119" i="27"/>
  <c r="AV119" i="27"/>
  <c r="BD119" i="27"/>
  <c r="AX119" i="27"/>
  <c r="BF119" i="27"/>
  <c r="AZ119" i="27"/>
  <c r="BB119" i="27"/>
  <c r="AY136" i="27"/>
  <c r="BC136" i="27"/>
  <c r="BG136" i="27"/>
  <c r="BA136" i="27"/>
  <c r="BE136" i="27"/>
  <c r="AZ136" i="27"/>
  <c r="BB136" i="27"/>
  <c r="AV136" i="27"/>
  <c r="BD136" i="27"/>
  <c r="AX136" i="27"/>
  <c r="BF136" i="27"/>
  <c r="AV56" i="27"/>
  <c r="AZ56" i="27"/>
  <c r="BD56" i="27"/>
  <c r="BB56" i="27"/>
  <c r="BG56" i="27"/>
  <c r="AY56" i="27"/>
  <c r="BE56" i="27"/>
  <c r="BC56" i="27"/>
  <c r="BF56" i="27"/>
  <c r="AX56" i="27"/>
  <c r="BA56" i="27"/>
  <c r="AX92" i="27"/>
  <c r="BB92" i="27"/>
  <c r="BF92" i="27"/>
  <c r="AV92" i="27"/>
  <c r="AZ92" i="27"/>
  <c r="BD92" i="27"/>
  <c r="BC92" i="27"/>
  <c r="BE92" i="27"/>
  <c r="AY92" i="27"/>
  <c r="BG92" i="27"/>
  <c r="BA92" i="27"/>
  <c r="AY124" i="27"/>
  <c r="BC124" i="27"/>
  <c r="BG124" i="27"/>
  <c r="BA124" i="27"/>
  <c r="BE124" i="27"/>
  <c r="AZ124" i="27"/>
  <c r="BB124" i="27"/>
  <c r="AV124" i="27"/>
  <c r="BD124" i="27"/>
  <c r="AX124" i="27"/>
  <c r="BF124" i="27"/>
  <c r="AV49" i="27"/>
  <c r="AZ49" i="27"/>
  <c r="BD49" i="27"/>
  <c r="BA49" i="27"/>
  <c r="BF49" i="27"/>
  <c r="AX49" i="27"/>
  <c r="BC49" i="27"/>
  <c r="BB49" i="27"/>
  <c r="BE49" i="27"/>
  <c r="BG49" i="27"/>
  <c r="AY49" i="27"/>
  <c r="AY113" i="27"/>
  <c r="BC113" i="27"/>
  <c r="BG113" i="27"/>
  <c r="BA113" i="27"/>
  <c r="BE113" i="27"/>
  <c r="AV113" i="27"/>
  <c r="BD113" i="27"/>
  <c r="AX113" i="27"/>
  <c r="BF113" i="27"/>
  <c r="AZ113" i="27"/>
  <c r="BB113" i="27"/>
  <c r="AX29" i="27"/>
  <c r="BB29" i="27"/>
  <c r="BF29" i="27"/>
  <c r="AY29" i="27"/>
  <c r="BD29" i="27"/>
  <c r="AZ29" i="27"/>
  <c r="BG29" i="27"/>
  <c r="BC29" i="27"/>
  <c r="AV29" i="27"/>
  <c r="BA29" i="27"/>
  <c r="BE29" i="27"/>
  <c r="AX93" i="27"/>
  <c r="BB93" i="27"/>
  <c r="BF93" i="27"/>
  <c r="AV93" i="27"/>
  <c r="AZ93" i="27"/>
  <c r="BD93" i="27"/>
  <c r="AY93" i="27"/>
  <c r="BG93" i="27"/>
  <c r="BA93" i="27"/>
  <c r="BC93" i="27"/>
  <c r="BE93" i="27"/>
  <c r="AX85" i="27"/>
  <c r="BB85" i="27"/>
  <c r="BF85" i="27"/>
  <c r="AV85" i="27"/>
  <c r="AZ85" i="27"/>
  <c r="BD85" i="27"/>
  <c r="AY85" i="27"/>
  <c r="BG85" i="27"/>
  <c r="BA85" i="27"/>
  <c r="BC85" i="27"/>
  <c r="BE85" i="27"/>
  <c r="AV57" i="27"/>
  <c r="AZ57" i="27"/>
  <c r="BD57" i="27"/>
  <c r="BA57" i="27"/>
  <c r="BF57" i="27"/>
  <c r="AX57" i="27"/>
  <c r="BC57" i="27"/>
  <c r="BB57" i="27"/>
  <c r="BE57" i="27"/>
  <c r="BG57" i="27"/>
  <c r="AY57" i="27"/>
  <c r="AY138" i="27"/>
  <c r="BC138" i="27"/>
  <c r="BG138" i="27"/>
  <c r="BA138" i="27"/>
  <c r="BE138" i="27"/>
  <c r="AZ138" i="27"/>
  <c r="BB138" i="27"/>
  <c r="AV138" i="27"/>
  <c r="BD138" i="27"/>
  <c r="AX138" i="27"/>
  <c r="BF138" i="27"/>
  <c r="AY105" i="27"/>
  <c r="BC105" i="27"/>
  <c r="BG105" i="27"/>
  <c r="BA105" i="27"/>
  <c r="BE105" i="27"/>
  <c r="AV105" i="27"/>
  <c r="BD105" i="27"/>
  <c r="AX105" i="27"/>
  <c r="BF105" i="27"/>
  <c r="AZ105" i="27"/>
  <c r="BB105" i="27"/>
  <c r="BA37" i="27"/>
  <c r="BE37" i="27"/>
  <c r="AV37" i="27"/>
  <c r="BB37" i="27"/>
  <c r="BG37" i="27"/>
  <c r="BC37" i="27"/>
  <c r="AY37" i="27"/>
  <c r="BF37" i="27"/>
  <c r="BD37" i="27"/>
  <c r="AX37" i="27"/>
  <c r="AZ37" i="27"/>
  <c r="AX10" i="27"/>
  <c r="BB10" i="27"/>
  <c r="BF10" i="27"/>
  <c r="BC10" i="27"/>
  <c r="AZ10" i="27"/>
  <c r="BG10" i="27"/>
  <c r="AV10" i="27"/>
  <c r="BD10" i="27"/>
  <c r="BA10" i="27"/>
  <c r="AY10" i="27"/>
  <c r="BE10" i="27"/>
  <c r="AZ42" i="27"/>
  <c r="BD42" i="27"/>
  <c r="AY42" i="27"/>
  <c r="BE42" i="27"/>
  <c r="AV42" i="27"/>
  <c r="BB42" i="27"/>
  <c r="BG42" i="27"/>
  <c r="BA42" i="27"/>
  <c r="BC42" i="27"/>
  <c r="BF42" i="27"/>
  <c r="AX42" i="27"/>
  <c r="AV74" i="27"/>
  <c r="AZ74" i="27"/>
  <c r="BD74" i="27"/>
  <c r="AY74" i="27"/>
  <c r="BE74" i="27"/>
  <c r="BB74" i="27"/>
  <c r="BG74" i="27"/>
  <c r="BA74" i="27"/>
  <c r="BC74" i="27"/>
  <c r="BF74" i="27"/>
  <c r="AX74" i="27"/>
  <c r="AX90" i="27"/>
  <c r="BB90" i="27"/>
  <c r="BF90" i="27"/>
  <c r="AV90" i="27"/>
  <c r="AZ90" i="27"/>
  <c r="BD90" i="27"/>
  <c r="BC90" i="27"/>
  <c r="BE90" i="27"/>
  <c r="AY90" i="27"/>
  <c r="BG90" i="27"/>
  <c r="BA90" i="27"/>
  <c r="AY106" i="27"/>
  <c r="BC106" i="27"/>
  <c r="BG106" i="27"/>
  <c r="BA106" i="27"/>
  <c r="BE106" i="27"/>
  <c r="AZ106" i="27"/>
  <c r="BB106" i="27"/>
  <c r="AV106" i="27"/>
  <c r="BD106" i="27"/>
  <c r="AX106" i="27"/>
  <c r="BF106" i="27"/>
  <c r="AY122" i="27"/>
  <c r="BC122" i="27"/>
  <c r="BG122" i="27"/>
  <c r="BA122" i="27"/>
  <c r="BE122" i="27"/>
  <c r="AZ122" i="27"/>
  <c r="BB122" i="27"/>
  <c r="AV122" i="27"/>
  <c r="BD122" i="27"/>
  <c r="AX122" i="27"/>
  <c r="BF122" i="27"/>
  <c r="AY139" i="27"/>
  <c r="BC139" i="27"/>
  <c r="BG139" i="27"/>
  <c r="BA139" i="27"/>
  <c r="BE139" i="27"/>
  <c r="AV139" i="27"/>
  <c r="BD139" i="27"/>
  <c r="AX139" i="27"/>
  <c r="BF139" i="27"/>
  <c r="AZ139" i="27"/>
  <c r="BB139" i="27"/>
  <c r="AX20" i="27"/>
  <c r="BB20" i="27"/>
  <c r="BF20" i="27"/>
  <c r="AZ20" i="27"/>
  <c r="BE20" i="27"/>
  <c r="BA20" i="27"/>
  <c r="BD20" i="27"/>
  <c r="BC20" i="27"/>
  <c r="AV20" i="27"/>
  <c r="AY20" i="27"/>
  <c r="BG20" i="27"/>
  <c r="BA36" i="27"/>
  <c r="BE36" i="27"/>
  <c r="AX36" i="27"/>
  <c r="BC36" i="27"/>
  <c r="AZ36" i="27"/>
  <c r="BG36" i="27"/>
  <c r="AV36" i="27"/>
  <c r="BD36" i="27"/>
  <c r="BB36" i="27"/>
  <c r="BF36" i="27"/>
  <c r="AY36" i="27"/>
  <c r="AV60" i="27"/>
  <c r="AZ60" i="27"/>
  <c r="BD60" i="27"/>
  <c r="BB60" i="27"/>
  <c r="BG60" i="27"/>
  <c r="AY60" i="27"/>
  <c r="BE60" i="27"/>
  <c r="AX60" i="27"/>
  <c r="BA60" i="27"/>
  <c r="BC60" i="27"/>
  <c r="BF60" i="27"/>
  <c r="AX88" i="27"/>
  <c r="BB88" i="27"/>
  <c r="BF88" i="27"/>
  <c r="AV88" i="27"/>
  <c r="AZ88" i="27"/>
  <c r="BD88" i="27"/>
  <c r="BC88" i="27"/>
  <c r="BE88" i="27"/>
  <c r="AY88" i="27"/>
  <c r="BG88" i="27"/>
  <c r="BA88" i="27"/>
  <c r="AY120" i="27"/>
  <c r="BC120" i="27"/>
  <c r="BG120" i="27"/>
  <c r="BA120" i="27"/>
  <c r="BE120" i="27"/>
  <c r="AZ120" i="27"/>
  <c r="BB120" i="27"/>
  <c r="AV120" i="27"/>
  <c r="BD120" i="27"/>
  <c r="AX120" i="27"/>
  <c r="BF120" i="27"/>
  <c r="AX11" i="27"/>
  <c r="BB11" i="27"/>
  <c r="BF11" i="27"/>
  <c r="AV11" i="27"/>
  <c r="BA11" i="27"/>
  <c r="BG11" i="27"/>
  <c r="BC11" i="27"/>
  <c r="AY11" i="27"/>
  <c r="BE11" i="27"/>
  <c r="BD11" i="27"/>
  <c r="AZ11" i="27"/>
  <c r="AX27" i="27"/>
  <c r="BB27" i="27"/>
  <c r="BF27" i="27"/>
  <c r="AV27" i="27"/>
  <c r="BA27" i="27"/>
  <c r="BG27" i="27"/>
  <c r="BC27" i="27"/>
  <c r="AY27" i="27"/>
  <c r="BD27" i="27"/>
  <c r="AZ27" i="27"/>
  <c r="BE27" i="27"/>
  <c r="AV43" i="27"/>
  <c r="AZ43" i="27"/>
  <c r="BD43" i="27"/>
  <c r="AX43" i="27"/>
  <c r="BC43" i="27"/>
  <c r="BA43" i="27"/>
  <c r="BF43" i="27"/>
  <c r="AY43" i="27"/>
  <c r="BB43" i="27"/>
  <c r="BE43" i="27"/>
  <c r="BG43" i="27"/>
  <c r="AV59" i="27"/>
  <c r="AZ59" i="27"/>
  <c r="BD59" i="27"/>
  <c r="AX59" i="27"/>
  <c r="BC59" i="27"/>
  <c r="BA59" i="27"/>
  <c r="BF59" i="27"/>
  <c r="AY59" i="27"/>
  <c r="BB59" i="27"/>
  <c r="BE59" i="27"/>
  <c r="BG59" i="27"/>
  <c r="AV75" i="27"/>
  <c r="AZ75" i="27"/>
  <c r="BD75" i="27"/>
  <c r="AX75" i="27"/>
  <c r="BC75" i="27"/>
  <c r="BA75" i="27"/>
  <c r="BF75" i="27"/>
  <c r="AY75" i="27"/>
  <c r="BB75" i="27"/>
  <c r="BE75" i="27"/>
  <c r="BG75" i="27"/>
  <c r="AX91" i="27"/>
  <c r="BB91" i="27"/>
  <c r="BF91" i="27"/>
  <c r="AV91" i="27"/>
  <c r="AZ91" i="27"/>
  <c r="BD91" i="27"/>
  <c r="AY91" i="27"/>
  <c r="BG91" i="27"/>
  <c r="BA91" i="27"/>
  <c r="BC91" i="27"/>
  <c r="BE91" i="27"/>
  <c r="AY107" i="27"/>
  <c r="BC107" i="27"/>
  <c r="BG107" i="27"/>
  <c r="BA107" i="27"/>
  <c r="BE107" i="27"/>
  <c r="AV107" i="27"/>
  <c r="BD107" i="27"/>
  <c r="AX107" i="27"/>
  <c r="BF107" i="27"/>
  <c r="AZ107" i="27"/>
  <c r="BB107" i="27"/>
  <c r="AY123" i="27"/>
  <c r="BC123" i="27"/>
  <c r="BG123" i="27"/>
  <c r="BA123" i="27"/>
  <c r="BE123" i="27"/>
  <c r="AV123" i="27"/>
  <c r="BD123" i="27"/>
  <c r="AX123" i="27"/>
  <c r="BF123" i="27"/>
  <c r="AZ123" i="27"/>
  <c r="BB123" i="27"/>
  <c r="AY140" i="27"/>
  <c r="BC140" i="27"/>
  <c r="BG140" i="27"/>
  <c r="BA140" i="27"/>
  <c r="BE140" i="27"/>
  <c r="AZ140" i="27"/>
  <c r="BB140" i="27"/>
  <c r="AV140" i="27"/>
  <c r="BD140" i="27"/>
  <c r="AX140" i="27"/>
  <c r="BF140" i="27"/>
  <c r="AV68" i="27"/>
  <c r="AZ68" i="27"/>
  <c r="BD68" i="27"/>
  <c r="BB68" i="27"/>
  <c r="BG68" i="27"/>
  <c r="AY68" i="27"/>
  <c r="BE68" i="27"/>
  <c r="AX68" i="27"/>
  <c r="BA68" i="27"/>
  <c r="BC68" i="27"/>
  <c r="BF68" i="27"/>
  <c r="AY100" i="27"/>
  <c r="BC100" i="27"/>
  <c r="BG100" i="27"/>
  <c r="AV100" i="27"/>
  <c r="AZ100" i="27"/>
  <c r="BD100" i="27"/>
  <c r="BA100" i="27"/>
  <c r="BE100" i="27"/>
  <c r="AX100" i="27"/>
  <c r="BB100" i="27"/>
  <c r="BF100" i="27"/>
  <c r="AY132" i="27"/>
  <c r="BC132" i="27"/>
  <c r="BG132" i="27"/>
  <c r="BA132" i="27"/>
  <c r="BE132" i="27"/>
  <c r="AZ132" i="27"/>
  <c r="BB132" i="27"/>
  <c r="AV132" i="27"/>
  <c r="BD132" i="27"/>
  <c r="AX132" i="27"/>
  <c r="BF132" i="27"/>
  <c r="AV65" i="27"/>
  <c r="AZ65" i="27"/>
  <c r="BD65" i="27"/>
  <c r="BA65" i="27"/>
  <c r="BF65" i="27"/>
  <c r="AX65" i="27"/>
  <c r="BC65" i="27"/>
  <c r="BB65" i="27"/>
  <c r="BE65" i="27"/>
  <c r="BG65" i="27"/>
  <c r="AY65" i="27"/>
  <c r="AY129" i="27"/>
  <c r="BC129" i="27"/>
  <c r="BG129" i="27"/>
  <c r="BA129" i="27"/>
  <c r="BE129" i="27"/>
  <c r="AV129" i="27"/>
  <c r="BD129" i="27"/>
  <c r="AX129" i="27"/>
  <c r="BF129" i="27"/>
  <c r="AZ129" i="27"/>
  <c r="BB129" i="27"/>
  <c r="AV45" i="27"/>
  <c r="AZ45" i="27"/>
  <c r="BD45" i="27"/>
  <c r="BA45" i="27"/>
  <c r="BF45" i="27"/>
  <c r="AX45" i="27"/>
  <c r="BC45" i="27"/>
  <c r="BG45" i="27"/>
  <c r="AY45" i="27"/>
  <c r="BB45" i="27"/>
  <c r="BE45" i="27"/>
  <c r="AY109" i="27"/>
  <c r="BC109" i="27"/>
  <c r="BG109" i="27"/>
  <c r="BA109" i="27"/>
  <c r="BE109" i="27"/>
  <c r="AV109" i="27"/>
  <c r="BD109" i="27"/>
  <c r="AX109" i="27"/>
  <c r="BF109" i="27"/>
  <c r="AZ109" i="27"/>
  <c r="BB109" i="27"/>
  <c r="AY117" i="27"/>
  <c r="BC117" i="27"/>
  <c r="BG117" i="27"/>
  <c r="BA117" i="27"/>
  <c r="BE117" i="27"/>
  <c r="AV117" i="27"/>
  <c r="BD117" i="27"/>
  <c r="AX117" i="27"/>
  <c r="BF117" i="27"/>
  <c r="AZ117" i="27"/>
  <c r="BB117" i="27"/>
  <c r="AX89" i="27"/>
  <c r="BB89" i="27"/>
  <c r="BF89" i="27"/>
  <c r="AV89" i="27"/>
  <c r="AZ89" i="27"/>
  <c r="BD89" i="27"/>
  <c r="AY89" i="27"/>
  <c r="BG89" i="27"/>
  <c r="BA89" i="27"/>
  <c r="BC89" i="27"/>
  <c r="BE89" i="27"/>
  <c r="AZ6" i="27"/>
  <c r="AX6" i="27"/>
  <c r="BB6" i="27"/>
  <c r="BF6" i="27"/>
  <c r="BE6" i="27"/>
  <c r="AY6" i="27"/>
  <c r="BG6" i="27"/>
  <c r="BA6" i="27"/>
  <c r="BC6" i="27"/>
  <c r="AX14" i="27"/>
  <c r="BB14" i="27"/>
  <c r="BF14" i="27"/>
  <c r="BC14" i="27"/>
  <c r="BA14" i="27"/>
  <c r="AY14" i="27"/>
  <c r="BE14" i="27"/>
  <c r="BD14" i="27"/>
  <c r="AV14" i="27"/>
  <c r="BG14" i="27"/>
  <c r="AZ14" i="27"/>
  <c r="AX30" i="27"/>
  <c r="BB30" i="27"/>
  <c r="BF30" i="27"/>
  <c r="BC30" i="27"/>
  <c r="BA30" i="27"/>
  <c r="AZ30" i="27"/>
  <c r="AV30" i="27"/>
  <c r="BE30" i="27"/>
  <c r="BD30" i="27"/>
  <c r="BG30" i="27"/>
  <c r="AY30" i="27"/>
  <c r="AV46" i="27"/>
  <c r="AZ46" i="27"/>
  <c r="BD46" i="27"/>
  <c r="AY46" i="27"/>
  <c r="BE46" i="27"/>
  <c r="BB46" i="27"/>
  <c r="BG46" i="27"/>
  <c r="BF46" i="27"/>
  <c r="AX46" i="27"/>
  <c r="BA46" i="27"/>
  <c r="BC46" i="27"/>
  <c r="AV62" i="27"/>
  <c r="AZ62" i="27"/>
  <c r="BD62" i="27"/>
  <c r="AY62" i="27"/>
  <c r="BE62" i="27"/>
  <c r="BB62" i="27"/>
  <c r="BG62" i="27"/>
  <c r="BF62" i="27"/>
  <c r="AX62" i="27"/>
  <c r="BA62" i="27"/>
  <c r="BC62" i="27"/>
  <c r="AX78" i="27"/>
  <c r="BB78" i="27"/>
  <c r="BF78" i="27"/>
  <c r="AV78" i="27"/>
  <c r="AZ78" i="27"/>
  <c r="BD78" i="27"/>
  <c r="BC78" i="27"/>
  <c r="BE78" i="27"/>
  <c r="AY78" i="27"/>
  <c r="BG78" i="27"/>
  <c r="BA78" i="27"/>
  <c r="AX94" i="27"/>
  <c r="BB94" i="27"/>
  <c r="AV94" i="27"/>
  <c r="AZ94" i="27"/>
  <c r="BC94" i="27"/>
  <c r="BG94" i="27"/>
  <c r="BD94" i="27"/>
  <c r="AY94" i="27"/>
  <c r="BE94" i="27"/>
  <c r="BA94" i="27"/>
  <c r="BF94" i="27"/>
  <c r="AY110" i="27"/>
  <c r="BC110" i="27"/>
  <c r="BG110" i="27"/>
  <c r="BA110" i="27"/>
  <c r="BE110" i="27"/>
  <c r="AZ110" i="27"/>
  <c r="BB110" i="27"/>
  <c r="AV110" i="27"/>
  <c r="BD110" i="27"/>
  <c r="AX110" i="27"/>
  <c r="BF110" i="27"/>
  <c r="AY126" i="27"/>
  <c r="BC126" i="27"/>
  <c r="BG126" i="27"/>
  <c r="BA126" i="27"/>
  <c r="BE126" i="27"/>
  <c r="AZ126" i="27"/>
  <c r="BB126" i="27"/>
  <c r="AV126" i="27"/>
  <c r="BD126" i="27"/>
  <c r="AX126" i="27"/>
  <c r="BF126" i="27"/>
  <c r="AX8" i="27"/>
  <c r="BB8" i="27"/>
  <c r="BF8" i="27"/>
  <c r="AZ8" i="27"/>
  <c r="BE8" i="27"/>
  <c r="AV8" i="27"/>
  <c r="BC8" i="27"/>
  <c r="AY8" i="27"/>
  <c r="BG8" i="27"/>
  <c r="BD8" i="27"/>
  <c r="BA8" i="27"/>
  <c r="AX24" i="27"/>
  <c r="BB24" i="27"/>
  <c r="BF24" i="27"/>
  <c r="AZ24" i="27"/>
  <c r="BE24" i="27"/>
  <c r="AV24" i="27"/>
  <c r="BC24" i="27"/>
  <c r="BG24" i="27"/>
  <c r="BA24" i="27"/>
  <c r="AY24" i="27"/>
  <c r="BD24" i="27"/>
  <c r="BA40" i="27"/>
  <c r="BE40" i="27"/>
  <c r="AX40" i="27"/>
  <c r="BC40" i="27"/>
  <c r="BB40" i="27"/>
  <c r="AY40" i="27"/>
  <c r="BF40" i="27"/>
  <c r="AV40" i="27"/>
  <c r="AZ40" i="27"/>
  <c r="BD40" i="27"/>
  <c r="BG40" i="27"/>
  <c r="AV64" i="27"/>
  <c r="AZ64" i="27"/>
  <c r="BD64" i="27"/>
  <c r="BB64" i="27"/>
  <c r="BG64" i="27"/>
  <c r="AY64" i="27"/>
  <c r="BE64" i="27"/>
  <c r="BC64" i="27"/>
  <c r="BF64" i="27"/>
  <c r="AX64" i="27"/>
  <c r="BA64" i="27"/>
  <c r="AY96" i="27"/>
  <c r="BC96" i="27"/>
  <c r="BG96" i="27"/>
  <c r="AV96" i="27"/>
  <c r="AZ96" i="27"/>
  <c r="BD96" i="27"/>
  <c r="BA96" i="27"/>
  <c r="BE96" i="27"/>
  <c r="AX96" i="27"/>
  <c r="BB96" i="27"/>
  <c r="BF96" i="27"/>
  <c r="AY128" i="27"/>
  <c r="BC128" i="27"/>
  <c r="BG128" i="27"/>
  <c r="BA128" i="27"/>
  <c r="BE128" i="27"/>
  <c r="AZ128" i="27"/>
  <c r="BB128" i="27"/>
  <c r="AV128" i="27"/>
  <c r="BD128" i="27"/>
  <c r="AX128" i="27"/>
  <c r="BF128" i="27"/>
  <c r="AX15" i="27"/>
  <c r="BB15" i="27"/>
  <c r="BF15" i="27"/>
  <c r="AV15" i="27"/>
  <c r="BA15" i="27"/>
  <c r="BG15" i="27"/>
  <c r="BD15" i="27"/>
  <c r="AZ15" i="27"/>
  <c r="BE15" i="27"/>
  <c r="AY15" i="27"/>
  <c r="BC15" i="27"/>
  <c r="AX31" i="27"/>
  <c r="BB31" i="27"/>
  <c r="BF31" i="27"/>
  <c r="AV31" i="27"/>
  <c r="BA31" i="27"/>
  <c r="BG31" i="27"/>
  <c r="BD31" i="27"/>
  <c r="AY31" i="27"/>
  <c r="BC31" i="27"/>
  <c r="AZ31" i="27"/>
  <c r="BE31" i="27"/>
  <c r="AV47" i="27"/>
  <c r="AZ47" i="27"/>
  <c r="BD47" i="27"/>
  <c r="AX47" i="27"/>
  <c r="BC47" i="27"/>
  <c r="BA47" i="27"/>
  <c r="BF47" i="27"/>
  <c r="BE47" i="27"/>
  <c r="BG47" i="27"/>
  <c r="AY47" i="27"/>
  <c r="BB47" i="27"/>
  <c r="AV63" i="27"/>
  <c r="AZ63" i="27"/>
  <c r="BD63" i="27"/>
  <c r="AX63" i="27"/>
  <c r="BC63" i="27"/>
  <c r="BA63" i="27"/>
  <c r="BF63" i="27"/>
  <c r="BE63" i="27"/>
  <c r="BG63" i="27"/>
  <c r="AY63" i="27"/>
  <c r="BB63" i="27"/>
  <c r="AX79" i="27"/>
  <c r="BB79" i="27"/>
  <c r="BF79" i="27"/>
  <c r="AV79" i="27"/>
  <c r="AZ79" i="27"/>
  <c r="BD79" i="27"/>
  <c r="AY79" i="27"/>
  <c r="BG79" i="27"/>
  <c r="BA79" i="27"/>
  <c r="BC79" i="27"/>
  <c r="BE79" i="27"/>
  <c r="AY95" i="27"/>
  <c r="BC95" i="27"/>
  <c r="BG95" i="27"/>
  <c r="AV95" i="27"/>
  <c r="AZ95" i="27"/>
  <c r="BD95" i="27"/>
  <c r="BA95" i="27"/>
  <c r="BE95" i="27"/>
  <c r="AX95" i="27"/>
  <c r="BB95" i="27"/>
  <c r="BF95" i="27"/>
  <c r="AY111" i="27"/>
  <c r="BC111" i="27"/>
  <c r="BG111" i="27"/>
  <c r="BA111" i="27"/>
  <c r="BE111" i="27"/>
  <c r="AV111" i="27"/>
  <c r="BD111" i="27"/>
  <c r="AX111" i="27"/>
  <c r="BF111" i="27"/>
  <c r="AZ111" i="27"/>
  <c r="BB111" i="27"/>
  <c r="AY127" i="27"/>
  <c r="BC127" i="27"/>
  <c r="BG127" i="27"/>
  <c r="BA127" i="27"/>
  <c r="BE127" i="27"/>
  <c r="AV127" i="27"/>
  <c r="BD127" i="27"/>
  <c r="AX127" i="27"/>
  <c r="BF127" i="27"/>
  <c r="AZ127" i="27"/>
  <c r="BB127" i="27"/>
  <c r="AY135" i="27"/>
  <c r="BC135" i="27"/>
  <c r="BG135" i="27"/>
  <c r="BA135" i="27"/>
  <c r="BE135" i="27"/>
  <c r="AV135" i="27"/>
  <c r="BD135" i="27"/>
  <c r="AX135" i="27"/>
  <c r="BF135" i="27"/>
  <c r="AZ135" i="27"/>
  <c r="BB135" i="27"/>
  <c r="AV76" i="27"/>
  <c r="AZ76" i="27"/>
  <c r="BD76" i="27"/>
  <c r="BB76" i="27"/>
  <c r="BG76" i="27"/>
  <c r="AY76" i="27"/>
  <c r="BE76" i="27"/>
  <c r="AX76" i="27"/>
  <c r="BA76" i="27"/>
  <c r="BC76" i="27"/>
  <c r="BF76" i="27"/>
  <c r="AY108" i="27"/>
  <c r="BC108" i="27"/>
  <c r="BG108" i="27"/>
  <c r="BA108" i="27"/>
  <c r="BE108" i="27"/>
  <c r="AZ108" i="27"/>
  <c r="BB108" i="27"/>
  <c r="AV108" i="27"/>
  <c r="BD108" i="27"/>
  <c r="AX108" i="27"/>
  <c r="BF108" i="27"/>
  <c r="AX17" i="27"/>
  <c r="BB17" i="27"/>
  <c r="BF17" i="27"/>
  <c r="AY17" i="27"/>
  <c r="BD17" i="27"/>
  <c r="BA17" i="27"/>
  <c r="BE17" i="27"/>
  <c r="AV17" i="27"/>
  <c r="BC17" i="27"/>
  <c r="AZ17" i="27"/>
  <c r="BG17" i="27"/>
  <c r="AX81" i="27"/>
  <c r="BB81" i="27"/>
  <c r="BF81" i="27"/>
  <c r="AV81" i="27"/>
  <c r="AZ81" i="27"/>
  <c r="BD81" i="27"/>
  <c r="AY81" i="27"/>
  <c r="BG81" i="27"/>
  <c r="BA81" i="27"/>
  <c r="BC81" i="27"/>
  <c r="BE81" i="27"/>
  <c r="AV61" i="27"/>
  <c r="AZ61" i="27"/>
  <c r="BD61" i="27"/>
  <c r="BA61" i="27"/>
  <c r="BF61" i="27"/>
  <c r="AX61" i="27"/>
  <c r="BC61" i="27"/>
  <c r="BG61" i="27"/>
  <c r="AY61" i="27"/>
  <c r="BB61" i="27"/>
  <c r="BE61" i="27"/>
  <c r="AY125" i="27"/>
  <c r="BC125" i="27"/>
  <c r="BG125" i="27"/>
  <c r="BA125" i="27"/>
  <c r="BE125" i="27"/>
  <c r="AV125" i="27"/>
  <c r="BD125" i="27"/>
  <c r="AX125" i="27"/>
  <c r="BF125" i="27"/>
  <c r="AZ125" i="27"/>
  <c r="BB125" i="27"/>
  <c r="AX21" i="27"/>
  <c r="BB21" i="27"/>
  <c r="BF21" i="27"/>
  <c r="AY21" i="27"/>
  <c r="BD21" i="27"/>
  <c r="AV21" i="27"/>
  <c r="BC21" i="27"/>
  <c r="AZ21" i="27"/>
  <c r="BG21" i="27"/>
  <c r="BE21" i="27"/>
  <c r="BA21" i="27"/>
  <c r="AY121" i="27"/>
  <c r="BC121" i="27"/>
  <c r="BG121" i="27"/>
  <c r="BA121" i="27"/>
  <c r="BE121" i="27"/>
  <c r="AV121" i="27"/>
  <c r="BD121" i="27"/>
  <c r="AX121" i="27"/>
  <c r="BF121" i="27"/>
  <c r="AZ121" i="27"/>
  <c r="BB121" i="27"/>
  <c r="AX9" i="27"/>
  <c r="BB9" i="27"/>
  <c r="BF9" i="27"/>
  <c r="AY9" i="27"/>
  <c r="BD9" i="27"/>
  <c r="BE9" i="27"/>
  <c r="BA9" i="27"/>
  <c r="BG9" i="27"/>
  <c r="AZ9" i="27"/>
  <c r="AV9" i="27"/>
  <c r="BC9" i="27"/>
  <c r="AV69" i="27"/>
  <c r="AZ69" i="27"/>
  <c r="BD69" i="27"/>
  <c r="BA69" i="27"/>
  <c r="BF69" i="27"/>
  <c r="AX69" i="27"/>
  <c r="BC69" i="27"/>
  <c r="BG69" i="27"/>
  <c r="AY69" i="27"/>
  <c r="BB69" i="27"/>
  <c r="BE69" i="27"/>
  <c r="AY101" i="27"/>
  <c r="BC101" i="27"/>
  <c r="BG101" i="27"/>
  <c r="AV101" i="27"/>
  <c r="BA101" i="27"/>
  <c r="BE101" i="27"/>
  <c r="AX101" i="27"/>
  <c r="BB101" i="27"/>
  <c r="BF101" i="27"/>
  <c r="AZ101" i="27"/>
  <c r="BD101" i="27"/>
  <c r="X4" i="31"/>
  <c r="M4" i="31" s="1"/>
  <c r="P4" i="31"/>
  <c r="P4" i="30"/>
  <c r="O4" i="31"/>
  <c r="O4" i="30"/>
  <c r="J92" i="27"/>
  <c r="J55" i="27"/>
  <c r="J46" i="27"/>
  <c r="J80" i="27"/>
  <c r="J11" i="27"/>
  <c r="J52" i="27"/>
  <c r="J63" i="27"/>
  <c r="J95" i="27"/>
  <c r="J97" i="27"/>
  <c r="J13" i="27"/>
  <c r="D4" i="30"/>
  <c r="E4" i="31"/>
  <c r="D4" i="31"/>
  <c r="E4" i="30"/>
  <c r="J82" i="27"/>
  <c r="J53" i="27"/>
  <c r="J104" i="27"/>
  <c r="J120" i="27"/>
  <c r="J131" i="27"/>
  <c r="BW63" i="27"/>
  <c r="BW46" i="27"/>
  <c r="EC62" i="27"/>
  <c r="BW131" i="27"/>
  <c r="BW95" i="27"/>
  <c r="BW52" i="27"/>
  <c r="BW97" i="27"/>
  <c r="BW53" i="27"/>
  <c r="BW80" i="27"/>
  <c r="BW82" i="27"/>
  <c r="BW13" i="27"/>
  <c r="BW104" i="27"/>
  <c r="BW120" i="27"/>
  <c r="BW92" i="27"/>
  <c r="BV52" i="27"/>
  <c r="BV63" i="27"/>
  <c r="BV13" i="27"/>
  <c r="BV11" i="27"/>
  <c r="BV55" i="27"/>
  <c r="BV80" i="27"/>
  <c r="BV53" i="27"/>
  <c r="BV46" i="27"/>
  <c r="BV82" i="27"/>
  <c r="BT74" i="27"/>
  <c r="BW11" i="27"/>
  <c r="EC65" i="27"/>
  <c r="EC74" i="27"/>
  <c r="E4" i="12"/>
  <c r="EC129" i="27"/>
  <c r="BT124" i="27"/>
  <c r="EC125" i="27"/>
  <c r="EC80" i="27"/>
  <c r="BT94" i="27"/>
  <c r="EC136" i="27"/>
  <c r="BT137" i="27"/>
  <c r="EC37" i="27"/>
  <c r="BT114" i="27"/>
  <c r="BT28" i="27"/>
  <c r="EC44" i="27"/>
  <c r="BT115" i="27"/>
  <c r="BT82" i="27"/>
  <c r="EC101" i="27"/>
  <c r="BT21" i="27"/>
  <c r="BT34" i="27"/>
  <c r="BT11" i="27"/>
  <c r="BT40" i="27"/>
  <c r="BT100" i="27"/>
  <c r="BT76" i="27"/>
  <c r="BT51" i="27"/>
  <c r="BT9" i="27"/>
  <c r="BT23" i="27"/>
  <c r="BT46" i="27"/>
  <c r="EC48" i="27"/>
  <c r="BT27" i="27"/>
  <c r="BT123" i="27"/>
  <c r="BT89" i="27"/>
  <c r="BT73" i="27"/>
  <c r="BT120" i="27"/>
  <c r="BT128" i="27"/>
  <c r="BT125" i="27"/>
  <c r="BT10" i="27"/>
  <c r="BT119" i="27"/>
  <c r="EC108" i="27"/>
  <c r="BT87" i="27"/>
  <c r="BT53" i="27"/>
  <c r="BT78" i="27"/>
  <c r="BT109" i="27"/>
  <c r="BT129" i="27"/>
  <c r="BT15" i="27"/>
  <c r="BT127" i="27"/>
  <c r="BT56" i="27"/>
  <c r="BT25" i="27"/>
  <c r="BT49" i="27"/>
  <c r="BT97" i="27"/>
  <c r="BT20" i="27"/>
  <c r="BT44" i="27"/>
  <c r="BT92" i="27"/>
  <c r="BT116" i="27"/>
  <c r="BT6" i="27"/>
  <c r="P4" i="12"/>
  <c r="BT99" i="27"/>
  <c r="BT41" i="27"/>
  <c r="BT65" i="27"/>
  <c r="BT113" i="27"/>
  <c r="BT138" i="27"/>
  <c r="EC24" i="27"/>
  <c r="BT12" i="27"/>
  <c r="BT36" i="27"/>
  <c r="BT60" i="27"/>
  <c r="BT84" i="27"/>
  <c r="BT108" i="27"/>
  <c r="BT132" i="27"/>
  <c r="BT18" i="27"/>
  <c r="BT66" i="27"/>
  <c r="BT139" i="27"/>
  <c r="BT7" i="27"/>
  <c r="BT55" i="27"/>
  <c r="BT79" i="27"/>
  <c r="BT103" i="27"/>
  <c r="BT26" i="27"/>
  <c r="BT50" i="27"/>
  <c r="BT98" i="27"/>
  <c r="BT122" i="27"/>
  <c r="BT33" i="27"/>
  <c r="BT57" i="27"/>
  <c r="BT81" i="27"/>
  <c r="BT105" i="27"/>
  <c r="BT71" i="27"/>
  <c r="BT95" i="27"/>
  <c r="BT42" i="27"/>
  <c r="BT24" i="27"/>
  <c r="BT72" i="27"/>
  <c r="BT96" i="27"/>
  <c r="BT13" i="27"/>
  <c r="BT37" i="27"/>
  <c r="BT61" i="27"/>
  <c r="BT85" i="27"/>
  <c r="BT32" i="27"/>
  <c r="BT80" i="27"/>
  <c r="BT104" i="27"/>
  <c r="BT39" i="27"/>
  <c r="BT63" i="27"/>
  <c r="BT136" i="27"/>
  <c r="BT29" i="27"/>
  <c r="BT77" i="27"/>
  <c r="BT101" i="27"/>
  <c r="O4" i="12"/>
  <c r="BT48" i="27"/>
  <c r="BT30" i="27"/>
  <c r="BT54" i="27"/>
  <c r="BT102" i="27"/>
  <c r="BT126" i="27"/>
  <c r="BT64" i="27"/>
  <c r="BT140" i="27"/>
  <c r="BT19" i="27"/>
  <c r="BT43" i="27"/>
  <c r="BT67" i="27"/>
  <c r="BT91" i="27"/>
  <c r="BT121" i="27"/>
  <c r="BT38" i="27"/>
  <c r="BT62" i="27"/>
  <c r="BT86" i="27"/>
  <c r="BT110" i="27"/>
  <c r="BT134" i="27"/>
  <c r="BT45" i="27"/>
  <c r="BT69" i="27"/>
  <c r="BT93" i="27"/>
  <c r="BT117" i="27"/>
  <c r="BT35" i="27"/>
  <c r="BT59" i="27"/>
  <c r="BT83" i="27"/>
  <c r="BT107" i="27"/>
  <c r="BT131" i="27"/>
  <c r="EC113" i="27"/>
  <c r="BT70" i="27"/>
  <c r="BT106" i="27"/>
  <c r="BT135" i="27"/>
  <c r="BT47" i="27"/>
  <c r="BT90" i="27"/>
  <c r="BT112" i="27"/>
  <c r="BT118" i="27"/>
  <c r="BT52" i="27"/>
  <c r="BT88" i="27"/>
  <c r="BT22" i="27"/>
  <c r="BT58" i="27"/>
  <c r="BT130" i="27"/>
  <c r="BT31" i="27"/>
  <c r="BT16" i="27"/>
  <c r="BT133" i="27"/>
  <c r="BT68" i="27"/>
  <c r="BT75" i="27"/>
  <c r="BT111" i="27"/>
  <c r="BT8" i="27"/>
  <c r="BT14" i="27"/>
  <c r="G133" i="27"/>
  <c r="G101" i="27"/>
  <c r="G69" i="27"/>
  <c r="L6" i="27" a="1"/>
  <c r="L6" i="27" s="1"/>
  <c r="G37" i="27"/>
  <c r="G66" i="27"/>
  <c r="G102" i="27"/>
  <c r="G134" i="27"/>
  <c r="G85" i="27"/>
  <c r="G137" i="27"/>
  <c r="G22" i="27"/>
  <c r="G86" i="27"/>
  <c r="G70" i="27"/>
  <c r="G114" i="27"/>
  <c r="G138" i="27"/>
  <c r="G18" i="27"/>
  <c r="G130" i="27"/>
  <c r="G29" i="27"/>
  <c r="G36" i="27"/>
  <c r="G68" i="27"/>
  <c r="G84" i="27"/>
  <c r="G116" i="27"/>
  <c r="G31" i="27"/>
  <c r="G63" i="27"/>
  <c r="G95" i="27"/>
  <c r="G127" i="27"/>
  <c r="G65" i="27"/>
  <c r="G129" i="27"/>
  <c r="G40" i="27"/>
  <c r="G56" i="27"/>
  <c r="G88" i="27"/>
  <c r="G135" i="27"/>
  <c r="G35" i="27"/>
  <c r="G67" i="27"/>
  <c r="G99" i="27"/>
  <c r="G131" i="27"/>
  <c r="G41" i="27"/>
  <c r="G105" i="27"/>
  <c r="G21" i="27"/>
  <c r="G62" i="27"/>
  <c r="G126" i="27"/>
  <c r="G58" i="27"/>
  <c r="G61" i="27"/>
  <c r="G45" i="27"/>
  <c r="G109" i="27"/>
  <c r="G46" i="27"/>
  <c r="G90" i="27"/>
  <c r="G16" i="27"/>
  <c r="G32" i="27"/>
  <c r="G48" i="27"/>
  <c r="G64" i="27"/>
  <c r="G80" i="27"/>
  <c r="G96" i="27"/>
  <c r="G112" i="27"/>
  <c r="G132" i="27"/>
  <c r="G11" i="27"/>
  <c r="G27" i="27"/>
  <c r="L27" i="27" s="1" a="1"/>
  <c r="L27" i="27" s="1"/>
  <c r="G43" i="27"/>
  <c r="G59" i="27"/>
  <c r="G75" i="27"/>
  <c r="G91" i="27"/>
  <c r="G107" i="27"/>
  <c r="G123" i="27"/>
  <c r="G140" i="27"/>
  <c r="G25" i="27"/>
  <c r="G57" i="27"/>
  <c r="G89" i="27"/>
  <c r="G121" i="27"/>
  <c r="G10" i="27"/>
  <c r="G30" i="27"/>
  <c r="G53" i="27"/>
  <c r="G74" i="27"/>
  <c r="G94" i="27"/>
  <c r="G117" i="27"/>
  <c r="G139" i="27"/>
  <c r="G78" i="27"/>
  <c r="G122" i="27"/>
  <c r="G38" i="27"/>
  <c r="G82" i="27"/>
  <c r="G125" i="27"/>
  <c r="G13" i="27"/>
  <c r="G34" i="27"/>
  <c r="G54" i="27"/>
  <c r="G77" i="27"/>
  <c r="G98" i="27"/>
  <c r="G118" i="27"/>
  <c r="G26" i="27"/>
  <c r="G110" i="27"/>
  <c r="G50" i="27"/>
  <c r="G93" i="27"/>
  <c r="G20" i="27"/>
  <c r="G52" i="27"/>
  <c r="G100" i="27"/>
  <c r="G15" i="27"/>
  <c r="G47" i="27"/>
  <c r="G79" i="27"/>
  <c r="G111" i="27"/>
  <c r="G124" i="27"/>
  <c r="G33" i="27"/>
  <c r="G97" i="27"/>
  <c r="G8" i="27"/>
  <c r="L8" i="27" s="1" a="1"/>
  <c r="L8" i="27" s="1"/>
  <c r="G24" i="27"/>
  <c r="G72" i="27"/>
  <c r="G104" i="27"/>
  <c r="G120" i="27"/>
  <c r="G19" i="27"/>
  <c r="G51" i="27"/>
  <c r="G83" i="27"/>
  <c r="G115" i="27"/>
  <c r="G9" i="27"/>
  <c r="G73" i="27"/>
  <c r="G42" i="27"/>
  <c r="G106" i="27"/>
  <c r="G14" i="27"/>
  <c r="G12" i="27"/>
  <c r="G28" i="27"/>
  <c r="G44" i="27"/>
  <c r="G60" i="27"/>
  <c r="G76" i="27"/>
  <c r="G92" i="27"/>
  <c r="G108" i="27"/>
  <c r="G128" i="27"/>
  <c r="G7" i="27"/>
  <c r="L7" i="27" s="1" a="1"/>
  <c r="L7" i="27" s="1"/>
  <c r="G23" i="27"/>
  <c r="G39" i="27"/>
  <c r="G55" i="27"/>
  <c r="G71" i="27"/>
  <c r="G87" i="27"/>
  <c r="G103" i="27"/>
  <c r="G119" i="27"/>
  <c r="G136" i="27"/>
  <c r="G17" i="27"/>
  <c r="G49" i="27"/>
  <c r="G81" i="27"/>
  <c r="G113" i="27"/>
  <c r="AW130" i="27" l="1"/>
  <c r="G42" i="31"/>
  <c r="G42" i="12"/>
  <c r="DK135" i="27"/>
  <c r="DK43" i="27"/>
  <c r="DK130" i="27"/>
  <c r="DK84" i="27"/>
  <c r="DK125" i="27"/>
  <c r="DK114" i="27"/>
  <c r="DK65" i="27"/>
  <c r="DK89" i="27"/>
  <c r="DK104" i="27"/>
  <c r="DK108" i="27"/>
  <c r="DK136" i="27"/>
  <c r="DK55" i="27"/>
  <c r="DK116" i="27"/>
  <c r="R125" i="12"/>
  <c r="R124" i="12"/>
  <c r="R85" i="12"/>
  <c r="R93" i="12"/>
  <c r="R101" i="12"/>
  <c r="R130" i="12"/>
  <c r="R134" i="12"/>
  <c r="R55" i="12"/>
  <c r="R80" i="12"/>
  <c r="R68" i="12"/>
  <c r="R62" i="12"/>
  <c r="R27" i="12"/>
  <c r="R30" i="12"/>
  <c r="R34" i="12"/>
  <c r="R33" i="12"/>
  <c r="R37" i="12"/>
  <c r="R42" i="12"/>
  <c r="DS99" i="27"/>
  <c r="DS27" i="27"/>
  <c r="DS121" i="27"/>
  <c r="DS96" i="27"/>
  <c r="R116" i="12"/>
  <c r="R122" i="12"/>
  <c r="R121" i="12"/>
  <c r="R91" i="12"/>
  <c r="R135" i="12"/>
  <c r="R126" i="12"/>
  <c r="R138" i="12"/>
  <c r="R57" i="12"/>
  <c r="R71" i="12"/>
  <c r="R65" i="12"/>
  <c r="R52" i="12"/>
  <c r="R75" i="12"/>
  <c r="R23" i="12"/>
  <c r="R31" i="12"/>
  <c r="R32" i="12"/>
  <c r="R17" i="12"/>
  <c r="R26" i="12"/>
  <c r="R87" i="12"/>
  <c r="R104" i="12"/>
  <c r="R120" i="12"/>
  <c r="R79" i="12"/>
  <c r="R136" i="12"/>
  <c r="R118" i="12"/>
  <c r="R117" i="12"/>
  <c r="R56" i="12"/>
  <c r="R70" i="12"/>
  <c r="R60" i="12"/>
  <c r="R44" i="12"/>
  <c r="R54" i="12"/>
  <c r="R9" i="12"/>
  <c r="R29" i="12"/>
  <c r="R28" i="12"/>
  <c r="R39" i="12"/>
  <c r="R22" i="12"/>
  <c r="R77" i="12"/>
  <c r="R98" i="12"/>
  <c r="R110" i="12"/>
  <c r="R73" i="12"/>
  <c r="R119" i="12"/>
  <c r="R113" i="12"/>
  <c r="R115" i="12"/>
  <c r="R84" i="12"/>
  <c r="R59" i="12"/>
  <c r="R78" i="12"/>
  <c r="R76" i="12"/>
  <c r="R43" i="12"/>
  <c r="R8" i="12"/>
  <c r="R15" i="12"/>
  <c r="R24" i="12"/>
  <c r="R38" i="12"/>
  <c r="R6" i="12"/>
  <c r="R86" i="12"/>
  <c r="R95" i="12"/>
  <c r="R109" i="12"/>
  <c r="R106" i="12"/>
  <c r="R112" i="12"/>
  <c r="R105" i="12"/>
  <c r="R114" i="12"/>
  <c r="R83" i="12"/>
  <c r="R58" i="12"/>
  <c r="R67" i="12"/>
  <c r="R61" i="12"/>
  <c r="R19" i="12"/>
  <c r="R50" i="12"/>
  <c r="R14" i="12"/>
  <c r="R21" i="12"/>
  <c r="R25" i="12"/>
  <c r="G65" i="12"/>
  <c r="R123" i="12"/>
  <c r="R74" i="12"/>
  <c r="R89" i="12"/>
  <c r="R102" i="12"/>
  <c r="R131" i="12"/>
  <c r="R111" i="12"/>
  <c r="R103" i="12"/>
  <c r="R100" i="12"/>
  <c r="R82" i="12"/>
  <c r="R40" i="12"/>
  <c r="R66" i="12"/>
  <c r="R53" i="12"/>
  <c r="R51" i="12"/>
  <c r="R49" i="12"/>
  <c r="R11" i="12"/>
  <c r="R16" i="12"/>
  <c r="R18" i="12"/>
  <c r="R133" i="12"/>
  <c r="R132" i="12"/>
  <c r="R108" i="12"/>
  <c r="R96" i="12"/>
  <c r="R127" i="12"/>
  <c r="R107" i="12"/>
  <c r="R90" i="12"/>
  <c r="R97" i="12"/>
  <c r="R72" i="12"/>
  <c r="R7" i="12"/>
  <c r="R64" i="12"/>
  <c r="R48" i="12"/>
  <c r="R46" i="12"/>
  <c r="R47" i="12"/>
  <c r="R10" i="12"/>
  <c r="R13" i="12"/>
  <c r="R5" i="12"/>
  <c r="R129" i="12"/>
  <c r="R128" i="12"/>
  <c r="R88" i="12"/>
  <c r="R94" i="12"/>
  <c r="R92" i="12"/>
  <c r="R99" i="12"/>
  <c r="R137" i="12"/>
  <c r="R81" i="12"/>
  <c r="R20" i="12"/>
  <c r="R69" i="12"/>
  <c r="R63" i="12"/>
  <c r="R41" i="12"/>
  <c r="R45" i="12"/>
  <c r="R35" i="12"/>
  <c r="R36" i="12"/>
  <c r="R12" i="12"/>
  <c r="G113" i="31"/>
  <c r="L113" i="31" s="1"/>
  <c r="N113" i="31" s="1"/>
  <c r="G113" i="30"/>
  <c r="G72" i="31"/>
  <c r="G72" i="30"/>
  <c r="G57" i="31"/>
  <c r="L57" i="31" s="1"/>
  <c r="N57" i="31" s="1"/>
  <c r="G57" i="30"/>
  <c r="G68" i="31"/>
  <c r="J68" i="31" s="1"/>
  <c r="G68" i="30"/>
  <c r="H140" i="27"/>
  <c r="G109" i="31"/>
  <c r="L109" i="31" s="1"/>
  <c r="N109" i="31" s="1"/>
  <c r="G109" i="30"/>
  <c r="G59" i="31"/>
  <c r="L59" i="31" s="1"/>
  <c r="N59" i="31" s="1"/>
  <c r="G59" i="30"/>
  <c r="G107" i="31"/>
  <c r="L107" i="31" s="1"/>
  <c r="N107" i="31" s="1"/>
  <c r="G107" i="30"/>
  <c r="G6" i="30"/>
  <c r="G6" i="31"/>
  <c r="J6" i="31" s="1"/>
  <c r="L6" i="31" s="1"/>
  <c r="N6" i="31" s="1"/>
  <c r="G42" i="30"/>
  <c r="G94" i="31"/>
  <c r="L94" i="31" s="1"/>
  <c r="N94" i="31" s="1"/>
  <c r="G94" i="30"/>
  <c r="G43" i="31"/>
  <c r="L43" i="31" s="1"/>
  <c r="N43" i="31" s="1"/>
  <c r="G43" i="30"/>
  <c r="G99" i="31"/>
  <c r="L99" i="31" s="1"/>
  <c r="N99" i="31" s="1"/>
  <c r="G99" i="30"/>
  <c r="G52" i="31"/>
  <c r="L52" i="31" s="1"/>
  <c r="N52" i="31" s="1"/>
  <c r="G52" i="30"/>
  <c r="G65" i="30"/>
  <c r="G97" i="31"/>
  <c r="G97" i="30"/>
  <c r="G79" i="31"/>
  <c r="L79" i="31" s="1"/>
  <c r="N79" i="31" s="1"/>
  <c r="G79" i="30"/>
  <c r="L65" i="31"/>
  <c r="N65" i="31" s="1"/>
  <c r="L42" i="31"/>
  <c r="N42" i="31" s="1"/>
  <c r="L72" i="31"/>
  <c r="N72" i="31" s="1"/>
  <c r="AW9" i="27"/>
  <c r="AW55" i="27"/>
  <c r="AW37" i="27"/>
  <c r="AW19" i="27"/>
  <c r="AW104" i="27"/>
  <c r="AW48" i="27"/>
  <c r="AW21" i="27"/>
  <c r="AW74" i="27"/>
  <c r="AW49" i="27"/>
  <c r="AW81" i="27"/>
  <c r="AW17" i="27"/>
  <c r="AW96" i="27"/>
  <c r="AW6" i="27"/>
  <c r="AW36" i="27"/>
  <c r="AW29" i="27"/>
  <c r="AW71" i="27"/>
  <c r="AW39" i="27"/>
  <c r="AW41" i="27"/>
  <c r="AW137" i="27"/>
  <c r="AW72" i="27"/>
  <c r="AW11" i="27"/>
  <c r="AW38" i="27"/>
  <c r="AW114" i="27"/>
  <c r="DK96" i="27"/>
  <c r="DK48" i="27"/>
  <c r="DK83" i="27"/>
  <c r="DK35" i="27"/>
  <c r="DK69" i="27"/>
  <c r="DK21" i="27"/>
  <c r="DK14" i="27"/>
  <c r="DK37" i="27"/>
  <c r="DK34" i="27"/>
  <c r="DK77" i="27"/>
  <c r="DK29" i="27"/>
  <c r="DK15" i="27"/>
  <c r="DK8" i="27"/>
  <c r="DK31" i="27"/>
  <c r="DK10" i="27"/>
  <c r="DK22" i="27"/>
  <c r="DK127" i="27"/>
  <c r="DK81" i="27"/>
  <c r="DK33" i="27"/>
  <c r="DK26" i="27"/>
  <c r="DK113" i="27"/>
  <c r="DK17" i="27"/>
  <c r="DK99" i="27"/>
  <c r="DK19" i="27"/>
  <c r="DK24" i="27"/>
  <c r="DK64" i="27"/>
  <c r="DK117" i="27"/>
  <c r="DK134" i="27"/>
  <c r="DK42" i="27"/>
  <c r="DK63" i="27"/>
  <c r="DK39" i="27"/>
  <c r="DK137" i="27"/>
  <c r="DK71" i="27"/>
  <c r="DK129" i="27"/>
  <c r="DK105" i="27"/>
  <c r="DK75" i="27"/>
  <c r="DK92" i="27"/>
  <c r="DK72" i="27"/>
  <c r="DK11" i="27"/>
  <c r="DK45" i="27"/>
  <c r="DK13" i="27"/>
  <c r="DK18" i="27"/>
  <c r="DK28" i="27"/>
  <c r="DK53" i="27"/>
  <c r="DK32" i="27"/>
  <c r="DK7" i="27"/>
  <c r="DK12" i="27"/>
  <c r="DK16" i="27"/>
  <c r="DK23" i="27"/>
  <c r="DK9" i="27"/>
  <c r="DK73" i="27"/>
  <c r="DK25" i="27"/>
  <c r="DK30" i="27"/>
  <c r="DK138" i="27"/>
  <c r="DK27" i="27"/>
  <c r="DK20" i="27"/>
  <c r="DK91" i="27"/>
  <c r="DK109" i="27"/>
  <c r="DK40" i="27"/>
  <c r="DK94" i="27"/>
  <c r="DK110" i="27"/>
  <c r="DK62" i="27"/>
  <c r="DK115" i="27"/>
  <c r="DK90" i="27"/>
  <c r="DK82" i="27"/>
  <c r="DK58" i="27"/>
  <c r="DK132" i="27"/>
  <c r="DK60" i="27"/>
  <c r="DK36" i="27"/>
  <c r="DK57" i="27"/>
  <c r="DK74" i="27"/>
  <c r="DK97" i="27"/>
  <c r="DK140" i="27"/>
  <c r="DK102" i="27"/>
  <c r="DK54" i="27"/>
  <c r="DK124" i="27"/>
  <c r="DK41" i="27"/>
  <c r="DK123" i="27"/>
  <c r="DK51" i="27"/>
  <c r="DK6" i="27"/>
  <c r="DK44" i="27"/>
  <c r="DK121" i="27"/>
  <c r="DK120" i="27"/>
  <c r="DK70" i="27"/>
  <c r="DK131" i="27"/>
  <c r="DK38" i="27"/>
  <c r="DK85" i="27"/>
  <c r="DK46" i="27"/>
  <c r="DK79" i="27"/>
  <c r="DK119" i="27"/>
  <c r="DK47" i="27"/>
  <c r="DK122" i="27"/>
  <c r="DK50" i="27"/>
  <c r="DK133" i="27"/>
  <c r="DK68" i="27"/>
  <c r="DK67" i="27"/>
  <c r="DS19" i="27"/>
  <c r="DS24" i="27"/>
  <c r="CA121" i="27" a="1"/>
  <c r="CA121" i="27" s="1"/>
  <c r="CI121" i="27" a="1"/>
  <c r="CI121" i="27" s="1"/>
  <c r="CC121" i="27" a="1"/>
  <c r="CC121" i="27" s="1"/>
  <c r="CK121" i="27" a="1"/>
  <c r="CK121" i="27" s="1"/>
  <c r="CS121" i="27" a="1"/>
  <c r="CS121" i="27" s="1"/>
  <c r="CE121" i="27" a="1"/>
  <c r="CE121" i="27" s="1"/>
  <c r="CM121" i="27" a="1"/>
  <c r="CM121" i="27" s="1"/>
  <c r="CU121" i="27" a="1"/>
  <c r="CU121" i="27" s="1"/>
  <c r="CF121" i="27" a="1"/>
  <c r="CF121" i="27" s="1"/>
  <c r="CN121" i="27" a="1"/>
  <c r="CN121" i="27" s="1"/>
  <c r="CV121" i="27" a="1"/>
  <c r="CV121" i="27" s="1"/>
  <c r="BZ121" i="27" a="1"/>
  <c r="BZ121" i="27" s="1"/>
  <c r="CH121" i="27" a="1"/>
  <c r="CH121" i="27" s="1"/>
  <c r="CP121" i="27" a="1"/>
  <c r="CP121" i="27" s="1"/>
  <c r="CO121" i="27" a="1"/>
  <c r="CO121" i="27" s="1"/>
  <c r="CQ121" i="27" a="1"/>
  <c r="CQ121" i="27" s="1"/>
  <c r="CR121" i="27" a="1"/>
  <c r="CR121" i="27" s="1"/>
  <c r="CB121" i="27" a="1"/>
  <c r="CB121" i="27" s="1"/>
  <c r="CT121" i="27" a="1"/>
  <c r="CT121" i="27" s="1"/>
  <c r="CD121" i="27" a="1"/>
  <c r="CD121" i="27" s="1"/>
  <c r="CG121" i="27" a="1"/>
  <c r="CG121" i="27" s="1"/>
  <c r="CL121" i="27" a="1"/>
  <c r="CL121" i="27" s="1"/>
  <c r="CJ121" i="27" a="1"/>
  <c r="CJ121" i="27" s="1"/>
  <c r="BY121" i="27" a="1"/>
  <c r="BY121" i="27" s="1"/>
  <c r="CD18" i="27" a="1"/>
  <c r="CD18" i="27" s="1"/>
  <c r="CL18" i="27" a="1"/>
  <c r="CL18" i="27" s="1"/>
  <c r="CT18" i="27" a="1"/>
  <c r="CT18" i="27" s="1"/>
  <c r="CF18" i="27" a="1"/>
  <c r="CF18" i="27" s="1"/>
  <c r="CN18" i="27" a="1"/>
  <c r="CN18" i="27" s="1"/>
  <c r="CV18" i="27" a="1"/>
  <c r="CV18" i="27" s="1"/>
  <c r="BZ18" i="27" a="1"/>
  <c r="BZ18" i="27" s="1"/>
  <c r="CH18" i="27" a="1"/>
  <c r="CH18" i="27" s="1"/>
  <c r="CP18" i="27" a="1"/>
  <c r="CP18" i="27" s="1"/>
  <c r="CA18" i="27" a="1"/>
  <c r="CA18" i="27" s="1"/>
  <c r="CI18" i="27" a="1"/>
  <c r="CI18" i="27" s="1"/>
  <c r="CQ18" i="27" a="1"/>
  <c r="CQ18" i="27" s="1"/>
  <c r="CC18" i="27" a="1"/>
  <c r="CC18" i="27" s="1"/>
  <c r="CK18" i="27" a="1"/>
  <c r="CK18" i="27" s="1"/>
  <c r="CS18" i="27" a="1"/>
  <c r="CS18" i="27" s="1"/>
  <c r="CE18" i="27" a="1"/>
  <c r="CE18" i="27" s="1"/>
  <c r="CJ18" i="27" a="1"/>
  <c r="CJ18" i="27" s="1"/>
  <c r="CO18" i="27" a="1"/>
  <c r="CO18" i="27" s="1"/>
  <c r="CR18" i="27" a="1"/>
  <c r="CR18" i="27" s="1"/>
  <c r="CB18" i="27" a="1"/>
  <c r="CB18" i="27" s="1"/>
  <c r="CU18" i="27" a="1"/>
  <c r="CU18" i="27" s="1"/>
  <c r="CM18" i="27" a="1"/>
  <c r="CM18" i="27" s="1"/>
  <c r="CG18" i="27" a="1"/>
  <c r="CG18" i="27" s="1"/>
  <c r="BY18" i="27" a="1"/>
  <c r="BY18" i="27" s="1"/>
  <c r="CC73" i="27" a="1"/>
  <c r="CC73" i="27" s="1"/>
  <c r="CI73" i="27" a="1"/>
  <c r="CI73" i="27" s="1"/>
  <c r="CO73" i="27" a="1"/>
  <c r="CO73" i="27" s="1"/>
  <c r="CE73" i="27" a="1"/>
  <c r="CE73" i="27" s="1"/>
  <c r="CK73" i="27" a="1"/>
  <c r="CK73" i="27" s="1"/>
  <c r="CQ73" i="27" a="1"/>
  <c r="CQ73" i="27" s="1"/>
  <c r="CF73" i="27" a="1"/>
  <c r="CF73" i="27" s="1"/>
  <c r="CM73" i="27" a="1"/>
  <c r="CM73" i="27" s="1"/>
  <c r="CS73" i="27" a="1"/>
  <c r="CS73" i="27" s="1"/>
  <c r="BZ73" i="27" a="1"/>
  <c r="BZ73" i="27" s="1"/>
  <c r="CG73" i="27" a="1"/>
  <c r="CG73" i="27" s="1"/>
  <c r="CT73" i="27" a="1"/>
  <c r="CT73" i="27" s="1"/>
  <c r="CB73" i="27" a="1"/>
  <c r="CB73" i="27" s="1"/>
  <c r="CH73" i="27" a="1"/>
  <c r="CH73" i="27" s="1"/>
  <c r="CJ73" i="27" a="1"/>
  <c r="CJ73" i="27" s="1"/>
  <c r="CN73" i="27" a="1"/>
  <c r="CN73" i="27" s="1"/>
  <c r="CA73" i="27" a="1"/>
  <c r="CA73" i="27" s="1"/>
  <c r="CR73" i="27" a="1"/>
  <c r="CR73" i="27" s="1"/>
  <c r="CD73" i="27" a="1"/>
  <c r="CD73" i="27" s="1"/>
  <c r="CU73" i="27" a="1"/>
  <c r="CU73" i="27" s="1"/>
  <c r="CL73" i="27" a="1"/>
  <c r="CL73" i="27" s="1"/>
  <c r="CP73" i="27" a="1"/>
  <c r="CP73" i="27" s="1"/>
  <c r="CV73" i="27" a="1"/>
  <c r="CV73" i="27" s="1"/>
  <c r="BY73" i="27" a="1"/>
  <c r="BY73" i="27" s="1"/>
  <c r="CB133" i="27" a="1"/>
  <c r="CB133" i="27" s="1"/>
  <c r="CJ133" i="27" a="1"/>
  <c r="CJ133" i="27" s="1"/>
  <c r="CR133" i="27" a="1"/>
  <c r="CR133" i="27" s="1"/>
  <c r="CC133" i="27" a="1"/>
  <c r="CC133" i="27" s="1"/>
  <c r="CK133" i="27" a="1"/>
  <c r="CK133" i="27" s="1"/>
  <c r="CS133" i="27" a="1"/>
  <c r="CS133" i="27" s="1"/>
  <c r="CD133" i="27" a="1"/>
  <c r="CD133" i="27" s="1"/>
  <c r="CL133" i="27" a="1"/>
  <c r="CL133" i="27" s="1"/>
  <c r="CT133" i="27" a="1"/>
  <c r="CT133" i="27" s="1"/>
  <c r="CE133" i="27" a="1"/>
  <c r="CE133" i="27" s="1"/>
  <c r="CM133" i="27" a="1"/>
  <c r="CM133" i="27" s="1"/>
  <c r="CU133" i="27" a="1"/>
  <c r="CU133" i="27" s="1"/>
  <c r="CF133" i="27" a="1"/>
  <c r="CF133" i="27" s="1"/>
  <c r="CN133" i="27" a="1"/>
  <c r="CN133" i="27" s="1"/>
  <c r="CV133" i="27" a="1"/>
  <c r="CV133" i="27" s="1"/>
  <c r="CG133" i="27" a="1"/>
  <c r="CG133" i="27" s="1"/>
  <c r="CO133" i="27" a="1"/>
  <c r="CO133" i="27" s="1"/>
  <c r="CA133" i="27" a="1"/>
  <c r="CA133" i="27" s="1"/>
  <c r="CI133" i="27" a="1"/>
  <c r="CI133" i="27" s="1"/>
  <c r="CQ133" i="27" a="1"/>
  <c r="CQ133" i="27" s="1"/>
  <c r="BZ133" i="27" a="1"/>
  <c r="BZ133" i="27" s="1"/>
  <c r="CH133" i="27" a="1"/>
  <c r="CH133" i="27" s="1"/>
  <c r="CP133" i="27" a="1"/>
  <c r="CP133" i="27" s="1"/>
  <c r="BY133" i="27" a="1"/>
  <c r="BY133" i="27" s="1"/>
  <c r="CF43" i="27" a="1"/>
  <c r="CF43" i="27" s="1"/>
  <c r="CL43" i="27" a="1"/>
  <c r="CL43" i="27" s="1"/>
  <c r="CR43" i="27" a="1"/>
  <c r="CR43" i="27" s="1"/>
  <c r="CG43" i="27" a="1"/>
  <c r="CG43" i="27" s="1"/>
  <c r="CM43" i="27" a="1"/>
  <c r="CM43" i="27" s="1"/>
  <c r="CS43" i="27" a="1"/>
  <c r="CS43" i="27" s="1"/>
  <c r="CB43" i="27" a="1"/>
  <c r="CB43" i="27" s="1"/>
  <c r="CI43" i="27" a="1"/>
  <c r="CI43" i="27" s="1"/>
  <c r="CN43" i="27" a="1"/>
  <c r="CN43" i="27" s="1"/>
  <c r="CC43" i="27" a="1"/>
  <c r="CC43" i="27" s="1"/>
  <c r="CO43" i="27" a="1"/>
  <c r="CO43" i="27" s="1"/>
  <c r="CU43" i="27" a="1"/>
  <c r="CU43" i="27" s="1"/>
  <c r="CE43" i="27" a="1"/>
  <c r="CE43" i="27" s="1"/>
  <c r="CK43" i="27" a="1"/>
  <c r="CK43" i="27" s="1"/>
  <c r="CQ43" i="27" a="1"/>
  <c r="CQ43" i="27" s="1"/>
  <c r="CV43" i="27" a="1"/>
  <c r="CV43" i="27" s="1"/>
  <c r="CH43" i="27" a="1"/>
  <c r="CH43" i="27" s="1"/>
  <c r="BZ43" i="27" a="1"/>
  <c r="BZ43" i="27" s="1"/>
  <c r="CP43" i="27" a="1"/>
  <c r="CP43" i="27" s="1"/>
  <c r="CA43" i="27" a="1"/>
  <c r="CA43" i="27" s="1"/>
  <c r="CJ43" i="27" a="1"/>
  <c r="CJ43" i="27" s="1"/>
  <c r="CT43" i="27" a="1"/>
  <c r="CT43" i="27" s="1"/>
  <c r="CD43" i="27" a="1"/>
  <c r="CD43" i="27" s="1"/>
  <c r="BY43" i="27" a="1"/>
  <c r="BY43" i="27" s="1"/>
  <c r="CB79" i="27" a="1"/>
  <c r="CB79" i="27" s="1"/>
  <c r="CH79" i="27" a="1"/>
  <c r="CH79" i="27" s="1"/>
  <c r="CT79" i="27" a="1"/>
  <c r="CT79" i="27" s="1"/>
  <c r="CJ79" i="27" a="1"/>
  <c r="CJ79" i="27" s="1"/>
  <c r="CO79" i="27" a="1"/>
  <c r="CO79" i="27" s="1"/>
  <c r="CP79" i="27" a="1"/>
  <c r="CP79" i="27" s="1"/>
  <c r="BZ79" i="27" a="1"/>
  <c r="BZ79" i="27" s="1"/>
  <c r="CE79" i="27" a="1"/>
  <c r="CE79" i="27" s="1"/>
  <c r="CL79" i="27" a="1"/>
  <c r="CL79" i="27" s="1"/>
  <c r="CQ79" i="27" a="1"/>
  <c r="CQ79" i="27" s="1"/>
  <c r="CG79" i="27" a="1"/>
  <c r="CG79" i="27" s="1"/>
  <c r="CM79" i="27" a="1"/>
  <c r="CM79" i="27" s="1"/>
  <c r="CS79" i="27" a="1"/>
  <c r="CS79" i="27" s="1"/>
  <c r="CC79" i="27" a="1"/>
  <c r="CC79" i="27" s="1"/>
  <c r="CR79" i="27" a="1"/>
  <c r="CR79" i="27" s="1"/>
  <c r="CD79" i="27" a="1"/>
  <c r="CD79" i="27" s="1"/>
  <c r="CU79" i="27" a="1"/>
  <c r="CU79" i="27" s="1"/>
  <c r="CF79" i="27" a="1"/>
  <c r="CF79" i="27" s="1"/>
  <c r="CV79" i="27" a="1"/>
  <c r="CV79" i="27" s="1"/>
  <c r="CI79" i="27" a="1"/>
  <c r="CI79" i="27" s="1"/>
  <c r="CK79" i="27" a="1"/>
  <c r="CK79" i="27" s="1"/>
  <c r="CA79" i="27" a="1"/>
  <c r="CA79" i="27" s="1"/>
  <c r="CN79" i="27" a="1"/>
  <c r="CN79" i="27" s="1"/>
  <c r="BY79" i="27" a="1"/>
  <c r="BY79" i="27" s="1"/>
  <c r="CC52" i="27" a="1"/>
  <c r="CC52" i="27" s="1"/>
  <c r="CN52" i="27" a="1"/>
  <c r="CN52" i="27" s="1"/>
  <c r="CS52" i="27" a="1"/>
  <c r="CS52" i="27" s="1"/>
  <c r="CD52" i="27" a="1"/>
  <c r="CD52" i="27" s="1"/>
  <c r="CI52" i="27" a="1"/>
  <c r="CI52" i="27" s="1"/>
  <c r="CO52" i="27" a="1"/>
  <c r="CO52" i="27" s="1"/>
  <c r="CU52" i="27" a="1"/>
  <c r="CU52" i="27" s="1"/>
  <c r="CK52" i="27" a="1"/>
  <c r="CK52" i="27" s="1"/>
  <c r="CP52" i="27" a="1"/>
  <c r="CP52" i="27" s="1"/>
  <c r="CV52" i="27" a="1"/>
  <c r="CV52" i="27" s="1"/>
  <c r="BZ52" i="27" a="1"/>
  <c r="BZ52" i="27" s="1"/>
  <c r="CF52" i="27" a="1"/>
  <c r="CF52" i="27" s="1"/>
  <c r="CL52" i="27" a="1"/>
  <c r="CL52" i="27" s="1"/>
  <c r="CQ52" i="27" a="1"/>
  <c r="CQ52" i="27" s="1"/>
  <c r="CB52" i="27" a="1"/>
  <c r="CB52" i="27" s="1"/>
  <c r="CG52" i="27" a="1"/>
  <c r="CG52" i="27" s="1"/>
  <c r="CR52" i="27" a="1"/>
  <c r="CR52" i="27" s="1"/>
  <c r="CA52" i="27" a="1"/>
  <c r="CA52" i="27" s="1"/>
  <c r="CE52" i="27" a="1"/>
  <c r="CE52" i="27" s="1"/>
  <c r="CT52" i="27" a="1"/>
  <c r="CT52" i="27" s="1"/>
  <c r="CH52" i="27" a="1"/>
  <c r="CH52" i="27" s="1"/>
  <c r="CJ52" i="27" a="1"/>
  <c r="CJ52" i="27" s="1"/>
  <c r="CM52" i="27" a="1"/>
  <c r="CM52" i="27" s="1"/>
  <c r="BY52" i="27" a="1"/>
  <c r="BY52" i="27" s="1"/>
  <c r="CA86" i="27" a="1"/>
  <c r="CA86" i="27" s="1"/>
  <c r="CF86" i="27" a="1"/>
  <c r="CF86" i="27" s="1"/>
  <c r="CJ86" i="27" a="1"/>
  <c r="CJ86" i="27" s="1"/>
  <c r="CO86" i="27" a="1"/>
  <c r="CO86" i="27" s="1"/>
  <c r="CD86" i="27" a="1"/>
  <c r="CD86" i="27" s="1"/>
  <c r="CK86" i="27" a="1"/>
  <c r="CK86" i="27" s="1"/>
  <c r="CP86" i="27" a="1"/>
  <c r="CP86" i="27" s="1"/>
  <c r="CU86" i="27" a="1"/>
  <c r="CU86" i="27" s="1"/>
  <c r="CE86" i="27" a="1"/>
  <c r="CE86" i="27" s="1"/>
  <c r="CL86" i="27" a="1"/>
  <c r="CL86" i="27" s="1"/>
  <c r="CR86" i="27" a="1"/>
  <c r="CR86" i="27" s="1"/>
  <c r="CI86" i="27" a="1"/>
  <c r="CI86" i="27" s="1"/>
  <c r="CT86" i="27" a="1"/>
  <c r="CT86" i="27" s="1"/>
  <c r="BZ86" i="27" a="1"/>
  <c r="BZ86" i="27" s="1"/>
  <c r="CV86" i="27" a="1"/>
  <c r="CV86" i="27" s="1"/>
  <c r="CB86" i="27" a="1"/>
  <c r="CB86" i="27" s="1"/>
  <c r="CM86" i="27" a="1"/>
  <c r="CM86" i="27" s="1"/>
  <c r="CN86" i="27" a="1"/>
  <c r="CN86" i="27" s="1"/>
  <c r="CC86" i="27" a="1"/>
  <c r="CC86" i="27" s="1"/>
  <c r="CQ86" i="27" a="1"/>
  <c r="CQ86" i="27" s="1"/>
  <c r="CH86" i="27" a="1"/>
  <c r="CH86" i="27" s="1"/>
  <c r="CG86" i="27" a="1"/>
  <c r="CG86" i="27" s="1"/>
  <c r="CS86" i="27" a="1"/>
  <c r="CS86" i="27" s="1"/>
  <c r="BY86" i="27" a="1"/>
  <c r="BY86" i="27" s="1"/>
  <c r="CA24" i="27" a="1"/>
  <c r="CA24" i="27" s="1"/>
  <c r="CL24" i="27" a="1"/>
  <c r="CL24" i="27" s="1"/>
  <c r="CN24" i="27" a="1"/>
  <c r="CN24" i="27" s="1"/>
  <c r="CT24" i="27" a="1"/>
  <c r="CT24" i="27" s="1"/>
  <c r="CI24" i="27" a="1"/>
  <c r="CI24" i="27" s="1"/>
  <c r="CO24" i="27" a="1"/>
  <c r="CO24" i="27" s="1"/>
  <c r="CV24" i="27" a="1"/>
  <c r="CV24" i="27" s="1"/>
  <c r="CD24" i="27" a="1"/>
  <c r="CD24" i="27" s="1"/>
  <c r="CJ24" i="27" a="1"/>
  <c r="CJ24" i="27" s="1"/>
  <c r="CP24" i="27" a="1"/>
  <c r="CP24" i="27" s="1"/>
  <c r="BZ24" i="27" a="1"/>
  <c r="BZ24" i="27" s="1"/>
  <c r="CF24" i="27" a="1"/>
  <c r="CF24" i="27" s="1"/>
  <c r="CR24" i="27" a="1"/>
  <c r="CR24" i="27" s="1"/>
  <c r="CH24" i="27" a="1"/>
  <c r="CH24" i="27" s="1"/>
  <c r="CM24" i="27" a="1"/>
  <c r="CM24" i="27" s="1"/>
  <c r="CB24" i="27" a="1"/>
  <c r="CB24" i="27" s="1"/>
  <c r="CQ24" i="27" a="1"/>
  <c r="CQ24" i="27" s="1"/>
  <c r="CC24" i="27" a="1"/>
  <c r="CC24" i="27" s="1"/>
  <c r="CS24" i="27" a="1"/>
  <c r="CS24" i="27" s="1"/>
  <c r="CG24" i="27" a="1"/>
  <c r="CG24" i="27" s="1"/>
  <c r="CU24" i="27" a="1"/>
  <c r="CU24" i="27" s="1"/>
  <c r="CE24" i="27" a="1"/>
  <c r="CE24" i="27" s="1"/>
  <c r="CK24" i="27" a="1"/>
  <c r="CK24" i="27" s="1"/>
  <c r="BY24" i="27" a="1"/>
  <c r="BY24" i="27" s="1"/>
  <c r="CD33" i="27" a="1"/>
  <c r="CD33" i="27" s="1"/>
  <c r="CK33" i="27" a="1"/>
  <c r="CK33" i="27" s="1"/>
  <c r="CP33" i="27" a="1"/>
  <c r="CP33" i="27" s="1"/>
  <c r="BZ33" i="27" a="1"/>
  <c r="BZ33" i="27" s="1"/>
  <c r="CF33" i="27" a="1"/>
  <c r="CF33" i="27" s="1"/>
  <c r="CR33" i="27" a="1"/>
  <c r="CR33" i="27" s="1"/>
  <c r="CA33" i="27" a="1"/>
  <c r="CA33" i="27" s="1"/>
  <c r="CG33" i="27" a="1"/>
  <c r="CG33" i="27" s="1"/>
  <c r="CN33" i="27" a="1"/>
  <c r="CN33" i="27" s="1"/>
  <c r="CT33" i="27" a="1"/>
  <c r="CT33" i="27" s="1"/>
  <c r="CB33" i="27" a="1"/>
  <c r="CB33" i="27" s="1"/>
  <c r="CH33" i="27" a="1"/>
  <c r="CH33" i="27" s="1"/>
  <c r="CU33" i="27" a="1"/>
  <c r="CU33" i="27" s="1"/>
  <c r="CJ33" i="27" a="1"/>
  <c r="CJ33" i="27" s="1"/>
  <c r="CE33" i="27" a="1"/>
  <c r="CE33" i="27" s="1"/>
  <c r="CV33" i="27" a="1"/>
  <c r="CV33" i="27" s="1"/>
  <c r="CI33" i="27" a="1"/>
  <c r="CI33" i="27" s="1"/>
  <c r="CM33" i="27" a="1"/>
  <c r="CM33" i="27" s="1"/>
  <c r="CO33" i="27" a="1"/>
  <c r="CO33" i="27" s="1"/>
  <c r="CC33" i="27" a="1"/>
  <c r="CC33" i="27" s="1"/>
  <c r="CS33" i="27" a="1"/>
  <c r="CS33" i="27" s="1"/>
  <c r="CQ33" i="27" a="1"/>
  <c r="CQ33" i="27" s="1"/>
  <c r="CL33" i="27" a="1"/>
  <c r="CL33" i="27" s="1"/>
  <c r="BY33" i="27" a="1"/>
  <c r="BY33" i="27" s="1"/>
  <c r="CD36" i="27" a="1"/>
  <c r="CD36" i="27" s="1"/>
  <c r="CQ36" i="27" a="1"/>
  <c r="CQ36" i="27" s="1"/>
  <c r="CF36" i="27" a="1"/>
  <c r="CF36" i="27" s="1"/>
  <c r="CL36" i="27" a="1"/>
  <c r="CL36" i="27" s="1"/>
  <c r="CS36" i="27" a="1"/>
  <c r="CS36" i="27" s="1"/>
  <c r="CA36" i="27" a="1"/>
  <c r="CA36" i="27" s="1"/>
  <c r="CT36" i="27" a="1"/>
  <c r="CT36" i="27" s="1"/>
  <c r="CH36" i="27" a="1"/>
  <c r="CH36" i="27" s="1"/>
  <c r="CN36" i="27" a="1"/>
  <c r="CN36" i="27" s="1"/>
  <c r="CU36" i="27" a="1"/>
  <c r="CU36" i="27" s="1"/>
  <c r="CC36" i="27" a="1"/>
  <c r="CC36" i="27" s="1"/>
  <c r="CJ36" i="27" a="1"/>
  <c r="CJ36" i="27" s="1"/>
  <c r="CP36" i="27" a="1"/>
  <c r="CP36" i="27" s="1"/>
  <c r="CV36" i="27" a="1"/>
  <c r="CV36" i="27" s="1"/>
  <c r="CB36" i="27" a="1"/>
  <c r="CB36" i="27" s="1"/>
  <c r="CG36" i="27" a="1"/>
  <c r="CG36" i="27" s="1"/>
  <c r="CK36" i="27" a="1"/>
  <c r="CK36" i="27" s="1"/>
  <c r="CM36" i="27" a="1"/>
  <c r="CM36" i="27" s="1"/>
  <c r="BZ36" i="27" a="1"/>
  <c r="BZ36" i="27" s="1"/>
  <c r="CR36" i="27" a="1"/>
  <c r="CR36" i="27" s="1"/>
  <c r="CE36" i="27" a="1"/>
  <c r="CE36" i="27" s="1"/>
  <c r="CO36" i="27" a="1"/>
  <c r="CO36" i="27" s="1"/>
  <c r="CI36" i="27" a="1"/>
  <c r="CI36" i="27" s="1"/>
  <c r="BY36" i="27" a="1"/>
  <c r="BY36" i="27" s="1"/>
  <c r="CE109" i="27" a="1"/>
  <c r="CE109" i="27" s="1"/>
  <c r="CQ109" i="27" a="1"/>
  <c r="CQ109" i="27" s="1"/>
  <c r="CV109" i="27" a="1"/>
  <c r="CV109" i="27" s="1"/>
  <c r="BZ109" i="27" a="1"/>
  <c r="BZ109" i="27" s="1"/>
  <c r="CG109" i="27" a="1"/>
  <c r="CG109" i="27" s="1"/>
  <c r="CL109" i="27" a="1"/>
  <c r="CL109" i="27" s="1"/>
  <c r="CH109" i="27" a="1"/>
  <c r="CH109" i="27" s="1"/>
  <c r="CN109" i="27" a="1"/>
  <c r="CN109" i="27" s="1"/>
  <c r="CB109" i="27" a="1"/>
  <c r="CB109" i="27" s="1"/>
  <c r="CI109" i="27" a="1"/>
  <c r="CI109" i="27" s="1"/>
  <c r="CO109" i="27" a="1"/>
  <c r="CO109" i="27" s="1"/>
  <c r="CT109" i="27" a="1"/>
  <c r="CT109" i="27" s="1"/>
  <c r="CD109" i="27" a="1"/>
  <c r="CD109" i="27" s="1"/>
  <c r="CJ109" i="27" a="1"/>
  <c r="CJ109" i="27" s="1"/>
  <c r="CP109" i="27" a="1"/>
  <c r="CP109" i="27" s="1"/>
  <c r="CM109" i="27" a="1"/>
  <c r="CM109" i="27" s="1"/>
  <c r="CA109" i="27" a="1"/>
  <c r="CA109" i="27" s="1"/>
  <c r="CR109" i="27" a="1"/>
  <c r="CR109" i="27" s="1"/>
  <c r="CC109" i="27" a="1"/>
  <c r="CC109" i="27" s="1"/>
  <c r="CS109" i="27" a="1"/>
  <c r="CS109" i="27" s="1"/>
  <c r="CF109" i="27" a="1"/>
  <c r="CF109" i="27" s="1"/>
  <c r="CU109" i="27" a="1"/>
  <c r="CU109" i="27" s="1"/>
  <c r="CK109" i="27" a="1"/>
  <c r="CK109" i="27" s="1"/>
  <c r="BY109" i="27" a="1"/>
  <c r="BY109" i="27" s="1"/>
  <c r="CG125" i="27" a="1"/>
  <c r="CG125" i="27" s="1"/>
  <c r="CO125" i="27" a="1"/>
  <c r="CO125" i="27" s="1"/>
  <c r="CA125" i="27" a="1"/>
  <c r="CA125" i="27" s="1"/>
  <c r="CI125" i="27" a="1"/>
  <c r="CI125" i="27" s="1"/>
  <c r="CQ125" i="27" a="1"/>
  <c r="CQ125" i="27" s="1"/>
  <c r="CB125" i="27" a="1"/>
  <c r="CB125" i="27" s="1"/>
  <c r="CJ125" i="27" a="1"/>
  <c r="CJ125" i="27" s="1"/>
  <c r="CR125" i="27" a="1"/>
  <c r="CR125" i="27" s="1"/>
  <c r="CD125" i="27" a="1"/>
  <c r="CD125" i="27" s="1"/>
  <c r="CL125" i="27" a="1"/>
  <c r="CL125" i="27" s="1"/>
  <c r="CT125" i="27" a="1"/>
  <c r="CT125" i="27" s="1"/>
  <c r="CC125" i="27" a="1"/>
  <c r="CC125" i="27" s="1"/>
  <c r="CS125" i="27" a="1"/>
  <c r="CS125" i="27" s="1"/>
  <c r="CE125" i="27" a="1"/>
  <c r="CE125" i="27" s="1"/>
  <c r="CU125" i="27" a="1"/>
  <c r="CU125" i="27" s="1"/>
  <c r="CF125" i="27" a="1"/>
  <c r="CF125" i="27" s="1"/>
  <c r="CV125" i="27" a="1"/>
  <c r="CV125" i="27" s="1"/>
  <c r="CH125" i="27" a="1"/>
  <c r="CH125" i="27" s="1"/>
  <c r="CK125" i="27" a="1"/>
  <c r="CK125" i="27" s="1"/>
  <c r="CM125" i="27" a="1"/>
  <c r="CM125" i="27" s="1"/>
  <c r="BZ125" i="27" a="1"/>
  <c r="BZ125" i="27" s="1"/>
  <c r="CP125" i="27" a="1"/>
  <c r="CP125" i="27" s="1"/>
  <c r="CN125" i="27" a="1"/>
  <c r="CN125" i="27" s="1"/>
  <c r="BY125" i="27" a="1"/>
  <c r="BY125" i="27" s="1"/>
  <c r="BZ14" i="27" a="1"/>
  <c r="BZ14" i="27" s="1"/>
  <c r="CH14" i="27" a="1"/>
  <c r="CH14" i="27" s="1"/>
  <c r="CP14" i="27" a="1"/>
  <c r="CP14" i="27" s="1"/>
  <c r="CB14" i="27" a="1"/>
  <c r="CB14" i="27" s="1"/>
  <c r="CJ14" i="27" a="1"/>
  <c r="CJ14" i="27" s="1"/>
  <c r="CR14" i="27" a="1"/>
  <c r="CR14" i="27" s="1"/>
  <c r="CD14" i="27" a="1"/>
  <c r="CD14" i="27" s="1"/>
  <c r="CL14" i="27" a="1"/>
  <c r="CL14" i="27" s="1"/>
  <c r="CT14" i="27" a="1"/>
  <c r="CT14" i="27" s="1"/>
  <c r="CE14" i="27" a="1"/>
  <c r="CE14" i="27" s="1"/>
  <c r="CM14" i="27" a="1"/>
  <c r="CM14" i="27" s="1"/>
  <c r="CU14" i="27" a="1"/>
  <c r="CU14" i="27" s="1"/>
  <c r="CG14" i="27" a="1"/>
  <c r="CG14" i="27" s="1"/>
  <c r="CO14" i="27" a="1"/>
  <c r="CO14" i="27" s="1"/>
  <c r="CK14" i="27" a="1"/>
  <c r="CK14" i="27" s="1"/>
  <c r="CQ14" i="27" a="1"/>
  <c r="CQ14" i="27" s="1"/>
  <c r="CA14" i="27" a="1"/>
  <c r="CA14" i="27" s="1"/>
  <c r="CV14" i="27" a="1"/>
  <c r="CV14" i="27" s="1"/>
  <c r="CC14" i="27" a="1"/>
  <c r="CC14" i="27" s="1"/>
  <c r="CI14" i="27" a="1"/>
  <c r="CI14" i="27" s="1"/>
  <c r="CN14" i="27" a="1"/>
  <c r="CN14" i="27" s="1"/>
  <c r="CF14" i="27" a="1"/>
  <c r="CF14" i="27" s="1"/>
  <c r="CS14" i="27" a="1"/>
  <c r="CS14" i="27" s="1"/>
  <c r="BY14" i="27" a="1"/>
  <c r="BY14" i="27" s="1"/>
  <c r="CG130" i="27" a="1"/>
  <c r="CG130" i="27" s="1"/>
  <c r="CO130" i="27" a="1"/>
  <c r="CO130" i="27" s="1"/>
  <c r="BZ130" i="27" a="1"/>
  <c r="BZ130" i="27" s="1"/>
  <c r="CH130" i="27" a="1"/>
  <c r="CH130" i="27" s="1"/>
  <c r="CP130" i="27" a="1"/>
  <c r="CP130" i="27" s="1"/>
  <c r="CA130" i="27" a="1"/>
  <c r="CA130" i="27" s="1"/>
  <c r="CI130" i="27" a="1"/>
  <c r="CI130" i="27" s="1"/>
  <c r="CQ130" i="27" a="1"/>
  <c r="CQ130" i="27" s="1"/>
  <c r="CB130" i="27" a="1"/>
  <c r="CB130" i="27" s="1"/>
  <c r="CJ130" i="27" a="1"/>
  <c r="CJ130" i="27" s="1"/>
  <c r="CR130" i="27" a="1"/>
  <c r="CR130" i="27" s="1"/>
  <c r="CC130" i="27" a="1"/>
  <c r="CC130" i="27" s="1"/>
  <c r="CK130" i="27" a="1"/>
  <c r="CK130" i="27" s="1"/>
  <c r="CS130" i="27" a="1"/>
  <c r="CS130" i="27" s="1"/>
  <c r="CD130" i="27" a="1"/>
  <c r="CD130" i="27" s="1"/>
  <c r="CL130" i="27" a="1"/>
  <c r="CL130" i="27" s="1"/>
  <c r="CT130" i="27" a="1"/>
  <c r="CT130" i="27" s="1"/>
  <c r="CF130" i="27" a="1"/>
  <c r="CF130" i="27" s="1"/>
  <c r="CN130" i="27" a="1"/>
  <c r="CN130" i="27" s="1"/>
  <c r="CV130" i="27" a="1"/>
  <c r="CV130" i="27" s="1"/>
  <c r="CE130" i="27" a="1"/>
  <c r="CE130" i="27" s="1"/>
  <c r="CM130" i="27" a="1"/>
  <c r="CM130" i="27" s="1"/>
  <c r="CU130" i="27" a="1"/>
  <c r="CU130" i="27" s="1"/>
  <c r="BY130" i="27" a="1"/>
  <c r="BY130" i="27" s="1"/>
  <c r="CJ70" i="27" a="1"/>
  <c r="CJ70" i="27" s="1"/>
  <c r="CP70" i="27" a="1"/>
  <c r="CP70" i="27" s="1"/>
  <c r="CV70" i="27" a="1"/>
  <c r="CV70" i="27" s="1"/>
  <c r="CK70" i="27" a="1"/>
  <c r="CK70" i="27" s="1"/>
  <c r="CR70" i="27" a="1"/>
  <c r="CR70" i="27" s="1"/>
  <c r="BZ70" i="27" a="1"/>
  <c r="BZ70" i="27" s="1"/>
  <c r="CF70" i="27" a="1"/>
  <c r="CF70" i="27" s="1"/>
  <c r="CS70" i="27" a="1"/>
  <c r="CS70" i="27" s="1"/>
  <c r="CA70" i="27" a="1"/>
  <c r="CA70" i="27" s="1"/>
  <c r="CG70" i="27" a="1"/>
  <c r="CG70" i="27" s="1"/>
  <c r="CM70" i="27" a="1"/>
  <c r="CM70" i="27" s="1"/>
  <c r="CC70" i="27" a="1"/>
  <c r="CC70" i="27" s="1"/>
  <c r="CI70" i="27" a="1"/>
  <c r="CI70" i="27" s="1"/>
  <c r="CO70" i="27" a="1"/>
  <c r="CO70" i="27" s="1"/>
  <c r="CU70" i="27" a="1"/>
  <c r="CU70" i="27" s="1"/>
  <c r="CL70" i="27" a="1"/>
  <c r="CL70" i="27" s="1"/>
  <c r="CQ70" i="27" a="1"/>
  <c r="CQ70" i="27" s="1"/>
  <c r="CD70" i="27" a="1"/>
  <c r="CD70" i="27" s="1"/>
  <c r="CT70" i="27" a="1"/>
  <c r="CT70" i="27" s="1"/>
  <c r="CE70" i="27" a="1"/>
  <c r="CE70" i="27" s="1"/>
  <c r="CN70" i="27" a="1"/>
  <c r="CN70" i="27" s="1"/>
  <c r="CH70" i="27" a="1"/>
  <c r="CH70" i="27" s="1"/>
  <c r="CB70" i="27" a="1"/>
  <c r="CB70" i="27" s="1"/>
  <c r="BY70" i="27" a="1"/>
  <c r="BY70" i="27" s="1"/>
  <c r="CB35" i="27" a="1"/>
  <c r="CB35" i="27" s="1"/>
  <c r="CI35" i="27" a="1"/>
  <c r="CI35" i="27" s="1"/>
  <c r="CN35" i="27" a="1"/>
  <c r="CN35" i="27" s="1"/>
  <c r="CD35" i="27" a="1"/>
  <c r="CD35" i="27" s="1"/>
  <c r="CP35" i="27" a="1"/>
  <c r="CP35" i="27" s="1"/>
  <c r="CE35" i="27" a="1"/>
  <c r="CE35" i="27" s="1"/>
  <c r="CL35" i="27" a="1"/>
  <c r="CL35" i="27" s="1"/>
  <c r="CR35" i="27" a="1"/>
  <c r="CR35" i="27" s="1"/>
  <c r="BZ35" i="27" a="1"/>
  <c r="BZ35" i="27" s="1"/>
  <c r="CF35" i="27" a="1"/>
  <c r="CF35" i="27" s="1"/>
  <c r="CS35" i="27" a="1"/>
  <c r="CS35" i="27" s="1"/>
  <c r="CH35" i="27" a="1"/>
  <c r="CH35" i="27" s="1"/>
  <c r="CU35" i="27" a="1"/>
  <c r="CU35" i="27" s="1"/>
  <c r="CJ35" i="27" a="1"/>
  <c r="CJ35" i="27" s="1"/>
  <c r="CM35" i="27" a="1"/>
  <c r="CM35" i="27" s="1"/>
  <c r="CA35" i="27" a="1"/>
  <c r="CA35" i="27" s="1"/>
  <c r="CQ35" i="27" a="1"/>
  <c r="CQ35" i="27" s="1"/>
  <c r="CC35" i="27" a="1"/>
  <c r="CC35" i="27" s="1"/>
  <c r="CT35" i="27" a="1"/>
  <c r="CT35" i="27" s="1"/>
  <c r="CG35" i="27" a="1"/>
  <c r="CG35" i="27" s="1"/>
  <c r="CO35" i="27" a="1"/>
  <c r="CO35" i="27" s="1"/>
  <c r="CK35" i="27" a="1"/>
  <c r="CK35" i="27" s="1"/>
  <c r="CV35" i="27" a="1"/>
  <c r="CV35" i="27" s="1"/>
  <c r="BY35" i="27" a="1"/>
  <c r="BY35" i="27" s="1"/>
  <c r="BZ62" i="27" a="1"/>
  <c r="BZ62" i="27" s="1"/>
  <c r="CF62" i="27" a="1"/>
  <c r="CF62" i="27" s="1"/>
  <c r="CL62" i="27" a="1"/>
  <c r="CL62" i="27" s="1"/>
  <c r="CS62" i="27" a="1"/>
  <c r="CS62" i="27" s="1"/>
  <c r="CB62" i="27" a="1"/>
  <c r="CB62" i="27" s="1"/>
  <c r="CH62" i="27" a="1"/>
  <c r="CH62" i="27" s="1"/>
  <c r="CN62" i="27" a="1"/>
  <c r="CN62" i="27" s="1"/>
  <c r="CT62" i="27" a="1"/>
  <c r="CT62" i="27" s="1"/>
  <c r="CC62" i="27" a="1"/>
  <c r="CC62" i="27" s="1"/>
  <c r="CJ62" i="27" a="1"/>
  <c r="CJ62" i="27" s="1"/>
  <c r="CP62" i="27" a="1"/>
  <c r="CP62" i="27" s="1"/>
  <c r="CU62" i="27" a="1"/>
  <c r="CU62" i="27" s="1"/>
  <c r="CD62" i="27" a="1"/>
  <c r="CD62" i="27" s="1"/>
  <c r="CQ62" i="27" a="1"/>
  <c r="CQ62" i="27" s="1"/>
  <c r="CV62" i="27" a="1"/>
  <c r="CV62" i="27" s="1"/>
  <c r="CE62" i="27" a="1"/>
  <c r="CE62" i="27" s="1"/>
  <c r="CM62" i="27" a="1"/>
  <c r="CM62" i="27" s="1"/>
  <c r="CA62" i="27" a="1"/>
  <c r="CA62" i="27" s="1"/>
  <c r="CR62" i="27" a="1"/>
  <c r="CR62" i="27" s="1"/>
  <c r="CG62" i="27" a="1"/>
  <c r="CG62" i="27" s="1"/>
  <c r="CK62" i="27" a="1"/>
  <c r="CK62" i="27" s="1"/>
  <c r="CO62" i="27" a="1"/>
  <c r="CO62" i="27" s="1"/>
  <c r="CI62" i="27" a="1"/>
  <c r="CI62" i="27" s="1"/>
  <c r="BY62" i="27" a="1"/>
  <c r="BY62" i="27" s="1"/>
  <c r="CH101" i="27" a="1"/>
  <c r="CH101" i="27" s="1"/>
  <c r="CT101" i="27" a="1"/>
  <c r="CT101" i="27" s="1"/>
  <c r="CJ101" i="27" a="1"/>
  <c r="CJ101" i="27" s="1"/>
  <c r="CO101" i="27" a="1"/>
  <c r="CO101" i="27" s="1"/>
  <c r="CV101" i="27" a="1"/>
  <c r="CV101" i="27" s="1"/>
  <c r="CD101" i="27" a="1"/>
  <c r="CD101" i="27" s="1"/>
  <c r="CK101" i="27" a="1"/>
  <c r="CK101" i="27" s="1"/>
  <c r="CQ101" i="27" a="1"/>
  <c r="CQ101" i="27" s="1"/>
  <c r="CE101" i="27" a="1"/>
  <c r="CE101" i="27" s="1"/>
  <c r="CR101" i="27" a="1"/>
  <c r="CR101" i="27" s="1"/>
  <c r="CA101" i="27" a="1"/>
  <c r="CA101" i="27" s="1"/>
  <c r="CG101" i="27" a="1"/>
  <c r="CG101" i="27" s="1"/>
  <c r="CM101" i="27" a="1"/>
  <c r="CM101" i="27" s="1"/>
  <c r="CN101" i="27" a="1"/>
  <c r="CN101" i="27" s="1"/>
  <c r="BZ101" i="27" a="1"/>
  <c r="BZ101" i="27" s="1"/>
  <c r="CP101" i="27" a="1"/>
  <c r="CP101" i="27" s="1"/>
  <c r="CB101" i="27" a="1"/>
  <c r="CB101" i="27" s="1"/>
  <c r="CS101" i="27" a="1"/>
  <c r="CS101" i="27" s="1"/>
  <c r="CC101" i="27" a="1"/>
  <c r="CC101" i="27" s="1"/>
  <c r="CU101" i="27" a="1"/>
  <c r="CU101" i="27" s="1"/>
  <c r="CF101" i="27" a="1"/>
  <c r="CF101" i="27" s="1"/>
  <c r="CI101" i="27" a="1"/>
  <c r="CI101" i="27" s="1"/>
  <c r="CL101" i="27" a="1"/>
  <c r="CL101" i="27" s="1"/>
  <c r="BY101" i="27" a="1"/>
  <c r="BY101" i="27" s="1"/>
  <c r="CE32" i="27" a="1"/>
  <c r="CE32" i="27" s="1"/>
  <c r="BZ32" i="27" a="1"/>
  <c r="BZ32" i="27" s="1"/>
  <c r="CA32" i="27" a="1"/>
  <c r="CA32" i="27" s="1"/>
  <c r="CC32" i="27" a="1"/>
  <c r="CC32" i="27" s="1"/>
  <c r="CH32" i="27" a="1"/>
  <c r="CH32" i="27" s="1"/>
  <c r="CO32" i="27" a="1"/>
  <c r="CO32" i="27" s="1"/>
  <c r="CU32" i="27" a="1"/>
  <c r="CU32" i="27" s="1"/>
  <c r="CB32" i="27" a="1"/>
  <c r="CB32" i="27" s="1"/>
  <c r="CJ32" i="27" a="1"/>
  <c r="CJ32" i="27" s="1"/>
  <c r="CP32" i="27" a="1"/>
  <c r="CP32" i="27" s="1"/>
  <c r="CL32" i="27" a="1"/>
  <c r="CL32" i="27" s="1"/>
  <c r="CF32" i="27" a="1"/>
  <c r="CF32" i="27" s="1"/>
  <c r="CM32" i="27" a="1"/>
  <c r="CM32" i="27" s="1"/>
  <c r="CR32" i="27" a="1"/>
  <c r="CR32" i="27" s="1"/>
  <c r="CG32" i="27" a="1"/>
  <c r="CG32" i="27" s="1"/>
  <c r="CT32" i="27" a="1"/>
  <c r="CT32" i="27" s="1"/>
  <c r="CK32" i="27" a="1"/>
  <c r="CK32" i="27" s="1"/>
  <c r="CS32" i="27" a="1"/>
  <c r="CS32" i="27" s="1"/>
  <c r="CD32" i="27" a="1"/>
  <c r="CD32" i="27" s="1"/>
  <c r="CV32" i="27" a="1"/>
  <c r="CV32" i="27" s="1"/>
  <c r="CI32" i="27" a="1"/>
  <c r="CI32" i="27" s="1"/>
  <c r="CQ32" i="27" a="1"/>
  <c r="CQ32" i="27" s="1"/>
  <c r="CN32" i="27" a="1"/>
  <c r="CN32" i="27" s="1"/>
  <c r="BY32" i="27" a="1"/>
  <c r="BY32" i="27" s="1"/>
  <c r="CD122" i="27" a="1"/>
  <c r="CD122" i="27" s="1"/>
  <c r="CL122" i="27" a="1"/>
  <c r="CL122" i="27" s="1"/>
  <c r="CT122" i="27" a="1"/>
  <c r="CT122" i="27" s="1"/>
  <c r="CF122" i="27" a="1"/>
  <c r="CF122" i="27" s="1"/>
  <c r="CN122" i="27" a="1"/>
  <c r="CN122" i="27" s="1"/>
  <c r="CV122" i="27" a="1"/>
  <c r="CV122" i="27" s="1"/>
  <c r="CG122" i="27" a="1"/>
  <c r="CG122" i="27" s="1"/>
  <c r="CO122" i="27" a="1"/>
  <c r="CO122" i="27" s="1"/>
  <c r="CA122" i="27" a="1"/>
  <c r="CA122" i="27" s="1"/>
  <c r="CI122" i="27" a="1"/>
  <c r="CI122" i="27" s="1"/>
  <c r="CQ122" i="27" a="1"/>
  <c r="CQ122" i="27" s="1"/>
  <c r="CH122" i="27" a="1"/>
  <c r="CH122" i="27" s="1"/>
  <c r="CJ122" i="27" a="1"/>
  <c r="CJ122" i="27" s="1"/>
  <c r="CK122" i="27" a="1"/>
  <c r="CK122" i="27" s="1"/>
  <c r="CM122" i="27" a="1"/>
  <c r="CM122" i="27" s="1"/>
  <c r="BZ122" i="27" a="1"/>
  <c r="BZ122" i="27" s="1"/>
  <c r="CP122" i="27" a="1"/>
  <c r="CP122" i="27" s="1"/>
  <c r="CB122" i="27" a="1"/>
  <c r="CB122" i="27" s="1"/>
  <c r="CR122" i="27" a="1"/>
  <c r="CR122" i="27" s="1"/>
  <c r="CE122" i="27" a="1"/>
  <c r="CE122" i="27" s="1"/>
  <c r="CU122" i="27" a="1"/>
  <c r="CU122" i="27" s="1"/>
  <c r="CC122" i="27" a="1"/>
  <c r="CC122" i="27" s="1"/>
  <c r="CS122" i="27" a="1"/>
  <c r="CS122" i="27" s="1"/>
  <c r="BY122" i="27" a="1"/>
  <c r="BY122" i="27" s="1"/>
  <c r="CD139" i="27" a="1"/>
  <c r="CD139" i="27" s="1"/>
  <c r="CI139" i="27" a="1"/>
  <c r="CI139" i="27" s="1"/>
  <c r="CE139" i="27" a="1"/>
  <c r="CE139" i="27" s="1"/>
  <c r="CK139" i="27" a="1"/>
  <c r="CK139" i="27" s="1"/>
  <c r="CF139" i="27" a="1"/>
  <c r="CF139" i="27" s="1"/>
  <c r="BZ139" i="27" a="1"/>
  <c r="BZ139" i="27" s="1"/>
  <c r="CA139" i="27" a="1"/>
  <c r="CA139" i="27" s="1"/>
  <c r="CG139" i="27" a="1"/>
  <c r="CG139" i="27" s="1"/>
  <c r="CC139" i="27" a="1"/>
  <c r="CC139" i="27" s="1"/>
  <c r="CS139" i="27" a="1"/>
  <c r="CS139" i="27" s="1"/>
  <c r="CN139" i="27" a="1"/>
  <c r="CN139" i="27" s="1"/>
  <c r="CT139" i="27" a="1"/>
  <c r="CT139" i="27" s="1"/>
  <c r="CB139" i="27" a="1"/>
  <c r="CB139" i="27" s="1"/>
  <c r="CU139" i="27" a="1"/>
  <c r="CU139" i="27" s="1"/>
  <c r="CO139" i="27" a="1"/>
  <c r="CO139" i="27" s="1"/>
  <c r="CH139" i="27" a="1"/>
  <c r="CH139" i="27" s="1"/>
  <c r="CV139" i="27" a="1"/>
  <c r="CV139" i="27" s="1"/>
  <c r="CJ139" i="27" a="1"/>
  <c r="CJ139" i="27" s="1"/>
  <c r="CP139" i="27" a="1"/>
  <c r="CP139" i="27" s="1"/>
  <c r="CM139" i="27" a="1"/>
  <c r="CM139" i="27" s="1"/>
  <c r="CR139" i="27" a="1"/>
  <c r="CR139" i="27" s="1"/>
  <c r="CL139" i="27" a="1"/>
  <c r="CL139" i="27" s="1"/>
  <c r="CQ139" i="27" a="1"/>
  <c r="CQ139" i="27" s="1"/>
  <c r="BY139" i="27" a="1"/>
  <c r="BY139" i="27" s="1"/>
  <c r="CA6" i="27" a="1"/>
  <c r="CA6" i="27" s="1"/>
  <c r="CH6" i="27" a="1"/>
  <c r="CH6" i="27" s="1"/>
  <c r="CP6" i="27" a="1"/>
  <c r="CP6" i="27" s="1"/>
  <c r="CB6" i="27" a="1"/>
  <c r="CB6" i="27" s="1"/>
  <c r="CJ6" i="27" a="1"/>
  <c r="CJ6" i="27" s="1"/>
  <c r="CR6" i="27" a="1"/>
  <c r="CR6" i="27" s="1"/>
  <c r="CD6" i="27" a="1"/>
  <c r="CD6" i="27" s="1"/>
  <c r="CL6" i="27" a="1"/>
  <c r="CL6" i="27" s="1"/>
  <c r="CT6" i="27" a="1"/>
  <c r="CT6" i="27" s="1"/>
  <c r="CE6" i="27" a="1"/>
  <c r="CE6" i="27" s="1"/>
  <c r="CM6" i="27" a="1"/>
  <c r="CM6" i="27" s="1"/>
  <c r="CU6" i="27" a="1"/>
  <c r="CU6" i="27" s="1"/>
  <c r="CG6" i="27" a="1"/>
  <c r="CG6" i="27" s="1"/>
  <c r="CO6" i="27" a="1"/>
  <c r="CO6" i="27" s="1"/>
  <c r="CC6" i="27" a="1"/>
  <c r="CC6" i="27" s="1"/>
  <c r="CI6" i="27" a="1"/>
  <c r="CI6" i="27" s="1"/>
  <c r="CN6" i="27" a="1"/>
  <c r="CN6" i="27" s="1"/>
  <c r="CQ6" i="27" a="1"/>
  <c r="CQ6" i="27" s="1"/>
  <c r="CV6" i="27" a="1"/>
  <c r="CV6" i="27" s="1"/>
  <c r="CK6" i="27" a="1"/>
  <c r="CK6" i="27" s="1"/>
  <c r="CF6" i="27" a="1"/>
  <c r="CF6" i="27" s="1"/>
  <c r="CS6" i="27" a="1"/>
  <c r="CS6" i="27" s="1"/>
  <c r="BZ6" i="27" a="1"/>
  <c r="BZ6" i="27" s="1"/>
  <c r="BY6" i="27" a="1"/>
  <c r="BY6" i="27" s="1"/>
  <c r="CA78" i="27" a="1"/>
  <c r="CA78" i="27" s="1"/>
  <c r="CF78" i="27" a="1"/>
  <c r="CF78" i="27" s="1"/>
  <c r="CG78" i="27" a="1"/>
  <c r="CG78" i="27" s="1"/>
  <c r="CN78" i="27" a="1"/>
  <c r="CN78" i="27" s="1"/>
  <c r="CT78" i="27" a="1"/>
  <c r="CT78" i="27" s="1"/>
  <c r="CI78" i="27" a="1"/>
  <c r="CI78" i="27" s="1"/>
  <c r="CV78" i="27" a="1"/>
  <c r="CV78" i="27" s="1"/>
  <c r="CD78" i="27" a="1"/>
  <c r="CD78" i="27" s="1"/>
  <c r="CJ78" i="27" a="1"/>
  <c r="CJ78" i="27" s="1"/>
  <c r="CP78" i="27" a="1"/>
  <c r="CP78" i="27" s="1"/>
  <c r="BZ78" i="27" a="1"/>
  <c r="BZ78" i="27" s="1"/>
  <c r="CE78" i="27" a="1"/>
  <c r="CE78" i="27" s="1"/>
  <c r="CL78" i="27" a="1"/>
  <c r="CL78" i="27" s="1"/>
  <c r="CR78" i="27" a="1"/>
  <c r="CR78" i="27" s="1"/>
  <c r="CH78" i="27" a="1"/>
  <c r="CH78" i="27" s="1"/>
  <c r="CK78" i="27" a="1"/>
  <c r="CK78" i="27" s="1"/>
  <c r="CM78" i="27" a="1"/>
  <c r="CM78" i="27" s="1"/>
  <c r="CO78" i="27" a="1"/>
  <c r="CO78" i="27" s="1"/>
  <c r="CB78" i="27" a="1"/>
  <c r="CB78" i="27" s="1"/>
  <c r="CQ78" i="27" a="1"/>
  <c r="CQ78" i="27" s="1"/>
  <c r="CC78" i="27" a="1"/>
  <c r="CC78" i="27" s="1"/>
  <c r="CS78" i="27" a="1"/>
  <c r="CS78" i="27" s="1"/>
  <c r="CU78" i="27" a="1"/>
  <c r="CU78" i="27" s="1"/>
  <c r="BY78" i="27" a="1"/>
  <c r="BY78" i="27" s="1"/>
  <c r="CE128" i="27" a="1"/>
  <c r="CE128" i="27" s="1"/>
  <c r="CM128" i="27" a="1"/>
  <c r="CM128" i="27" s="1"/>
  <c r="CU128" i="27" a="1"/>
  <c r="CU128" i="27" s="1"/>
  <c r="CF128" i="27" a="1"/>
  <c r="CF128" i="27" s="1"/>
  <c r="CN128" i="27" a="1"/>
  <c r="CN128" i="27" s="1"/>
  <c r="CV128" i="27" a="1"/>
  <c r="CV128" i="27" s="1"/>
  <c r="CG128" i="27" a="1"/>
  <c r="CG128" i="27" s="1"/>
  <c r="CO128" i="27" a="1"/>
  <c r="CO128" i="27" s="1"/>
  <c r="BZ128" i="27" a="1"/>
  <c r="BZ128" i="27" s="1"/>
  <c r="CH128" i="27" a="1"/>
  <c r="CH128" i="27" s="1"/>
  <c r="CP128" i="27" a="1"/>
  <c r="CP128" i="27" s="1"/>
  <c r="CA128" i="27" a="1"/>
  <c r="CA128" i="27" s="1"/>
  <c r="CI128" i="27" a="1"/>
  <c r="CI128" i="27" s="1"/>
  <c r="CQ128" i="27" a="1"/>
  <c r="CQ128" i="27" s="1"/>
  <c r="CB128" i="27" a="1"/>
  <c r="CB128" i="27" s="1"/>
  <c r="CJ128" i="27" a="1"/>
  <c r="CJ128" i="27" s="1"/>
  <c r="CR128" i="27" a="1"/>
  <c r="CR128" i="27" s="1"/>
  <c r="CD128" i="27" a="1"/>
  <c r="CD128" i="27" s="1"/>
  <c r="CL128" i="27" a="1"/>
  <c r="CL128" i="27" s="1"/>
  <c r="CT128" i="27" a="1"/>
  <c r="CT128" i="27" s="1"/>
  <c r="CS128" i="27" a="1"/>
  <c r="CS128" i="27" s="1"/>
  <c r="CK128" i="27" a="1"/>
  <c r="CK128" i="27" s="1"/>
  <c r="CC128" i="27" a="1"/>
  <c r="CC128" i="27" s="1"/>
  <c r="BY128" i="27" a="1"/>
  <c r="BY128" i="27" s="1"/>
  <c r="CE23" i="27" a="1"/>
  <c r="CE23" i="27" s="1"/>
  <c r="CK23" i="27" a="1"/>
  <c r="CK23" i="27" s="1"/>
  <c r="CR23" i="27" a="1"/>
  <c r="CR23" i="27" s="1"/>
  <c r="BZ23" i="27" a="1"/>
  <c r="BZ23" i="27" s="1"/>
  <c r="CF23" i="27" a="1"/>
  <c r="CF23" i="27" s="1"/>
  <c r="CM23" i="27" a="1"/>
  <c r="CM23" i="27" s="1"/>
  <c r="CS23" i="27" a="1"/>
  <c r="CS23" i="27" s="1"/>
  <c r="CB23" i="27" a="1"/>
  <c r="CB23" i="27" s="1"/>
  <c r="CH23" i="27" a="1"/>
  <c r="CH23" i="27" s="1"/>
  <c r="CN23" i="27" a="1"/>
  <c r="CN23" i="27" s="1"/>
  <c r="CU23" i="27" a="1"/>
  <c r="CU23" i="27" s="1"/>
  <c r="CI23" i="27" a="1"/>
  <c r="CI23" i="27" s="1"/>
  <c r="CO23" i="27" a="1"/>
  <c r="CO23" i="27" s="1"/>
  <c r="CD23" i="27" a="1"/>
  <c r="CD23" i="27" s="1"/>
  <c r="CQ23" i="27" a="1"/>
  <c r="CQ23" i="27" s="1"/>
  <c r="CP23" i="27" a="1"/>
  <c r="CP23" i="27" s="1"/>
  <c r="CC23" i="27" a="1"/>
  <c r="CC23" i="27" s="1"/>
  <c r="CT23" i="27" a="1"/>
  <c r="CT23" i="27" s="1"/>
  <c r="CG23" i="27" a="1"/>
  <c r="CG23" i="27" s="1"/>
  <c r="CJ23" i="27" a="1"/>
  <c r="CJ23" i="27" s="1"/>
  <c r="CA23" i="27" a="1"/>
  <c r="CA23" i="27" s="1"/>
  <c r="CL23" i="27" a="1"/>
  <c r="CL23" i="27" s="1"/>
  <c r="CV23" i="27" a="1"/>
  <c r="CV23" i="27" s="1"/>
  <c r="BY23" i="27" a="1"/>
  <c r="BY23" i="27" s="1"/>
  <c r="CB114" i="27" a="1"/>
  <c r="CB114" i="27" s="1"/>
  <c r="CJ114" i="27" a="1"/>
  <c r="CJ114" i="27" s="1"/>
  <c r="CR114" i="27" a="1"/>
  <c r="CR114" i="27" s="1"/>
  <c r="CD114" i="27" a="1"/>
  <c r="CD114" i="27" s="1"/>
  <c r="CL114" i="27" a="1"/>
  <c r="CL114" i="27" s="1"/>
  <c r="CT114" i="27" a="1"/>
  <c r="CT114" i="27" s="1"/>
  <c r="CF114" i="27" a="1"/>
  <c r="CF114" i="27" s="1"/>
  <c r="CN114" i="27" a="1"/>
  <c r="CN114" i="27" s="1"/>
  <c r="CV114" i="27" a="1"/>
  <c r="CV114" i="27" s="1"/>
  <c r="CG114" i="27" a="1"/>
  <c r="CG114" i="27" s="1"/>
  <c r="CO114" i="27" a="1"/>
  <c r="CO114" i="27" s="1"/>
  <c r="CA114" i="27" a="1"/>
  <c r="CA114" i="27" s="1"/>
  <c r="CI114" i="27" a="1"/>
  <c r="CI114" i="27" s="1"/>
  <c r="CQ114" i="27" a="1"/>
  <c r="CQ114" i="27" s="1"/>
  <c r="CE114" i="27" a="1"/>
  <c r="CE114" i="27" s="1"/>
  <c r="CH114" i="27" a="1"/>
  <c r="CH114" i="27" s="1"/>
  <c r="CK114" i="27" a="1"/>
  <c r="CK114" i="27" s="1"/>
  <c r="CM114" i="27" a="1"/>
  <c r="CM114" i="27" s="1"/>
  <c r="CP114" i="27" a="1"/>
  <c r="CP114" i="27" s="1"/>
  <c r="CS114" i="27" a="1"/>
  <c r="CS114" i="27" s="1"/>
  <c r="CC114" i="27" a="1"/>
  <c r="CC114" i="27" s="1"/>
  <c r="BZ114" i="27" a="1"/>
  <c r="BZ114" i="27" s="1"/>
  <c r="CU114" i="27" a="1"/>
  <c r="CU114" i="27" s="1"/>
  <c r="BY114" i="27" a="1"/>
  <c r="BY114" i="27" s="1"/>
  <c r="CB8" i="27" a="1"/>
  <c r="CB8" i="27" s="1"/>
  <c r="CJ8" i="27" a="1"/>
  <c r="CJ8" i="27" s="1"/>
  <c r="CR8" i="27" a="1"/>
  <c r="CR8" i="27" s="1"/>
  <c r="CD8" i="27" a="1"/>
  <c r="CD8" i="27" s="1"/>
  <c r="CL8" i="27" a="1"/>
  <c r="CL8" i="27" s="1"/>
  <c r="CT8" i="27" a="1"/>
  <c r="CT8" i="27" s="1"/>
  <c r="CF8" i="27" a="1"/>
  <c r="CF8" i="27" s="1"/>
  <c r="CN8" i="27" a="1"/>
  <c r="CN8" i="27" s="1"/>
  <c r="CV8" i="27" a="1"/>
  <c r="CV8" i="27" s="1"/>
  <c r="CG8" i="27" a="1"/>
  <c r="CG8" i="27" s="1"/>
  <c r="CO8" i="27" a="1"/>
  <c r="CO8" i="27" s="1"/>
  <c r="CA8" i="27" a="1"/>
  <c r="CA8" i="27" s="1"/>
  <c r="CI8" i="27" a="1"/>
  <c r="CI8" i="27" s="1"/>
  <c r="CQ8" i="27" a="1"/>
  <c r="CQ8" i="27" s="1"/>
  <c r="BZ8" i="27" a="1"/>
  <c r="BZ8" i="27" s="1"/>
  <c r="CU8" i="27" a="1"/>
  <c r="CU8" i="27" s="1"/>
  <c r="CE8" i="27" a="1"/>
  <c r="CE8" i="27" s="1"/>
  <c r="CK8" i="27" a="1"/>
  <c r="CK8" i="27" s="1"/>
  <c r="CM8" i="27" a="1"/>
  <c r="CM8" i="27" s="1"/>
  <c r="CS8" i="27" a="1"/>
  <c r="CS8" i="27" s="1"/>
  <c r="CC8" i="27" a="1"/>
  <c r="CC8" i="27" s="1"/>
  <c r="CP8" i="27" a="1"/>
  <c r="CP8" i="27" s="1"/>
  <c r="CH8" i="27" a="1"/>
  <c r="CH8" i="27" s="1"/>
  <c r="BY8" i="27" a="1"/>
  <c r="BY8" i="27" s="1"/>
  <c r="BZ58" i="27" a="1"/>
  <c r="BZ58" i="27" s="1"/>
  <c r="CE58" i="27" a="1"/>
  <c r="CE58" i="27" s="1"/>
  <c r="CJ58" i="27" a="1"/>
  <c r="CJ58" i="27" s="1"/>
  <c r="CU58" i="27" a="1"/>
  <c r="CU58" i="27" s="1"/>
  <c r="CA58" i="27" a="1"/>
  <c r="CA58" i="27" s="1"/>
  <c r="CL58" i="27" a="1"/>
  <c r="CL58" i="27" s="1"/>
  <c r="CB58" i="27" a="1"/>
  <c r="CB58" i="27" s="1"/>
  <c r="CM58" i="27" a="1"/>
  <c r="CM58" i="27" s="1"/>
  <c r="CR58" i="27" a="1"/>
  <c r="CR58" i="27" s="1"/>
  <c r="CC58" i="27" a="1"/>
  <c r="CC58" i="27" s="1"/>
  <c r="CH58" i="27" a="1"/>
  <c r="CH58" i="27" s="1"/>
  <c r="CN58" i="27" a="1"/>
  <c r="CN58" i="27" s="1"/>
  <c r="CS58" i="27" a="1"/>
  <c r="CS58" i="27" s="1"/>
  <c r="CI58" i="27" a="1"/>
  <c r="CI58" i="27" s="1"/>
  <c r="CO58" i="27" a="1"/>
  <c r="CO58" i="27" s="1"/>
  <c r="CP58" i="27" a="1"/>
  <c r="CP58" i="27" s="1"/>
  <c r="CF58" i="27" a="1"/>
  <c r="CF58" i="27" s="1"/>
  <c r="CT58" i="27" a="1"/>
  <c r="CT58" i="27" s="1"/>
  <c r="CG58" i="27" a="1"/>
  <c r="CG58" i="27" s="1"/>
  <c r="CV58" i="27" a="1"/>
  <c r="CV58" i="27" s="1"/>
  <c r="CK58" i="27" a="1"/>
  <c r="CK58" i="27" s="1"/>
  <c r="CQ58" i="27" a="1"/>
  <c r="CQ58" i="27" s="1"/>
  <c r="CD58" i="27" a="1"/>
  <c r="CD58" i="27" s="1"/>
  <c r="BY58" i="27" a="1"/>
  <c r="BY58" i="27" s="1"/>
  <c r="CF118" i="27" a="1"/>
  <c r="CF118" i="27" s="1"/>
  <c r="CN118" i="27" a="1"/>
  <c r="CN118" i="27" s="1"/>
  <c r="CV118" i="27" a="1"/>
  <c r="CV118" i="27" s="1"/>
  <c r="BZ118" i="27" a="1"/>
  <c r="BZ118" i="27" s="1"/>
  <c r="CH118" i="27" a="1"/>
  <c r="CH118" i="27" s="1"/>
  <c r="CP118" i="27" a="1"/>
  <c r="CP118" i="27" s="1"/>
  <c r="CB118" i="27" a="1"/>
  <c r="CB118" i="27" s="1"/>
  <c r="CJ118" i="27" a="1"/>
  <c r="CJ118" i="27" s="1"/>
  <c r="CR118" i="27" a="1"/>
  <c r="CR118" i="27" s="1"/>
  <c r="CC118" i="27" a="1"/>
  <c r="CC118" i="27" s="1"/>
  <c r="CK118" i="27" a="1"/>
  <c r="CK118" i="27" s="1"/>
  <c r="CS118" i="27" a="1"/>
  <c r="CS118" i="27" s="1"/>
  <c r="CE118" i="27" a="1"/>
  <c r="CE118" i="27" s="1"/>
  <c r="CM118" i="27" a="1"/>
  <c r="CM118" i="27" s="1"/>
  <c r="CU118" i="27" a="1"/>
  <c r="CU118" i="27" s="1"/>
  <c r="CT118" i="27" a="1"/>
  <c r="CT118" i="27" s="1"/>
  <c r="CA118" i="27" a="1"/>
  <c r="CA118" i="27" s="1"/>
  <c r="CD118" i="27" a="1"/>
  <c r="CD118" i="27" s="1"/>
  <c r="CG118" i="27" a="1"/>
  <c r="CG118" i="27" s="1"/>
  <c r="CI118" i="27" a="1"/>
  <c r="CI118" i="27" s="1"/>
  <c r="CL118" i="27" a="1"/>
  <c r="CL118" i="27" s="1"/>
  <c r="CQ118" i="27" a="1"/>
  <c r="CQ118" i="27" s="1"/>
  <c r="CO118" i="27" a="1"/>
  <c r="CO118" i="27" s="1"/>
  <c r="BY118" i="27" a="1"/>
  <c r="BY118" i="27" s="1"/>
  <c r="CE117" i="27" a="1"/>
  <c r="CE117" i="27" s="1"/>
  <c r="CM117" i="27" a="1"/>
  <c r="CM117" i="27" s="1"/>
  <c r="CU117" i="27" a="1"/>
  <c r="CU117" i="27" s="1"/>
  <c r="CG117" i="27" a="1"/>
  <c r="CG117" i="27" s="1"/>
  <c r="CO117" i="27" a="1"/>
  <c r="CO117" i="27" s="1"/>
  <c r="CA117" i="27" a="1"/>
  <c r="CA117" i="27" s="1"/>
  <c r="CI117" i="27" a="1"/>
  <c r="CI117" i="27" s="1"/>
  <c r="CQ117" i="27" a="1"/>
  <c r="CQ117" i="27" s="1"/>
  <c r="CB117" i="27" a="1"/>
  <c r="CB117" i="27" s="1"/>
  <c r="CJ117" i="27" a="1"/>
  <c r="CJ117" i="27" s="1"/>
  <c r="CR117" i="27" a="1"/>
  <c r="CR117" i="27" s="1"/>
  <c r="CD117" i="27" a="1"/>
  <c r="CD117" i="27" s="1"/>
  <c r="CL117" i="27" a="1"/>
  <c r="CL117" i="27" s="1"/>
  <c r="CT117" i="27" a="1"/>
  <c r="CT117" i="27" s="1"/>
  <c r="BZ117" i="27" a="1"/>
  <c r="BZ117" i="27" s="1"/>
  <c r="CV117" i="27" a="1"/>
  <c r="CV117" i="27" s="1"/>
  <c r="CC117" i="27" a="1"/>
  <c r="CC117" i="27" s="1"/>
  <c r="CF117" i="27" a="1"/>
  <c r="CF117" i="27" s="1"/>
  <c r="CH117" i="27" a="1"/>
  <c r="CH117" i="27" s="1"/>
  <c r="CK117" i="27" a="1"/>
  <c r="CK117" i="27" s="1"/>
  <c r="CN117" i="27" a="1"/>
  <c r="CN117" i="27" s="1"/>
  <c r="CS117" i="27" a="1"/>
  <c r="CS117" i="27" s="1"/>
  <c r="CP117" i="27" a="1"/>
  <c r="CP117" i="27" s="1"/>
  <c r="BY117" i="27" a="1"/>
  <c r="BY117" i="27" s="1"/>
  <c r="CB38" i="27" a="1"/>
  <c r="CB38" i="27" s="1"/>
  <c r="CH38" i="27" a="1"/>
  <c r="CH38" i="27" s="1"/>
  <c r="CO38" i="27" a="1"/>
  <c r="CO38" i="27" s="1"/>
  <c r="CT38" i="27" a="1"/>
  <c r="CT38" i="27" s="1"/>
  <c r="CD38" i="27" a="1"/>
  <c r="CD38" i="27" s="1"/>
  <c r="CI38" i="27" a="1"/>
  <c r="CI38" i="27" s="1"/>
  <c r="CV38" i="27" a="1"/>
  <c r="CV38" i="27" s="1"/>
  <c r="CK38" i="27" a="1"/>
  <c r="CK38" i="27" s="1"/>
  <c r="CF38" i="27" a="1"/>
  <c r="CF38" i="27" s="1"/>
  <c r="CL38" i="27" a="1"/>
  <c r="CL38" i="27" s="1"/>
  <c r="CR38" i="27" a="1"/>
  <c r="CR38" i="27" s="1"/>
  <c r="CA38" i="27" a="1"/>
  <c r="CA38" i="27" s="1"/>
  <c r="CN38" i="27" a="1"/>
  <c r="CN38" i="27" s="1"/>
  <c r="CG38" i="27" a="1"/>
  <c r="CG38" i="27" s="1"/>
  <c r="CJ38" i="27" a="1"/>
  <c r="CJ38" i="27" s="1"/>
  <c r="CP38" i="27" a="1"/>
  <c r="CP38" i="27" s="1"/>
  <c r="BZ38" i="27" a="1"/>
  <c r="BZ38" i="27" s="1"/>
  <c r="CQ38" i="27" a="1"/>
  <c r="CQ38" i="27" s="1"/>
  <c r="CE38" i="27" a="1"/>
  <c r="CE38" i="27" s="1"/>
  <c r="CU38" i="27" a="1"/>
  <c r="CU38" i="27" s="1"/>
  <c r="CC38" i="27" a="1"/>
  <c r="CC38" i="27" s="1"/>
  <c r="CM38" i="27" a="1"/>
  <c r="CM38" i="27" s="1"/>
  <c r="CS38" i="27" a="1"/>
  <c r="CS38" i="27" s="1"/>
  <c r="BY38" i="27" a="1"/>
  <c r="BY38" i="27" s="1"/>
  <c r="BZ126" i="27" a="1"/>
  <c r="BZ126" i="27" s="1"/>
  <c r="CH126" i="27" a="1"/>
  <c r="CH126" i="27" s="1"/>
  <c r="CP126" i="27" a="1"/>
  <c r="CP126" i="27" s="1"/>
  <c r="CB126" i="27" a="1"/>
  <c r="CB126" i="27" s="1"/>
  <c r="CJ126" i="27" a="1"/>
  <c r="CJ126" i="27" s="1"/>
  <c r="CR126" i="27" a="1"/>
  <c r="CR126" i="27" s="1"/>
  <c r="CC126" i="27" a="1"/>
  <c r="CC126" i="27" s="1"/>
  <c r="CK126" i="27" a="1"/>
  <c r="CK126" i="27" s="1"/>
  <c r="CS126" i="27" a="1"/>
  <c r="CS126" i="27" s="1"/>
  <c r="CE126" i="27" a="1"/>
  <c r="CE126" i="27" s="1"/>
  <c r="CM126" i="27" a="1"/>
  <c r="CM126" i="27" s="1"/>
  <c r="CU126" i="27" a="1"/>
  <c r="CU126" i="27" s="1"/>
  <c r="CL126" i="27" a="1"/>
  <c r="CL126" i="27" s="1"/>
  <c r="CN126" i="27" a="1"/>
  <c r="CN126" i="27" s="1"/>
  <c r="CO126" i="27" a="1"/>
  <c r="CO126" i="27" s="1"/>
  <c r="CA126" i="27" a="1"/>
  <c r="CA126" i="27" s="1"/>
  <c r="CQ126" i="27" a="1"/>
  <c r="CQ126" i="27" s="1"/>
  <c r="CD126" i="27" a="1"/>
  <c r="CD126" i="27" s="1"/>
  <c r="CT126" i="27" a="1"/>
  <c r="CT126" i="27" s="1"/>
  <c r="CF126" i="27" a="1"/>
  <c r="CF126" i="27" s="1"/>
  <c r="CV126" i="27" a="1"/>
  <c r="CV126" i="27" s="1"/>
  <c r="CI126" i="27" a="1"/>
  <c r="CI126" i="27" s="1"/>
  <c r="CG126" i="27" a="1"/>
  <c r="CG126" i="27" s="1"/>
  <c r="BY126" i="27" a="1"/>
  <c r="BY126" i="27" s="1"/>
  <c r="CE77" i="27" a="1"/>
  <c r="CE77" i="27" s="1"/>
  <c r="CK77" i="27" a="1"/>
  <c r="CK77" i="27" s="1"/>
  <c r="BZ77" i="27" a="1"/>
  <c r="BZ77" i="27" s="1"/>
  <c r="CM77" i="27" a="1"/>
  <c r="CM77" i="27" s="1"/>
  <c r="CB77" i="27" a="1"/>
  <c r="CB77" i="27" s="1"/>
  <c r="CH77" i="27" a="1"/>
  <c r="CH77" i="27" s="1"/>
  <c r="CO77" i="27" a="1"/>
  <c r="CO77" i="27" s="1"/>
  <c r="CT77" i="27" a="1"/>
  <c r="CT77" i="27" s="1"/>
  <c r="CC77" i="27" a="1"/>
  <c r="CC77" i="27" s="1"/>
  <c r="CI77" i="27" a="1"/>
  <c r="CI77" i="27" s="1"/>
  <c r="CU77" i="27" a="1"/>
  <c r="CU77" i="27" s="1"/>
  <c r="CD77" i="27" a="1"/>
  <c r="CD77" i="27" s="1"/>
  <c r="CJ77" i="27" a="1"/>
  <c r="CJ77" i="27" s="1"/>
  <c r="CQ77" i="27" a="1"/>
  <c r="CQ77" i="27" s="1"/>
  <c r="CP77" i="27" a="1"/>
  <c r="CP77" i="27" s="1"/>
  <c r="CA77" i="27" a="1"/>
  <c r="CA77" i="27" s="1"/>
  <c r="CR77" i="27" a="1"/>
  <c r="CR77" i="27" s="1"/>
  <c r="CS77" i="27" a="1"/>
  <c r="CS77" i="27" s="1"/>
  <c r="CF77" i="27" a="1"/>
  <c r="CF77" i="27" s="1"/>
  <c r="CV77" i="27" a="1"/>
  <c r="CV77" i="27" s="1"/>
  <c r="CG77" i="27" a="1"/>
  <c r="CG77" i="27" s="1"/>
  <c r="CN77" i="27" a="1"/>
  <c r="CN77" i="27" s="1"/>
  <c r="CL77" i="27" a="1"/>
  <c r="CL77" i="27" s="1"/>
  <c r="BY77" i="27" a="1"/>
  <c r="BY77" i="27" s="1"/>
  <c r="CB85" i="27" a="1"/>
  <c r="CB85" i="27" s="1"/>
  <c r="CG85" i="27" a="1"/>
  <c r="CG85" i="27" s="1"/>
  <c r="CL85" i="27" a="1"/>
  <c r="CL85" i="27" s="1"/>
  <c r="CR85" i="27" a="1"/>
  <c r="CR85" i="27" s="1"/>
  <c r="CC85" i="27" a="1"/>
  <c r="CC85" i="27" s="1"/>
  <c r="CI85" i="27" a="1"/>
  <c r="CI85" i="27" s="1"/>
  <c r="CN85" i="27" a="1"/>
  <c r="CN85" i="27" s="1"/>
  <c r="CD85" i="27" a="1"/>
  <c r="CD85" i="27" s="1"/>
  <c r="CJ85" i="27" a="1"/>
  <c r="CJ85" i="27" s="1"/>
  <c r="CO85" i="27" a="1"/>
  <c r="CO85" i="27" s="1"/>
  <c r="CU85" i="27" a="1"/>
  <c r="CU85" i="27" s="1"/>
  <c r="CE85" i="27" a="1"/>
  <c r="CE85" i="27" s="1"/>
  <c r="CP85" i="27" a="1"/>
  <c r="CP85" i="27" s="1"/>
  <c r="CV85" i="27" a="1"/>
  <c r="CV85" i="27" s="1"/>
  <c r="CA85" i="27" a="1"/>
  <c r="CA85" i="27" s="1"/>
  <c r="CF85" i="27" a="1"/>
  <c r="CF85" i="27" s="1"/>
  <c r="CH85" i="27" a="1"/>
  <c r="CH85" i="27" s="1"/>
  <c r="CT85" i="27" a="1"/>
  <c r="CT85" i="27" s="1"/>
  <c r="CK85" i="27" a="1"/>
  <c r="CK85" i="27" s="1"/>
  <c r="CM85" i="27" a="1"/>
  <c r="CM85" i="27" s="1"/>
  <c r="BZ85" i="27" a="1"/>
  <c r="BZ85" i="27" s="1"/>
  <c r="CQ85" i="27" a="1"/>
  <c r="CQ85" i="27" s="1"/>
  <c r="CS85" i="27" a="1"/>
  <c r="CS85" i="27" s="1"/>
  <c r="BY85" i="27" a="1"/>
  <c r="BY85" i="27" s="1"/>
  <c r="CG98" i="27" a="1"/>
  <c r="CG98" i="27" s="1"/>
  <c r="CM98" i="27" a="1"/>
  <c r="CM98" i="27" s="1"/>
  <c r="CA98" i="27" a="1"/>
  <c r="CA98" i="27" s="1"/>
  <c r="CH98" i="27" a="1"/>
  <c r="CH98" i="27" s="1"/>
  <c r="CN98" i="27" a="1"/>
  <c r="CN98" i="27" s="1"/>
  <c r="CT98" i="27" a="1"/>
  <c r="CT98" i="27" s="1"/>
  <c r="CB98" i="27" a="1"/>
  <c r="CB98" i="27" s="1"/>
  <c r="CU98" i="27" a="1"/>
  <c r="CU98" i="27" s="1"/>
  <c r="CC98" i="27" a="1"/>
  <c r="CC98" i="27" s="1"/>
  <c r="CI98" i="27" a="1"/>
  <c r="CI98" i="27" s="1"/>
  <c r="CO98" i="27" a="1"/>
  <c r="CO98" i="27" s="1"/>
  <c r="CV98" i="27" a="1"/>
  <c r="CV98" i="27" s="1"/>
  <c r="CJ98" i="27" a="1"/>
  <c r="CJ98" i="27" s="1"/>
  <c r="CP98" i="27" a="1"/>
  <c r="CP98" i="27" s="1"/>
  <c r="CD98" i="27" a="1"/>
  <c r="CD98" i="27" s="1"/>
  <c r="CK98" i="27" a="1"/>
  <c r="CK98" i="27" s="1"/>
  <c r="CQ98" i="27" a="1"/>
  <c r="CQ98" i="27" s="1"/>
  <c r="BZ98" i="27" a="1"/>
  <c r="BZ98" i="27" s="1"/>
  <c r="CF98" i="27" a="1"/>
  <c r="CF98" i="27" s="1"/>
  <c r="CL98" i="27" a="1"/>
  <c r="CL98" i="27" s="1"/>
  <c r="CS98" i="27" a="1"/>
  <c r="CS98" i="27" s="1"/>
  <c r="CE98" i="27" a="1"/>
  <c r="CE98" i="27" s="1"/>
  <c r="CR98" i="27" a="1"/>
  <c r="CR98" i="27" s="1"/>
  <c r="BY98" i="27" a="1"/>
  <c r="BY98" i="27" s="1"/>
  <c r="CA66" i="27" a="1"/>
  <c r="CA66" i="27" s="1"/>
  <c r="CH66" i="27" a="1"/>
  <c r="CH66" i="27" s="1"/>
  <c r="CU66" i="27" a="1"/>
  <c r="CU66" i="27" s="1"/>
  <c r="CC66" i="27" a="1"/>
  <c r="CC66" i="27" s="1"/>
  <c r="CI66" i="27" a="1"/>
  <c r="CI66" i="27" s="1"/>
  <c r="CE66" i="27" a="1"/>
  <c r="CE66" i="27" s="1"/>
  <c r="CK66" i="27" a="1"/>
  <c r="CK66" i="27" s="1"/>
  <c r="CQ66" i="27" a="1"/>
  <c r="CQ66" i="27" s="1"/>
  <c r="CF66" i="27" a="1"/>
  <c r="CF66" i="27" s="1"/>
  <c r="CL66" i="27" a="1"/>
  <c r="CL66" i="27" s="1"/>
  <c r="CR66" i="27" a="1"/>
  <c r="CR66" i="27" s="1"/>
  <c r="CG66" i="27" a="1"/>
  <c r="CG66" i="27" s="1"/>
  <c r="CN66" i="27" a="1"/>
  <c r="CN66" i="27" s="1"/>
  <c r="CT66" i="27" a="1"/>
  <c r="CT66" i="27" s="1"/>
  <c r="CD66" i="27" a="1"/>
  <c r="CD66" i="27" s="1"/>
  <c r="CV66" i="27" a="1"/>
  <c r="CV66" i="27" s="1"/>
  <c r="CM66" i="27" a="1"/>
  <c r="CM66" i="27" s="1"/>
  <c r="CO66" i="27" a="1"/>
  <c r="CO66" i="27" s="1"/>
  <c r="CB66" i="27" a="1"/>
  <c r="CB66" i="27" s="1"/>
  <c r="CS66" i="27" a="1"/>
  <c r="CS66" i="27" s="1"/>
  <c r="CP66" i="27" a="1"/>
  <c r="CP66" i="27" s="1"/>
  <c r="BZ66" i="27" a="1"/>
  <c r="BZ66" i="27" s="1"/>
  <c r="CJ66" i="27" a="1"/>
  <c r="CJ66" i="27" s="1"/>
  <c r="BY66" i="27" a="1"/>
  <c r="BY66" i="27" s="1"/>
  <c r="CD116" i="27" a="1"/>
  <c r="CD116" i="27" s="1"/>
  <c r="CL116" i="27" a="1"/>
  <c r="CL116" i="27" s="1"/>
  <c r="CT116" i="27" a="1"/>
  <c r="CT116" i="27" s="1"/>
  <c r="CF116" i="27" a="1"/>
  <c r="CF116" i="27" s="1"/>
  <c r="CN116" i="27" a="1"/>
  <c r="CN116" i="27" s="1"/>
  <c r="CV116" i="27" a="1"/>
  <c r="CV116" i="27" s="1"/>
  <c r="BZ116" i="27" a="1"/>
  <c r="BZ116" i="27" s="1"/>
  <c r="CH116" i="27" a="1"/>
  <c r="CH116" i="27" s="1"/>
  <c r="CP116" i="27" a="1"/>
  <c r="CP116" i="27" s="1"/>
  <c r="CA116" i="27" a="1"/>
  <c r="CA116" i="27" s="1"/>
  <c r="CI116" i="27" a="1"/>
  <c r="CI116" i="27" s="1"/>
  <c r="CQ116" i="27" a="1"/>
  <c r="CQ116" i="27" s="1"/>
  <c r="CC116" i="27" a="1"/>
  <c r="CC116" i="27" s="1"/>
  <c r="CK116" i="27" a="1"/>
  <c r="CK116" i="27" s="1"/>
  <c r="CS116" i="27" a="1"/>
  <c r="CS116" i="27" s="1"/>
  <c r="CB116" i="27" a="1"/>
  <c r="CB116" i="27" s="1"/>
  <c r="CE116" i="27" a="1"/>
  <c r="CE116" i="27" s="1"/>
  <c r="CG116" i="27" a="1"/>
  <c r="CG116" i="27" s="1"/>
  <c r="CJ116" i="27" a="1"/>
  <c r="CJ116" i="27" s="1"/>
  <c r="CM116" i="27" a="1"/>
  <c r="CM116" i="27" s="1"/>
  <c r="CO116" i="27" a="1"/>
  <c r="CO116" i="27" s="1"/>
  <c r="CU116" i="27" a="1"/>
  <c r="CU116" i="27" s="1"/>
  <c r="CR116" i="27" a="1"/>
  <c r="CR116" i="27" s="1"/>
  <c r="BY116" i="27" a="1"/>
  <c r="BY116" i="27" s="1"/>
  <c r="CA53" i="27" a="1"/>
  <c r="CA53" i="27" s="1"/>
  <c r="CG53" i="27" a="1"/>
  <c r="CG53" i="27" s="1"/>
  <c r="CQ53" i="27" a="1"/>
  <c r="CQ53" i="27" s="1"/>
  <c r="CC53" i="27" a="1"/>
  <c r="CC53" i="27" s="1"/>
  <c r="CH53" i="27" a="1"/>
  <c r="CH53" i="27" s="1"/>
  <c r="CN53" i="27" a="1"/>
  <c r="CN53" i="27" s="1"/>
  <c r="CS53" i="27" a="1"/>
  <c r="CS53" i="27" s="1"/>
  <c r="CD53" i="27" a="1"/>
  <c r="CD53" i="27" s="1"/>
  <c r="CI53" i="27" a="1"/>
  <c r="CI53" i="27" s="1"/>
  <c r="CO53" i="27" a="1"/>
  <c r="CO53" i="27" s="1"/>
  <c r="CU53" i="27" a="1"/>
  <c r="CU53" i="27" s="1"/>
  <c r="CE53" i="27" a="1"/>
  <c r="CE53" i="27" s="1"/>
  <c r="CJ53" i="27" a="1"/>
  <c r="CJ53" i="27" s="1"/>
  <c r="CV53" i="27" a="1"/>
  <c r="CV53" i="27" s="1"/>
  <c r="CL53" i="27" a="1"/>
  <c r="CL53" i="27" s="1"/>
  <c r="CK53" i="27" a="1"/>
  <c r="CK53" i="27" s="1"/>
  <c r="BZ53" i="27" a="1"/>
  <c r="BZ53" i="27" s="1"/>
  <c r="CB53" i="27" a="1"/>
  <c r="CB53" i="27" s="1"/>
  <c r="CP53" i="27" a="1"/>
  <c r="CP53" i="27" s="1"/>
  <c r="CF53" i="27" a="1"/>
  <c r="CF53" i="27" s="1"/>
  <c r="CT53" i="27" a="1"/>
  <c r="CT53" i="27" s="1"/>
  <c r="CM53" i="27" a="1"/>
  <c r="CM53" i="27" s="1"/>
  <c r="CR53" i="27" a="1"/>
  <c r="CR53" i="27" s="1"/>
  <c r="BY53" i="27" a="1"/>
  <c r="BY53" i="27" s="1"/>
  <c r="BZ120" i="27" a="1"/>
  <c r="BZ120" i="27" s="1"/>
  <c r="CH120" i="27" a="1"/>
  <c r="CH120" i="27" s="1"/>
  <c r="CP120" i="27" a="1"/>
  <c r="CP120" i="27" s="1"/>
  <c r="CB120" i="27" a="1"/>
  <c r="CB120" i="27" s="1"/>
  <c r="CJ120" i="27" a="1"/>
  <c r="CJ120" i="27" s="1"/>
  <c r="CR120" i="27" a="1"/>
  <c r="CR120" i="27" s="1"/>
  <c r="CD120" i="27" a="1"/>
  <c r="CD120" i="27" s="1"/>
  <c r="CL120" i="27" a="1"/>
  <c r="CL120" i="27" s="1"/>
  <c r="CT120" i="27" a="1"/>
  <c r="CT120" i="27" s="1"/>
  <c r="CE120" i="27" a="1"/>
  <c r="CE120" i="27" s="1"/>
  <c r="CM120" i="27" a="1"/>
  <c r="CM120" i="27" s="1"/>
  <c r="CU120" i="27" a="1"/>
  <c r="CU120" i="27" s="1"/>
  <c r="CG120" i="27" a="1"/>
  <c r="CG120" i="27" s="1"/>
  <c r="CO120" i="27" a="1"/>
  <c r="CO120" i="27" s="1"/>
  <c r="CQ120" i="27" a="1"/>
  <c r="CQ120" i="27" s="1"/>
  <c r="CS120" i="27" a="1"/>
  <c r="CS120" i="27" s="1"/>
  <c r="CA120" i="27" a="1"/>
  <c r="CA120" i="27" s="1"/>
  <c r="CV120" i="27" a="1"/>
  <c r="CV120" i="27" s="1"/>
  <c r="CC120" i="27" a="1"/>
  <c r="CC120" i="27" s="1"/>
  <c r="CF120" i="27" a="1"/>
  <c r="CF120" i="27" s="1"/>
  <c r="CI120" i="27" a="1"/>
  <c r="CI120" i="27" s="1"/>
  <c r="CN120" i="27" a="1"/>
  <c r="CN120" i="27" s="1"/>
  <c r="CK120" i="27" a="1"/>
  <c r="CK120" i="27" s="1"/>
  <c r="BY120" i="27" a="1"/>
  <c r="BY120" i="27" s="1"/>
  <c r="CC9" i="27" a="1"/>
  <c r="CC9" i="27" s="1"/>
  <c r="CK9" i="27" a="1"/>
  <c r="CK9" i="27" s="1"/>
  <c r="CS9" i="27" a="1"/>
  <c r="CS9" i="27" s="1"/>
  <c r="CE9" i="27" a="1"/>
  <c r="CE9" i="27" s="1"/>
  <c r="CM9" i="27" a="1"/>
  <c r="CM9" i="27" s="1"/>
  <c r="CU9" i="27" a="1"/>
  <c r="CU9" i="27" s="1"/>
  <c r="CG9" i="27" a="1"/>
  <c r="CG9" i="27" s="1"/>
  <c r="CO9" i="27" a="1"/>
  <c r="CO9" i="27" s="1"/>
  <c r="BZ9" i="27" a="1"/>
  <c r="BZ9" i="27" s="1"/>
  <c r="CH9" i="27" a="1"/>
  <c r="CH9" i="27" s="1"/>
  <c r="CP9" i="27" a="1"/>
  <c r="CP9" i="27" s="1"/>
  <c r="CB9" i="27" a="1"/>
  <c r="CB9" i="27" s="1"/>
  <c r="CJ9" i="27" a="1"/>
  <c r="CJ9" i="27" s="1"/>
  <c r="CR9" i="27" a="1"/>
  <c r="CR9" i="27" s="1"/>
  <c r="CT9" i="27" a="1"/>
  <c r="CT9" i="27" s="1"/>
  <c r="CD9" i="27" a="1"/>
  <c r="CD9" i="27" s="1"/>
  <c r="CI9" i="27" a="1"/>
  <c r="CI9" i="27" s="1"/>
  <c r="CL9" i="27" a="1"/>
  <c r="CL9" i="27" s="1"/>
  <c r="CQ9" i="27" a="1"/>
  <c r="CQ9" i="27" s="1"/>
  <c r="CA9" i="27" a="1"/>
  <c r="CA9" i="27" s="1"/>
  <c r="CN9" i="27" a="1"/>
  <c r="CN9" i="27" s="1"/>
  <c r="CF9" i="27" a="1"/>
  <c r="CF9" i="27" s="1"/>
  <c r="CV9" i="27" a="1"/>
  <c r="CV9" i="27" s="1"/>
  <c r="BY9" i="27" a="1"/>
  <c r="BY9" i="27" s="1"/>
  <c r="CD21" i="27" a="1"/>
  <c r="CD21" i="27" s="1"/>
  <c r="CJ21" i="27" a="1"/>
  <c r="CJ21" i="27" s="1"/>
  <c r="CP21" i="27" a="1"/>
  <c r="CP21" i="27" s="1"/>
  <c r="CV21" i="27" a="1"/>
  <c r="CV21" i="27" s="1"/>
  <c r="BZ21" i="27" a="1"/>
  <c r="BZ21" i="27" s="1"/>
  <c r="CF21" i="27" a="1"/>
  <c r="CF21" i="27" s="1"/>
  <c r="CQ21" i="27" a="1"/>
  <c r="CQ21" i="27" s="1"/>
  <c r="CA21" i="27" a="1"/>
  <c r="CA21" i="27" s="1"/>
  <c r="CS21" i="27" a="1"/>
  <c r="CS21" i="27" s="1"/>
  <c r="CB21" i="27" a="1"/>
  <c r="CB21" i="27" s="1"/>
  <c r="CH21" i="27" a="1"/>
  <c r="CH21" i="27" s="1"/>
  <c r="CM21" i="27" a="1"/>
  <c r="CM21" i="27" s="1"/>
  <c r="CI21" i="27" a="1"/>
  <c r="CI21" i="27" s="1"/>
  <c r="CO21" i="27" a="1"/>
  <c r="CO21" i="27" s="1"/>
  <c r="CU21" i="27" a="1"/>
  <c r="CU21" i="27" s="1"/>
  <c r="CN21" i="27" a="1"/>
  <c r="CN21" i="27" s="1"/>
  <c r="CC21" i="27" a="1"/>
  <c r="CC21" i="27" s="1"/>
  <c r="CR21" i="27" a="1"/>
  <c r="CR21" i="27" s="1"/>
  <c r="CG21" i="27" a="1"/>
  <c r="CG21" i="27" s="1"/>
  <c r="CL21" i="27" a="1"/>
  <c r="CL21" i="27" s="1"/>
  <c r="CE21" i="27" a="1"/>
  <c r="CE21" i="27" s="1"/>
  <c r="CT21" i="27" a="1"/>
  <c r="CT21" i="27" s="1"/>
  <c r="CK21" i="27" a="1"/>
  <c r="CK21" i="27" s="1"/>
  <c r="BY21" i="27" a="1"/>
  <c r="BY21" i="27" s="1"/>
  <c r="CD61" i="27" a="1"/>
  <c r="CD61" i="27" s="1"/>
  <c r="CQ61" i="27" a="1"/>
  <c r="CQ61" i="27" s="1"/>
  <c r="BZ61" i="27" a="1"/>
  <c r="BZ61" i="27" s="1"/>
  <c r="CF61" i="27" a="1"/>
  <c r="CF61" i="27" s="1"/>
  <c r="CH61" i="27" a="1"/>
  <c r="CH61" i="27" s="1"/>
  <c r="CM61" i="27" a="1"/>
  <c r="CM61" i="27" s="1"/>
  <c r="CB61" i="27" a="1"/>
  <c r="CB61" i="27" s="1"/>
  <c r="CI61" i="27" a="1"/>
  <c r="CI61" i="27" s="1"/>
  <c r="CN61" i="27" a="1"/>
  <c r="CN61" i="27" s="1"/>
  <c r="CT61" i="27" a="1"/>
  <c r="CT61" i="27" s="1"/>
  <c r="CC61" i="27" a="1"/>
  <c r="CC61" i="27" s="1"/>
  <c r="CJ61" i="27" a="1"/>
  <c r="CJ61" i="27" s="1"/>
  <c r="CP61" i="27" a="1"/>
  <c r="CP61" i="27" s="1"/>
  <c r="CV61" i="27" a="1"/>
  <c r="CV61" i="27" s="1"/>
  <c r="CS61" i="27" a="1"/>
  <c r="CS61" i="27" s="1"/>
  <c r="CG61" i="27" a="1"/>
  <c r="CG61" i="27" s="1"/>
  <c r="CK61" i="27" a="1"/>
  <c r="CK61" i="27" s="1"/>
  <c r="CL61" i="27" a="1"/>
  <c r="CL61" i="27" s="1"/>
  <c r="CA61" i="27" a="1"/>
  <c r="CA61" i="27" s="1"/>
  <c r="CR61" i="27" a="1"/>
  <c r="CR61" i="27" s="1"/>
  <c r="CE61" i="27" a="1"/>
  <c r="CE61" i="27" s="1"/>
  <c r="CO61" i="27" a="1"/>
  <c r="CO61" i="27" s="1"/>
  <c r="CU61" i="27" a="1"/>
  <c r="CU61" i="27" s="1"/>
  <c r="BY61" i="27" a="1"/>
  <c r="BY61" i="27" s="1"/>
  <c r="CA127" i="27" a="1"/>
  <c r="CA127" i="27" s="1"/>
  <c r="CC127" i="27" a="1"/>
  <c r="CC127" i="27" s="1"/>
  <c r="CD127" i="27" a="1"/>
  <c r="CD127" i="27" s="1"/>
  <c r="CL127" i="27" a="1"/>
  <c r="CL127" i="27" s="1"/>
  <c r="CT127" i="27" a="1"/>
  <c r="CT127" i="27" s="1"/>
  <c r="CE127" i="27" a="1"/>
  <c r="CE127" i="27" s="1"/>
  <c r="CM127" i="27" a="1"/>
  <c r="CM127" i="27" s="1"/>
  <c r="CU127" i="27" a="1"/>
  <c r="CU127" i="27" s="1"/>
  <c r="CF127" i="27" a="1"/>
  <c r="CF127" i="27" s="1"/>
  <c r="CN127" i="27" a="1"/>
  <c r="CN127" i="27" s="1"/>
  <c r="CV127" i="27" a="1"/>
  <c r="CV127" i="27" s="1"/>
  <c r="CG127" i="27" a="1"/>
  <c r="CG127" i="27" s="1"/>
  <c r="CO127" i="27" a="1"/>
  <c r="CO127" i="27" s="1"/>
  <c r="CH127" i="27" a="1"/>
  <c r="CH127" i="27" s="1"/>
  <c r="CP127" i="27" a="1"/>
  <c r="CP127" i="27" s="1"/>
  <c r="CI127" i="27" a="1"/>
  <c r="CI127" i="27" s="1"/>
  <c r="CQ127" i="27" a="1"/>
  <c r="CQ127" i="27" s="1"/>
  <c r="CB127" i="27" a="1"/>
  <c r="CB127" i="27" s="1"/>
  <c r="CK127" i="27" a="1"/>
  <c r="CK127" i="27" s="1"/>
  <c r="CS127" i="27" a="1"/>
  <c r="CS127" i="27" s="1"/>
  <c r="BZ127" i="27" a="1"/>
  <c r="BZ127" i="27" s="1"/>
  <c r="CJ127" i="27" a="1"/>
  <c r="CJ127" i="27" s="1"/>
  <c r="CR127" i="27" a="1"/>
  <c r="CR127" i="27" s="1"/>
  <c r="BY127" i="27" a="1"/>
  <c r="BY127" i="27" s="1"/>
  <c r="CI94" i="27" a="1"/>
  <c r="CI94" i="27" s="1"/>
  <c r="CN94" i="27" a="1"/>
  <c r="CN94" i="27" s="1"/>
  <c r="CT94" i="27" a="1"/>
  <c r="CT94" i="27" s="1"/>
  <c r="CD94" i="27" a="1"/>
  <c r="CD94" i="27" s="1"/>
  <c r="CJ94" i="27" a="1"/>
  <c r="CJ94" i="27" s="1"/>
  <c r="CO94" i="27" a="1"/>
  <c r="CO94" i="27" s="1"/>
  <c r="CP94" i="27" a="1"/>
  <c r="CP94" i="27" s="1"/>
  <c r="CU94" i="27" a="1"/>
  <c r="CU94" i="27" s="1"/>
  <c r="BZ94" i="27" a="1"/>
  <c r="BZ94" i="27" s="1"/>
  <c r="CE94" i="27" a="1"/>
  <c r="CE94" i="27" s="1"/>
  <c r="CK94" i="27" a="1"/>
  <c r="CK94" i="27" s="1"/>
  <c r="CQ94" i="27" a="1"/>
  <c r="CQ94" i="27" s="1"/>
  <c r="CV94" i="27" a="1"/>
  <c r="CV94" i="27" s="1"/>
  <c r="CA94" i="27" a="1"/>
  <c r="CA94" i="27" s="1"/>
  <c r="CF94" i="27" a="1"/>
  <c r="CF94" i="27" s="1"/>
  <c r="CR94" i="27" a="1"/>
  <c r="CR94" i="27" s="1"/>
  <c r="CB94" i="27" a="1"/>
  <c r="CB94" i="27" s="1"/>
  <c r="CG94" i="27" a="1"/>
  <c r="CG94" i="27" s="1"/>
  <c r="CL94" i="27" a="1"/>
  <c r="CL94" i="27" s="1"/>
  <c r="CC94" i="27" a="1"/>
  <c r="CC94" i="27" s="1"/>
  <c r="CM94" i="27" a="1"/>
  <c r="CM94" i="27" s="1"/>
  <c r="CH94" i="27" a="1"/>
  <c r="CH94" i="27" s="1"/>
  <c r="CS94" i="27" a="1"/>
  <c r="CS94" i="27" s="1"/>
  <c r="BY94" i="27" a="1"/>
  <c r="BY94" i="27" s="1"/>
  <c r="CJ22" i="27" a="1"/>
  <c r="CJ22" i="27" s="1"/>
  <c r="CL22" i="27" a="1"/>
  <c r="CL22" i="27" s="1"/>
  <c r="CG22" i="27" a="1"/>
  <c r="CG22" i="27" s="1"/>
  <c r="CM22" i="27" a="1"/>
  <c r="CM22" i="27" s="1"/>
  <c r="CS22" i="27" a="1"/>
  <c r="CS22" i="27" s="1"/>
  <c r="CB22" i="27" a="1"/>
  <c r="CB22" i="27" s="1"/>
  <c r="CH22" i="27" a="1"/>
  <c r="CH22" i="27" s="1"/>
  <c r="CN22" i="27" a="1"/>
  <c r="CN22" i="27" s="1"/>
  <c r="CT22" i="27" a="1"/>
  <c r="CT22" i="27" s="1"/>
  <c r="CD22" i="27" a="1"/>
  <c r="CD22" i="27" s="1"/>
  <c r="CP22" i="27" a="1"/>
  <c r="CP22" i="27" s="1"/>
  <c r="CU22" i="27" a="1"/>
  <c r="CU22" i="27" s="1"/>
  <c r="CF22" i="27" a="1"/>
  <c r="CF22" i="27" s="1"/>
  <c r="CV22" i="27" a="1"/>
  <c r="CV22" i="27" s="1"/>
  <c r="CK22" i="27" a="1"/>
  <c r="CK22" i="27" s="1"/>
  <c r="BZ22" i="27" a="1"/>
  <c r="BZ22" i="27" s="1"/>
  <c r="CO22" i="27" a="1"/>
  <c r="CO22" i="27" s="1"/>
  <c r="CA22" i="27" a="1"/>
  <c r="CA22" i="27" s="1"/>
  <c r="CQ22" i="27" a="1"/>
  <c r="CQ22" i="27" s="1"/>
  <c r="CE22" i="27" a="1"/>
  <c r="CE22" i="27" s="1"/>
  <c r="CC22" i="27" a="1"/>
  <c r="CC22" i="27" s="1"/>
  <c r="CI22" i="27" a="1"/>
  <c r="CI22" i="27" s="1"/>
  <c r="CR22" i="27" a="1"/>
  <c r="CR22" i="27" s="1"/>
  <c r="BY22" i="27" a="1"/>
  <c r="BY22" i="27" s="1"/>
  <c r="CC102" i="27" a="1"/>
  <c r="CC102" i="27" s="1"/>
  <c r="CJ102" i="27" a="1"/>
  <c r="CJ102" i="27" s="1"/>
  <c r="CP102" i="27" a="1"/>
  <c r="CP102" i="27" s="1"/>
  <c r="CV102" i="27" a="1"/>
  <c r="CV102" i="27" s="1"/>
  <c r="CE102" i="27" a="1"/>
  <c r="CE102" i="27" s="1"/>
  <c r="CK102" i="27" a="1"/>
  <c r="CK102" i="27" s="1"/>
  <c r="CR102" i="27" a="1"/>
  <c r="CR102" i="27" s="1"/>
  <c r="BZ102" i="27" a="1"/>
  <c r="BZ102" i="27" s="1"/>
  <c r="CG102" i="27" a="1"/>
  <c r="CG102" i="27" s="1"/>
  <c r="CL102" i="27" a="1"/>
  <c r="CL102" i="27" s="1"/>
  <c r="CA102" i="27" a="1"/>
  <c r="CA102" i="27" s="1"/>
  <c r="CH102" i="27" a="1"/>
  <c r="CH102" i="27" s="1"/>
  <c r="CM102" i="27" a="1"/>
  <c r="CM102" i="27" s="1"/>
  <c r="CT102" i="27" a="1"/>
  <c r="CT102" i="27" s="1"/>
  <c r="CI102" i="27" a="1"/>
  <c r="CI102" i="27" s="1"/>
  <c r="CO102" i="27" a="1"/>
  <c r="CO102" i="27" s="1"/>
  <c r="CU102" i="27" a="1"/>
  <c r="CU102" i="27" s="1"/>
  <c r="CN102" i="27" a="1"/>
  <c r="CN102" i="27" s="1"/>
  <c r="CQ102" i="27" a="1"/>
  <c r="CQ102" i="27" s="1"/>
  <c r="CB102" i="27" a="1"/>
  <c r="CB102" i="27" s="1"/>
  <c r="CS102" i="27" a="1"/>
  <c r="CS102" i="27" s="1"/>
  <c r="CF102" i="27" a="1"/>
  <c r="CF102" i="27" s="1"/>
  <c r="CD102" i="27" a="1"/>
  <c r="CD102" i="27" s="1"/>
  <c r="BY102" i="27" a="1"/>
  <c r="BY102" i="27" s="1"/>
  <c r="CD138" i="27" a="1"/>
  <c r="CD138" i="27" s="1"/>
  <c r="CI138" i="27" a="1"/>
  <c r="CI138" i="27" s="1"/>
  <c r="CU138" i="27" a="1"/>
  <c r="CU138" i="27" s="1"/>
  <c r="CJ138" i="27" a="1"/>
  <c r="CJ138" i="27" s="1"/>
  <c r="CO138" i="27" a="1"/>
  <c r="CO138" i="27" s="1"/>
  <c r="CE138" i="27" a="1"/>
  <c r="CE138" i="27" s="1"/>
  <c r="CK138" i="27" a="1"/>
  <c r="CK138" i="27" s="1"/>
  <c r="CP138" i="27" a="1"/>
  <c r="CP138" i="27" s="1"/>
  <c r="CV138" i="27" a="1"/>
  <c r="CV138" i="27" s="1"/>
  <c r="CL138" i="27" a="1"/>
  <c r="CL138" i="27" s="1"/>
  <c r="CQ138" i="27" a="1"/>
  <c r="CQ138" i="27" s="1"/>
  <c r="BZ138" i="27" a="1"/>
  <c r="BZ138" i="27" s="1"/>
  <c r="CF138" i="27" a="1"/>
  <c r="CF138" i="27" s="1"/>
  <c r="CR138" i="27" a="1"/>
  <c r="CR138" i="27" s="1"/>
  <c r="CA138" i="27" a="1"/>
  <c r="CA138" i="27" s="1"/>
  <c r="CM138" i="27" a="1"/>
  <c r="CM138" i="27" s="1"/>
  <c r="CS138" i="27" a="1"/>
  <c r="CS138" i="27" s="1"/>
  <c r="CC138" i="27" a="1"/>
  <c r="CC138" i="27" s="1"/>
  <c r="CH138" i="27" a="1"/>
  <c r="CH138" i="27" s="1"/>
  <c r="CN138" i="27" a="1"/>
  <c r="CN138" i="27" s="1"/>
  <c r="CT138" i="27" a="1"/>
  <c r="CT138" i="27" s="1"/>
  <c r="CG138" i="27" a="1"/>
  <c r="CG138" i="27" s="1"/>
  <c r="CB138" i="27" a="1"/>
  <c r="CB138" i="27" s="1"/>
  <c r="BY138" i="27" a="1"/>
  <c r="BY138" i="27" s="1"/>
  <c r="CF87" i="27" a="1"/>
  <c r="CF87" i="27" s="1"/>
  <c r="CL87" i="27" a="1"/>
  <c r="CL87" i="27" s="1"/>
  <c r="CR87" i="27" a="1"/>
  <c r="CR87" i="27" s="1"/>
  <c r="CN87" i="27" a="1"/>
  <c r="CN87" i="27" s="1"/>
  <c r="CD87" i="27" a="1"/>
  <c r="CD87" i="27" s="1"/>
  <c r="CJ87" i="27" a="1"/>
  <c r="CJ87" i="27" s="1"/>
  <c r="CO87" i="27" a="1"/>
  <c r="CO87" i="27" s="1"/>
  <c r="BZ87" i="27" a="1"/>
  <c r="BZ87" i="27" s="1"/>
  <c r="CE87" i="27" a="1"/>
  <c r="CE87" i="27" s="1"/>
  <c r="CQ87" i="27" a="1"/>
  <c r="CQ87" i="27" s="1"/>
  <c r="CI87" i="27" a="1"/>
  <c r="CI87" i="27" s="1"/>
  <c r="CT87" i="27" a="1"/>
  <c r="CT87" i="27" s="1"/>
  <c r="CK87" i="27" a="1"/>
  <c r="CK87" i="27" s="1"/>
  <c r="CA87" i="27" a="1"/>
  <c r="CA87" i="27" s="1"/>
  <c r="CU87" i="27" a="1"/>
  <c r="CU87" i="27" s="1"/>
  <c r="CB87" i="27" a="1"/>
  <c r="CB87" i="27" s="1"/>
  <c r="CM87" i="27" a="1"/>
  <c r="CM87" i="27" s="1"/>
  <c r="CC87" i="27" a="1"/>
  <c r="CC87" i="27" s="1"/>
  <c r="CV87" i="27" a="1"/>
  <c r="CV87" i="27" s="1"/>
  <c r="CP87" i="27" a="1"/>
  <c r="CP87" i="27" s="1"/>
  <c r="CH87" i="27" a="1"/>
  <c r="CH87" i="27" s="1"/>
  <c r="CS87" i="27" a="1"/>
  <c r="CS87" i="27" s="1"/>
  <c r="CG87" i="27" a="1"/>
  <c r="CG87" i="27" s="1"/>
  <c r="BY87" i="27" a="1"/>
  <c r="BY87" i="27" s="1"/>
  <c r="CA75" i="27" a="1"/>
  <c r="CA75" i="27" s="1"/>
  <c r="CH75" i="27" a="1"/>
  <c r="CH75" i="27" s="1"/>
  <c r="CN75" i="27" a="1"/>
  <c r="CN75" i="27" s="1"/>
  <c r="CT75" i="27" a="1"/>
  <c r="CT75" i="27" s="1"/>
  <c r="CC75" i="27" a="1"/>
  <c r="CC75" i="27" s="1"/>
  <c r="CI75" i="27" a="1"/>
  <c r="CI75" i="27" s="1"/>
  <c r="CP75" i="27" a="1"/>
  <c r="CP75" i="27" s="1"/>
  <c r="CV75" i="27" a="1"/>
  <c r="CV75" i="27" s="1"/>
  <c r="CE75" i="27" a="1"/>
  <c r="CE75" i="27" s="1"/>
  <c r="CJ75" i="27" a="1"/>
  <c r="CJ75" i="27" s="1"/>
  <c r="CQ75" i="27" a="1"/>
  <c r="CQ75" i="27" s="1"/>
  <c r="CF75" i="27" a="1"/>
  <c r="CF75" i="27" s="1"/>
  <c r="CK75" i="27" a="1"/>
  <c r="CK75" i="27" s="1"/>
  <c r="CM75" i="27" a="1"/>
  <c r="CM75" i="27" s="1"/>
  <c r="CS75" i="27" a="1"/>
  <c r="CS75" i="27" s="1"/>
  <c r="CL75" i="27" a="1"/>
  <c r="CL75" i="27" s="1"/>
  <c r="CO75" i="27" a="1"/>
  <c r="CO75" i="27" s="1"/>
  <c r="BZ75" i="27" a="1"/>
  <c r="BZ75" i="27" s="1"/>
  <c r="CB75" i="27" a="1"/>
  <c r="CB75" i="27" s="1"/>
  <c r="CR75" i="27" a="1"/>
  <c r="CR75" i="27" s="1"/>
  <c r="CD75" i="27" a="1"/>
  <c r="CD75" i="27" s="1"/>
  <c r="CU75" i="27" a="1"/>
  <c r="CU75" i="27" s="1"/>
  <c r="CG75" i="27" a="1"/>
  <c r="CG75" i="27" s="1"/>
  <c r="BY75" i="27" a="1"/>
  <c r="BY75" i="27" s="1"/>
  <c r="BZ90" i="27" a="1"/>
  <c r="BZ90" i="27" s="1"/>
  <c r="CF90" i="27" a="1"/>
  <c r="CF90" i="27" s="1"/>
  <c r="CK90" i="27" a="1"/>
  <c r="CK90" i="27" s="1"/>
  <c r="CL90" i="27" a="1"/>
  <c r="CL90" i="27" s="1"/>
  <c r="CQ90" i="27" a="1"/>
  <c r="CQ90" i="27" s="1"/>
  <c r="CA90" i="27" a="1"/>
  <c r="CA90" i="27" s="1"/>
  <c r="CG90" i="27" a="1"/>
  <c r="CG90" i="27" s="1"/>
  <c r="CM90" i="27" a="1"/>
  <c r="CM90" i="27" s="1"/>
  <c r="CR90" i="27" a="1"/>
  <c r="CR90" i="27" s="1"/>
  <c r="CB90" i="27" a="1"/>
  <c r="CB90" i="27" s="1"/>
  <c r="CN90" i="27" a="1"/>
  <c r="CN90" i="27" s="1"/>
  <c r="CC90" i="27" a="1"/>
  <c r="CC90" i="27" s="1"/>
  <c r="CH90" i="27" a="1"/>
  <c r="CH90" i="27" s="1"/>
  <c r="CS90" i="27" a="1"/>
  <c r="CS90" i="27" s="1"/>
  <c r="CD90" i="27" a="1"/>
  <c r="CD90" i="27" s="1"/>
  <c r="CO90" i="27" a="1"/>
  <c r="CO90" i="27" s="1"/>
  <c r="CT90" i="27" a="1"/>
  <c r="CT90" i="27" s="1"/>
  <c r="CE90" i="27" a="1"/>
  <c r="CE90" i="27" s="1"/>
  <c r="CJ90" i="27" a="1"/>
  <c r="CJ90" i="27" s="1"/>
  <c r="CP90" i="27" a="1"/>
  <c r="CP90" i="27" s="1"/>
  <c r="CV90" i="27" a="1"/>
  <c r="CV90" i="27" s="1"/>
  <c r="CI90" i="27" a="1"/>
  <c r="CI90" i="27" s="1"/>
  <c r="CU90" i="27" a="1"/>
  <c r="CU90" i="27" s="1"/>
  <c r="BY90" i="27" a="1"/>
  <c r="BY90" i="27" s="1"/>
  <c r="CJ91" i="27" a="1"/>
  <c r="CJ91" i="27" s="1"/>
  <c r="CP91" i="27" a="1"/>
  <c r="CP91" i="27" s="1"/>
  <c r="CV91" i="27" a="1"/>
  <c r="CV91" i="27" s="1"/>
  <c r="BZ91" i="27" a="1"/>
  <c r="BZ91" i="27" s="1"/>
  <c r="CE91" i="27" a="1"/>
  <c r="CE91" i="27" s="1"/>
  <c r="CK91" i="27" a="1"/>
  <c r="CK91" i="27" s="1"/>
  <c r="CF91" i="27" a="1"/>
  <c r="CF91" i="27" s="1"/>
  <c r="CL91" i="27" a="1"/>
  <c r="CL91" i="27" s="1"/>
  <c r="CQ91" i="27" a="1"/>
  <c r="CQ91" i="27" s="1"/>
  <c r="CA91" i="27" a="1"/>
  <c r="CA91" i="27" s="1"/>
  <c r="CG91" i="27" a="1"/>
  <c r="CG91" i="27" s="1"/>
  <c r="CM91" i="27" a="1"/>
  <c r="CM91" i="27" s="1"/>
  <c r="CR91" i="27" a="1"/>
  <c r="CR91" i="27" s="1"/>
  <c r="CB91" i="27" a="1"/>
  <c r="CB91" i="27" s="1"/>
  <c r="CH91" i="27" a="1"/>
  <c r="CH91" i="27" s="1"/>
  <c r="CN91" i="27" a="1"/>
  <c r="CN91" i="27" s="1"/>
  <c r="CS91" i="27" a="1"/>
  <c r="CS91" i="27" s="1"/>
  <c r="CD91" i="27" a="1"/>
  <c r="CD91" i="27" s="1"/>
  <c r="CI91" i="27" a="1"/>
  <c r="CI91" i="27" s="1"/>
  <c r="CU91" i="27" a="1"/>
  <c r="CU91" i="27" s="1"/>
  <c r="CT91" i="27" a="1"/>
  <c r="CT91" i="27" s="1"/>
  <c r="CC91" i="27" a="1"/>
  <c r="CC91" i="27" s="1"/>
  <c r="CO91" i="27" a="1"/>
  <c r="CO91" i="27" s="1"/>
  <c r="BY91" i="27" a="1"/>
  <c r="BY91" i="27" s="1"/>
  <c r="CG37" i="27" a="1"/>
  <c r="CG37" i="27" s="1"/>
  <c r="CL37" i="27" a="1"/>
  <c r="CL37" i="27" s="1"/>
  <c r="CS37" i="27" a="1"/>
  <c r="CS37" i="27" s="1"/>
  <c r="CA37" i="27" a="1"/>
  <c r="CA37" i="27" s="1"/>
  <c r="CH37" i="27" a="1"/>
  <c r="CH37" i="27" s="1"/>
  <c r="CN37" i="27" a="1"/>
  <c r="CN37" i="27" s="1"/>
  <c r="CT37" i="27" a="1"/>
  <c r="CT37" i="27" s="1"/>
  <c r="CC37" i="27" a="1"/>
  <c r="CC37" i="27" s="1"/>
  <c r="CI37" i="27" a="1"/>
  <c r="CI37" i="27" s="1"/>
  <c r="CP37" i="27" a="1"/>
  <c r="CP37" i="27" s="1"/>
  <c r="CV37" i="27" a="1"/>
  <c r="CV37" i="27" s="1"/>
  <c r="CD37" i="27" a="1"/>
  <c r="CD37" i="27" s="1"/>
  <c r="CJ37" i="27" a="1"/>
  <c r="CJ37" i="27" s="1"/>
  <c r="CF37" i="27" a="1"/>
  <c r="CF37" i="27" s="1"/>
  <c r="CK37" i="27" a="1"/>
  <c r="CK37" i="27" s="1"/>
  <c r="CR37" i="27" a="1"/>
  <c r="CR37" i="27" s="1"/>
  <c r="CM37" i="27" a="1"/>
  <c r="CM37" i="27" s="1"/>
  <c r="BZ37" i="27" a="1"/>
  <c r="BZ37" i="27" s="1"/>
  <c r="CQ37" i="27" a="1"/>
  <c r="CQ37" i="27" s="1"/>
  <c r="CE37" i="27" a="1"/>
  <c r="CE37" i="27" s="1"/>
  <c r="CU37" i="27" a="1"/>
  <c r="CU37" i="27" s="1"/>
  <c r="CO37" i="27" a="1"/>
  <c r="CO37" i="27" s="1"/>
  <c r="CB37" i="27" a="1"/>
  <c r="CB37" i="27" s="1"/>
  <c r="BY37" i="27" a="1"/>
  <c r="BY37" i="27" s="1"/>
  <c r="BZ26" i="27" a="1"/>
  <c r="BZ26" i="27" s="1"/>
  <c r="CG26" i="27" a="1"/>
  <c r="CG26" i="27" s="1"/>
  <c r="CU26" i="27" a="1"/>
  <c r="CU26" i="27" s="1"/>
  <c r="CB26" i="27" a="1"/>
  <c r="CB26" i="27" s="1"/>
  <c r="CO26" i="27" a="1"/>
  <c r="CO26" i="27" s="1"/>
  <c r="CD26" i="27" a="1"/>
  <c r="CD26" i="27" s="1"/>
  <c r="CJ26" i="27" a="1"/>
  <c r="CJ26" i="27" s="1"/>
  <c r="CQ26" i="27" a="1"/>
  <c r="CQ26" i="27" s="1"/>
  <c r="CK26" i="27" a="1"/>
  <c r="CK26" i="27" s="1"/>
  <c r="CR26" i="27" a="1"/>
  <c r="CR26" i="27" s="1"/>
  <c r="CF26" i="27" a="1"/>
  <c r="CF26" i="27" s="1"/>
  <c r="CM26" i="27" a="1"/>
  <c r="CM26" i="27" s="1"/>
  <c r="CT26" i="27" a="1"/>
  <c r="CT26" i="27" s="1"/>
  <c r="CP26" i="27" a="1"/>
  <c r="CP26" i="27" s="1"/>
  <c r="CC26" i="27" a="1"/>
  <c r="CC26" i="27" s="1"/>
  <c r="CV26" i="27" a="1"/>
  <c r="CV26" i="27" s="1"/>
  <c r="CH26" i="27" a="1"/>
  <c r="CH26" i="27" s="1"/>
  <c r="CI26" i="27" a="1"/>
  <c r="CI26" i="27" s="1"/>
  <c r="CN26" i="27" a="1"/>
  <c r="CN26" i="27" s="1"/>
  <c r="CA26" i="27" a="1"/>
  <c r="CA26" i="27" s="1"/>
  <c r="CE26" i="27" a="1"/>
  <c r="CE26" i="27" s="1"/>
  <c r="CS26" i="27" a="1"/>
  <c r="CS26" i="27" s="1"/>
  <c r="CL26" i="27" a="1"/>
  <c r="CL26" i="27" s="1"/>
  <c r="BY26" i="27" a="1"/>
  <c r="BY26" i="27" s="1"/>
  <c r="CL44" i="27" a="1"/>
  <c r="CL44" i="27" s="1"/>
  <c r="CR44" i="27" a="1"/>
  <c r="CR44" i="27" s="1"/>
  <c r="CA44" i="27" a="1"/>
  <c r="CA44" i="27" s="1"/>
  <c r="CS44" i="27" a="1"/>
  <c r="CS44" i="27" s="1"/>
  <c r="CC44" i="27" a="1"/>
  <c r="CC44" i="27" s="1"/>
  <c r="CI44" i="27" a="1"/>
  <c r="CI44" i="27" s="1"/>
  <c r="CO44" i="27" a="1"/>
  <c r="CO44" i="27" s="1"/>
  <c r="CU44" i="27" a="1"/>
  <c r="CU44" i="27" s="1"/>
  <c r="CD44" i="27" a="1"/>
  <c r="CD44" i="27" s="1"/>
  <c r="CF44" i="27" a="1"/>
  <c r="CF44" i="27" s="1"/>
  <c r="CK44" i="27" a="1"/>
  <c r="CK44" i="27" s="1"/>
  <c r="CQ44" i="27" a="1"/>
  <c r="CQ44" i="27" s="1"/>
  <c r="BZ44" i="27" a="1"/>
  <c r="BZ44" i="27" s="1"/>
  <c r="CP44" i="27" a="1"/>
  <c r="CP44" i="27" s="1"/>
  <c r="CE44" i="27" a="1"/>
  <c r="CE44" i="27" s="1"/>
  <c r="CT44" i="27" a="1"/>
  <c r="CT44" i="27" s="1"/>
  <c r="CH44" i="27" a="1"/>
  <c r="CH44" i="27" s="1"/>
  <c r="CJ44" i="27" a="1"/>
  <c r="CJ44" i="27" s="1"/>
  <c r="CN44" i="27" a="1"/>
  <c r="CN44" i="27" s="1"/>
  <c r="CG44" i="27" a="1"/>
  <c r="CG44" i="27" s="1"/>
  <c r="CM44" i="27" a="1"/>
  <c r="CM44" i="27" s="1"/>
  <c r="CV44" i="27" a="1"/>
  <c r="CV44" i="27" s="1"/>
  <c r="CB44" i="27" a="1"/>
  <c r="CB44" i="27" s="1"/>
  <c r="BY44" i="27" a="1"/>
  <c r="BY44" i="27" s="1"/>
  <c r="BZ89" i="27" a="1"/>
  <c r="BZ89" i="27" s="1"/>
  <c r="CL89" i="27" a="1"/>
  <c r="CL89" i="27" s="1"/>
  <c r="CR89" i="27" a="1"/>
  <c r="CR89" i="27" s="1"/>
  <c r="CA89" i="27" a="1"/>
  <c r="CA89" i="27" s="1"/>
  <c r="CG89" i="27" a="1"/>
  <c r="CG89" i="27" s="1"/>
  <c r="CM89" i="27" a="1"/>
  <c r="CM89" i="27" s="1"/>
  <c r="CB89" i="27" a="1"/>
  <c r="CB89" i="27" s="1"/>
  <c r="CS89" i="27" a="1"/>
  <c r="CS89" i="27" s="1"/>
  <c r="CC89" i="27" a="1"/>
  <c r="CC89" i="27" s="1"/>
  <c r="CH89" i="27" a="1"/>
  <c r="CH89" i="27" s="1"/>
  <c r="CN89" i="27" a="1"/>
  <c r="CN89" i="27" s="1"/>
  <c r="CT89" i="27" a="1"/>
  <c r="CT89" i="27" s="1"/>
  <c r="CD89" i="27" a="1"/>
  <c r="CD89" i="27" s="1"/>
  <c r="CI89" i="27" a="1"/>
  <c r="CI89" i="27" s="1"/>
  <c r="CO89" i="27" a="1"/>
  <c r="CO89" i="27" s="1"/>
  <c r="CU89" i="27" a="1"/>
  <c r="CU89" i="27" s="1"/>
  <c r="CE89" i="27" a="1"/>
  <c r="CE89" i="27" s="1"/>
  <c r="CF89" i="27" a="1"/>
  <c r="CF89" i="27" s="1"/>
  <c r="CK89" i="27" a="1"/>
  <c r="CK89" i="27" s="1"/>
  <c r="CQ89" i="27" a="1"/>
  <c r="CQ89" i="27" s="1"/>
  <c r="CV89" i="27" a="1"/>
  <c r="CV89" i="27" s="1"/>
  <c r="CP89" i="27" a="1"/>
  <c r="CP89" i="27" s="1"/>
  <c r="CJ89" i="27" a="1"/>
  <c r="CJ89" i="27" s="1"/>
  <c r="BY89" i="27" a="1"/>
  <c r="BY89" i="27" s="1"/>
  <c r="CB112" i="27" a="1"/>
  <c r="CB112" i="27" s="1"/>
  <c r="CI112" i="27" a="1"/>
  <c r="CI112" i="27" s="1"/>
  <c r="CP112" i="27" a="1"/>
  <c r="CP112" i="27" s="1"/>
  <c r="CK112" i="27" a="1"/>
  <c r="CK112" i="27" s="1"/>
  <c r="CR112" i="27" a="1"/>
  <c r="CR112" i="27" s="1"/>
  <c r="CE112" i="27" a="1"/>
  <c r="CE112" i="27" s="1"/>
  <c r="CM112" i="27" a="1"/>
  <c r="CM112" i="27" s="1"/>
  <c r="CT112" i="27" a="1"/>
  <c r="CT112" i="27" s="1"/>
  <c r="CF112" i="27" a="1"/>
  <c r="CF112" i="27" s="1"/>
  <c r="CN112" i="27" a="1"/>
  <c r="CN112" i="27" s="1"/>
  <c r="CU112" i="27" a="1"/>
  <c r="CU112" i="27" s="1"/>
  <c r="CA112" i="27" a="1"/>
  <c r="CA112" i="27" s="1"/>
  <c r="CH112" i="27" a="1"/>
  <c r="CH112" i="27" s="1"/>
  <c r="CO112" i="27" a="1"/>
  <c r="CO112" i="27" s="1"/>
  <c r="CJ112" i="27" a="1"/>
  <c r="CJ112" i="27" s="1"/>
  <c r="CL112" i="27" a="1"/>
  <c r="CL112" i="27" s="1"/>
  <c r="CQ112" i="27" a="1"/>
  <c r="CQ112" i="27" s="1"/>
  <c r="BZ112" i="27" a="1"/>
  <c r="BZ112" i="27" s="1"/>
  <c r="CS112" i="27" a="1"/>
  <c r="CS112" i="27" s="1"/>
  <c r="CC112" i="27" a="1"/>
  <c r="CC112" i="27" s="1"/>
  <c r="CV112" i="27" a="1"/>
  <c r="CV112" i="27" s="1"/>
  <c r="CG112" i="27" a="1"/>
  <c r="CG112" i="27" s="1"/>
  <c r="CD112" i="27" a="1"/>
  <c r="CD112" i="27" s="1"/>
  <c r="BY112" i="27" a="1"/>
  <c r="BY112" i="27" s="1"/>
  <c r="CC29" i="27" a="1"/>
  <c r="CC29" i="27" s="1"/>
  <c r="CJ29" i="27" a="1"/>
  <c r="CJ29" i="27" s="1"/>
  <c r="CP29" i="27" a="1"/>
  <c r="CP29" i="27" s="1"/>
  <c r="CV29" i="27" a="1"/>
  <c r="CV29" i="27" s="1"/>
  <c r="CE29" i="27" a="1"/>
  <c r="CE29" i="27" s="1"/>
  <c r="CK29" i="27" a="1"/>
  <c r="CK29" i="27" s="1"/>
  <c r="CR29" i="27" a="1"/>
  <c r="CR29" i="27" s="1"/>
  <c r="BZ29" i="27" a="1"/>
  <c r="BZ29" i="27" s="1"/>
  <c r="CG29" i="27" a="1"/>
  <c r="CG29" i="27" s="1"/>
  <c r="CL29" i="27" a="1"/>
  <c r="CL29" i="27" s="1"/>
  <c r="CA29" i="27" a="1"/>
  <c r="CA29" i="27" s="1"/>
  <c r="CH29" i="27" a="1"/>
  <c r="CH29" i="27" s="1"/>
  <c r="CM29" i="27" a="1"/>
  <c r="CM29" i="27" s="1"/>
  <c r="CT29" i="27" a="1"/>
  <c r="CT29" i="27" s="1"/>
  <c r="CI29" i="27" a="1"/>
  <c r="CI29" i="27" s="1"/>
  <c r="CO29" i="27" a="1"/>
  <c r="CO29" i="27" s="1"/>
  <c r="CU29" i="27" a="1"/>
  <c r="CU29" i="27" s="1"/>
  <c r="CQ29" i="27" a="1"/>
  <c r="CQ29" i="27" s="1"/>
  <c r="CD29" i="27" a="1"/>
  <c r="CD29" i="27" s="1"/>
  <c r="CN29" i="27" a="1"/>
  <c r="CN29" i="27" s="1"/>
  <c r="CB29" i="27" a="1"/>
  <c r="CB29" i="27" s="1"/>
  <c r="CF29" i="27" a="1"/>
  <c r="CF29" i="27" s="1"/>
  <c r="CS29" i="27" a="1"/>
  <c r="CS29" i="27" s="1"/>
  <c r="BY29" i="27" a="1"/>
  <c r="BY29" i="27" s="1"/>
  <c r="CJ92" i="27" a="1"/>
  <c r="CJ92" i="27" s="1"/>
  <c r="CP92" i="27" a="1"/>
  <c r="CP92" i="27" s="1"/>
  <c r="CV92" i="27" a="1"/>
  <c r="CV92" i="27" s="1"/>
  <c r="BZ92" i="27" a="1"/>
  <c r="BZ92" i="27" s="1"/>
  <c r="CE92" i="27" a="1"/>
  <c r="CE92" i="27" s="1"/>
  <c r="CA92" i="27" a="1"/>
  <c r="CA92" i="27" s="1"/>
  <c r="CF92" i="27" a="1"/>
  <c r="CF92" i="27" s="1"/>
  <c r="CK92" i="27" a="1"/>
  <c r="CK92" i="27" s="1"/>
  <c r="CQ92" i="27" a="1"/>
  <c r="CQ92" i="27" s="1"/>
  <c r="CG92" i="27" a="1"/>
  <c r="CG92" i="27" s="1"/>
  <c r="CL92" i="27" a="1"/>
  <c r="CL92" i="27" s="1"/>
  <c r="CB92" i="27" a="1"/>
  <c r="CB92" i="27" s="1"/>
  <c r="CH92" i="27" a="1"/>
  <c r="CH92" i="27" s="1"/>
  <c r="CM92" i="27" a="1"/>
  <c r="CM92" i="27" s="1"/>
  <c r="CR92" i="27" a="1"/>
  <c r="CR92" i="27" s="1"/>
  <c r="CS92" i="27" a="1"/>
  <c r="CS92" i="27" s="1"/>
  <c r="CD92" i="27" a="1"/>
  <c r="CD92" i="27" s="1"/>
  <c r="CO92" i="27" a="1"/>
  <c r="CO92" i="27" s="1"/>
  <c r="CU92" i="27" a="1"/>
  <c r="CU92" i="27" s="1"/>
  <c r="CC92" i="27" a="1"/>
  <c r="CC92" i="27" s="1"/>
  <c r="CI92" i="27" a="1"/>
  <c r="CI92" i="27" s="1"/>
  <c r="CN92" i="27" a="1"/>
  <c r="CN92" i="27" s="1"/>
  <c r="CT92" i="27" a="1"/>
  <c r="CT92" i="27" s="1"/>
  <c r="BY92" i="27" a="1"/>
  <c r="BY92" i="27" s="1"/>
  <c r="CH69" i="27" a="1"/>
  <c r="CH69" i="27" s="1"/>
  <c r="CN69" i="27" a="1"/>
  <c r="CN69" i="27" s="1"/>
  <c r="CC69" i="27" a="1"/>
  <c r="CC69" i="27" s="1"/>
  <c r="CP69" i="27" a="1"/>
  <c r="CP69" i="27" s="1"/>
  <c r="CU69" i="27" a="1"/>
  <c r="CU69" i="27" s="1"/>
  <c r="CD69" i="27" a="1"/>
  <c r="CD69" i="27" s="1"/>
  <c r="CE69" i="27" a="1"/>
  <c r="CE69" i="27" s="1"/>
  <c r="CK69" i="27" a="1"/>
  <c r="CK69" i="27" s="1"/>
  <c r="CR69" i="27" a="1"/>
  <c r="CR69" i="27" s="1"/>
  <c r="CA69" i="27" a="1"/>
  <c r="CA69" i="27" s="1"/>
  <c r="CG69" i="27" a="1"/>
  <c r="CG69" i="27" s="1"/>
  <c r="CM69" i="27" a="1"/>
  <c r="CM69" i="27" s="1"/>
  <c r="CS69" i="27" a="1"/>
  <c r="CS69" i="27" s="1"/>
  <c r="CB69" i="27" a="1"/>
  <c r="CB69" i="27" s="1"/>
  <c r="CF69" i="27" a="1"/>
  <c r="CF69" i="27" s="1"/>
  <c r="CV69" i="27" a="1"/>
  <c r="CV69" i="27" s="1"/>
  <c r="CJ69" i="27" a="1"/>
  <c r="CJ69" i="27" s="1"/>
  <c r="CL69" i="27" a="1"/>
  <c r="CL69" i="27" s="1"/>
  <c r="BZ69" i="27" a="1"/>
  <c r="BZ69" i="27" s="1"/>
  <c r="CQ69" i="27" a="1"/>
  <c r="CQ69" i="27" s="1"/>
  <c r="CI69" i="27" a="1"/>
  <c r="CI69" i="27" s="1"/>
  <c r="CO69" i="27" a="1"/>
  <c r="CO69" i="27" s="1"/>
  <c r="CT69" i="27" a="1"/>
  <c r="CT69" i="27" s="1"/>
  <c r="BY69" i="27" a="1"/>
  <c r="BY69" i="27" s="1"/>
  <c r="CA54" i="27" a="1"/>
  <c r="CA54" i="27" s="1"/>
  <c r="CG54" i="27" a="1"/>
  <c r="CG54" i="27" s="1"/>
  <c r="CR54" i="27" a="1"/>
  <c r="CR54" i="27" s="1"/>
  <c r="CB54" i="27" a="1"/>
  <c r="CB54" i="27" s="1"/>
  <c r="CH54" i="27" a="1"/>
  <c r="CH54" i="27" s="1"/>
  <c r="CN54" i="27" a="1"/>
  <c r="CN54" i="27" s="1"/>
  <c r="CT54" i="27" a="1"/>
  <c r="CT54" i="27" s="1"/>
  <c r="CD54" i="27" a="1"/>
  <c r="CD54" i="27" s="1"/>
  <c r="CJ54" i="27" a="1"/>
  <c r="CJ54" i="27" s="1"/>
  <c r="CP54" i="27" a="1"/>
  <c r="CP54" i="27" s="1"/>
  <c r="CV54" i="27" a="1"/>
  <c r="CV54" i="27" s="1"/>
  <c r="CF54" i="27" a="1"/>
  <c r="CF54" i="27" s="1"/>
  <c r="CL54" i="27" a="1"/>
  <c r="CL54" i="27" s="1"/>
  <c r="CQ54" i="27" a="1"/>
  <c r="CQ54" i="27" s="1"/>
  <c r="BZ54" i="27" a="1"/>
  <c r="BZ54" i="27" s="1"/>
  <c r="CO54" i="27" a="1"/>
  <c r="CO54" i="27" s="1"/>
  <c r="CC54" i="27" a="1"/>
  <c r="CC54" i="27" s="1"/>
  <c r="CS54" i="27" a="1"/>
  <c r="CS54" i="27" s="1"/>
  <c r="CI54" i="27" a="1"/>
  <c r="CI54" i="27" s="1"/>
  <c r="CM54" i="27" a="1"/>
  <c r="CM54" i="27" s="1"/>
  <c r="CU54" i="27" a="1"/>
  <c r="CU54" i="27" s="1"/>
  <c r="CE54" i="27" a="1"/>
  <c r="CE54" i="27" s="1"/>
  <c r="CK54" i="27" a="1"/>
  <c r="CK54" i="27" s="1"/>
  <c r="BY54" i="27" a="1"/>
  <c r="BY54" i="27" s="1"/>
  <c r="CC136" i="27" a="1"/>
  <c r="CC136" i="27" s="1"/>
  <c r="CI136" i="27" a="1"/>
  <c r="CI136" i="27" s="1"/>
  <c r="CN136" i="27" a="1"/>
  <c r="CN136" i="27" s="1"/>
  <c r="CT136" i="27" a="1"/>
  <c r="CT136" i="27" s="1"/>
  <c r="CJ136" i="27" a="1"/>
  <c r="CJ136" i="27" s="1"/>
  <c r="CO136" i="27" a="1"/>
  <c r="CO136" i="27" s="1"/>
  <c r="CD136" i="27" a="1"/>
  <c r="CD136" i="27" s="1"/>
  <c r="CP136" i="27" a="1"/>
  <c r="CP136" i="27" s="1"/>
  <c r="CU136" i="27" a="1"/>
  <c r="CU136" i="27" s="1"/>
  <c r="CK136" i="27" a="1"/>
  <c r="CK136" i="27" s="1"/>
  <c r="CQ136" i="27" a="1"/>
  <c r="CQ136" i="27" s="1"/>
  <c r="CV136" i="27" a="1"/>
  <c r="CV136" i="27" s="1"/>
  <c r="BZ136" i="27" a="1"/>
  <c r="BZ136" i="27" s="1"/>
  <c r="CE136" i="27" a="1"/>
  <c r="CE136" i="27" s="1"/>
  <c r="CR136" i="27" a="1"/>
  <c r="CR136" i="27" s="1"/>
  <c r="CA136" i="27" a="1"/>
  <c r="CA136" i="27" s="1"/>
  <c r="CF136" i="27" a="1"/>
  <c r="CF136" i="27" s="1"/>
  <c r="CL136" i="27" a="1"/>
  <c r="CL136" i="27" s="1"/>
  <c r="CH136" i="27" a="1"/>
  <c r="CH136" i="27" s="1"/>
  <c r="CM136" i="27" a="1"/>
  <c r="CM136" i="27" s="1"/>
  <c r="CS136" i="27" a="1"/>
  <c r="CS136" i="27" s="1"/>
  <c r="CG136" i="27" a="1"/>
  <c r="CG136" i="27" s="1"/>
  <c r="BY136" i="27" a="1"/>
  <c r="BY136" i="27" s="1"/>
  <c r="CB136" i="27" a="1"/>
  <c r="CB136" i="27" s="1"/>
  <c r="CE71" i="27" a="1"/>
  <c r="CE71" i="27" s="1"/>
  <c r="CL71" i="27" a="1"/>
  <c r="CL71" i="27" s="1"/>
  <c r="CR71" i="27" a="1"/>
  <c r="CR71" i="27" s="1"/>
  <c r="CA71" i="27" a="1"/>
  <c r="CA71" i="27" s="1"/>
  <c r="CF71" i="27" a="1"/>
  <c r="CF71" i="27" s="1"/>
  <c r="CM71" i="27" a="1"/>
  <c r="CM71" i="27" s="1"/>
  <c r="CC71" i="27" a="1"/>
  <c r="CC71" i="27" s="1"/>
  <c r="CH71" i="27" a="1"/>
  <c r="CH71" i="27" s="1"/>
  <c r="CN71" i="27" a="1"/>
  <c r="CN71" i="27" s="1"/>
  <c r="CU71" i="27" a="1"/>
  <c r="CU71" i="27" s="1"/>
  <c r="CI71" i="27" a="1"/>
  <c r="CI71" i="27" s="1"/>
  <c r="CO71" i="27" a="1"/>
  <c r="CO71" i="27" s="1"/>
  <c r="CK71" i="27" a="1"/>
  <c r="CK71" i="27" s="1"/>
  <c r="CQ71" i="27" a="1"/>
  <c r="CQ71" i="27" s="1"/>
  <c r="CV71" i="27" a="1"/>
  <c r="CV71" i="27" s="1"/>
  <c r="CJ71" i="27" a="1"/>
  <c r="CJ71" i="27" s="1"/>
  <c r="BZ71" i="27" a="1"/>
  <c r="BZ71" i="27" s="1"/>
  <c r="CP71" i="27" a="1"/>
  <c r="CP71" i="27" s="1"/>
  <c r="CD71" i="27" a="1"/>
  <c r="CD71" i="27" s="1"/>
  <c r="CT71" i="27" a="1"/>
  <c r="CT71" i="27" s="1"/>
  <c r="CB71" i="27" a="1"/>
  <c r="CB71" i="27" s="1"/>
  <c r="CG71" i="27" a="1"/>
  <c r="CG71" i="27" s="1"/>
  <c r="CS71" i="27" a="1"/>
  <c r="CS71" i="27" s="1"/>
  <c r="BY71" i="27" a="1"/>
  <c r="BY71" i="27" s="1"/>
  <c r="CA132" i="27" a="1"/>
  <c r="CA132" i="27" s="1"/>
  <c r="CI132" i="27" a="1"/>
  <c r="CI132" i="27" s="1"/>
  <c r="CQ132" i="27" a="1"/>
  <c r="CQ132" i="27" s="1"/>
  <c r="CB132" i="27" a="1"/>
  <c r="CB132" i="27" s="1"/>
  <c r="CJ132" i="27" a="1"/>
  <c r="CJ132" i="27" s="1"/>
  <c r="CR132" i="27" a="1"/>
  <c r="CR132" i="27" s="1"/>
  <c r="CC132" i="27" a="1"/>
  <c r="CC132" i="27" s="1"/>
  <c r="CK132" i="27" a="1"/>
  <c r="CK132" i="27" s="1"/>
  <c r="CS132" i="27" a="1"/>
  <c r="CS132" i="27" s="1"/>
  <c r="CD132" i="27" a="1"/>
  <c r="CD132" i="27" s="1"/>
  <c r="CL132" i="27" a="1"/>
  <c r="CL132" i="27" s="1"/>
  <c r="CT132" i="27" a="1"/>
  <c r="CT132" i="27" s="1"/>
  <c r="CE132" i="27" a="1"/>
  <c r="CE132" i="27" s="1"/>
  <c r="CM132" i="27" a="1"/>
  <c r="CM132" i="27" s="1"/>
  <c r="CU132" i="27" a="1"/>
  <c r="CU132" i="27" s="1"/>
  <c r="CF132" i="27" a="1"/>
  <c r="CF132" i="27" s="1"/>
  <c r="CN132" i="27" a="1"/>
  <c r="CN132" i="27" s="1"/>
  <c r="CV132" i="27" a="1"/>
  <c r="CV132" i="27" s="1"/>
  <c r="BZ132" i="27" a="1"/>
  <c r="BZ132" i="27" s="1"/>
  <c r="CH132" i="27" a="1"/>
  <c r="CH132" i="27" s="1"/>
  <c r="CP132" i="27" a="1"/>
  <c r="CP132" i="27" s="1"/>
  <c r="CG132" i="27" a="1"/>
  <c r="CG132" i="27" s="1"/>
  <c r="CO132" i="27" a="1"/>
  <c r="CO132" i="27" s="1"/>
  <c r="BY132" i="27" a="1"/>
  <c r="BY132" i="27" s="1"/>
  <c r="CA113" i="27" a="1"/>
  <c r="CA113" i="27" s="1"/>
  <c r="CI113" i="27" a="1"/>
  <c r="CI113" i="27" s="1"/>
  <c r="CQ113" i="27" a="1"/>
  <c r="CQ113" i="27" s="1"/>
  <c r="CC113" i="27" a="1"/>
  <c r="CC113" i="27" s="1"/>
  <c r="CK113" i="27" a="1"/>
  <c r="CK113" i="27" s="1"/>
  <c r="CS113" i="27" a="1"/>
  <c r="CS113" i="27" s="1"/>
  <c r="CE113" i="27" a="1"/>
  <c r="CE113" i="27" s="1"/>
  <c r="CM113" i="27" a="1"/>
  <c r="CM113" i="27" s="1"/>
  <c r="CU113" i="27" a="1"/>
  <c r="CU113" i="27" s="1"/>
  <c r="CF113" i="27" a="1"/>
  <c r="CF113" i="27" s="1"/>
  <c r="CN113" i="27" a="1"/>
  <c r="CN113" i="27" s="1"/>
  <c r="CV113" i="27" a="1"/>
  <c r="CV113" i="27" s="1"/>
  <c r="BZ113" i="27" a="1"/>
  <c r="BZ113" i="27" s="1"/>
  <c r="CH113" i="27" a="1"/>
  <c r="CH113" i="27" s="1"/>
  <c r="CP113" i="27" a="1"/>
  <c r="CP113" i="27" s="1"/>
  <c r="CG113" i="27" a="1"/>
  <c r="CG113" i="27" s="1"/>
  <c r="CJ113" i="27" a="1"/>
  <c r="CJ113" i="27" s="1"/>
  <c r="CL113" i="27" a="1"/>
  <c r="CL113" i="27" s="1"/>
  <c r="CO113" i="27" a="1"/>
  <c r="CO113" i="27" s="1"/>
  <c r="CR113" i="27" a="1"/>
  <c r="CR113" i="27" s="1"/>
  <c r="CT113" i="27" a="1"/>
  <c r="CT113" i="27" s="1"/>
  <c r="CD113" i="27" a="1"/>
  <c r="CD113" i="27" s="1"/>
  <c r="CB113" i="27" a="1"/>
  <c r="CB113" i="27" s="1"/>
  <c r="BY113" i="27" a="1"/>
  <c r="BY113" i="27" s="1"/>
  <c r="CA15" i="27" a="1"/>
  <c r="CA15" i="27" s="1"/>
  <c r="CI15" i="27" a="1"/>
  <c r="CI15" i="27" s="1"/>
  <c r="CQ15" i="27" a="1"/>
  <c r="CQ15" i="27" s="1"/>
  <c r="CC15" i="27" a="1"/>
  <c r="CC15" i="27" s="1"/>
  <c r="CK15" i="27" a="1"/>
  <c r="CK15" i="27" s="1"/>
  <c r="CS15" i="27" a="1"/>
  <c r="CS15" i="27" s="1"/>
  <c r="CE15" i="27" a="1"/>
  <c r="CE15" i="27" s="1"/>
  <c r="CM15" i="27" a="1"/>
  <c r="CM15" i="27" s="1"/>
  <c r="CU15" i="27" a="1"/>
  <c r="CU15" i="27" s="1"/>
  <c r="CF15" i="27" a="1"/>
  <c r="CF15" i="27" s="1"/>
  <c r="CN15" i="27" a="1"/>
  <c r="CN15" i="27" s="1"/>
  <c r="CV15" i="27" a="1"/>
  <c r="CV15" i="27" s="1"/>
  <c r="BZ15" i="27" a="1"/>
  <c r="BZ15" i="27" s="1"/>
  <c r="CH15" i="27" a="1"/>
  <c r="CH15" i="27" s="1"/>
  <c r="CP15" i="27" a="1"/>
  <c r="CP15" i="27" s="1"/>
  <c r="CJ15" i="27" a="1"/>
  <c r="CJ15" i="27" s="1"/>
  <c r="CO15" i="27" a="1"/>
  <c r="CO15" i="27" s="1"/>
  <c r="CT15" i="27" a="1"/>
  <c r="CT15" i="27" s="1"/>
  <c r="CB15" i="27" a="1"/>
  <c r="CB15" i="27" s="1"/>
  <c r="CG15" i="27" a="1"/>
  <c r="CG15" i="27" s="1"/>
  <c r="CD15" i="27" a="1"/>
  <c r="CD15" i="27" s="1"/>
  <c r="CL15" i="27" a="1"/>
  <c r="CL15" i="27" s="1"/>
  <c r="CR15" i="27" a="1"/>
  <c r="CR15" i="27" s="1"/>
  <c r="BY15" i="27" a="1"/>
  <c r="BY15" i="27" s="1"/>
  <c r="CC76" i="27" a="1"/>
  <c r="CC76" i="27" s="1"/>
  <c r="CU76" i="27" a="1"/>
  <c r="CU76" i="27" s="1"/>
  <c r="CE76" i="27" a="1"/>
  <c r="CE76" i="27" s="1"/>
  <c r="CK76" i="27" a="1"/>
  <c r="CK76" i="27" s="1"/>
  <c r="CG76" i="27" a="1"/>
  <c r="CG76" i="27" s="1"/>
  <c r="CM76" i="27" a="1"/>
  <c r="CM76" i="27" s="1"/>
  <c r="CA76" i="27" a="1"/>
  <c r="CA76" i="27" s="1"/>
  <c r="CH76" i="27" a="1"/>
  <c r="CH76" i="27" s="1"/>
  <c r="CN76" i="27" a="1"/>
  <c r="CN76" i="27" s="1"/>
  <c r="CS76" i="27" a="1"/>
  <c r="CS76" i="27" s="1"/>
  <c r="CI76" i="27" a="1"/>
  <c r="CI76" i="27" s="1"/>
  <c r="CP76" i="27" a="1"/>
  <c r="CP76" i="27" s="1"/>
  <c r="CF76" i="27" a="1"/>
  <c r="CF76" i="27" s="1"/>
  <c r="CV76" i="27" a="1"/>
  <c r="CV76" i="27" s="1"/>
  <c r="CJ76" i="27" a="1"/>
  <c r="CJ76" i="27" s="1"/>
  <c r="CL76" i="27" a="1"/>
  <c r="CL76" i="27" s="1"/>
  <c r="CO76" i="27" a="1"/>
  <c r="CO76" i="27" s="1"/>
  <c r="BZ76" i="27" a="1"/>
  <c r="BZ76" i="27" s="1"/>
  <c r="CQ76" i="27" a="1"/>
  <c r="CQ76" i="27" s="1"/>
  <c r="CD76" i="27" a="1"/>
  <c r="CD76" i="27" s="1"/>
  <c r="CT76" i="27" a="1"/>
  <c r="CT76" i="27" s="1"/>
  <c r="CB76" i="27" a="1"/>
  <c r="CB76" i="27" s="1"/>
  <c r="CR76" i="27" a="1"/>
  <c r="CR76" i="27" s="1"/>
  <c r="BY76" i="27" a="1"/>
  <c r="BY76" i="27" s="1"/>
  <c r="CD82" i="27" a="1"/>
  <c r="CD82" i="27" s="1"/>
  <c r="CJ82" i="27" a="1"/>
  <c r="CJ82" i="27" s="1"/>
  <c r="CF82" i="27" a="1"/>
  <c r="CF82" i="27" s="1"/>
  <c r="CK82" i="27" a="1"/>
  <c r="CK82" i="27" s="1"/>
  <c r="CR82" i="27" a="1"/>
  <c r="CR82" i="27" s="1"/>
  <c r="BZ82" i="27" a="1"/>
  <c r="BZ82" i="27" s="1"/>
  <c r="CM82" i="27" a="1"/>
  <c r="CM82" i="27" s="1"/>
  <c r="CA82" i="27" a="1"/>
  <c r="CA82" i="27" s="1"/>
  <c r="CH82" i="27" a="1"/>
  <c r="CH82" i="27" s="1"/>
  <c r="CN82" i="27" a="1"/>
  <c r="CN82" i="27" s="1"/>
  <c r="CT82" i="27" a="1"/>
  <c r="CT82" i="27" s="1"/>
  <c r="CC82" i="27" a="1"/>
  <c r="CC82" i="27" s="1"/>
  <c r="CI82" i="27" a="1"/>
  <c r="CI82" i="27" s="1"/>
  <c r="CP82" i="27" a="1"/>
  <c r="CP82" i="27" s="1"/>
  <c r="CV82" i="27" a="1"/>
  <c r="CV82" i="27" s="1"/>
  <c r="CL82" i="27" a="1"/>
  <c r="CL82" i="27" s="1"/>
  <c r="CO82" i="27" a="1"/>
  <c r="CO82" i="27" s="1"/>
  <c r="CQ82" i="27" a="1"/>
  <c r="CQ82" i="27" s="1"/>
  <c r="CB82" i="27" a="1"/>
  <c r="CB82" i="27" s="1"/>
  <c r="CS82" i="27" a="1"/>
  <c r="CS82" i="27" s="1"/>
  <c r="CE82" i="27" a="1"/>
  <c r="CE82" i="27" s="1"/>
  <c r="CU82" i="27" a="1"/>
  <c r="CU82" i="27" s="1"/>
  <c r="CG82" i="27" a="1"/>
  <c r="CG82" i="27" s="1"/>
  <c r="BY82" i="27" a="1"/>
  <c r="BY82" i="27" s="1"/>
  <c r="BZ68" i="27" a="1"/>
  <c r="BZ68" i="27" s="1"/>
  <c r="CF68" i="27" a="1"/>
  <c r="CF68" i="27" s="1"/>
  <c r="CK68" i="27" a="1"/>
  <c r="CK68" i="27" s="1"/>
  <c r="CR68" i="27" a="1"/>
  <c r="CR68" i="27" s="1"/>
  <c r="CA68" i="27" a="1"/>
  <c r="CA68" i="27" s="1"/>
  <c r="CH68" i="27" a="1"/>
  <c r="CH68" i="27" s="1"/>
  <c r="CM68" i="27" a="1"/>
  <c r="CM68" i="27" s="1"/>
  <c r="CS68" i="27" a="1"/>
  <c r="CS68" i="27" s="1"/>
  <c r="CB68" i="27" a="1"/>
  <c r="CB68" i="27" s="1"/>
  <c r="CI68" i="27" a="1"/>
  <c r="CI68" i="27" s="1"/>
  <c r="CO68" i="27" a="1"/>
  <c r="CO68" i="27" s="1"/>
  <c r="CU68" i="27" a="1"/>
  <c r="CU68" i="27" s="1"/>
  <c r="CC68" i="27" a="1"/>
  <c r="CC68" i="27" s="1"/>
  <c r="CP68" i="27" a="1"/>
  <c r="CP68" i="27" s="1"/>
  <c r="CV68" i="27" a="1"/>
  <c r="CV68" i="27" s="1"/>
  <c r="CE68" i="27" a="1"/>
  <c r="CE68" i="27" s="1"/>
  <c r="CL68" i="27" a="1"/>
  <c r="CL68" i="27" s="1"/>
  <c r="CQ68" i="27" a="1"/>
  <c r="CQ68" i="27" s="1"/>
  <c r="CG68" i="27" a="1"/>
  <c r="CG68" i="27" s="1"/>
  <c r="CN68" i="27" a="1"/>
  <c r="CN68" i="27" s="1"/>
  <c r="CT68" i="27" a="1"/>
  <c r="CT68" i="27" s="1"/>
  <c r="CJ68" i="27" a="1"/>
  <c r="CJ68" i="27" s="1"/>
  <c r="CD68" i="27" a="1"/>
  <c r="CD68" i="27" s="1"/>
  <c r="BY68" i="27" a="1"/>
  <c r="BY68" i="27" s="1"/>
  <c r="BZ131" i="27" a="1"/>
  <c r="BZ131" i="27" s="1"/>
  <c r="CH131" i="27" a="1"/>
  <c r="CH131" i="27" s="1"/>
  <c r="CP131" i="27" a="1"/>
  <c r="CP131" i="27" s="1"/>
  <c r="CA131" i="27" a="1"/>
  <c r="CA131" i="27" s="1"/>
  <c r="CI131" i="27" a="1"/>
  <c r="CI131" i="27" s="1"/>
  <c r="CQ131" i="27" a="1"/>
  <c r="CQ131" i="27" s="1"/>
  <c r="CB131" i="27" a="1"/>
  <c r="CB131" i="27" s="1"/>
  <c r="CJ131" i="27" a="1"/>
  <c r="CJ131" i="27" s="1"/>
  <c r="CR131" i="27" a="1"/>
  <c r="CR131" i="27" s="1"/>
  <c r="CC131" i="27" a="1"/>
  <c r="CC131" i="27" s="1"/>
  <c r="CK131" i="27" a="1"/>
  <c r="CK131" i="27" s="1"/>
  <c r="CS131" i="27" a="1"/>
  <c r="CS131" i="27" s="1"/>
  <c r="CD131" i="27" a="1"/>
  <c r="CD131" i="27" s="1"/>
  <c r="CL131" i="27" a="1"/>
  <c r="CL131" i="27" s="1"/>
  <c r="CT131" i="27" a="1"/>
  <c r="CT131" i="27" s="1"/>
  <c r="CE131" i="27" a="1"/>
  <c r="CE131" i="27" s="1"/>
  <c r="CM131" i="27" a="1"/>
  <c r="CM131" i="27" s="1"/>
  <c r="CU131" i="27" a="1"/>
  <c r="CU131" i="27" s="1"/>
  <c r="CG131" i="27" a="1"/>
  <c r="CG131" i="27" s="1"/>
  <c r="CO131" i="27" a="1"/>
  <c r="CO131" i="27" s="1"/>
  <c r="CN131" i="27" a="1"/>
  <c r="CN131" i="27" s="1"/>
  <c r="CV131" i="27" a="1"/>
  <c r="CV131" i="27" s="1"/>
  <c r="CF131" i="27" a="1"/>
  <c r="CF131" i="27" s="1"/>
  <c r="BY131" i="27" a="1"/>
  <c r="BY131" i="27" s="1"/>
  <c r="BZ45" i="27" a="1"/>
  <c r="BZ45" i="27" s="1"/>
  <c r="CL45" i="27" a="1"/>
  <c r="CL45" i="27" s="1"/>
  <c r="CR45" i="27" a="1"/>
  <c r="CR45" i="27" s="1"/>
  <c r="CB45" i="27" a="1"/>
  <c r="CB45" i="27" s="1"/>
  <c r="CN45" i="27" a="1"/>
  <c r="CN45" i="27" s="1"/>
  <c r="CS45" i="27" a="1"/>
  <c r="CS45" i="27" s="1"/>
  <c r="CD45" i="27" a="1"/>
  <c r="CD45" i="27" s="1"/>
  <c r="CU45" i="27" a="1"/>
  <c r="CU45" i="27" s="1"/>
  <c r="CI45" i="27" a="1"/>
  <c r="CI45" i="27" s="1"/>
  <c r="CP45" i="27" a="1"/>
  <c r="CP45" i="27" s="1"/>
  <c r="CV45" i="27" a="1"/>
  <c r="CV45" i="27" s="1"/>
  <c r="CF45" i="27" a="1"/>
  <c r="CF45" i="27" s="1"/>
  <c r="CK45" i="27" a="1"/>
  <c r="CK45" i="27" s="1"/>
  <c r="CQ45" i="27" a="1"/>
  <c r="CQ45" i="27" s="1"/>
  <c r="CH45" i="27" a="1"/>
  <c r="CH45" i="27" s="1"/>
  <c r="CM45" i="27" a="1"/>
  <c r="CM45" i="27" s="1"/>
  <c r="CA45" i="27" a="1"/>
  <c r="CA45" i="27" s="1"/>
  <c r="CC45" i="27" a="1"/>
  <c r="CC45" i="27" s="1"/>
  <c r="CG45" i="27" a="1"/>
  <c r="CG45" i="27" s="1"/>
  <c r="CE45" i="27" a="1"/>
  <c r="CE45" i="27" s="1"/>
  <c r="CO45" i="27" a="1"/>
  <c r="CO45" i="27" s="1"/>
  <c r="CJ45" i="27" a="1"/>
  <c r="CJ45" i="27" s="1"/>
  <c r="CT45" i="27" a="1"/>
  <c r="CT45" i="27" s="1"/>
  <c r="BY45" i="27" a="1"/>
  <c r="BY45" i="27" s="1"/>
  <c r="CC67" i="27" a="1"/>
  <c r="CC67" i="27" s="1"/>
  <c r="CP67" i="27" a="1"/>
  <c r="CP67" i="27" s="1"/>
  <c r="CE67" i="27" a="1"/>
  <c r="CE67" i="27" s="1"/>
  <c r="CK67" i="27" a="1"/>
  <c r="CK67" i="27" s="1"/>
  <c r="CG67" i="27" a="1"/>
  <c r="CG67" i="27" s="1"/>
  <c r="CM67" i="27" a="1"/>
  <c r="CM67" i="27" s="1"/>
  <c r="CS67" i="27" a="1"/>
  <c r="CS67" i="27" s="1"/>
  <c r="CA67" i="27" a="1"/>
  <c r="CA67" i="27" s="1"/>
  <c r="CH67" i="27" a="1"/>
  <c r="CH67" i="27" s="1"/>
  <c r="CN67" i="27" a="1"/>
  <c r="CN67" i="27" s="1"/>
  <c r="CT67" i="27" a="1"/>
  <c r="CT67" i="27" s="1"/>
  <c r="CB67" i="27" a="1"/>
  <c r="CB67" i="27" s="1"/>
  <c r="CI67" i="27" a="1"/>
  <c r="CI67" i="27" s="1"/>
  <c r="CV67" i="27" a="1"/>
  <c r="CV67" i="27" s="1"/>
  <c r="CO67" i="27" a="1"/>
  <c r="CO67" i="27" s="1"/>
  <c r="CR67" i="27" a="1"/>
  <c r="CR67" i="27" s="1"/>
  <c r="CF67" i="27" a="1"/>
  <c r="CF67" i="27" s="1"/>
  <c r="CL67" i="27" a="1"/>
  <c r="CL67" i="27" s="1"/>
  <c r="BZ67" i="27" a="1"/>
  <c r="BZ67" i="27" s="1"/>
  <c r="CD67" i="27" a="1"/>
  <c r="CD67" i="27" s="1"/>
  <c r="CJ67" i="27" a="1"/>
  <c r="CJ67" i="27" s="1"/>
  <c r="CQ67" i="27" a="1"/>
  <c r="CQ67" i="27" s="1"/>
  <c r="CU67" i="27" a="1"/>
  <c r="CU67" i="27" s="1"/>
  <c r="BY67" i="27" a="1"/>
  <c r="BY67" i="27" s="1"/>
  <c r="CR30" i="27" a="1"/>
  <c r="CR30" i="27" s="1"/>
  <c r="BZ30" i="27" a="1"/>
  <c r="BZ30" i="27" s="1"/>
  <c r="CG30" i="27" a="1"/>
  <c r="CG30" i="27" s="1"/>
  <c r="CM30" i="27" a="1"/>
  <c r="CM30" i="27" s="1"/>
  <c r="CB30" i="27" a="1"/>
  <c r="CB30" i="27" s="1"/>
  <c r="CO30" i="27" a="1"/>
  <c r="CO30" i="27" s="1"/>
  <c r="CC30" i="27" a="1"/>
  <c r="CC30" i="27" s="1"/>
  <c r="CI30" i="27" a="1"/>
  <c r="CI30" i="27" s="1"/>
  <c r="CP30" i="27" a="1"/>
  <c r="CP30" i="27" s="1"/>
  <c r="CU30" i="27" a="1"/>
  <c r="CU30" i="27" s="1"/>
  <c r="CE30" i="27" a="1"/>
  <c r="CE30" i="27" s="1"/>
  <c r="CK30" i="27" a="1"/>
  <c r="CK30" i="27" s="1"/>
  <c r="CJ30" i="27" a="1"/>
  <c r="CJ30" i="27" s="1"/>
  <c r="CN30" i="27" a="1"/>
  <c r="CN30" i="27" s="1"/>
  <c r="CA30" i="27" a="1"/>
  <c r="CA30" i="27" s="1"/>
  <c r="CS30" i="27" a="1"/>
  <c r="CS30" i="27" s="1"/>
  <c r="CD30" i="27" a="1"/>
  <c r="CD30" i="27" s="1"/>
  <c r="CT30" i="27" a="1"/>
  <c r="CT30" i="27" s="1"/>
  <c r="CH30" i="27" a="1"/>
  <c r="CH30" i="27" s="1"/>
  <c r="CV30" i="27" a="1"/>
  <c r="CV30" i="27" s="1"/>
  <c r="CF30" i="27" a="1"/>
  <c r="CF30" i="27" s="1"/>
  <c r="CQ30" i="27" a="1"/>
  <c r="CQ30" i="27" s="1"/>
  <c r="CL30" i="27" a="1"/>
  <c r="CL30" i="27" s="1"/>
  <c r="BY30" i="27" a="1"/>
  <c r="BY30" i="27" s="1"/>
  <c r="CB63" i="27" a="1"/>
  <c r="CB63" i="27" s="1"/>
  <c r="CH63" i="27" a="1"/>
  <c r="CH63" i="27" s="1"/>
  <c r="CN63" i="27" a="1"/>
  <c r="CN63" i="27" s="1"/>
  <c r="CD63" i="27" a="1"/>
  <c r="CD63" i="27" s="1"/>
  <c r="CJ63" i="27" a="1"/>
  <c r="CJ63" i="27" s="1"/>
  <c r="CP63" i="27" a="1"/>
  <c r="CP63" i="27" s="1"/>
  <c r="CV63" i="27" a="1"/>
  <c r="CV63" i="27" s="1"/>
  <c r="CE63" i="27" a="1"/>
  <c r="CE63" i="27" s="1"/>
  <c r="CR63" i="27" a="1"/>
  <c r="CR63" i="27" s="1"/>
  <c r="CL63" i="27" a="1"/>
  <c r="CL63" i="27" s="1"/>
  <c r="CS63" i="27" a="1"/>
  <c r="CS63" i="27" s="1"/>
  <c r="CA63" i="27" a="1"/>
  <c r="CA63" i="27" s="1"/>
  <c r="CG63" i="27" a="1"/>
  <c r="CG63" i="27" s="1"/>
  <c r="CT63" i="27" a="1"/>
  <c r="CT63" i="27" s="1"/>
  <c r="CF63" i="27" a="1"/>
  <c r="CF63" i="27" s="1"/>
  <c r="CK63" i="27" a="1"/>
  <c r="CK63" i="27" s="1"/>
  <c r="CO63" i="27" a="1"/>
  <c r="CO63" i="27" s="1"/>
  <c r="BZ63" i="27" a="1"/>
  <c r="BZ63" i="27" s="1"/>
  <c r="CQ63" i="27" a="1"/>
  <c r="CQ63" i="27" s="1"/>
  <c r="CU63" i="27" a="1"/>
  <c r="CU63" i="27" s="1"/>
  <c r="CC63" i="27" a="1"/>
  <c r="CC63" i="27" s="1"/>
  <c r="CI63" i="27" a="1"/>
  <c r="CI63" i="27" s="1"/>
  <c r="CM63" i="27" a="1"/>
  <c r="CM63" i="27" s="1"/>
  <c r="BY63" i="27" a="1"/>
  <c r="BY63" i="27" s="1"/>
  <c r="CG13" i="27" a="1"/>
  <c r="CG13" i="27" s="1"/>
  <c r="CO13" i="27" a="1"/>
  <c r="CO13" i="27" s="1"/>
  <c r="CA13" i="27" a="1"/>
  <c r="CA13" i="27" s="1"/>
  <c r="CI13" i="27" a="1"/>
  <c r="CI13" i="27" s="1"/>
  <c r="CQ13" i="27" a="1"/>
  <c r="CQ13" i="27" s="1"/>
  <c r="CC13" i="27" a="1"/>
  <c r="CC13" i="27" s="1"/>
  <c r="CK13" i="27" a="1"/>
  <c r="CK13" i="27" s="1"/>
  <c r="CS13" i="27" a="1"/>
  <c r="CS13" i="27" s="1"/>
  <c r="CD13" i="27" a="1"/>
  <c r="CD13" i="27" s="1"/>
  <c r="CL13" i="27" a="1"/>
  <c r="CL13" i="27" s="1"/>
  <c r="CT13" i="27" a="1"/>
  <c r="CT13" i="27" s="1"/>
  <c r="CF13" i="27" a="1"/>
  <c r="CF13" i="27" s="1"/>
  <c r="CN13" i="27" a="1"/>
  <c r="CN13" i="27" s="1"/>
  <c r="CV13" i="27" a="1"/>
  <c r="CV13" i="27" s="1"/>
  <c r="CM13" i="27" a="1"/>
  <c r="CM13" i="27" s="1"/>
  <c r="CR13" i="27" a="1"/>
  <c r="CR13" i="27" s="1"/>
  <c r="CB13" i="27" a="1"/>
  <c r="CB13" i="27" s="1"/>
  <c r="CE13" i="27" a="1"/>
  <c r="CE13" i="27" s="1"/>
  <c r="CJ13" i="27" a="1"/>
  <c r="CJ13" i="27" s="1"/>
  <c r="CU13" i="27" a="1"/>
  <c r="CU13" i="27" s="1"/>
  <c r="BZ13" i="27" a="1"/>
  <c r="BZ13" i="27" s="1"/>
  <c r="CP13" i="27" a="1"/>
  <c r="CP13" i="27" s="1"/>
  <c r="CH13" i="27" a="1"/>
  <c r="CH13" i="27" s="1"/>
  <c r="BY13" i="27" a="1"/>
  <c r="BY13" i="27" s="1"/>
  <c r="CI105" i="27" a="1"/>
  <c r="CI105" i="27" s="1"/>
  <c r="CV105" i="27" a="1"/>
  <c r="CV105" i="27" s="1"/>
  <c r="CE105" i="27" a="1"/>
  <c r="CE105" i="27" s="1"/>
  <c r="CK105" i="27" a="1"/>
  <c r="CK105" i="27" s="1"/>
  <c r="CQ105" i="27" a="1"/>
  <c r="CQ105" i="27" s="1"/>
  <c r="BZ105" i="27" a="1"/>
  <c r="BZ105" i="27" s="1"/>
  <c r="CF105" i="27" a="1"/>
  <c r="CF105" i="27" s="1"/>
  <c r="CM105" i="27" a="1"/>
  <c r="CM105" i="27" s="1"/>
  <c r="CR105" i="27" a="1"/>
  <c r="CR105" i="27" s="1"/>
  <c r="CA105" i="27" a="1"/>
  <c r="CA105" i="27" s="1"/>
  <c r="CN105" i="27" a="1"/>
  <c r="CN105" i="27" s="1"/>
  <c r="CS105" i="27" a="1"/>
  <c r="CS105" i="27" s="1"/>
  <c r="CC105" i="27" a="1"/>
  <c r="CC105" i="27" s="1"/>
  <c r="CH105" i="27" a="1"/>
  <c r="CH105" i="27" s="1"/>
  <c r="CO105" i="27" a="1"/>
  <c r="CO105" i="27" s="1"/>
  <c r="CU105" i="27" a="1"/>
  <c r="CU105" i="27" s="1"/>
  <c r="CG105" i="27" a="1"/>
  <c r="CG105" i="27" s="1"/>
  <c r="CJ105" i="27" a="1"/>
  <c r="CJ105" i="27" s="1"/>
  <c r="CL105" i="27" a="1"/>
  <c r="CL105" i="27" s="1"/>
  <c r="CP105" i="27" a="1"/>
  <c r="CP105" i="27" s="1"/>
  <c r="CD105" i="27" a="1"/>
  <c r="CD105" i="27" s="1"/>
  <c r="CT105" i="27" a="1"/>
  <c r="CT105" i="27" s="1"/>
  <c r="CB105" i="27" a="1"/>
  <c r="CB105" i="27" s="1"/>
  <c r="BY105" i="27" a="1"/>
  <c r="BY105" i="27" s="1"/>
  <c r="CR103" i="27" a="1"/>
  <c r="CR103" i="27" s="1"/>
  <c r="BZ103" i="27" a="1"/>
  <c r="BZ103" i="27" s="1"/>
  <c r="CG103" i="27" a="1"/>
  <c r="CG103" i="27" s="1"/>
  <c r="CM103" i="27" a="1"/>
  <c r="CM103" i="27" s="1"/>
  <c r="CB103" i="27" a="1"/>
  <c r="CB103" i="27" s="1"/>
  <c r="CO103" i="27" a="1"/>
  <c r="CO103" i="27" s="1"/>
  <c r="CC103" i="27" a="1"/>
  <c r="CC103" i="27" s="1"/>
  <c r="CI103" i="27" a="1"/>
  <c r="CI103" i="27" s="1"/>
  <c r="CP103" i="27" a="1"/>
  <c r="CP103" i="27" s="1"/>
  <c r="CU103" i="27" a="1"/>
  <c r="CU103" i="27" s="1"/>
  <c r="CE103" i="27" a="1"/>
  <c r="CE103" i="27" s="1"/>
  <c r="CK103" i="27" a="1"/>
  <c r="CK103" i="27" s="1"/>
  <c r="CA103" i="27" a="1"/>
  <c r="CA103" i="27" s="1"/>
  <c r="CS103" i="27" a="1"/>
  <c r="CS103" i="27" s="1"/>
  <c r="CD103" i="27" a="1"/>
  <c r="CD103" i="27" s="1"/>
  <c r="CT103" i="27" a="1"/>
  <c r="CT103" i="27" s="1"/>
  <c r="CF103" i="27" a="1"/>
  <c r="CF103" i="27" s="1"/>
  <c r="CV103" i="27" a="1"/>
  <c r="CV103" i="27" s="1"/>
  <c r="CH103" i="27" a="1"/>
  <c r="CH103" i="27" s="1"/>
  <c r="CJ103" i="27" a="1"/>
  <c r="CJ103" i="27" s="1"/>
  <c r="CL103" i="27" a="1"/>
  <c r="CL103" i="27" s="1"/>
  <c r="CQ103" i="27" a="1"/>
  <c r="CQ103" i="27" s="1"/>
  <c r="CN103" i="27" a="1"/>
  <c r="CN103" i="27" s="1"/>
  <c r="BY103" i="27" a="1"/>
  <c r="BY103" i="27" s="1"/>
  <c r="CB108" i="27" a="1"/>
  <c r="CB108" i="27" s="1"/>
  <c r="CO108" i="27" a="1"/>
  <c r="CO108" i="27" s="1"/>
  <c r="CD108" i="27" a="1"/>
  <c r="CD108" i="27" s="1"/>
  <c r="CQ108" i="27" a="1"/>
  <c r="CQ108" i="27" s="1"/>
  <c r="BZ108" i="27" a="1"/>
  <c r="BZ108" i="27" s="1"/>
  <c r="CF108" i="27" a="1"/>
  <c r="CF108" i="27" s="1"/>
  <c r="CL108" i="27" a="1"/>
  <c r="CL108" i="27" s="1"/>
  <c r="CG108" i="27" a="1"/>
  <c r="CG108" i="27" s="1"/>
  <c r="CS108" i="27" a="1"/>
  <c r="CS108" i="27" s="1"/>
  <c r="CI108" i="27" a="1"/>
  <c r="CI108" i="27" s="1"/>
  <c r="CN108" i="27" a="1"/>
  <c r="CN108" i="27" s="1"/>
  <c r="CU108" i="27" a="1"/>
  <c r="CU108" i="27" s="1"/>
  <c r="CC108" i="27" a="1"/>
  <c r="CC108" i="27" s="1"/>
  <c r="CT108" i="27" a="1"/>
  <c r="CT108" i="27" s="1"/>
  <c r="CE108" i="27" a="1"/>
  <c r="CE108" i="27" s="1"/>
  <c r="CV108" i="27" a="1"/>
  <c r="CV108" i="27" s="1"/>
  <c r="CH108" i="27" a="1"/>
  <c r="CH108" i="27" s="1"/>
  <c r="CJ108" i="27" a="1"/>
  <c r="CJ108" i="27" s="1"/>
  <c r="CK108" i="27" a="1"/>
  <c r="CK108" i="27" s="1"/>
  <c r="CM108" i="27" a="1"/>
  <c r="CM108" i="27" s="1"/>
  <c r="CA108" i="27" a="1"/>
  <c r="CA108" i="27" s="1"/>
  <c r="CR108" i="27" a="1"/>
  <c r="CR108" i="27" s="1"/>
  <c r="CP108" i="27" a="1"/>
  <c r="CP108" i="27" s="1"/>
  <c r="BY108" i="27" a="1"/>
  <c r="BY108" i="27" s="1"/>
  <c r="CF65" i="27" a="1"/>
  <c r="CF65" i="27" s="1"/>
  <c r="CM65" i="27" a="1"/>
  <c r="CM65" i="27" s="1"/>
  <c r="CR65" i="27" a="1"/>
  <c r="CR65" i="27" s="1"/>
  <c r="CA65" i="27" a="1"/>
  <c r="CA65" i="27" s="1"/>
  <c r="CG65" i="27" a="1"/>
  <c r="CG65" i="27" s="1"/>
  <c r="CN65" i="27" a="1"/>
  <c r="CN65" i="27" s="1"/>
  <c r="CT65" i="27" a="1"/>
  <c r="CT65" i="27" s="1"/>
  <c r="CC65" i="27" a="1"/>
  <c r="CC65" i="27" s="1"/>
  <c r="CI65" i="27" a="1"/>
  <c r="CI65" i="27" s="1"/>
  <c r="CO65" i="27" a="1"/>
  <c r="CO65" i="27" s="1"/>
  <c r="CV65" i="27" a="1"/>
  <c r="CV65" i="27" s="1"/>
  <c r="CD65" i="27" a="1"/>
  <c r="CD65" i="27" s="1"/>
  <c r="CJ65" i="27" a="1"/>
  <c r="CJ65" i="27" s="1"/>
  <c r="CL65" i="27" a="1"/>
  <c r="CL65" i="27" s="1"/>
  <c r="CQ65" i="27" a="1"/>
  <c r="CQ65" i="27" s="1"/>
  <c r="CK65" i="27" a="1"/>
  <c r="CK65" i="27" s="1"/>
  <c r="CB65" i="27" a="1"/>
  <c r="CB65" i="27" s="1"/>
  <c r="CS65" i="27" a="1"/>
  <c r="CS65" i="27" s="1"/>
  <c r="CE65" i="27" a="1"/>
  <c r="CE65" i="27" s="1"/>
  <c r="CU65" i="27" a="1"/>
  <c r="CU65" i="27" s="1"/>
  <c r="CH65" i="27" a="1"/>
  <c r="CH65" i="27" s="1"/>
  <c r="BZ65" i="27" a="1"/>
  <c r="BZ65" i="27" s="1"/>
  <c r="CP65" i="27" a="1"/>
  <c r="CP65" i="27" s="1"/>
  <c r="BY65" i="27" a="1"/>
  <c r="BY65" i="27" s="1"/>
  <c r="CF20" i="27" a="1"/>
  <c r="CF20" i="27" s="1"/>
  <c r="CN20" i="27" a="1"/>
  <c r="CN20" i="27" s="1"/>
  <c r="CU20" i="27" a="1"/>
  <c r="CU20" i="27" s="1"/>
  <c r="BZ20" i="27" a="1"/>
  <c r="BZ20" i="27" s="1"/>
  <c r="CH20" i="27" a="1"/>
  <c r="CH20" i="27" s="1"/>
  <c r="CO20" i="27" a="1"/>
  <c r="CO20" i="27" s="1"/>
  <c r="CB20" i="27" a="1"/>
  <c r="CB20" i="27" s="1"/>
  <c r="CJ20" i="27" a="1"/>
  <c r="CJ20" i="27" s="1"/>
  <c r="CQ20" i="27" a="1"/>
  <c r="CQ20" i="27" s="1"/>
  <c r="CC20" i="27" a="1"/>
  <c r="CC20" i="27" s="1"/>
  <c r="CK20" i="27" a="1"/>
  <c r="CK20" i="27" s="1"/>
  <c r="CR20" i="27" a="1"/>
  <c r="CR20" i="27" s="1"/>
  <c r="CE20" i="27" a="1"/>
  <c r="CE20" i="27" s="1"/>
  <c r="CM20" i="27" a="1"/>
  <c r="CM20" i="27" s="1"/>
  <c r="CT20" i="27" a="1"/>
  <c r="CT20" i="27" s="1"/>
  <c r="CA20" i="27" a="1"/>
  <c r="CA20" i="27" s="1"/>
  <c r="CV20" i="27" a="1"/>
  <c r="CV20" i="27" s="1"/>
  <c r="CG20" i="27" a="1"/>
  <c r="CG20" i="27" s="1"/>
  <c r="CL20" i="27" a="1"/>
  <c r="CL20" i="27" s="1"/>
  <c r="CS20" i="27" a="1"/>
  <c r="CS20" i="27" s="1"/>
  <c r="CD20" i="27" a="1"/>
  <c r="CD20" i="27" s="1"/>
  <c r="CI20" i="27" a="1"/>
  <c r="CI20" i="27" s="1"/>
  <c r="CP20" i="27" a="1"/>
  <c r="CP20" i="27" s="1"/>
  <c r="BY20" i="27" a="1"/>
  <c r="BY20" i="27" s="1"/>
  <c r="CF129" i="27" a="1"/>
  <c r="CF129" i="27" s="1"/>
  <c r="CN129" i="27" a="1"/>
  <c r="CN129" i="27" s="1"/>
  <c r="CV129" i="27" a="1"/>
  <c r="CV129" i="27" s="1"/>
  <c r="CG129" i="27" a="1"/>
  <c r="CG129" i="27" s="1"/>
  <c r="CO129" i="27" a="1"/>
  <c r="CO129" i="27" s="1"/>
  <c r="BZ129" i="27" a="1"/>
  <c r="BZ129" i="27" s="1"/>
  <c r="CH129" i="27" a="1"/>
  <c r="CH129" i="27" s="1"/>
  <c r="CP129" i="27" a="1"/>
  <c r="CP129" i="27" s="1"/>
  <c r="CA129" i="27" a="1"/>
  <c r="CA129" i="27" s="1"/>
  <c r="CI129" i="27" a="1"/>
  <c r="CI129" i="27" s="1"/>
  <c r="CQ129" i="27" a="1"/>
  <c r="CQ129" i="27" s="1"/>
  <c r="CB129" i="27" a="1"/>
  <c r="CB129" i="27" s="1"/>
  <c r="CJ129" i="27" a="1"/>
  <c r="CJ129" i="27" s="1"/>
  <c r="CR129" i="27" a="1"/>
  <c r="CR129" i="27" s="1"/>
  <c r="CC129" i="27" a="1"/>
  <c r="CC129" i="27" s="1"/>
  <c r="CK129" i="27" a="1"/>
  <c r="CK129" i="27" s="1"/>
  <c r="CS129" i="27" a="1"/>
  <c r="CS129" i="27" s="1"/>
  <c r="CE129" i="27" a="1"/>
  <c r="CE129" i="27" s="1"/>
  <c r="CM129" i="27" a="1"/>
  <c r="CM129" i="27" s="1"/>
  <c r="CU129" i="27" a="1"/>
  <c r="CU129" i="27" s="1"/>
  <c r="CD129" i="27" a="1"/>
  <c r="CD129" i="27" s="1"/>
  <c r="CL129" i="27" a="1"/>
  <c r="CL129" i="27" s="1"/>
  <c r="CT129" i="27" a="1"/>
  <c r="CT129" i="27" s="1"/>
  <c r="BY129" i="27" a="1"/>
  <c r="BY129" i="27" s="1"/>
  <c r="CE123" i="27" a="1"/>
  <c r="CE123" i="27" s="1"/>
  <c r="CM123" i="27" a="1"/>
  <c r="CM123" i="27" s="1"/>
  <c r="CU123" i="27" a="1"/>
  <c r="CU123" i="27" s="1"/>
  <c r="CG123" i="27" a="1"/>
  <c r="CG123" i="27" s="1"/>
  <c r="CO123" i="27" a="1"/>
  <c r="CO123" i="27" s="1"/>
  <c r="BZ123" i="27" a="1"/>
  <c r="BZ123" i="27" s="1"/>
  <c r="CH123" i="27" a="1"/>
  <c r="CH123" i="27" s="1"/>
  <c r="CP123" i="27" a="1"/>
  <c r="CP123" i="27" s="1"/>
  <c r="CB123" i="27" a="1"/>
  <c r="CB123" i="27" s="1"/>
  <c r="CJ123" i="27" a="1"/>
  <c r="CJ123" i="27" s="1"/>
  <c r="CR123" i="27" a="1"/>
  <c r="CR123" i="27" s="1"/>
  <c r="CA123" i="27" a="1"/>
  <c r="CA123" i="27" s="1"/>
  <c r="CQ123" i="27" a="1"/>
  <c r="CQ123" i="27" s="1"/>
  <c r="CC123" i="27" a="1"/>
  <c r="CC123" i="27" s="1"/>
  <c r="CS123" i="27" a="1"/>
  <c r="CS123" i="27" s="1"/>
  <c r="CD123" i="27" a="1"/>
  <c r="CD123" i="27" s="1"/>
  <c r="CT123" i="27" a="1"/>
  <c r="CT123" i="27" s="1"/>
  <c r="CF123" i="27" a="1"/>
  <c r="CF123" i="27" s="1"/>
  <c r="CV123" i="27" a="1"/>
  <c r="CV123" i="27" s="1"/>
  <c r="CI123" i="27" a="1"/>
  <c r="CI123" i="27" s="1"/>
  <c r="CK123" i="27" a="1"/>
  <c r="CK123" i="27" s="1"/>
  <c r="CN123" i="27" a="1"/>
  <c r="CN123" i="27" s="1"/>
  <c r="CL123" i="27" a="1"/>
  <c r="CL123" i="27" s="1"/>
  <c r="BY123" i="27" a="1"/>
  <c r="BY123" i="27" s="1"/>
  <c r="CF100" i="27" a="1"/>
  <c r="CF100" i="27" s="1"/>
  <c r="CL100" i="27" a="1"/>
  <c r="CL100" i="27" s="1"/>
  <c r="CR100" i="27" a="1"/>
  <c r="CR100" i="27" s="1"/>
  <c r="BZ100" i="27" a="1"/>
  <c r="BZ100" i="27" s="1"/>
  <c r="CH100" i="27" a="1"/>
  <c r="CH100" i="27" s="1"/>
  <c r="CT100" i="27" a="1"/>
  <c r="CT100" i="27" s="1"/>
  <c r="CA100" i="27" a="1"/>
  <c r="CA100" i="27" s="1"/>
  <c r="CB100" i="27" a="1"/>
  <c r="CB100" i="27" s="1"/>
  <c r="CO100" i="27" a="1"/>
  <c r="CO100" i="27" s="1"/>
  <c r="CV100" i="27" a="1"/>
  <c r="CV100" i="27" s="1"/>
  <c r="CC100" i="27" a="1"/>
  <c r="CC100" i="27" s="1"/>
  <c r="CJ100" i="27" a="1"/>
  <c r="CJ100" i="27" s="1"/>
  <c r="CP100" i="27" a="1"/>
  <c r="CP100" i="27" s="1"/>
  <c r="CE100" i="27" a="1"/>
  <c r="CE100" i="27" s="1"/>
  <c r="CK100" i="27" a="1"/>
  <c r="CK100" i="27" s="1"/>
  <c r="CQ100" i="27" a="1"/>
  <c r="CQ100" i="27" s="1"/>
  <c r="CD100" i="27" a="1"/>
  <c r="CD100" i="27" s="1"/>
  <c r="CU100" i="27" a="1"/>
  <c r="CU100" i="27" s="1"/>
  <c r="CG100" i="27" a="1"/>
  <c r="CG100" i="27" s="1"/>
  <c r="CI100" i="27" a="1"/>
  <c r="CI100" i="27" s="1"/>
  <c r="CM100" i="27" a="1"/>
  <c r="CM100" i="27" s="1"/>
  <c r="CN100" i="27" a="1"/>
  <c r="CN100" i="27" s="1"/>
  <c r="CS100" i="27" a="1"/>
  <c r="CS100" i="27" s="1"/>
  <c r="BY100" i="27" a="1"/>
  <c r="BY100" i="27" s="1"/>
  <c r="CC115" i="27" a="1"/>
  <c r="CC115" i="27" s="1"/>
  <c r="CK115" i="27" a="1"/>
  <c r="CK115" i="27" s="1"/>
  <c r="CS115" i="27" a="1"/>
  <c r="CS115" i="27" s="1"/>
  <c r="CE115" i="27" a="1"/>
  <c r="CE115" i="27" s="1"/>
  <c r="CM115" i="27" a="1"/>
  <c r="CM115" i="27" s="1"/>
  <c r="CU115" i="27" a="1"/>
  <c r="CU115" i="27" s="1"/>
  <c r="CG115" i="27" a="1"/>
  <c r="CG115" i="27" s="1"/>
  <c r="CO115" i="27" a="1"/>
  <c r="CO115" i="27" s="1"/>
  <c r="BZ115" i="27" a="1"/>
  <c r="BZ115" i="27" s="1"/>
  <c r="CH115" i="27" a="1"/>
  <c r="CH115" i="27" s="1"/>
  <c r="CP115" i="27" a="1"/>
  <c r="CP115" i="27" s="1"/>
  <c r="CB115" i="27" a="1"/>
  <c r="CB115" i="27" s="1"/>
  <c r="CJ115" i="27" a="1"/>
  <c r="CJ115" i="27" s="1"/>
  <c r="CR115" i="27" a="1"/>
  <c r="CR115" i="27" s="1"/>
  <c r="CD115" i="27" a="1"/>
  <c r="CD115" i="27" s="1"/>
  <c r="CF115" i="27" a="1"/>
  <c r="CF115" i="27" s="1"/>
  <c r="CI115" i="27" a="1"/>
  <c r="CI115" i="27" s="1"/>
  <c r="CL115" i="27" a="1"/>
  <c r="CL115" i="27" s="1"/>
  <c r="CN115" i="27" a="1"/>
  <c r="CN115" i="27" s="1"/>
  <c r="CQ115" i="27" a="1"/>
  <c r="CQ115" i="27" s="1"/>
  <c r="CA115" i="27" a="1"/>
  <c r="CA115" i="27" s="1"/>
  <c r="CV115" i="27" a="1"/>
  <c r="CV115" i="27" s="1"/>
  <c r="CT115" i="27" a="1"/>
  <c r="CT115" i="27" s="1"/>
  <c r="BY115" i="27" a="1"/>
  <c r="BY115" i="27" s="1"/>
  <c r="CK111" i="27" a="1"/>
  <c r="CK111" i="27" s="1"/>
  <c r="CR111" i="27" a="1"/>
  <c r="CR111" i="27" s="1"/>
  <c r="CA111" i="27" a="1"/>
  <c r="CA111" i="27" s="1"/>
  <c r="CG111" i="27" a="1"/>
  <c r="CG111" i="27" s="1"/>
  <c r="CM111" i="27" a="1"/>
  <c r="CM111" i="27" s="1"/>
  <c r="CT111" i="27" a="1"/>
  <c r="CT111" i="27" s="1"/>
  <c r="CI111" i="27" a="1"/>
  <c r="CI111" i="27" s="1"/>
  <c r="CC111" i="27" a="1"/>
  <c r="CC111" i="27" s="1"/>
  <c r="CO111" i="27" a="1"/>
  <c r="CO111" i="27" s="1"/>
  <c r="CV111" i="27" a="1"/>
  <c r="CV111" i="27" s="1"/>
  <c r="CE111" i="27" a="1"/>
  <c r="CE111" i="27" s="1"/>
  <c r="CQ111" i="27" a="1"/>
  <c r="CQ111" i="27" s="1"/>
  <c r="CN111" i="27" a="1"/>
  <c r="CN111" i="27" s="1"/>
  <c r="BZ111" i="27" a="1"/>
  <c r="BZ111" i="27" s="1"/>
  <c r="CP111" i="27" a="1"/>
  <c r="CP111" i="27" s="1"/>
  <c r="CB111" i="27" a="1"/>
  <c r="CB111" i="27" s="1"/>
  <c r="CS111" i="27" a="1"/>
  <c r="CS111" i="27" s="1"/>
  <c r="CD111" i="27" a="1"/>
  <c r="CD111" i="27" s="1"/>
  <c r="CU111" i="27" a="1"/>
  <c r="CU111" i="27" s="1"/>
  <c r="CF111" i="27" a="1"/>
  <c r="CF111" i="27" s="1"/>
  <c r="CH111" i="27" a="1"/>
  <c r="CH111" i="27" s="1"/>
  <c r="CL111" i="27" a="1"/>
  <c r="CL111" i="27" s="1"/>
  <c r="CJ111" i="27" a="1"/>
  <c r="CJ111" i="27" s="1"/>
  <c r="BY111" i="27" a="1"/>
  <c r="BY111" i="27" s="1"/>
  <c r="CC95" i="27" a="1"/>
  <c r="CC95" i="27" s="1"/>
  <c r="CI95" i="27" a="1"/>
  <c r="CI95" i="27" s="1"/>
  <c r="CN95" i="27" a="1"/>
  <c r="CN95" i="27" s="1"/>
  <c r="CT95" i="27" a="1"/>
  <c r="CT95" i="27" s="1"/>
  <c r="CD95" i="27" a="1"/>
  <c r="CD95" i="27" s="1"/>
  <c r="CJ95" i="27" a="1"/>
  <c r="CJ95" i="27" s="1"/>
  <c r="CO95" i="27" a="1"/>
  <c r="CO95" i="27" s="1"/>
  <c r="CE95" i="27" a="1"/>
  <c r="CE95" i="27" s="1"/>
  <c r="CK95" i="27" a="1"/>
  <c r="CK95" i="27" s="1"/>
  <c r="CP95" i="27" a="1"/>
  <c r="CP95" i="27" s="1"/>
  <c r="CU95" i="27" a="1"/>
  <c r="CU95" i="27" s="1"/>
  <c r="CQ95" i="27" a="1"/>
  <c r="CQ95" i="27" s="1"/>
  <c r="BZ95" i="27" a="1"/>
  <c r="BZ95" i="27" s="1"/>
  <c r="CF95" i="27" a="1"/>
  <c r="CF95" i="27" s="1"/>
  <c r="CL95" i="27" a="1"/>
  <c r="CL95" i="27" s="1"/>
  <c r="CV95" i="27" a="1"/>
  <c r="CV95" i="27" s="1"/>
  <c r="CB95" i="27" a="1"/>
  <c r="CB95" i="27" s="1"/>
  <c r="CH95" i="27" a="1"/>
  <c r="CH95" i="27" s="1"/>
  <c r="CM95" i="27" a="1"/>
  <c r="CM95" i="27" s="1"/>
  <c r="CS95" i="27" a="1"/>
  <c r="CS95" i="27" s="1"/>
  <c r="CR95" i="27" a="1"/>
  <c r="CR95" i="27" s="1"/>
  <c r="CA95" i="27" a="1"/>
  <c r="CA95" i="27" s="1"/>
  <c r="BY95" i="27" a="1"/>
  <c r="BY95" i="27" s="1"/>
  <c r="CG95" i="27" a="1"/>
  <c r="CG95" i="27" s="1"/>
  <c r="CB51" i="27" a="1"/>
  <c r="CB51" i="27" s="1"/>
  <c r="CH51" i="27" a="1"/>
  <c r="CH51" i="27" s="1"/>
  <c r="CN51" i="27" a="1"/>
  <c r="CN51" i="27" s="1"/>
  <c r="CT51" i="27" a="1"/>
  <c r="CT51" i="27" s="1"/>
  <c r="CD51" i="27" a="1"/>
  <c r="CD51" i="27" s="1"/>
  <c r="CI51" i="27" a="1"/>
  <c r="CI51" i="27" s="1"/>
  <c r="CO51" i="27" a="1"/>
  <c r="CO51" i="27" s="1"/>
  <c r="CU51" i="27" a="1"/>
  <c r="CU51" i="27" s="1"/>
  <c r="CK51" i="27" a="1"/>
  <c r="CK51" i="27" s="1"/>
  <c r="CQ51" i="27" a="1"/>
  <c r="CQ51" i="27" s="1"/>
  <c r="CV51" i="27" a="1"/>
  <c r="CV51" i="27" s="1"/>
  <c r="CF51" i="27" a="1"/>
  <c r="CF51" i="27" s="1"/>
  <c r="CL51" i="27" a="1"/>
  <c r="CL51" i="27" s="1"/>
  <c r="CA51" i="27" a="1"/>
  <c r="CA51" i="27" s="1"/>
  <c r="CG51" i="27" a="1"/>
  <c r="CG51" i="27" s="1"/>
  <c r="CM51" i="27" a="1"/>
  <c r="CM51" i="27" s="1"/>
  <c r="CS51" i="27" a="1"/>
  <c r="CS51" i="27" s="1"/>
  <c r="BZ51" i="27" a="1"/>
  <c r="BZ51" i="27" s="1"/>
  <c r="CP51" i="27" a="1"/>
  <c r="CP51" i="27" s="1"/>
  <c r="CC51" i="27" a="1"/>
  <c r="CC51" i="27" s="1"/>
  <c r="CR51" i="27" a="1"/>
  <c r="CR51" i="27" s="1"/>
  <c r="CJ51" i="27" a="1"/>
  <c r="CJ51" i="27" s="1"/>
  <c r="CE51" i="27" a="1"/>
  <c r="CE51" i="27" s="1"/>
  <c r="BY51" i="27" a="1"/>
  <c r="BY51" i="27" s="1"/>
  <c r="CA107" i="27" a="1"/>
  <c r="CA107" i="27" s="1"/>
  <c r="CG107" i="27" a="1"/>
  <c r="CG107" i="27" s="1"/>
  <c r="CM107" i="27" a="1"/>
  <c r="CM107" i="27" s="1"/>
  <c r="CT107" i="27" a="1"/>
  <c r="CT107" i="27" s="1"/>
  <c r="CB107" i="27" a="1"/>
  <c r="CB107" i="27" s="1"/>
  <c r="CI107" i="27" a="1"/>
  <c r="CI107" i="27" s="1"/>
  <c r="CO107" i="27" a="1"/>
  <c r="CO107" i="27" s="1"/>
  <c r="CJ107" i="27" a="1"/>
  <c r="CJ107" i="27" s="1"/>
  <c r="CP107" i="27" a="1"/>
  <c r="CP107" i="27" s="1"/>
  <c r="CD107" i="27" a="1"/>
  <c r="CD107" i="27" s="1"/>
  <c r="CK107" i="27" a="1"/>
  <c r="CK107" i="27" s="1"/>
  <c r="CQ107" i="27" a="1"/>
  <c r="CQ107" i="27" s="1"/>
  <c r="CF107" i="27" a="1"/>
  <c r="CF107" i="27" s="1"/>
  <c r="CS107" i="27" a="1"/>
  <c r="CS107" i="27" s="1"/>
  <c r="CL107" i="27" a="1"/>
  <c r="CL107" i="27" s="1"/>
  <c r="CN107" i="27" a="1"/>
  <c r="CN107" i="27" s="1"/>
  <c r="BZ107" i="27" a="1"/>
  <c r="BZ107" i="27" s="1"/>
  <c r="CR107" i="27" a="1"/>
  <c r="CR107" i="27" s="1"/>
  <c r="CC107" i="27" a="1"/>
  <c r="CC107" i="27" s="1"/>
  <c r="CU107" i="27" a="1"/>
  <c r="CU107" i="27" s="1"/>
  <c r="CH107" i="27" a="1"/>
  <c r="CH107" i="27" s="1"/>
  <c r="CE107" i="27" a="1"/>
  <c r="CE107" i="27" s="1"/>
  <c r="CV107" i="27" a="1"/>
  <c r="CV107" i="27" s="1"/>
  <c r="BY107" i="27" a="1"/>
  <c r="BY107" i="27" s="1"/>
  <c r="CD48" i="27" a="1"/>
  <c r="CD48" i="27" s="1"/>
  <c r="CK48" i="27" a="1"/>
  <c r="CK48" i="27" s="1"/>
  <c r="CQ48" i="27" a="1"/>
  <c r="CQ48" i="27" s="1"/>
  <c r="CA48" i="27" a="1"/>
  <c r="CA48" i="27" s="1"/>
  <c r="CF48" i="27" a="1"/>
  <c r="CF48" i="27" s="1"/>
  <c r="CL48" i="27" a="1"/>
  <c r="CL48" i="27" s="1"/>
  <c r="CR48" i="27" a="1"/>
  <c r="CR48" i="27" s="1"/>
  <c r="CB48" i="27" a="1"/>
  <c r="CB48" i="27" s="1"/>
  <c r="CH48" i="27" a="1"/>
  <c r="CH48" i="27" s="1"/>
  <c r="CI48" i="27" a="1"/>
  <c r="CI48" i="27" s="1"/>
  <c r="CN48" i="27" a="1"/>
  <c r="CN48" i="27" s="1"/>
  <c r="CT48" i="27" a="1"/>
  <c r="CT48" i="27" s="1"/>
  <c r="CP48" i="27" a="1"/>
  <c r="CP48" i="27" s="1"/>
  <c r="CV48" i="27" a="1"/>
  <c r="CV48" i="27" s="1"/>
  <c r="CM48" i="27" a="1"/>
  <c r="CM48" i="27" s="1"/>
  <c r="CE48" i="27" a="1"/>
  <c r="CE48" i="27" s="1"/>
  <c r="CU48" i="27" a="1"/>
  <c r="CU48" i="27" s="1"/>
  <c r="CG48" i="27" a="1"/>
  <c r="CG48" i="27" s="1"/>
  <c r="CC48" i="27" a="1"/>
  <c r="CC48" i="27" s="1"/>
  <c r="CO48" i="27" a="1"/>
  <c r="CO48" i="27" s="1"/>
  <c r="CS48" i="27" a="1"/>
  <c r="CS48" i="27" s="1"/>
  <c r="CJ48" i="27" a="1"/>
  <c r="CJ48" i="27" s="1"/>
  <c r="BZ48" i="27" a="1"/>
  <c r="BZ48" i="27" s="1"/>
  <c r="BY48" i="27" a="1"/>
  <c r="BY48" i="27" s="1"/>
  <c r="CB96" i="27" a="1"/>
  <c r="CB96" i="27" s="1"/>
  <c r="CH96" i="27" a="1"/>
  <c r="CH96" i="27" s="1"/>
  <c r="CV96" i="27" a="1"/>
  <c r="CV96" i="27" s="1"/>
  <c r="CC96" i="27" a="1"/>
  <c r="CC96" i="27" s="1"/>
  <c r="CI96" i="27" a="1"/>
  <c r="CI96" i="27" s="1"/>
  <c r="CO96" i="27" a="1"/>
  <c r="CO96" i="27" s="1"/>
  <c r="CD96" i="27" a="1"/>
  <c r="CD96" i="27" s="1"/>
  <c r="CJ96" i="27" a="1"/>
  <c r="CJ96" i="27" s="1"/>
  <c r="CP96" i="27" a="1"/>
  <c r="CP96" i="27" s="1"/>
  <c r="CK96" i="27" a="1"/>
  <c r="CK96" i="27" s="1"/>
  <c r="CQ96" i="27" a="1"/>
  <c r="CQ96" i="27" s="1"/>
  <c r="CE96" i="27" a="1"/>
  <c r="CE96" i="27" s="1"/>
  <c r="CL96" i="27" a="1"/>
  <c r="CL96" i="27" s="1"/>
  <c r="CR96" i="27" a="1"/>
  <c r="CR96" i="27" s="1"/>
  <c r="CS96" i="27" a="1"/>
  <c r="CS96" i="27" s="1"/>
  <c r="CA96" i="27" a="1"/>
  <c r="CA96" i="27" s="1"/>
  <c r="CG96" i="27" a="1"/>
  <c r="CG96" i="27" s="1"/>
  <c r="CN96" i="27" a="1"/>
  <c r="CN96" i="27" s="1"/>
  <c r="CU96" i="27" a="1"/>
  <c r="CU96" i="27" s="1"/>
  <c r="BZ96" i="27" a="1"/>
  <c r="BZ96" i="27" s="1"/>
  <c r="CF96" i="27" a="1"/>
  <c r="CF96" i="27" s="1"/>
  <c r="CM96" i="27" a="1"/>
  <c r="CM96" i="27" s="1"/>
  <c r="CT96" i="27" a="1"/>
  <c r="CT96" i="27" s="1"/>
  <c r="BY96" i="27" a="1"/>
  <c r="BY96" i="27" s="1"/>
  <c r="CA84" i="27" a="1"/>
  <c r="CA84" i="27" s="1"/>
  <c r="CF84" i="27" a="1"/>
  <c r="CF84" i="27" s="1"/>
  <c r="CL84" i="27" a="1"/>
  <c r="CL84" i="27" s="1"/>
  <c r="CB84" i="27" a="1"/>
  <c r="CB84" i="27" s="1"/>
  <c r="CH84" i="27" a="1"/>
  <c r="CH84" i="27" s="1"/>
  <c r="CN84" i="27" a="1"/>
  <c r="CN84" i="27" s="1"/>
  <c r="CS84" i="27" a="1"/>
  <c r="CS84" i="27" s="1"/>
  <c r="CC84" i="27" a="1"/>
  <c r="CC84" i="27" s="1"/>
  <c r="CI84" i="27" a="1"/>
  <c r="CI84" i="27" s="1"/>
  <c r="CO84" i="27" a="1"/>
  <c r="CO84" i="27" s="1"/>
  <c r="CU84" i="27" a="1"/>
  <c r="CU84" i="27" s="1"/>
  <c r="CD84" i="27" a="1"/>
  <c r="CD84" i="27" s="1"/>
  <c r="CJ84" i="27" a="1"/>
  <c r="CJ84" i="27" s="1"/>
  <c r="CP84" i="27" a="1"/>
  <c r="CP84" i="27" s="1"/>
  <c r="CV84" i="27" a="1"/>
  <c r="CV84" i="27" s="1"/>
  <c r="BZ84" i="27" a="1"/>
  <c r="BZ84" i="27" s="1"/>
  <c r="CK84" i="27" a="1"/>
  <c r="CK84" i="27" s="1"/>
  <c r="CQ84" i="27" a="1"/>
  <c r="CQ84" i="27" s="1"/>
  <c r="CR84" i="27" a="1"/>
  <c r="CR84" i="27" s="1"/>
  <c r="CE84" i="27" a="1"/>
  <c r="CE84" i="27" s="1"/>
  <c r="CT84" i="27" a="1"/>
  <c r="CT84" i="27" s="1"/>
  <c r="CG84" i="27" a="1"/>
  <c r="CG84" i="27" s="1"/>
  <c r="CM84" i="27" a="1"/>
  <c r="CM84" i="27" s="1"/>
  <c r="BY84" i="27" a="1"/>
  <c r="BY84" i="27" s="1"/>
  <c r="CE97" i="27" a="1"/>
  <c r="CE97" i="27" s="1"/>
  <c r="CK97" i="27" a="1"/>
  <c r="CK97" i="27" s="1"/>
  <c r="CP97" i="27" a="1"/>
  <c r="CP97" i="27" s="1"/>
  <c r="BZ97" i="27" a="1"/>
  <c r="BZ97" i="27" s="1"/>
  <c r="CL97" i="27" a="1"/>
  <c r="CL97" i="27" s="1"/>
  <c r="CQ97" i="27" a="1"/>
  <c r="CQ97" i="27" s="1"/>
  <c r="CA97" i="27" a="1"/>
  <c r="CA97" i="27" s="1"/>
  <c r="CF97" i="27" a="1"/>
  <c r="CF97" i="27" s="1"/>
  <c r="CM97" i="27" a="1"/>
  <c r="CM97" i="27" s="1"/>
  <c r="CR97" i="27" a="1"/>
  <c r="CR97" i="27" s="1"/>
  <c r="CB97" i="27" a="1"/>
  <c r="CB97" i="27" s="1"/>
  <c r="CG97" i="27" a="1"/>
  <c r="CG97" i="27" s="1"/>
  <c r="CS97" i="27" a="1"/>
  <c r="CS97" i="27" s="1"/>
  <c r="CH97" i="27" a="1"/>
  <c r="CH97" i="27" s="1"/>
  <c r="CN97" i="27" a="1"/>
  <c r="CN97" i="27" s="1"/>
  <c r="CT97" i="27" a="1"/>
  <c r="CT97" i="27" s="1"/>
  <c r="CC97" i="27" a="1"/>
  <c r="CC97" i="27" s="1"/>
  <c r="CI97" i="27" a="1"/>
  <c r="CI97" i="27" s="1"/>
  <c r="CU97" i="27" a="1"/>
  <c r="CU97" i="27" s="1"/>
  <c r="CD97" i="27" a="1"/>
  <c r="CD97" i="27" s="1"/>
  <c r="CV97" i="27" a="1"/>
  <c r="CV97" i="27" s="1"/>
  <c r="CO97" i="27" a="1"/>
  <c r="CO97" i="27" s="1"/>
  <c r="CJ97" i="27" a="1"/>
  <c r="CJ97" i="27" s="1"/>
  <c r="BY97" i="27" a="1"/>
  <c r="BY97" i="27" s="1"/>
  <c r="CE27" i="27" a="1"/>
  <c r="CE27" i="27" s="1"/>
  <c r="CL27" i="27" a="1"/>
  <c r="CL27" i="27" s="1"/>
  <c r="CR27" i="27" a="1"/>
  <c r="CR27" i="27" s="1"/>
  <c r="BZ27" i="27" a="1"/>
  <c r="BZ27" i="27" s="1"/>
  <c r="CT27" i="27" a="1"/>
  <c r="CT27" i="27" s="1"/>
  <c r="CH27" i="27" a="1"/>
  <c r="CH27" i="27" s="1"/>
  <c r="CO27" i="27" a="1"/>
  <c r="CO27" i="27" s="1"/>
  <c r="CB27" i="27" a="1"/>
  <c r="CB27" i="27" s="1"/>
  <c r="CI27" i="27" a="1"/>
  <c r="CI27" i="27" s="1"/>
  <c r="CP27" i="27" a="1"/>
  <c r="CP27" i="27" s="1"/>
  <c r="CV27" i="27" a="1"/>
  <c r="CV27" i="27" s="1"/>
  <c r="CD27" i="27" a="1"/>
  <c r="CD27" i="27" s="1"/>
  <c r="CK27" i="27" a="1"/>
  <c r="CK27" i="27" s="1"/>
  <c r="CM27" i="27" a="1"/>
  <c r="CM27" i="27" s="1"/>
  <c r="CQ27" i="27" a="1"/>
  <c r="CQ27" i="27" s="1"/>
  <c r="CC27" i="27" a="1"/>
  <c r="CC27" i="27" s="1"/>
  <c r="CU27" i="27" a="1"/>
  <c r="CU27" i="27" s="1"/>
  <c r="CF27" i="27" a="1"/>
  <c r="CF27" i="27" s="1"/>
  <c r="CJ27" i="27" a="1"/>
  <c r="CJ27" i="27" s="1"/>
  <c r="CA27" i="27" a="1"/>
  <c r="CA27" i="27" s="1"/>
  <c r="CN27" i="27" a="1"/>
  <c r="CN27" i="27" s="1"/>
  <c r="CG27" i="27" a="1"/>
  <c r="CG27" i="27" s="1"/>
  <c r="CS27" i="27" a="1"/>
  <c r="CS27" i="27" s="1"/>
  <c r="BY27" i="27" a="1"/>
  <c r="BY27" i="27" s="1"/>
  <c r="CB16" i="27" a="1"/>
  <c r="CB16" i="27" s="1"/>
  <c r="CJ16" i="27" a="1"/>
  <c r="CJ16" i="27" s="1"/>
  <c r="CR16" i="27" a="1"/>
  <c r="CR16" i="27" s="1"/>
  <c r="CD16" i="27" a="1"/>
  <c r="CD16" i="27" s="1"/>
  <c r="CL16" i="27" a="1"/>
  <c r="CL16" i="27" s="1"/>
  <c r="CT16" i="27" a="1"/>
  <c r="CT16" i="27" s="1"/>
  <c r="CF16" i="27" a="1"/>
  <c r="CF16" i="27" s="1"/>
  <c r="CN16" i="27" a="1"/>
  <c r="CN16" i="27" s="1"/>
  <c r="CV16" i="27" a="1"/>
  <c r="CV16" i="27" s="1"/>
  <c r="CG16" i="27" a="1"/>
  <c r="CG16" i="27" s="1"/>
  <c r="CO16" i="27" a="1"/>
  <c r="CO16" i="27" s="1"/>
  <c r="CA16" i="27" a="1"/>
  <c r="CA16" i="27" s="1"/>
  <c r="CI16" i="27" a="1"/>
  <c r="CI16" i="27" s="1"/>
  <c r="CQ16" i="27" a="1"/>
  <c r="CQ16" i="27" s="1"/>
  <c r="CH16" i="27" a="1"/>
  <c r="CH16" i="27" s="1"/>
  <c r="CM16" i="27" a="1"/>
  <c r="CM16" i="27" s="1"/>
  <c r="CS16" i="27" a="1"/>
  <c r="CS16" i="27" s="1"/>
  <c r="BZ16" i="27" a="1"/>
  <c r="BZ16" i="27" s="1"/>
  <c r="CU16" i="27" a="1"/>
  <c r="CU16" i="27" s="1"/>
  <c r="CE16" i="27" a="1"/>
  <c r="CE16" i="27" s="1"/>
  <c r="CK16" i="27" a="1"/>
  <c r="CK16" i="27" s="1"/>
  <c r="CC16" i="27" a="1"/>
  <c r="CC16" i="27" s="1"/>
  <c r="CP16" i="27" a="1"/>
  <c r="CP16" i="27" s="1"/>
  <c r="BY16" i="27" a="1"/>
  <c r="BY16" i="27" s="1"/>
  <c r="CB88" i="27" a="1"/>
  <c r="CB88" i="27" s="1"/>
  <c r="CG88" i="27" a="1"/>
  <c r="CG88" i="27" s="1"/>
  <c r="CM88" i="27" a="1"/>
  <c r="CM88" i="27" s="1"/>
  <c r="CC88" i="27" a="1"/>
  <c r="CC88" i="27" s="1"/>
  <c r="CH88" i="27" a="1"/>
  <c r="CH88" i="27" s="1"/>
  <c r="CS88" i="27" a="1"/>
  <c r="CS88" i="27" s="1"/>
  <c r="CD88" i="27" a="1"/>
  <c r="CD88" i="27" s="1"/>
  <c r="CI88" i="27" a="1"/>
  <c r="CI88" i="27" s="1"/>
  <c r="CN88" i="27" a="1"/>
  <c r="CN88" i="27" s="1"/>
  <c r="CT88" i="27" a="1"/>
  <c r="CT88" i="27" s="1"/>
  <c r="CE88" i="27" a="1"/>
  <c r="CE88" i="27" s="1"/>
  <c r="CJ88" i="27" a="1"/>
  <c r="CJ88" i="27" s="1"/>
  <c r="CO88" i="27" a="1"/>
  <c r="CO88" i="27" s="1"/>
  <c r="CU88" i="27" a="1"/>
  <c r="CU88" i="27" s="1"/>
  <c r="BZ88" i="27" a="1"/>
  <c r="BZ88" i="27" s="1"/>
  <c r="CK88" i="27" a="1"/>
  <c r="CK88" i="27" s="1"/>
  <c r="CP88" i="27" a="1"/>
  <c r="CP88" i="27" s="1"/>
  <c r="CA88" i="27" a="1"/>
  <c r="CA88" i="27" s="1"/>
  <c r="CR88" i="27" a="1"/>
  <c r="CR88" i="27" s="1"/>
  <c r="CF88" i="27" a="1"/>
  <c r="CF88" i="27" s="1"/>
  <c r="CL88" i="27" a="1"/>
  <c r="CL88" i="27" s="1"/>
  <c r="CQ88" i="27" a="1"/>
  <c r="CQ88" i="27" s="1"/>
  <c r="CV88" i="27" a="1"/>
  <c r="CV88" i="27" s="1"/>
  <c r="BY88" i="27" a="1"/>
  <c r="BY88" i="27" s="1"/>
  <c r="CI135" i="27" a="1"/>
  <c r="CI135" i="27" s="1"/>
  <c r="CN135" i="27" a="1"/>
  <c r="CN135" i="27" s="1"/>
  <c r="CC135" i="27" a="1"/>
  <c r="CC135" i="27" s="1"/>
  <c r="CO135" i="27" a="1"/>
  <c r="CO135" i="27" s="1"/>
  <c r="CT135" i="27" a="1"/>
  <c r="CT135" i="27" s="1"/>
  <c r="CJ135" i="27" a="1"/>
  <c r="CJ135" i="27" s="1"/>
  <c r="CP135" i="27" a="1"/>
  <c r="CP135" i="27" s="1"/>
  <c r="CU135" i="27" a="1"/>
  <c r="CU135" i="27" s="1"/>
  <c r="CD135" i="27" a="1"/>
  <c r="CD135" i="27" s="1"/>
  <c r="CQ135" i="27" a="1"/>
  <c r="CQ135" i="27" s="1"/>
  <c r="CV135" i="27" a="1"/>
  <c r="CV135" i="27" s="1"/>
  <c r="BZ135" i="27" a="1"/>
  <c r="BZ135" i="27" s="1"/>
  <c r="CE135" i="27" a="1"/>
  <c r="CE135" i="27" s="1"/>
  <c r="CK135" i="27" a="1"/>
  <c r="CK135" i="27" s="1"/>
  <c r="CA135" i="27" a="1"/>
  <c r="CA135" i="27" s="1"/>
  <c r="CF135" i="27" a="1"/>
  <c r="CF135" i="27" s="1"/>
  <c r="CR135" i="27" a="1"/>
  <c r="CR135" i="27" s="1"/>
  <c r="CB135" i="27" a="1"/>
  <c r="CB135" i="27" s="1"/>
  <c r="CH135" i="27" a="1"/>
  <c r="CH135" i="27" s="1"/>
  <c r="CM135" i="27" a="1"/>
  <c r="CM135" i="27" s="1"/>
  <c r="CS135" i="27" a="1"/>
  <c r="CS135" i="27" s="1"/>
  <c r="CG135" i="27" a="1"/>
  <c r="CG135" i="27" s="1"/>
  <c r="CL135" i="27" a="1"/>
  <c r="CL135" i="27" s="1"/>
  <c r="BY135" i="27" a="1"/>
  <c r="BY135" i="27" s="1"/>
  <c r="CK83" i="27" a="1"/>
  <c r="CK83" i="27" s="1"/>
  <c r="CA83" i="27" a="1"/>
  <c r="CA83" i="27" s="1"/>
  <c r="CG83" i="27" a="1"/>
  <c r="CG83" i="27" s="1"/>
  <c r="CM83" i="27" a="1"/>
  <c r="CM83" i="27" s="1"/>
  <c r="CS83" i="27" a="1"/>
  <c r="CS83" i="27" s="1"/>
  <c r="CB83" i="27" a="1"/>
  <c r="CB83" i="27" s="1"/>
  <c r="CH83" i="27" a="1"/>
  <c r="CH83" i="27" s="1"/>
  <c r="CO83" i="27" a="1"/>
  <c r="CO83" i="27" s="1"/>
  <c r="CT83" i="27" a="1"/>
  <c r="CT83" i="27" s="1"/>
  <c r="CC83" i="27" a="1"/>
  <c r="CC83" i="27" s="1"/>
  <c r="CP83" i="27" a="1"/>
  <c r="CP83" i="27" s="1"/>
  <c r="CU83" i="27" a="1"/>
  <c r="CU83" i="27" s="1"/>
  <c r="CE83" i="27" a="1"/>
  <c r="CE83" i="27" s="1"/>
  <c r="CJ83" i="27" a="1"/>
  <c r="CJ83" i="27" s="1"/>
  <c r="CQ83" i="27" a="1"/>
  <c r="CQ83" i="27" s="1"/>
  <c r="CF83" i="27" a="1"/>
  <c r="CF83" i="27" s="1"/>
  <c r="CV83" i="27" a="1"/>
  <c r="CV83" i="27" s="1"/>
  <c r="CI83" i="27" a="1"/>
  <c r="CI83" i="27" s="1"/>
  <c r="CL83" i="27" a="1"/>
  <c r="CL83" i="27" s="1"/>
  <c r="CN83" i="27" a="1"/>
  <c r="CN83" i="27" s="1"/>
  <c r="BZ83" i="27" a="1"/>
  <c r="BZ83" i="27" s="1"/>
  <c r="CD83" i="27" a="1"/>
  <c r="CD83" i="27" s="1"/>
  <c r="CR83" i="27" a="1"/>
  <c r="CR83" i="27" s="1"/>
  <c r="BY83" i="27" a="1"/>
  <c r="BY83" i="27" s="1"/>
  <c r="CE110" i="27" a="1"/>
  <c r="CE110" i="27" s="1"/>
  <c r="CQ110" i="27" a="1"/>
  <c r="CQ110" i="27" s="1"/>
  <c r="BZ110" i="27" a="1"/>
  <c r="BZ110" i="27" s="1"/>
  <c r="CG110" i="27" a="1"/>
  <c r="CG110" i="27" s="1"/>
  <c r="CL110" i="27" a="1"/>
  <c r="CL110" i="27" s="1"/>
  <c r="CB110" i="27" a="1"/>
  <c r="CB110" i="27" s="1"/>
  <c r="CH110" i="27" a="1"/>
  <c r="CH110" i="27" s="1"/>
  <c r="CN110" i="27" a="1"/>
  <c r="CN110" i="27" s="1"/>
  <c r="CC110" i="27" a="1"/>
  <c r="CC110" i="27" s="1"/>
  <c r="CO110" i="27" a="1"/>
  <c r="CO110" i="27" s="1"/>
  <c r="CT110" i="27" a="1"/>
  <c r="CT110" i="27" s="1"/>
  <c r="CJ110" i="27" a="1"/>
  <c r="CJ110" i="27" s="1"/>
  <c r="CV110" i="27" a="1"/>
  <c r="CV110" i="27" s="1"/>
  <c r="CF110" i="27" a="1"/>
  <c r="CF110" i="27" s="1"/>
  <c r="CU110" i="27" a="1"/>
  <c r="CU110" i="27" s="1"/>
  <c r="CI110" i="27" a="1"/>
  <c r="CI110" i="27" s="1"/>
  <c r="CK110" i="27" a="1"/>
  <c r="CK110" i="27" s="1"/>
  <c r="CM110" i="27" a="1"/>
  <c r="CM110" i="27" s="1"/>
  <c r="CP110" i="27" a="1"/>
  <c r="CP110" i="27" s="1"/>
  <c r="CD110" i="27" a="1"/>
  <c r="CD110" i="27" s="1"/>
  <c r="CS110" i="27" a="1"/>
  <c r="CS110" i="27" s="1"/>
  <c r="CR110" i="27" a="1"/>
  <c r="CR110" i="27" s="1"/>
  <c r="CA110" i="27" a="1"/>
  <c r="CA110" i="27" s="1"/>
  <c r="BY110" i="27" a="1"/>
  <c r="BY110" i="27" s="1"/>
  <c r="CE19" i="27" a="1"/>
  <c r="CE19" i="27" s="1"/>
  <c r="CM19" i="27" a="1"/>
  <c r="CM19" i="27" s="1"/>
  <c r="CU19" i="27" a="1"/>
  <c r="CU19" i="27" s="1"/>
  <c r="CG19" i="27" a="1"/>
  <c r="CG19" i="27" s="1"/>
  <c r="CO19" i="27" a="1"/>
  <c r="CO19" i="27" s="1"/>
  <c r="CA19" i="27" a="1"/>
  <c r="CA19" i="27" s="1"/>
  <c r="CI19" i="27" a="1"/>
  <c r="CI19" i="27" s="1"/>
  <c r="CQ19" i="27" a="1"/>
  <c r="CQ19" i="27" s="1"/>
  <c r="CB19" i="27" a="1"/>
  <c r="CB19" i="27" s="1"/>
  <c r="CJ19" i="27" a="1"/>
  <c r="CJ19" i="27" s="1"/>
  <c r="CR19" i="27" a="1"/>
  <c r="CR19" i="27" s="1"/>
  <c r="CD19" i="27" a="1"/>
  <c r="CD19" i="27" s="1"/>
  <c r="CL19" i="27" a="1"/>
  <c r="CL19" i="27" s="1"/>
  <c r="CT19" i="27" a="1"/>
  <c r="CT19" i="27" s="1"/>
  <c r="CC19" i="27" a="1"/>
  <c r="CC19" i="27" s="1"/>
  <c r="CH19" i="27" a="1"/>
  <c r="CH19" i="27" s="1"/>
  <c r="CN19" i="27" a="1"/>
  <c r="CN19" i="27" s="1"/>
  <c r="CP19" i="27" a="1"/>
  <c r="CP19" i="27" s="1"/>
  <c r="BZ19" i="27" a="1"/>
  <c r="BZ19" i="27" s="1"/>
  <c r="CV19" i="27" a="1"/>
  <c r="CV19" i="27" s="1"/>
  <c r="CK19" i="27" a="1"/>
  <c r="CK19" i="27" s="1"/>
  <c r="CS19" i="27" a="1"/>
  <c r="CS19" i="27" s="1"/>
  <c r="CF19" i="27" a="1"/>
  <c r="CF19" i="27" s="1"/>
  <c r="BY19" i="27" a="1"/>
  <c r="BY19" i="27" s="1"/>
  <c r="CA104" i="27" a="1"/>
  <c r="CA104" i="27" s="1"/>
  <c r="CG104" i="27" a="1"/>
  <c r="CG104" i="27" s="1"/>
  <c r="CN104" i="27" a="1"/>
  <c r="CN104" i="27" s="1"/>
  <c r="CT104" i="27" a="1"/>
  <c r="CT104" i="27" s="1"/>
  <c r="CC104" i="27" a="1"/>
  <c r="CC104" i="27" s="1"/>
  <c r="CO104" i="27" a="1"/>
  <c r="CO104" i="27" s="1"/>
  <c r="CU104" i="27" a="1"/>
  <c r="CU104" i="27" s="1"/>
  <c r="CE104" i="27" a="1"/>
  <c r="CE104" i="27" s="1"/>
  <c r="CJ104" i="27" a="1"/>
  <c r="CJ104" i="27" s="1"/>
  <c r="CQ104" i="27" a="1"/>
  <c r="CQ104" i="27" s="1"/>
  <c r="CK104" i="27" a="1"/>
  <c r="CK104" i="27" s="1"/>
  <c r="BZ104" i="27" a="1"/>
  <c r="BZ104" i="27" s="1"/>
  <c r="CM104" i="27" a="1"/>
  <c r="CM104" i="27" s="1"/>
  <c r="CS104" i="27" a="1"/>
  <c r="CS104" i="27" s="1"/>
  <c r="CL104" i="27" a="1"/>
  <c r="CL104" i="27" s="1"/>
  <c r="CP104" i="27" a="1"/>
  <c r="CP104" i="27" s="1"/>
  <c r="CB104" i="27" a="1"/>
  <c r="CB104" i="27" s="1"/>
  <c r="CR104" i="27" a="1"/>
  <c r="CR104" i="27" s="1"/>
  <c r="CD104" i="27" a="1"/>
  <c r="CD104" i="27" s="1"/>
  <c r="CF104" i="27" a="1"/>
  <c r="CF104" i="27" s="1"/>
  <c r="CV104" i="27" a="1"/>
  <c r="CV104" i="27" s="1"/>
  <c r="CI104" i="27" a="1"/>
  <c r="CI104" i="27" s="1"/>
  <c r="CH104" i="27" a="1"/>
  <c r="CH104" i="27" s="1"/>
  <c r="BY104" i="27" a="1"/>
  <c r="BY104" i="27" s="1"/>
  <c r="CA72" i="27" a="1"/>
  <c r="CA72" i="27" s="1"/>
  <c r="CG72" i="27" a="1"/>
  <c r="CG72" i="27" s="1"/>
  <c r="CT72" i="27" a="1"/>
  <c r="CT72" i="27" s="1"/>
  <c r="CC72" i="27" a="1"/>
  <c r="CC72" i="27" s="1"/>
  <c r="CI72" i="27" a="1"/>
  <c r="CI72" i="27" s="1"/>
  <c r="CK72" i="27" a="1"/>
  <c r="CK72" i="27" s="1"/>
  <c r="CP72" i="27" a="1"/>
  <c r="CP72" i="27" s="1"/>
  <c r="CE72" i="27" a="1"/>
  <c r="CE72" i="27" s="1"/>
  <c r="CL72" i="27" a="1"/>
  <c r="CL72" i="27" s="1"/>
  <c r="CQ72" i="27" a="1"/>
  <c r="CQ72" i="27" s="1"/>
  <c r="BZ72" i="27" a="1"/>
  <c r="BZ72" i="27" s="1"/>
  <c r="CF72" i="27" a="1"/>
  <c r="CF72" i="27" s="1"/>
  <c r="CM72" i="27" a="1"/>
  <c r="CM72" i="27" s="1"/>
  <c r="CS72" i="27" a="1"/>
  <c r="CS72" i="27" s="1"/>
  <c r="CO72" i="27" a="1"/>
  <c r="CO72" i="27" s="1"/>
  <c r="CD72" i="27" a="1"/>
  <c r="CD72" i="27" s="1"/>
  <c r="CU72" i="27" a="1"/>
  <c r="CU72" i="27" s="1"/>
  <c r="CH72" i="27" a="1"/>
  <c r="CH72" i="27" s="1"/>
  <c r="CJ72" i="27" a="1"/>
  <c r="CJ72" i="27" s="1"/>
  <c r="CN72" i="27" a="1"/>
  <c r="CN72" i="27" s="1"/>
  <c r="CR72" i="27" a="1"/>
  <c r="CR72" i="27" s="1"/>
  <c r="CV72" i="27" a="1"/>
  <c r="CV72" i="27" s="1"/>
  <c r="CB72" i="27" a="1"/>
  <c r="CB72" i="27" s="1"/>
  <c r="BY72" i="27" a="1"/>
  <c r="BY72" i="27" s="1"/>
  <c r="CE57" i="27" a="1"/>
  <c r="CE57" i="27" s="1"/>
  <c r="CK57" i="27" a="1"/>
  <c r="CK57" i="27" s="1"/>
  <c r="CQ57" i="27" a="1"/>
  <c r="CQ57" i="27" s="1"/>
  <c r="CA57" i="27" a="1"/>
  <c r="CA57" i="27" s="1"/>
  <c r="CG57" i="27" a="1"/>
  <c r="CG57" i="27" s="1"/>
  <c r="CL57" i="27" a="1"/>
  <c r="CL57" i="27" s="1"/>
  <c r="CS57" i="27" a="1"/>
  <c r="CS57" i="27" s="1"/>
  <c r="CH57" i="27" a="1"/>
  <c r="CH57" i="27" s="1"/>
  <c r="CN57" i="27" a="1"/>
  <c r="CN57" i="27" s="1"/>
  <c r="CT57" i="27" a="1"/>
  <c r="CT57" i="27" s="1"/>
  <c r="CC57" i="27" a="1"/>
  <c r="CC57" i="27" s="1"/>
  <c r="CI57" i="27" a="1"/>
  <c r="CI57" i="27" s="1"/>
  <c r="CO57" i="27" a="1"/>
  <c r="CO57" i="27" s="1"/>
  <c r="CV57" i="27" a="1"/>
  <c r="CV57" i="27" s="1"/>
  <c r="CF57" i="27" a="1"/>
  <c r="CF57" i="27" s="1"/>
  <c r="CU57" i="27" a="1"/>
  <c r="CU57" i="27" s="1"/>
  <c r="CJ57" i="27" a="1"/>
  <c r="CJ57" i="27" s="1"/>
  <c r="CM57" i="27" a="1"/>
  <c r="CM57" i="27" s="1"/>
  <c r="BZ57" i="27" a="1"/>
  <c r="BZ57" i="27" s="1"/>
  <c r="CP57" i="27" a="1"/>
  <c r="CP57" i="27" s="1"/>
  <c r="CD57" i="27" a="1"/>
  <c r="CD57" i="27" s="1"/>
  <c r="CB57" i="27" a="1"/>
  <c r="CB57" i="27" s="1"/>
  <c r="CR57" i="27" a="1"/>
  <c r="CR57" i="27" s="1"/>
  <c r="BY57" i="27" a="1"/>
  <c r="BY57" i="27" s="1"/>
  <c r="CA55" i="27" a="1"/>
  <c r="CA55" i="27" s="1"/>
  <c r="CG55" i="27" a="1"/>
  <c r="CG55" i="27" s="1"/>
  <c r="CL55" i="27" a="1"/>
  <c r="CL55" i="27" s="1"/>
  <c r="CB55" i="27" a="1"/>
  <c r="CB55" i="27" s="1"/>
  <c r="CM55" i="27" a="1"/>
  <c r="CM55" i="27" s="1"/>
  <c r="CC55" i="27" a="1"/>
  <c r="CC55" i="27" s="1"/>
  <c r="CO55" i="27" a="1"/>
  <c r="CO55" i="27" s="1"/>
  <c r="CT55" i="27" a="1"/>
  <c r="CT55" i="27" s="1"/>
  <c r="CD55" i="27" a="1"/>
  <c r="CD55" i="27" s="1"/>
  <c r="CJ55" i="27" a="1"/>
  <c r="CJ55" i="27" s="1"/>
  <c r="CP55" i="27" a="1"/>
  <c r="CP55" i="27" s="1"/>
  <c r="CU55" i="27" a="1"/>
  <c r="CU55" i="27" s="1"/>
  <c r="CF55" i="27" a="1"/>
  <c r="CF55" i="27" s="1"/>
  <c r="CK55" i="27" a="1"/>
  <c r="CK55" i="27" s="1"/>
  <c r="CQ55" i="27" a="1"/>
  <c r="CQ55" i="27" s="1"/>
  <c r="CV55" i="27" a="1"/>
  <c r="CV55" i="27" s="1"/>
  <c r="CH55" i="27" a="1"/>
  <c r="CH55" i="27" s="1"/>
  <c r="BZ55" i="27" a="1"/>
  <c r="BZ55" i="27" s="1"/>
  <c r="CN55" i="27" a="1"/>
  <c r="CN55" i="27" s="1"/>
  <c r="CE55" i="27" a="1"/>
  <c r="CE55" i="27" s="1"/>
  <c r="CS55" i="27" a="1"/>
  <c r="CS55" i="27" s="1"/>
  <c r="CI55" i="27" a="1"/>
  <c r="CI55" i="27" s="1"/>
  <c r="CR55" i="27" a="1"/>
  <c r="CR55" i="27" s="1"/>
  <c r="BY55" i="27" a="1"/>
  <c r="BY55" i="27" s="1"/>
  <c r="CB60" i="27" a="1"/>
  <c r="CB60" i="27" s="1"/>
  <c r="CI60" i="27" a="1"/>
  <c r="CI60" i="27" s="1"/>
  <c r="CO60" i="27" a="1"/>
  <c r="CO60" i="27" s="1"/>
  <c r="CU60" i="27" a="1"/>
  <c r="CU60" i="27" s="1"/>
  <c r="CC60" i="27" a="1"/>
  <c r="CC60" i="27" s="1"/>
  <c r="CJ60" i="27" a="1"/>
  <c r="CJ60" i="27" s="1"/>
  <c r="BZ60" i="27" a="1"/>
  <c r="BZ60" i="27" s="1"/>
  <c r="CE60" i="27" a="1"/>
  <c r="CE60" i="27" s="1"/>
  <c r="CK60" i="27" a="1"/>
  <c r="CK60" i="27" s="1"/>
  <c r="CR60" i="27" a="1"/>
  <c r="CR60" i="27" s="1"/>
  <c r="CF60" i="27" a="1"/>
  <c r="CF60" i="27" s="1"/>
  <c r="CL60" i="27" a="1"/>
  <c r="CL60" i="27" s="1"/>
  <c r="CH60" i="27" a="1"/>
  <c r="CH60" i="27" s="1"/>
  <c r="CN60" i="27" a="1"/>
  <c r="CN60" i="27" s="1"/>
  <c r="CT60" i="27" a="1"/>
  <c r="CT60" i="27" s="1"/>
  <c r="CM60" i="27" a="1"/>
  <c r="CM60" i="27" s="1"/>
  <c r="CA60" i="27" a="1"/>
  <c r="CA60" i="27" s="1"/>
  <c r="CQ60" i="27" a="1"/>
  <c r="CQ60" i="27" s="1"/>
  <c r="CS60" i="27" a="1"/>
  <c r="CS60" i="27" s="1"/>
  <c r="CG60" i="27" a="1"/>
  <c r="CG60" i="27" s="1"/>
  <c r="CV60" i="27" a="1"/>
  <c r="CV60" i="27" s="1"/>
  <c r="CD60" i="27" a="1"/>
  <c r="CD60" i="27" s="1"/>
  <c r="CP60" i="27" a="1"/>
  <c r="CP60" i="27" s="1"/>
  <c r="BY60" i="27" a="1"/>
  <c r="BY60" i="27" s="1"/>
  <c r="CC99" i="27" a="1"/>
  <c r="CC99" i="27" s="1"/>
  <c r="CJ99" i="27" a="1"/>
  <c r="CJ99" i="27" s="1"/>
  <c r="CQ99" i="27" a="1"/>
  <c r="CQ99" i="27" s="1"/>
  <c r="CV99" i="27" a="1"/>
  <c r="CV99" i="27" s="1"/>
  <c r="CD99" i="27" a="1"/>
  <c r="CD99" i="27" s="1"/>
  <c r="CK99" i="27" a="1"/>
  <c r="CK99" i="27" s="1"/>
  <c r="CE99" i="27" a="1"/>
  <c r="CE99" i="27" s="1"/>
  <c r="CL99" i="27" a="1"/>
  <c r="CL99" i="27" s="1"/>
  <c r="CR99" i="27" a="1"/>
  <c r="CR99" i="27" s="1"/>
  <c r="CF99" i="27" a="1"/>
  <c r="CF99" i="27" s="1"/>
  <c r="CS99" i="27" a="1"/>
  <c r="CS99" i="27" s="1"/>
  <c r="BZ99" i="27" a="1"/>
  <c r="BZ99" i="27" s="1"/>
  <c r="CG99" i="27" a="1"/>
  <c r="CG99" i="27" s="1"/>
  <c r="CM99" i="27" a="1"/>
  <c r="CM99" i="27" s="1"/>
  <c r="CH99" i="27" a="1"/>
  <c r="CH99" i="27" s="1"/>
  <c r="CN99" i="27" a="1"/>
  <c r="CN99" i="27" s="1"/>
  <c r="CT99" i="27" a="1"/>
  <c r="CT99" i="27" s="1"/>
  <c r="CB99" i="27" a="1"/>
  <c r="CB99" i="27" s="1"/>
  <c r="CP99" i="27" a="1"/>
  <c r="CP99" i="27" s="1"/>
  <c r="CU99" i="27" a="1"/>
  <c r="CU99" i="27" s="1"/>
  <c r="CA99" i="27" a="1"/>
  <c r="CA99" i="27" s="1"/>
  <c r="CI99" i="27" a="1"/>
  <c r="CI99" i="27" s="1"/>
  <c r="CO99" i="27" a="1"/>
  <c r="CO99" i="27" s="1"/>
  <c r="BY99" i="27" a="1"/>
  <c r="BY99" i="27" s="1"/>
  <c r="CE49" i="27" a="1"/>
  <c r="CE49" i="27" s="1"/>
  <c r="CK49" i="27" a="1"/>
  <c r="CK49" i="27" s="1"/>
  <c r="CQ49" i="27" a="1"/>
  <c r="CQ49" i="27" s="1"/>
  <c r="CA49" i="27" a="1"/>
  <c r="CA49" i="27" s="1"/>
  <c r="CG49" i="27" a="1"/>
  <c r="CG49" i="27" s="1"/>
  <c r="CL49" i="27" a="1"/>
  <c r="CL49" i="27" s="1"/>
  <c r="CS49" i="27" a="1"/>
  <c r="CS49" i="27" s="1"/>
  <c r="CM49" i="27" a="1"/>
  <c r="CM49" i="27" s="1"/>
  <c r="CT49" i="27" a="1"/>
  <c r="CT49" i="27" s="1"/>
  <c r="CC49" i="27" a="1"/>
  <c r="CC49" i="27" s="1"/>
  <c r="CI49" i="27" a="1"/>
  <c r="CI49" i="27" s="1"/>
  <c r="CN49" i="27" a="1"/>
  <c r="CN49" i="27" s="1"/>
  <c r="CD49" i="27" a="1"/>
  <c r="CD49" i="27" s="1"/>
  <c r="CP49" i="27" a="1"/>
  <c r="CP49" i="27" s="1"/>
  <c r="CV49" i="27" a="1"/>
  <c r="CV49" i="27" s="1"/>
  <c r="CF49" i="27" a="1"/>
  <c r="CF49" i="27" s="1"/>
  <c r="CU49" i="27" a="1"/>
  <c r="CU49" i="27" s="1"/>
  <c r="CJ49" i="27" a="1"/>
  <c r="CJ49" i="27" s="1"/>
  <c r="BZ49" i="27" a="1"/>
  <c r="BZ49" i="27" s="1"/>
  <c r="CO49" i="27" a="1"/>
  <c r="CO49" i="27" s="1"/>
  <c r="CH49" i="27" a="1"/>
  <c r="CH49" i="27" s="1"/>
  <c r="CB49" i="27" a="1"/>
  <c r="CB49" i="27" s="1"/>
  <c r="CR49" i="27" a="1"/>
  <c r="CR49" i="27" s="1"/>
  <c r="BY49" i="27" a="1"/>
  <c r="BY49" i="27" s="1"/>
  <c r="CD10" i="27" a="1"/>
  <c r="CD10" i="27" s="1"/>
  <c r="CL10" i="27" a="1"/>
  <c r="CL10" i="27" s="1"/>
  <c r="CT10" i="27" a="1"/>
  <c r="CT10" i="27" s="1"/>
  <c r="CF10" i="27" a="1"/>
  <c r="CF10" i="27" s="1"/>
  <c r="CN10" i="27" a="1"/>
  <c r="CN10" i="27" s="1"/>
  <c r="CV10" i="27" a="1"/>
  <c r="CV10" i="27" s="1"/>
  <c r="BZ10" i="27" a="1"/>
  <c r="BZ10" i="27" s="1"/>
  <c r="CH10" i="27" a="1"/>
  <c r="CH10" i="27" s="1"/>
  <c r="CP10" i="27" a="1"/>
  <c r="CP10" i="27" s="1"/>
  <c r="CA10" i="27" a="1"/>
  <c r="CA10" i="27" s="1"/>
  <c r="CI10" i="27" a="1"/>
  <c r="CI10" i="27" s="1"/>
  <c r="CQ10" i="27" a="1"/>
  <c r="CQ10" i="27" s="1"/>
  <c r="CC10" i="27" a="1"/>
  <c r="CC10" i="27" s="1"/>
  <c r="CK10" i="27" a="1"/>
  <c r="CK10" i="27" s="1"/>
  <c r="CS10" i="27" a="1"/>
  <c r="CS10" i="27" s="1"/>
  <c r="CR10" i="27" a="1"/>
  <c r="CR10" i="27" s="1"/>
  <c r="CB10" i="27" a="1"/>
  <c r="CB10" i="27" s="1"/>
  <c r="CG10" i="27" a="1"/>
  <c r="CG10" i="27" s="1"/>
  <c r="CJ10" i="27" a="1"/>
  <c r="CJ10" i="27" s="1"/>
  <c r="CO10" i="27" a="1"/>
  <c r="CO10" i="27" s="1"/>
  <c r="CE10" i="27" a="1"/>
  <c r="CE10" i="27" s="1"/>
  <c r="CM10" i="27" a="1"/>
  <c r="CM10" i="27" s="1"/>
  <c r="CU10" i="27" a="1"/>
  <c r="CU10" i="27" s="1"/>
  <c r="BY10" i="27" a="1"/>
  <c r="BY10" i="27" s="1"/>
  <c r="CE11" i="27" a="1"/>
  <c r="CE11" i="27" s="1"/>
  <c r="CM11" i="27" a="1"/>
  <c r="CM11" i="27" s="1"/>
  <c r="CU11" i="27" a="1"/>
  <c r="CU11" i="27" s="1"/>
  <c r="CG11" i="27" a="1"/>
  <c r="CG11" i="27" s="1"/>
  <c r="CO11" i="27" a="1"/>
  <c r="CO11" i="27" s="1"/>
  <c r="CA11" i="27" a="1"/>
  <c r="CA11" i="27" s="1"/>
  <c r="CI11" i="27" a="1"/>
  <c r="CI11" i="27" s="1"/>
  <c r="CQ11" i="27" a="1"/>
  <c r="CQ11" i="27" s="1"/>
  <c r="CB11" i="27" a="1"/>
  <c r="CB11" i="27" s="1"/>
  <c r="CJ11" i="27" a="1"/>
  <c r="CJ11" i="27" s="1"/>
  <c r="CR11" i="27" a="1"/>
  <c r="CR11" i="27" s="1"/>
  <c r="CD11" i="27" a="1"/>
  <c r="CD11" i="27" s="1"/>
  <c r="CL11" i="27" a="1"/>
  <c r="CL11" i="27" s="1"/>
  <c r="CT11" i="27" a="1"/>
  <c r="CT11" i="27" s="1"/>
  <c r="CP11" i="27" a="1"/>
  <c r="CP11" i="27" s="1"/>
  <c r="BZ11" i="27" a="1"/>
  <c r="BZ11" i="27" s="1"/>
  <c r="CV11" i="27" a="1"/>
  <c r="CV11" i="27" s="1"/>
  <c r="CF11" i="27" a="1"/>
  <c r="CF11" i="27" s="1"/>
  <c r="CH11" i="27" a="1"/>
  <c r="CH11" i="27" s="1"/>
  <c r="CN11" i="27" a="1"/>
  <c r="CN11" i="27" s="1"/>
  <c r="CK11" i="27" a="1"/>
  <c r="CK11" i="27" s="1"/>
  <c r="CC11" i="27" a="1"/>
  <c r="CC11" i="27" s="1"/>
  <c r="CS11" i="27" a="1"/>
  <c r="CS11" i="27" s="1"/>
  <c r="BY11" i="27" a="1"/>
  <c r="BY11" i="27" s="1"/>
  <c r="CA28" i="27" a="1"/>
  <c r="CA28" i="27" s="1"/>
  <c r="CH28" i="27" a="1"/>
  <c r="CH28" i="27" s="1"/>
  <c r="CT28" i="27" a="1"/>
  <c r="CT28" i="27" s="1"/>
  <c r="CC28" i="27" a="1"/>
  <c r="CC28" i="27" s="1"/>
  <c r="CJ28" i="27" a="1"/>
  <c r="CJ28" i="27" s="1"/>
  <c r="CO28" i="27" a="1"/>
  <c r="CO28" i="27" s="1"/>
  <c r="CV28" i="27" a="1"/>
  <c r="CV28" i="27" s="1"/>
  <c r="CE28" i="27" a="1"/>
  <c r="CE28" i="27" s="1"/>
  <c r="CK28" i="27" a="1"/>
  <c r="CK28" i="27" s="1"/>
  <c r="CQ28" i="27" a="1"/>
  <c r="CQ28" i="27" s="1"/>
  <c r="CF28" i="27" a="1"/>
  <c r="CF28" i="27" s="1"/>
  <c r="CR28" i="27" a="1"/>
  <c r="CR28" i="27" s="1"/>
  <c r="BZ28" i="27" a="1"/>
  <c r="BZ28" i="27" s="1"/>
  <c r="CM28" i="27" a="1"/>
  <c r="CM28" i="27" s="1"/>
  <c r="CG28" i="27" a="1"/>
  <c r="CG28" i="27" s="1"/>
  <c r="CN28" i="27" a="1"/>
  <c r="CN28" i="27" s="1"/>
  <c r="CP28" i="27" a="1"/>
  <c r="CP28" i="27" s="1"/>
  <c r="CD28" i="27" a="1"/>
  <c r="CD28" i="27" s="1"/>
  <c r="CU28" i="27" a="1"/>
  <c r="CU28" i="27" s="1"/>
  <c r="CB28" i="27" a="1"/>
  <c r="CB28" i="27" s="1"/>
  <c r="CI28" i="27" a="1"/>
  <c r="CI28" i="27" s="1"/>
  <c r="CS28" i="27" a="1"/>
  <c r="CS28" i="27" s="1"/>
  <c r="CL28" i="27" a="1"/>
  <c r="CL28" i="27" s="1"/>
  <c r="BY28" i="27" a="1"/>
  <c r="BY28" i="27" s="1"/>
  <c r="CI137" i="27" a="1"/>
  <c r="CI137" i="27" s="1"/>
  <c r="CN137" i="27" a="1"/>
  <c r="CN137" i="27" s="1"/>
  <c r="CD137" i="27" a="1"/>
  <c r="CD137" i="27" s="1"/>
  <c r="CJ137" i="27" a="1"/>
  <c r="CJ137" i="27" s="1"/>
  <c r="CO137" i="27" a="1"/>
  <c r="CO137" i="27" s="1"/>
  <c r="CU137" i="27" a="1"/>
  <c r="CU137" i="27" s="1"/>
  <c r="CK137" i="27" a="1"/>
  <c r="CK137" i="27" s="1"/>
  <c r="CP137" i="27" a="1"/>
  <c r="CP137" i="27" s="1"/>
  <c r="CE137" i="27" a="1"/>
  <c r="CE137" i="27" s="1"/>
  <c r="CQ137" i="27" a="1"/>
  <c r="CQ137" i="27" s="1"/>
  <c r="CV137" i="27" a="1"/>
  <c r="CV137" i="27" s="1"/>
  <c r="BZ137" i="27" a="1"/>
  <c r="BZ137" i="27" s="1"/>
  <c r="CL137" i="27" a="1"/>
  <c r="CL137" i="27" s="1"/>
  <c r="CR137" i="27" a="1"/>
  <c r="CR137" i="27" s="1"/>
  <c r="CA137" i="27" a="1"/>
  <c r="CA137" i="27" s="1"/>
  <c r="CF137" i="27" a="1"/>
  <c r="CF137" i="27" s="1"/>
  <c r="CS137" i="27" a="1"/>
  <c r="CS137" i="27" s="1"/>
  <c r="CC137" i="27" a="1"/>
  <c r="CC137" i="27" s="1"/>
  <c r="CH137" i="27" a="1"/>
  <c r="CH137" i="27" s="1"/>
  <c r="CT137" i="27" a="1"/>
  <c r="CT137" i="27" s="1"/>
  <c r="CB137" i="27" a="1"/>
  <c r="CB137" i="27" s="1"/>
  <c r="CG137" i="27" a="1"/>
  <c r="CG137" i="27" s="1"/>
  <c r="CM137" i="27" a="1"/>
  <c r="CM137" i="27" s="1"/>
  <c r="BY137" i="27" a="1"/>
  <c r="BY137" i="27" s="1"/>
  <c r="BZ74" i="27" a="1"/>
  <c r="BZ74" i="27" s="1"/>
  <c r="CG74" i="27" a="1"/>
  <c r="CG74" i="27" s="1"/>
  <c r="CM74" i="27" a="1"/>
  <c r="CM74" i="27" s="1"/>
  <c r="CR74" i="27" a="1"/>
  <c r="CR74" i="27" s="1"/>
  <c r="CA74" i="27" a="1"/>
  <c r="CA74" i="27" s="1"/>
  <c r="CH74" i="27" a="1"/>
  <c r="CH74" i="27" s="1"/>
  <c r="CT74" i="27" a="1"/>
  <c r="CT74" i="27" s="1"/>
  <c r="CC74" i="27" a="1"/>
  <c r="CC74" i="27" s="1"/>
  <c r="CI74" i="27" a="1"/>
  <c r="CI74" i="27" s="1"/>
  <c r="CV74" i="27" a="1"/>
  <c r="CV74" i="27" s="1"/>
  <c r="CD74" i="27" a="1"/>
  <c r="CD74" i="27" s="1"/>
  <c r="CJ74" i="27" a="1"/>
  <c r="CJ74" i="27" s="1"/>
  <c r="CP74" i="27" a="1"/>
  <c r="CP74" i="27" s="1"/>
  <c r="CF74" i="27" a="1"/>
  <c r="CF74" i="27" s="1"/>
  <c r="CL74" i="27" a="1"/>
  <c r="CL74" i="27" s="1"/>
  <c r="CQ74" i="27" a="1"/>
  <c r="CQ74" i="27" s="1"/>
  <c r="CB74" i="27" a="1"/>
  <c r="CB74" i="27" s="1"/>
  <c r="CS74" i="27" a="1"/>
  <c r="CS74" i="27" s="1"/>
  <c r="CE74" i="27" a="1"/>
  <c r="CE74" i="27" s="1"/>
  <c r="CU74" i="27" a="1"/>
  <c r="CU74" i="27" s="1"/>
  <c r="CK74" i="27" a="1"/>
  <c r="CK74" i="27" s="1"/>
  <c r="CN74" i="27" a="1"/>
  <c r="CN74" i="27" s="1"/>
  <c r="CO74" i="27" a="1"/>
  <c r="CO74" i="27" s="1"/>
  <c r="BY74" i="27" a="1"/>
  <c r="BY74" i="27" s="1"/>
  <c r="AW26" i="27"/>
  <c r="CC59" i="27" a="1"/>
  <c r="CC59" i="27" s="1"/>
  <c r="CE59" i="27" a="1"/>
  <c r="CE59" i="27" s="1"/>
  <c r="CJ59" i="27" a="1"/>
  <c r="CJ59" i="27" s="1"/>
  <c r="CF59" i="27" a="1"/>
  <c r="CF59" i="27" s="1"/>
  <c r="CL59" i="27" a="1"/>
  <c r="CL59" i="27" s="1"/>
  <c r="CA59" i="27" a="1"/>
  <c r="CA59" i="27" s="1"/>
  <c r="CB59" i="27" a="1"/>
  <c r="CB59" i="27" s="1"/>
  <c r="CH59" i="27" a="1"/>
  <c r="CH59" i="27" s="1"/>
  <c r="CD59" i="27" a="1"/>
  <c r="CD59" i="27" s="1"/>
  <c r="CS59" i="27" a="1"/>
  <c r="CS59" i="27" s="1"/>
  <c r="CG59" i="27" a="1"/>
  <c r="CG59" i="27" s="1"/>
  <c r="CO59" i="27" a="1"/>
  <c r="CO59" i="27" s="1"/>
  <c r="CU59" i="27" a="1"/>
  <c r="CU59" i="27" s="1"/>
  <c r="CI59" i="27" a="1"/>
  <c r="CI59" i="27" s="1"/>
  <c r="CP59" i="27" a="1"/>
  <c r="CP59" i="27" s="1"/>
  <c r="CM59" i="27" a="1"/>
  <c r="CM59" i="27" s="1"/>
  <c r="CR59" i="27" a="1"/>
  <c r="CR59" i="27" s="1"/>
  <c r="CT59" i="27" a="1"/>
  <c r="CT59" i="27" s="1"/>
  <c r="CN59" i="27" a="1"/>
  <c r="CN59" i="27" s="1"/>
  <c r="BZ59" i="27" a="1"/>
  <c r="BZ59" i="27" s="1"/>
  <c r="CK59" i="27" a="1"/>
  <c r="CK59" i="27" s="1"/>
  <c r="CQ59" i="27" a="1"/>
  <c r="CQ59" i="27" s="1"/>
  <c r="CV59" i="27" a="1"/>
  <c r="CV59" i="27" s="1"/>
  <c r="BY59" i="27" a="1"/>
  <c r="BY59" i="27" s="1"/>
  <c r="CJ93" i="27" a="1"/>
  <c r="CJ93" i="27" s="1"/>
  <c r="CO93" i="27" a="1"/>
  <c r="CO93" i="27" s="1"/>
  <c r="CU93" i="27" a="1"/>
  <c r="CU93" i="27" s="1"/>
  <c r="CD93" i="27" a="1"/>
  <c r="CD93" i="27" s="1"/>
  <c r="CP93" i="27" a="1"/>
  <c r="CP93" i="27" s="1"/>
  <c r="CV93" i="27" a="1"/>
  <c r="CV93" i="27" s="1"/>
  <c r="BZ93" i="27" a="1"/>
  <c r="BZ93" i="27" s="1"/>
  <c r="CE93" i="27" a="1"/>
  <c r="CE93" i="27" s="1"/>
  <c r="CK93" i="27" a="1"/>
  <c r="CK93" i="27" s="1"/>
  <c r="CQ93" i="27" a="1"/>
  <c r="CQ93" i="27" s="1"/>
  <c r="CA93" i="27" a="1"/>
  <c r="CA93" i="27" s="1"/>
  <c r="CF93" i="27" a="1"/>
  <c r="CF93" i="27" s="1"/>
  <c r="CG93" i="27" a="1"/>
  <c r="CG93" i="27" s="1"/>
  <c r="CL93" i="27" a="1"/>
  <c r="CL93" i="27" s="1"/>
  <c r="CR93" i="27" a="1"/>
  <c r="CR93" i="27" s="1"/>
  <c r="CB93" i="27" a="1"/>
  <c r="CB93" i="27" s="1"/>
  <c r="CH93" i="27" a="1"/>
  <c r="CH93" i="27" s="1"/>
  <c r="CM93" i="27" a="1"/>
  <c r="CM93" i="27" s="1"/>
  <c r="CS93" i="27" a="1"/>
  <c r="CS93" i="27" s="1"/>
  <c r="CC93" i="27" a="1"/>
  <c r="CC93" i="27" s="1"/>
  <c r="CN93" i="27" a="1"/>
  <c r="CN93" i="27" s="1"/>
  <c r="CT93" i="27" a="1"/>
  <c r="CT93" i="27" s="1"/>
  <c r="CI93" i="27" a="1"/>
  <c r="CI93" i="27" s="1"/>
  <c r="BY93" i="27" a="1"/>
  <c r="BY93" i="27" s="1"/>
  <c r="CF50" i="27" a="1"/>
  <c r="CF50" i="27" s="1"/>
  <c r="CL50" i="27" a="1"/>
  <c r="CL50" i="27" s="1"/>
  <c r="CS50" i="27" a="1"/>
  <c r="CS50" i="27" s="1"/>
  <c r="CA50" i="27" a="1"/>
  <c r="CA50" i="27" s="1"/>
  <c r="CH50" i="27" a="1"/>
  <c r="CH50" i="27" s="1"/>
  <c r="CN50" i="27" a="1"/>
  <c r="CN50" i="27" s="1"/>
  <c r="CT50" i="27" a="1"/>
  <c r="CT50" i="27" s="1"/>
  <c r="CC50" i="27" a="1"/>
  <c r="CC50" i="27" s="1"/>
  <c r="CI50" i="27" a="1"/>
  <c r="CI50" i="27" s="1"/>
  <c r="CP50" i="27" a="1"/>
  <c r="CP50" i="27" s="1"/>
  <c r="CU50" i="27" a="1"/>
  <c r="CU50" i="27" s="1"/>
  <c r="CD50" i="27" a="1"/>
  <c r="CD50" i="27" s="1"/>
  <c r="CJ50" i="27" a="1"/>
  <c r="CJ50" i="27" s="1"/>
  <c r="CQ50" i="27" a="1"/>
  <c r="CQ50" i="27" s="1"/>
  <c r="CV50" i="27" a="1"/>
  <c r="CV50" i="27" s="1"/>
  <c r="CR50" i="27" a="1"/>
  <c r="CR50" i="27" s="1"/>
  <c r="CO50" i="27" a="1"/>
  <c r="CO50" i="27" s="1"/>
  <c r="CB50" i="27" a="1"/>
  <c r="CB50" i="27" s="1"/>
  <c r="CG50" i="27" a="1"/>
  <c r="CG50" i="27" s="1"/>
  <c r="CM50" i="27" a="1"/>
  <c r="CM50" i="27" s="1"/>
  <c r="BZ50" i="27" a="1"/>
  <c r="BZ50" i="27" s="1"/>
  <c r="CK50" i="27" a="1"/>
  <c r="CK50" i="27" s="1"/>
  <c r="CE50" i="27" a="1"/>
  <c r="CE50" i="27" s="1"/>
  <c r="BY50" i="27" a="1"/>
  <c r="BY50" i="27" s="1"/>
  <c r="CA47" i="27" a="1"/>
  <c r="CA47" i="27" s="1"/>
  <c r="CF47" i="27" a="1"/>
  <c r="CF47" i="27" s="1"/>
  <c r="CL47" i="27" a="1"/>
  <c r="CL47" i="27" s="1"/>
  <c r="CB47" i="27" a="1"/>
  <c r="CB47" i="27" s="1"/>
  <c r="CH47" i="27" a="1"/>
  <c r="CH47" i="27" s="1"/>
  <c r="CS47" i="27" a="1"/>
  <c r="CS47" i="27" s="1"/>
  <c r="CN47" i="27" a="1"/>
  <c r="CN47" i="27" s="1"/>
  <c r="CT47" i="27" a="1"/>
  <c r="CT47" i="27" s="1"/>
  <c r="CD47" i="27" a="1"/>
  <c r="CD47" i="27" s="1"/>
  <c r="CJ47" i="27" a="1"/>
  <c r="CJ47" i="27" s="1"/>
  <c r="CP47" i="27" a="1"/>
  <c r="CP47" i="27" s="1"/>
  <c r="CV47" i="27" a="1"/>
  <c r="CV47" i="27" s="1"/>
  <c r="CE47" i="27" a="1"/>
  <c r="CE47" i="27" s="1"/>
  <c r="CU47" i="27" a="1"/>
  <c r="CU47" i="27" s="1"/>
  <c r="CI47" i="27" a="1"/>
  <c r="CI47" i="27" s="1"/>
  <c r="CM47" i="27" a="1"/>
  <c r="CM47" i="27" s="1"/>
  <c r="BZ47" i="27" a="1"/>
  <c r="BZ47" i="27" s="1"/>
  <c r="CO47" i="27" a="1"/>
  <c r="CO47" i="27" s="1"/>
  <c r="CC47" i="27" a="1"/>
  <c r="CC47" i="27" s="1"/>
  <c r="CR47" i="27" a="1"/>
  <c r="CR47" i="27" s="1"/>
  <c r="CQ47" i="27" a="1"/>
  <c r="CQ47" i="27" s="1"/>
  <c r="CK47" i="27" a="1"/>
  <c r="CK47" i="27" s="1"/>
  <c r="CG47" i="27" a="1"/>
  <c r="CG47" i="27" s="1"/>
  <c r="BY47" i="27" a="1"/>
  <c r="BY47" i="27" s="1"/>
  <c r="CC134" i="27" a="1"/>
  <c r="CC134" i="27" s="1"/>
  <c r="CK134" i="27" a="1"/>
  <c r="CK134" i="27" s="1"/>
  <c r="CS134" i="27" a="1"/>
  <c r="CS134" i="27" s="1"/>
  <c r="CD134" i="27" a="1"/>
  <c r="CD134" i="27" s="1"/>
  <c r="CL134" i="27" a="1"/>
  <c r="CL134" i="27" s="1"/>
  <c r="CT134" i="27" a="1"/>
  <c r="CT134" i="27" s="1"/>
  <c r="CE134" i="27" a="1"/>
  <c r="CE134" i="27" s="1"/>
  <c r="CM134" i="27" a="1"/>
  <c r="CM134" i="27" s="1"/>
  <c r="CU134" i="27" a="1"/>
  <c r="CU134" i="27" s="1"/>
  <c r="CF134" i="27" a="1"/>
  <c r="CF134" i="27" s="1"/>
  <c r="CN134" i="27" a="1"/>
  <c r="CN134" i="27" s="1"/>
  <c r="CV134" i="27" a="1"/>
  <c r="CV134" i="27" s="1"/>
  <c r="CG134" i="27" a="1"/>
  <c r="CG134" i="27" s="1"/>
  <c r="CO134" i="27" a="1"/>
  <c r="CO134" i="27" s="1"/>
  <c r="BZ134" i="27" a="1"/>
  <c r="BZ134" i="27" s="1"/>
  <c r="CH134" i="27" a="1"/>
  <c r="CH134" i="27" s="1"/>
  <c r="CP134" i="27" a="1"/>
  <c r="CP134" i="27" s="1"/>
  <c r="CB134" i="27" a="1"/>
  <c r="CB134" i="27" s="1"/>
  <c r="CJ134" i="27" a="1"/>
  <c r="CJ134" i="27" s="1"/>
  <c r="CR134" i="27" a="1"/>
  <c r="CR134" i="27" s="1"/>
  <c r="CI134" i="27" a="1"/>
  <c r="CI134" i="27" s="1"/>
  <c r="CQ134" i="27" a="1"/>
  <c r="CQ134" i="27" s="1"/>
  <c r="CA134" i="27" a="1"/>
  <c r="CA134" i="27" s="1"/>
  <c r="BY134" i="27" a="1"/>
  <c r="BY134" i="27" s="1"/>
  <c r="CD39" i="27" a="1"/>
  <c r="CD39" i="27" s="1"/>
  <c r="CJ39" i="27" a="1"/>
  <c r="CJ39" i="27" s="1"/>
  <c r="CL39" i="27" a="1"/>
  <c r="CL39" i="27" s="1"/>
  <c r="CA39" i="27" a="1"/>
  <c r="CA39" i="27" s="1"/>
  <c r="CG39" i="27" a="1"/>
  <c r="CG39" i="27" s="1"/>
  <c r="CN39" i="27" a="1"/>
  <c r="CN39" i="27" s="1"/>
  <c r="CS39" i="27" a="1"/>
  <c r="CS39" i="27" s="1"/>
  <c r="CB39" i="27" a="1"/>
  <c r="CB39" i="27" s="1"/>
  <c r="CH39" i="27" a="1"/>
  <c r="CH39" i="27" s="1"/>
  <c r="CT39" i="27" a="1"/>
  <c r="CT39" i="27" s="1"/>
  <c r="CC39" i="27" a="1"/>
  <c r="CC39" i="27" s="1"/>
  <c r="CI39" i="27" a="1"/>
  <c r="CI39" i="27" s="1"/>
  <c r="CP39" i="27" a="1"/>
  <c r="CP39" i="27" s="1"/>
  <c r="CV39" i="27" a="1"/>
  <c r="CV39" i="27" s="1"/>
  <c r="BZ39" i="27" a="1"/>
  <c r="BZ39" i="27" s="1"/>
  <c r="CQ39" i="27" a="1"/>
  <c r="CQ39" i="27" s="1"/>
  <c r="CE39" i="27" a="1"/>
  <c r="CE39" i="27" s="1"/>
  <c r="CU39" i="27" a="1"/>
  <c r="CU39" i="27" s="1"/>
  <c r="CK39" i="27" a="1"/>
  <c r="CK39" i="27" s="1"/>
  <c r="CO39" i="27" a="1"/>
  <c r="CO39" i="27" s="1"/>
  <c r="CM39" i="27" a="1"/>
  <c r="CM39" i="27" s="1"/>
  <c r="CF39" i="27" a="1"/>
  <c r="CF39" i="27" s="1"/>
  <c r="CR39" i="27" a="1"/>
  <c r="CR39" i="27" s="1"/>
  <c r="BY39" i="27" a="1"/>
  <c r="BY39" i="27" s="1"/>
  <c r="CD81" i="27" a="1"/>
  <c r="CD81" i="27" s="1"/>
  <c r="CJ81" i="27" a="1"/>
  <c r="CJ81" i="27" s="1"/>
  <c r="CO81" i="27" a="1"/>
  <c r="CO81" i="27" s="1"/>
  <c r="CU81" i="27" a="1"/>
  <c r="CU81" i="27" s="1"/>
  <c r="CK81" i="27" a="1"/>
  <c r="CK81" i="27" s="1"/>
  <c r="CP81" i="27" a="1"/>
  <c r="CP81" i="27" s="1"/>
  <c r="CV81" i="27" a="1"/>
  <c r="CV81" i="27" s="1"/>
  <c r="CA81" i="27" a="1"/>
  <c r="CA81" i="27" s="1"/>
  <c r="CG81" i="27" a="1"/>
  <c r="CG81" i="27" s="1"/>
  <c r="CM81" i="27" a="1"/>
  <c r="CM81" i="27" s="1"/>
  <c r="CR81" i="27" a="1"/>
  <c r="CR81" i="27" s="1"/>
  <c r="CS81" i="27" a="1"/>
  <c r="CS81" i="27" s="1"/>
  <c r="CC81" i="27" a="1"/>
  <c r="CC81" i="27" s="1"/>
  <c r="CI81" i="27" a="1"/>
  <c r="CI81" i="27" s="1"/>
  <c r="CT81" i="27" a="1"/>
  <c r="CT81" i="27" s="1"/>
  <c r="CE81" i="27" a="1"/>
  <c r="CE81" i="27" s="1"/>
  <c r="CF81" i="27" a="1"/>
  <c r="CF81" i="27" s="1"/>
  <c r="CH81" i="27" a="1"/>
  <c r="CH81" i="27" s="1"/>
  <c r="CL81" i="27" a="1"/>
  <c r="CL81" i="27" s="1"/>
  <c r="CN81" i="27" a="1"/>
  <c r="CN81" i="27" s="1"/>
  <c r="CB81" i="27" a="1"/>
  <c r="CB81" i="27" s="1"/>
  <c r="CQ81" i="27" a="1"/>
  <c r="CQ81" i="27" s="1"/>
  <c r="BZ81" i="27" a="1"/>
  <c r="BZ81" i="27" s="1"/>
  <c r="BY81" i="27" a="1"/>
  <c r="BY81" i="27" s="1"/>
  <c r="CB41" i="27" a="1"/>
  <c r="CB41" i="27" s="1"/>
  <c r="CH41" i="27" a="1"/>
  <c r="CH41" i="27" s="1"/>
  <c r="CN41" i="27" a="1"/>
  <c r="CN41" i="27" s="1"/>
  <c r="CC41" i="27" a="1"/>
  <c r="CC41" i="27" s="1"/>
  <c r="CJ41" i="27" a="1"/>
  <c r="CJ41" i="27" s="1"/>
  <c r="CO41" i="27" a="1"/>
  <c r="CO41" i="27" s="1"/>
  <c r="CV41" i="27" a="1"/>
  <c r="CV41" i="27" s="1"/>
  <c r="CD41" i="27" a="1"/>
  <c r="CD41" i="27" s="1"/>
  <c r="CQ41" i="27" a="1"/>
  <c r="CQ41" i="27" s="1"/>
  <c r="BZ41" i="27" a="1"/>
  <c r="BZ41" i="27" s="1"/>
  <c r="CE41" i="27" a="1"/>
  <c r="CE41" i="27" s="1"/>
  <c r="CL41" i="27" a="1"/>
  <c r="CL41" i="27" s="1"/>
  <c r="CR41" i="27" a="1"/>
  <c r="CR41" i="27" s="1"/>
  <c r="CA41" i="27" a="1"/>
  <c r="CA41" i="27" s="1"/>
  <c r="CG41" i="27" a="1"/>
  <c r="CG41" i="27" s="1"/>
  <c r="CM41" i="27" a="1"/>
  <c r="CM41" i="27" s="1"/>
  <c r="CT41" i="27" a="1"/>
  <c r="CT41" i="27" s="1"/>
  <c r="CU41" i="27" a="1"/>
  <c r="CU41" i="27" s="1"/>
  <c r="CI41" i="27" a="1"/>
  <c r="CI41" i="27" s="1"/>
  <c r="CS41" i="27" a="1"/>
  <c r="CS41" i="27" s="1"/>
  <c r="CK41" i="27" a="1"/>
  <c r="CK41" i="27" s="1"/>
  <c r="CF41" i="27" a="1"/>
  <c r="CF41" i="27" s="1"/>
  <c r="CP41" i="27" a="1"/>
  <c r="CP41" i="27" s="1"/>
  <c r="BY41" i="27" a="1"/>
  <c r="BY41" i="27" s="1"/>
  <c r="CG119" i="27" a="1"/>
  <c r="CG119" i="27" s="1"/>
  <c r="CO119" i="27" a="1"/>
  <c r="CO119" i="27" s="1"/>
  <c r="CA119" i="27" a="1"/>
  <c r="CA119" i="27" s="1"/>
  <c r="CI119" i="27" a="1"/>
  <c r="CI119" i="27" s="1"/>
  <c r="CQ119" i="27" a="1"/>
  <c r="CQ119" i="27" s="1"/>
  <c r="CC119" i="27" a="1"/>
  <c r="CC119" i="27" s="1"/>
  <c r="CK119" i="27" a="1"/>
  <c r="CK119" i="27" s="1"/>
  <c r="CS119" i="27" a="1"/>
  <c r="CS119" i="27" s="1"/>
  <c r="CD119" i="27" a="1"/>
  <c r="CD119" i="27" s="1"/>
  <c r="CL119" i="27" a="1"/>
  <c r="CL119" i="27" s="1"/>
  <c r="CT119" i="27" a="1"/>
  <c r="CT119" i="27" s="1"/>
  <c r="CF119" i="27" a="1"/>
  <c r="CF119" i="27" s="1"/>
  <c r="CN119" i="27" a="1"/>
  <c r="CN119" i="27" s="1"/>
  <c r="CV119" i="27" a="1"/>
  <c r="CV119" i="27" s="1"/>
  <c r="CR119" i="27" a="1"/>
  <c r="CR119" i="27" s="1"/>
  <c r="BZ119" i="27" a="1"/>
  <c r="BZ119" i="27" s="1"/>
  <c r="CU119" i="27" a="1"/>
  <c r="CU119" i="27" s="1"/>
  <c r="CB119" i="27" a="1"/>
  <c r="CB119" i="27" s="1"/>
  <c r="CE119" i="27" a="1"/>
  <c r="CE119" i="27" s="1"/>
  <c r="CH119" i="27" a="1"/>
  <c r="CH119" i="27" s="1"/>
  <c r="CJ119" i="27" a="1"/>
  <c r="CJ119" i="27" s="1"/>
  <c r="CP119" i="27" a="1"/>
  <c r="CP119" i="27" s="1"/>
  <c r="CM119" i="27" a="1"/>
  <c r="CM119" i="27" s="1"/>
  <c r="BY119" i="27" a="1"/>
  <c r="BY119" i="27" s="1"/>
  <c r="BZ40" i="27" a="1"/>
  <c r="BZ40" i="27" s="1"/>
  <c r="CL40" i="27" a="1"/>
  <c r="CL40" i="27" s="1"/>
  <c r="CR40" i="27" a="1"/>
  <c r="CR40" i="27" s="1"/>
  <c r="CB40" i="27" a="1"/>
  <c r="CB40" i="27" s="1"/>
  <c r="CG40" i="27" a="1"/>
  <c r="CG40" i="27" s="1"/>
  <c r="CN40" i="27" a="1"/>
  <c r="CN40" i="27" s="1"/>
  <c r="CT40" i="27" a="1"/>
  <c r="CT40" i="27" s="1"/>
  <c r="CC40" i="27" a="1"/>
  <c r="CC40" i="27" s="1"/>
  <c r="CI40" i="27" a="1"/>
  <c r="CI40" i="27" s="1"/>
  <c r="CO40" i="27" a="1"/>
  <c r="CO40" i="27" s="1"/>
  <c r="CV40" i="27" a="1"/>
  <c r="CV40" i="27" s="1"/>
  <c r="CJ40" i="27" a="1"/>
  <c r="CJ40" i="27" s="1"/>
  <c r="CP40" i="27" a="1"/>
  <c r="CP40" i="27" s="1"/>
  <c r="CE40" i="27" a="1"/>
  <c r="CE40" i="27" s="1"/>
  <c r="CK40" i="27" a="1"/>
  <c r="CK40" i="27" s="1"/>
  <c r="CS40" i="27" a="1"/>
  <c r="CS40" i="27" s="1"/>
  <c r="CD40" i="27" a="1"/>
  <c r="CD40" i="27" s="1"/>
  <c r="CU40" i="27" a="1"/>
  <c r="CU40" i="27" s="1"/>
  <c r="CH40" i="27" a="1"/>
  <c r="CH40" i="27" s="1"/>
  <c r="CA40" i="27" a="1"/>
  <c r="CA40" i="27" s="1"/>
  <c r="CM40" i="27" a="1"/>
  <c r="CM40" i="27" s="1"/>
  <c r="CQ40" i="27" a="1"/>
  <c r="CQ40" i="27" s="1"/>
  <c r="CF40" i="27" a="1"/>
  <c r="CF40" i="27" s="1"/>
  <c r="BY40" i="27" a="1"/>
  <c r="BY40" i="27" s="1"/>
  <c r="CF124" i="27" a="1"/>
  <c r="CF124" i="27" s="1"/>
  <c r="CN124" i="27" a="1"/>
  <c r="CN124" i="27" s="1"/>
  <c r="CV124" i="27" a="1"/>
  <c r="CV124" i="27" s="1"/>
  <c r="BZ124" i="27" a="1"/>
  <c r="BZ124" i="27" s="1"/>
  <c r="CH124" i="27" a="1"/>
  <c r="CH124" i="27" s="1"/>
  <c r="CP124" i="27" a="1"/>
  <c r="CP124" i="27" s="1"/>
  <c r="CA124" i="27" a="1"/>
  <c r="CA124" i="27" s="1"/>
  <c r="CI124" i="27" a="1"/>
  <c r="CI124" i="27" s="1"/>
  <c r="CQ124" i="27" a="1"/>
  <c r="CQ124" i="27" s="1"/>
  <c r="CC124" i="27" a="1"/>
  <c r="CC124" i="27" s="1"/>
  <c r="CK124" i="27" a="1"/>
  <c r="CK124" i="27" s="1"/>
  <c r="CS124" i="27" a="1"/>
  <c r="CS124" i="27" s="1"/>
  <c r="CJ124" i="27" a="1"/>
  <c r="CJ124" i="27" s="1"/>
  <c r="CL124" i="27" a="1"/>
  <c r="CL124" i="27" s="1"/>
  <c r="CM124" i="27" a="1"/>
  <c r="CM124" i="27" s="1"/>
  <c r="CO124" i="27" a="1"/>
  <c r="CO124" i="27" s="1"/>
  <c r="CB124" i="27" a="1"/>
  <c r="CB124" i="27" s="1"/>
  <c r="CR124" i="27" a="1"/>
  <c r="CR124" i="27" s="1"/>
  <c r="CD124" i="27" a="1"/>
  <c r="CD124" i="27" s="1"/>
  <c r="CT124" i="27" a="1"/>
  <c r="CT124" i="27" s="1"/>
  <c r="CG124" i="27" a="1"/>
  <c r="CG124" i="27" s="1"/>
  <c r="CU124" i="27" a="1"/>
  <c r="CU124" i="27" s="1"/>
  <c r="CE124" i="27" a="1"/>
  <c r="CE124" i="27" s="1"/>
  <c r="BY124" i="27" a="1"/>
  <c r="BY124" i="27" s="1"/>
  <c r="CA31" i="27" a="1"/>
  <c r="CA31" i="27" s="1"/>
  <c r="CG31" i="27" a="1"/>
  <c r="CG31" i="27" s="1"/>
  <c r="CN31" i="27" a="1"/>
  <c r="CN31" i="27" s="1"/>
  <c r="CT31" i="27" a="1"/>
  <c r="CT31" i="27" s="1"/>
  <c r="CC31" i="27" a="1"/>
  <c r="CC31" i="27" s="1"/>
  <c r="CO31" i="27" a="1"/>
  <c r="CO31" i="27" s="1"/>
  <c r="CU31" i="27" a="1"/>
  <c r="CU31" i="27" s="1"/>
  <c r="CE31" i="27" a="1"/>
  <c r="CE31" i="27" s="1"/>
  <c r="CJ31" i="27" a="1"/>
  <c r="CJ31" i="27" s="1"/>
  <c r="CQ31" i="27" a="1"/>
  <c r="CQ31" i="27" s="1"/>
  <c r="CK31" i="27" a="1"/>
  <c r="CK31" i="27" s="1"/>
  <c r="BZ31" i="27" a="1"/>
  <c r="BZ31" i="27" s="1"/>
  <c r="CM31" i="27" a="1"/>
  <c r="CM31" i="27" s="1"/>
  <c r="CS31" i="27" a="1"/>
  <c r="CS31" i="27" s="1"/>
  <c r="CD31" i="27" a="1"/>
  <c r="CD31" i="27" s="1"/>
  <c r="CH31" i="27" a="1"/>
  <c r="CH31" i="27" s="1"/>
  <c r="CL31" i="27" a="1"/>
  <c r="CL31" i="27" s="1"/>
  <c r="CB31" i="27" a="1"/>
  <c r="CB31" i="27" s="1"/>
  <c r="CR31" i="27" a="1"/>
  <c r="CR31" i="27" s="1"/>
  <c r="CI31" i="27" a="1"/>
  <c r="CI31" i="27" s="1"/>
  <c r="CV31" i="27" a="1"/>
  <c r="CV31" i="27" s="1"/>
  <c r="CF31" i="27" a="1"/>
  <c r="CF31" i="27" s="1"/>
  <c r="CP31" i="27" a="1"/>
  <c r="CP31" i="27" s="1"/>
  <c r="BY31" i="27" a="1"/>
  <c r="BY31" i="27" s="1"/>
  <c r="CE106" i="27" a="1"/>
  <c r="CE106" i="27" s="1"/>
  <c r="CL106" i="27" a="1"/>
  <c r="CL106" i="27" s="1"/>
  <c r="CQ106" i="27" a="1"/>
  <c r="CQ106" i="27" s="1"/>
  <c r="CM106" i="27" a="1"/>
  <c r="CM106" i="27" s="1"/>
  <c r="CS106" i="27" a="1"/>
  <c r="CS106" i="27" s="1"/>
  <c r="CB106" i="27" a="1"/>
  <c r="CB106" i="27" s="1"/>
  <c r="CH106" i="27" a="1"/>
  <c r="CH106" i="27" s="1"/>
  <c r="CU106" i="27" a="1"/>
  <c r="CU106" i="27" s="1"/>
  <c r="CC106" i="27" a="1"/>
  <c r="CC106" i="27" s="1"/>
  <c r="CI106" i="27" a="1"/>
  <c r="CI106" i="27" s="1"/>
  <c r="CO106" i="27" a="1"/>
  <c r="CO106" i="27" s="1"/>
  <c r="CV106" i="27" a="1"/>
  <c r="CV106" i="27" s="1"/>
  <c r="CD106" i="27" a="1"/>
  <c r="CD106" i="27" s="1"/>
  <c r="CK106" i="27" a="1"/>
  <c r="CK106" i="27" s="1"/>
  <c r="CP106" i="27" a="1"/>
  <c r="CP106" i="27" s="1"/>
  <c r="BZ106" i="27" a="1"/>
  <c r="BZ106" i="27" s="1"/>
  <c r="CA106" i="27" a="1"/>
  <c r="CA106" i="27" s="1"/>
  <c r="CR106" i="27" a="1"/>
  <c r="CR106" i="27" s="1"/>
  <c r="CT106" i="27" a="1"/>
  <c r="CT106" i="27" s="1"/>
  <c r="CF106" i="27" a="1"/>
  <c r="CF106" i="27" s="1"/>
  <c r="CG106" i="27" a="1"/>
  <c r="CG106" i="27" s="1"/>
  <c r="CJ106" i="27" a="1"/>
  <c r="CJ106" i="27" s="1"/>
  <c r="CN106" i="27" a="1"/>
  <c r="CN106" i="27" s="1"/>
  <c r="BY106" i="27" a="1"/>
  <c r="BY106" i="27" s="1"/>
  <c r="CA140" i="27" a="1"/>
  <c r="CA140" i="27" s="1"/>
  <c r="CN140" i="27" a="1"/>
  <c r="CN140" i="27" s="1"/>
  <c r="CV140" i="27" a="1"/>
  <c r="CV140" i="27" s="1"/>
  <c r="CB140" i="27" a="1"/>
  <c r="CB140" i="27" s="1"/>
  <c r="CH140" i="27" a="1"/>
  <c r="CH140" i="27" s="1"/>
  <c r="CO140" i="27" a="1"/>
  <c r="CO140" i="27" s="1"/>
  <c r="CC140" i="27" a="1"/>
  <c r="CC140" i="27" s="1"/>
  <c r="CP140" i="27" a="1"/>
  <c r="CP140" i="27" s="1"/>
  <c r="CD140" i="27" a="1"/>
  <c r="CD140" i="27" s="1"/>
  <c r="CI140" i="27" a="1"/>
  <c r="CI140" i="27" s="1"/>
  <c r="CQ140" i="27" a="1"/>
  <c r="CQ140" i="27" s="1"/>
  <c r="CE140" i="27" a="1"/>
  <c r="CE140" i="27" s="1"/>
  <c r="CJ140" i="27" a="1"/>
  <c r="CJ140" i="27" s="1"/>
  <c r="CR140" i="27" a="1"/>
  <c r="CR140" i="27" s="1"/>
  <c r="CF140" i="27" a="1"/>
  <c r="CF140" i="27" s="1"/>
  <c r="CK140" i="27" a="1"/>
  <c r="CK140" i="27" s="1"/>
  <c r="CS140" i="27" a="1"/>
  <c r="CS140" i="27" s="1"/>
  <c r="CG140" i="27" a="1"/>
  <c r="CG140" i="27" s="1"/>
  <c r="CM140" i="27" a="1"/>
  <c r="CM140" i="27" s="1"/>
  <c r="CU140" i="27" a="1"/>
  <c r="CU140" i="27" s="1"/>
  <c r="BZ140" i="27" a="1"/>
  <c r="BZ140" i="27" s="1"/>
  <c r="CL140" i="27" a="1"/>
  <c r="CL140" i="27" s="1"/>
  <c r="CT140" i="27" a="1"/>
  <c r="CT140" i="27" s="1"/>
  <c r="BY140" i="27" a="1"/>
  <c r="BY140" i="27" s="1"/>
  <c r="CC80" i="27" a="1"/>
  <c r="CC80" i="27" s="1"/>
  <c r="CJ80" i="27" a="1"/>
  <c r="CJ80" i="27" s="1"/>
  <c r="CO80" i="27" a="1"/>
  <c r="CO80" i="27" s="1"/>
  <c r="CK80" i="27" a="1"/>
  <c r="CK80" i="27" s="1"/>
  <c r="CQ80" i="27" a="1"/>
  <c r="CQ80" i="27" s="1"/>
  <c r="BZ80" i="27" a="1"/>
  <c r="BZ80" i="27" s="1"/>
  <c r="CF80" i="27" a="1"/>
  <c r="CF80" i="27" s="1"/>
  <c r="CS80" i="27" a="1"/>
  <c r="CS80" i="27" s="1"/>
  <c r="CA80" i="27" a="1"/>
  <c r="CA80" i="27" s="1"/>
  <c r="CG80" i="27" a="1"/>
  <c r="CG80" i="27" s="1"/>
  <c r="CM80" i="27" a="1"/>
  <c r="CM80" i="27" s="1"/>
  <c r="CT80" i="27" a="1"/>
  <c r="CT80" i="27" s="1"/>
  <c r="CB80" i="27" a="1"/>
  <c r="CB80" i="27" s="1"/>
  <c r="CI80" i="27" a="1"/>
  <c r="CI80" i="27" s="1"/>
  <c r="CN80" i="27" a="1"/>
  <c r="CN80" i="27" s="1"/>
  <c r="CU80" i="27" a="1"/>
  <c r="CU80" i="27" s="1"/>
  <c r="CL80" i="27" a="1"/>
  <c r="CL80" i="27" s="1"/>
  <c r="CP80" i="27" a="1"/>
  <c r="CP80" i="27" s="1"/>
  <c r="CR80" i="27" a="1"/>
  <c r="CR80" i="27" s="1"/>
  <c r="CD80" i="27" a="1"/>
  <c r="CD80" i="27" s="1"/>
  <c r="CE80" i="27" a="1"/>
  <c r="CE80" i="27" s="1"/>
  <c r="CV80" i="27" a="1"/>
  <c r="CV80" i="27" s="1"/>
  <c r="CH80" i="27" a="1"/>
  <c r="CH80" i="27" s="1"/>
  <c r="BY80" i="27" a="1"/>
  <c r="BY80" i="27" s="1"/>
  <c r="CA7" i="27" a="1"/>
  <c r="CA7" i="27" s="1"/>
  <c r="CI7" i="27" a="1"/>
  <c r="CI7" i="27" s="1"/>
  <c r="CQ7" i="27" a="1"/>
  <c r="CQ7" i="27" s="1"/>
  <c r="CC7" i="27" a="1"/>
  <c r="CC7" i="27" s="1"/>
  <c r="CK7" i="27" a="1"/>
  <c r="CK7" i="27" s="1"/>
  <c r="CS7" i="27" a="1"/>
  <c r="CS7" i="27" s="1"/>
  <c r="CE7" i="27" a="1"/>
  <c r="CE7" i="27" s="1"/>
  <c r="CM7" i="27" a="1"/>
  <c r="CM7" i="27" s="1"/>
  <c r="CU7" i="27" a="1"/>
  <c r="CU7" i="27" s="1"/>
  <c r="CF7" i="27" a="1"/>
  <c r="CF7" i="27" s="1"/>
  <c r="CN7" i="27" a="1"/>
  <c r="CN7" i="27" s="1"/>
  <c r="CV7" i="27" a="1"/>
  <c r="CV7" i="27" s="1"/>
  <c r="BZ7" i="27" a="1"/>
  <c r="BZ7" i="27" s="1"/>
  <c r="CH7" i="27" a="1"/>
  <c r="CH7" i="27" s="1"/>
  <c r="CP7" i="27" a="1"/>
  <c r="CP7" i="27" s="1"/>
  <c r="CB7" i="27" a="1"/>
  <c r="CB7" i="27" s="1"/>
  <c r="CG7" i="27" a="1"/>
  <c r="CG7" i="27" s="1"/>
  <c r="CL7" i="27" a="1"/>
  <c r="CL7" i="27" s="1"/>
  <c r="CO7" i="27" a="1"/>
  <c r="CO7" i="27" s="1"/>
  <c r="CT7" i="27" a="1"/>
  <c r="CT7" i="27" s="1"/>
  <c r="CD7" i="27" a="1"/>
  <c r="CD7" i="27" s="1"/>
  <c r="CR7" i="27" a="1"/>
  <c r="CR7" i="27" s="1"/>
  <c r="CJ7" i="27" a="1"/>
  <c r="CJ7" i="27" s="1"/>
  <c r="BY7" i="27" a="1"/>
  <c r="BY7" i="27" s="1"/>
  <c r="CB25" i="27" a="1"/>
  <c r="CB25" i="27" s="1"/>
  <c r="CI25" i="27" a="1"/>
  <c r="CI25" i="27" s="1"/>
  <c r="CP25" i="27" a="1"/>
  <c r="CP25" i="27" s="1"/>
  <c r="CD25" i="27" a="1"/>
  <c r="CD25" i="27" s="1"/>
  <c r="CK25" i="27" a="1"/>
  <c r="CK25" i="27" s="1"/>
  <c r="CR25" i="27" a="1"/>
  <c r="CR25" i="27" s="1"/>
  <c r="CE25" i="27" a="1"/>
  <c r="CE25" i="27" s="1"/>
  <c r="CM25" i="27" a="1"/>
  <c r="CM25" i="27" s="1"/>
  <c r="CT25" i="27" a="1"/>
  <c r="CT25" i="27" s="1"/>
  <c r="CF25" i="27" a="1"/>
  <c r="CF25" i="27" s="1"/>
  <c r="CN25" i="27" a="1"/>
  <c r="CN25" i="27" s="1"/>
  <c r="CA25" i="27" a="1"/>
  <c r="CA25" i="27" s="1"/>
  <c r="CH25" i="27" a="1"/>
  <c r="CH25" i="27" s="1"/>
  <c r="CV25" i="27" a="1"/>
  <c r="CV25" i="27" s="1"/>
  <c r="CC25" i="27" a="1"/>
  <c r="CC25" i="27" s="1"/>
  <c r="CU25" i="27" a="1"/>
  <c r="CU25" i="27" s="1"/>
  <c r="CG25" i="27" a="1"/>
  <c r="CG25" i="27" s="1"/>
  <c r="CL25" i="27" a="1"/>
  <c r="CL25" i="27" s="1"/>
  <c r="CO25" i="27" a="1"/>
  <c r="CO25" i="27" s="1"/>
  <c r="BZ25" i="27" a="1"/>
  <c r="BZ25" i="27" s="1"/>
  <c r="CS25" i="27" a="1"/>
  <c r="CS25" i="27" s="1"/>
  <c r="CJ25" i="27" a="1"/>
  <c r="CJ25" i="27" s="1"/>
  <c r="CQ25" i="27" a="1"/>
  <c r="CQ25" i="27" s="1"/>
  <c r="BY25" i="27" a="1"/>
  <c r="BY25" i="27" s="1"/>
  <c r="CA46" i="27" a="1"/>
  <c r="CA46" i="27" s="1"/>
  <c r="CG46" i="27" a="1"/>
  <c r="CG46" i="27" s="1"/>
  <c r="CD46" i="27" a="1"/>
  <c r="CD46" i="27" s="1"/>
  <c r="CJ46" i="27" a="1"/>
  <c r="CJ46" i="27" s="1"/>
  <c r="BZ46" i="27" a="1"/>
  <c r="BZ46" i="27" s="1"/>
  <c r="CI46" i="27" a="1"/>
  <c r="CI46" i="27" s="1"/>
  <c r="CP46" i="27" a="1"/>
  <c r="CP46" i="27" s="1"/>
  <c r="CV46" i="27" a="1"/>
  <c r="CV46" i="27" s="1"/>
  <c r="CC46" i="27" a="1"/>
  <c r="CC46" i="27" s="1"/>
  <c r="CL46" i="27" a="1"/>
  <c r="CL46" i="27" s="1"/>
  <c r="CQ46" i="27" a="1"/>
  <c r="CQ46" i="27" s="1"/>
  <c r="CF46" i="27" a="1"/>
  <c r="CF46" i="27" s="1"/>
  <c r="CR46" i="27" a="1"/>
  <c r="CR46" i="27" s="1"/>
  <c r="CN46" i="27" a="1"/>
  <c r="CN46" i="27" s="1"/>
  <c r="CS46" i="27" a="1"/>
  <c r="CS46" i="27" s="1"/>
  <c r="CU46" i="27" a="1"/>
  <c r="CU46" i="27" s="1"/>
  <c r="CM46" i="27" a="1"/>
  <c r="CM46" i="27" s="1"/>
  <c r="CB46" i="27" a="1"/>
  <c r="CB46" i="27" s="1"/>
  <c r="CT46" i="27" a="1"/>
  <c r="CT46" i="27" s="1"/>
  <c r="CE46" i="27" a="1"/>
  <c r="CE46" i="27" s="1"/>
  <c r="CK46" i="27" a="1"/>
  <c r="CK46" i="27" s="1"/>
  <c r="CH46" i="27" a="1"/>
  <c r="CH46" i="27" s="1"/>
  <c r="CO46" i="27" a="1"/>
  <c r="CO46" i="27" s="1"/>
  <c r="BY46" i="27" a="1"/>
  <c r="BY46" i="27" s="1"/>
  <c r="CJ64" i="27" a="1"/>
  <c r="CJ64" i="27" s="1"/>
  <c r="CP64" i="27" a="1"/>
  <c r="CP64" i="27" s="1"/>
  <c r="CL64" i="27" a="1"/>
  <c r="CL64" i="27" s="1"/>
  <c r="CR64" i="27" a="1"/>
  <c r="CR64" i="27" s="1"/>
  <c r="CA64" i="27" a="1"/>
  <c r="CA64" i="27" s="1"/>
  <c r="CT64" i="27" a="1"/>
  <c r="CT64" i="27" s="1"/>
  <c r="CB64" i="27" a="1"/>
  <c r="CB64" i="27" s="1"/>
  <c r="CG64" i="27" a="1"/>
  <c r="CG64" i="27" s="1"/>
  <c r="CN64" i="27" a="1"/>
  <c r="CN64" i="27" s="1"/>
  <c r="CD64" i="27" a="1"/>
  <c r="CD64" i="27" s="1"/>
  <c r="CI64" i="27" a="1"/>
  <c r="CI64" i="27" s="1"/>
  <c r="CO64" i="27" a="1"/>
  <c r="CO64" i="27" s="1"/>
  <c r="CV64" i="27" a="1"/>
  <c r="CV64" i="27" s="1"/>
  <c r="BZ64" i="27" a="1"/>
  <c r="BZ64" i="27" s="1"/>
  <c r="CQ64" i="27" a="1"/>
  <c r="CQ64" i="27" s="1"/>
  <c r="CE64" i="27" a="1"/>
  <c r="CE64" i="27" s="1"/>
  <c r="CU64" i="27" a="1"/>
  <c r="CU64" i="27" s="1"/>
  <c r="CH64" i="27" a="1"/>
  <c r="CH64" i="27" s="1"/>
  <c r="CK64" i="27" a="1"/>
  <c r="CK64" i="27" s="1"/>
  <c r="CS64" i="27" a="1"/>
  <c r="CS64" i="27" s="1"/>
  <c r="CC64" i="27" a="1"/>
  <c r="CC64" i="27" s="1"/>
  <c r="CM64" i="27" a="1"/>
  <c r="CM64" i="27" s="1"/>
  <c r="CF64" i="27" a="1"/>
  <c r="CF64" i="27" s="1"/>
  <c r="BY64" i="27" a="1"/>
  <c r="BY64" i="27" s="1"/>
  <c r="CJ42" i="27" a="1"/>
  <c r="CJ42" i="27" s="1"/>
  <c r="CP42" i="27" a="1"/>
  <c r="CP42" i="27" s="1"/>
  <c r="CV42" i="27" a="1"/>
  <c r="CV42" i="27" s="1"/>
  <c r="CE42" i="27" a="1"/>
  <c r="CE42" i="27" s="1"/>
  <c r="CR42" i="27" a="1"/>
  <c r="CR42" i="27" s="1"/>
  <c r="CG42" i="27" a="1"/>
  <c r="CG42" i="27" s="1"/>
  <c r="CT42" i="27" a="1"/>
  <c r="CT42" i="27" s="1"/>
  <c r="CA42" i="27" a="1"/>
  <c r="CA42" i="27" s="1"/>
  <c r="CH42" i="27" a="1"/>
  <c r="CH42" i="27" s="1"/>
  <c r="CM42" i="27" a="1"/>
  <c r="CM42" i="27" s="1"/>
  <c r="CC42" i="27" a="1"/>
  <c r="CC42" i="27" s="1"/>
  <c r="CO42" i="27" a="1"/>
  <c r="CO42" i="27" s="1"/>
  <c r="CN42" i="27" a="1"/>
  <c r="CN42" i="27" s="1"/>
  <c r="CB42" i="27" a="1"/>
  <c r="CB42" i="27" s="1"/>
  <c r="CS42" i="27" a="1"/>
  <c r="CS42" i="27" s="1"/>
  <c r="CF42" i="27" a="1"/>
  <c r="CF42" i="27" s="1"/>
  <c r="CI42" i="27" a="1"/>
  <c r="CI42" i="27" s="1"/>
  <c r="CL42" i="27" a="1"/>
  <c r="CL42" i="27" s="1"/>
  <c r="BZ42" i="27" a="1"/>
  <c r="BZ42" i="27" s="1"/>
  <c r="CK42" i="27" a="1"/>
  <c r="CK42" i="27" s="1"/>
  <c r="CQ42" i="27" a="1"/>
  <c r="CQ42" i="27" s="1"/>
  <c r="CU42" i="27" a="1"/>
  <c r="CU42" i="27" s="1"/>
  <c r="CD42" i="27" a="1"/>
  <c r="CD42" i="27" s="1"/>
  <c r="BY42" i="27" a="1"/>
  <c r="BY42" i="27" s="1"/>
  <c r="CF12" i="27" a="1"/>
  <c r="CF12" i="27" s="1"/>
  <c r="CN12" i="27" a="1"/>
  <c r="CN12" i="27" s="1"/>
  <c r="CV12" i="27" a="1"/>
  <c r="CV12" i="27" s="1"/>
  <c r="BZ12" i="27" a="1"/>
  <c r="BZ12" i="27" s="1"/>
  <c r="CH12" i="27" a="1"/>
  <c r="CH12" i="27" s="1"/>
  <c r="CP12" i="27" a="1"/>
  <c r="CP12" i="27" s="1"/>
  <c r="CB12" i="27" a="1"/>
  <c r="CB12" i="27" s="1"/>
  <c r="CJ12" i="27" a="1"/>
  <c r="CJ12" i="27" s="1"/>
  <c r="CR12" i="27" a="1"/>
  <c r="CR12" i="27" s="1"/>
  <c r="CC12" i="27" a="1"/>
  <c r="CC12" i="27" s="1"/>
  <c r="CK12" i="27" a="1"/>
  <c r="CK12" i="27" s="1"/>
  <c r="CS12" i="27" a="1"/>
  <c r="CS12" i="27" s="1"/>
  <c r="CE12" i="27" a="1"/>
  <c r="CE12" i="27" s="1"/>
  <c r="CM12" i="27" a="1"/>
  <c r="CM12" i="27" s="1"/>
  <c r="CU12" i="27" a="1"/>
  <c r="CU12" i="27" s="1"/>
  <c r="CO12" i="27" a="1"/>
  <c r="CO12" i="27" s="1"/>
  <c r="CT12" i="27" a="1"/>
  <c r="CT12" i="27" s="1"/>
  <c r="CD12" i="27" a="1"/>
  <c r="CD12" i="27" s="1"/>
  <c r="CG12" i="27" a="1"/>
  <c r="CG12" i="27" s="1"/>
  <c r="CL12" i="27" a="1"/>
  <c r="CL12" i="27" s="1"/>
  <c r="CA12" i="27" a="1"/>
  <c r="CA12" i="27" s="1"/>
  <c r="CQ12" i="27" a="1"/>
  <c r="CQ12" i="27" s="1"/>
  <c r="CI12" i="27" a="1"/>
  <c r="CI12" i="27" s="1"/>
  <c r="BY12" i="27" a="1"/>
  <c r="BY12" i="27" s="1"/>
  <c r="BZ56" i="27" a="1"/>
  <c r="BZ56" i="27" s="1"/>
  <c r="CE56" i="27" a="1"/>
  <c r="CE56" i="27" s="1"/>
  <c r="CQ56" i="27" a="1"/>
  <c r="CQ56" i="27" s="1"/>
  <c r="CV56" i="27" a="1"/>
  <c r="CV56" i="27" s="1"/>
  <c r="CG56" i="27" a="1"/>
  <c r="CG56" i="27" s="1"/>
  <c r="CH56" i="27" a="1"/>
  <c r="CH56" i="27" s="1"/>
  <c r="CM56" i="27" a="1"/>
  <c r="CM56" i="27" s="1"/>
  <c r="CC56" i="27" a="1"/>
  <c r="CC56" i="27" s="1"/>
  <c r="CI56" i="27" a="1"/>
  <c r="CI56" i="27" s="1"/>
  <c r="CN56" i="27" a="1"/>
  <c r="CN56" i="27" s="1"/>
  <c r="CT56" i="27" a="1"/>
  <c r="CT56" i="27" s="1"/>
  <c r="CD56" i="27" a="1"/>
  <c r="CD56" i="27" s="1"/>
  <c r="CJ56" i="27" a="1"/>
  <c r="CJ56" i="27" s="1"/>
  <c r="CP56" i="27" a="1"/>
  <c r="CP56" i="27" s="1"/>
  <c r="CL56" i="27" a="1"/>
  <c r="CL56" i="27" s="1"/>
  <c r="CB56" i="27" a="1"/>
  <c r="CB56" i="27" s="1"/>
  <c r="CR56" i="27" a="1"/>
  <c r="CR56" i="27" s="1"/>
  <c r="CF56" i="27" a="1"/>
  <c r="CF56" i="27" s="1"/>
  <c r="CU56" i="27" a="1"/>
  <c r="CU56" i="27" s="1"/>
  <c r="CK56" i="27" a="1"/>
  <c r="CK56" i="27" s="1"/>
  <c r="CO56" i="27" a="1"/>
  <c r="CO56" i="27" s="1"/>
  <c r="CA56" i="27" a="1"/>
  <c r="CA56" i="27" s="1"/>
  <c r="CS56" i="27" a="1"/>
  <c r="CS56" i="27" s="1"/>
  <c r="BY56" i="27" a="1"/>
  <c r="BY56" i="27" s="1"/>
  <c r="CF34" i="27" a="1"/>
  <c r="CF34" i="27" s="1"/>
  <c r="CS34" i="27" a="1"/>
  <c r="CS34" i="27" s="1"/>
  <c r="CH34" i="27" a="1"/>
  <c r="CH34" i="27" s="1"/>
  <c r="CN34" i="27" a="1"/>
  <c r="CN34" i="27" s="1"/>
  <c r="CU34" i="27" a="1"/>
  <c r="CU34" i="27" s="1"/>
  <c r="CC34" i="27" a="1"/>
  <c r="CC34" i="27" s="1"/>
  <c r="CV34" i="27" a="1"/>
  <c r="CV34" i="27" s="1"/>
  <c r="CJ34" i="27" a="1"/>
  <c r="CJ34" i="27" s="1"/>
  <c r="CP34" i="27" a="1"/>
  <c r="CP34" i="27" s="1"/>
  <c r="BZ34" i="27" a="1"/>
  <c r="BZ34" i="27" s="1"/>
  <c r="CE34" i="27" a="1"/>
  <c r="CE34" i="27" s="1"/>
  <c r="CL34" i="27" a="1"/>
  <c r="CL34" i="27" s="1"/>
  <c r="CR34" i="27" a="1"/>
  <c r="CR34" i="27" s="1"/>
  <c r="CO34" i="27" a="1"/>
  <c r="CO34" i="27" s="1"/>
  <c r="CB34" i="27" a="1"/>
  <c r="CB34" i="27" s="1"/>
  <c r="CT34" i="27" a="1"/>
  <c r="CT34" i="27" s="1"/>
  <c r="CG34" i="27" a="1"/>
  <c r="CG34" i="27" s="1"/>
  <c r="CI34" i="27" a="1"/>
  <c r="CI34" i="27" s="1"/>
  <c r="CM34" i="27" a="1"/>
  <c r="CM34" i="27" s="1"/>
  <c r="CD34" i="27" a="1"/>
  <c r="CD34" i="27" s="1"/>
  <c r="CQ34" i="27" a="1"/>
  <c r="CQ34" i="27" s="1"/>
  <c r="CK34" i="27" a="1"/>
  <c r="CK34" i="27" s="1"/>
  <c r="CA34" i="27" a="1"/>
  <c r="CA34" i="27" s="1"/>
  <c r="BY34" i="27" a="1"/>
  <c r="BY34" i="27" s="1"/>
  <c r="CC17" i="27" a="1"/>
  <c r="CC17" i="27" s="1"/>
  <c r="CK17" i="27" a="1"/>
  <c r="CK17" i="27" s="1"/>
  <c r="CS17" i="27" a="1"/>
  <c r="CS17" i="27" s="1"/>
  <c r="CE17" i="27" a="1"/>
  <c r="CE17" i="27" s="1"/>
  <c r="CM17" i="27" a="1"/>
  <c r="CM17" i="27" s="1"/>
  <c r="CU17" i="27" a="1"/>
  <c r="CU17" i="27" s="1"/>
  <c r="CG17" i="27" a="1"/>
  <c r="CG17" i="27" s="1"/>
  <c r="CO17" i="27" a="1"/>
  <c r="CO17" i="27" s="1"/>
  <c r="BZ17" i="27" a="1"/>
  <c r="BZ17" i="27" s="1"/>
  <c r="CH17" i="27" a="1"/>
  <c r="CH17" i="27" s="1"/>
  <c r="CP17" i="27" a="1"/>
  <c r="CP17" i="27" s="1"/>
  <c r="CB17" i="27" a="1"/>
  <c r="CB17" i="27" s="1"/>
  <c r="CJ17" i="27" a="1"/>
  <c r="CJ17" i="27" s="1"/>
  <c r="CR17" i="27" a="1"/>
  <c r="CR17" i="27" s="1"/>
  <c r="CF17" i="27" a="1"/>
  <c r="CF17" i="27" s="1"/>
  <c r="CL17" i="27" a="1"/>
  <c r="CL17" i="27" s="1"/>
  <c r="CQ17" i="27" a="1"/>
  <c r="CQ17" i="27" s="1"/>
  <c r="CT17" i="27" a="1"/>
  <c r="CT17" i="27" s="1"/>
  <c r="CD17" i="27" a="1"/>
  <c r="CD17" i="27" s="1"/>
  <c r="CA17" i="27" a="1"/>
  <c r="CA17" i="27" s="1"/>
  <c r="CN17" i="27" a="1"/>
  <c r="CN17" i="27" s="1"/>
  <c r="CV17" i="27" a="1"/>
  <c r="CV17" i="27" s="1"/>
  <c r="CI17" i="27" a="1"/>
  <c r="CI17" i="27" s="1"/>
  <c r="BY17" i="27" a="1"/>
  <c r="BY17" i="27" s="1"/>
  <c r="BU140" i="27"/>
  <c r="O12" i="13"/>
  <c r="N9" i="13"/>
  <c r="AW95" i="27"/>
  <c r="AW79" i="27"/>
  <c r="AW94" i="27"/>
  <c r="AW62" i="27"/>
  <c r="AW46" i="27"/>
  <c r="AW65" i="27"/>
  <c r="AW7" i="27"/>
  <c r="AW112" i="27"/>
  <c r="AW80" i="27"/>
  <c r="AW52" i="27"/>
  <c r="AW22" i="27"/>
  <c r="AW33" i="27"/>
  <c r="AW116" i="27"/>
  <c r="AW84" i="27"/>
  <c r="AW44" i="27"/>
  <c r="AW131" i="27"/>
  <c r="AW115" i="27"/>
  <c r="AW82" i="27"/>
  <c r="AW31" i="27"/>
  <c r="AW15" i="27"/>
  <c r="AW8" i="27"/>
  <c r="AW42" i="27"/>
  <c r="AW57" i="27"/>
  <c r="AW134" i="27"/>
  <c r="AW118" i="27"/>
  <c r="AW102" i="27"/>
  <c r="AW86" i="27"/>
  <c r="AW53" i="27"/>
  <c r="AW77" i="27"/>
  <c r="AW34" i="27"/>
  <c r="AW18" i="27"/>
  <c r="AW101" i="27"/>
  <c r="AW63" i="27"/>
  <c r="AW47" i="27"/>
  <c r="AW40" i="27"/>
  <c r="AW117" i="27"/>
  <c r="AW109" i="27"/>
  <c r="AW45" i="27"/>
  <c r="AW129" i="27"/>
  <c r="AW132" i="27"/>
  <c r="AW68" i="27"/>
  <c r="AW140" i="27"/>
  <c r="AW123" i="27"/>
  <c r="AW107" i="27"/>
  <c r="AW27" i="27"/>
  <c r="AW120" i="27"/>
  <c r="AW88" i="27"/>
  <c r="AW60" i="27"/>
  <c r="AW139" i="27"/>
  <c r="AW122" i="27"/>
  <c r="AW106" i="27"/>
  <c r="AW90" i="27"/>
  <c r="AW10" i="27"/>
  <c r="AW105" i="27"/>
  <c r="AW138" i="27"/>
  <c r="AW113" i="27"/>
  <c r="AW124" i="27"/>
  <c r="AW92" i="27"/>
  <c r="AW56" i="27"/>
  <c r="AW136" i="27"/>
  <c r="AW119" i="27"/>
  <c r="AW103" i="27"/>
  <c r="AW23" i="27"/>
  <c r="AW32" i="27"/>
  <c r="AW16" i="27"/>
  <c r="AW13" i="27"/>
  <c r="AW97" i="27"/>
  <c r="AW99" i="27"/>
  <c r="AW83" i="27"/>
  <c r="AW67" i="27"/>
  <c r="AW51" i="27"/>
  <c r="AW35" i="27"/>
  <c r="AW98" i="27"/>
  <c r="AW69" i="27"/>
  <c r="AW121" i="27"/>
  <c r="AW125" i="27"/>
  <c r="AW61" i="27"/>
  <c r="AW108" i="27"/>
  <c r="AW76" i="27"/>
  <c r="AW135" i="27"/>
  <c r="AW127" i="27"/>
  <c r="AW111" i="27"/>
  <c r="AW128" i="27"/>
  <c r="AW64" i="27"/>
  <c r="AW24" i="27"/>
  <c r="AW126" i="27"/>
  <c r="AW110" i="27"/>
  <c r="AW78" i="27"/>
  <c r="AW30" i="27"/>
  <c r="AW14" i="27"/>
  <c r="AW89" i="27"/>
  <c r="AW100" i="27"/>
  <c r="AW91" i="27"/>
  <c r="AW75" i="27"/>
  <c r="AW59" i="27"/>
  <c r="AW43" i="27"/>
  <c r="AW20" i="27"/>
  <c r="AW85" i="27"/>
  <c r="AW93" i="27"/>
  <c r="AW87" i="27"/>
  <c r="AW70" i="27"/>
  <c r="AW54" i="27"/>
  <c r="AW73" i="27"/>
  <c r="AW25" i="27"/>
  <c r="AW28" i="27"/>
  <c r="AW12" i="27"/>
  <c r="AW66" i="27"/>
  <c r="AW50" i="27"/>
  <c r="AW58" i="27"/>
  <c r="EC118" i="27"/>
  <c r="EC111" i="27"/>
  <c r="EC16" i="27"/>
  <c r="EC133" i="27"/>
  <c r="EC102" i="27"/>
  <c r="EC49" i="27"/>
  <c r="EC53" i="27"/>
  <c r="EC33" i="27"/>
  <c r="EC119" i="27"/>
  <c r="EC100" i="27"/>
  <c r="EC54" i="27"/>
  <c r="EC34" i="27"/>
  <c r="EC60" i="27"/>
  <c r="EC31" i="27"/>
  <c r="EC79" i="27"/>
  <c r="Q44" i="12" l="1"/>
  <c r="Q78" i="12"/>
  <c r="Q79" i="12"/>
  <c r="W79" i="12" s="1"/>
  <c r="X79" i="12"/>
  <c r="Q57" i="12"/>
  <c r="W57" i="12" s="1"/>
  <c r="X57" i="12"/>
  <c r="Q72" i="12"/>
  <c r="W72" i="12" s="1"/>
  <c r="X72" i="12"/>
  <c r="Q9" i="12"/>
  <c r="Q53" i="12"/>
  <c r="Q102" i="12"/>
  <c r="Q95" i="12"/>
  <c r="Q94" i="12"/>
  <c r="W94" i="12" s="1"/>
  <c r="X94" i="12"/>
  <c r="Q109" i="12"/>
  <c r="W109" i="12" s="1"/>
  <c r="X109" i="12"/>
  <c r="Q113" i="12"/>
  <c r="W113" i="12" s="1"/>
  <c r="X113" i="12"/>
  <c r="Q103" i="12"/>
  <c r="Q11" i="12"/>
  <c r="Q61" i="12"/>
  <c r="Q65" i="12"/>
  <c r="W65" i="12" s="1"/>
  <c r="X65" i="12"/>
  <c r="Q43" i="12"/>
  <c r="W43" i="12" s="1"/>
  <c r="X43" i="12"/>
  <c r="Q129" i="12"/>
  <c r="Q80" i="12"/>
  <c r="Q52" i="12"/>
  <c r="W52" i="12" s="1"/>
  <c r="X52" i="12"/>
  <c r="Q90" i="12"/>
  <c r="Q42" i="12"/>
  <c r="W42" i="12" s="1"/>
  <c r="X42" i="12"/>
  <c r="Q59" i="12"/>
  <c r="W59" i="12" s="1"/>
  <c r="Y59" i="12" s="1"/>
  <c r="X59" i="12"/>
  <c r="Q51" i="12"/>
  <c r="Q64" i="12"/>
  <c r="Q99" i="12"/>
  <c r="W99" i="12" s="1"/>
  <c r="X99" i="12"/>
  <c r="Q107" i="12"/>
  <c r="W107" i="12" s="1"/>
  <c r="X107" i="12"/>
  <c r="Q50" i="12"/>
  <c r="Q93" i="12"/>
  <c r="J97" i="31"/>
  <c r="L97" i="31" s="1"/>
  <c r="N97" i="31" s="1"/>
  <c r="L68" i="31"/>
  <c r="N68" i="31" s="1"/>
  <c r="X72" i="30"/>
  <c r="X94" i="30"/>
  <c r="X109" i="30"/>
  <c r="X113" i="30"/>
  <c r="X65" i="30"/>
  <c r="X43" i="30"/>
  <c r="X52" i="30"/>
  <c r="X42" i="30"/>
  <c r="X59" i="30"/>
  <c r="X99" i="30"/>
  <c r="X107" i="30"/>
  <c r="X79" i="30"/>
  <c r="X57" i="30"/>
  <c r="C93" i="3"/>
  <c r="C87" i="3" s="1"/>
  <c r="DW17" i="27"/>
  <c r="DU17" i="27" s="1"/>
  <c r="X15" i="30" s="1"/>
  <c r="P12" i="13"/>
  <c r="O9" i="13"/>
  <c r="DW74" i="27"/>
  <c r="DY74" i="27" s="1"/>
  <c r="DW57" i="27"/>
  <c r="DU57" i="27" s="1"/>
  <c r="X55" i="30" s="1"/>
  <c r="DW99" i="27"/>
  <c r="DW129" i="27"/>
  <c r="DU129" i="27" s="1"/>
  <c r="X127" i="30" s="1"/>
  <c r="DW63" i="27"/>
  <c r="DY63" i="27" s="1"/>
  <c r="DW93" i="27"/>
  <c r="DU93" i="27" s="1"/>
  <c r="X91" i="30" s="1"/>
  <c r="DW105" i="27"/>
  <c r="DW124" i="27"/>
  <c r="DU124" i="27" s="1"/>
  <c r="Q122" i="12" s="1"/>
  <c r="DW137" i="27"/>
  <c r="DU137" i="27" s="1"/>
  <c r="Q135" i="12" s="1"/>
  <c r="DW94" i="27"/>
  <c r="DU94" i="27" s="1"/>
  <c r="Q92" i="12" s="1"/>
  <c r="DW34" i="27"/>
  <c r="DU34" i="27" s="1"/>
  <c r="X32" i="30" s="1"/>
  <c r="DW75" i="27"/>
  <c r="DU75" i="27" s="1"/>
  <c r="Q73" i="12" s="1"/>
  <c r="DW107" i="27"/>
  <c r="DU107" i="27" s="1"/>
  <c r="X105" i="30" s="1"/>
  <c r="DW76" i="27"/>
  <c r="DU76" i="27" s="1"/>
  <c r="Q74" i="12" s="1"/>
  <c r="DW119" i="27"/>
  <c r="DU119" i="27" s="1"/>
  <c r="X117" i="30" s="1"/>
  <c r="DW28" i="27"/>
  <c r="DU28" i="27" s="1"/>
  <c r="Q26" i="12" s="1"/>
  <c r="DW82" i="27"/>
  <c r="DY82" i="27" s="1"/>
  <c r="EC82" i="27" s="1"/>
  <c r="DW33" i="27"/>
  <c r="DU33" i="27" s="1"/>
  <c r="X31" i="30" s="1"/>
  <c r="DW128" i="27"/>
  <c r="DU128" i="27" s="1"/>
  <c r="X126" i="30" s="1"/>
  <c r="DW40" i="27"/>
  <c r="DU40" i="27" s="1"/>
  <c r="X38" i="12" s="1"/>
  <c r="DW18" i="27"/>
  <c r="DU18" i="27" s="1"/>
  <c r="Q16" i="12" s="1"/>
  <c r="DW11" i="27"/>
  <c r="DY11" i="27" s="1"/>
  <c r="DW21" i="27"/>
  <c r="DU21" i="27" s="1"/>
  <c r="Q19" i="12" s="1"/>
  <c r="DW51" i="27"/>
  <c r="DU51" i="27" s="1"/>
  <c r="X49" i="30" s="1"/>
  <c r="DW114" i="27"/>
  <c r="DU114" i="27" s="1"/>
  <c r="X112" i="30" s="1"/>
  <c r="DW9" i="27"/>
  <c r="DU9" i="27" s="1"/>
  <c r="X7" i="30" s="1"/>
  <c r="DW12" i="27"/>
  <c r="DU12" i="27" s="1"/>
  <c r="X10" i="30" s="1"/>
  <c r="DW27" i="27"/>
  <c r="DU27" i="27" s="1"/>
  <c r="Q25" i="12" s="1"/>
  <c r="DW23" i="27"/>
  <c r="DU23" i="27" s="1"/>
  <c r="X21" i="30" s="1"/>
  <c r="DW140" i="27"/>
  <c r="DU140" i="27" s="1"/>
  <c r="X138" i="30" s="1"/>
  <c r="DW69" i="27"/>
  <c r="DU69" i="27" s="1"/>
  <c r="X67" i="30" s="1"/>
  <c r="DW120" i="27"/>
  <c r="DU120" i="27" s="1"/>
  <c r="X118" i="30" s="1"/>
  <c r="DW46" i="27"/>
  <c r="DW50" i="27"/>
  <c r="DU50" i="27" s="1"/>
  <c r="Q48" i="12" s="1"/>
  <c r="DW139" i="27"/>
  <c r="DU139" i="27" s="1"/>
  <c r="X137" i="12" s="1"/>
  <c r="DW45" i="27"/>
  <c r="DY45" i="27" s="1"/>
  <c r="EC45" i="27" s="1"/>
  <c r="DW36" i="27"/>
  <c r="DU36" i="27" s="1"/>
  <c r="Q34" i="12" s="1"/>
  <c r="DW84" i="27"/>
  <c r="DU84" i="27" s="1"/>
  <c r="Q82" i="12" s="1"/>
  <c r="DW134" i="27"/>
  <c r="DU134" i="27" s="1"/>
  <c r="Q132" i="12" s="1"/>
  <c r="DW117" i="27"/>
  <c r="DU117" i="27" s="1"/>
  <c r="X115" i="30" s="1"/>
  <c r="DW55" i="27"/>
  <c r="DY55" i="27" s="1"/>
  <c r="EC55" i="27" s="1"/>
  <c r="DW100" i="27"/>
  <c r="DU100" i="27" s="1"/>
  <c r="Q98" i="12" s="1"/>
  <c r="DW106" i="27"/>
  <c r="DU106" i="27" s="1"/>
  <c r="X104" i="30" s="1"/>
  <c r="DW47" i="27"/>
  <c r="DU47" i="27" s="1"/>
  <c r="Q45" i="12" s="1"/>
  <c r="DW115" i="27"/>
  <c r="DY115" i="27" s="1"/>
  <c r="EC115" i="27" s="1"/>
  <c r="DW73" i="27"/>
  <c r="DU73" i="27" s="1"/>
  <c r="Q71" i="12" s="1"/>
  <c r="DW123" i="27"/>
  <c r="DU123" i="27" s="1"/>
  <c r="Q121" i="12" s="1"/>
  <c r="DW111" i="27"/>
  <c r="DY111" i="27" s="1"/>
  <c r="DW54" i="27"/>
  <c r="DY54" i="27" s="1"/>
  <c r="DW30" i="27"/>
  <c r="DU30" i="27" s="1"/>
  <c r="Q28" i="12" s="1"/>
  <c r="DW66" i="27"/>
  <c r="DW78" i="27"/>
  <c r="DU78" i="27" s="1"/>
  <c r="X76" i="30" s="1"/>
  <c r="DW89" i="27"/>
  <c r="DU89" i="27" s="1"/>
  <c r="X87" i="12" s="1"/>
  <c r="DW10" i="27"/>
  <c r="DU10" i="27" s="1"/>
  <c r="Q8" i="12" s="1"/>
  <c r="DW125" i="27"/>
  <c r="DU125" i="27" s="1"/>
  <c r="Q123" i="12" s="1"/>
  <c r="DW113" i="27"/>
  <c r="DU113" i="27" s="1"/>
  <c r="Q111" i="12" s="1"/>
  <c r="DW37" i="27"/>
  <c r="DU37" i="27" s="1"/>
  <c r="Q35" i="12" s="1"/>
  <c r="DW65" i="27"/>
  <c r="DU65" i="27" s="1"/>
  <c r="Q63" i="12" s="1"/>
  <c r="DW15" i="27"/>
  <c r="DU15" i="27" s="1"/>
  <c r="Q13" i="12" s="1"/>
  <c r="DW44" i="27"/>
  <c r="DY44" i="27" s="1"/>
  <c r="DW138" i="27"/>
  <c r="DU138" i="27" s="1"/>
  <c r="X136" i="30" s="1"/>
  <c r="DW31" i="27"/>
  <c r="DU31" i="27" s="1"/>
  <c r="X29" i="30" s="1"/>
  <c r="DW6" i="27"/>
  <c r="DU6" i="27" s="1"/>
  <c r="DW41" i="27"/>
  <c r="DU41" i="27" s="1"/>
  <c r="Q39" i="12" s="1"/>
  <c r="DW98" i="27"/>
  <c r="DU98" i="27" s="1"/>
  <c r="X96" i="30" s="1"/>
  <c r="DW42" i="27"/>
  <c r="DU42" i="27" s="1"/>
  <c r="X40" i="30" s="1"/>
  <c r="DW81" i="27"/>
  <c r="DY81" i="27" s="1"/>
  <c r="EC81" i="27" s="1"/>
  <c r="DW122" i="27"/>
  <c r="DU122" i="27" s="1"/>
  <c r="X120" i="30" s="1"/>
  <c r="DW95" i="27"/>
  <c r="DW102" i="27"/>
  <c r="DU102" i="27" s="1"/>
  <c r="Q100" i="12" s="1"/>
  <c r="DW85" i="27"/>
  <c r="DU85" i="27" s="1"/>
  <c r="X83" i="12" s="1"/>
  <c r="DW88" i="27"/>
  <c r="DU88" i="27" s="1"/>
  <c r="Q86" i="12" s="1"/>
  <c r="DW13" i="27"/>
  <c r="DW92" i="27"/>
  <c r="DY92" i="27" s="1"/>
  <c r="EC92" i="27" s="1"/>
  <c r="DW29" i="27"/>
  <c r="DU29" i="27" s="1"/>
  <c r="X27" i="30" s="1"/>
  <c r="DW7" i="27"/>
  <c r="DU7" i="27" s="1"/>
  <c r="Q5" i="12" s="1"/>
  <c r="DW126" i="27"/>
  <c r="DU126" i="27" s="1"/>
  <c r="Q124" i="12" s="1"/>
  <c r="DW70" i="27"/>
  <c r="DW135" i="27"/>
  <c r="DU135" i="27" s="1"/>
  <c r="X133" i="30" s="1"/>
  <c r="DW90" i="27"/>
  <c r="DU90" i="27" s="1"/>
  <c r="X88" i="30" s="1"/>
  <c r="DW112" i="27"/>
  <c r="DU112" i="27" s="1"/>
  <c r="Q110" i="12" s="1"/>
  <c r="DW53" i="27"/>
  <c r="DY53" i="27" s="1"/>
  <c r="DW127" i="27"/>
  <c r="DU127" i="27" s="1"/>
  <c r="X125" i="30" s="1"/>
  <c r="DW72" i="27"/>
  <c r="DU72" i="27" s="1"/>
  <c r="X70" i="30" s="1"/>
  <c r="DW43" i="27"/>
  <c r="DU43" i="27" s="1"/>
  <c r="Q41" i="12" s="1"/>
  <c r="DW91" i="27"/>
  <c r="DU91" i="27" s="1"/>
  <c r="X89" i="30" s="1"/>
  <c r="DW38" i="27"/>
  <c r="DU38" i="27" s="1"/>
  <c r="Q36" i="12" s="1"/>
  <c r="DW86" i="27"/>
  <c r="DU86" i="27" s="1"/>
  <c r="X84" i="30" s="1"/>
  <c r="DW59" i="27"/>
  <c r="DY59" i="27" s="1"/>
  <c r="EC59" i="27" s="1"/>
  <c r="DW116" i="27"/>
  <c r="DU116" i="27" s="1"/>
  <c r="X114" i="30" s="1"/>
  <c r="DW87" i="27"/>
  <c r="DU87" i="27" s="1"/>
  <c r="X85" i="30" s="1"/>
  <c r="DW109" i="27"/>
  <c r="DY109" i="27" s="1"/>
  <c r="DW56" i="27"/>
  <c r="DU56" i="27" s="1"/>
  <c r="Q54" i="12" s="1"/>
  <c r="DW79" i="27"/>
  <c r="DU79" i="27" s="1"/>
  <c r="Q77" i="12" s="1"/>
  <c r="DW26" i="27"/>
  <c r="DU26" i="27" s="1"/>
  <c r="Q24" i="12" s="1"/>
  <c r="DW108" i="27"/>
  <c r="DU108" i="27" s="1"/>
  <c r="X106" i="30" s="1"/>
  <c r="DW48" i="27"/>
  <c r="DU48" i="27" s="1"/>
  <c r="X46" i="12" s="1"/>
  <c r="DW19" i="27"/>
  <c r="DU19" i="27" s="1"/>
  <c r="X17" i="30" s="1"/>
  <c r="DW121" i="27"/>
  <c r="DU121" i="27" s="1"/>
  <c r="Q119" i="12" s="1"/>
  <c r="DW39" i="27"/>
  <c r="DU39" i="27" s="1"/>
  <c r="X37" i="30" s="1"/>
  <c r="DW49" i="27"/>
  <c r="DU49" i="27" s="1"/>
  <c r="X47" i="30" s="1"/>
  <c r="DW24" i="27"/>
  <c r="DU24" i="27" s="1"/>
  <c r="X22" i="30" s="1"/>
  <c r="DW80" i="27"/>
  <c r="DW32" i="27"/>
  <c r="DU32" i="27" s="1"/>
  <c r="Q30" i="12" s="1"/>
  <c r="DW25" i="27"/>
  <c r="DU25" i="27" s="1"/>
  <c r="X23" i="30" s="1"/>
  <c r="DW132" i="27"/>
  <c r="DU132" i="27" s="1"/>
  <c r="X130" i="30" s="1"/>
  <c r="DW103" i="27"/>
  <c r="DU103" i="27" s="1"/>
  <c r="Q101" i="12" s="1"/>
  <c r="DW83" i="27"/>
  <c r="DU83" i="27" s="1"/>
  <c r="X81" i="30" s="1"/>
  <c r="DW131" i="27"/>
  <c r="DW101" i="27"/>
  <c r="DY101" i="27" s="1"/>
  <c r="EB101" i="27" s="1"/>
  <c r="DW104" i="27"/>
  <c r="DW97" i="27"/>
  <c r="DW71" i="27"/>
  <c r="DU71" i="27" s="1"/>
  <c r="Q69" i="12" s="1"/>
  <c r="DW20" i="27"/>
  <c r="DU20" i="27" s="1"/>
  <c r="X18" i="12" s="1"/>
  <c r="DW60" i="27"/>
  <c r="DU60" i="27" s="1"/>
  <c r="Q58" i="12" s="1"/>
  <c r="DW67" i="27"/>
  <c r="DY67" i="27" s="1"/>
  <c r="DW62" i="27"/>
  <c r="DU62" i="27" s="1"/>
  <c r="X60" i="30" s="1"/>
  <c r="DW110" i="27"/>
  <c r="DU110" i="27" s="1"/>
  <c r="Q108" i="12" s="1"/>
  <c r="DW35" i="27"/>
  <c r="DU35" i="27" s="1"/>
  <c r="Q33" i="12" s="1"/>
  <c r="DW22" i="27"/>
  <c r="DU22" i="27" s="1"/>
  <c r="X20" i="30" s="1"/>
  <c r="DW64" i="27"/>
  <c r="DU64" i="27" s="1"/>
  <c r="X62" i="12" s="1"/>
  <c r="DW136" i="27"/>
  <c r="DU136" i="27" s="1"/>
  <c r="X134" i="30" s="1"/>
  <c r="DW77" i="27"/>
  <c r="DU77" i="27" s="1"/>
  <c r="Q75" i="12" s="1"/>
  <c r="DW58" i="27"/>
  <c r="DU58" i="27" s="1"/>
  <c r="Q56" i="12" s="1"/>
  <c r="DW61" i="27"/>
  <c r="DY61" i="27" s="1"/>
  <c r="DW68" i="27"/>
  <c r="DU68" i="27" s="1"/>
  <c r="Q66" i="12" s="1"/>
  <c r="DW133" i="27"/>
  <c r="DU133" i="27" s="1"/>
  <c r="Q131" i="12" s="1"/>
  <c r="DW118" i="27"/>
  <c r="DU118" i="27" s="1"/>
  <c r="X116" i="30" s="1"/>
  <c r="DW52" i="27"/>
  <c r="DW96" i="27"/>
  <c r="DY96" i="27" s="1"/>
  <c r="DW8" i="27"/>
  <c r="DU8" i="27" s="1"/>
  <c r="X6" i="30" s="1"/>
  <c r="DW16" i="27"/>
  <c r="DU16" i="27" s="1"/>
  <c r="X14" i="30" s="1"/>
  <c r="DW130" i="27"/>
  <c r="DU130" i="27" s="1"/>
  <c r="Q128" i="12" s="1"/>
  <c r="DW14" i="27"/>
  <c r="DU14" i="27" s="1"/>
  <c r="X12" i="12" s="1"/>
  <c r="Y65" i="12" l="1"/>
  <c r="Y109" i="12"/>
  <c r="Y72" i="12"/>
  <c r="Y99" i="12"/>
  <c r="Y79" i="12"/>
  <c r="Y43" i="12"/>
  <c r="X16" i="12"/>
  <c r="X77" i="12"/>
  <c r="Q31" i="12"/>
  <c r="Q12" i="12"/>
  <c r="Q60" i="12"/>
  <c r="Q137" i="12"/>
  <c r="Q112" i="12"/>
  <c r="Q115" i="12"/>
  <c r="Q83" i="12"/>
  <c r="Q118" i="12"/>
  <c r="Q125" i="12"/>
  <c r="Q136" i="12"/>
  <c r="Q89" i="12"/>
  <c r="Q87" i="12"/>
  <c r="X13" i="12"/>
  <c r="Q18" i="12"/>
  <c r="Q46" i="12"/>
  <c r="X14" i="12"/>
  <c r="X108" i="12"/>
  <c r="Q55" i="12"/>
  <c r="X8" i="12"/>
  <c r="Q91" i="12"/>
  <c r="Q37" i="12"/>
  <c r="Q38" i="12"/>
  <c r="Q138" i="12"/>
  <c r="Q62" i="12"/>
  <c r="X34" i="12"/>
  <c r="X128" i="12"/>
  <c r="X76" i="12"/>
  <c r="X6" i="12"/>
  <c r="X36" i="12"/>
  <c r="X96" i="12"/>
  <c r="X7" i="12"/>
  <c r="X92" i="12"/>
  <c r="X85" i="12"/>
  <c r="X35" i="12"/>
  <c r="X110" i="12"/>
  <c r="Y52" i="12"/>
  <c r="X101" i="12"/>
  <c r="X127" i="12"/>
  <c r="Y94" i="12"/>
  <c r="Q14" i="12"/>
  <c r="X54" i="12"/>
  <c r="X48" i="12"/>
  <c r="X122" i="12"/>
  <c r="X40" i="12"/>
  <c r="X71" i="12"/>
  <c r="Q76" i="12"/>
  <c r="Q6" i="12"/>
  <c r="Q96" i="12"/>
  <c r="Q7" i="12"/>
  <c r="Q85" i="12"/>
  <c r="X69" i="12"/>
  <c r="X74" i="12"/>
  <c r="Q127" i="12"/>
  <c r="X86" i="12"/>
  <c r="X17" i="12"/>
  <c r="X58" i="12"/>
  <c r="X5" i="12"/>
  <c r="Q40" i="12"/>
  <c r="X134" i="12"/>
  <c r="X84" i="12"/>
  <c r="Y107" i="12"/>
  <c r="X30" i="12"/>
  <c r="X126" i="12"/>
  <c r="X56" i="12"/>
  <c r="X124" i="12"/>
  <c r="X19" i="12"/>
  <c r="X20" i="12"/>
  <c r="X73" i="12"/>
  <c r="X24" i="12"/>
  <c r="X27" i="12"/>
  <c r="X106" i="12"/>
  <c r="X121" i="12"/>
  <c r="X49" i="12"/>
  <c r="X82" i="12"/>
  <c r="Q17" i="12"/>
  <c r="X26" i="12"/>
  <c r="X15" i="12"/>
  <c r="X45" i="12"/>
  <c r="X39" i="12"/>
  <c r="X29" i="12"/>
  <c r="X10" i="12"/>
  <c r="Q134" i="12"/>
  <c r="X131" i="12"/>
  <c r="Q84" i="12"/>
  <c r="Q126" i="12"/>
  <c r="X114" i="12"/>
  <c r="Q20" i="12"/>
  <c r="Q27" i="12"/>
  <c r="X130" i="12"/>
  <c r="X28" i="12"/>
  <c r="Q106" i="12"/>
  <c r="Q49" i="12"/>
  <c r="X133" i="12"/>
  <c r="Q15" i="12"/>
  <c r="Q29" i="12"/>
  <c r="X23" i="12"/>
  <c r="Q10" i="12"/>
  <c r="X22" i="12"/>
  <c r="X123" i="12"/>
  <c r="X33" i="12"/>
  <c r="X120" i="12"/>
  <c r="X21" i="12"/>
  <c r="X116" i="12"/>
  <c r="X75" i="12"/>
  <c r="Q114" i="12"/>
  <c r="X100" i="12"/>
  <c r="X88" i="12"/>
  <c r="Y42" i="12"/>
  <c r="Q130" i="12"/>
  <c r="X66" i="12"/>
  <c r="X63" i="12"/>
  <c r="X98" i="12"/>
  <c r="X105" i="12"/>
  <c r="Q133" i="12"/>
  <c r="X70" i="12"/>
  <c r="X135" i="12"/>
  <c r="Y57" i="12"/>
  <c r="X132" i="12"/>
  <c r="X117" i="12"/>
  <c r="X104" i="12"/>
  <c r="Q23" i="12"/>
  <c r="X32" i="12"/>
  <c r="X119" i="12"/>
  <c r="X41" i="12"/>
  <c r="Q22" i="12"/>
  <c r="Q120" i="12"/>
  <c r="Q21" i="12"/>
  <c r="Q116" i="12"/>
  <c r="Q88" i="12"/>
  <c r="X67" i="12"/>
  <c r="X111" i="12"/>
  <c r="Q105" i="12"/>
  <c r="X25" i="12"/>
  <c r="X81" i="12"/>
  <c r="Q70" i="12"/>
  <c r="X47" i="12"/>
  <c r="Q117" i="12"/>
  <c r="Q104" i="12"/>
  <c r="Q32" i="12"/>
  <c r="X31" i="12"/>
  <c r="X60" i="12"/>
  <c r="X112" i="12"/>
  <c r="X115" i="12"/>
  <c r="X118" i="12"/>
  <c r="X125" i="12"/>
  <c r="X136" i="12"/>
  <c r="X89" i="12"/>
  <c r="Q67" i="12"/>
  <c r="Y113" i="12"/>
  <c r="Q81" i="12"/>
  <c r="X55" i="12"/>
  <c r="Q47" i="12"/>
  <c r="X91" i="12"/>
  <c r="X37" i="12"/>
  <c r="X138" i="12"/>
  <c r="DY99" i="27"/>
  <c r="EC99" i="27" s="1"/>
  <c r="DU99" i="27"/>
  <c r="DY70" i="27"/>
  <c r="DU70" i="27"/>
  <c r="X25" i="30"/>
  <c r="X56" i="30"/>
  <c r="X87" i="30"/>
  <c r="X38" i="30"/>
  <c r="X124" i="30"/>
  <c r="X13" i="30"/>
  <c r="X8" i="30"/>
  <c r="X71" i="30"/>
  <c r="X30" i="30"/>
  <c r="X100" i="30"/>
  <c r="X98" i="30"/>
  <c r="X5" i="30"/>
  <c r="X54" i="30"/>
  <c r="X63" i="30"/>
  <c r="X48" i="30"/>
  <c r="X122" i="30"/>
  <c r="X131" i="30"/>
  <c r="X123" i="30"/>
  <c r="X33" i="30"/>
  <c r="X75" i="30"/>
  <c r="X35" i="30"/>
  <c r="X110" i="30"/>
  <c r="X69" i="30"/>
  <c r="X74" i="30"/>
  <c r="X28" i="30"/>
  <c r="X18" i="30"/>
  <c r="X46" i="30"/>
  <c r="X108" i="30"/>
  <c r="X58" i="30"/>
  <c r="X26" i="30"/>
  <c r="X92" i="30"/>
  <c r="X45" i="30"/>
  <c r="X39" i="30"/>
  <c r="X62" i="30"/>
  <c r="X119" i="30"/>
  <c r="X41" i="30"/>
  <c r="X12" i="30"/>
  <c r="X137" i="30"/>
  <c r="X83" i="30"/>
  <c r="X73" i="30"/>
  <c r="X24" i="30"/>
  <c r="X66" i="30"/>
  <c r="X101" i="30"/>
  <c r="X86" i="30"/>
  <c r="X135" i="30"/>
  <c r="X19" i="30"/>
  <c r="X132" i="30"/>
  <c r="X16" i="30"/>
  <c r="X77" i="30"/>
  <c r="X34" i="30"/>
  <c r="X128" i="30"/>
  <c r="X36" i="30"/>
  <c r="X111" i="30"/>
  <c r="X121" i="30"/>
  <c r="X82" i="30"/>
  <c r="EB96" i="27"/>
  <c r="EC96" i="27"/>
  <c r="DY17" i="27"/>
  <c r="EC17" i="27" s="1"/>
  <c r="EA61" i="27"/>
  <c r="EC61" i="27"/>
  <c r="X4" i="30"/>
  <c r="DY120" i="27"/>
  <c r="EA120" i="27" s="1"/>
  <c r="Q12" i="13"/>
  <c r="P9" i="13"/>
  <c r="DY57" i="27"/>
  <c r="DY84" i="27"/>
  <c r="EA84" i="27" s="1"/>
  <c r="DY93" i="27"/>
  <c r="DY30" i="27"/>
  <c r="EB30" i="27" s="1"/>
  <c r="DY76" i="27"/>
  <c r="DY50" i="27"/>
  <c r="DY94" i="27"/>
  <c r="DY40" i="27"/>
  <c r="EA40" i="27" s="1"/>
  <c r="DY124" i="27"/>
  <c r="DY129" i="27"/>
  <c r="EB129" i="27" s="1"/>
  <c r="DY34" i="27"/>
  <c r="EB34" i="27" s="1"/>
  <c r="DY86" i="27"/>
  <c r="DY105" i="27"/>
  <c r="EB105" i="27" s="1"/>
  <c r="DY128" i="27"/>
  <c r="DY75" i="27"/>
  <c r="DY134" i="27"/>
  <c r="DY89" i="27"/>
  <c r="DY88" i="27"/>
  <c r="DY69" i="27"/>
  <c r="EB69" i="27" s="1"/>
  <c r="DY33" i="27"/>
  <c r="EB33" i="27" s="1"/>
  <c r="DY27" i="27"/>
  <c r="DY110" i="27"/>
  <c r="DY9" i="27"/>
  <c r="EA9" i="27" s="1"/>
  <c r="DY123" i="27"/>
  <c r="DY12" i="27"/>
  <c r="DY117" i="27"/>
  <c r="DY47" i="27"/>
  <c r="DY18" i="27"/>
  <c r="DY107" i="27"/>
  <c r="DY112" i="27"/>
  <c r="DY137" i="27"/>
  <c r="EA137" i="27" s="1"/>
  <c r="DY85" i="27"/>
  <c r="EA85" i="27" s="1"/>
  <c r="DY32" i="27"/>
  <c r="EA32" i="27" s="1"/>
  <c r="DY119" i="27"/>
  <c r="EB119" i="27" s="1"/>
  <c r="DY125" i="27"/>
  <c r="EB125" i="27" s="1"/>
  <c r="DY100" i="27"/>
  <c r="EB100" i="27" s="1"/>
  <c r="DY31" i="27"/>
  <c r="EB31" i="27" s="1"/>
  <c r="DY51" i="27"/>
  <c r="EC51" i="27" s="1"/>
  <c r="DY139" i="27"/>
  <c r="DY19" i="27"/>
  <c r="DY42" i="27"/>
  <c r="EA42" i="27" s="1"/>
  <c r="DY65" i="27"/>
  <c r="EA65" i="27" s="1"/>
  <c r="DY140" i="27"/>
  <c r="EA140" i="27" s="1"/>
  <c r="DY98" i="27"/>
  <c r="EC98" i="27" s="1"/>
  <c r="DY79" i="27"/>
  <c r="EB79" i="27" s="1"/>
  <c r="DY21" i="27"/>
  <c r="DY126" i="27"/>
  <c r="EC126" i="27" s="1"/>
  <c r="DY24" i="27"/>
  <c r="EB24" i="27" s="1"/>
  <c r="DY73" i="27"/>
  <c r="DY28" i="27"/>
  <c r="EC28" i="27" s="1"/>
  <c r="DY114" i="27"/>
  <c r="EA101" i="27"/>
  <c r="DY122" i="27"/>
  <c r="EA122" i="27" s="1"/>
  <c r="DY108" i="27"/>
  <c r="EA108" i="27" s="1"/>
  <c r="DY36" i="27"/>
  <c r="DY43" i="27"/>
  <c r="EB43" i="27" s="1"/>
  <c r="DY66" i="27"/>
  <c r="EC66" i="27" s="1"/>
  <c r="DY23" i="27"/>
  <c r="EB23" i="27" s="1"/>
  <c r="DY113" i="27"/>
  <c r="EA113" i="27" s="1"/>
  <c r="DY56" i="27"/>
  <c r="EB56" i="27" s="1"/>
  <c r="DY132" i="27"/>
  <c r="DY121" i="27"/>
  <c r="DY102" i="27"/>
  <c r="EA102" i="27" s="1"/>
  <c r="DY106" i="27"/>
  <c r="EC106" i="27" s="1"/>
  <c r="DY26" i="27"/>
  <c r="EA96" i="27"/>
  <c r="DY46" i="27"/>
  <c r="EC46" i="27" s="1"/>
  <c r="DY39" i="27"/>
  <c r="EB39" i="27" s="1"/>
  <c r="DY138" i="27"/>
  <c r="EA138" i="27" s="1"/>
  <c r="DY29" i="27"/>
  <c r="EC29" i="27" s="1"/>
  <c r="DY127" i="27"/>
  <c r="EC127" i="27" s="1"/>
  <c r="DY10" i="27"/>
  <c r="EB10" i="27" s="1"/>
  <c r="DY135" i="27"/>
  <c r="EB135" i="27" s="1"/>
  <c r="DY41" i="27"/>
  <c r="DY136" i="27"/>
  <c r="EA136" i="27" s="1"/>
  <c r="DY116" i="27"/>
  <c r="EC116" i="27" s="1"/>
  <c r="DY20" i="27"/>
  <c r="DY37" i="27"/>
  <c r="EB37" i="27" s="1"/>
  <c r="EB53" i="27"/>
  <c r="EA53" i="27"/>
  <c r="DY15" i="27"/>
  <c r="DY78" i="27"/>
  <c r="EA78" i="27" s="1"/>
  <c r="DY95" i="27"/>
  <c r="EB95" i="27" s="1"/>
  <c r="DY118" i="27"/>
  <c r="EB118" i="27" s="1"/>
  <c r="DY87" i="27"/>
  <c r="DY48" i="27"/>
  <c r="EA48" i="27" s="1"/>
  <c r="DY38" i="27"/>
  <c r="EC38" i="27" s="1"/>
  <c r="DY62" i="27"/>
  <c r="EA62" i="27" s="1"/>
  <c r="DY13" i="27"/>
  <c r="DY6" i="27"/>
  <c r="DY133" i="27"/>
  <c r="EB133" i="27" s="1"/>
  <c r="DY83" i="27"/>
  <c r="DY22" i="27"/>
  <c r="EC22" i="27" s="1"/>
  <c r="DY91" i="27"/>
  <c r="DY71" i="27"/>
  <c r="EA71" i="27" s="1"/>
  <c r="DY7" i="27"/>
  <c r="EC7" i="27" s="1"/>
  <c r="DY25" i="27"/>
  <c r="DY64" i="27"/>
  <c r="EC64" i="27" s="1"/>
  <c r="DY90" i="27"/>
  <c r="DY131" i="27"/>
  <c r="EC40" i="27"/>
  <c r="DY72" i="27"/>
  <c r="DY68" i="27"/>
  <c r="EA68" i="27" s="1"/>
  <c r="DY80" i="27"/>
  <c r="EB80" i="27" s="1"/>
  <c r="DY97" i="27"/>
  <c r="EB97" i="27" s="1"/>
  <c r="DY58" i="27"/>
  <c r="DY103" i="27"/>
  <c r="DY77" i="27"/>
  <c r="EC77" i="27" s="1"/>
  <c r="DY35" i="27"/>
  <c r="EB35" i="27" s="1"/>
  <c r="DY104" i="27"/>
  <c r="DY60" i="27"/>
  <c r="EB60" i="27" s="1"/>
  <c r="DY49" i="27"/>
  <c r="EA49" i="27" s="1"/>
  <c r="DY52" i="27"/>
  <c r="EB52" i="27" s="1"/>
  <c r="EB61" i="27"/>
  <c r="EB63" i="27"/>
  <c r="EA63" i="27"/>
  <c r="EC63" i="27"/>
  <c r="EC120" i="27"/>
  <c r="EA82" i="27"/>
  <c r="EB82" i="27"/>
  <c r="EA92" i="27"/>
  <c r="EB92" i="27"/>
  <c r="EB111" i="27"/>
  <c r="EA111" i="27"/>
  <c r="EB99" i="27"/>
  <c r="EA99" i="27"/>
  <c r="EC69" i="27"/>
  <c r="DY130" i="27"/>
  <c r="EA115" i="27"/>
  <c r="EB115" i="27"/>
  <c r="EC30" i="27"/>
  <c r="EB44" i="27"/>
  <c r="EA44" i="27"/>
  <c r="EB67" i="27"/>
  <c r="EA67" i="27"/>
  <c r="EC67" i="27"/>
  <c r="EB74" i="27"/>
  <c r="EA74" i="27"/>
  <c r="EA59" i="27"/>
  <c r="EB59" i="27"/>
  <c r="EC32" i="27"/>
  <c r="DY16" i="27"/>
  <c r="DY8" i="27"/>
  <c r="EA70" i="27"/>
  <c r="EB70" i="27"/>
  <c r="EC70" i="27"/>
  <c r="EC39" i="27"/>
  <c r="EC42" i="27"/>
  <c r="EA54" i="27"/>
  <c r="EB54" i="27"/>
  <c r="EC9" i="27"/>
  <c r="EC84" i="27"/>
  <c r="EC85" i="27"/>
  <c r="DY14" i="27"/>
  <c r="EC14" i="27" s="1"/>
  <c r="EC105" i="27"/>
  <c r="EB55" i="27"/>
  <c r="EA55" i="27"/>
  <c r="EA109" i="27"/>
  <c r="EB109" i="27"/>
  <c r="EC109" i="27"/>
  <c r="EB81" i="27"/>
  <c r="EA81" i="27"/>
  <c r="EA45" i="27"/>
  <c r="EB45" i="27"/>
  <c r="EB11" i="27"/>
  <c r="EA11" i="27"/>
  <c r="EC11" i="27"/>
  <c r="Q97" i="12" l="1"/>
  <c r="X97" i="12"/>
  <c r="Q68" i="12"/>
  <c r="X68" i="12"/>
  <c r="ED99" i="27"/>
  <c r="S97" i="12" s="1"/>
  <c r="ED70" i="27"/>
  <c r="S68" i="12" s="1"/>
  <c r="X68" i="30"/>
  <c r="X97" i="30"/>
  <c r="EA17" i="27"/>
  <c r="EB17" i="27"/>
  <c r="EB19" i="27"/>
  <c r="EC19" i="27"/>
  <c r="EA123" i="27"/>
  <c r="EC123" i="27"/>
  <c r="EA134" i="27"/>
  <c r="EC134" i="27"/>
  <c r="EB36" i="27"/>
  <c r="EC36" i="27"/>
  <c r="EB139" i="27"/>
  <c r="EC139" i="27"/>
  <c r="EB75" i="27"/>
  <c r="EC75" i="27"/>
  <c r="EA94" i="27"/>
  <c r="EC94" i="27"/>
  <c r="EA104" i="27"/>
  <c r="EC104" i="27"/>
  <c r="EA72" i="27"/>
  <c r="EC72" i="27"/>
  <c r="EB91" i="27"/>
  <c r="EC91" i="27"/>
  <c r="EA121" i="27"/>
  <c r="EC121" i="27"/>
  <c r="EB21" i="27"/>
  <c r="EC21" i="27"/>
  <c r="EB112" i="27"/>
  <c r="EC112" i="27"/>
  <c r="EA110" i="27"/>
  <c r="EC110" i="27"/>
  <c r="EA128" i="27"/>
  <c r="EC128" i="27"/>
  <c r="EA50" i="27"/>
  <c r="EC50" i="27"/>
  <c r="EA87" i="27"/>
  <c r="EC87" i="27"/>
  <c r="EA132" i="27"/>
  <c r="EC132" i="27"/>
  <c r="EA107" i="27"/>
  <c r="EC107" i="27"/>
  <c r="EA27" i="27"/>
  <c r="EC27" i="27"/>
  <c r="EB76" i="27"/>
  <c r="EC76" i="27"/>
  <c r="EC122" i="27"/>
  <c r="EB131" i="27"/>
  <c r="EC131" i="27"/>
  <c r="EB83" i="27"/>
  <c r="EC83" i="27"/>
  <c r="EB18" i="27"/>
  <c r="EC18" i="27"/>
  <c r="EA86" i="27"/>
  <c r="EC86" i="27"/>
  <c r="EA57" i="27"/>
  <c r="EC57" i="27"/>
  <c r="EB20" i="27"/>
  <c r="EC20" i="27"/>
  <c r="EA103" i="27"/>
  <c r="EC103" i="27"/>
  <c r="EA90" i="27"/>
  <c r="EC90" i="27"/>
  <c r="EB114" i="27"/>
  <c r="EC114" i="27"/>
  <c r="EA47" i="27"/>
  <c r="EC47" i="27"/>
  <c r="EA93" i="27"/>
  <c r="EC93" i="27"/>
  <c r="EC10" i="27"/>
  <c r="EB58" i="27"/>
  <c r="EC58" i="27"/>
  <c r="EA6" i="27"/>
  <c r="EC6" i="27"/>
  <c r="EA41" i="27"/>
  <c r="EC41" i="27"/>
  <c r="EA117" i="27"/>
  <c r="EC117" i="27"/>
  <c r="EB88" i="27"/>
  <c r="EC88" i="27"/>
  <c r="EC138" i="27"/>
  <c r="EA13" i="27"/>
  <c r="EC13" i="27"/>
  <c r="EA15" i="27"/>
  <c r="EC15" i="27"/>
  <c r="EB26" i="27"/>
  <c r="EC26" i="27"/>
  <c r="EB73" i="27"/>
  <c r="EC73" i="27"/>
  <c r="EB12" i="27"/>
  <c r="EC12" i="27"/>
  <c r="EA89" i="27"/>
  <c r="EC89" i="27"/>
  <c r="EA124" i="27"/>
  <c r="EC124" i="27"/>
  <c r="EB120" i="27"/>
  <c r="ED120" i="27" s="1"/>
  <c r="S118" i="12" s="1"/>
  <c r="U118" i="12" s="1"/>
  <c r="W118" i="12" s="1"/>
  <c r="Y118" i="12" s="1"/>
  <c r="X4" i="12"/>
  <c r="R12" i="13"/>
  <c r="Q9" i="13"/>
  <c r="EB50" i="27"/>
  <c r="EA129" i="27"/>
  <c r="ED129" i="27" s="1"/>
  <c r="S127" i="12" s="1"/>
  <c r="EB93" i="27"/>
  <c r="EB57" i="27"/>
  <c r="EA30" i="27"/>
  <c r="ED30" i="27" s="1"/>
  <c r="S28" i="12" s="1"/>
  <c r="EB94" i="27"/>
  <c r="EB86" i="27"/>
  <c r="EB84" i="27"/>
  <c r="ED84" i="27" s="1"/>
  <c r="S82" i="12" s="1"/>
  <c r="EB126" i="27"/>
  <c r="EA76" i="27"/>
  <c r="EB27" i="27"/>
  <c r="EB124" i="27"/>
  <c r="EB110" i="27"/>
  <c r="ED110" i="27" s="1"/>
  <c r="S108" i="12" s="1"/>
  <c r="U108" i="12" s="1"/>
  <c r="W108" i="12" s="1"/>
  <c r="Y108" i="12" s="1"/>
  <c r="EB40" i="27"/>
  <c r="ED40" i="27" s="1"/>
  <c r="S38" i="12" s="1"/>
  <c r="U38" i="12" s="1"/>
  <c r="EB42" i="27"/>
  <c r="ED42" i="27" s="1"/>
  <c r="S40" i="12" s="1"/>
  <c r="U40" i="12" s="1"/>
  <c r="EB9" i="27"/>
  <c r="ED9" i="27" s="1"/>
  <c r="S7" i="12" s="1"/>
  <c r="U7" i="12" s="1"/>
  <c r="W7" i="12" s="1"/>
  <c r="Y7" i="12" s="1"/>
  <c r="EA69" i="27"/>
  <c r="ED69" i="27" s="1"/>
  <c r="S67" i="12" s="1"/>
  <c r="U67" i="12" s="1"/>
  <c r="W67" i="12" s="1"/>
  <c r="Y67" i="12" s="1"/>
  <c r="EA34" i="27"/>
  <c r="ED34" i="27" s="1"/>
  <c r="S32" i="12" s="1"/>
  <c r="U32" i="12" s="1"/>
  <c r="W32" i="12" s="1"/>
  <c r="Y32" i="12" s="1"/>
  <c r="EA88" i="27"/>
  <c r="EB128" i="27"/>
  <c r="EA105" i="27"/>
  <c r="ED105" i="27" s="1"/>
  <c r="S103" i="12" s="1"/>
  <c r="U103" i="12" s="1"/>
  <c r="EB121" i="27"/>
  <c r="EB123" i="27"/>
  <c r="ED123" i="27" s="1"/>
  <c r="S121" i="12" s="1"/>
  <c r="U121" i="12" s="1"/>
  <c r="W121" i="12" s="1"/>
  <c r="Y121" i="12" s="1"/>
  <c r="EB138" i="27"/>
  <c r="EA112" i="27"/>
  <c r="EA119" i="27"/>
  <c r="ED119" i="27" s="1"/>
  <c r="S117" i="12" s="1"/>
  <c r="U117" i="12" s="1"/>
  <c r="W117" i="12" s="1"/>
  <c r="Y117" i="12" s="1"/>
  <c r="EB134" i="27"/>
  <c r="EB32" i="27"/>
  <c r="ED32" i="27" s="1"/>
  <c r="S30" i="12" s="1"/>
  <c r="EA33" i="27"/>
  <c r="ED33" i="27" s="1"/>
  <c r="S31" i="12" s="1"/>
  <c r="U31" i="12" s="1"/>
  <c r="W31" i="12" s="1"/>
  <c r="Y31" i="12" s="1"/>
  <c r="EB107" i="27"/>
  <c r="EB85" i="27"/>
  <c r="ED85" i="27" s="1"/>
  <c r="S83" i="12" s="1"/>
  <c r="U83" i="12" s="1"/>
  <c r="W83" i="12" s="1"/>
  <c r="Y83" i="12" s="1"/>
  <c r="EA98" i="27"/>
  <c r="EA100" i="27"/>
  <c r="ED100" i="27" s="1"/>
  <c r="S98" i="12" s="1"/>
  <c r="EA83" i="27"/>
  <c r="EA75" i="27"/>
  <c r="EB68" i="27"/>
  <c r="EB89" i="27"/>
  <c r="EA43" i="27"/>
  <c r="EB117" i="27"/>
  <c r="ED117" i="27" s="1"/>
  <c r="S115" i="12" s="1"/>
  <c r="U115" i="12" s="1"/>
  <c r="EB65" i="27"/>
  <c r="ED65" i="27" s="1"/>
  <c r="S63" i="12" s="1"/>
  <c r="EB116" i="27"/>
  <c r="EA12" i="27"/>
  <c r="EA10" i="27"/>
  <c r="ED10" i="27" s="1"/>
  <c r="S8" i="12" s="1"/>
  <c r="U8" i="12" s="1"/>
  <c r="W8" i="12" s="1"/>
  <c r="Y8" i="12" s="1"/>
  <c r="EA31" i="27"/>
  <c r="ED31" i="27" s="1"/>
  <c r="S29" i="12" s="1"/>
  <c r="U29" i="12" s="1"/>
  <c r="W29" i="12" s="1"/>
  <c r="Y29" i="12" s="1"/>
  <c r="EA116" i="27"/>
  <c r="EB66" i="27"/>
  <c r="EB47" i="27"/>
  <c r="EA125" i="27"/>
  <c r="ED125" i="27" s="1"/>
  <c r="S123" i="12" s="1"/>
  <c r="U123" i="12" s="1"/>
  <c r="W123" i="12" s="1"/>
  <c r="Y123" i="12" s="1"/>
  <c r="EB15" i="27"/>
  <c r="EA114" i="27"/>
  <c r="EA73" i="27"/>
  <c r="EB102" i="27"/>
  <c r="ED102" i="27" s="1"/>
  <c r="S100" i="12" s="1"/>
  <c r="U100" i="12" s="1"/>
  <c r="W100" i="12" s="1"/>
  <c r="Y100" i="12" s="1"/>
  <c r="EA19" i="27"/>
  <c r="ED19" i="27" s="1"/>
  <c r="S17" i="12" s="1"/>
  <c r="U17" i="12" s="1"/>
  <c r="W17" i="12" s="1"/>
  <c r="Y17" i="12" s="1"/>
  <c r="EA20" i="27"/>
  <c r="EA127" i="27"/>
  <c r="EA79" i="27"/>
  <c r="ED79" i="27" s="1"/>
  <c r="S77" i="12" s="1"/>
  <c r="U77" i="12" s="1"/>
  <c r="W77" i="12" s="1"/>
  <c r="Y77" i="12" s="1"/>
  <c r="EB7" i="27"/>
  <c r="EB13" i="27"/>
  <c r="EA66" i="27"/>
  <c r="EB137" i="27"/>
  <c r="EC137" i="27"/>
  <c r="EC140" i="27"/>
  <c r="EB127" i="27"/>
  <c r="EA21" i="27"/>
  <c r="EB90" i="27"/>
  <c r="EB122" i="27"/>
  <c r="EA95" i="27"/>
  <c r="EA35" i="27"/>
  <c r="EC95" i="27"/>
  <c r="EA18" i="27"/>
  <c r="EB140" i="27"/>
  <c r="EB132" i="27"/>
  <c r="ED132" i="27" s="1"/>
  <c r="S130" i="12" s="1"/>
  <c r="U130" i="12" s="1"/>
  <c r="W130" i="12" s="1"/>
  <c r="Y130" i="12" s="1"/>
  <c r="EA58" i="27"/>
  <c r="EA36" i="27"/>
  <c r="EA24" i="27"/>
  <c r="ED24" i="27" s="1"/>
  <c r="S22" i="12" s="1"/>
  <c r="U22" i="12" s="1"/>
  <c r="EB51" i="27"/>
  <c r="EA51" i="27"/>
  <c r="EC43" i="27"/>
  <c r="EA39" i="27"/>
  <c r="ED39" i="27" s="1"/>
  <c r="S37" i="12" s="1"/>
  <c r="U37" i="12" s="1"/>
  <c r="W37" i="12" s="1"/>
  <c r="Y37" i="12" s="1"/>
  <c r="EB106" i="27"/>
  <c r="EA139" i="27"/>
  <c r="ED139" i="27" s="1"/>
  <c r="S137" i="12" s="1"/>
  <c r="U137" i="12" s="1"/>
  <c r="EB98" i="27"/>
  <c r="EA118" i="27"/>
  <c r="ED118" i="27" s="1"/>
  <c r="S116" i="12" s="1"/>
  <c r="EB87" i="27"/>
  <c r="ED87" i="27" s="1"/>
  <c r="S85" i="12" s="1"/>
  <c r="EB6" i="27"/>
  <c r="EA60" i="27"/>
  <c r="ED60" i="27" s="1"/>
  <c r="S58" i="12" s="1"/>
  <c r="EA56" i="27"/>
  <c r="EA106" i="27"/>
  <c r="EB48" i="27"/>
  <c r="ED48" i="27" s="1"/>
  <c r="S46" i="12" s="1"/>
  <c r="U46" i="12" s="1"/>
  <c r="EC52" i="27"/>
  <c r="EA126" i="27"/>
  <c r="EA7" i="27"/>
  <c r="EB136" i="27"/>
  <c r="ED136" i="27" s="1"/>
  <c r="S134" i="12" s="1"/>
  <c r="U134" i="12" s="1"/>
  <c r="EC35" i="27"/>
  <c r="EA26" i="27"/>
  <c r="ED26" i="27" s="1"/>
  <c r="S24" i="12" s="1"/>
  <c r="U24" i="12" s="1"/>
  <c r="W24" i="12" s="1"/>
  <c r="Y24" i="12" s="1"/>
  <c r="EC56" i="27"/>
  <c r="EB108" i="27"/>
  <c r="ED108" i="27" s="1"/>
  <c r="S106" i="12" s="1"/>
  <c r="EC97" i="27"/>
  <c r="EB113" i="27"/>
  <c r="ED113" i="27" s="1"/>
  <c r="S111" i="12" s="1"/>
  <c r="U111" i="12" s="1"/>
  <c r="W111" i="12" s="1"/>
  <c r="Y111" i="12" s="1"/>
  <c r="EA97" i="27"/>
  <c r="EB28" i="27"/>
  <c r="EA28" i="27"/>
  <c r="EA38" i="27"/>
  <c r="EB71" i="27"/>
  <c r="EC78" i="27"/>
  <c r="EC23" i="27"/>
  <c r="EA23" i="27"/>
  <c r="EC135" i="27"/>
  <c r="EC68" i="27"/>
  <c r="EA91" i="27"/>
  <c r="EB103" i="27"/>
  <c r="EA22" i="27"/>
  <c r="EB41" i="27"/>
  <c r="EB46" i="27"/>
  <c r="EA46" i="27"/>
  <c r="EA135" i="27"/>
  <c r="EB38" i="27"/>
  <c r="EB22" i="27"/>
  <c r="EB78" i="27"/>
  <c r="EA37" i="27"/>
  <c r="ED37" i="27" s="1"/>
  <c r="S35" i="12" s="1"/>
  <c r="ED53" i="27"/>
  <c r="S51" i="12" s="1"/>
  <c r="U51" i="12" s="1"/>
  <c r="EB104" i="27"/>
  <c r="EA29" i="27"/>
  <c r="EB29" i="27"/>
  <c r="EA77" i="27"/>
  <c r="EA52" i="27"/>
  <c r="EA80" i="27"/>
  <c r="ED80" i="27" s="1"/>
  <c r="S78" i="12" s="1"/>
  <c r="U78" i="12" s="1"/>
  <c r="EC71" i="27"/>
  <c r="EB77" i="27"/>
  <c r="EA131" i="27"/>
  <c r="EA133" i="27"/>
  <c r="ED133" i="27" s="1"/>
  <c r="S131" i="12" s="1"/>
  <c r="U131" i="12" s="1"/>
  <c r="W131" i="12" s="1"/>
  <c r="Y131" i="12" s="1"/>
  <c r="EB62" i="27"/>
  <c r="ED62" i="27" s="1"/>
  <c r="S60" i="12" s="1"/>
  <c r="ED92" i="27"/>
  <c r="S90" i="12" s="1"/>
  <c r="U90" i="12" s="1"/>
  <c r="EB64" i="27"/>
  <c r="EA64" i="27"/>
  <c r="EB72" i="27"/>
  <c r="ED72" i="27" s="1"/>
  <c r="S70" i="12" s="1"/>
  <c r="U70" i="12" s="1"/>
  <c r="W70" i="12" s="1"/>
  <c r="Y70" i="12" s="1"/>
  <c r="EB49" i="27"/>
  <c r="ED49" i="27" s="1"/>
  <c r="S47" i="12" s="1"/>
  <c r="EC25" i="27"/>
  <c r="EA25" i="27"/>
  <c r="EB25" i="27"/>
  <c r="ED55" i="27"/>
  <c r="S53" i="12" s="1"/>
  <c r="U53" i="12" s="1"/>
  <c r="ED11" i="27"/>
  <c r="S9" i="12" s="1"/>
  <c r="U9" i="12" s="1"/>
  <c r="ED63" i="27"/>
  <c r="S61" i="12" s="1"/>
  <c r="U61" i="12" s="1"/>
  <c r="ED82" i="27"/>
  <c r="S80" i="12" s="1"/>
  <c r="U80" i="12" s="1"/>
  <c r="EB16" i="27"/>
  <c r="EA16" i="27"/>
  <c r="EB8" i="27"/>
  <c r="EA8" i="27"/>
  <c r="EC8" i="27"/>
  <c r="EA14" i="27"/>
  <c r="EB14" i="27"/>
  <c r="EB130" i="27"/>
  <c r="EA130" i="27"/>
  <c r="EC130" i="27"/>
  <c r="ED17" i="27" l="1"/>
  <c r="S15" i="12" s="1"/>
  <c r="S97" i="30"/>
  <c r="ED86" i="27"/>
  <c r="S84" i="12" s="1"/>
  <c r="U84" i="12" s="1"/>
  <c r="W84" i="12" s="1"/>
  <c r="Y84" i="12" s="1"/>
  <c r="W38" i="12"/>
  <c r="Y38" i="12" s="1"/>
  <c r="W115" i="12"/>
  <c r="Y115" i="12" s="1"/>
  <c r="ED124" i="27"/>
  <c r="S122" i="12" s="1"/>
  <c r="U122" i="12" s="1"/>
  <c r="U15" i="12"/>
  <c r="W15" i="12" s="1"/>
  <c r="Y15" i="12" s="1"/>
  <c r="W85" i="12"/>
  <c r="Y85" i="12" s="1"/>
  <c r="U35" i="12"/>
  <c r="W35" i="12" s="1"/>
  <c r="Y35" i="12" s="1"/>
  <c r="U47" i="12"/>
  <c r="W47" i="12" s="1"/>
  <c r="Y47" i="12" s="1"/>
  <c r="U127" i="12"/>
  <c r="W127" i="12" s="1"/>
  <c r="Y127" i="12" s="1"/>
  <c r="U116" i="12"/>
  <c r="W116" i="12" s="1"/>
  <c r="Y116" i="12" s="1"/>
  <c r="U63" i="12"/>
  <c r="W63" i="12" s="1"/>
  <c r="Y63" i="12" s="1"/>
  <c r="U82" i="12"/>
  <c r="W82" i="12" s="1"/>
  <c r="Y82" i="12" s="1"/>
  <c r="W40" i="12"/>
  <c r="Y40" i="12" s="1"/>
  <c r="W137" i="12"/>
  <c r="Y137" i="12" s="1"/>
  <c r="U85" i="12"/>
  <c r="U68" i="12"/>
  <c r="W68" i="12" s="1"/>
  <c r="Y68" i="12" s="1"/>
  <c r="W134" i="12"/>
  <c r="Y134" i="12" s="1"/>
  <c r="U98" i="12"/>
  <c r="W98" i="12" s="1"/>
  <c r="Y98" i="12" s="1"/>
  <c r="U58" i="12"/>
  <c r="W58" i="12" s="1"/>
  <c r="Y58" i="12" s="1"/>
  <c r="U28" i="12"/>
  <c r="W28" i="12" s="1"/>
  <c r="Y28" i="12" s="1"/>
  <c r="W22" i="12"/>
  <c r="Y22" i="12" s="1"/>
  <c r="U60" i="12"/>
  <c r="W60" i="12" s="1"/>
  <c r="Y60" i="12" s="1"/>
  <c r="U30" i="12"/>
  <c r="W30" i="12" s="1"/>
  <c r="Y30" i="12" s="1"/>
  <c r="W46" i="12"/>
  <c r="Y46" i="12" s="1"/>
  <c r="U106" i="12"/>
  <c r="W106" i="12" s="1"/>
  <c r="Y106" i="12" s="1"/>
  <c r="U97" i="12"/>
  <c r="W97" i="12" s="1"/>
  <c r="Y97" i="12" s="1"/>
  <c r="ED8" i="27"/>
  <c r="S6" i="12" s="1"/>
  <c r="ED15" i="27"/>
  <c r="S13" i="12" s="1"/>
  <c r="U13" i="12" s="1"/>
  <c r="W13" i="12" s="1"/>
  <c r="Y13" i="12" s="1"/>
  <c r="ED138" i="27"/>
  <c r="S136" i="12" s="1"/>
  <c r="U136" i="12" s="1"/>
  <c r="W136" i="12" s="1"/>
  <c r="Y136" i="12" s="1"/>
  <c r="S77" i="30"/>
  <c r="S78" i="30"/>
  <c r="S37" i="30"/>
  <c r="S115" i="30"/>
  <c r="S83" i="30"/>
  <c r="S121" i="30"/>
  <c r="S40" i="30"/>
  <c r="S84" i="30"/>
  <c r="S53" i="30"/>
  <c r="S15" i="30"/>
  <c r="ED91" i="27"/>
  <c r="S89" i="12" s="1"/>
  <c r="S58" i="30"/>
  <c r="ED121" i="27"/>
  <c r="S119" i="12" s="1"/>
  <c r="S38" i="30"/>
  <c r="S61" i="30"/>
  <c r="S7" i="30"/>
  <c r="S24" i="30"/>
  <c r="S90" i="30"/>
  <c r="S17" i="30"/>
  <c r="S118" i="30"/>
  <c r="S30" i="30"/>
  <c r="S131" i="30"/>
  <c r="S116" i="30"/>
  <c r="S8" i="30"/>
  <c r="ED75" i="27"/>
  <c r="S73" i="12" s="1"/>
  <c r="U73" i="12" s="1"/>
  <c r="W73" i="12" s="1"/>
  <c r="Y73" i="12" s="1"/>
  <c r="ED134" i="27"/>
  <c r="S132" i="12" s="1"/>
  <c r="S130" i="30"/>
  <c r="S123" i="30"/>
  <c r="S9" i="30"/>
  <c r="S6" i="30"/>
  <c r="S31" i="30"/>
  <c r="S28" i="30"/>
  <c r="S60" i="30"/>
  <c r="S85" i="30"/>
  <c r="S29" i="30"/>
  <c r="S22" i="30"/>
  <c r="ED131" i="27"/>
  <c r="S129" i="12" s="1"/>
  <c r="U129" i="12" s="1"/>
  <c r="ED122" i="27"/>
  <c r="S120" i="12" s="1"/>
  <c r="U120" i="12" s="1"/>
  <c r="W120" i="12" s="1"/>
  <c r="Y120" i="12" s="1"/>
  <c r="ED114" i="27"/>
  <c r="S112" i="12" s="1"/>
  <c r="U112" i="12" s="1"/>
  <c r="W112" i="12" s="1"/>
  <c r="Y112" i="12" s="1"/>
  <c r="S117" i="30"/>
  <c r="S32" i="30"/>
  <c r="ED76" i="27"/>
  <c r="S74" i="12" s="1"/>
  <c r="S127" i="30"/>
  <c r="S35" i="30"/>
  <c r="S63" i="30"/>
  <c r="S82" i="30"/>
  <c r="S134" i="30"/>
  <c r="S103" i="30"/>
  <c r="S108" i="30"/>
  <c r="S100" i="30"/>
  <c r="S122" i="30"/>
  <c r="S111" i="30"/>
  <c r="S47" i="30"/>
  <c r="S80" i="30"/>
  <c r="S70" i="30"/>
  <c r="S51" i="30"/>
  <c r="S106" i="30"/>
  <c r="S46" i="30"/>
  <c r="S137" i="30"/>
  <c r="ED58" i="27"/>
  <c r="S56" i="12" s="1"/>
  <c r="ED90" i="27"/>
  <c r="S88" i="12" s="1"/>
  <c r="U88" i="12" s="1"/>
  <c r="W88" i="12" s="1"/>
  <c r="Y88" i="12" s="1"/>
  <c r="S98" i="30"/>
  <c r="ED112" i="27"/>
  <c r="S110" i="12" s="1"/>
  <c r="S67" i="30"/>
  <c r="S68" i="30"/>
  <c r="ED73" i="27"/>
  <c r="S71" i="12" s="1"/>
  <c r="ED88" i="27"/>
  <c r="S86" i="12" s="1"/>
  <c r="ED57" i="27"/>
  <c r="S55" i="12" s="1"/>
  <c r="U55" i="12" s="1"/>
  <c r="W55" i="12" s="1"/>
  <c r="Y55" i="12" s="1"/>
  <c r="ED93" i="27"/>
  <c r="S91" i="12" s="1"/>
  <c r="U91" i="12" s="1"/>
  <c r="W91" i="12" s="1"/>
  <c r="Y91" i="12" s="1"/>
  <c r="ED41" i="27"/>
  <c r="S39" i="12" s="1"/>
  <c r="U39" i="12" s="1"/>
  <c r="W39" i="12" s="1"/>
  <c r="Y39" i="12" s="1"/>
  <c r="ED47" i="27"/>
  <c r="S45" i="12" s="1"/>
  <c r="U45" i="12" s="1"/>
  <c r="W45" i="12" s="1"/>
  <c r="Y45" i="12" s="1"/>
  <c r="ED20" i="27"/>
  <c r="S18" i="12" s="1"/>
  <c r="ED107" i="27"/>
  <c r="S105" i="12" s="1"/>
  <c r="ED128" i="27"/>
  <c r="S126" i="12" s="1"/>
  <c r="ED94" i="27"/>
  <c r="S92" i="12" s="1"/>
  <c r="U92" i="12" s="1"/>
  <c r="W92" i="12" s="1"/>
  <c r="Y92" i="12" s="1"/>
  <c r="ED13" i="27"/>
  <c r="S11" i="12" s="1"/>
  <c r="U11" i="12" s="1"/>
  <c r="ED83" i="27"/>
  <c r="S81" i="12" s="1"/>
  <c r="ED6" i="27"/>
  <c r="ED12" i="27"/>
  <c r="S10" i="12" s="1"/>
  <c r="ED50" i="27"/>
  <c r="S48" i="12" s="1"/>
  <c r="ED21" i="27"/>
  <c r="S19" i="12" s="1"/>
  <c r="ED103" i="27"/>
  <c r="S101" i="12" s="1"/>
  <c r="U101" i="12" s="1"/>
  <c r="W101" i="12" s="1"/>
  <c r="Y101" i="12" s="1"/>
  <c r="ED18" i="27"/>
  <c r="S16" i="12" s="1"/>
  <c r="U16" i="12" s="1"/>
  <c r="W16" i="12" s="1"/>
  <c r="Y16" i="12" s="1"/>
  <c r="ED89" i="27"/>
  <c r="S87" i="12" s="1"/>
  <c r="ED27" i="27"/>
  <c r="S25" i="12" s="1"/>
  <c r="U25" i="12" s="1"/>
  <c r="W25" i="12" s="1"/>
  <c r="Y25" i="12" s="1"/>
  <c r="ED104" i="27"/>
  <c r="S102" i="12" s="1"/>
  <c r="U102" i="12" s="1"/>
  <c r="ED36" i="27"/>
  <c r="S34" i="12" s="1"/>
  <c r="ED106" i="27"/>
  <c r="S104" i="12" s="1"/>
  <c r="U104" i="12" s="1"/>
  <c r="W104" i="12" s="1"/>
  <c r="Y104" i="12" s="1"/>
  <c r="S12" i="13"/>
  <c r="R9" i="13"/>
  <c r="ED116" i="27"/>
  <c r="S114" i="12" s="1"/>
  <c r="ED7" i="27"/>
  <c r="S5" i="12" s="1"/>
  <c r="ED43" i="27"/>
  <c r="S41" i="12" s="1"/>
  <c r="U41" i="12" s="1"/>
  <c r="W41" i="12" s="1"/>
  <c r="Y41" i="12" s="1"/>
  <c r="ED126" i="27"/>
  <c r="S124" i="12" s="1"/>
  <c r="U124" i="12" s="1"/>
  <c r="W124" i="12" s="1"/>
  <c r="Y124" i="12" s="1"/>
  <c r="ED68" i="27"/>
  <c r="S66" i="12" s="1"/>
  <c r="ED98" i="27"/>
  <c r="S96" i="12" s="1"/>
  <c r="U96" i="12" s="1"/>
  <c r="W96" i="12" s="1"/>
  <c r="Y96" i="12" s="1"/>
  <c r="ED66" i="27"/>
  <c r="S64" i="12" s="1"/>
  <c r="U64" i="12" s="1"/>
  <c r="ED135" i="27"/>
  <c r="S133" i="12" s="1"/>
  <c r="ED140" i="27"/>
  <c r="S138" i="12" s="1"/>
  <c r="ED127" i="27"/>
  <c r="S125" i="12" s="1"/>
  <c r="U125" i="12" s="1"/>
  <c r="W125" i="12" s="1"/>
  <c r="Y125" i="12" s="1"/>
  <c r="ED95" i="27"/>
  <c r="S93" i="12" s="1"/>
  <c r="U93" i="12" s="1"/>
  <c r="ED38" i="27"/>
  <c r="S36" i="12" s="1"/>
  <c r="U36" i="12" s="1"/>
  <c r="W36" i="12" s="1"/>
  <c r="Y36" i="12" s="1"/>
  <c r="ED137" i="27"/>
  <c r="S135" i="12" s="1"/>
  <c r="ED77" i="27"/>
  <c r="S75" i="12" s="1"/>
  <c r="ED35" i="27"/>
  <c r="S33" i="12" s="1"/>
  <c r="U33" i="12" s="1"/>
  <c r="W33" i="12" s="1"/>
  <c r="Y33" i="12" s="1"/>
  <c r="ED56" i="27"/>
  <c r="S54" i="12" s="1"/>
  <c r="ED51" i="27"/>
  <c r="S49" i="12" s="1"/>
  <c r="U49" i="12" s="1"/>
  <c r="W49" i="12" s="1"/>
  <c r="Y49" i="12" s="1"/>
  <c r="ED52" i="27"/>
  <c r="S50" i="12" s="1"/>
  <c r="U50" i="12" s="1"/>
  <c r="ED71" i="27"/>
  <c r="S69" i="12" s="1"/>
  <c r="U69" i="12" s="1"/>
  <c r="W69" i="12" s="1"/>
  <c r="Y69" i="12" s="1"/>
  <c r="ED97" i="27"/>
  <c r="S95" i="12" s="1"/>
  <c r="U95" i="12" s="1"/>
  <c r="ED23" i="27"/>
  <c r="S21" i="12" s="1"/>
  <c r="U21" i="12" s="1"/>
  <c r="W21" i="12" s="1"/>
  <c r="Y21" i="12" s="1"/>
  <c r="ED28" i="27"/>
  <c r="S26" i="12" s="1"/>
  <c r="ED46" i="27"/>
  <c r="S44" i="12" s="1"/>
  <c r="U44" i="12" s="1"/>
  <c r="ED22" i="27"/>
  <c r="S20" i="12" s="1"/>
  <c r="U20" i="12" s="1"/>
  <c r="W20" i="12" s="1"/>
  <c r="Y20" i="12" s="1"/>
  <c r="ED78" i="27"/>
  <c r="S76" i="12" s="1"/>
  <c r="U76" i="12" s="1"/>
  <c r="W76" i="12" s="1"/>
  <c r="Y76" i="12" s="1"/>
  <c r="ED29" i="27"/>
  <c r="S27" i="12" s="1"/>
  <c r="ED25" i="27"/>
  <c r="S23" i="12" s="1"/>
  <c r="ED14" i="27"/>
  <c r="S12" i="12" s="1"/>
  <c r="U12" i="12" s="1"/>
  <c r="W12" i="12" s="1"/>
  <c r="Y12" i="12" s="1"/>
  <c r="ED64" i="27"/>
  <c r="S62" i="12" s="1"/>
  <c r="ED16" i="27"/>
  <c r="S14" i="12" s="1"/>
  <c r="ED130" i="27"/>
  <c r="S128" i="12" s="1"/>
  <c r="U128" i="12" s="1"/>
  <c r="W128" i="12" s="1"/>
  <c r="Y128" i="12" s="1"/>
  <c r="S13" i="30" l="1"/>
  <c r="W122" i="12"/>
  <c r="Y122" i="12" s="1"/>
  <c r="S136" i="30"/>
  <c r="U81" i="12"/>
  <c r="W81" i="12" s="1"/>
  <c r="Y81" i="12" s="1"/>
  <c r="U5" i="12"/>
  <c r="W5" i="12" s="1"/>
  <c r="Y5" i="12" s="1"/>
  <c r="U87" i="12"/>
  <c r="W87" i="12" s="1"/>
  <c r="Y87" i="12" s="1"/>
  <c r="U119" i="12"/>
  <c r="W119" i="12" s="1"/>
  <c r="Y119" i="12" s="1"/>
  <c r="U6" i="12"/>
  <c r="W6" i="12" s="1"/>
  <c r="Y6" i="12" s="1"/>
  <c r="U138" i="12"/>
  <c r="W138" i="12" s="1"/>
  <c r="Y138" i="12" s="1"/>
  <c r="U114" i="12"/>
  <c r="W114" i="12" s="1"/>
  <c r="Y114" i="12" s="1"/>
  <c r="U86" i="12"/>
  <c r="W86" i="12" s="1"/>
  <c r="Y86" i="12" s="1"/>
  <c r="U56" i="12"/>
  <c r="W56" i="12" s="1"/>
  <c r="Y56" i="12" s="1"/>
  <c r="U54" i="12"/>
  <c r="W54" i="12" s="1"/>
  <c r="Y54" i="12" s="1"/>
  <c r="U133" i="12"/>
  <c r="W133" i="12" s="1"/>
  <c r="Y133" i="12" s="1"/>
  <c r="U126" i="12"/>
  <c r="W126" i="12" s="1"/>
  <c r="Y126" i="12" s="1"/>
  <c r="U71" i="12"/>
  <c r="W71" i="12" s="1"/>
  <c r="Y71" i="12" s="1"/>
  <c r="U89" i="12"/>
  <c r="W89" i="12" s="1"/>
  <c r="Y89" i="12" s="1"/>
  <c r="U19" i="12"/>
  <c r="W19" i="12" s="1"/>
  <c r="Y19" i="12" s="1"/>
  <c r="U105" i="12"/>
  <c r="W105" i="12" s="1"/>
  <c r="Y105" i="12" s="1"/>
  <c r="U74" i="12"/>
  <c r="W74" i="12" s="1"/>
  <c r="Y74" i="12" s="1"/>
  <c r="U132" i="12"/>
  <c r="W132" i="12" s="1"/>
  <c r="Y132" i="12" s="1"/>
  <c r="U14" i="12"/>
  <c r="W14" i="12" s="1"/>
  <c r="Y14" i="12" s="1"/>
  <c r="U26" i="12"/>
  <c r="W26" i="12" s="1"/>
  <c r="Y26" i="12" s="1"/>
  <c r="U75" i="12"/>
  <c r="W75" i="12" s="1"/>
  <c r="Y75" i="12" s="1"/>
  <c r="U48" i="12"/>
  <c r="W48" i="12" s="1"/>
  <c r="Y48" i="12" s="1"/>
  <c r="U18" i="12"/>
  <c r="W18" i="12" s="1"/>
  <c r="Y18" i="12" s="1"/>
  <c r="U23" i="12"/>
  <c r="W23" i="12" s="1"/>
  <c r="Y23" i="12" s="1"/>
  <c r="U27" i="12"/>
  <c r="W27" i="12" s="1"/>
  <c r="Y27" i="12" s="1"/>
  <c r="U62" i="12"/>
  <c r="W62" i="12" s="1"/>
  <c r="Y62" i="12" s="1"/>
  <c r="U135" i="12"/>
  <c r="W135" i="12" s="1"/>
  <c r="Y135" i="12" s="1"/>
  <c r="U66" i="12"/>
  <c r="W66" i="12" s="1"/>
  <c r="Y66" i="12" s="1"/>
  <c r="U34" i="12"/>
  <c r="W34" i="12" s="1"/>
  <c r="Y34" i="12" s="1"/>
  <c r="U10" i="12"/>
  <c r="W10" i="12" s="1"/>
  <c r="Y10" i="12" s="1"/>
  <c r="U110" i="12"/>
  <c r="W110" i="12" s="1"/>
  <c r="Y110" i="12" s="1"/>
  <c r="S4" i="12"/>
  <c r="S4" i="30"/>
  <c r="S25" i="30"/>
  <c r="S27" i="30"/>
  <c r="S50" i="30"/>
  <c r="S125" i="30"/>
  <c r="S5" i="30"/>
  <c r="S87" i="30"/>
  <c r="S11" i="30"/>
  <c r="S55" i="30"/>
  <c r="S74" i="30"/>
  <c r="S102" i="30"/>
  <c r="S93" i="30"/>
  <c r="S49" i="30"/>
  <c r="S92" i="30"/>
  <c r="S86" i="30"/>
  <c r="S95" i="30"/>
  <c r="S39" i="30"/>
  <c r="S41" i="30"/>
  <c r="S129" i="30"/>
  <c r="S54" i="30"/>
  <c r="S71" i="30"/>
  <c r="S36" i="30"/>
  <c r="S23" i="30"/>
  <c r="S91" i="30"/>
  <c r="S114" i="30"/>
  <c r="S126" i="30"/>
  <c r="S128" i="30"/>
  <c r="S44" i="30"/>
  <c r="S33" i="30"/>
  <c r="S64" i="30"/>
  <c r="S19" i="30"/>
  <c r="S105" i="30"/>
  <c r="S12" i="30"/>
  <c r="S81" i="30"/>
  <c r="S138" i="30"/>
  <c r="S20" i="30"/>
  <c r="S101" i="30"/>
  <c r="S14" i="30"/>
  <c r="S26" i="30"/>
  <c r="S75" i="30"/>
  <c r="S96" i="30"/>
  <c r="S104" i="30"/>
  <c r="S48" i="30"/>
  <c r="S18" i="30"/>
  <c r="S88" i="30"/>
  <c r="S132" i="30"/>
  <c r="S119" i="30"/>
  <c r="S124" i="30"/>
  <c r="S120" i="30"/>
  <c r="S69" i="30"/>
  <c r="S110" i="30"/>
  <c r="S89" i="30"/>
  <c r="S76" i="30"/>
  <c r="S16" i="30"/>
  <c r="S133" i="30"/>
  <c r="S62" i="30"/>
  <c r="S21" i="30"/>
  <c r="S135" i="30"/>
  <c r="S66" i="30"/>
  <c r="S34" i="30"/>
  <c r="S10" i="30"/>
  <c r="S45" i="30"/>
  <c r="S56" i="30"/>
  <c r="S112" i="30"/>
  <c r="S73" i="30"/>
  <c r="T12" i="13"/>
  <c r="S9" i="13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5" i="1"/>
  <c r="K136" i="1"/>
  <c r="K137" i="1"/>
  <c r="K138" i="1"/>
  <c r="K139" i="1"/>
  <c r="K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5" i="1"/>
  <c r="J136" i="1"/>
  <c r="J137" i="1"/>
  <c r="J138" i="1"/>
  <c r="J5" i="1"/>
  <c r="C139" i="1" l="1"/>
  <c r="K140" i="27" s="1"/>
  <c r="K138" i="31" s="1"/>
  <c r="T9" i="13"/>
  <c r="U12" i="13"/>
  <c r="G139" i="1"/>
  <c r="K138" i="30" l="1"/>
  <c r="V12" i="13"/>
  <c r="U9" i="13"/>
  <c r="C4" i="13"/>
  <c r="D4" i="13"/>
  <c r="W12" i="13" l="1"/>
  <c r="V9" i="13"/>
  <c r="X12" i="13" l="1"/>
  <c r="W9" i="13"/>
  <c r="Y12" i="13" l="1"/>
  <c r="X9" i="13"/>
  <c r="A6" i="20"/>
  <c r="E4" i="13"/>
  <c r="F4" i="13"/>
  <c r="G4" i="13"/>
  <c r="H4" i="13"/>
  <c r="I4" i="13"/>
  <c r="J4" i="13"/>
  <c r="K4" i="13"/>
  <c r="L4" i="13"/>
  <c r="M4" i="13"/>
  <c r="N4" i="13"/>
  <c r="O4" i="13"/>
  <c r="P4" i="13"/>
  <c r="Q4" i="13"/>
  <c r="R4" i="13"/>
  <c r="S4" i="13"/>
  <c r="T4" i="13"/>
  <c r="U4" i="13"/>
  <c r="V4" i="13"/>
  <c r="W4" i="13"/>
  <c r="X4" i="13"/>
  <c r="Y4" i="13"/>
  <c r="Z4" i="13"/>
  <c r="AA4" i="13"/>
  <c r="AB4" i="13"/>
  <c r="AC4" i="13"/>
  <c r="AD4" i="13"/>
  <c r="AE4" i="13"/>
  <c r="AF4" i="13"/>
  <c r="AG4" i="13"/>
  <c r="AH4" i="13"/>
  <c r="AI4" i="13"/>
  <c r="AJ4" i="13"/>
  <c r="AK4" i="13"/>
  <c r="AL4" i="13"/>
  <c r="AM4" i="13"/>
  <c r="AN4" i="13"/>
  <c r="AO4" i="13"/>
  <c r="AP4" i="13"/>
  <c r="AQ4" i="13"/>
  <c r="AR4" i="13"/>
  <c r="AS4" i="13"/>
  <c r="AT4" i="13"/>
  <c r="AU4" i="13"/>
  <c r="AV4" i="13"/>
  <c r="AW4" i="13"/>
  <c r="AX4" i="13"/>
  <c r="D5" i="13"/>
  <c r="E5" i="13"/>
  <c r="F5" i="13"/>
  <c r="G5" i="13"/>
  <c r="H5" i="13"/>
  <c r="I5" i="13"/>
  <c r="J5" i="13"/>
  <c r="K5" i="13"/>
  <c r="L5" i="13"/>
  <c r="M5" i="13"/>
  <c r="N5" i="13"/>
  <c r="O5" i="13"/>
  <c r="P5" i="13"/>
  <c r="Q5" i="13"/>
  <c r="R5" i="13"/>
  <c r="S5" i="13"/>
  <c r="T5" i="13"/>
  <c r="U5" i="13"/>
  <c r="V5" i="13"/>
  <c r="W5" i="13"/>
  <c r="X5" i="13"/>
  <c r="Y5" i="13"/>
  <c r="Z5" i="13"/>
  <c r="AA5" i="13"/>
  <c r="AB5" i="13"/>
  <c r="AC5" i="13"/>
  <c r="AD5" i="13"/>
  <c r="AE5" i="13"/>
  <c r="AF5" i="13"/>
  <c r="AG5" i="13"/>
  <c r="AH5" i="13"/>
  <c r="AI5" i="13"/>
  <c r="AJ5" i="13"/>
  <c r="AK5" i="13"/>
  <c r="AL5" i="13"/>
  <c r="AM5" i="13"/>
  <c r="AN5" i="13"/>
  <c r="AO5" i="13"/>
  <c r="AP5" i="13"/>
  <c r="AQ5" i="13"/>
  <c r="AR5" i="13"/>
  <c r="AS5" i="13"/>
  <c r="AT5" i="13"/>
  <c r="AU5" i="13"/>
  <c r="AV5" i="13"/>
  <c r="AW5" i="13"/>
  <c r="AX5" i="13"/>
  <c r="D6" i="13"/>
  <c r="E6" i="13"/>
  <c r="D10" i="13" s="1"/>
  <c r="F6" i="13"/>
  <c r="G6" i="13"/>
  <c r="E10" i="13" s="1"/>
  <c r="H6" i="13"/>
  <c r="I6" i="13"/>
  <c r="F10" i="13" s="1"/>
  <c r="J6" i="13"/>
  <c r="K6" i="13"/>
  <c r="G10" i="13" s="1"/>
  <c r="L6" i="13"/>
  <c r="M6" i="13"/>
  <c r="H10" i="13" s="1"/>
  <c r="N6" i="13"/>
  <c r="O6" i="13"/>
  <c r="I10" i="13" s="1"/>
  <c r="P6" i="13"/>
  <c r="Q6" i="13"/>
  <c r="J10" i="13" s="1"/>
  <c r="R6" i="13"/>
  <c r="S6" i="13"/>
  <c r="K10" i="13" s="1"/>
  <c r="T6" i="13"/>
  <c r="U6" i="13"/>
  <c r="L10" i="13" s="1"/>
  <c r="V6" i="13"/>
  <c r="W6" i="13"/>
  <c r="M10" i="13" s="1"/>
  <c r="X6" i="13"/>
  <c r="Y6" i="13"/>
  <c r="N10" i="13" s="1"/>
  <c r="Z6" i="13"/>
  <c r="AA6" i="13"/>
  <c r="O10" i="13" s="1"/>
  <c r="AB6" i="13"/>
  <c r="AC6" i="13"/>
  <c r="P10" i="13" s="1"/>
  <c r="AD6" i="13"/>
  <c r="AE6" i="13"/>
  <c r="Q10" i="13" s="1"/>
  <c r="AF6" i="13"/>
  <c r="AG6" i="13"/>
  <c r="R10" i="13" s="1"/>
  <c r="AH6" i="13"/>
  <c r="AI6" i="13"/>
  <c r="S10" i="13" s="1"/>
  <c r="AJ6" i="13"/>
  <c r="AK6" i="13"/>
  <c r="T10" i="13" s="1"/>
  <c r="AL6" i="13"/>
  <c r="AM6" i="13"/>
  <c r="U10" i="13" s="1"/>
  <c r="AN6" i="13"/>
  <c r="AO6" i="13"/>
  <c r="V10" i="13" s="1"/>
  <c r="AP6" i="13"/>
  <c r="AQ6" i="13"/>
  <c r="W10" i="13" s="1"/>
  <c r="AR6" i="13"/>
  <c r="AS6" i="13"/>
  <c r="X10" i="13" s="1"/>
  <c r="AT6" i="13"/>
  <c r="AU6" i="13"/>
  <c r="Y10" i="13" s="1"/>
  <c r="AV6" i="13"/>
  <c r="AW6" i="13"/>
  <c r="AX6" i="13"/>
  <c r="D7" i="13"/>
  <c r="E7" i="13"/>
  <c r="D11" i="13" s="1"/>
  <c r="F7" i="13"/>
  <c r="G7" i="13"/>
  <c r="E11" i="13" s="1"/>
  <c r="H7" i="13"/>
  <c r="I7" i="13"/>
  <c r="F11" i="13" s="1"/>
  <c r="J7" i="13"/>
  <c r="K7" i="13"/>
  <c r="G11" i="13" s="1"/>
  <c r="L7" i="13"/>
  <c r="M7" i="13"/>
  <c r="H11" i="13" s="1"/>
  <c r="N7" i="13"/>
  <c r="O7" i="13"/>
  <c r="I11" i="13" s="1"/>
  <c r="P7" i="13"/>
  <c r="Q7" i="13"/>
  <c r="J11" i="13" s="1"/>
  <c r="R7" i="13"/>
  <c r="S7" i="13"/>
  <c r="K11" i="13" s="1"/>
  <c r="T7" i="13"/>
  <c r="U7" i="13"/>
  <c r="L11" i="13" s="1"/>
  <c r="V7" i="13"/>
  <c r="W7" i="13"/>
  <c r="M11" i="13" s="1"/>
  <c r="X7" i="13"/>
  <c r="Y7" i="13"/>
  <c r="N11" i="13" s="1"/>
  <c r="Z7" i="13"/>
  <c r="AA7" i="13"/>
  <c r="O11" i="13" s="1"/>
  <c r="AB7" i="13"/>
  <c r="AC7" i="13"/>
  <c r="P11" i="13" s="1"/>
  <c r="AD7" i="13"/>
  <c r="AE7" i="13"/>
  <c r="Q11" i="13" s="1"/>
  <c r="AF7" i="13"/>
  <c r="AG7" i="13"/>
  <c r="R11" i="13" s="1"/>
  <c r="AH7" i="13"/>
  <c r="AI7" i="13"/>
  <c r="S11" i="13" s="1"/>
  <c r="AJ7" i="13"/>
  <c r="AK7" i="13"/>
  <c r="T11" i="13" s="1"/>
  <c r="AL7" i="13"/>
  <c r="AM7" i="13"/>
  <c r="U11" i="13" s="1"/>
  <c r="AN7" i="13"/>
  <c r="AO7" i="13"/>
  <c r="V11" i="13" s="1"/>
  <c r="AP7" i="13"/>
  <c r="AQ7" i="13"/>
  <c r="W11" i="13" s="1"/>
  <c r="AR7" i="13"/>
  <c r="AS7" i="13"/>
  <c r="X11" i="13" s="1"/>
  <c r="AT7" i="13"/>
  <c r="AU7" i="13"/>
  <c r="Y11" i="13" s="1"/>
  <c r="AV7" i="13"/>
  <c r="AW7" i="13"/>
  <c r="AX7" i="13"/>
  <c r="C7" i="13"/>
  <c r="C11" i="13" s="1"/>
  <c r="C6" i="13"/>
  <c r="C10" i="13" s="1"/>
  <c r="C5" i="13"/>
  <c r="A139" i="1"/>
  <c r="R7" i="31" l="1"/>
  <c r="R19" i="31"/>
  <c r="R27" i="31"/>
  <c r="R35" i="31"/>
  <c r="R47" i="31"/>
  <c r="U47" i="31" s="1"/>
  <c r="W47" i="31" s="1"/>
  <c r="Y47" i="31" s="1"/>
  <c r="R64" i="31"/>
  <c r="U64" i="31" s="1"/>
  <c r="R80" i="31"/>
  <c r="U80" i="31" s="1"/>
  <c r="R86" i="31"/>
  <c r="U86" i="31" s="1"/>
  <c r="W86" i="31" s="1"/>
  <c r="Y86" i="31" s="1"/>
  <c r="R92" i="31"/>
  <c r="U92" i="31" s="1"/>
  <c r="W92" i="31" s="1"/>
  <c r="Y92" i="31" s="1"/>
  <c r="R103" i="31"/>
  <c r="U103" i="31" s="1"/>
  <c r="R118" i="31"/>
  <c r="R126" i="31"/>
  <c r="R132" i="31"/>
  <c r="R6" i="30"/>
  <c r="R7" i="30"/>
  <c r="R15" i="30"/>
  <c r="R27" i="30"/>
  <c r="R32" i="30"/>
  <c r="R47" i="30"/>
  <c r="R56" i="30"/>
  <c r="R68" i="30"/>
  <c r="R69" i="30"/>
  <c r="R74" i="30"/>
  <c r="R85" i="30"/>
  <c r="R90" i="30"/>
  <c r="R92" i="30"/>
  <c r="R94" i="30"/>
  <c r="R105" i="30"/>
  <c r="R112" i="30"/>
  <c r="R119" i="30"/>
  <c r="R125" i="30"/>
  <c r="R132" i="30"/>
  <c r="R10" i="31"/>
  <c r="R16" i="31"/>
  <c r="R24" i="31"/>
  <c r="U24" i="31" s="1"/>
  <c r="W24" i="31" s="1"/>
  <c r="Y24" i="31" s="1"/>
  <c r="R32" i="31"/>
  <c r="R40" i="31"/>
  <c r="U40" i="31" s="1"/>
  <c r="W40" i="31" s="1"/>
  <c r="Y40" i="31" s="1"/>
  <c r="R43" i="31"/>
  <c r="W43" i="31" s="1"/>
  <c r="Y43" i="31" s="1"/>
  <c r="Z43" i="31" s="1"/>
  <c r="R57" i="31"/>
  <c r="W57" i="31" s="1"/>
  <c r="Y57" i="31" s="1"/>
  <c r="Z57" i="31" s="1"/>
  <c r="R76" i="31"/>
  <c r="R83" i="31"/>
  <c r="R96" i="31"/>
  <c r="U96" i="31" s="1"/>
  <c r="W96" i="31" s="1"/>
  <c r="Y96" i="31" s="1"/>
  <c r="R99" i="31"/>
  <c r="W99" i="31" s="1"/>
  <c r="Y99" i="31" s="1"/>
  <c r="Z99" i="31" s="1"/>
  <c r="R102" i="31"/>
  <c r="U102" i="31" s="1"/>
  <c r="R106" i="31"/>
  <c r="R109" i="31"/>
  <c r="W109" i="31" s="1"/>
  <c r="Y109" i="31" s="1"/>
  <c r="Z109" i="31" s="1"/>
  <c r="R112" i="31"/>
  <c r="R115" i="31"/>
  <c r="R123" i="31"/>
  <c r="R137" i="31"/>
  <c r="R14" i="30"/>
  <c r="R22" i="30"/>
  <c r="R26" i="30"/>
  <c r="R38" i="30"/>
  <c r="R64" i="30"/>
  <c r="R67" i="30"/>
  <c r="R73" i="30"/>
  <c r="R84" i="30"/>
  <c r="R89" i="30"/>
  <c r="R91" i="30"/>
  <c r="R124" i="30"/>
  <c r="R129" i="30"/>
  <c r="R131" i="30"/>
  <c r="R136" i="30"/>
  <c r="R6" i="31"/>
  <c r="R9" i="31"/>
  <c r="U9" i="31" s="1"/>
  <c r="R13" i="31"/>
  <c r="R21" i="31"/>
  <c r="R29" i="31"/>
  <c r="R37" i="31"/>
  <c r="R49" i="31"/>
  <c r="R54" i="31"/>
  <c r="U54" i="31" s="1"/>
  <c r="W54" i="31" s="1"/>
  <c r="Y54" i="31" s="1"/>
  <c r="R60" i="31"/>
  <c r="R67" i="31"/>
  <c r="R70" i="31"/>
  <c r="R73" i="31"/>
  <c r="R79" i="31"/>
  <c r="W79" i="31" s="1"/>
  <c r="Y79" i="31" s="1"/>
  <c r="Z79" i="31" s="1"/>
  <c r="R88" i="31"/>
  <c r="R95" i="31"/>
  <c r="U95" i="31" s="1"/>
  <c r="R120" i="31"/>
  <c r="R128" i="31"/>
  <c r="R134" i="31"/>
  <c r="R5" i="30"/>
  <c r="R21" i="30"/>
  <c r="R25" i="30"/>
  <c r="R37" i="30"/>
  <c r="R42" i="30"/>
  <c r="R43" i="30"/>
  <c r="R44" i="30"/>
  <c r="R46" i="30"/>
  <c r="R50" i="30"/>
  <c r="R65" i="30"/>
  <c r="R66" i="30"/>
  <c r="R72" i="30"/>
  <c r="R83" i="30"/>
  <c r="R102" i="30"/>
  <c r="R103" i="30"/>
  <c r="R104" i="30"/>
  <c r="R118" i="30"/>
  <c r="R123" i="30"/>
  <c r="R130" i="30"/>
  <c r="R18" i="31"/>
  <c r="U18" i="31" s="1"/>
  <c r="W18" i="31" s="1"/>
  <c r="Y18" i="31" s="1"/>
  <c r="R26" i="31"/>
  <c r="U26" i="31" s="1"/>
  <c r="W26" i="31" s="1"/>
  <c r="Y26" i="31" s="1"/>
  <c r="R34" i="31"/>
  <c r="R42" i="31"/>
  <c r="W42" i="31" s="1"/>
  <c r="Y42" i="31" s="1"/>
  <c r="Z42" i="31" s="1"/>
  <c r="R46" i="31"/>
  <c r="U46" i="31" s="1"/>
  <c r="W46" i="31" s="1"/>
  <c r="Y46" i="31" s="1"/>
  <c r="R53" i="31"/>
  <c r="U53" i="31" s="1"/>
  <c r="R63" i="31"/>
  <c r="U63" i="31" s="1"/>
  <c r="W63" i="31" s="1"/>
  <c r="Y63" i="31" s="1"/>
  <c r="R78" i="31"/>
  <c r="U78" i="31" s="1"/>
  <c r="R85" i="31"/>
  <c r="R91" i="31"/>
  <c r="U91" i="31" s="1"/>
  <c r="W91" i="31" s="1"/>
  <c r="Y91" i="31" s="1"/>
  <c r="R117" i="31"/>
  <c r="U117" i="31" s="1"/>
  <c r="W117" i="31" s="1"/>
  <c r="Y117" i="31" s="1"/>
  <c r="R125" i="31"/>
  <c r="R131" i="31"/>
  <c r="R13" i="30"/>
  <c r="R20" i="30"/>
  <c r="R31" i="30"/>
  <c r="R36" i="30"/>
  <c r="R41" i="30"/>
  <c r="R45" i="30"/>
  <c r="R49" i="30"/>
  <c r="R51" i="30"/>
  <c r="R55" i="30"/>
  <c r="R80" i="30"/>
  <c r="R82" i="30"/>
  <c r="R88" i="30"/>
  <c r="R101" i="30"/>
  <c r="R111" i="30"/>
  <c r="R117" i="30"/>
  <c r="R122" i="30"/>
  <c r="R128" i="30"/>
  <c r="R15" i="31"/>
  <c r="R23" i="31"/>
  <c r="R31" i="31"/>
  <c r="R39" i="31"/>
  <c r="R56" i="31"/>
  <c r="R59" i="31"/>
  <c r="W59" i="31" s="1"/>
  <c r="Y59" i="31" s="1"/>
  <c r="Z59" i="31" s="1"/>
  <c r="R72" i="31"/>
  <c r="W72" i="31" s="1"/>
  <c r="Y72" i="31" s="1"/>
  <c r="Z72" i="31" s="1"/>
  <c r="R75" i="31"/>
  <c r="U75" i="31" s="1"/>
  <c r="W75" i="31" s="1"/>
  <c r="Y75" i="31" s="1"/>
  <c r="R82" i="31"/>
  <c r="R90" i="31"/>
  <c r="U90" i="31" s="1"/>
  <c r="R94" i="31"/>
  <c r="W94" i="31" s="1"/>
  <c r="Y94" i="31" s="1"/>
  <c r="Z94" i="31" s="1"/>
  <c r="R98" i="31"/>
  <c r="U98" i="31" s="1"/>
  <c r="W98" i="31" s="1"/>
  <c r="Y98" i="31" s="1"/>
  <c r="R101" i="31"/>
  <c r="R105" i="31"/>
  <c r="R108" i="31"/>
  <c r="R111" i="31"/>
  <c r="R114" i="31"/>
  <c r="R122" i="31"/>
  <c r="R136" i="31"/>
  <c r="R11" i="30"/>
  <c r="R19" i="30"/>
  <c r="R24" i="30"/>
  <c r="R35" i="30"/>
  <c r="R52" i="30"/>
  <c r="R53" i="30"/>
  <c r="R61" i="30"/>
  <c r="R63" i="30"/>
  <c r="R78" i="30"/>
  <c r="R79" i="30"/>
  <c r="R81" i="30"/>
  <c r="R99" i="30"/>
  <c r="R100" i="30"/>
  <c r="R116" i="30"/>
  <c r="R121" i="30"/>
  <c r="R135" i="30"/>
  <c r="R5" i="31"/>
  <c r="R8" i="31"/>
  <c r="R12" i="31"/>
  <c r="R20" i="31"/>
  <c r="R28" i="31"/>
  <c r="U28" i="31" s="1"/>
  <c r="W28" i="31" s="1"/>
  <c r="Y28" i="31" s="1"/>
  <c r="R36" i="31"/>
  <c r="R48" i="31"/>
  <c r="U48" i="31" s="1"/>
  <c r="W48" i="31" s="1"/>
  <c r="Y48" i="31" s="1"/>
  <c r="R52" i="31"/>
  <c r="W52" i="31" s="1"/>
  <c r="Y52" i="31" s="1"/>
  <c r="Z52" i="31" s="1"/>
  <c r="R66" i="31"/>
  <c r="R69" i="31"/>
  <c r="U69" i="31" s="1"/>
  <c r="W69" i="31" s="1"/>
  <c r="Y69" i="31" s="1"/>
  <c r="R87" i="31"/>
  <c r="R93" i="31"/>
  <c r="U93" i="31" s="1"/>
  <c r="R119" i="31"/>
  <c r="R127" i="31"/>
  <c r="R133" i="31"/>
  <c r="R12" i="30"/>
  <c r="R18" i="30"/>
  <c r="R30" i="30"/>
  <c r="R34" i="30"/>
  <c r="R40" i="30"/>
  <c r="R48" i="30"/>
  <c r="R54" i="30"/>
  <c r="R59" i="30"/>
  <c r="R60" i="30"/>
  <c r="R62" i="30"/>
  <c r="R71" i="30"/>
  <c r="R77" i="30"/>
  <c r="R97" i="30"/>
  <c r="R98" i="30"/>
  <c r="R109" i="30"/>
  <c r="R110" i="30"/>
  <c r="R115" i="30"/>
  <c r="R127" i="30"/>
  <c r="R11" i="31"/>
  <c r="U11" i="31" s="1"/>
  <c r="R17" i="31"/>
  <c r="R25" i="31"/>
  <c r="R33" i="31"/>
  <c r="R41" i="31"/>
  <c r="R45" i="31"/>
  <c r="R51" i="31"/>
  <c r="U51" i="31" s="1"/>
  <c r="R62" i="31"/>
  <c r="R77" i="31"/>
  <c r="R84" i="31"/>
  <c r="R97" i="31"/>
  <c r="R107" i="31"/>
  <c r="W107" i="31" s="1"/>
  <c r="Y107" i="31" s="1"/>
  <c r="Z107" i="31" s="1"/>
  <c r="R113" i="31"/>
  <c r="W113" i="31" s="1"/>
  <c r="Y113" i="31" s="1"/>
  <c r="Z113" i="31" s="1"/>
  <c r="R116" i="31"/>
  <c r="R124" i="31"/>
  <c r="R130" i="31"/>
  <c r="R138" i="31"/>
  <c r="R9" i="30"/>
  <c r="R10" i="30"/>
  <c r="R17" i="30"/>
  <c r="R29" i="30"/>
  <c r="R33" i="30"/>
  <c r="R57" i="30"/>
  <c r="R58" i="30"/>
  <c r="R76" i="30"/>
  <c r="R87" i="30"/>
  <c r="R107" i="30"/>
  <c r="R108" i="30"/>
  <c r="R113" i="30"/>
  <c r="R114" i="30"/>
  <c r="R120" i="30"/>
  <c r="R134" i="30"/>
  <c r="R138" i="30"/>
  <c r="R14" i="31"/>
  <c r="U14" i="31" s="1"/>
  <c r="W14" i="31" s="1"/>
  <c r="Y14" i="31" s="1"/>
  <c r="R22" i="31"/>
  <c r="R30" i="31"/>
  <c r="R38" i="31"/>
  <c r="R44" i="31"/>
  <c r="U44" i="31" s="1"/>
  <c r="R50" i="31"/>
  <c r="U50" i="31" s="1"/>
  <c r="R55" i="31"/>
  <c r="R58" i="31"/>
  <c r="R61" i="31"/>
  <c r="U61" i="31" s="1"/>
  <c r="R65" i="31"/>
  <c r="W65" i="31" s="1"/>
  <c r="Y65" i="31" s="1"/>
  <c r="Z65" i="31" s="1"/>
  <c r="R68" i="31"/>
  <c r="R71" i="31"/>
  <c r="R74" i="31"/>
  <c r="R81" i="31"/>
  <c r="U81" i="31" s="1"/>
  <c r="W81" i="31" s="1"/>
  <c r="Y81" i="31" s="1"/>
  <c r="R89" i="31"/>
  <c r="R100" i="31"/>
  <c r="U100" i="31" s="1"/>
  <c r="W100" i="31" s="1"/>
  <c r="Y100" i="31" s="1"/>
  <c r="R104" i="31"/>
  <c r="R110" i="31"/>
  <c r="R121" i="31"/>
  <c r="R129" i="31"/>
  <c r="U129" i="31" s="1"/>
  <c r="R135" i="31"/>
  <c r="R8" i="30"/>
  <c r="R16" i="30"/>
  <c r="R23" i="30"/>
  <c r="R28" i="30"/>
  <c r="R39" i="30"/>
  <c r="R70" i="30"/>
  <c r="R75" i="30"/>
  <c r="R86" i="30"/>
  <c r="R93" i="30"/>
  <c r="R95" i="30"/>
  <c r="R96" i="30"/>
  <c r="R106" i="30"/>
  <c r="R126" i="30"/>
  <c r="R133" i="30"/>
  <c r="R137" i="30"/>
  <c r="Q14" i="30"/>
  <c r="Q22" i="30"/>
  <c r="Q26" i="30"/>
  <c r="U26" i="30" s="1"/>
  <c r="W26" i="30" s="1"/>
  <c r="Y26" i="30" s="1"/>
  <c r="Q38" i="30"/>
  <c r="Q67" i="30"/>
  <c r="Q73" i="30"/>
  <c r="U73" i="30" s="1"/>
  <c r="W73" i="30" s="1"/>
  <c r="Y73" i="30" s="1"/>
  <c r="Q84" i="30"/>
  <c r="U84" i="30" s="1"/>
  <c r="W84" i="30" s="1"/>
  <c r="Y84" i="30" s="1"/>
  <c r="Q89" i="30"/>
  <c r="Q91" i="30"/>
  <c r="Q124" i="30"/>
  <c r="U124" i="30" s="1"/>
  <c r="W124" i="30" s="1"/>
  <c r="Y124" i="30" s="1"/>
  <c r="Q129" i="30"/>
  <c r="Q131" i="30"/>
  <c r="Q5" i="30"/>
  <c r="Q21" i="30"/>
  <c r="Q25" i="30"/>
  <c r="U25" i="30" s="1"/>
  <c r="W25" i="30" s="1"/>
  <c r="Y25" i="30" s="1"/>
  <c r="Q37" i="30"/>
  <c r="Q42" i="30"/>
  <c r="Q43" i="30"/>
  <c r="Q44" i="30"/>
  <c r="U44" i="30" s="1"/>
  <c r="Q46" i="30"/>
  <c r="Q50" i="30"/>
  <c r="Q65" i="30"/>
  <c r="Q66" i="30"/>
  <c r="Q83" i="30"/>
  <c r="Q102" i="30"/>
  <c r="Q118" i="30"/>
  <c r="U118" i="30" s="1"/>
  <c r="W118" i="30" s="1"/>
  <c r="Y118" i="30" s="1"/>
  <c r="Q123" i="30"/>
  <c r="U123" i="30" s="1"/>
  <c r="W123" i="30" s="1"/>
  <c r="Y123" i="30" s="1"/>
  <c r="Q130" i="30"/>
  <c r="U130" i="30" s="1"/>
  <c r="W130" i="30" s="1"/>
  <c r="Y130" i="30" s="1"/>
  <c r="Q20" i="30"/>
  <c r="Q36" i="30"/>
  <c r="Q41" i="30"/>
  <c r="Q45" i="30"/>
  <c r="Q49" i="30"/>
  <c r="Q51" i="30"/>
  <c r="U51" i="30" s="1"/>
  <c r="Q82" i="30"/>
  <c r="Q101" i="30"/>
  <c r="Q117" i="30"/>
  <c r="U117" i="30" s="1"/>
  <c r="W117" i="30" s="1"/>
  <c r="Y117" i="30" s="1"/>
  <c r="Q122" i="30"/>
  <c r="U122" i="30" s="1"/>
  <c r="W122" i="30" s="1"/>
  <c r="Y122" i="30" s="1"/>
  <c r="Q11" i="30"/>
  <c r="Q19" i="30"/>
  <c r="Q35" i="30"/>
  <c r="U35" i="30" s="1"/>
  <c r="W35" i="30" s="1"/>
  <c r="Y35" i="30" s="1"/>
  <c r="Q52" i="30"/>
  <c r="W52" i="30" s="1"/>
  <c r="Y52" i="30" s="1"/>
  <c r="Q53" i="30"/>
  <c r="U53" i="30" s="1"/>
  <c r="Q61" i="30"/>
  <c r="U61" i="30" s="1"/>
  <c r="Q63" i="30"/>
  <c r="U63" i="30" s="1"/>
  <c r="W63" i="30" s="1"/>
  <c r="Y63" i="30" s="1"/>
  <c r="Q78" i="30"/>
  <c r="Q81" i="30"/>
  <c r="U81" i="30" s="1"/>
  <c r="W81" i="30" s="1"/>
  <c r="Y81" i="30" s="1"/>
  <c r="Q99" i="30"/>
  <c r="Q100" i="30"/>
  <c r="Q116" i="30"/>
  <c r="U116" i="30" s="1"/>
  <c r="W116" i="30" s="1"/>
  <c r="Y116" i="30" s="1"/>
  <c r="Q121" i="30"/>
  <c r="Q12" i="30"/>
  <c r="U12" i="30" s="1"/>
  <c r="W12" i="30" s="1"/>
  <c r="Y12" i="30" s="1"/>
  <c r="Q18" i="30"/>
  <c r="Q30" i="30"/>
  <c r="Q34" i="30"/>
  <c r="U34" i="30" s="1"/>
  <c r="W34" i="30" s="1"/>
  <c r="Y34" i="30" s="1"/>
  <c r="Q54" i="30"/>
  <c r="Q59" i="30"/>
  <c r="Q60" i="30"/>
  <c r="Q62" i="30"/>
  <c r="Q77" i="30"/>
  <c r="U77" i="30" s="1"/>
  <c r="W77" i="30" s="1"/>
  <c r="Y77" i="30" s="1"/>
  <c r="Q97" i="30"/>
  <c r="Q98" i="30"/>
  <c r="U98" i="30" s="1"/>
  <c r="W98" i="30" s="1"/>
  <c r="Y98" i="30" s="1"/>
  <c r="Q109" i="30"/>
  <c r="Q110" i="30"/>
  <c r="Q115" i="30"/>
  <c r="Q9" i="30"/>
  <c r="Q17" i="30"/>
  <c r="U17" i="30" s="1"/>
  <c r="W17" i="30" s="1"/>
  <c r="Y17" i="30" s="1"/>
  <c r="Q29" i="30"/>
  <c r="Q33" i="30"/>
  <c r="U33" i="30" s="1"/>
  <c r="W33" i="30" s="1"/>
  <c r="Y33" i="30" s="1"/>
  <c r="Q57" i="30"/>
  <c r="Q58" i="30"/>
  <c r="Q76" i="30"/>
  <c r="Q87" i="30"/>
  <c r="Q107" i="30"/>
  <c r="Q108" i="30"/>
  <c r="U108" i="30" s="1"/>
  <c r="W108" i="30" s="1"/>
  <c r="Y108" i="30" s="1"/>
  <c r="Q113" i="30"/>
  <c r="Q114" i="30"/>
  <c r="Q134" i="30"/>
  <c r="Q138" i="30"/>
  <c r="Q8" i="30"/>
  <c r="Q16" i="30"/>
  <c r="Q28" i="30"/>
  <c r="Q70" i="30"/>
  <c r="Q75" i="30"/>
  <c r="Q86" i="30"/>
  <c r="Q93" i="30"/>
  <c r="U93" i="30" s="1"/>
  <c r="Q106" i="30"/>
  <c r="U106" i="30" s="1"/>
  <c r="W106" i="30" s="1"/>
  <c r="Y106" i="30" s="1"/>
  <c r="Q126" i="30"/>
  <c r="U126" i="30" s="1"/>
  <c r="W126" i="30" s="1"/>
  <c r="Y126" i="30" s="1"/>
  <c r="Q133" i="30"/>
  <c r="U133" i="30" s="1"/>
  <c r="W133" i="30" s="1"/>
  <c r="Y133" i="30" s="1"/>
  <c r="Q137" i="30"/>
  <c r="U137" i="30" s="1"/>
  <c r="W137" i="30" s="1"/>
  <c r="Y137" i="30" s="1"/>
  <c r="Q6" i="30"/>
  <c r="Q7" i="30"/>
  <c r="Q15" i="30"/>
  <c r="Q27" i="30"/>
  <c r="U27" i="30" s="1"/>
  <c r="W27" i="30" s="1"/>
  <c r="Y27" i="30" s="1"/>
  <c r="Q68" i="30"/>
  <c r="Q69" i="30"/>
  <c r="U69" i="30" s="1"/>
  <c r="W69" i="30" s="1"/>
  <c r="Y69" i="30" s="1"/>
  <c r="Q74" i="30"/>
  <c r="Q85" i="30"/>
  <c r="Q90" i="30"/>
  <c r="U90" i="30" s="1"/>
  <c r="Q92" i="30"/>
  <c r="Q94" i="30"/>
  <c r="W94" i="30" s="1"/>
  <c r="Y94" i="30" s="1"/>
  <c r="Q105" i="30"/>
  <c r="U105" i="30" s="1"/>
  <c r="W105" i="30" s="1"/>
  <c r="Y105" i="30" s="1"/>
  <c r="Q125" i="30"/>
  <c r="Q132" i="30"/>
  <c r="Q112" i="30"/>
  <c r="Q24" i="30"/>
  <c r="U24" i="30" s="1"/>
  <c r="W24" i="30" s="1"/>
  <c r="Y24" i="30" s="1"/>
  <c r="Q95" i="30"/>
  <c r="U95" i="30" s="1"/>
  <c r="Q47" i="30"/>
  <c r="U47" i="30" s="1"/>
  <c r="W47" i="30" s="1"/>
  <c r="Y47" i="30" s="1"/>
  <c r="Q136" i="30"/>
  <c r="Q127" i="30"/>
  <c r="Q55" i="30"/>
  <c r="U55" i="30" s="1"/>
  <c r="W55" i="30" s="1"/>
  <c r="Y55" i="30" s="1"/>
  <c r="Q88" i="30"/>
  <c r="U88" i="30" s="1"/>
  <c r="W88" i="30" s="1"/>
  <c r="Y88" i="30" s="1"/>
  <c r="Q39" i="30"/>
  <c r="Q119" i="30"/>
  <c r="Q31" i="30"/>
  <c r="U31" i="30" s="1"/>
  <c r="W31" i="30" s="1"/>
  <c r="Y31" i="30" s="1"/>
  <c r="Q13" i="30"/>
  <c r="U13" i="30" s="1"/>
  <c r="W13" i="30" s="1"/>
  <c r="Y13" i="30" s="1"/>
  <c r="Q96" i="30"/>
  <c r="Q135" i="30"/>
  <c r="U135" i="30" s="1"/>
  <c r="W135" i="30" s="1"/>
  <c r="Y135" i="30" s="1"/>
  <c r="Q23" i="30"/>
  <c r="Q72" i="30"/>
  <c r="Q128" i="30"/>
  <c r="U128" i="30" s="1"/>
  <c r="W128" i="30" s="1"/>
  <c r="Y128" i="30" s="1"/>
  <c r="Q56" i="30"/>
  <c r="U56" i="30" s="1"/>
  <c r="W56" i="30" s="1"/>
  <c r="Y56" i="30" s="1"/>
  <c r="Q48" i="30"/>
  <c r="U48" i="30" s="1"/>
  <c r="W48" i="30" s="1"/>
  <c r="Y48" i="30" s="1"/>
  <c r="Q10" i="30"/>
  <c r="Q104" i="30"/>
  <c r="U104" i="30" s="1"/>
  <c r="W104" i="30" s="1"/>
  <c r="Y104" i="30" s="1"/>
  <c r="Q40" i="30"/>
  <c r="Q111" i="30"/>
  <c r="Q71" i="30"/>
  <c r="Q80" i="30"/>
  <c r="U80" i="30" s="1"/>
  <c r="Q120" i="30"/>
  <c r="Q32" i="30"/>
  <c r="U32" i="30" s="1"/>
  <c r="W32" i="30" s="1"/>
  <c r="Y32" i="30" s="1"/>
  <c r="Q103" i="30"/>
  <c r="Q64" i="30"/>
  <c r="U64" i="30" s="1"/>
  <c r="Q79" i="30"/>
  <c r="Z10" i="13"/>
  <c r="Z11" i="13"/>
  <c r="Y9" i="13"/>
  <c r="Z12" i="13"/>
  <c r="Z9" i="13" s="1"/>
  <c r="R4" i="31"/>
  <c r="U4" i="31" s="1"/>
  <c r="R4" i="30"/>
  <c r="J139" i="1"/>
  <c r="BX140" i="27"/>
  <c r="Q4" i="30"/>
  <c r="Q4" i="12"/>
  <c r="A7" i="20"/>
  <c r="R4" i="12"/>
  <c r="A8" i="20"/>
  <c r="W43" i="30" l="1"/>
  <c r="Y43" i="30" s="1"/>
  <c r="U102" i="30"/>
  <c r="U76" i="30"/>
  <c r="W76" i="30" s="1"/>
  <c r="Y76" i="30" s="1"/>
  <c r="U45" i="30"/>
  <c r="W45" i="30" s="1"/>
  <c r="Y45" i="30" s="1"/>
  <c r="U111" i="30"/>
  <c r="W111" i="30" s="1"/>
  <c r="Y111" i="30" s="1"/>
  <c r="U23" i="30"/>
  <c r="W23" i="30" s="1"/>
  <c r="Y23" i="30" s="1"/>
  <c r="U67" i="30"/>
  <c r="W67" i="30" s="1"/>
  <c r="Y67" i="30" s="1"/>
  <c r="U131" i="30"/>
  <c r="W131" i="30" s="1"/>
  <c r="Y131" i="30" s="1"/>
  <c r="W42" i="30"/>
  <c r="Y42" i="30" s="1"/>
  <c r="U83" i="30"/>
  <c r="W83" i="30" s="1"/>
  <c r="Y83" i="30" s="1"/>
  <c r="U78" i="30"/>
  <c r="U112" i="30"/>
  <c r="W112" i="30" s="1"/>
  <c r="Y112" i="30" s="1"/>
  <c r="U121" i="30"/>
  <c r="W121" i="30" s="1"/>
  <c r="Y121" i="30" s="1"/>
  <c r="U103" i="30"/>
  <c r="U40" i="30"/>
  <c r="W40" i="30" s="1"/>
  <c r="Y40" i="30" s="1"/>
  <c r="W113" i="30"/>
  <c r="Y113" i="30" s="1"/>
  <c r="U29" i="30"/>
  <c r="W29" i="30" s="1"/>
  <c r="Y29" i="30" s="1"/>
  <c r="U20" i="30"/>
  <c r="W20" i="30" s="1"/>
  <c r="Y20" i="30" s="1"/>
  <c r="U16" i="30"/>
  <c r="W16" i="30" s="1"/>
  <c r="Y16" i="30" s="1"/>
  <c r="U138" i="30"/>
  <c r="U60" i="30"/>
  <c r="W60" i="30" s="1"/>
  <c r="Y60" i="30" s="1"/>
  <c r="U115" i="30"/>
  <c r="W115" i="30" s="1"/>
  <c r="Y115" i="30" s="1"/>
  <c r="U92" i="30"/>
  <c r="W92" i="30" s="1"/>
  <c r="Y92" i="30" s="1"/>
  <c r="U8" i="30"/>
  <c r="W8" i="30" s="1"/>
  <c r="Y8" i="30" s="1"/>
  <c r="U87" i="30"/>
  <c r="W87" i="30" s="1"/>
  <c r="Y87" i="30" s="1"/>
  <c r="U18" i="30"/>
  <c r="W18" i="30" s="1"/>
  <c r="Y18" i="30" s="1"/>
  <c r="U100" i="30"/>
  <c r="W100" i="30" s="1"/>
  <c r="Y100" i="30" s="1"/>
  <c r="U49" i="30"/>
  <c r="W49" i="30" s="1"/>
  <c r="Y49" i="30" s="1"/>
  <c r="U71" i="30"/>
  <c r="W71" i="30" s="1"/>
  <c r="Y71" i="30" s="1"/>
  <c r="W72" i="30"/>
  <c r="Y72" i="30" s="1"/>
  <c r="U86" i="30"/>
  <c r="W86" i="30" s="1"/>
  <c r="Y86" i="30" s="1"/>
  <c r="U37" i="30"/>
  <c r="W37" i="30" s="1"/>
  <c r="Y37" i="30" s="1"/>
  <c r="U129" i="30"/>
  <c r="U10" i="30"/>
  <c r="W10" i="30" s="1"/>
  <c r="Y10" i="30" s="1"/>
  <c r="U75" i="30"/>
  <c r="W75" i="30" s="1"/>
  <c r="Y75" i="30" s="1"/>
  <c r="W107" i="30"/>
  <c r="Y107" i="30" s="1"/>
  <c r="U9" i="30"/>
  <c r="U30" i="30"/>
  <c r="W30" i="30" s="1"/>
  <c r="Y30" i="30" s="1"/>
  <c r="W99" i="30"/>
  <c r="Y99" i="30" s="1"/>
  <c r="U6" i="31"/>
  <c r="W6" i="31" s="1"/>
  <c r="Y6" i="31" s="1"/>
  <c r="Z6" i="31" s="1"/>
  <c r="U97" i="31"/>
  <c r="W97" i="31" s="1"/>
  <c r="Y97" i="31" s="1"/>
  <c r="Z97" i="31" s="1"/>
  <c r="U68" i="31"/>
  <c r="W68" i="31" s="1"/>
  <c r="Y68" i="31" s="1"/>
  <c r="Z68" i="31" s="1"/>
  <c r="U97" i="30"/>
  <c r="W97" i="30" s="1"/>
  <c r="Y97" i="30" s="1"/>
  <c r="U68" i="30"/>
  <c r="W68" i="30" s="1"/>
  <c r="Y68" i="30" s="1"/>
  <c r="U6" i="30"/>
  <c r="W6" i="30" s="1"/>
  <c r="Y6" i="30" s="1"/>
  <c r="V138" i="31"/>
  <c r="V138" i="30"/>
  <c r="W79" i="30"/>
  <c r="Y79" i="30" s="1"/>
  <c r="U85" i="30"/>
  <c r="W85" i="30" s="1"/>
  <c r="Y85" i="30" s="1"/>
  <c r="U58" i="30"/>
  <c r="W58" i="30" s="1"/>
  <c r="Y58" i="30" s="1"/>
  <c r="U134" i="30"/>
  <c r="W134" i="30" s="1"/>
  <c r="Y134" i="30" s="1"/>
  <c r="U41" i="30"/>
  <c r="W41" i="30" s="1"/>
  <c r="Y41" i="30" s="1"/>
  <c r="U132" i="30"/>
  <c r="W132" i="30" s="1"/>
  <c r="Y132" i="30" s="1"/>
  <c r="W59" i="30"/>
  <c r="Y59" i="30" s="1"/>
  <c r="U22" i="30"/>
  <c r="W22" i="30" s="1"/>
  <c r="Y22" i="30" s="1"/>
  <c r="W65" i="30"/>
  <c r="Y65" i="30" s="1"/>
  <c r="U21" i="30"/>
  <c r="W21" i="30" s="1"/>
  <c r="Y21" i="30" s="1"/>
  <c r="U91" i="30"/>
  <c r="W91" i="30" s="1"/>
  <c r="Y91" i="30" s="1"/>
  <c r="U101" i="30"/>
  <c r="W101" i="30" s="1"/>
  <c r="Y101" i="30" s="1"/>
  <c r="U39" i="30"/>
  <c r="W39" i="30" s="1"/>
  <c r="Y39" i="30" s="1"/>
  <c r="U15" i="30"/>
  <c r="W15" i="30" s="1"/>
  <c r="Y15" i="30" s="1"/>
  <c r="U19" i="30"/>
  <c r="W19" i="30" s="1"/>
  <c r="Y19" i="30" s="1"/>
  <c r="U7" i="30"/>
  <c r="W7" i="30" s="1"/>
  <c r="Y7" i="30" s="1"/>
  <c r="U11" i="30"/>
  <c r="W57" i="30"/>
  <c r="Y57" i="30" s="1"/>
  <c r="U36" i="30"/>
  <c r="W36" i="30" s="1"/>
  <c r="Y36" i="30" s="1"/>
  <c r="U125" i="30"/>
  <c r="W125" i="30" s="1"/>
  <c r="Y125" i="30" s="1"/>
  <c r="U54" i="30"/>
  <c r="W54" i="30" s="1"/>
  <c r="Y54" i="30" s="1"/>
  <c r="U14" i="30"/>
  <c r="W14" i="30" s="1"/>
  <c r="Y14" i="30" s="1"/>
  <c r="U28" i="30"/>
  <c r="W28" i="30" s="1"/>
  <c r="Y28" i="30" s="1"/>
  <c r="W109" i="30"/>
  <c r="Y109" i="30" s="1"/>
  <c r="U50" i="30"/>
  <c r="U5" i="30"/>
  <c r="W5" i="30" s="1"/>
  <c r="Y5" i="30" s="1"/>
  <c r="U89" i="30"/>
  <c r="W89" i="30" s="1"/>
  <c r="Y89" i="30" s="1"/>
  <c r="U120" i="30"/>
  <c r="W120" i="30" s="1"/>
  <c r="Y120" i="30" s="1"/>
  <c r="U110" i="31"/>
  <c r="W110" i="31" s="1"/>
  <c r="Y110" i="31" s="1"/>
  <c r="U22" i="31"/>
  <c r="W22" i="31" s="1"/>
  <c r="Y22" i="31" s="1"/>
  <c r="U130" i="31"/>
  <c r="W130" i="31" s="1"/>
  <c r="Y130" i="31" s="1"/>
  <c r="U62" i="31"/>
  <c r="W62" i="31" s="1"/>
  <c r="Y62" i="31" s="1"/>
  <c r="U133" i="31"/>
  <c r="W133" i="31" s="1"/>
  <c r="Y133" i="31" s="1"/>
  <c r="U101" i="31"/>
  <c r="W101" i="31" s="1"/>
  <c r="Y101" i="31" s="1"/>
  <c r="U56" i="31"/>
  <c r="W56" i="31" s="1"/>
  <c r="Y56" i="31" s="1"/>
  <c r="U73" i="31"/>
  <c r="W73" i="31" s="1"/>
  <c r="Y73" i="31" s="1"/>
  <c r="U21" i="31"/>
  <c r="W21" i="31" s="1"/>
  <c r="Y21" i="31" s="1"/>
  <c r="U32" i="31"/>
  <c r="W32" i="31" s="1"/>
  <c r="Y32" i="31" s="1"/>
  <c r="U104" i="31"/>
  <c r="W104" i="31" s="1"/>
  <c r="Y104" i="31" s="1"/>
  <c r="U124" i="31"/>
  <c r="W124" i="31" s="1"/>
  <c r="Y124" i="31" s="1"/>
  <c r="U127" i="31"/>
  <c r="W127" i="31" s="1"/>
  <c r="Y127" i="31" s="1"/>
  <c r="U36" i="31"/>
  <c r="W36" i="31" s="1"/>
  <c r="Y36" i="31" s="1"/>
  <c r="U39" i="31"/>
  <c r="W39" i="31" s="1"/>
  <c r="Y39" i="31" s="1"/>
  <c r="U85" i="31"/>
  <c r="W85" i="31" s="1"/>
  <c r="Y85" i="31" s="1"/>
  <c r="U70" i="31"/>
  <c r="W70" i="31" s="1"/>
  <c r="Y70" i="31" s="1"/>
  <c r="U13" i="31"/>
  <c r="W13" i="31" s="1"/>
  <c r="Y13" i="31" s="1"/>
  <c r="U62" i="30"/>
  <c r="W62" i="30" s="1"/>
  <c r="Y62" i="30" s="1"/>
  <c r="U38" i="30"/>
  <c r="W38" i="30" s="1"/>
  <c r="Y38" i="30" s="1"/>
  <c r="U58" i="31"/>
  <c r="W58" i="31" s="1"/>
  <c r="Y58" i="31" s="1"/>
  <c r="U116" i="31"/>
  <c r="W116" i="31" s="1"/>
  <c r="Y116" i="31" s="1"/>
  <c r="U45" i="31"/>
  <c r="W45" i="31" s="1"/>
  <c r="Y45" i="31" s="1"/>
  <c r="U119" i="31"/>
  <c r="W119" i="31" s="1"/>
  <c r="Y119" i="31" s="1"/>
  <c r="U136" i="31"/>
  <c r="W136" i="31" s="1"/>
  <c r="Y136" i="31" s="1"/>
  <c r="U31" i="31"/>
  <c r="W31" i="31" s="1"/>
  <c r="Y31" i="31" s="1"/>
  <c r="U134" i="31"/>
  <c r="W134" i="31" s="1"/>
  <c r="Y134" i="31" s="1"/>
  <c r="U67" i="31"/>
  <c r="W67" i="31" s="1"/>
  <c r="Y67" i="31" s="1"/>
  <c r="U137" i="31"/>
  <c r="W137" i="31" s="1"/>
  <c r="Y137" i="31" s="1"/>
  <c r="U16" i="31"/>
  <c r="W16" i="31" s="1"/>
  <c r="Y16" i="31" s="1"/>
  <c r="U127" i="30"/>
  <c r="W127" i="30" s="1"/>
  <c r="Y127" i="30" s="1"/>
  <c r="U74" i="30"/>
  <c r="W74" i="30" s="1"/>
  <c r="Y74" i="30" s="1"/>
  <c r="U89" i="31"/>
  <c r="W89" i="31" s="1"/>
  <c r="Y89" i="31" s="1"/>
  <c r="U55" i="31"/>
  <c r="W55" i="31" s="1"/>
  <c r="Y55" i="31" s="1"/>
  <c r="U41" i="31"/>
  <c r="W41" i="31" s="1"/>
  <c r="Y41" i="31" s="1"/>
  <c r="U20" i="31"/>
  <c r="W20" i="31" s="1"/>
  <c r="Y20" i="31" s="1"/>
  <c r="U122" i="31"/>
  <c r="W122" i="31" s="1"/>
  <c r="Y122" i="31" s="1"/>
  <c r="U23" i="31"/>
  <c r="W23" i="31" s="1"/>
  <c r="Y23" i="31" s="1"/>
  <c r="U128" i="31"/>
  <c r="W128" i="31" s="1"/>
  <c r="Y128" i="31" s="1"/>
  <c r="U60" i="31"/>
  <c r="W60" i="31" s="1"/>
  <c r="Y60" i="31" s="1"/>
  <c r="U123" i="31"/>
  <c r="W123" i="31" s="1"/>
  <c r="Y123" i="31" s="1"/>
  <c r="U83" i="31"/>
  <c r="W83" i="31" s="1"/>
  <c r="Y83" i="31" s="1"/>
  <c r="U10" i="31"/>
  <c r="W10" i="31" s="1"/>
  <c r="Y10" i="31" s="1"/>
  <c r="U132" i="31"/>
  <c r="W132" i="31" s="1"/>
  <c r="Y132" i="31" s="1"/>
  <c r="U114" i="30"/>
  <c r="W114" i="30" s="1"/>
  <c r="Y114" i="30" s="1"/>
  <c r="U66" i="30"/>
  <c r="W66" i="30" s="1"/>
  <c r="Y66" i="30" s="1"/>
  <c r="U33" i="31"/>
  <c r="W33" i="31" s="1"/>
  <c r="Y33" i="31" s="1"/>
  <c r="U87" i="31"/>
  <c r="W87" i="31" s="1"/>
  <c r="Y87" i="31" s="1"/>
  <c r="U12" i="31"/>
  <c r="W12" i="31" s="1"/>
  <c r="Y12" i="31" s="1"/>
  <c r="U114" i="31"/>
  <c r="W114" i="31" s="1"/>
  <c r="Y114" i="31" s="1"/>
  <c r="U82" i="31"/>
  <c r="W82" i="31" s="1"/>
  <c r="Y82" i="31" s="1"/>
  <c r="U15" i="31"/>
  <c r="W15" i="31" s="1"/>
  <c r="Y15" i="31" s="1"/>
  <c r="U120" i="31"/>
  <c r="W120" i="31" s="1"/>
  <c r="Y120" i="31" s="1"/>
  <c r="U115" i="31"/>
  <c r="W115" i="31" s="1"/>
  <c r="Y115" i="31" s="1"/>
  <c r="U76" i="31"/>
  <c r="W76" i="31" s="1"/>
  <c r="Y76" i="31" s="1"/>
  <c r="U126" i="31"/>
  <c r="W126" i="31" s="1"/>
  <c r="Y126" i="31" s="1"/>
  <c r="U35" i="31"/>
  <c r="W35" i="31" s="1"/>
  <c r="Y35" i="31" s="1"/>
  <c r="U119" i="30"/>
  <c r="W119" i="30" s="1"/>
  <c r="Y119" i="30" s="1"/>
  <c r="U70" i="30"/>
  <c r="W70" i="30" s="1"/>
  <c r="Y70" i="30" s="1"/>
  <c r="U110" i="30"/>
  <c r="W110" i="30" s="1"/>
  <c r="Y110" i="30" s="1"/>
  <c r="U135" i="31"/>
  <c r="W135" i="31" s="1"/>
  <c r="Y135" i="31" s="1"/>
  <c r="U74" i="31"/>
  <c r="W74" i="31" s="1"/>
  <c r="Y74" i="31" s="1"/>
  <c r="U25" i="31"/>
  <c r="W25" i="31" s="1"/>
  <c r="Y25" i="31" s="1"/>
  <c r="U8" i="31"/>
  <c r="W8" i="31" s="1"/>
  <c r="Y8" i="31" s="1"/>
  <c r="U111" i="31"/>
  <c r="W111" i="31" s="1"/>
  <c r="Y111" i="31" s="1"/>
  <c r="U131" i="31"/>
  <c r="W131" i="31" s="1"/>
  <c r="Y131" i="31" s="1"/>
  <c r="U49" i="31"/>
  <c r="W49" i="31" s="1"/>
  <c r="Y49" i="31" s="1"/>
  <c r="U112" i="31"/>
  <c r="W112" i="31" s="1"/>
  <c r="Y112" i="31" s="1"/>
  <c r="U118" i="31"/>
  <c r="W118" i="31" s="1"/>
  <c r="Y118" i="31" s="1"/>
  <c r="U27" i="31"/>
  <c r="W27" i="31" s="1"/>
  <c r="Y27" i="31" s="1"/>
  <c r="U136" i="30"/>
  <c r="W136" i="30" s="1"/>
  <c r="Y136" i="30" s="1"/>
  <c r="U71" i="31"/>
  <c r="W71" i="31" s="1"/>
  <c r="Y71" i="31" s="1"/>
  <c r="U38" i="31"/>
  <c r="W38" i="31" s="1"/>
  <c r="Y38" i="31" s="1"/>
  <c r="U84" i="31"/>
  <c r="W84" i="31" s="1"/>
  <c r="Y84" i="31" s="1"/>
  <c r="U17" i="31"/>
  <c r="W17" i="31" s="1"/>
  <c r="Y17" i="31" s="1"/>
  <c r="U66" i="31"/>
  <c r="W66" i="31" s="1"/>
  <c r="Y66" i="31" s="1"/>
  <c r="U5" i="31"/>
  <c r="W5" i="31" s="1"/>
  <c r="Y5" i="31" s="1"/>
  <c r="U108" i="31"/>
  <c r="W108" i="31" s="1"/>
  <c r="Y108" i="31" s="1"/>
  <c r="U125" i="31"/>
  <c r="W125" i="31" s="1"/>
  <c r="Y125" i="31" s="1"/>
  <c r="U88" i="31"/>
  <c r="W88" i="31" s="1"/>
  <c r="Y88" i="31" s="1"/>
  <c r="U37" i="31"/>
  <c r="W37" i="31" s="1"/>
  <c r="Y37" i="31" s="1"/>
  <c r="U19" i="31"/>
  <c r="W19" i="31" s="1"/>
  <c r="Y19" i="31" s="1"/>
  <c r="U96" i="30"/>
  <c r="W96" i="30" s="1"/>
  <c r="Y96" i="30" s="1"/>
  <c r="U82" i="30"/>
  <c r="W82" i="30" s="1"/>
  <c r="Y82" i="30" s="1"/>
  <c r="U46" i="30"/>
  <c r="W46" i="30" s="1"/>
  <c r="Y46" i="30" s="1"/>
  <c r="U121" i="31"/>
  <c r="W121" i="31" s="1"/>
  <c r="Y121" i="31" s="1"/>
  <c r="U30" i="31"/>
  <c r="W30" i="31" s="1"/>
  <c r="Y30" i="31" s="1"/>
  <c r="U138" i="31"/>
  <c r="U77" i="31"/>
  <c r="W77" i="31" s="1"/>
  <c r="Y77" i="31" s="1"/>
  <c r="U105" i="31"/>
  <c r="W105" i="31" s="1"/>
  <c r="Y105" i="31" s="1"/>
  <c r="U34" i="31"/>
  <c r="W34" i="31" s="1"/>
  <c r="Y34" i="31" s="1"/>
  <c r="U29" i="31"/>
  <c r="W29" i="31" s="1"/>
  <c r="Y29" i="31" s="1"/>
  <c r="U106" i="31"/>
  <c r="W106" i="31" s="1"/>
  <c r="Y106" i="31" s="1"/>
  <c r="U7" i="31"/>
  <c r="W7" i="31" s="1"/>
  <c r="Y7" i="31" s="1"/>
  <c r="U4" i="30"/>
  <c r="A9" i="20"/>
  <c r="W138" i="30" l="1"/>
  <c r="Y138" i="30" s="1"/>
  <c r="W138" i="31"/>
  <c r="Y138" i="31" s="1"/>
  <c r="A10" i="20"/>
  <c r="A11" i="20" l="1"/>
  <c r="A12" i="20" l="1"/>
  <c r="A13" i="20" l="1"/>
  <c r="A14" i="20" l="1"/>
  <c r="A15" i="20" l="1"/>
  <c r="A16" i="20" l="1"/>
  <c r="A17" i="20" l="1"/>
  <c r="A18" i="20" l="1"/>
  <c r="A19" i="20" l="1"/>
  <c r="A20" i="20" l="1"/>
  <c r="A21" i="20" l="1"/>
  <c r="A22" i="20" l="1"/>
  <c r="A23" i="20" l="1"/>
  <c r="A24" i="20" l="1"/>
  <c r="A25" i="20" l="1"/>
  <c r="A26" i="20" l="1"/>
  <c r="A27" i="20" l="1"/>
  <c r="A28" i="20" l="1"/>
  <c r="A29" i="20" l="1"/>
  <c r="A30" i="20" l="1"/>
  <c r="A31" i="20" l="1"/>
  <c r="A32" i="20" l="1"/>
  <c r="A33" i="20" l="1"/>
  <c r="A34" i="20" l="1"/>
  <c r="A35" i="20" l="1"/>
  <c r="A36" i="20" l="1"/>
  <c r="A37" i="20" l="1"/>
  <c r="A38" i="20" l="1"/>
  <c r="A39" i="20" l="1"/>
  <c r="A40" i="20" l="1"/>
  <c r="A41" i="20" l="1"/>
  <c r="A42" i="20" l="1"/>
  <c r="A43" i="20" l="1"/>
  <c r="A44" i="20" l="1"/>
  <c r="A45" i="20" l="1"/>
  <c r="A46" i="20" l="1"/>
  <c r="A47" i="20" l="1"/>
  <c r="A48" i="20" l="1"/>
  <c r="A49" i="20" l="1"/>
  <c r="A50" i="20" l="1"/>
  <c r="A51" i="20" l="1"/>
  <c r="A52" i="20" l="1"/>
  <c r="A53" i="20" l="1"/>
  <c r="A54" i="20" l="1"/>
  <c r="A55" i="20" l="1"/>
  <c r="A56" i="20" l="1"/>
  <c r="A57" i="20" l="1"/>
  <c r="A58" i="20" l="1"/>
  <c r="A59" i="20" l="1"/>
  <c r="A60" i="20" l="1"/>
  <c r="A61" i="20" l="1"/>
  <c r="A62" i="20" l="1"/>
  <c r="A63" i="20" l="1"/>
  <c r="A64" i="20" l="1"/>
  <c r="A65" i="20" l="1"/>
  <c r="A66" i="20" l="1"/>
  <c r="A67" i="20" l="1"/>
  <c r="A68" i="20" l="1"/>
  <c r="A69" i="20" l="1"/>
  <c r="A70" i="20" l="1"/>
  <c r="A71" i="20" l="1"/>
  <c r="A72" i="20" l="1"/>
  <c r="A73" i="20" l="1"/>
  <c r="A74" i="20" l="1"/>
  <c r="A75" i="20" l="1"/>
  <c r="A76" i="20" l="1"/>
  <c r="A77" i="20" l="1"/>
  <c r="A78" i="20" l="1"/>
  <c r="A79" i="20" l="1"/>
  <c r="A80" i="20" l="1"/>
  <c r="A81" i="20" l="1"/>
  <c r="A82" i="20" l="1"/>
  <c r="A83" i="20" l="1"/>
  <c r="A84" i="20" l="1"/>
  <c r="A85" i="20" l="1"/>
  <c r="A86" i="20" l="1"/>
  <c r="A87" i="20" l="1"/>
  <c r="A88" i="20" l="1"/>
  <c r="A89" i="20" l="1"/>
  <c r="A90" i="20" l="1"/>
  <c r="A91" i="20" l="1"/>
  <c r="A92" i="20" l="1"/>
  <c r="A93" i="20" l="1"/>
  <c r="A94" i="20" l="1"/>
  <c r="A95" i="20" l="1"/>
  <c r="A96" i="20" l="1"/>
  <c r="A97" i="20" l="1"/>
  <c r="A98" i="20" l="1"/>
  <c r="A99" i="20" l="1"/>
  <c r="A100" i="20" l="1"/>
  <c r="A101" i="20" l="1"/>
  <c r="A102" i="20" l="1"/>
  <c r="A103" i="20" l="1"/>
  <c r="A104" i="20" l="1"/>
  <c r="A105" i="20" l="1"/>
  <c r="A106" i="20" l="1"/>
  <c r="A107" i="20" l="1"/>
  <c r="A108" i="20" l="1"/>
  <c r="A109" i="20" l="1"/>
  <c r="A110" i="20" l="1"/>
  <c r="A111" i="20" l="1"/>
  <c r="A112" i="20" l="1"/>
  <c r="A113" i="20" l="1"/>
  <c r="A114" i="20" l="1"/>
  <c r="A115" i="20" l="1"/>
  <c r="A116" i="20" l="1"/>
  <c r="A117" i="20" l="1"/>
  <c r="A118" i="20" l="1"/>
  <c r="A119" i="20" l="1"/>
  <c r="A120" i="20" l="1"/>
  <c r="A121" i="20" l="1"/>
  <c r="A122" i="20" l="1"/>
  <c r="C7" i="16" l="1"/>
  <c r="BP137" i="27" l="1"/>
  <c r="BP30" i="27" l="1"/>
  <c r="BP44" i="27"/>
  <c r="BP108" i="27"/>
  <c r="BP53" i="27"/>
  <c r="BP133" i="27"/>
  <c r="BP32" i="27"/>
  <c r="BP122" i="27"/>
  <c r="BP42" i="27"/>
  <c r="BP110" i="27"/>
  <c r="BP113" i="27"/>
  <c r="BP34" i="27"/>
  <c r="BP56" i="27"/>
  <c r="BP83" i="27"/>
  <c r="BP20" i="27"/>
  <c r="BP94" i="27"/>
  <c r="BP111" i="27"/>
  <c r="BP79" i="27"/>
  <c r="BP68" i="27"/>
  <c r="BP48" i="27"/>
  <c r="BP40" i="27"/>
  <c r="BP119" i="27"/>
  <c r="BP62" i="27"/>
  <c r="BP102" i="27"/>
  <c r="BP51" i="27"/>
  <c r="BP129" i="27"/>
  <c r="BP57" i="27"/>
  <c r="BP125" i="27"/>
  <c r="BP36" i="27"/>
  <c r="BP116" i="27"/>
  <c r="BP118" i="27"/>
  <c r="BP135" i="27"/>
  <c r="BP17" i="27"/>
  <c r="BP60" i="27"/>
  <c r="BP39" i="27"/>
  <c r="BP123" i="27"/>
  <c r="BP100" i="27"/>
  <c r="BP106" i="27"/>
  <c r="BP136" i="27"/>
  <c r="BP80" i="27"/>
  <c r="BP64" i="27"/>
  <c r="BP37" i="27"/>
  <c r="BP65" i="27" l="1"/>
  <c r="BP128" i="27"/>
  <c r="BP7" i="27"/>
  <c r="BP16" i="27"/>
  <c r="BP41" i="27"/>
  <c r="BP15" i="27"/>
  <c r="BP69" i="27"/>
  <c r="BP25" i="27"/>
  <c r="BP26" i="27"/>
  <c r="BP73" i="27"/>
  <c r="BP31" i="27"/>
  <c r="BP35" i="27"/>
  <c r="BP112" i="27"/>
  <c r="BP134" i="27"/>
  <c r="BP101" i="27"/>
  <c r="BP74" i="27"/>
  <c r="BP138" i="27"/>
  <c r="AD59" i="27" l="1" a="1"/>
  <c r="AD59" i="27" s="1"/>
  <c r="AE96" i="27" a="1"/>
  <c r="AE96" i="27" s="1"/>
  <c r="O96" i="27" a="1"/>
  <c r="O96" i="27" s="1"/>
  <c r="AH96" i="27" a="1"/>
  <c r="AH96" i="27" s="1"/>
  <c r="X96" i="27" a="1"/>
  <c r="X96" i="27" s="1"/>
  <c r="AE59" i="27" a="1"/>
  <c r="AE59" i="27" s="1"/>
  <c r="AF96" i="27" a="1"/>
  <c r="AF96" i="27" s="1"/>
  <c r="Y96" i="27" a="1"/>
  <c r="Y96" i="27" s="1"/>
  <c r="AC96" i="27" a="1"/>
  <c r="AC96" i="27" s="1"/>
  <c r="O59" i="27" a="1"/>
  <c r="O59" i="27" s="1"/>
  <c r="M96" i="27" a="1"/>
  <c r="M96" i="27" s="1"/>
  <c r="AD96" i="27" a="1"/>
  <c r="AD96" i="27" s="1"/>
  <c r="V96" i="27" a="1"/>
  <c r="V96" i="27" s="1"/>
  <c r="L96" i="27" a="1"/>
  <c r="L96" i="27" s="1"/>
  <c r="S59" i="27" a="1"/>
  <c r="S59" i="27" s="1"/>
  <c r="R96" i="27" a="1"/>
  <c r="R96" i="27" s="1"/>
  <c r="Z96" i="27" a="1"/>
  <c r="Z96" i="27" s="1"/>
  <c r="P96" i="27" a="1"/>
  <c r="P96" i="27" s="1"/>
  <c r="AH59" i="27" a="1"/>
  <c r="AH59" i="27" s="1"/>
  <c r="AI96" i="27" a="1"/>
  <c r="AI96" i="27" s="1"/>
  <c r="L59" i="27" a="1"/>
  <c r="L59" i="27" s="1"/>
  <c r="R59" i="27" a="1"/>
  <c r="R59" i="27" s="1"/>
  <c r="S96" i="27" a="1"/>
  <c r="S96" i="27" s="1"/>
  <c r="V59" i="27" a="1"/>
  <c r="V59" i="27" s="1"/>
  <c r="W96" i="27" a="1"/>
  <c r="W96" i="27" s="1"/>
  <c r="M59" i="27" a="1"/>
  <c r="M59" i="27" s="1"/>
  <c r="AB96" i="27" a="1"/>
  <c r="AB96" i="27" s="1"/>
  <c r="N96" i="27" a="1"/>
  <c r="N96" i="27" s="1"/>
  <c r="T96" i="27" a="1"/>
  <c r="T96" i="27" s="1"/>
  <c r="AF59" i="27" a="1"/>
  <c r="AF59" i="27" s="1"/>
  <c r="AG96" i="27" a="1"/>
  <c r="AG96" i="27" s="1"/>
  <c r="Q59" i="27" a="1"/>
  <c r="Q59" i="27" s="1"/>
  <c r="P59" i="27" a="1"/>
  <c r="P59" i="27" s="1"/>
  <c r="Q96" i="27" a="1"/>
  <c r="Q96" i="27" s="1"/>
  <c r="T59" i="27" a="1"/>
  <c r="T59" i="27" s="1"/>
  <c r="U96" i="27" a="1"/>
  <c r="U96" i="27" s="1"/>
  <c r="Z59" i="27" a="1"/>
  <c r="Z59" i="27" s="1"/>
  <c r="AA96" i="27" a="1"/>
  <c r="AA96" i="27" s="1"/>
  <c r="T135" i="27" a="1"/>
  <c r="T135" i="27" s="1"/>
  <c r="F94" i="12" l="1"/>
  <c r="L94" i="12" s="1"/>
  <c r="N94" i="12" s="1"/>
  <c r="M94" i="12"/>
  <c r="F94" i="30"/>
  <c r="L94" i="30" s="1"/>
  <c r="N94" i="30" s="1"/>
  <c r="Z94" i="30" s="1"/>
  <c r="M94" i="30"/>
  <c r="R101" i="27" a="1"/>
  <c r="R101" i="27" s="1"/>
  <c r="Y81" i="27" a="1"/>
  <c r="Y81" i="27" s="1"/>
  <c r="X74" i="27" a="1"/>
  <c r="X74" i="27" s="1"/>
  <c r="O101" i="27" a="1"/>
  <c r="O101" i="27" s="1"/>
  <c r="S101" i="27" a="1"/>
  <c r="S101" i="27" s="1"/>
  <c r="AC74" i="27" a="1"/>
  <c r="AC74" i="27" s="1"/>
  <c r="AF101" i="27" a="1"/>
  <c r="AF101" i="27" s="1"/>
  <c r="AA74" i="27" a="1"/>
  <c r="AA74" i="27" s="1"/>
  <c r="AB101" i="27" a="1"/>
  <c r="AB101" i="27" s="1"/>
  <c r="AF81" i="27" a="1"/>
  <c r="AF81" i="27" s="1"/>
  <c r="Y74" i="27" a="1"/>
  <c r="Y74" i="27" s="1"/>
  <c r="Z101" i="27" a="1"/>
  <c r="Z101" i="27" s="1"/>
  <c r="V74" i="27" a="1"/>
  <c r="V74" i="27" s="1"/>
  <c r="AG101" i="27" a="1"/>
  <c r="AG101" i="27" s="1"/>
  <c r="Z81" i="27" a="1"/>
  <c r="Z81" i="27" s="1"/>
  <c r="Z74" i="27" a="1"/>
  <c r="Z74" i="27" s="1"/>
  <c r="L44" i="27" a="1"/>
  <c r="L44" i="27" s="1"/>
  <c r="M101" i="27" a="1"/>
  <c r="M101" i="27" s="1"/>
  <c r="AD74" i="27" a="1"/>
  <c r="AD74" i="27" s="1"/>
  <c r="P44" i="27" a="1"/>
  <c r="P44" i="27" s="1"/>
  <c r="Q101" i="27" a="1"/>
  <c r="Q101" i="27" s="1"/>
  <c r="W74" i="27" a="1"/>
  <c r="W74" i="27" s="1"/>
  <c r="L101" i="27" a="1"/>
  <c r="L101" i="27" s="1"/>
  <c r="V67" i="27" a="1"/>
  <c r="V67" i="27" s="1"/>
  <c r="N99" i="27" a="1"/>
  <c r="N99" i="27" s="1"/>
  <c r="M99" i="27" a="1"/>
  <c r="M99" i="27" s="1"/>
  <c r="AA111" i="27" a="1"/>
  <c r="AA111" i="27" s="1"/>
  <c r="T81" i="27" a="1"/>
  <c r="T81" i="27" s="1"/>
  <c r="AD115" i="27" a="1"/>
  <c r="AD115" i="27" s="1"/>
  <c r="V99" i="27" a="1"/>
  <c r="V99" i="27" s="1"/>
  <c r="AB135" i="27" a="1"/>
  <c r="AB135" i="27" s="1"/>
  <c r="W135" i="27" a="1"/>
  <c r="W135" i="27" s="1"/>
  <c r="M135" i="27" a="1"/>
  <c r="M135" i="27" s="1"/>
  <c r="Z135" i="27" a="1"/>
  <c r="Z135" i="27" s="1"/>
  <c r="U135" i="27" a="1"/>
  <c r="U135" i="27" s="1"/>
  <c r="AI135" i="27" a="1"/>
  <c r="AI135" i="27" s="1"/>
  <c r="AA135" i="27" a="1"/>
  <c r="AA135" i="27" s="1"/>
  <c r="Y135" i="27" a="1"/>
  <c r="Y135" i="27" s="1"/>
  <c r="AA67" i="27" a="1"/>
  <c r="AA67" i="27" s="1"/>
  <c r="T54" i="27" a="1"/>
  <c r="T54" i="27" s="1"/>
  <c r="AF54" i="27" a="1"/>
  <c r="AF54" i="27" s="1"/>
  <c r="AH67" i="27" a="1"/>
  <c r="AH67" i="27" s="1"/>
  <c r="AG115" i="27" a="1"/>
  <c r="AG115" i="27" s="1"/>
  <c r="U59" i="27" a="1"/>
  <c r="U59" i="27" s="1"/>
  <c r="Y45" i="27" a="1"/>
  <c r="Y45" i="27" s="1"/>
  <c r="AI70" i="27" a="1"/>
  <c r="AI70" i="27" s="1"/>
  <c r="W111" i="27" a="1"/>
  <c r="W111" i="27" s="1"/>
  <c r="W99" i="27" a="1"/>
  <c r="W99" i="27" s="1"/>
  <c r="AI111" i="27" a="1"/>
  <c r="AI111" i="27" s="1"/>
  <c r="Z45" i="27" a="1"/>
  <c r="Z45" i="27" s="1"/>
  <c r="AF45" i="27" a="1"/>
  <c r="AF45" i="27" s="1"/>
  <c r="AA54" i="27" a="1"/>
  <c r="AA54" i="27" s="1"/>
  <c r="AE45" i="27" a="1"/>
  <c r="AE45" i="27" s="1"/>
  <c r="M70" i="27" a="1"/>
  <c r="M70" i="27" s="1"/>
  <c r="BJ96" i="27"/>
  <c r="BL96" i="27" s="1"/>
  <c r="BP96" i="27" s="1"/>
  <c r="X111" i="27" a="1"/>
  <c r="X111" i="27" s="1"/>
  <c r="Q45" i="27" a="1"/>
  <c r="Q45" i="27" s="1"/>
  <c r="AG59" i="27" a="1"/>
  <c r="AG59" i="27" s="1"/>
  <c r="M111" i="27" a="1"/>
  <c r="M111" i="27" s="1"/>
  <c r="M54" i="27" a="1"/>
  <c r="M54" i="27" s="1"/>
  <c r="AI67" i="27" a="1"/>
  <c r="AI67" i="27" s="1"/>
  <c r="N70" i="27" a="1"/>
  <c r="N70" i="27" s="1"/>
  <c r="AC115" i="27" a="1"/>
  <c r="AC115" i="27" s="1"/>
  <c r="AA115" i="27" a="1"/>
  <c r="AA115" i="27" s="1"/>
  <c r="W45" i="27" a="1"/>
  <c r="W45" i="27" s="1"/>
  <c r="AG70" i="27" a="1"/>
  <c r="AG70" i="27" s="1"/>
  <c r="AF99" i="27" a="1"/>
  <c r="AF99" i="27" s="1"/>
  <c r="W54" i="27" a="1"/>
  <c r="W54" i="27" s="1"/>
  <c r="Z115" i="27" a="1"/>
  <c r="Z115" i="27" s="1"/>
  <c r="AI54" i="27" a="1"/>
  <c r="AI54" i="27" s="1"/>
  <c r="AF115" i="27" a="1"/>
  <c r="AF115" i="27" s="1"/>
  <c r="N59" i="27" a="1"/>
  <c r="N59" i="27" s="1"/>
  <c r="AE111" i="27" a="1"/>
  <c r="AE111" i="27" s="1"/>
  <c r="AB70" i="27" a="1"/>
  <c r="AB70" i="27" s="1"/>
  <c r="AE99" i="27" a="1"/>
  <c r="AE99" i="27" s="1"/>
  <c r="L74" i="27" a="1"/>
  <c r="L74" i="27" s="1"/>
  <c r="O70" i="27" a="1"/>
  <c r="O70" i="27" s="1"/>
  <c r="N101" i="27" a="1"/>
  <c r="N101" i="27" s="1"/>
  <c r="AG74" i="27" a="1"/>
  <c r="AG74" i="27" s="1"/>
  <c r="AE44" i="27" a="1"/>
  <c r="AE44" i="27" s="1"/>
  <c r="AH101" i="27" a="1"/>
  <c r="AH101" i="27" s="1"/>
  <c r="P101" i="27" a="1"/>
  <c r="P101" i="27" s="1"/>
  <c r="Q70" i="27" a="1"/>
  <c r="Q70" i="27" s="1"/>
  <c r="X101" i="27" a="1"/>
  <c r="X101" i="27" s="1"/>
  <c r="AF74" i="27" a="1"/>
  <c r="AF74" i="27" s="1"/>
  <c r="AD61" i="27" a="1"/>
  <c r="AD61" i="27" s="1"/>
  <c r="W101" i="27" a="1"/>
  <c r="W101" i="27" s="1"/>
  <c r="AD135" i="27" a="1"/>
  <c r="AD135" i="27" s="1"/>
  <c r="R135" i="27" a="1"/>
  <c r="R135" i="27" s="1"/>
  <c r="X135" i="27" a="1"/>
  <c r="X135" i="27" s="1"/>
  <c r="T70" i="27" a="1"/>
  <c r="T70" i="27" s="1"/>
  <c r="R45" i="27" a="1"/>
  <c r="R45" i="27" s="1"/>
  <c r="AA101" i="27" a="1"/>
  <c r="AA101" i="27" s="1"/>
  <c r="AD81" i="27" a="1"/>
  <c r="AD81" i="27" s="1"/>
  <c r="O74" i="27" a="1"/>
  <c r="O74" i="27" s="1"/>
  <c r="M74" i="27" a="1"/>
  <c r="M74" i="27" s="1"/>
  <c r="AE61" i="27" a="1"/>
  <c r="AE61" i="27" s="1"/>
  <c r="AC81" i="27" a="1"/>
  <c r="AC81" i="27" s="1"/>
  <c r="U74" i="27" a="1"/>
  <c r="U74" i="27" s="1"/>
  <c r="S61" i="27" a="1"/>
  <c r="S61" i="27" s="1"/>
  <c r="AI45" i="27" a="1"/>
  <c r="AI45" i="27" s="1"/>
  <c r="N45" i="27" a="1"/>
  <c r="N45" i="27" s="1"/>
  <c r="P115" i="27" a="1"/>
  <c r="P115" i="27" s="1"/>
  <c r="AI99" i="27" a="1"/>
  <c r="AI99" i="27" s="1"/>
  <c r="L67" i="27" a="1"/>
  <c r="L67" i="27" s="1"/>
  <c r="AD67" i="27" a="1"/>
  <c r="AD67" i="27" s="1"/>
  <c r="P67" i="27" a="1"/>
  <c r="P67" i="27" s="1"/>
  <c r="Q81" i="27" a="1"/>
  <c r="Q81" i="27" s="1"/>
  <c r="N74" i="27" a="1"/>
  <c r="N74" i="27" s="1"/>
  <c r="AB54" i="27" a="1"/>
  <c r="AB54" i="27" s="1"/>
  <c r="AF61" i="27" a="1"/>
  <c r="AF61" i="27" s="1"/>
  <c r="X44" i="27" a="1"/>
  <c r="X44" i="27" s="1"/>
  <c r="P45" i="27" a="1"/>
  <c r="P45" i="27" s="1"/>
  <c r="Y101" i="27" a="1"/>
  <c r="Y101" i="27" s="1"/>
  <c r="M81" i="27" a="1"/>
  <c r="M81" i="27" s="1"/>
  <c r="X70" i="27" a="1"/>
  <c r="X70" i="27" s="1"/>
  <c r="P74" i="27" a="1"/>
  <c r="P74" i="27" s="1"/>
  <c r="N61" i="27" a="1"/>
  <c r="N61" i="27" s="1"/>
  <c r="AD44" i="27" a="1"/>
  <c r="AD44" i="27" s="1"/>
  <c r="V45" i="27" a="1"/>
  <c r="V45" i="27" s="1"/>
  <c r="AE101" i="27" a="1"/>
  <c r="AE101" i="27" s="1"/>
  <c r="AE74" i="27" a="1"/>
  <c r="AE74" i="27" s="1"/>
  <c r="Y54" i="27" a="1"/>
  <c r="Y54" i="27" s="1"/>
  <c r="AG61" i="27" a="1"/>
  <c r="AG61" i="27" s="1"/>
  <c r="AD101" i="27" a="1"/>
  <c r="AD101" i="27" s="1"/>
  <c r="AG81" i="27" a="1"/>
  <c r="AG81" i="27" s="1"/>
  <c r="AI74" i="27" a="1"/>
  <c r="AI74" i="27" s="1"/>
  <c r="U45" i="27" a="1"/>
  <c r="U45" i="27" s="1"/>
  <c r="T101" i="27" a="1"/>
  <c r="T101" i="27" s="1"/>
  <c r="AE81" i="27" a="1"/>
  <c r="AE81" i="27" s="1"/>
  <c r="S70" i="27" a="1"/>
  <c r="S70" i="27" s="1"/>
  <c r="S74" i="27" a="1"/>
  <c r="S74" i="27" s="1"/>
  <c r="AC44" i="27" a="1"/>
  <c r="AC44" i="27" s="1"/>
  <c r="V101" i="27" a="1"/>
  <c r="V101" i="27" s="1"/>
  <c r="R70" i="27" a="1"/>
  <c r="R70" i="27" s="1"/>
  <c r="AH74" i="27" a="1"/>
  <c r="AH74" i="27" s="1"/>
  <c r="X54" i="27" a="1"/>
  <c r="X54" i="27" s="1"/>
  <c r="AB61" i="27" a="1"/>
  <c r="AB61" i="27" s="1"/>
  <c r="T44" i="27" a="1"/>
  <c r="T44" i="27" s="1"/>
  <c r="U101" i="27" a="1"/>
  <c r="U101" i="27" s="1"/>
  <c r="O111" i="27" a="1"/>
  <c r="O111" i="27" s="1"/>
  <c r="AH111" i="27" a="1"/>
  <c r="AH111" i="27" s="1"/>
  <c r="L111" i="27" a="1"/>
  <c r="L111" i="27" s="1"/>
  <c r="T111" i="27" a="1"/>
  <c r="T111" i="27" s="1"/>
  <c r="Z67" i="27" a="1"/>
  <c r="Z67" i="27" s="1"/>
  <c r="N67" i="27" a="1"/>
  <c r="N67" i="27" s="1"/>
  <c r="R99" i="27" a="1"/>
  <c r="R99" i="27" s="1"/>
  <c r="S115" i="27" a="1"/>
  <c r="S115" i="27" s="1"/>
  <c r="AH115" i="27" a="1"/>
  <c r="AH115" i="27" s="1"/>
  <c r="AE67" i="27" a="1"/>
  <c r="AE67" i="27" s="1"/>
  <c r="T99" i="27" a="1"/>
  <c r="T99" i="27" s="1"/>
  <c r="AA99" i="27" a="1"/>
  <c r="AA99" i="27" s="1"/>
  <c r="U115" i="27" a="1"/>
  <c r="U115" i="27" s="1"/>
  <c r="O115" i="27" a="1"/>
  <c r="O115" i="27" s="1"/>
  <c r="P111" i="27" a="1"/>
  <c r="P111" i="27" s="1"/>
  <c r="Q111" i="27" a="1"/>
  <c r="Q111" i="27" s="1"/>
  <c r="R67" i="27" a="1"/>
  <c r="R67" i="27" s="1"/>
  <c r="Y67" i="27" a="1"/>
  <c r="Y67" i="27" s="1"/>
  <c r="U67" i="27" a="1"/>
  <c r="U67" i="27" s="1"/>
  <c r="AC67" i="27" a="1"/>
  <c r="AC67" i="27" s="1"/>
  <c r="P99" i="27" a="1"/>
  <c r="P99" i="27" s="1"/>
  <c r="AB99" i="27" a="1"/>
  <c r="AB99" i="27" s="1"/>
  <c r="L115" i="27" a="1"/>
  <c r="L115" i="27" s="1"/>
  <c r="V115" i="27" a="1"/>
  <c r="V115" i="27" s="1"/>
  <c r="N111" i="27" a="1"/>
  <c r="N111" i="27" s="1"/>
  <c r="AF135" i="27" a="1"/>
  <c r="AF135" i="27" s="1"/>
  <c r="AC135" i="27" a="1"/>
  <c r="AC135" i="27" s="1"/>
  <c r="O135" i="27" a="1"/>
  <c r="O135" i="27" s="1"/>
  <c r="V135" i="27" a="1"/>
  <c r="V135" i="27" s="1"/>
  <c r="P135" i="27" a="1"/>
  <c r="P135" i="27" s="1"/>
  <c r="AD45" i="27" a="1"/>
  <c r="AD45" i="27" s="1"/>
  <c r="Z54" i="27" a="1"/>
  <c r="Z54" i="27" s="1"/>
  <c r="X67" i="27" a="1"/>
  <c r="X67" i="27" s="1"/>
  <c r="L54" i="27" a="1"/>
  <c r="L54" i="27" s="1"/>
  <c r="U111" i="27" a="1"/>
  <c r="U111" i="27" s="1"/>
  <c r="O45" i="27" a="1"/>
  <c r="O45" i="27" s="1"/>
  <c r="V70" i="27" a="1"/>
  <c r="V70" i="27" s="1"/>
  <c r="U99" i="27" a="1"/>
  <c r="U99" i="27" s="1"/>
  <c r="P54" i="27" a="1"/>
  <c r="P54" i="27" s="1"/>
  <c r="Q115" i="27" a="1"/>
  <c r="Q115" i="27" s="1"/>
  <c r="M115" i="27" a="1"/>
  <c r="M115" i="27" s="1"/>
  <c r="AB45" i="27" a="1"/>
  <c r="AB45" i="27" s="1"/>
  <c r="AH70" i="27" a="1"/>
  <c r="AH70" i="27" s="1"/>
  <c r="AG99" i="27" a="1"/>
  <c r="AG99" i="27" s="1"/>
  <c r="N54" i="27" a="1"/>
  <c r="N54" i="27" s="1"/>
  <c r="AA70" i="27" a="1"/>
  <c r="AA70" i="27" s="1"/>
  <c r="AC54" i="27" a="1"/>
  <c r="AC54" i="27" s="1"/>
  <c r="W67" i="27" a="1"/>
  <c r="W67" i="27" s="1"/>
  <c r="T115" i="27" a="1"/>
  <c r="T115" i="27" s="1"/>
  <c r="U54" i="27" a="1"/>
  <c r="U54" i="27" s="1"/>
  <c r="S67" i="27" a="1"/>
  <c r="S67" i="27" s="1"/>
  <c r="AB115" i="27" a="1"/>
  <c r="AB115" i="27" s="1"/>
  <c r="V54" i="27" a="1"/>
  <c r="V54" i="27" s="1"/>
  <c r="T67" i="27" a="1"/>
  <c r="T67" i="27" s="1"/>
  <c r="W115" i="27" a="1"/>
  <c r="W115" i="27" s="1"/>
  <c r="S111" i="27" a="1"/>
  <c r="S111" i="27" s="1"/>
  <c r="L45" i="27" a="1"/>
  <c r="L45" i="27" s="1"/>
  <c r="P70" i="27" a="1"/>
  <c r="P70" i="27" s="1"/>
  <c r="S99" i="27" a="1"/>
  <c r="S99" i="27" s="1"/>
  <c r="O99" i="27" a="1"/>
  <c r="O99" i="27" s="1"/>
  <c r="AH54" i="27" a="1"/>
  <c r="AH54" i="27" s="1"/>
  <c r="AF67" i="27" a="1"/>
  <c r="AF67" i="27" s="1"/>
  <c r="AI115" i="27" a="1"/>
  <c r="AI115" i="27" s="1"/>
  <c r="V111" i="27" a="1"/>
  <c r="V111" i="27" s="1"/>
  <c r="S45" i="27" a="1"/>
  <c r="S45" i="27" s="1"/>
  <c r="U70" i="27" a="1"/>
  <c r="U70" i="27" s="1"/>
  <c r="AA59" i="27" a="1"/>
  <c r="AA59" i="27" s="1"/>
  <c r="Z99" i="27" a="1"/>
  <c r="Z99" i="27" s="1"/>
  <c r="R111" i="27" a="1"/>
  <c r="R111" i="27" s="1"/>
  <c r="S54" i="27" a="1"/>
  <c r="S54" i="27" s="1"/>
  <c r="M67" i="27" a="1"/>
  <c r="M67" i="27" s="1"/>
  <c r="Y115" i="27" a="1"/>
  <c r="Y115" i="27" s="1"/>
  <c r="AG45" i="27" a="1"/>
  <c r="AG45" i="27" s="1"/>
  <c r="AE70" i="27" a="1"/>
  <c r="AE70" i="27" s="1"/>
  <c r="Y59" i="27" a="1"/>
  <c r="Y59" i="27" s="1"/>
  <c r="L99" i="27" a="1"/>
  <c r="L99" i="27" s="1"/>
  <c r="AG54" i="27" a="1"/>
  <c r="AG54" i="27" s="1"/>
  <c r="O67" i="27" a="1"/>
  <c r="O67" i="27" s="1"/>
  <c r="X115" i="27" a="1"/>
  <c r="X115" i="27" s="1"/>
  <c r="N115" i="27" a="1"/>
  <c r="N115" i="27" s="1"/>
  <c r="AD111" i="27" a="1"/>
  <c r="AD111" i="27" s="1"/>
  <c r="AC45" i="27" a="1"/>
  <c r="AC45" i="27" s="1"/>
  <c r="W70" i="27" a="1"/>
  <c r="W70" i="27" s="1"/>
  <c r="AC59" i="27" a="1"/>
  <c r="AC59" i="27" s="1"/>
  <c r="Q54" i="27" a="1"/>
  <c r="Q54" i="27" s="1"/>
  <c r="AC111" i="27" a="1"/>
  <c r="AC111" i="27" s="1"/>
  <c r="X45" i="27" a="1"/>
  <c r="X45" i="27" s="1"/>
  <c r="AD70" i="27" a="1"/>
  <c r="AD70" i="27" s="1"/>
  <c r="AB59" i="27" a="1"/>
  <c r="AB59" i="27" s="1"/>
  <c r="AC99" i="27" a="1"/>
  <c r="AC99" i="27" s="1"/>
  <c r="Y111" i="27" a="1"/>
  <c r="Y111" i="27" s="1"/>
  <c r="T45" i="27" a="1"/>
  <c r="T45" i="27" s="1"/>
  <c r="Z70" i="27" a="1"/>
  <c r="Z70" i="27" s="1"/>
  <c r="X59" i="27" a="1"/>
  <c r="X59" i="27" s="1"/>
  <c r="Y99" i="27" a="1"/>
  <c r="Y99" i="27" s="1"/>
  <c r="AE54" i="27" a="1"/>
  <c r="AE54" i="27" s="1"/>
  <c r="AG67" i="27" a="1"/>
  <c r="AG67" i="27" s="1"/>
  <c r="Z111" i="27" a="1"/>
  <c r="Z111" i="27" s="1"/>
  <c r="M45" i="27" a="1"/>
  <c r="M45" i="27" s="1"/>
  <c r="Y70" i="27" a="1"/>
  <c r="Y70" i="27" s="1"/>
  <c r="W59" i="27" a="1"/>
  <c r="W59" i="27" s="1"/>
  <c r="X99" i="27" a="1"/>
  <c r="X99" i="27" s="1"/>
  <c r="R115" i="27" a="1"/>
  <c r="R115" i="27" s="1"/>
  <c r="AF111" i="27" a="1"/>
  <c r="AF111" i="27" s="1"/>
  <c r="AA45" i="27" a="1"/>
  <c r="AA45" i="27" s="1"/>
  <c r="AC70" i="27" a="1"/>
  <c r="AC70" i="27" s="1"/>
  <c r="AI59" i="27" a="1"/>
  <c r="AI59" i="27" s="1"/>
  <c r="AH99" i="27" a="1"/>
  <c r="AH99" i="27" s="1"/>
  <c r="O54" i="27" a="1"/>
  <c r="O54" i="27" s="1"/>
  <c r="L70" i="27" a="1"/>
  <c r="L70" i="27" s="1"/>
  <c r="AD54" i="27" a="1"/>
  <c r="AD54" i="27" s="1"/>
  <c r="AB67" i="27" a="1"/>
  <c r="AB67" i="27" s="1"/>
  <c r="AE115" i="27" a="1"/>
  <c r="AE115" i="27" s="1"/>
  <c r="AB81" i="27" a="1"/>
  <c r="AB81" i="27" s="1"/>
  <c r="Q74" i="27" a="1"/>
  <c r="Q74" i="27" s="1"/>
  <c r="AI61" i="27" a="1"/>
  <c r="AI61" i="27" s="1"/>
  <c r="O44" i="27" a="1"/>
  <c r="O44" i="27" s="1"/>
  <c r="R74" i="27" a="1"/>
  <c r="R74" i="27" s="1"/>
  <c r="AB44" i="27" a="1"/>
  <c r="AB44" i="27" s="1"/>
  <c r="AC101" i="27" a="1"/>
  <c r="AC101" i="27" s="1"/>
  <c r="T74" i="27" a="1"/>
  <c r="T74" i="27" s="1"/>
  <c r="AI101" i="27" a="1"/>
  <c r="AI101" i="27" s="1"/>
  <c r="AF70" i="27" a="1"/>
  <c r="AF70" i="27" s="1"/>
  <c r="R54" i="27" a="1"/>
  <c r="R54" i="27" s="1"/>
  <c r="P81" i="27" a="1"/>
  <c r="P81" i="27" s="1"/>
  <c r="AB74" i="27" a="1"/>
  <c r="AB74" i="27" s="1"/>
  <c r="Z61" i="27" a="1"/>
  <c r="Z61" i="27" s="1"/>
  <c r="AH45" i="27" a="1"/>
  <c r="AH45" i="27" s="1"/>
  <c r="AI81" i="27" a="1"/>
  <c r="AI81" i="27" s="1"/>
  <c r="AB111" i="27" a="1"/>
  <c r="AB111" i="27" s="1"/>
  <c r="AG111" i="27" a="1"/>
  <c r="AG111" i="27" s="1"/>
  <c r="Q99" i="27" a="1"/>
  <c r="Q99" i="27" s="1"/>
  <c r="AD99" i="27" a="1"/>
  <c r="AD99" i="27" s="1"/>
  <c r="Q67" i="27" a="1"/>
  <c r="Q67" i="27" s="1"/>
  <c r="N135" i="27" a="1"/>
  <c r="N135" i="27" s="1"/>
  <c r="AG135" i="27" a="1"/>
  <c r="AG135" i="27" s="1"/>
  <c r="AE135" i="27" a="1"/>
  <c r="AE135" i="27" s="1"/>
  <c r="S135" i="27" a="1"/>
  <c r="S135" i="27" s="1"/>
  <c r="L135" i="27" a="1"/>
  <c r="L135" i="27" s="1"/>
  <c r="Q135" i="27" a="1"/>
  <c r="Q135" i="27" s="1"/>
  <c r="AH135" i="27" a="1"/>
  <c r="AH135" i="27" s="1"/>
  <c r="AC8" i="27" a="1"/>
  <c r="AC8" i="27" s="1"/>
  <c r="AD8" i="27" a="1"/>
  <c r="AD8" i="27" s="1"/>
  <c r="X8" i="27" a="1"/>
  <c r="X8" i="27" s="1"/>
  <c r="AB8" i="27" a="1"/>
  <c r="AB8" i="27" s="1"/>
  <c r="AI8" i="27" a="1"/>
  <c r="AI8" i="27" s="1"/>
  <c r="Y8" i="27" a="1"/>
  <c r="Y8" i="27" s="1"/>
  <c r="R8" i="27" a="1"/>
  <c r="R8" i="27" s="1"/>
  <c r="AG8" i="27" a="1"/>
  <c r="AG8" i="27" s="1"/>
  <c r="O8" i="27" a="1"/>
  <c r="O8" i="27" s="1"/>
  <c r="AH8" i="27" a="1"/>
  <c r="AH8" i="27" s="1"/>
  <c r="N8" i="27" a="1"/>
  <c r="N8" i="27" s="1"/>
  <c r="Q8" i="27" a="1"/>
  <c r="Q8" i="27" s="1"/>
  <c r="V8" i="27" a="1"/>
  <c r="V8" i="27" s="1"/>
  <c r="W8" i="27" a="1"/>
  <c r="W8" i="27" s="1"/>
  <c r="U8" i="27" a="1"/>
  <c r="U8" i="27" s="1"/>
  <c r="Z8" i="27" a="1"/>
  <c r="Z8" i="27" s="1"/>
  <c r="AF8" i="27" a="1"/>
  <c r="AF8" i="27" s="1"/>
  <c r="T8" i="27" a="1"/>
  <c r="T8" i="27" s="1"/>
  <c r="AA8" i="27" a="1"/>
  <c r="AA8" i="27" s="1"/>
  <c r="S8" i="27" a="1"/>
  <c r="S8" i="27" s="1"/>
  <c r="AE8" i="27" a="1"/>
  <c r="AE8" i="27" s="1"/>
  <c r="M8" i="27" a="1"/>
  <c r="M8" i="27" s="1"/>
  <c r="P8" i="27" a="1"/>
  <c r="P8" i="27" s="1"/>
  <c r="F57" i="12" l="1"/>
  <c r="L57" i="12" s="1"/>
  <c r="F65" i="12"/>
  <c r="L65" i="12" s="1"/>
  <c r="M65" i="12"/>
  <c r="F109" i="12"/>
  <c r="L109" i="12" s="1"/>
  <c r="M109" i="12"/>
  <c r="F99" i="12"/>
  <c r="L99" i="12" s="1"/>
  <c r="M99" i="12"/>
  <c r="F52" i="12"/>
  <c r="L52" i="12" s="1"/>
  <c r="N52" i="12" s="1"/>
  <c r="M52" i="12"/>
  <c r="M57" i="12"/>
  <c r="N57" i="12" s="1"/>
  <c r="F43" i="12"/>
  <c r="L43" i="12" s="1"/>
  <c r="M43" i="12"/>
  <c r="F72" i="12"/>
  <c r="L72" i="12" s="1"/>
  <c r="M72" i="12"/>
  <c r="F113" i="12"/>
  <c r="L113" i="12" s="1"/>
  <c r="M113" i="12"/>
  <c r="M57" i="30"/>
  <c r="F109" i="30"/>
  <c r="L109" i="30" s="1"/>
  <c r="M109" i="30"/>
  <c r="F99" i="30"/>
  <c r="L99" i="30" s="1"/>
  <c r="M99" i="30"/>
  <c r="F52" i="30"/>
  <c r="L52" i="30" s="1"/>
  <c r="M52" i="30"/>
  <c r="F57" i="30"/>
  <c r="L57" i="30" s="1"/>
  <c r="F43" i="30"/>
  <c r="L43" i="30" s="1"/>
  <c r="M43" i="30"/>
  <c r="BJ45" i="27"/>
  <c r="F72" i="30"/>
  <c r="L72" i="30" s="1"/>
  <c r="M72" i="30"/>
  <c r="F113" i="30"/>
  <c r="L113" i="30" s="1"/>
  <c r="M113" i="30"/>
  <c r="F65" i="30"/>
  <c r="L65" i="30" s="1"/>
  <c r="M65" i="30"/>
  <c r="Z94" i="12"/>
  <c r="BJ59" i="27"/>
  <c r="BL59" i="27" s="1"/>
  <c r="T51" i="27" a="1"/>
  <c r="T51" i="27" s="1"/>
  <c r="AF35" i="27" a="1"/>
  <c r="AF35" i="27" s="1"/>
  <c r="AH11" i="27" a="1"/>
  <c r="AH11" i="27" s="1"/>
  <c r="N103" i="27" a="1"/>
  <c r="N103" i="27" s="1"/>
  <c r="AH37" i="27" a="1"/>
  <c r="AH37" i="27" s="1"/>
  <c r="L71" i="27" a="1"/>
  <c r="L71" i="27" s="1"/>
  <c r="R85" i="27" a="1"/>
  <c r="R85" i="27" s="1"/>
  <c r="P52" i="27" a="1"/>
  <c r="P52" i="27" s="1"/>
  <c r="P123" i="27" a="1"/>
  <c r="P123" i="27" s="1"/>
  <c r="L23" i="27" a="1"/>
  <c r="L23" i="27" s="1"/>
  <c r="Z50" i="27" a="1"/>
  <c r="Z50" i="27" s="1"/>
  <c r="V30" i="27" a="1"/>
  <c r="V30" i="27" s="1"/>
  <c r="X34" i="27" a="1"/>
  <c r="X34" i="27" s="1"/>
  <c r="Z63" i="27" a="1"/>
  <c r="Z63" i="27" s="1"/>
  <c r="V85" i="27" a="1"/>
  <c r="V85" i="27" s="1"/>
  <c r="P71" i="27" a="1"/>
  <c r="P71" i="27" s="1"/>
  <c r="X35" i="27" a="1"/>
  <c r="X35" i="27" s="1"/>
  <c r="T23" i="27" a="1"/>
  <c r="T23" i="27" s="1"/>
  <c r="L52" i="27" a="1"/>
  <c r="L52" i="27" s="1"/>
  <c r="N95" i="27" a="1"/>
  <c r="N95" i="27" s="1"/>
  <c r="S79" i="27" a="1"/>
  <c r="S79" i="27" s="1"/>
  <c r="AG34" i="27" a="1"/>
  <c r="AG34" i="27" s="1"/>
  <c r="AA123" i="27" a="1"/>
  <c r="AA123" i="27" s="1"/>
  <c r="AI91" i="27" a="1"/>
  <c r="AI91" i="27" s="1"/>
  <c r="U127" i="27" a="1"/>
  <c r="U127" i="27" s="1"/>
  <c r="W83" i="27" a="1"/>
  <c r="W83" i="27" s="1"/>
  <c r="AE86" i="27" a="1"/>
  <c r="AE86" i="27" s="1"/>
  <c r="U119" i="27" a="1"/>
  <c r="U119" i="27" s="1"/>
  <c r="Y38" i="27" a="1"/>
  <c r="Y38" i="27" s="1"/>
  <c r="AC43" i="27" a="1"/>
  <c r="AC43" i="27" s="1"/>
  <c r="Y50" i="27" a="1"/>
  <c r="Y50" i="27" s="1"/>
  <c r="R63" i="27" a="1"/>
  <c r="R63" i="27" s="1"/>
  <c r="T75" i="27" a="1"/>
  <c r="T75" i="27" s="1"/>
  <c r="S35" i="27" a="1"/>
  <c r="S35" i="27" s="1"/>
  <c r="W63" i="27" a="1"/>
  <c r="W63" i="27" s="1"/>
  <c r="AC51" i="27" a="1"/>
  <c r="AC51" i="27" s="1"/>
  <c r="AI131" i="27" a="1"/>
  <c r="AI131" i="27" s="1"/>
  <c r="L51" i="27" a="1"/>
  <c r="L51" i="27" s="1"/>
  <c r="AH27" i="27" a="1"/>
  <c r="AH27" i="27" s="1"/>
  <c r="L35" i="27" a="1"/>
  <c r="L35" i="27" s="1"/>
  <c r="AH51" i="27" a="1"/>
  <c r="AH51" i="27" s="1"/>
  <c r="L47" i="27" a="1"/>
  <c r="L47" i="27" s="1"/>
  <c r="R62" i="27" a="1"/>
  <c r="R62" i="27" s="1"/>
  <c r="Z107" i="27" a="1"/>
  <c r="Z107" i="27" s="1"/>
  <c r="N31" i="27" a="1"/>
  <c r="N31" i="27" s="1"/>
  <c r="R119" i="27" a="1"/>
  <c r="R119" i="27" s="1"/>
  <c r="R19" i="27" a="1"/>
  <c r="R19" i="27" s="1"/>
  <c r="X50" i="27" a="1"/>
  <c r="X50" i="27" s="1"/>
  <c r="T87" i="27" a="1"/>
  <c r="T87" i="27" s="1"/>
  <c r="L37" i="27" a="1"/>
  <c r="L37" i="27" s="1"/>
  <c r="T83" i="27" a="1"/>
  <c r="T83" i="27" s="1"/>
  <c r="AD119" i="27" a="1"/>
  <c r="AD119" i="27" s="1"/>
  <c r="AF136" i="27" a="1"/>
  <c r="AF136" i="27" s="1"/>
  <c r="Z11" i="27" a="1"/>
  <c r="Z11" i="27" s="1"/>
  <c r="X83" i="27" a="1"/>
  <c r="X83" i="27" s="1"/>
  <c r="AB85" i="27" a="1"/>
  <c r="AB85" i="27" s="1"/>
  <c r="AF107" i="27" a="1"/>
  <c r="AF107" i="27" s="1"/>
  <c r="AB39" i="27" a="1"/>
  <c r="AB39" i="27" s="1"/>
  <c r="X38" i="27" a="1"/>
  <c r="X38" i="27" s="1"/>
  <c r="P108" i="27" a="1"/>
  <c r="P108" i="27" s="1"/>
  <c r="L63" i="27" a="1"/>
  <c r="L63" i="27" s="1"/>
  <c r="AF55" i="27" a="1"/>
  <c r="AF55" i="27" s="1"/>
  <c r="AG38" i="27" a="1"/>
  <c r="AG38" i="27" s="1"/>
  <c r="O34" i="27" a="1"/>
  <c r="O34" i="27" s="1"/>
  <c r="AH23" i="27" a="1"/>
  <c r="AH23" i="27" s="1"/>
  <c r="S71" i="27" a="1"/>
  <c r="S71" i="27" s="1"/>
  <c r="AF51" i="27" a="1"/>
  <c r="AF51" i="27" s="1"/>
  <c r="Q71" i="27" a="1"/>
  <c r="Q71" i="27" s="1"/>
  <c r="U50" i="27" a="1"/>
  <c r="U50" i="27" s="1"/>
  <c r="AG39" i="27" a="1"/>
  <c r="AG39" i="27" s="1"/>
  <c r="M11" i="27" a="1"/>
  <c r="M11" i="27" s="1"/>
  <c r="AE136" i="27" a="1"/>
  <c r="AE136" i="27" s="1"/>
  <c r="M18" i="27" a="1"/>
  <c r="M18" i="27" s="1"/>
  <c r="AF87" i="27" a="1"/>
  <c r="AF87" i="27" s="1"/>
  <c r="N136" i="27" a="1"/>
  <c r="N136" i="27" s="1"/>
  <c r="P27" i="27" a="1"/>
  <c r="P27" i="27" s="1"/>
  <c r="R47" i="27" a="1"/>
  <c r="R47" i="27" s="1"/>
  <c r="AH107" i="27" a="1"/>
  <c r="AH107" i="27" s="1"/>
  <c r="T39" i="27" a="1"/>
  <c r="T39" i="27" s="1"/>
  <c r="V31" i="27" a="1"/>
  <c r="V31" i="27" s="1"/>
  <c r="P127" i="27" a="1"/>
  <c r="P127" i="27" s="1"/>
  <c r="N19" i="27" a="1"/>
  <c r="N19" i="27" s="1"/>
  <c r="AH52" i="27" a="1"/>
  <c r="AH52" i="27" s="1"/>
  <c r="N37" i="27" a="1"/>
  <c r="N37" i="27" s="1"/>
  <c r="AF23" i="27" a="1"/>
  <c r="AF23" i="27" s="1"/>
  <c r="AD11" i="27" a="1"/>
  <c r="AD11" i="27" s="1"/>
  <c r="X87" i="27" a="1"/>
  <c r="X87" i="27" s="1"/>
  <c r="Z23" i="27" a="1"/>
  <c r="Z23" i="27" s="1"/>
  <c r="T127" i="27" a="1"/>
  <c r="T127" i="27" s="1"/>
  <c r="L107" i="27" a="1"/>
  <c r="L107" i="27" s="1"/>
  <c r="T50" i="27" a="1"/>
  <c r="T50" i="27" s="1"/>
  <c r="AB63" i="27" a="1"/>
  <c r="AB63" i="27" s="1"/>
  <c r="AB75" i="27" a="1"/>
  <c r="AB75" i="27" s="1"/>
  <c r="Z34" i="27" a="1"/>
  <c r="Z34" i="27" s="1"/>
  <c r="L11" i="27" a="1"/>
  <c r="L11" i="27" s="1"/>
  <c r="N47" i="27" a="1"/>
  <c r="N47" i="27" s="1"/>
  <c r="AH71" i="27" a="1"/>
  <c r="AH71" i="27" s="1"/>
  <c r="L55" i="27" a="1"/>
  <c r="L55" i="27" s="1"/>
  <c r="T43" i="27" a="1"/>
  <c r="T43" i="27" s="1"/>
  <c r="N127" i="27" a="1"/>
  <c r="N127" i="27" s="1"/>
  <c r="AF11" i="27" a="1"/>
  <c r="AF11" i="27" s="1"/>
  <c r="P86" i="27" a="1"/>
  <c r="P86" i="27" s="1"/>
  <c r="V34" i="27" a="1"/>
  <c r="V34" i="27" s="1"/>
  <c r="V71" i="27" a="1"/>
  <c r="V71" i="27" s="1"/>
  <c r="N119" i="27" a="1"/>
  <c r="N119" i="27" s="1"/>
  <c r="P95" i="27" a="1"/>
  <c r="P95" i="27" s="1"/>
  <c r="N55" i="27" a="1"/>
  <c r="N55" i="27" s="1"/>
  <c r="AB23" i="27" a="1"/>
  <c r="AB23" i="27" s="1"/>
  <c r="N79" i="27" a="1"/>
  <c r="N79" i="27" s="1"/>
  <c r="AB104" i="27" a="1"/>
  <c r="AB104" i="27" s="1"/>
  <c r="Z119" i="27" a="1"/>
  <c r="Z119" i="27" s="1"/>
  <c r="Z38" i="27" a="1"/>
  <c r="Z38" i="27" s="1"/>
  <c r="AH50" i="27" a="1"/>
  <c r="AH50" i="27" s="1"/>
  <c r="X95" i="27" a="1"/>
  <c r="X95" i="27" s="1"/>
  <c r="R11" i="27" a="1"/>
  <c r="R11" i="27" s="1"/>
  <c r="V87" i="27" a="1"/>
  <c r="V87" i="27" s="1"/>
  <c r="AH47" i="27" a="1"/>
  <c r="AH47" i="27" s="1"/>
  <c r="X131" i="27" a="1"/>
  <c r="X131" i="27" s="1"/>
  <c r="AB35" i="27" a="1"/>
  <c r="AB35" i="27" s="1"/>
  <c r="R37" i="27" a="1"/>
  <c r="R37" i="27" s="1"/>
  <c r="X91" i="27" a="1"/>
  <c r="X91" i="27" s="1"/>
  <c r="R104" i="27" a="1"/>
  <c r="R104" i="27" s="1"/>
  <c r="L85" i="27" a="1"/>
  <c r="L85" i="27" s="1"/>
  <c r="P38" i="27" a="1"/>
  <c r="P38" i="27" s="1"/>
  <c r="P131" i="27" a="1"/>
  <c r="P131" i="27" s="1"/>
  <c r="P107" i="27" a="1"/>
  <c r="P107" i="27" s="1"/>
  <c r="AD34" i="27" a="1"/>
  <c r="AD34" i="27" s="1"/>
  <c r="Z71" i="27" a="1"/>
  <c r="Z71" i="27" s="1"/>
  <c r="V104" i="27" a="1"/>
  <c r="V104" i="27" s="1"/>
  <c r="AB27" i="27" a="1"/>
  <c r="AB27" i="27" s="1"/>
  <c r="AF95" i="27" a="1"/>
  <c r="AF95" i="27" s="1"/>
  <c r="N38" i="27" a="1"/>
  <c r="N38" i="27" s="1"/>
  <c r="R43" i="27" a="1"/>
  <c r="R43" i="27" s="1"/>
  <c r="V62" i="27" a="1"/>
  <c r="V62" i="27" s="1"/>
  <c r="AF39" i="27" a="1"/>
  <c r="AF39" i="27" s="1"/>
  <c r="R23" i="27" a="1"/>
  <c r="R23" i="27" s="1"/>
  <c r="V103" i="27" a="1"/>
  <c r="V103" i="27" s="1"/>
  <c r="X71" i="27" a="1"/>
  <c r="X71" i="27" s="1"/>
  <c r="N35" i="27" a="1"/>
  <c r="N35" i="27" s="1"/>
  <c r="P15" i="27" a="1"/>
  <c r="P15" i="27" s="1"/>
  <c r="N50" i="27" a="1"/>
  <c r="N50" i="27" s="1"/>
  <c r="AD30" i="27" a="1"/>
  <c r="AD30" i="27" s="1"/>
  <c r="Z47" i="27" a="1"/>
  <c r="Z47" i="27" s="1"/>
  <c r="AB86" i="27" a="1"/>
  <c r="AB86" i="27" s="1"/>
  <c r="AH62" i="27" a="1"/>
  <c r="AH62" i="27" s="1"/>
  <c r="T104" i="27" a="1"/>
  <c r="T104" i="27" s="1"/>
  <c r="N97" i="27" a="1"/>
  <c r="N97" i="27" s="1"/>
  <c r="Z37" i="27" a="1"/>
  <c r="Z37" i="27" s="1"/>
  <c r="N62" i="27" a="1"/>
  <c r="N62" i="27" s="1"/>
  <c r="AF63" i="27" a="1"/>
  <c r="AF63" i="27" s="1"/>
  <c r="AB83" i="27" a="1"/>
  <c r="AB83" i="27" s="1"/>
  <c r="V35" i="27" a="1"/>
  <c r="V35" i="27" s="1"/>
  <c r="AH104" i="27" a="1"/>
  <c r="AH104" i="27" s="1"/>
  <c r="L95" i="27" a="1"/>
  <c r="L95" i="27" s="1"/>
  <c r="R39" i="27" a="1"/>
  <c r="R39" i="27" s="1"/>
  <c r="P83" i="27" a="1"/>
  <c r="P83" i="27" s="1"/>
  <c r="T85" i="27" a="1"/>
  <c r="T85" i="27" s="1"/>
  <c r="L83" i="27" a="1"/>
  <c r="L83" i="27" s="1"/>
  <c r="AB38" i="27" a="1"/>
  <c r="AB38" i="27" s="1"/>
  <c r="AH43" i="27" a="1"/>
  <c r="AH43" i="27" s="1"/>
  <c r="AH127" i="27" a="1"/>
  <c r="AH127" i="27" s="1"/>
  <c r="P37" i="27" a="1"/>
  <c r="P37" i="27" s="1"/>
  <c r="AD108" i="27" a="1"/>
  <c r="AD108" i="27" s="1"/>
  <c r="AF62" i="27" a="1"/>
  <c r="AF62" i="27" s="1"/>
  <c r="AF119" i="27" a="1"/>
  <c r="AF119" i="27" s="1"/>
  <c r="V123" i="27" a="1"/>
  <c r="V123" i="27" s="1"/>
  <c r="AF27" i="27" a="1"/>
  <c r="AF27" i="27" s="1"/>
  <c r="Z39" i="27" a="1"/>
  <c r="Z39" i="27" s="1"/>
  <c r="R30" i="27" a="1"/>
  <c r="R30" i="27" s="1"/>
  <c r="AD31" i="27" a="1"/>
  <c r="AD31" i="27" s="1"/>
  <c r="M52" i="27" a="1"/>
  <c r="M52" i="27" s="1"/>
  <c r="O108" i="27" a="1"/>
  <c r="O108" i="27" s="1"/>
  <c r="O55" i="27" a="1"/>
  <c r="O55" i="27" s="1"/>
  <c r="R35" i="27" a="1"/>
  <c r="R35" i="27" s="1"/>
  <c r="U23" i="27" a="1"/>
  <c r="U23" i="27" s="1"/>
  <c r="S30" i="27" a="1"/>
  <c r="S30" i="27" s="1"/>
  <c r="W87" i="27" a="1"/>
  <c r="W87" i="27" s="1"/>
  <c r="AG127" i="27" a="1"/>
  <c r="AG127" i="27" s="1"/>
  <c r="M136" i="27" a="1"/>
  <c r="M136" i="27" s="1"/>
  <c r="AA51" i="27" a="1"/>
  <c r="AA51" i="27" s="1"/>
  <c r="W43" i="27" a="1"/>
  <c r="W43" i="27" s="1"/>
  <c r="AC107" i="27" a="1"/>
  <c r="AC107" i="27" s="1"/>
  <c r="AI50" i="27" a="1"/>
  <c r="AI50" i="27" s="1"/>
  <c r="AI31" i="27" a="1"/>
  <c r="AI31" i="27" s="1"/>
  <c r="O87" i="27" a="1"/>
  <c r="O87" i="27" s="1"/>
  <c r="AG86" i="27" a="1"/>
  <c r="AG86" i="27" s="1"/>
  <c r="Y11" i="27" a="1"/>
  <c r="Y11" i="27" s="1"/>
  <c r="AA87" i="27" a="1"/>
  <c r="AA87" i="27" s="1"/>
  <c r="T52" i="27" a="1"/>
  <c r="T52" i="27" s="1"/>
  <c r="AF47" i="27" a="1"/>
  <c r="AF47" i="27" s="1"/>
  <c r="S62" i="27" a="1"/>
  <c r="S62" i="27" s="1"/>
  <c r="AG63" i="27" a="1"/>
  <c r="AG63" i="27" s="1"/>
  <c r="W95" i="27" a="1"/>
  <c r="W95" i="27" s="1"/>
  <c r="AA75" i="27" a="1"/>
  <c r="AA75" i="27" s="1"/>
  <c r="AD85" i="27" a="1"/>
  <c r="AD85" i="27" s="1"/>
  <c r="R55" i="27" a="1"/>
  <c r="R55" i="27" s="1"/>
  <c r="O18" i="27" a="1"/>
  <c r="O18" i="27" s="1"/>
  <c r="T95" i="27" a="1"/>
  <c r="T95" i="27" s="1"/>
  <c r="AA31" i="27" a="1"/>
  <c r="AA31" i="27" s="1"/>
  <c r="O51" i="27" a="1"/>
  <c r="O51" i="27" s="1"/>
  <c r="AG131" i="27" a="1"/>
  <c r="AG131" i="27" s="1"/>
  <c r="P103" i="27" a="1"/>
  <c r="P103" i="27" s="1"/>
  <c r="AG136" i="27" a="1"/>
  <c r="AG136" i="27" s="1"/>
  <c r="M71" i="27" a="1"/>
  <c r="M71" i="27" s="1"/>
  <c r="W104" i="27" a="1"/>
  <c r="W104" i="27" s="1"/>
  <c r="Y119" i="27" a="1"/>
  <c r="Y119" i="27" s="1"/>
  <c r="AG123" i="27" a="1"/>
  <c r="AG123" i="27" s="1"/>
  <c r="S27" i="27" a="1"/>
  <c r="S27" i="27" s="1"/>
  <c r="M95" i="27" a="1"/>
  <c r="M95" i="27" s="1"/>
  <c r="AE97" i="27" a="1"/>
  <c r="AE97" i="27" s="1"/>
  <c r="AG85" i="27" a="1"/>
  <c r="AG85" i="27" s="1"/>
  <c r="AI52" i="27" a="1"/>
  <c r="AI52" i="27" s="1"/>
  <c r="M15" i="27" a="1"/>
  <c r="M15" i="27" s="1"/>
  <c r="AI136" i="27" a="1"/>
  <c r="AI136" i="27" s="1"/>
  <c r="W11" i="27" a="1"/>
  <c r="W11" i="27" s="1"/>
  <c r="Y23" i="27" a="1"/>
  <c r="Y23" i="27" s="1"/>
  <c r="W107" i="27" a="1"/>
  <c r="W107" i="27" s="1"/>
  <c r="AC11" i="27" a="1"/>
  <c r="AC11" i="27" s="1"/>
  <c r="U15" i="27" a="1"/>
  <c r="U15" i="27" s="1"/>
  <c r="AG108" i="27" a="1"/>
  <c r="AG108" i="27" s="1"/>
  <c r="U71" i="27" a="1"/>
  <c r="U71" i="27" s="1"/>
  <c r="U86" i="27" a="1"/>
  <c r="U86" i="27" s="1"/>
  <c r="O127" i="27" a="1"/>
  <c r="O127" i="27" s="1"/>
  <c r="N34" i="27" a="1"/>
  <c r="N34" i="27" s="1"/>
  <c r="AC71" i="27" a="1"/>
  <c r="AC71" i="27" s="1"/>
  <c r="Q18" i="27" a="1"/>
  <c r="Q18" i="27" s="1"/>
  <c r="O83" i="27" a="1"/>
  <c r="O83" i="27" s="1"/>
  <c r="AI79" i="27" a="1"/>
  <c r="AI79" i="27" s="1"/>
  <c r="U47" i="27" a="1"/>
  <c r="U47" i="27" s="1"/>
  <c r="O79" i="27" a="1"/>
  <c r="O79" i="27" s="1"/>
  <c r="AI23" i="27" a="1"/>
  <c r="AI23" i="27" s="1"/>
  <c r="X18" i="27" a="1"/>
  <c r="X18" i="27" s="1"/>
  <c r="U30" i="27" a="1"/>
  <c r="U30" i="27" s="1"/>
  <c r="AG31" i="27" a="1"/>
  <c r="AG31" i="27" s="1"/>
  <c r="W62" i="27" a="1"/>
  <c r="W62" i="27" s="1"/>
  <c r="O119" i="27" a="1"/>
  <c r="O119" i="27" s="1"/>
  <c r="AC31" i="27" a="1"/>
  <c r="AC31" i="27" s="1"/>
  <c r="AC19" i="27" a="1"/>
  <c r="AC19" i="27" s="1"/>
  <c r="W51" i="27" a="1"/>
  <c r="W51" i="27" s="1"/>
  <c r="S47" i="27" a="1"/>
  <c r="S47" i="27" s="1"/>
  <c r="S15" i="27" a="1"/>
  <c r="S15" i="27" s="1"/>
  <c r="AG51" i="27" a="1"/>
  <c r="AG51" i="27" s="1"/>
  <c r="AB15" i="27" a="1"/>
  <c r="AB15" i="27" s="1"/>
  <c r="U95" i="27" a="1"/>
  <c r="U95" i="27" s="1"/>
  <c r="R51" i="27" a="1"/>
  <c r="R51" i="27" s="1"/>
  <c r="T103" i="27" a="1"/>
  <c r="T103" i="27" s="1"/>
  <c r="Q127" i="27" a="1"/>
  <c r="Q127" i="27" s="1"/>
  <c r="AH75" i="27" a="1"/>
  <c r="AH75" i="27" s="1"/>
  <c r="AA47" i="27" a="1"/>
  <c r="AA47" i="27" s="1"/>
  <c r="M107" i="27" a="1"/>
  <c r="M107" i="27" s="1"/>
  <c r="W91" i="27" a="1"/>
  <c r="W91" i="27" s="1"/>
  <c r="AC131" i="27" a="1"/>
  <c r="AC131" i="27" s="1"/>
  <c r="AG103" i="27" a="1"/>
  <c r="AG103" i="27" s="1"/>
  <c r="M104" i="27" a="1"/>
  <c r="M104" i="27" s="1"/>
  <c r="U39" i="27" a="1"/>
  <c r="U39" i="27" s="1"/>
  <c r="W85" i="27" a="1"/>
  <c r="W85" i="27" s="1"/>
  <c r="AI55" i="27" a="1"/>
  <c r="AI55" i="27" s="1"/>
  <c r="Y51" i="27" a="1"/>
  <c r="Y51" i="27" s="1"/>
  <c r="AC86" i="27" a="1"/>
  <c r="AC86" i="27" s="1"/>
  <c r="O11" i="27" a="1"/>
  <c r="O11" i="27" s="1"/>
  <c r="Y87" i="27" a="1"/>
  <c r="Y87" i="27" s="1"/>
  <c r="AC52" i="27" a="1"/>
  <c r="AC52" i="27" s="1"/>
  <c r="V47" i="27" a="1"/>
  <c r="V47" i="27" s="1"/>
  <c r="AD63" i="27" a="1"/>
  <c r="AD63" i="27" s="1"/>
  <c r="O75" i="27" a="1"/>
  <c r="O75" i="27" s="1"/>
  <c r="W30" i="27" a="1"/>
  <c r="W30" i="27" s="1"/>
  <c r="Q83" i="27" a="1"/>
  <c r="Q83" i="27" s="1"/>
  <c r="AD104" i="27" a="1"/>
  <c r="AD104" i="27" s="1"/>
  <c r="U55" i="27" a="1"/>
  <c r="U55" i="27" s="1"/>
  <c r="AI87" i="27" a="1"/>
  <c r="AI87" i="27" s="1"/>
  <c r="AG47" i="27" a="1"/>
  <c r="AG47" i="27" s="1"/>
  <c r="AA131" i="27" a="1"/>
  <c r="AA131" i="27" s="1"/>
  <c r="M127" i="27" a="1"/>
  <c r="M127" i="27" s="1"/>
  <c r="V107" i="27" a="1"/>
  <c r="V107" i="27" s="1"/>
  <c r="V136" i="27" a="1"/>
  <c r="V136" i="27" s="1"/>
  <c r="AC91" i="27" a="1"/>
  <c r="AC91" i="27" s="1"/>
  <c r="Q62" i="27" a="1"/>
  <c r="Q62" i="27" s="1"/>
  <c r="AE85" i="27" a="1"/>
  <c r="AE85" i="27" s="1"/>
  <c r="M31" i="27" a="1"/>
  <c r="M31" i="27" s="1"/>
  <c r="AE131" i="27" a="1"/>
  <c r="AE131" i="27" s="1"/>
  <c r="Q103" i="27" a="1"/>
  <c r="Q103" i="27" s="1"/>
  <c r="S95" i="27" a="1"/>
  <c r="S95" i="27" s="1"/>
  <c r="M83" i="27" a="1"/>
  <c r="M83" i="27" s="1"/>
  <c r="O35" i="27" a="1"/>
  <c r="O35" i="27" s="1"/>
  <c r="Q136" i="27" a="1"/>
  <c r="Q136" i="27" s="1"/>
  <c r="O91" i="27" a="1"/>
  <c r="O91" i="27" s="1"/>
  <c r="AG27" i="27" a="1"/>
  <c r="AG27" i="27" s="1"/>
  <c r="U38" i="27" a="1"/>
  <c r="U38" i="27" s="1"/>
  <c r="AC34" i="27" a="1"/>
  <c r="AC34" i="27" s="1"/>
  <c r="M91" i="27" a="1"/>
  <c r="M91" i="27" s="1"/>
  <c r="AG50" i="27" a="1"/>
  <c r="AG50" i="27" s="1"/>
  <c r="AE18" i="27" a="1"/>
  <c r="AE18" i="27" s="1"/>
  <c r="U123" i="27" a="1"/>
  <c r="U123" i="27" s="1"/>
  <c r="AE63" i="27" a="1"/>
  <c r="AE63" i="27" s="1"/>
  <c r="Q85" i="27" a="1"/>
  <c r="Q85" i="27" s="1"/>
  <c r="Q43" i="27" a="1"/>
  <c r="Q43" i="27" s="1"/>
  <c r="AC62" i="27" a="1"/>
  <c r="AC62" i="27" s="1"/>
  <c r="Y31" i="27" a="1"/>
  <c r="Y31" i="27" s="1"/>
  <c r="AE31" i="27" a="1"/>
  <c r="AE31" i="27" s="1"/>
  <c r="AG43" i="27" a="1"/>
  <c r="AG43" i="27" s="1"/>
  <c r="AI107" i="27" a="1"/>
  <c r="AI107" i="27" s="1"/>
  <c r="S91" i="27" a="1"/>
  <c r="S91" i="27" s="1"/>
  <c r="AA62" i="27" a="1"/>
  <c r="AA62" i="27" s="1"/>
  <c r="M119" i="27" a="1"/>
  <c r="M119" i="27" s="1"/>
  <c r="AA39" i="27" a="1"/>
  <c r="AA39" i="27" s="1"/>
  <c r="AG30" i="27" a="1"/>
  <c r="AG30" i="27" s="1"/>
  <c r="Q15" i="27" a="1"/>
  <c r="Q15" i="27" s="1"/>
  <c r="BJ67" i="27"/>
  <c r="BL67" i="27" s="1"/>
  <c r="BP67" i="27" s="1"/>
  <c r="AB131" i="27" a="1"/>
  <c r="AB131" i="27" s="1"/>
  <c r="L103" i="27" a="1"/>
  <c r="L103" i="27" s="1"/>
  <c r="AF131" i="27" a="1"/>
  <c r="AF131" i="27" s="1"/>
  <c r="AH91" i="27" a="1"/>
  <c r="AH91" i="27" s="1"/>
  <c r="AF86" i="27" a="1"/>
  <c r="AF86" i="27" s="1"/>
  <c r="Z108" i="27" a="1"/>
  <c r="Z108" i="27" s="1"/>
  <c r="N23" i="27" a="1"/>
  <c r="N23" i="27" s="1"/>
  <c r="AD52" i="27" a="1"/>
  <c r="AD52" i="27" s="1"/>
  <c r="L87" i="27" a="1"/>
  <c r="L87" i="27" s="1"/>
  <c r="P31" i="27" a="1"/>
  <c r="P31" i="27" s="1"/>
  <c r="T86" i="27" a="1"/>
  <c r="T86" i="27" s="1"/>
  <c r="AH39" i="27" a="1"/>
  <c r="AH39" i="27" s="1"/>
  <c r="Z103" i="27" a="1"/>
  <c r="Z103" i="27" s="1"/>
  <c r="N104" i="27" a="1"/>
  <c r="N104" i="27" s="1"/>
  <c r="AF38" i="27" a="1"/>
  <c r="AF38" i="27" s="1"/>
  <c r="Z123" i="27" a="1"/>
  <c r="Z123" i="27" s="1"/>
  <c r="V23" i="27" a="1"/>
  <c r="V23" i="27" s="1"/>
  <c r="X123" i="27" a="1"/>
  <c r="X123" i="27" s="1"/>
  <c r="T91" i="27" a="1"/>
  <c r="T91" i="27" s="1"/>
  <c r="L15" i="27" a="1"/>
  <c r="L15" i="27" s="1"/>
  <c r="N18" i="27" a="1"/>
  <c r="N18" i="27" s="1"/>
  <c r="P85" i="27" a="1"/>
  <c r="P85" i="27" s="1"/>
  <c r="O43" i="27" a="1"/>
  <c r="O43" i="27" s="1"/>
  <c r="X62" i="27" a="1"/>
  <c r="X62" i="27" s="1"/>
  <c r="P47" i="27" a="1"/>
  <c r="P47" i="27" s="1"/>
  <c r="P43" i="27" a="1"/>
  <c r="P43" i="27" s="1"/>
  <c r="Z87" i="27" a="1"/>
  <c r="Z87" i="27" s="1"/>
  <c r="R108" i="27" a="1"/>
  <c r="R108" i="27" s="1"/>
  <c r="L123" i="27" a="1"/>
  <c r="L123" i="27" s="1"/>
  <c r="V95" i="27" a="1"/>
  <c r="V95" i="27" s="1"/>
  <c r="P55" i="27" a="1"/>
  <c r="P55" i="27" s="1"/>
  <c r="AF127" i="27" a="1"/>
  <c r="AF127" i="27" s="1"/>
  <c r="V51" i="27" a="1"/>
  <c r="V51" i="27" s="1"/>
  <c r="AF52" i="27" a="1"/>
  <c r="AF52" i="27" s="1"/>
  <c r="P136" i="27" a="1"/>
  <c r="P136" i="27" s="1"/>
  <c r="L119" i="27" a="1"/>
  <c r="L119" i="27" s="1"/>
  <c r="P11" i="27" a="1"/>
  <c r="P11" i="27" s="1"/>
  <c r="T19" i="27" a="1"/>
  <c r="T19" i="27" s="1"/>
  <c r="N86" i="27" a="1"/>
  <c r="N86" i="27" s="1"/>
  <c r="AF79" i="27" a="1"/>
  <c r="AF79" i="27" s="1"/>
  <c r="AD87" i="27" a="1"/>
  <c r="AD87" i="27" s="1"/>
  <c r="X86" i="27" a="1"/>
  <c r="X86" i="27" s="1"/>
  <c r="P23" i="27" a="1"/>
  <c r="P23" i="27" s="1"/>
  <c r="L127" i="27" a="1"/>
  <c r="L127" i="27" s="1"/>
  <c r="AD136" i="27" a="1"/>
  <c r="AD136" i="27" s="1"/>
  <c r="R71" i="27" a="1"/>
  <c r="R71" i="27" s="1"/>
  <c r="AF104" i="27" a="1"/>
  <c r="AF104" i="27" s="1"/>
  <c r="AD95" i="27" a="1"/>
  <c r="AD95" i="27" s="1"/>
  <c r="X30" i="27" a="1"/>
  <c r="X30" i="27" s="1"/>
  <c r="AB47" i="27" a="1"/>
  <c r="AB47" i="27" s="1"/>
  <c r="AH34" i="27" a="1"/>
  <c r="AH34" i="27" s="1"/>
  <c r="Z51" i="27" a="1"/>
  <c r="Z51" i="27" s="1"/>
  <c r="AB127" i="27" a="1"/>
  <c r="AB127" i="27" s="1"/>
  <c r="AD131" i="27" a="1"/>
  <c r="AD131" i="27" s="1"/>
  <c r="AH103" i="27" a="1"/>
  <c r="AH103" i="27" s="1"/>
  <c r="R79" i="27" a="1"/>
  <c r="R79" i="27" s="1"/>
  <c r="N43" i="27" a="1"/>
  <c r="N43" i="27" s="1"/>
  <c r="AF108" i="27" a="1"/>
  <c r="AF108" i="27" s="1"/>
  <c r="AB50" i="27" a="1"/>
  <c r="AB50" i="27" s="1"/>
  <c r="R123" i="27" a="1"/>
  <c r="R123" i="27" s="1"/>
  <c r="X31" i="27" a="1"/>
  <c r="X31" i="27" s="1"/>
  <c r="T79" i="27" a="1"/>
  <c r="T79" i="27" s="1"/>
  <c r="AF19" i="27" a="1"/>
  <c r="AF19" i="27" s="1"/>
  <c r="L79" i="27" a="1"/>
  <c r="L79" i="27" s="1"/>
  <c r="AD47" i="27" a="1"/>
  <c r="AD47" i="27" s="1"/>
  <c r="V55" i="27" a="1"/>
  <c r="V55" i="27" s="1"/>
  <c r="AB79" i="27" a="1"/>
  <c r="AB79" i="27" s="1"/>
  <c r="T47" i="27" a="1"/>
  <c r="T47" i="27" s="1"/>
  <c r="N15" i="27" a="1"/>
  <c r="N15" i="27" s="1"/>
  <c r="R103" i="27" a="1"/>
  <c r="R103" i="27" s="1"/>
  <c r="R34" i="27" a="1"/>
  <c r="R34" i="27" s="1"/>
  <c r="AD71" i="27" a="1"/>
  <c r="AD71" i="27" s="1"/>
  <c r="N63" i="27" a="1"/>
  <c r="N63" i="27" s="1"/>
  <c r="AH55" i="27" a="1"/>
  <c r="AH55" i="27" s="1"/>
  <c r="Z15" i="27" a="1"/>
  <c r="Z15" i="27" s="1"/>
  <c r="AB37" i="27" a="1"/>
  <c r="AB37" i="27" s="1"/>
  <c r="L136" i="27" a="1"/>
  <c r="L136" i="27" s="1"/>
  <c r="N91" i="27" a="1"/>
  <c r="N91" i="27" s="1"/>
  <c r="T71" i="27" a="1"/>
  <c r="T71" i="27" s="1"/>
  <c r="R27" i="27" a="1"/>
  <c r="R27" i="27" s="1"/>
  <c r="R75" i="27" a="1"/>
  <c r="R75" i="27" s="1"/>
  <c r="Z30" i="27" a="1"/>
  <c r="Z30" i="27" s="1"/>
  <c r="Z83" i="27" a="1"/>
  <c r="Z83" i="27" s="1"/>
  <c r="AB55" i="27" a="1"/>
  <c r="AB55" i="27" s="1"/>
  <c r="AB107" i="27" a="1"/>
  <c r="AB107" i="27" s="1"/>
  <c r="P91" i="27" a="1"/>
  <c r="P91" i="27" s="1"/>
  <c r="L104" i="27" a="1"/>
  <c r="L104" i="27" s="1"/>
  <c r="Z43" i="27" a="1"/>
  <c r="Z43" i="27" s="1"/>
  <c r="Z136" i="27" a="1"/>
  <c r="Z136" i="27" s="1"/>
  <c r="X104" i="27" a="1"/>
  <c r="X104" i="27" s="1"/>
  <c r="AB19" i="27" a="1"/>
  <c r="AB19" i="27" s="1"/>
  <c r="T37" i="27" a="1"/>
  <c r="T37" i="27" s="1"/>
  <c r="Z104" i="27" a="1"/>
  <c r="Z104" i="27" s="1"/>
  <c r="P75" i="27" a="1"/>
  <c r="P75" i="27" s="1"/>
  <c r="Z85" i="27" a="1"/>
  <c r="Z85" i="27" s="1"/>
  <c r="X19" i="27" a="1"/>
  <c r="X19" i="27" s="1"/>
  <c r="L86" i="27" a="1"/>
  <c r="L86" i="27" s="1"/>
  <c r="V27" i="27" a="1"/>
  <c r="V27" i="27" s="1"/>
  <c r="AH119" i="27" a="1"/>
  <c r="AH119" i="27" s="1"/>
  <c r="V11" i="27" a="1"/>
  <c r="V11" i="27" s="1"/>
  <c r="AH15" i="27" a="1"/>
  <c r="AH15" i="27" s="1"/>
  <c r="L34" i="27" a="1"/>
  <c r="L34" i="27" s="1"/>
  <c r="L50" i="27" a="1"/>
  <c r="L50" i="27" s="1"/>
  <c r="Z27" i="27" a="1"/>
  <c r="Z27" i="27" s="1"/>
  <c r="AB34" i="27" a="1"/>
  <c r="AB34" i="27" s="1"/>
  <c r="AF18" i="27" a="1"/>
  <c r="AF18" i="27" s="1"/>
  <c r="P63" i="27" a="1"/>
  <c r="P63" i="27" s="1"/>
  <c r="AD55" i="27" a="1"/>
  <c r="AD55" i="27" s="1"/>
  <c r="N85" i="27" a="1"/>
  <c r="N85" i="27" s="1"/>
  <c r="R31" i="27" a="1"/>
  <c r="R31" i="27" s="1"/>
  <c r="AD38" i="27" a="1"/>
  <c r="AD38" i="27" s="1"/>
  <c r="Z131" i="27" a="1"/>
  <c r="Z131" i="27" s="1"/>
  <c r="V127" i="27" a="1"/>
  <c r="V127" i="27" s="1"/>
  <c r="P34" i="27" a="1"/>
  <c r="P34" i="27" s="1"/>
  <c r="L91" i="27" a="1"/>
  <c r="L91" i="27" s="1"/>
  <c r="T119" i="27" a="1"/>
  <c r="T119" i="27" s="1"/>
  <c r="N39" i="27" a="1"/>
  <c r="N39" i="27" s="1"/>
  <c r="T30" i="27" a="1"/>
  <c r="T30" i="27" s="1"/>
  <c r="V38" i="27" a="1"/>
  <c r="V38" i="27" s="1"/>
  <c r="AA127" i="27" a="1"/>
  <c r="AA127" i="27" s="1"/>
  <c r="AB62" i="27" a="1"/>
  <c r="AB62" i="27" s="1"/>
  <c r="AF30" i="27" a="1"/>
  <c r="AF30" i="27" s="1"/>
  <c r="O103" i="27" a="1"/>
  <c r="O103" i="27" s="1"/>
  <c r="Y91" i="27" a="1"/>
  <c r="Y91" i="27" s="1"/>
  <c r="N107" i="27" a="1"/>
  <c r="N107" i="27" s="1"/>
  <c r="AD51" i="27" a="1"/>
  <c r="AD51" i="27" s="1"/>
  <c r="AH131" i="27" a="1"/>
  <c r="AH131" i="27" s="1"/>
  <c r="AD91" i="27" a="1"/>
  <c r="AD91" i="27" s="1"/>
  <c r="L19" i="27" a="1"/>
  <c r="L19" i="27" s="1"/>
  <c r="T34" i="27" a="1"/>
  <c r="T34" i="27" s="1"/>
  <c r="T15" i="27" a="1"/>
  <c r="T15" i="27" s="1"/>
  <c r="X103" i="27" a="1"/>
  <c r="X103" i="27" s="1"/>
  <c r="X55" i="27" a="1"/>
  <c r="X55" i="27" s="1"/>
  <c r="N11" i="27" a="1"/>
  <c r="N11" i="27" s="1"/>
  <c r="AD18" i="27" a="1"/>
  <c r="AD18" i="27" s="1"/>
  <c r="AB71" i="27" a="1"/>
  <c r="AB71" i="27" s="1"/>
  <c r="V52" i="27" a="1"/>
  <c r="V52" i="27" s="1"/>
  <c r="Z127" i="27" a="1"/>
  <c r="Z127" i="27" s="1"/>
  <c r="AB18" i="27" a="1"/>
  <c r="AB18" i="27" s="1"/>
  <c r="L43" i="27" a="1"/>
  <c r="L43" i="27" s="1"/>
  <c r="X43" i="27" a="1"/>
  <c r="X43" i="27" s="1"/>
  <c r="P62" i="27" a="1"/>
  <c r="P62" i="27" s="1"/>
  <c r="R52" i="27" a="1"/>
  <c r="R52" i="27" s="1"/>
  <c r="N27" i="27" a="1"/>
  <c r="N27" i="27" s="1"/>
  <c r="R91" i="27" a="1"/>
  <c r="R91" i="27" s="1"/>
  <c r="AH35" i="27" a="1"/>
  <c r="AH35" i="27" s="1"/>
  <c r="AF75" i="27" a="1"/>
  <c r="AF75" i="27" s="1"/>
  <c r="AB30" i="27" a="1"/>
  <c r="AB30" i="27" s="1"/>
  <c r="X37" i="27" a="1"/>
  <c r="X37" i="27" s="1"/>
  <c r="AD123" i="27" a="1"/>
  <c r="AD123" i="27" s="1"/>
  <c r="X75" i="27" a="1"/>
  <c r="X75" i="27" s="1"/>
  <c r="T31" i="27" a="1"/>
  <c r="T31" i="27" s="1"/>
  <c r="AF34" i="27" a="1"/>
  <c r="AF34" i="27" s="1"/>
  <c r="S127" i="27" a="1"/>
  <c r="S127" i="27" s="1"/>
  <c r="N71" i="27" a="1"/>
  <c r="N71" i="27" s="1"/>
  <c r="S51" i="27" a="1"/>
  <c r="S51" i="27" s="1"/>
  <c r="M79" i="27" a="1"/>
  <c r="M79" i="27" s="1"/>
  <c r="AI18" i="27" a="1"/>
  <c r="AI18" i="27" s="1"/>
  <c r="AE104" i="27" a="1"/>
  <c r="AE104" i="27" s="1"/>
  <c r="AH30" i="27" a="1"/>
  <c r="AH30" i="27" s="1"/>
  <c r="AE27" i="27" a="1"/>
  <c r="AE27" i="27" s="1"/>
  <c r="M19" i="27" a="1"/>
  <c r="M19" i="27" s="1"/>
  <c r="P35" i="27" a="1"/>
  <c r="P35" i="27" s="1"/>
  <c r="T136" i="27" a="1"/>
  <c r="T136" i="27" s="1"/>
  <c r="Z19" i="27" a="1"/>
  <c r="Z19" i="27" s="1"/>
  <c r="AD23" i="27" a="1"/>
  <c r="AD23" i="27" s="1"/>
  <c r="Z18" i="27" a="1"/>
  <c r="Z18" i="27" s="1"/>
  <c r="R87" i="27" a="1"/>
  <c r="R87" i="27" s="1"/>
  <c r="AF15" i="27" a="1"/>
  <c r="AF15" i="27" s="1"/>
  <c r="AD15" i="27" a="1"/>
  <c r="AD15" i="27" s="1"/>
  <c r="AB91" i="27" a="1"/>
  <c r="AB91" i="27" s="1"/>
  <c r="V63" i="27" a="1"/>
  <c r="V63" i="27" s="1"/>
  <c r="X79" i="27" a="1"/>
  <c r="X79" i="27" s="1"/>
  <c r="R131" i="27" a="1"/>
  <c r="R131" i="27" s="1"/>
  <c r="T35" i="27" a="1"/>
  <c r="T35" i="27" s="1"/>
  <c r="AB87" i="27" a="1"/>
  <c r="AB87" i="27" s="1"/>
  <c r="N131" i="27" a="1"/>
  <c r="N131" i="27" s="1"/>
  <c r="AF123" i="27" a="1"/>
  <c r="AF123" i="27" s="1"/>
  <c r="L75" i="27" a="1"/>
  <c r="L75" i="27" s="1"/>
  <c r="Z79" i="27" a="1"/>
  <c r="Z79" i="27" s="1"/>
  <c r="AH79" i="27" a="1"/>
  <c r="AH79" i="27" s="1"/>
  <c r="AB51" i="27" a="1"/>
  <c r="AB51" i="27" s="1"/>
  <c r="AD86" i="27" a="1"/>
  <c r="AD86" i="27" s="1"/>
  <c r="AB43" i="27" a="1"/>
  <c r="AB43" i="27" s="1"/>
  <c r="AB103" i="27" a="1"/>
  <c r="AB103" i="27" s="1"/>
  <c r="X108" i="27" a="1"/>
  <c r="X108" i="27" s="1"/>
  <c r="AF91" i="27" a="1"/>
  <c r="AF91" i="27" s="1"/>
  <c r="AF71" i="27" a="1"/>
  <c r="AF71" i="27" s="1"/>
  <c r="AF83" i="27" a="1"/>
  <c r="AF83" i="27" s="1"/>
  <c r="V43" i="27" a="1"/>
  <c r="V43" i="27" s="1"/>
  <c r="Z91" i="27" a="1"/>
  <c r="Z91" i="27" s="1"/>
  <c r="AB52" i="27" a="1"/>
  <c r="AB52" i="27" s="1"/>
  <c r="AF103" i="27" a="1"/>
  <c r="AF103" i="27" s="1"/>
  <c r="AB11" i="27" a="1"/>
  <c r="AB11" i="27" s="1"/>
  <c r="V15" i="27" a="1"/>
  <c r="V15" i="27" s="1"/>
  <c r="R107" i="27" a="1"/>
  <c r="R107" i="27" s="1"/>
  <c r="AD19" i="27" a="1"/>
  <c r="AD19" i="27" s="1"/>
  <c r="AH87" i="27" a="1"/>
  <c r="AH87" i="27" s="1"/>
  <c r="Z35" i="27" a="1"/>
  <c r="Z35" i="27" s="1"/>
  <c r="X27" i="27" a="1"/>
  <c r="X27" i="27" s="1"/>
  <c r="AH38" i="27" a="1"/>
  <c r="AH38" i="27" s="1"/>
  <c r="P19" i="27" a="1"/>
  <c r="P19" i="27" s="1"/>
  <c r="P51" i="27" a="1"/>
  <c r="P51" i="27" s="1"/>
  <c r="T62" i="27" a="1"/>
  <c r="T62" i="27" s="1"/>
  <c r="R18" i="27" a="1"/>
  <c r="R18" i="27" s="1"/>
  <c r="AH83" i="27" a="1"/>
  <c r="AH83" i="27" s="1"/>
  <c r="Z55" i="27" a="1"/>
  <c r="Z55" i="27" s="1"/>
  <c r="X63" i="27" a="1"/>
  <c r="X63" i="27" s="1"/>
  <c r="N30" i="27" a="1"/>
  <c r="N30" i="27" s="1"/>
  <c r="V79" i="27" a="1"/>
  <c r="V79" i="27" s="1"/>
  <c r="X52" i="27" a="1"/>
  <c r="X52" i="27" s="1"/>
  <c r="V86" i="27" a="1"/>
  <c r="V86" i="27" s="1"/>
  <c r="X23" i="27" a="1"/>
  <c r="X23" i="27" s="1"/>
  <c r="X127" i="27" a="1"/>
  <c r="X127" i="27" s="1"/>
  <c r="AD107" i="27" a="1"/>
  <c r="AD107" i="27" s="1"/>
  <c r="L108" i="27" a="1"/>
  <c r="L108" i="27" s="1"/>
  <c r="Z62" i="27" a="1"/>
  <c r="Z62" i="27" s="1"/>
  <c r="T18" i="27" a="1"/>
  <c r="T18" i="27" s="1"/>
  <c r="Z75" i="27" a="1"/>
  <c r="Z75" i="27" s="1"/>
  <c r="N83" i="27" a="1"/>
  <c r="N83" i="27" s="1"/>
  <c r="R127" i="27" a="1"/>
  <c r="R127" i="27" s="1"/>
  <c r="AD37" i="27" a="1"/>
  <c r="AD37" i="27" s="1"/>
  <c r="T108" i="27" a="1"/>
  <c r="T108" i="27" s="1"/>
  <c r="AD50" i="27" a="1"/>
  <c r="AD50" i="27" s="1"/>
  <c r="X119" i="27" a="1"/>
  <c r="X119" i="27" s="1"/>
  <c r="AB123" i="27" a="1"/>
  <c r="AB123" i="27" s="1"/>
  <c r="AD75" i="27" a="1"/>
  <c r="AD75" i="27" s="1"/>
  <c r="L30" i="27" a="1"/>
  <c r="L30" i="27" s="1"/>
  <c r="L31" i="27" a="1"/>
  <c r="L31" i="27" s="1"/>
  <c r="P87" i="27" a="1"/>
  <c r="P87" i="27" s="1"/>
  <c r="AF37" i="27" a="1"/>
  <c r="AF37" i="27" s="1"/>
  <c r="L18" i="27" a="1"/>
  <c r="L18" i="27" s="1"/>
  <c r="Z31" i="27" a="1"/>
  <c r="Z31" i="27" s="1"/>
  <c r="T131" i="27" a="1"/>
  <c r="T131" i="27" s="1"/>
  <c r="N108" i="27" a="1"/>
  <c r="N108" i="27" s="1"/>
  <c r="AH86" i="27" a="1"/>
  <c r="AH86" i="27" s="1"/>
  <c r="X39" i="27" a="1"/>
  <c r="X39" i="27" s="1"/>
  <c r="AD43" i="27" a="1"/>
  <c r="AD43" i="27" s="1"/>
  <c r="AB136" i="27" a="1"/>
  <c r="AB136" i="27" s="1"/>
  <c r="V18" i="27" a="1"/>
  <c r="V18" i="27" s="1"/>
  <c r="X11" i="27" a="1"/>
  <c r="X11" i="27" s="1"/>
  <c r="X47" i="27" a="1"/>
  <c r="X47" i="27" s="1"/>
  <c r="AF85" i="27" a="1"/>
  <c r="AF85" i="27" s="1"/>
  <c r="X51" i="27" a="1"/>
  <c r="X51" i="27" s="1"/>
  <c r="AD35" i="27" a="1"/>
  <c r="AD35" i="27" s="1"/>
  <c r="V119" i="27" a="1"/>
  <c r="V119" i="27" s="1"/>
  <c r="AH95" i="27" a="1"/>
  <c r="AH95" i="27" s="1"/>
  <c r="N75" i="27" a="1"/>
  <c r="N75" i="27" s="1"/>
  <c r="R15" i="27" a="1"/>
  <c r="R15" i="27" s="1"/>
  <c r="AB108" i="27" a="1"/>
  <c r="AB108" i="27" s="1"/>
  <c r="T123" i="27" a="1"/>
  <c r="T123" i="27" s="1"/>
  <c r="AD27" i="27" a="1"/>
  <c r="AD27" i="27" s="1"/>
  <c r="AD39" i="27" a="1"/>
  <c r="AD39" i="27" s="1"/>
  <c r="AB31" i="27" a="1"/>
  <c r="AB31" i="27" s="1"/>
  <c r="T55" i="27" a="1"/>
  <c r="T55" i="27" s="1"/>
  <c r="L131" i="27" a="1"/>
  <c r="L131" i="27" s="1"/>
  <c r="X107" i="27" a="1"/>
  <c r="X107" i="27" s="1"/>
  <c r="AH136" i="27" a="1"/>
  <c r="AH136" i="27" s="1"/>
  <c r="AB95" i="27" a="1"/>
  <c r="AB95" i="27" s="1"/>
  <c r="L39" i="27" a="1"/>
  <c r="L39" i="27" s="1"/>
  <c r="AH85" i="27" a="1"/>
  <c r="AH85" i="27" s="1"/>
  <c r="R83" i="27" a="1"/>
  <c r="R83" i="27" s="1"/>
  <c r="T38" i="27" a="1"/>
  <c r="T38" i="27" s="1"/>
  <c r="Q11" i="27" a="1"/>
  <c r="Q11" i="27" s="1"/>
  <c r="AA103" i="27" a="1"/>
  <c r="AA103" i="27" s="1"/>
  <c r="AA119" i="27" a="1"/>
  <c r="AA119" i="27" s="1"/>
  <c r="AG83" i="27" a="1"/>
  <c r="AG83" i="27" s="1"/>
  <c r="Q86" i="27" a="1"/>
  <c r="Q86" i="27" s="1"/>
  <c r="S37" i="27" a="1"/>
  <c r="S37" i="27" s="1"/>
  <c r="BJ115" i="27"/>
  <c r="BL115" i="27" s="1"/>
  <c r="BP115" i="27" s="1"/>
  <c r="BJ111" i="27"/>
  <c r="BL111" i="27" s="1"/>
  <c r="AC37" i="27" a="1"/>
  <c r="AC37" i="27" s="1"/>
  <c r="W31" i="27" a="1"/>
  <c r="W31" i="27" s="1"/>
  <c r="W71" i="27" a="1"/>
  <c r="W71" i="27" s="1"/>
  <c r="AI123" i="27" a="1"/>
  <c r="AI123" i="27" s="1"/>
  <c r="M55" i="27" a="1"/>
  <c r="M55" i="27" s="1"/>
  <c r="AH44" i="27" a="1"/>
  <c r="AH44" i="27" s="1"/>
  <c r="Y44" i="27" a="1"/>
  <c r="Y44" i="27" s="1"/>
  <c r="AH81" i="27" a="1"/>
  <c r="AH81" i="27" s="1"/>
  <c r="W81" i="27" a="1"/>
  <c r="W81" i="27" s="1"/>
  <c r="S44" i="27" a="1"/>
  <c r="S44" i="27" s="1"/>
  <c r="Q44" i="27" a="1"/>
  <c r="Q44" i="27" s="1"/>
  <c r="AH61" i="27" a="1"/>
  <c r="AH61" i="27" s="1"/>
  <c r="BJ101" i="27"/>
  <c r="BL101" i="27" s="1"/>
  <c r="U44" i="27" a="1"/>
  <c r="U44" i="27" s="1"/>
  <c r="U61" i="27" a="1"/>
  <c r="U61" i="27" s="1"/>
  <c r="S81" i="27" a="1"/>
  <c r="S81" i="27" s="1"/>
  <c r="X61" i="27" a="1"/>
  <c r="X61" i="27" s="1"/>
  <c r="X81" i="27" a="1"/>
  <c r="X81" i="27" s="1"/>
  <c r="T61" i="27" a="1"/>
  <c r="T61" i="27" s="1"/>
  <c r="W44" i="27" a="1"/>
  <c r="W44" i="27" s="1"/>
  <c r="O61" i="27" a="1"/>
  <c r="O61" i="27" s="1"/>
  <c r="AG44" i="27" a="1"/>
  <c r="AG44" i="27" s="1"/>
  <c r="AC61" i="27" a="1"/>
  <c r="AC61" i="27" s="1"/>
  <c r="L81" i="27" a="1"/>
  <c r="L81" i="27" s="1"/>
  <c r="AI44" i="27" a="1"/>
  <c r="AI44" i="27" s="1"/>
  <c r="N44" i="27" a="1"/>
  <c r="N44" i="27" s="1"/>
  <c r="AE79" i="27" a="1"/>
  <c r="AE79" i="27" s="1"/>
  <c r="Q131" i="27" a="1"/>
  <c r="Q131" i="27" s="1"/>
  <c r="Y18" i="27" a="1"/>
  <c r="Y18" i="27" s="1"/>
  <c r="S63" i="27" a="1"/>
  <c r="S63" i="27" s="1"/>
  <c r="AI38" i="27" a="1"/>
  <c r="AI38" i="27" s="1"/>
  <c r="AE107" i="27" a="1"/>
  <c r="AE107" i="27" s="1"/>
  <c r="Q108" i="27" a="1"/>
  <c r="Q108" i="27" s="1"/>
  <c r="AE71" i="27" a="1"/>
  <c r="AE71" i="27" s="1"/>
  <c r="O131" i="27" a="1"/>
  <c r="O131" i="27" s="1"/>
  <c r="U37" i="27" a="1"/>
  <c r="U37" i="27" s="1"/>
  <c r="AA104" i="27" a="1"/>
  <c r="AA104" i="27" s="1"/>
  <c r="AI63" i="27" a="1"/>
  <c r="AI63" i="27" s="1"/>
  <c r="O85" i="27" a="1"/>
  <c r="O85" i="27" s="1"/>
  <c r="AG23" i="27" a="1"/>
  <c r="AG23" i="27" s="1"/>
  <c r="S11" i="27" a="1"/>
  <c r="S11" i="27" s="1"/>
  <c r="AE87" i="27" a="1"/>
  <c r="AE87" i="27" s="1"/>
  <c r="M23" i="27" a="1"/>
  <c r="M23" i="27" s="1"/>
  <c r="V50" i="27" a="1"/>
  <c r="V50" i="27" s="1"/>
  <c r="AH18" i="27" a="1"/>
  <c r="AH18" i="27" s="1"/>
  <c r="AE123" i="27" a="1"/>
  <c r="AE123" i="27" s="1"/>
  <c r="U27" i="27" a="1"/>
  <c r="U27" i="27" s="1"/>
  <c r="AE39" i="27" a="1"/>
  <c r="AE39" i="27" s="1"/>
  <c r="L38" i="27" a="1"/>
  <c r="L38" i="27" s="1"/>
  <c r="V131" i="27" a="1"/>
  <c r="V131" i="27" s="1"/>
  <c r="AA37" i="27" a="1"/>
  <c r="AA37" i="27" s="1"/>
  <c r="Y62" i="27" a="1"/>
  <c r="Y62" i="27" s="1"/>
  <c r="O104" i="27" a="1"/>
  <c r="O104" i="27" s="1"/>
  <c r="W119" i="27" a="1"/>
  <c r="W119" i="27" s="1"/>
  <c r="T27" i="27" a="1"/>
  <c r="T27" i="27" s="1"/>
  <c r="Q95" i="27" a="1"/>
  <c r="Q95" i="27" s="1"/>
  <c r="Q52" i="27" a="1"/>
  <c r="Q52" i="27" s="1"/>
  <c r="V91" i="27" a="1"/>
  <c r="V91" i="27" s="1"/>
  <c r="AA95" i="27" a="1"/>
  <c r="AA95" i="27" s="1"/>
  <c r="AC35" i="27" a="1"/>
  <c r="AC35" i="27" s="1"/>
  <c r="AI108" i="27" a="1"/>
  <c r="AI108" i="27" s="1"/>
  <c r="Y79" i="27" a="1"/>
  <c r="Y79" i="27" s="1"/>
  <c r="U43" i="27" a="1"/>
  <c r="U43" i="27" s="1"/>
  <c r="AC108" i="27" a="1"/>
  <c r="AC108" i="27" s="1"/>
  <c r="AC79" i="27" a="1"/>
  <c r="AC79" i="27" s="1"/>
  <c r="AG37" i="27" a="1"/>
  <c r="AG37" i="27" s="1"/>
  <c r="S19" i="27" a="1"/>
  <c r="S19" i="27" s="1"/>
  <c r="W47" i="27" a="1"/>
  <c r="W47" i="27" s="1"/>
  <c r="AI103" i="27" a="1"/>
  <c r="AI103" i="27" s="1"/>
  <c r="U108" i="27" a="1"/>
  <c r="U108" i="27" s="1"/>
  <c r="M62" i="27" a="1"/>
  <c r="M62" i="27" s="1"/>
  <c r="AB119" i="27" a="1"/>
  <c r="AB119" i="27" s="1"/>
  <c r="AC39" i="27" a="1"/>
  <c r="AC39" i="27" s="1"/>
  <c r="Q38" i="27" a="1"/>
  <c r="Q38" i="27" s="1"/>
  <c r="M51" i="27" a="1"/>
  <c r="M51" i="27" s="1"/>
  <c r="AH19" i="27" a="1"/>
  <c r="AH19" i="27" s="1"/>
  <c r="U79" i="27" a="1"/>
  <c r="U79" i="27" s="1"/>
  <c r="R86" i="27" a="1"/>
  <c r="R86" i="27" s="1"/>
  <c r="AI62" i="27" a="1"/>
  <c r="AI62" i="27" s="1"/>
  <c r="N123" i="27" a="1"/>
  <c r="N123" i="27" s="1"/>
  <c r="R95" i="27" a="1"/>
  <c r="R95" i="27" s="1"/>
  <c r="Y75" i="27" a="1"/>
  <c r="Y75" i="27" s="1"/>
  <c r="X85" i="27" a="1"/>
  <c r="X85" i="27" s="1"/>
  <c r="O38" i="27" a="1"/>
  <c r="O38" i="27" s="1"/>
  <c r="AF50" i="27" a="1"/>
  <c r="AF50" i="27" s="1"/>
  <c r="Y123" i="27" a="1"/>
  <c r="Y123" i="27" s="1"/>
  <c r="AA38" i="27" a="1"/>
  <c r="AA38" i="27" s="1"/>
  <c r="AA19" i="27" a="1"/>
  <c r="AA19" i="27" s="1"/>
  <c r="AC23" i="27" a="1"/>
  <c r="AC23" i="27" s="1"/>
  <c r="AE127" i="27" a="1"/>
  <c r="AE127" i="27" s="1"/>
  <c r="U35" i="27" a="1"/>
  <c r="U35" i="27" s="1"/>
  <c r="P50" i="27" a="1"/>
  <c r="P50" i="27" s="1"/>
  <c r="O37" i="27" a="1"/>
  <c r="O37" i="27" s="1"/>
  <c r="Q91" i="27" a="1"/>
  <c r="Q91" i="27" s="1"/>
  <c r="V37" i="27" a="1"/>
  <c r="V37" i="27" s="1"/>
  <c r="Q27" i="27" a="1"/>
  <c r="Q27" i="27" s="1"/>
  <c r="AI30" i="27" a="1"/>
  <c r="AI30" i="27" s="1"/>
  <c r="U131" i="27" a="1"/>
  <c r="U131" i="27" s="1"/>
  <c r="W34" i="27" a="1"/>
  <c r="W34" i="27" s="1"/>
  <c r="AC15" i="27" a="1"/>
  <c r="AC15" i="27" s="1"/>
  <c r="T107" i="27" a="1"/>
  <c r="T107" i="27" s="1"/>
  <c r="Y95" i="27" a="1"/>
  <c r="Y95" i="27" s="1"/>
  <c r="AG87" i="27" a="1"/>
  <c r="AG87" i="27" s="1"/>
  <c r="V19" i="27" a="1"/>
  <c r="V19" i="27" s="1"/>
  <c r="T11" i="27" a="1"/>
  <c r="T11" i="27" s="1"/>
  <c r="N87" i="27" a="1"/>
  <c r="N87" i="27" s="1"/>
  <c r="AG52" i="27" a="1"/>
  <c r="AG52" i="27" s="1"/>
  <c r="W23" i="27" a="1"/>
  <c r="W23" i="27" s="1"/>
  <c r="P119" i="27" a="1"/>
  <c r="P119" i="27" s="1"/>
  <c r="AC27" i="27" a="1"/>
  <c r="AC27" i="27" s="1"/>
  <c r="P39" i="27" a="1"/>
  <c r="P39" i="27" s="1"/>
  <c r="AC85" i="27" a="1"/>
  <c r="AC85" i="27" s="1"/>
  <c r="AH31" i="27" a="1"/>
  <c r="AH31" i="27" s="1"/>
  <c r="Q39" i="27" a="1"/>
  <c r="Q39" i="27" s="1"/>
  <c r="M85" i="27" a="1"/>
  <c r="M85" i="27" s="1"/>
  <c r="M87" i="27" a="1"/>
  <c r="M87" i="27" s="1"/>
  <c r="AI86" i="27" a="1"/>
  <c r="AI86" i="27" s="1"/>
  <c r="O23" i="27" a="1"/>
  <c r="O23" i="27" s="1"/>
  <c r="S131" i="27" a="1"/>
  <c r="S131" i="27" s="1"/>
  <c r="Q35" i="27" a="1"/>
  <c r="Q35" i="27" s="1"/>
  <c r="AA107" i="27" a="1"/>
  <c r="AA107" i="27" s="1"/>
  <c r="O136" i="27" a="1"/>
  <c r="O136" i="27" s="1"/>
  <c r="O39" i="27" a="1"/>
  <c r="O39" i="27" s="1"/>
  <c r="AC55" i="27" a="1"/>
  <c r="AC55" i="27" s="1"/>
  <c r="AA15" i="27" a="1"/>
  <c r="AA15" i="27" s="1"/>
  <c r="W103" i="27" a="1"/>
  <c r="W103" i="27" s="1"/>
  <c r="S83" i="27" a="1"/>
  <c r="S83" i="27" s="1"/>
  <c r="S103" i="27" a="1"/>
  <c r="S103" i="27" s="1"/>
  <c r="AC136" i="27" a="1"/>
  <c r="AC136" i="27" s="1"/>
  <c r="AI71" i="27" a="1"/>
  <c r="AI71" i="27" s="1"/>
  <c r="Y34" i="27" a="1"/>
  <c r="Y34" i="27" s="1"/>
  <c r="U104" i="27" a="1"/>
  <c r="U104" i="27" s="1"/>
  <c r="AC119" i="27" a="1"/>
  <c r="AC119" i="27" s="1"/>
  <c r="AI27" i="27" a="1"/>
  <c r="AI27" i="27" s="1"/>
  <c r="O31" i="27" a="1"/>
  <c r="O31" i="27" s="1"/>
  <c r="M131" i="27" a="1"/>
  <c r="M131" i="27" s="1"/>
  <c r="W50" i="27" a="1"/>
  <c r="W50" i="27" s="1"/>
  <c r="W55" i="27" a="1"/>
  <c r="W55" i="27" s="1"/>
  <c r="S31" i="27" a="1"/>
  <c r="S31" i="27" s="1"/>
  <c r="M43" i="27" a="1"/>
  <c r="M43" i="27" s="1"/>
  <c r="AI37" i="27" a="1"/>
  <c r="AI37" i="27" s="1"/>
  <c r="U62" i="27" a="1"/>
  <c r="U62" i="27" s="1"/>
  <c r="W18" i="27" a="1"/>
  <c r="W18" i="27" s="1"/>
  <c r="Q123" i="27" a="1"/>
  <c r="Q123" i="27" s="1"/>
  <c r="P18" i="27" a="1"/>
  <c r="P18" i="27" s="1"/>
  <c r="AE95" i="27" a="1"/>
  <c r="AE95" i="27" s="1"/>
  <c r="W75" i="27" a="1"/>
  <c r="W75" i="27" s="1"/>
  <c r="AE55" i="27" a="1"/>
  <c r="AE55" i="27" s="1"/>
  <c r="AI127" i="27" a="1"/>
  <c r="AI127" i="27" s="1"/>
  <c r="M34" i="27" a="1"/>
  <c r="M34" i="27" s="1"/>
  <c r="O50" i="27" a="1"/>
  <c r="O50" i="27" s="1"/>
  <c r="AE38" i="27" a="1"/>
  <c r="AE38" i="27" s="1"/>
  <c r="O62" i="27" a="1"/>
  <c r="O62" i="27" s="1"/>
  <c r="O95" i="27" a="1"/>
  <c r="O95" i="27" s="1"/>
  <c r="U85" i="27" a="1"/>
  <c r="U85" i="27" s="1"/>
  <c r="Q55" i="27" a="1"/>
  <c r="Q55" i="27" s="1"/>
  <c r="BJ70" i="27"/>
  <c r="BJ54" i="27"/>
  <c r="BL54" i="27" s="1"/>
  <c r="U87" i="27" a="1"/>
  <c r="U87" i="27" s="1"/>
  <c r="AI15" i="27" a="1"/>
  <c r="AI15" i="27" s="1"/>
  <c r="AE119" i="27" a="1"/>
  <c r="AE119" i="27" s="1"/>
  <c r="M47" i="27" a="1"/>
  <c r="M47" i="27" s="1"/>
  <c r="AG107" i="27" a="1"/>
  <c r="AG107" i="27" s="1"/>
  <c r="U11" i="27" a="1"/>
  <c r="U11" i="27" s="1"/>
  <c r="AE47" i="27" a="1"/>
  <c r="AE47" i="27" s="1"/>
  <c r="X15" i="27" a="1"/>
  <c r="X15" i="27" s="1"/>
  <c r="AA27" i="27" a="1"/>
  <c r="AA27" i="27" s="1"/>
  <c r="W39" i="27" a="1"/>
  <c r="W39" i="27" s="1"/>
  <c r="U19" i="27" a="1"/>
  <c r="U19" i="27" s="1"/>
  <c r="W52" i="27" a="1"/>
  <c r="W52" i="27" s="1"/>
  <c r="AG19" i="27" a="1"/>
  <c r="AG19" i="27" s="1"/>
  <c r="AE51" i="27" a="1"/>
  <c r="AE51" i="27" s="1"/>
  <c r="Q23" i="27" a="1"/>
  <c r="Q23" i="27" s="1"/>
  <c r="Y104" i="27" a="1"/>
  <c r="Y104" i="27" s="1"/>
  <c r="S119" i="27" a="1"/>
  <c r="S119" i="27" s="1"/>
  <c r="M123" i="27" a="1"/>
  <c r="M123" i="27" s="1"/>
  <c r="V83" i="27" a="1"/>
  <c r="V83" i="27" s="1"/>
  <c r="AD62" i="27" a="1"/>
  <c r="AD62" i="27" s="1"/>
  <c r="U75" i="27" a="1"/>
  <c r="U75" i="27" s="1"/>
  <c r="P30" i="27" a="1"/>
  <c r="P30" i="27" s="1"/>
  <c r="Y19" i="27" a="1"/>
  <c r="Y19" i="27" s="1"/>
  <c r="AI11" i="27" a="1"/>
  <c r="AI11" i="27" s="1"/>
  <c r="Z52" i="27" a="1"/>
  <c r="Z52" i="27" s="1"/>
  <c r="W15" i="27" a="1"/>
  <c r="W15" i="27" s="1"/>
  <c r="AA34" i="27" a="1"/>
  <c r="AA34" i="27" s="1"/>
  <c r="AE62" i="27" a="1"/>
  <c r="AE62" i="27" s="1"/>
  <c r="U18" i="27" a="1"/>
  <c r="U18" i="27" s="1"/>
  <c r="Z86" i="27" a="1"/>
  <c r="Z86" i="27" s="1"/>
  <c r="S123" i="27" a="1"/>
  <c r="S123" i="27" s="1"/>
  <c r="W79" i="27" a="1"/>
  <c r="W79" i="27" s="1"/>
  <c r="AE23" i="27" a="1"/>
  <c r="AE23" i="27" s="1"/>
  <c r="M37" i="27" a="1"/>
  <c r="M37" i="27" s="1"/>
  <c r="U51" i="27" a="1"/>
  <c r="U51" i="27" s="1"/>
  <c r="W131" i="27" a="1"/>
  <c r="W131" i="27" s="1"/>
  <c r="U91" i="27" a="1"/>
  <c r="U91" i="27" s="1"/>
  <c r="Y85" i="27" a="1"/>
  <c r="Y85" i="27" s="1"/>
  <c r="O52" i="27" a="1"/>
  <c r="O52" i="27" s="1"/>
  <c r="AI34" i="27" a="1"/>
  <c r="AI34" i="27" s="1"/>
  <c r="AG91" i="27" a="1"/>
  <c r="AG91" i="27" s="1"/>
  <c r="AC47" i="27" a="1"/>
  <c r="AC47" i="27" s="1"/>
  <c r="Q107" i="27" a="1"/>
  <c r="Q107" i="27" s="1"/>
  <c r="AA91" i="27" a="1"/>
  <c r="AA91" i="27" s="1"/>
  <c r="Q50" i="27" a="1"/>
  <c r="Q50" i="27" s="1"/>
  <c r="M63" i="27" a="1"/>
  <c r="M63" i="27" s="1"/>
  <c r="W38" i="27" a="1"/>
  <c r="W38" i="27" s="1"/>
  <c r="S87" i="27" a="1"/>
  <c r="S87" i="27" s="1"/>
  <c r="AI51" i="27" a="1"/>
  <c r="AI51" i="27" s="1"/>
  <c r="AE52" i="27" a="1"/>
  <c r="AE52" i="27" s="1"/>
  <c r="Y47" i="27" a="1"/>
  <c r="Y47" i="27" s="1"/>
  <c r="P104" i="27" a="1"/>
  <c r="P104" i="27" s="1"/>
  <c r="Q63" i="27" a="1"/>
  <c r="Q63" i="27" s="1"/>
  <c r="AG95" i="27" a="1"/>
  <c r="AG95" i="27" s="1"/>
  <c r="M75" i="27" a="1"/>
  <c r="M75" i="27" s="1"/>
  <c r="R38" i="27" a="1"/>
  <c r="R38" i="27" s="1"/>
  <c r="T63" i="27" a="1"/>
  <c r="T63" i="27" s="1"/>
  <c r="Y55" i="27" a="1"/>
  <c r="Y55" i="27" s="1"/>
  <c r="AG79" i="27" a="1"/>
  <c r="AG79" i="27" s="1"/>
  <c r="AA52" i="27" a="1"/>
  <c r="AA52" i="27" s="1"/>
  <c r="AI43" i="27" a="1"/>
  <c r="AI43" i="27" s="1"/>
  <c r="Y35" i="27" a="1"/>
  <c r="Y35" i="27" s="1"/>
  <c r="U34" i="27" a="1"/>
  <c r="U34" i="27" s="1"/>
  <c r="V75" i="27" a="1"/>
  <c r="V75" i="27" s="1"/>
  <c r="AE15" i="27" a="1"/>
  <c r="AE15" i="27" s="1"/>
  <c r="X136" i="27" a="1"/>
  <c r="X136" i="27" s="1"/>
  <c r="AE19" i="27" a="1"/>
  <c r="AE19" i="27" s="1"/>
  <c r="AE34" i="27" a="1"/>
  <c r="AE34" i="27" s="1"/>
  <c r="AC87" i="27" a="1"/>
  <c r="AC87" i="27" s="1"/>
  <c r="AI35" i="27" a="1"/>
  <c r="AI35" i="27" s="1"/>
  <c r="R136" i="27" a="1"/>
  <c r="R136" i="27" s="1"/>
  <c r="AA11" i="27" a="1"/>
  <c r="AA11" i="27" s="1"/>
  <c r="S86" i="27" a="1"/>
  <c r="S86" i="27" s="1"/>
  <c r="AC127" i="27" a="1"/>
  <c r="AC127" i="27" s="1"/>
  <c r="AA83" i="27" a="1"/>
  <c r="AA83" i="27" s="1"/>
  <c r="AI19" i="27" a="1"/>
  <c r="AI19" i="27" s="1"/>
  <c r="N52" i="27" a="1"/>
  <c r="N52" i="27" s="1"/>
  <c r="P79" i="27" a="1"/>
  <c r="P79" i="27" s="1"/>
  <c r="AA23" i="27" a="1"/>
  <c r="AA23" i="27" s="1"/>
  <c r="AI39" i="27" a="1"/>
  <c r="AI39" i="27" s="1"/>
  <c r="AA55" i="27" a="1"/>
  <c r="AA55" i="27" s="1"/>
  <c r="AH123" i="27" a="1"/>
  <c r="AH123" i="27" s="1"/>
  <c r="AI83" i="27" a="1"/>
  <c r="AI83" i="27" s="1"/>
  <c r="O19" i="27" a="1"/>
  <c r="O19" i="27" s="1"/>
  <c r="Q79" i="27" a="1"/>
  <c r="Q79" i="27" s="1"/>
  <c r="Y52" i="27" a="1"/>
  <c r="Y52" i="27" s="1"/>
  <c r="M86" i="27" a="1"/>
  <c r="M86" i="27" s="1"/>
  <c r="AE43" i="27" a="1"/>
  <c r="AE43" i="27" s="1"/>
  <c r="O15" i="27" a="1"/>
  <c r="O15" i="27" s="1"/>
  <c r="M35" i="27" a="1"/>
  <c r="M35" i="27" s="1"/>
  <c r="Q37" i="27" a="1"/>
  <c r="Q37" i="27" s="1"/>
  <c r="AA108" i="27" a="1"/>
  <c r="AA108" i="27" s="1"/>
  <c r="S39" i="27" a="1"/>
  <c r="S39" i="27" s="1"/>
  <c r="AG55" i="27" a="1"/>
  <c r="AG55" i="27" s="1"/>
  <c r="W127" i="27" a="1"/>
  <c r="W127" i="27" s="1"/>
  <c r="S107" i="27" a="1"/>
  <c r="S107" i="27" s="1"/>
  <c r="AI75" i="27" a="1"/>
  <c r="AI75" i="27" s="1"/>
  <c r="Y43" i="27" a="1"/>
  <c r="Y43" i="27" s="1"/>
  <c r="M103" i="27" a="1"/>
  <c r="M103" i="27" s="1"/>
  <c r="Y108" i="27" a="1"/>
  <c r="Y108" i="27" s="1"/>
  <c r="AG62" i="27" a="1"/>
  <c r="AG62" i="27" s="1"/>
  <c r="Y63" i="27" a="1"/>
  <c r="Y63" i="27" s="1"/>
  <c r="AG75" i="27" a="1"/>
  <c r="AG75" i="27" s="1"/>
  <c r="AC30" i="27" a="1"/>
  <c r="AC30" i="27" s="1"/>
  <c r="U107" i="27" a="1"/>
  <c r="U107" i="27" s="1"/>
  <c r="Y136" i="27" a="1"/>
  <c r="Y136" i="27" s="1"/>
  <c r="Y27" i="27" a="1"/>
  <c r="Y27" i="27" s="1"/>
  <c r="S38" i="27" a="1"/>
  <c r="S38" i="27" s="1"/>
  <c r="W35" i="27" a="1"/>
  <c r="W35" i="27" s="1"/>
  <c r="M50" i="27" a="1"/>
  <c r="M50" i="27" s="1"/>
  <c r="AA85" i="27" a="1"/>
  <c r="AA85" i="27" s="1"/>
  <c r="M38" i="27" a="1"/>
  <c r="M38" i="27" s="1"/>
  <c r="Y127" i="27" a="1"/>
  <c r="Y127" i="27" s="1"/>
  <c r="U136" i="27" a="1"/>
  <c r="U136" i="27" s="1"/>
  <c r="Y71" i="27" a="1"/>
  <c r="Y71" i="27" s="1"/>
  <c r="AC50" i="27" a="1"/>
  <c r="AC50" i="27" s="1"/>
  <c r="AG18" i="27" a="1"/>
  <c r="AG18" i="27" s="1"/>
  <c r="O63" i="27" a="1"/>
  <c r="O63" i="27" s="1"/>
  <c r="R50" i="27" a="1"/>
  <c r="R50" i="27" s="1"/>
  <c r="Q119" i="27" a="1"/>
  <c r="Q119" i="27" s="1"/>
  <c r="AC123" i="27" a="1"/>
  <c r="AC123" i="27" s="1"/>
  <c r="O27" i="27" a="1"/>
  <c r="O27" i="27" s="1"/>
  <c r="AI95" i="27" a="1"/>
  <c r="AI95" i="27" s="1"/>
  <c r="AE35" i="27" a="1"/>
  <c r="AE35" i="27" s="1"/>
  <c r="S136" i="27" a="1"/>
  <c r="S136" i="27" s="1"/>
  <c r="AC75" i="27" a="1"/>
  <c r="AC75" i="27" s="1"/>
  <c r="O30" i="27" a="1"/>
  <c r="O30" i="27" s="1"/>
  <c r="S50" i="27" a="1"/>
  <c r="S50" i="27" s="1"/>
  <c r="BJ135" i="27"/>
  <c r="BH135" i="27" s="1"/>
  <c r="F133" i="12" s="1"/>
  <c r="R61" i="27" a="1"/>
  <c r="R61" i="27" s="1"/>
  <c r="L61" i="27" a="1"/>
  <c r="L61" i="27" s="1"/>
  <c r="R81" i="27" a="1"/>
  <c r="R81" i="27" s="1"/>
  <c r="BJ99" i="27"/>
  <c r="M61" i="27" a="1"/>
  <c r="M61" i="27" s="1"/>
  <c r="M44" i="27" a="1"/>
  <c r="M44" i="27" s="1"/>
  <c r="Y61" i="27" a="1"/>
  <c r="Y61" i="27" s="1"/>
  <c r="V81" i="27" a="1"/>
  <c r="V81" i="27" s="1"/>
  <c r="V44" i="27" a="1"/>
  <c r="V44" i="27" s="1"/>
  <c r="AA44" i="27" a="1"/>
  <c r="AA44" i="27" s="1"/>
  <c r="W61" i="27" a="1"/>
  <c r="W61" i="27" s="1"/>
  <c r="U81" i="27" a="1"/>
  <c r="U81" i="27" s="1"/>
  <c r="Q61" i="27" a="1"/>
  <c r="Q61" i="27" s="1"/>
  <c r="O81" i="27" a="1"/>
  <c r="O81" i="27" s="1"/>
  <c r="Z44" i="27" a="1"/>
  <c r="Z44" i="27" s="1"/>
  <c r="BJ74" i="27"/>
  <c r="BL74" i="27" s="1"/>
  <c r="AF44" i="27" a="1"/>
  <c r="AF44" i="27" s="1"/>
  <c r="P61" i="27" a="1"/>
  <c r="P61" i="27" s="1"/>
  <c r="N81" i="27" a="1"/>
  <c r="N81" i="27" s="1"/>
  <c r="AA61" i="27" a="1"/>
  <c r="AA61" i="27" s="1"/>
  <c r="R44" i="27" a="1"/>
  <c r="R44" i="27" s="1"/>
  <c r="V61" i="27" a="1"/>
  <c r="V61" i="27" s="1"/>
  <c r="AA81" i="27" a="1"/>
  <c r="AA81" i="27" s="1"/>
  <c r="W37" i="27" a="1"/>
  <c r="W37" i="27" s="1"/>
  <c r="Q19" i="27" a="1"/>
  <c r="Q19" i="27" s="1"/>
  <c r="AD103" i="27" a="1"/>
  <c r="AD103" i="27" s="1"/>
  <c r="AE50" i="27" a="1"/>
  <c r="AE50" i="27" s="1"/>
  <c r="AE75" i="27" a="1"/>
  <c r="AE75" i="27" s="1"/>
  <c r="Y86" i="27" a="1"/>
  <c r="Y86" i="27" s="1"/>
  <c r="AA136" i="27" a="1"/>
  <c r="AA136" i="27" s="1"/>
  <c r="O86" i="27" a="1"/>
  <c r="O86" i="27" s="1"/>
  <c r="AF43" i="27" a="1"/>
  <c r="AF43" i="27" s="1"/>
  <c r="AE37" i="27" a="1"/>
  <c r="AE37" i="27" s="1"/>
  <c r="S104" i="27" a="1"/>
  <c r="S104" i="27" s="1"/>
  <c r="Z95" i="27" a="1"/>
  <c r="Z95" i="27" s="1"/>
  <c r="Q30" i="27" a="1"/>
  <c r="Q30" i="27" s="1"/>
  <c r="AE11" i="27" a="1"/>
  <c r="AE11" i="27" s="1"/>
  <c r="AG11" i="27" a="1"/>
  <c r="AG11" i="27" s="1"/>
  <c r="Q87" i="27" a="1"/>
  <c r="Q87" i="27" s="1"/>
  <c r="S52" i="27" a="1"/>
  <c r="S52" i="27" s="1"/>
  <c r="Q47" i="27" a="1"/>
  <c r="Q47" i="27" s="1"/>
  <c r="AH63" i="27" a="1"/>
  <c r="AH63" i="27" s="1"/>
  <c r="V39" i="27" a="1"/>
  <c r="V39" i="27" s="1"/>
  <c r="AD83" i="27" a="1"/>
  <c r="AD83" i="27" s="1"/>
  <c r="AC18" i="27" a="1"/>
  <c r="AC18" i="27" s="1"/>
  <c r="M27" i="27" a="1"/>
  <c r="M27" i="27" s="1"/>
  <c r="Q75" i="27" a="1"/>
  <c r="Q75" i="27" s="1"/>
  <c r="Y83" i="27" a="1"/>
  <c r="Y83" i="27" s="1"/>
  <c r="AD79" i="27" a="1"/>
  <c r="AD79" i="27" s="1"/>
  <c r="S43" i="27" a="1"/>
  <c r="S43" i="27" s="1"/>
  <c r="U103" i="27" a="1"/>
  <c r="U103" i="27" s="1"/>
  <c r="S23" i="27" a="1"/>
  <c r="S23" i="27" s="1"/>
  <c r="W108" i="27" a="1"/>
  <c r="W108" i="27" s="1"/>
  <c r="AF31" i="27" a="1"/>
  <c r="AF31" i="27" s="1"/>
  <c r="AD127" i="27" a="1"/>
  <c r="AD127" i="27" s="1"/>
  <c r="AH108" i="27" a="1"/>
  <c r="AH108" i="27" s="1"/>
  <c r="W136" i="27" a="1"/>
  <c r="W136" i="27" s="1"/>
  <c r="W86" i="27" a="1"/>
  <c r="W86" i="27" s="1"/>
  <c r="AE103" i="27" a="1"/>
  <c r="AE103" i="27" s="1"/>
  <c r="V108" i="27" a="1"/>
  <c r="V108" i="27" s="1"/>
  <c r="AA79" i="27" a="1"/>
  <c r="AA79" i="27" s="1"/>
  <c r="AI47" i="27" a="1"/>
  <c r="AI47" i="27" s="1"/>
  <c r="AG35" i="27" a="1"/>
  <c r="AG35" i="27" s="1"/>
  <c r="L62" i="27" a="1"/>
  <c r="L62" i="27" s="1"/>
  <c r="AA63" i="27" a="1"/>
  <c r="AA63" i="27" s="1"/>
  <c r="AC38" i="27" a="1"/>
  <c r="AC38" i="27" s="1"/>
  <c r="N51" i="27" a="1"/>
  <c r="N51" i="27" s="1"/>
  <c r="AA86" i="27" a="1"/>
  <c r="AA86" i="27" s="1"/>
  <c r="AA50" i="27" a="1"/>
  <c r="AA50" i="27" s="1"/>
  <c r="AC95" i="27" a="1"/>
  <c r="AC95" i="27" s="1"/>
  <c r="AE30" i="27" a="1"/>
  <c r="AE30" i="27" s="1"/>
  <c r="U31" i="27" a="1"/>
  <c r="U31" i="27" s="1"/>
  <c r="W19" i="27" a="1"/>
  <c r="W19" i="27" s="1"/>
  <c r="Q51" i="27" a="1"/>
  <c r="Q51" i="27" s="1"/>
  <c r="U52" i="27" a="1"/>
  <c r="U52" i="27" s="1"/>
  <c r="O47" i="27" a="1"/>
  <c r="O47" i="27" s="1"/>
  <c r="AA43" i="27" a="1"/>
  <c r="AA43" i="27" s="1"/>
  <c r="AG15" i="27" a="1"/>
  <c r="AG15" i="27" s="1"/>
  <c r="Y103" i="27" a="1"/>
  <c r="Y103" i="27" s="1"/>
  <c r="Q34" i="27" a="1"/>
  <c r="Q34" i="27" s="1"/>
  <c r="S108" i="27" a="1"/>
  <c r="S108" i="27" s="1"/>
  <c r="O71" i="27" a="1"/>
  <c r="O71" i="27" s="1"/>
  <c r="M30" i="27" a="1"/>
  <c r="M30" i="27" s="1"/>
  <c r="AC83" i="27" a="1"/>
  <c r="AC83" i="27" s="1"/>
  <c r="AA35" i="27" a="1"/>
  <c r="AA35" i="27" s="1"/>
  <c r="AE108" i="27" a="1"/>
  <c r="AE108" i="27" s="1"/>
  <c r="AA18" i="27" a="1"/>
  <c r="AA18" i="27" s="1"/>
  <c r="Y39" i="27" a="1"/>
  <c r="Y39" i="27" s="1"/>
  <c r="Y30" i="27" a="1"/>
  <c r="Y30" i="27" s="1"/>
  <c r="Y15" i="27" a="1"/>
  <c r="Y15" i="27" s="1"/>
  <c r="S34" i="27" a="1"/>
  <c r="S34" i="27" s="1"/>
  <c r="Q104" i="27" a="1"/>
  <c r="Q104" i="27" s="1"/>
  <c r="U63" i="27" a="1"/>
  <c r="U63" i="27" s="1"/>
  <c r="M39" i="27" a="1"/>
  <c r="M39" i="27" s="1"/>
  <c r="AI85" i="27" a="1"/>
  <c r="AI85" i="27" s="1"/>
  <c r="Y37" i="27" a="1"/>
  <c r="Y37" i="27" s="1"/>
  <c r="M108" i="27" a="1"/>
  <c r="M108" i="27" s="1"/>
  <c r="AG71" i="27" a="1"/>
  <c r="AG71" i="27" s="1"/>
  <c r="O123" i="27" a="1"/>
  <c r="O123" i="27" s="1"/>
  <c r="AC63" i="27" a="1"/>
  <c r="AC63" i="27" s="1"/>
  <c r="S75" i="27" a="1"/>
  <c r="S75" i="27" s="1"/>
  <c r="O107" i="27" a="1"/>
  <c r="O107" i="27" s="1"/>
  <c r="S18" i="27" a="1"/>
  <c r="S18" i="27" s="1"/>
  <c r="Q31" i="27" a="1"/>
  <c r="Q31" i="27" s="1"/>
  <c r="S85" i="27" a="1"/>
  <c r="S85" i="27" s="1"/>
  <c r="S55" i="27" a="1"/>
  <c r="S55" i="27" s="1"/>
  <c r="AC103" i="27" a="1"/>
  <c r="AC103" i="27" s="1"/>
  <c r="AA71" i="27" a="1"/>
  <c r="AA71" i="27" s="1"/>
  <c r="AI104" i="27" a="1"/>
  <c r="AI104" i="27" s="1"/>
  <c r="AI119" i="27" a="1"/>
  <c r="AI119" i="27" s="1"/>
  <c r="W27" i="27" a="1"/>
  <c r="W27" i="27" s="1"/>
  <c r="AC104" i="27" a="1"/>
  <c r="AC104" i="27" s="1"/>
  <c r="AG119" i="27" a="1"/>
  <c r="AG119" i="27" s="1"/>
  <c r="W123" i="27" a="1"/>
  <c r="W123" i="27" s="1"/>
  <c r="AA30" i="27" a="1"/>
  <c r="AA30" i="27" s="1"/>
  <c r="Y131" i="27" a="1"/>
  <c r="Y131" i="27" s="1"/>
  <c r="Y107" i="27" a="1"/>
  <c r="Y107" i="27" s="1"/>
  <c r="AE83" i="27" a="1"/>
  <c r="AE83" i="27" s="1"/>
  <c r="AE91" i="27" a="1"/>
  <c r="AE91" i="27" s="1"/>
  <c r="AG104" i="27" a="1"/>
  <c r="AG104" i="27" s="1"/>
  <c r="U83" i="27" a="1"/>
  <c r="U83" i="27" s="1"/>
  <c r="BL45" i="27"/>
  <c r="BP45" i="27" s="1"/>
  <c r="BO96" i="27"/>
  <c r="BN96" i="27"/>
  <c r="BJ8" i="27"/>
  <c r="AB7" i="27" a="1"/>
  <c r="AB7" i="27" s="1"/>
  <c r="Y7" i="27" a="1"/>
  <c r="Y7" i="27" s="1"/>
  <c r="AG7" i="27" a="1"/>
  <c r="AG7" i="27" s="1"/>
  <c r="S7" i="27" a="1"/>
  <c r="S7" i="27" s="1"/>
  <c r="U7" i="27" a="1"/>
  <c r="U7" i="27" s="1"/>
  <c r="AA7" i="27" a="1"/>
  <c r="AA7" i="27" s="1"/>
  <c r="AE7" i="27" a="1"/>
  <c r="AE7" i="27" s="1"/>
  <c r="AD7" i="27" a="1"/>
  <c r="AD7" i="27" s="1"/>
  <c r="Z7" i="27" a="1"/>
  <c r="Z7" i="27" s="1"/>
  <c r="V7" i="27" a="1"/>
  <c r="V7" i="27" s="1"/>
  <c r="T7" i="27" a="1"/>
  <c r="T7" i="27" s="1"/>
  <c r="AH7" i="27" a="1"/>
  <c r="AH7" i="27" s="1"/>
  <c r="X7" i="27" a="1"/>
  <c r="X7" i="27" s="1"/>
  <c r="W7" i="27" a="1"/>
  <c r="W7" i="27" s="1"/>
  <c r="N7" i="27" a="1"/>
  <c r="N7" i="27" s="1"/>
  <c r="P7" i="27" a="1"/>
  <c r="P7" i="27" s="1"/>
  <c r="AF7" i="27" a="1"/>
  <c r="AF7" i="27" s="1"/>
  <c r="AC7" i="27" a="1"/>
  <c r="AC7" i="27" s="1"/>
  <c r="R7" i="27" a="1"/>
  <c r="R7" i="27" s="1"/>
  <c r="AI7" i="27" a="1"/>
  <c r="AI7" i="27" s="1"/>
  <c r="O7" i="27" a="1"/>
  <c r="O7" i="27" s="1"/>
  <c r="Q7" i="27" a="1"/>
  <c r="Q7" i="27" s="1"/>
  <c r="M7" i="27" a="1"/>
  <c r="M7" i="27" s="1"/>
  <c r="N113" i="12" l="1"/>
  <c r="N109" i="12"/>
  <c r="N99" i="12"/>
  <c r="F42" i="12"/>
  <c r="L42" i="12" s="1"/>
  <c r="BL70" i="27"/>
  <c r="BP70" i="27" s="1"/>
  <c r="BH70" i="27"/>
  <c r="F9" i="12"/>
  <c r="BL99" i="27"/>
  <c r="BP99" i="27" s="1"/>
  <c r="BH99" i="27"/>
  <c r="N72" i="12"/>
  <c r="M42" i="12"/>
  <c r="F61" i="12"/>
  <c r="F59" i="12"/>
  <c r="L59" i="12" s="1"/>
  <c r="M59" i="12"/>
  <c r="F129" i="12"/>
  <c r="N43" i="12"/>
  <c r="Z43" i="12" s="1"/>
  <c r="N65" i="12"/>
  <c r="Z65" i="12" s="1"/>
  <c r="F79" i="12"/>
  <c r="L79" i="12" s="1"/>
  <c r="M79" i="12"/>
  <c r="F102" i="12"/>
  <c r="F50" i="12"/>
  <c r="F93" i="12"/>
  <c r="F53" i="12"/>
  <c r="M133" i="12"/>
  <c r="BL8" i="27"/>
  <c r="BN8" i="27" s="1"/>
  <c r="BH8" i="27"/>
  <c r="N72" i="30"/>
  <c r="Z72" i="30" s="1"/>
  <c r="Z99" i="12"/>
  <c r="N113" i="30"/>
  <c r="Z113" i="30" s="1"/>
  <c r="BN59" i="27"/>
  <c r="BP59" i="27"/>
  <c r="BP8" i="27"/>
  <c r="Z57" i="12"/>
  <c r="Z109" i="12"/>
  <c r="Z113" i="12"/>
  <c r="Z52" i="12"/>
  <c r="Z72" i="12"/>
  <c r="N109" i="30"/>
  <c r="Z109" i="30" s="1"/>
  <c r="N65" i="30"/>
  <c r="Z65" i="30" s="1"/>
  <c r="F9" i="30"/>
  <c r="N57" i="30"/>
  <c r="Z57" i="30" s="1"/>
  <c r="F59" i="30"/>
  <c r="L59" i="30" s="1"/>
  <c r="M59" i="30"/>
  <c r="M42" i="30"/>
  <c r="N43" i="30"/>
  <c r="Z43" i="30" s="1"/>
  <c r="M133" i="30"/>
  <c r="F61" i="30"/>
  <c r="N99" i="30"/>
  <c r="Z99" i="30" s="1"/>
  <c r="F133" i="30"/>
  <c r="F129" i="30"/>
  <c r="F42" i="30"/>
  <c r="L42" i="30" s="1"/>
  <c r="F79" i="30"/>
  <c r="L79" i="30" s="1"/>
  <c r="M79" i="30"/>
  <c r="F102" i="30"/>
  <c r="F50" i="30"/>
  <c r="F93" i="30"/>
  <c r="F53" i="30"/>
  <c r="N52" i="30"/>
  <c r="Z52" i="30" s="1"/>
  <c r="BO59" i="27"/>
  <c r="BJ44" i="27"/>
  <c r="BL44" i="27" s="1"/>
  <c r="BN44" i="27" s="1"/>
  <c r="AH13" i="27" a="1"/>
  <c r="AH13" i="27" s="1"/>
  <c r="AF82" i="27" a="1"/>
  <c r="AF82" i="27" s="1"/>
  <c r="L26" i="27" a="1"/>
  <c r="L26" i="27" s="1"/>
  <c r="R42" i="27" a="1"/>
  <c r="R42" i="27" s="1"/>
  <c r="P89" i="27" a="1"/>
  <c r="P89" i="27" s="1"/>
  <c r="AI22" i="27" a="1"/>
  <c r="AI22" i="27" s="1"/>
  <c r="Z122" i="27" a="1"/>
  <c r="Z122" i="27" s="1"/>
  <c r="AH137" i="27" a="1"/>
  <c r="AH137" i="27" s="1"/>
  <c r="L139" i="27" a="1"/>
  <c r="L139" i="27" s="1"/>
  <c r="U76" i="27" a="1"/>
  <c r="U76" i="27" s="1"/>
  <c r="T60" i="27" a="1"/>
  <c r="T60" i="27" s="1"/>
  <c r="AB126" i="27" a="1"/>
  <c r="AB126" i="27" s="1"/>
  <c r="AI25" i="27" a="1"/>
  <c r="AI25" i="27" s="1"/>
  <c r="L138" i="27" a="1"/>
  <c r="L138" i="27" s="1"/>
  <c r="AC112" i="27" a="1"/>
  <c r="AC112" i="27" s="1"/>
  <c r="L122" i="27" a="1"/>
  <c r="L122" i="27" s="1"/>
  <c r="T129" i="27" a="1"/>
  <c r="T129" i="27" s="1"/>
  <c r="AD65" i="27" a="1"/>
  <c r="AD65" i="27" s="1"/>
  <c r="AD10" i="27" a="1"/>
  <c r="AD10" i="27" s="1"/>
  <c r="AD68" i="27" a="1"/>
  <c r="AD68" i="27" s="1"/>
  <c r="L48" i="27" a="1"/>
  <c r="L48" i="27" s="1"/>
  <c r="Z32" i="27" a="1"/>
  <c r="Z32" i="27" s="1"/>
  <c r="V14" i="27" a="1"/>
  <c r="V14" i="27" s="1"/>
  <c r="U26" i="27" a="1"/>
  <c r="U26" i="27" s="1"/>
  <c r="S137" i="27" a="1"/>
  <c r="S137" i="27" s="1"/>
  <c r="V139" i="27" a="1"/>
  <c r="V139" i="27" s="1"/>
  <c r="N89" i="27" a="1"/>
  <c r="N89" i="27" s="1"/>
  <c r="AB93" i="27" a="1"/>
  <c r="AB93" i="27" s="1"/>
  <c r="U126" i="27" a="1"/>
  <c r="U126" i="27" s="1"/>
  <c r="Z114" i="27" a="1"/>
  <c r="Z114" i="27" s="1"/>
  <c r="AH22" i="27" a="1"/>
  <c r="AH22" i="27" s="1"/>
  <c r="R130" i="27" a="1"/>
  <c r="R130" i="27" s="1"/>
  <c r="U112" i="27" a="1"/>
  <c r="U112" i="27" s="1"/>
  <c r="AB114" i="27" a="1"/>
  <c r="AB114" i="27" s="1"/>
  <c r="AF17" i="27" a="1"/>
  <c r="AF17" i="27" s="1"/>
  <c r="T128" i="27" a="1"/>
  <c r="T128" i="27" s="1"/>
  <c r="L10" i="27" a="1"/>
  <c r="L10" i="27" s="1"/>
  <c r="AC26" i="27" a="1"/>
  <c r="AC26" i="27" s="1"/>
  <c r="AG114" i="27" a="1"/>
  <c r="AG114" i="27" s="1"/>
  <c r="AA129" i="27" a="1"/>
  <c r="AA129" i="27" s="1"/>
  <c r="Y48" i="27" a="1"/>
  <c r="Y48" i="27" s="1"/>
  <c r="AD24" i="27" a="1"/>
  <c r="AD24" i="27" s="1"/>
  <c r="X29" i="27" a="1"/>
  <c r="X29" i="27" s="1"/>
  <c r="T56" i="27" a="1"/>
  <c r="T56" i="27" s="1"/>
  <c r="AE58" i="27" a="1"/>
  <c r="AE58" i="27" s="1"/>
  <c r="T10" i="27" a="1"/>
  <c r="T10" i="27" s="1"/>
  <c r="L105" i="27" a="1"/>
  <c r="L105" i="27" s="1"/>
  <c r="L22" i="27" a="1"/>
  <c r="L22" i="27" s="1"/>
  <c r="AE93" i="27" a="1"/>
  <c r="AE93" i="27" s="1"/>
  <c r="Q53" i="27" a="1"/>
  <c r="Q53" i="27" s="1"/>
  <c r="AG102" i="27" a="1"/>
  <c r="AG102" i="27" s="1"/>
  <c r="AI90" i="27" a="1"/>
  <c r="AI90" i="27" s="1"/>
  <c r="R24" i="27" a="1"/>
  <c r="R24" i="27" s="1"/>
  <c r="N46" i="27" a="1"/>
  <c r="N46" i="27" s="1"/>
  <c r="X130" i="27" a="1"/>
  <c r="X130" i="27" s="1"/>
  <c r="Z65" i="27" a="1"/>
  <c r="Z65" i="27" s="1"/>
  <c r="X68" i="27" a="1"/>
  <c r="X68" i="27" s="1"/>
  <c r="T29" i="27" a="1"/>
  <c r="T29" i="27" s="1"/>
  <c r="AH56" i="27" a="1"/>
  <c r="AH56" i="27" s="1"/>
  <c r="AG82" i="27" a="1"/>
  <c r="AG82" i="27" s="1"/>
  <c r="N22" i="27" a="1"/>
  <c r="N22" i="27" s="1"/>
  <c r="AI112" i="27" a="1"/>
  <c r="AI112" i="27" s="1"/>
  <c r="AH89" i="27" a="1"/>
  <c r="AH89" i="27" s="1"/>
  <c r="AF125" i="27" a="1"/>
  <c r="AF125" i="27" s="1"/>
  <c r="R53" i="27" a="1"/>
  <c r="R53" i="27" s="1"/>
  <c r="L28" i="27" a="1"/>
  <c r="L28" i="27" s="1"/>
  <c r="P68" i="27" a="1"/>
  <c r="P68" i="27" s="1"/>
  <c r="AE68" i="27" a="1"/>
  <c r="AE68" i="27" s="1"/>
  <c r="Z24" i="27" a="1"/>
  <c r="Z24" i="27" s="1"/>
  <c r="AF42" i="27" a="1"/>
  <c r="AF42" i="27" s="1"/>
  <c r="W13" i="27" a="1"/>
  <c r="W13" i="27" s="1"/>
  <c r="W114" i="27" a="1"/>
  <c r="W114" i="27" s="1"/>
  <c r="L89" i="27" a="1"/>
  <c r="L89" i="27" s="1"/>
  <c r="Q14" i="27" a="1"/>
  <c r="Q14" i="27" s="1"/>
  <c r="AI129" i="27" a="1"/>
  <c r="AI129" i="27" s="1"/>
  <c r="W128" i="27" a="1"/>
  <c r="W128" i="27" s="1"/>
  <c r="AI93" i="27" a="1"/>
  <c r="AI93" i="27" s="1"/>
  <c r="Z53" i="27" a="1"/>
  <c r="Z53" i="27" s="1"/>
  <c r="AH90" i="27" a="1"/>
  <c r="AH90" i="27" s="1"/>
  <c r="AA137" i="27" a="1"/>
  <c r="AA137" i="27" s="1"/>
  <c r="W120" i="27" a="1"/>
  <c r="W120" i="27" s="1"/>
  <c r="AA76" i="27" a="1"/>
  <c r="AA76" i="27" s="1"/>
  <c r="W122" i="27" a="1"/>
  <c r="W122" i="27" s="1"/>
  <c r="S130" i="27" a="1"/>
  <c r="S130" i="27" s="1"/>
  <c r="AB56" i="27" a="1"/>
  <c r="AB56" i="27" s="1"/>
  <c r="Z12" i="27" a="1"/>
  <c r="Z12" i="27" s="1"/>
  <c r="W117" i="27" a="1"/>
  <c r="W117" i="27" s="1"/>
  <c r="N16" i="27" a="1"/>
  <c r="N16" i="27" s="1"/>
  <c r="Y16" i="27" a="1"/>
  <c r="Y16" i="27" s="1"/>
  <c r="R20" i="27" a="1"/>
  <c r="R20" i="27" s="1"/>
  <c r="U132" i="27" a="1"/>
  <c r="U132" i="27" s="1"/>
  <c r="AD49" i="27" a="1"/>
  <c r="AD49" i="27" s="1"/>
  <c r="M20" i="27" a="1"/>
  <c r="M20" i="27" s="1"/>
  <c r="W113" i="27" a="1"/>
  <c r="W113" i="27" s="1"/>
  <c r="AF118" i="27" a="1"/>
  <c r="AF118" i="27" s="1"/>
  <c r="AH117" i="27" a="1"/>
  <c r="AH117" i="27" s="1"/>
  <c r="O49" i="27" a="1"/>
  <c r="O49" i="27" s="1"/>
  <c r="W72" i="27" a="1"/>
  <c r="W72" i="27" s="1"/>
  <c r="AE117" i="27" a="1"/>
  <c r="AE117" i="27" s="1"/>
  <c r="Q118" i="27" a="1"/>
  <c r="Q118" i="27" s="1"/>
  <c r="AG117" i="27" a="1"/>
  <c r="AG117" i="27" s="1"/>
  <c r="X117" i="27" a="1"/>
  <c r="X117" i="27" s="1"/>
  <c r="V16" i="27" a="1"/>
  <c r="V16" i="27" s="1"/>
  <c r="N132" i="27" a="1"/>
  <c r="N132" i="27" s="1"/>
  <c r="T121" i="27" a="1"/>
  <c r="T121" i="27" s="1"/>
  <c r="AD117" i="27" a="1"/>
  <c r="AD117" i="27" s="1"/>
  <c r="S49" i="27" a="1"/>
  <c r="S49" i="27" s="1"/>
  <c r="AG16" i="27" a="1"/>
  <c r="AG16" i="27" s="1"/>
  <c r="T118" i="27" a="1"/>
  <c r="T118" i="27" s="1"/>
  <c r="X66" i="27" a="1"/>
  <c r="X66" i="27" s="1"/>
  <c r="AE121" i="27" a="1"/>
  <c r="AE121" i="27" s="1"/>
  <c r="L132" i="27" a="1"/>
  <c r="L132" i="27" s="1"/>
  <c r="P20" i="27" a="1"/>
  <c r="P20" i="27" s="1"/>
  <c r="M72" i="27" a="1"/>
  <c r="M72" i="27" s="1"/>
  <c r="L16" i="27" a="1"/>
  <c r="L16" i="27" s="1"/>
  <c r="X118" i="27" a="1"/>
  <c r="X118" i="27" s="1"/>
  <c r="AH40" i="27" a="1"/>
  <c r="AH40" i="27" s="1"/>
  <c r="S117" i="27" a="1"/>
  <c r="S117" i="27" s="1"/>
  <c r="V20" i="27" a="1"/>
  <c r="V20" i="27" s="1"/>
  <c r="U40" i="27" a="1"/>
  <c r="U40" i="27" s="1"/>
  <c r="T72" i="27" a="1"/>
  <c r="T72" i="27" s="1"/>
  <c r="AC118" i="27" a="1"/>
  <c r="AC118" i="27" s="1"/>
  <c r="Z121" i="27" a="1"/>
  <c r="Z121" i="27" s="1"/>
  <c r="W16" i="27" a="1"/>
  <c r="W16" i="27" s="1"/>
  <c r="AI117" i="27" a="1"/>
  <c r="AI117" i="27" s="1"/>
  <c r="L118" i="27" a="1"/>
  <c r="L118" i="27" s="1"/>
  <c r="AA112" i="27" a="1"/>
  <c r="AA112" i="27" s="1"/>
  <c r="AG14" i="27" a="1"/>
  <c r="AG14" i="27" s="1"/>
  <c r="S89" i="27" a="1"/>
  <c r="S89" i="27" s="1"/>
  <c r="AI122" i="27" a="1"/>
  <c r="AI122" i="27" s="1"/>
  <c r="AD28" i="27" a="1"/>
  <c r="AD28" i="27" s="1"/>
  <c r="AC138" i="27" a="1"/>
  <c r="AC138" i="27" s="1"/>
  <c r="AA53" i="27" a="1"/>
  <c r="AA53" i="27" s="1"/>
  <c r="V112" i="27" a="1"/>
  <c r="V112" i="27" s="1"/>
  <c r="AF60" i="27" a="1"/>
  <c r="AF60" i="27" s="1"/>
  <c r="O126" i="27" a="1"/>
  <c r="O126" i="27" s="1"/>
  <c r="L130" i="27" a="1"/>
  <c r="L130" i="27" s="1"/>
  <c r="AB92" i="27" a="1"/>
  <c r="AB92" i="27" s="1"/>
  <c r="AE12" i="27" a="1"/>
  <c r="AE12" i="27" s="1"/>
  <c r="AE89" i="27" a="1"/>
  <c r="AE89" i="27" s="1"/>
  <c r="U129" i="27" a="1"/>
  <c r="U129" i="27" s="1"/>
  <c r="O53" i="27" a="1"/>
  <c r="O53" i="27" s="1"/>
  <c r="AD94" i="27" a="1"/>
  <c r="AD94" i="27" s="1"/>
  <c r="X13" i="27" a="1"/>
  <c r="X13" i="27" s="1"/>
  <c r="AI14" i="27" a="1"/>
  <c r="AI14" i="27" s="1"/>
  <c r="Q10" i="27" a="1"/>
  <c r="Q10" i="27" s="1"/>
  <c r="AI53" i="27" a="1"/>
  <c r="AI53" i="27" s="1"/>
  <c r="W133" i="27" a="1"/>
  <c r="W133" i="27" s="1"/>
  <c r="AA26" i="27" a="1"/>
  <c r="AA26" i="27" s="1"/>
  <c r="Y26" i="27" a="1"/>
  <c r="Y26" i="27" s="1"/>
  <c r="W56" i="27" a="1"/>
  <c r="W56" i="27" s="1"/>
  <c r="Z126" i="27" a="1"/>
  <c r="Z126" i="27" s="1"/>
  <c r="AH17" i="27" a="1"/>
  <c r="AH17" i="27" s="1"/>
  <c r="L32" i="27" a="1"/>
  <c r="L32" i="27" s="1"/>
  <c r="S28" i="27" a="1"/>
  <c r="S28" i="27" s="1"/>
  <c r="R89" i="27" a="1"/>
  <c r="R89" i="27" s="1"/>
  <c r="T139" i="27" a="1"/>
  <c r="T139" i="27" s="1"/>
  <c r="Q89" i="27" a="1"/>
  <c r="Q89" i="27" s="1"/>
  <c r="AA105" i="27" a="1"/>
  <c r="AA105" i="27" s="1"/>
  <c r="AH60" i="27" a="1"/>
  <c r="AH60" i="27" s="1"/>
  <c r="Q26" i="27" a="1"/>
  <c r="Q26" i="27" s="1"/>
  <c r="AD122" i="27" a="1"/>
  <c r="AD122" i="27" s="1"/>
  <c r="T14" i="27" a="1"/>
  <c r="T14" i="27" s="1"/>
  <c r="T133" i="27" a="1"/>
  <c r="T133" i="27" s="1"/>
  <c r="AH112" i="27" a="1"/>
  <c r="AH112" i="27" s="1"/>
  <c r="T126" i="27" a="1"/>
  <c r="T126" i="27" s="1"/>
  <c r="P112" i="27" a="1"/>
  <c r="P112" i="27" s="1"/>
  <c r="M102" i="27" a="1"/>
  <c r="M102" i="27" s="1"/>
  <c r="AG68" i="27" a="1"/>
  <c r="AG68" i="27" s="1"/>
  <c r="L76" i="27" a="1"/>
  <c r="L76" i="27" s="1"/>
  <c r="X32" i="27" a="1"/>
  <c r="X32" i="27" s="1"/>
  <c r="N28" i="27" a="1"/>
  <c r="N28" i="27" s="1"/>
  <c r="P12" i="27" a="1"/>
  <c r="P12" i="27" s="1"/>
  <c r="N139" i="27" a="1"/>
  <c r="N139" i="27" s="1"/>
  <c r="AI116" i="27" a="1"/>
  <c r="AI116" i="27" s="1"/>
  <c r="V10" i="27" a="1"/>
  <c r="V10" i="27" s="1"/>
  <c r="T110" i="27" a="1"/>
  <c r="T110" i="27" s="1"/>
  <c r="M92" i="27" a="1"/>
  <c r="M92" i="27" s="1"/>
  <c r="T12" i="27" a="1"/>
  <c r="T12" i="27" s="1"/>
  <c r="AE32" i="27" a="1"/>
  <c r="AE32" i="27" s="1"/>
  <c r="AC17" i="27" a="1"/>
  <c r="AC17" i="27" s="1"/>
  <c r="X42" i="27" a="1"/>
  <c r="X42" i="27" s="1"/>
  <c r="U98" i="27" a="1"/>
  <c r="U98" i="27" s="1"/>
  <c r="T112" i="27" a="1"/>
  <c r="T112" i="27" s="1"/>
  <c r="X56" i="27" a="1"/>
  <c r="X56" i="27" s="1"/>
  <c r="V65" i="27" a="1"/>
  <c r="V65" i="27" s="1"/>
  <c r="T90" i="27" a="1"/>
  <c r="T90" i="27" s="1"/>
  <c r="AI26" i="27" a="1"/>
  <c r="AI26" i="27" s="1"/>
  <c r="AB110" i="27" a="1"/>
  <c r="AB110" i="27" s="1"/>
  <c r="O65" i="27" a="1"/>
  <c r="O65" i="27" s="1"/>
  <c r="Y90" i="27" a="1"/>
  <c r="Y90" i="27" s="1"/>
  <c r="AC24" i="27" a="1"/>
  <c r="AC24" i="27" s="1"/>
  <c r="U137" i="27" a="1"/>
  <c r="U137" i="27" s="1"/>
  <c r="AC137" i="27" a="1"/>
  <c r="AC137" i="27" s="1"/>
  <c r="Y102" i="27" a="1"/>
  <c r="Y102" i="27" s="1"/>
  <c r="AI56" i="27" a="1"/>
  <c r="AI56" i="27" s="1"/>
  <c r="T80" i="27" a="1"/>
  <c r="T80" i="27" s="1"/>
  <c r="O10" i="27" a="1"/>
  <c r="O10" i="27" s="1"/>
  <c r="W64" i="27" a="1"/>
  <c r="W64" i="27" s="1"/>
  <c r="AG106" i="27" a="1"/>
  <c r="AG106" i="27" s="1"/>
  <c r="V36" i="27" a="1"/>
  <c r="V36" i="27" s="1"/>
  <c r="N100" i="27" a="1"/>
  <c r="N100" i="27" s="1"/>
  <c r="AH32" i="27" a="1"/>
  <c r="AH32" i="27" s="1"/>
  <c r="AA60" i="27" a="1"/>
  <c r="AA60" i="27" s="1"/>
  <c r="AA58" i="27" a="1"/>
  <c r="AA58" i="27" s="1"/>
  <c r="AB138" i="27" a="1"/>
  <c r="AB138" i="27" s="1"/>
  <c r="AH14" i="27" a="1"/>
  <c r="AH14" i="27" s="1"/>
  <c r="Z133" i="27" a="1"/>
  <c r="Z133" i="27" s="1"/>
  <c r="Q65" i="27" a="1"/>
  <c r="Q65" i="27" s="1"/>
  <c r="AE138" i="27" a="1"/>
  <c r="AE138" i="27" s="1"/>
  <c r="AF106" i="27" a="1"/>
  <c r="AF106" i="27" s="1"/>
  <c r="AI133" i="27" a="1"/>
  <c r="AI133" i="27" s="1"/>
  <c r="AC46" i="27" a="1"/>
  <c r="AC46" i="27" s="1"/>
  <c r="T76" i="27" a="1"/>
  <c r="T76" i="27" s="1"/>
  <c r="AI138" i="27" a="1"/>
  <c r="AI138" i="27" s="1"/>
  <c r="Y128" i="27" a="1"/>
  <c r="Y128" i="27" s="1"/>
  <c r="U10" i="27" a="1"/>
  <c r="U10" i="27" s="1"/>
  <c r="AA36" i="27" a="1"/>
  <c r="AA36" i="27" s="1"/>
  <c r="AF129" i="27" a="1"/>
  <c r="AF129" i="27" s="1"/>
  <c r="R46" i="27" a="1"/>
  <c r="R46" i="27" s="1"/>
  <c r="AB66" i="27" a="1"/>
  <c r="AB66" i="27" s="1"/>
  <c r="X20" i="27" a="1"/>
  <c r="X20" i="27" s="1"/>
  <c r="AI16" i="27" a="1"/>
  <c r="AI16" i="27" s="1"/>
  <c r="AI132" i="27" a="1"/>
  <c r="AI132" i="27" s="1"/>
  <c r="S16" i="27" a="1"/>
  <c r="S16" i="27" s="1"/>
  <c r="M49" i="27" a="1"/>
  <c r="M49" i="27" s="1"/>
  <c r="AB132" i="27" a="1"/>
  <c r="AB132" i="27" s="1"/>
  <c r="Z132" i="27" a="1"/>
  <c r="Z132" i="27" s="1"/>
  <c r="O113" i="27" a="1"/>
  <c r="O113" i="27" s="1"/>
  <c r="V49" i="27" a="1"/>
  <c r="V49" i="27" s="1"/>
  <c r="Y117" i="27" a="1"/>
  <c r="Y117" i="27" s="1"/>
  <c r="Y40" i="27" a="1"/>
  <c r="Y40" i="27" s="1"/>
  <c r="AC132" i="27" a="1"/>
  <c r="AC132" i="27" s="1"/>
  <c r="AC49" i="27" a="1"/>
  <c r="AC49" i="27" s="1"/>
  <c r="S66" i="27" a="1"/>
  <c r="S66" i="27" s="1"/>
  <c r="AF40" i="27" a="1"/>
  <c r="AF40" i="27" s="1"/>
  <c r="AF72" i="27" a="1"/>
  <c r="AF72" i="27" s="1"/>
  <c r="Y132" i="27" a="1"/>
  <c r="Y132" i="27" s="1"/>
  <c r="Z40" i="27" a="1"/>
  <c r="Z40" i="27" s="1"/>
  <c r="U118" i="27" a="1"/>
  <c r="U118" i="27" s="1"/>
  <c r="W132" i="27" a="1"/>
  <c r="W132" i="27" s="1"/>
  <c r="Z16" i="27" a="1"/>
  <c r="Z16" i="27" s="1"/>
  <c r="AA40" i="27" a="1"/>
  <c r="AA40" i="27" s="1"/>
  <c r="X40" i="27" a="1"/>
  <c r="X40" i="27" s="1"/>
  <c r="AD40" i="27" a="1"/>
  <c r="AD40" i="27" s="1"/>
  <c r="T66" i="27" a="1"/>
  <c r="T66" i="27" s="1"/>
  <c r="S72" i="27" a="1"/>
  <c r="S72" i="27" s="1"/>
  <c r="AC40" i="27" a="1"/>
  <c r="AC40" i="27" s="1"/>
  <c r="W100" i="27" a="1"/>
  <c r="W100" i="27" s="1"/>
  <c r="R110" i="27" a="1"/>
  <c r="R110" i="27" s="1"/>
  <c r="AF102" i="27" a="1"/>
  <c r="AF102" i="27" s="1"/>
  <c r="AC65" i="27" a="1"/>
  <c r="AC65" i="27" s="1"/>
  <c r="Q90" i="27" a="1"/>
  <c r="Q90" i="27" s="1"/>
  <c r="AF134" i="27" a="1"/>
  <c r="AF134" i="27" s="1"/>
  <c r="AH80" i="27" a="1"/>
  <c r="AH80" i="27" s="1"/>
  <c r="AE26" i="27" a="1"/>
  <c r="AE26" i="27" s="1"/>
  <c r="AE105" i="27" a="1"/>
  <c r="AE105" i="27" s="1"/>
  <c r="R112" i="27" a="1"/>
  <c r="R112" i="27" s="1"/>
  <c r="W29" i="27" a="1"/>
  <c r="W29" i="27" s="1"/>
  <c r="N12" i="27" a="1"/>
  <c r="N12" i="27" s="1"/>
  <c r="AC102" i="27" a="1"/>
  <c r="AC102" i="27" s="1"/>
  <c r="T82" i="27" a="1"/>
  <c r="T82" i="27" s="1"/>
  <c r="AH10" i="27" a="1"/>
  <c r="AH10" i="27" s="1"/>
  <c r="AG126" i="27" a="1"/>
  <c r="AG126" i="27" s="1"/>
  <c r="T36" i="27" a="1"/>
  <c r="T36" i="27" s="1"/>
  <c r="Q105" i="27" a="1"/>
  <c r="Q105" i="27" s="1"/>
  <c r="L114" i="27" a="1"/>
  <c r="L114" i="27" s="1"/>
  <c r="AI82" i="27" a="1"/>
  <c r="AI82" i="27" s="1"/>
  <c r="T48" i="27" a="1"/>
  <c r="T48" i="27" s="1"/>
  <c r="AB60" i="27" a="1"/>
  <c r="AB60" i="27" s="1"/>
  <c r="T22" i="27" a="1"/>
  <c r="T22" i="27" s="1"/>
  <c r="AG112" i="27" a="1"/>
  <c r="AG112" i="27" s="1"/>
  <c r="AC13" i="27" a="1"/>
  <c r="AC13" i="27" s="1"/>
  <c r="Z137" i="27" a="1"/>
  <c r="Z137" i="27" s="1"/>
  <c r="AB69" i="27" a="1"/>
  <c r="AB69" i="27" s="1"/>
  <c r="AC110" i="27" a="1"/>
  <c r="AC110" i="27" s="1"/>
  <c r="Y125" i="27" a="1"/>
  <c r="Y125" i="27" s="1"/>
  <c r="P46" i="27" a="1"/>
  <c r="P46" i="27" s="1"/>
  <c r="W82" i="27" a="1"/>
  <c r="W82" i="27" s="1"/>
  <c r="X80" i="27" a="1"/>
  <c r="X80" i="27" s="1"/>
  <c r="S139" i="27" a="1"/>
  <c r="S139" i="27" s="1"/>
  <c r="S17" i="27" a="1"/>
  <c r="S17" i="27" s="1"/>
  <c r="Y10" i="27" a="1"/>
  <c r="Y10" i="27" s="1"/>
  <c r="T94" i="27" a="1"/>
  <c r="T94" i="27" s="1"/>
  <c r="Z76" i="27" a="1"/>
  <c r="Z76" i="27" s="1"/>
  <c r="AF105" i="27" a="1"/>
  <c r="AF105" i="27" s="1"/>
  <c r="AI42" i="27" a="1"/>
  <c r="AI42" i="27" s="1"/>
  <c r="Z100" i="27" a="1"/>
  <c r="Z100" i="27" s="1"/>
  <c r="O29" i="27" a="1"/>
  <c r="O29" i="27" s="1"/>
  <c r="AD46" i="27" a="1"/>
  <c r="AD46" i="27" s="1"/>
  <c r="AF14" i="27" a="1"/>
  <c r="AF14" i="27" s="1"/>
  <c r="O80" i="27" a="1"/>
  <c r="O80" i="27" s="1"/>
  <c r="X126" i="27" a="1"/>
  <c r="X126" i="27" s="1"/>
  <c r="S120" i="27" a="1"/>
  <c r="S120" i="27" s="1"/>
  <c r="V22" i="27" a="1"/>
  <c r="V22" i="27" s="1"/>
  <c r="AA133" i="27" a="1"/>
  <c r="AA133" i="27" s="1"/>
  <c r="AB68" i="27" a="1"/>
  <c r="AB68" i="27" s="1"/>
  <c r="R64" i="27" a="1"/>
  <c r="R64" i="27" s="1"/>
  <c r="Q130" i="27" a="1"/>
  <c r="Q130" i="27" s="1"/>
  <c r="AC92" i="27" a="1"/>
  <c r="AC92" i="27" s="1"/>
  <c r="S24" i="27" a="1"/>
  <c r="S24" i="27" s="1"/>
  <c r="AH42" i="27" a="1"/>
  <c r="AH42" i="27" s="1"/>
  <c r="AG13" i="27" a="1"/>
  <c r="AG13" i="27" s="1"/>
  <c r="AI100" i="27" a="1"/>
  <c r="AI100" i="27" s="1"/>
  <c r="P32" i="27" a="1"/>
  <c r="P32" i="27" s="1"/>
  <c r="Q56" i="27" a="1"/>
  <c r="Q56" i="27" s="1"/>
  <c r="S60" i="27" a="1"/>
  <c r="S60" i="27" s="1"/>
  <c r="X25" i="27" a="1"/>
  <c r="X25" i="27" s="1"/>
  <c r="AG60" i="27" a="1"/>
  <c r="AG60" i="27" s="1"/>
  <c r="P138" i="27" a="1"/>
  <c r="P138" i="27" s="1"/>
  <c r="M65" i="27" a="1"/>
  <c r="M65" i="27" s="1"/>
  <c r="Z14" i="27" a="1"/>
  <c r="Z14" i="27" s="1"/>
  <c r="V12" i="27" a="1"/>
  <c r="V12" i="27" s="1"/>
  <c r="N90" i="27" a="1"/>
  <c r="N90" i="27" s="1"/>
  <c r="P90" i="27" a="1"/>
  <c r="P90" i="27" s="1"/>
  <c r="AH125" i="27" a="1"/>
  <c r="AH125" i="27" s="1"/>
  <c r="L53" i="27" a="1"/>
  <c r="L53" i="27" s="1"/>
  <c r="AE10" i="27" a="1"/>
  <c r="AE10" i="27" s="1"/>
  <c r="O90" i="27" a="1"/>
  <c r="O90" i="27" s="1"/>
  <c r="AC129" i="27" a="1"/>
  <c r="AC129" i="27" s="1"/>
  <c r="AH68" i="27" a="1"/>
  <c r="AH68" i="27" s="1"/>
  <c r="AA130" i="27" a="1"/>
  <c r="AA130" i="27" s="1"/>
  <c r="AA13" i="27" a="1"/>
  <c r="AA13" i="27" s="1"/>
  <c r="V100" i="27" a="1"/>
  <c r="V100" i="27" s="1"/>
  <c r="AD32" i="27" a="1"/>
  <c r="AD32" i="27" s="1"/>
  <c r="AH25" i="27" a="1"/>
  <c r="AH25" i="27" s="1"/>
  <c r="M56" i="27" a="1"/>
  <c r="M56" i="27" s="1"/>
  <c r="W60" i="27" a="1"/>
  <c r="W60" i="27" s="1"/>
  <c r="N125" i="27" a="1"/>
  <c r="N125" i="27" s="1"/>
  <c r="W46" i="27" a="1"/>
  <c r="W46" i="27" s="1"/>
  <c r="U89" i="27" a="1"/>
  <c r="U89" i="27" s="1"/>
  <c r="AC82" i="27" a="1"/>
  <c r="AC82" i="27" s="1"/>
  <c r="AG129" i="27" a="1"/>
  <c r="AG129" i="27" s="1"/>
  <c r="Q82" i="27" a="1"/>
  <c r="Q82" i="27" s="1"/>
  <c r="AA93" i="27" a="1"/>
  <c r="AA93" i="27" s="1"/>
  <c r="O128" i="27" a="1"/>
  <c r="O128" i="27" s="1"/>
  <c r="AD22" i="27" a="1"/>
  <c r="AD22" i="27" s="1"/>
  <c r="X17" i="27" a="1"/>
  <c r="X17" i="27" s="1"/>
  <c r="AB139" i="27" a="1"/>
  <c r="AB139" i="27" s="1"/>
  <c r="AE53" i="27" a="1"/>
  <c r="AE53" i="27" s="1"/>
  <c r="L134" i="27" a="1"/>
  <c r="L134" i="27" s="1"/>
  <c r="N120" i="27" a="1"/>
  <c r="N120" i="27" s="1"/>
  <c r="AE133" i="27" a="1"/>
  <c r="AE133" i="27" s="1"/>
  <c r="Y80" i="27" a="1"/>
  <c r="Y80" i="27" s="1"/>
  <c r="V106" i="27" a="1"/>
  <c r="V106" i="27" s="1"/>
  <c r="AF64" i="27" a="1"/>
  <c r="AF64" i="27" s="1"/>
  <c r="M130" i="27" a="1"/>
  <c r="M130" i="27" s="1"/>
  <c r="P64" i="27" a="1"/>
  <c r="P64" i="27" s="1"/>
  <c r="AD26" i="27" a="1"/>
  <c r="AD26" i="27" s="1"/>
  <c r="AG92" i="27" a="1"/>
  <c r="AG92" i="27" s="1"/>
  <c r="AE116" i="27" a="1"/>
  <c r="AE116" i="27" s="1"/>
  <c r="AH26" i="27" a="1"/>
  <c r="AH26" i="27" s="1"/>
  <c r="AF128" i="27" a="1"/>
  <c r="AF128" i="27" s="1"/>
  <c r="AA10" i="27" a="1"/>
  <c r="AA10" i="27" s="1"/>
  <c r="R26" i="27" a="1"/>
  <c r="R26" i="27" s="1"/>
  <c r="AF98" i="27" a="1"/>
  <c r="AF98" i="27" s="1"/>
  <c r="AG25" i="27" a="1"/>
  <c r="AG25" i="27" s="1"/>
  <c r="AC89" i="27" a="1"/>
  <c r="AC89" i="27" s="1"/>
  <c r="AH93" i="27" a="1"/>
  <c r="AH93" i="27" s="1"/>
  <c r="AE80" i="27" a="1"/>
  <c r="AE80" i="27" s="1"/>
  <c r="S22" i="27" a="1"/>
  <c r="S22" i="27" s="1"/>
  <c r="AA80" i="27" a="1"/>
  <c r="AA80" i="27" s="1"/>
  <c r="S56" i="27" a="1"/>
  <c r="S56" i="27" s="1"/>
  <c r="AH106" i="27" a="1"/>
  <c r="AH106" i="27" s="1"/>
  <c r="AB122" i="27" a="1"/>
  <c r="AB122" i="27" s="1"/>
  <c r="AG125" i="27" a="1"/>
  <c r="AG125" i="27" s="1"/>
  <c r="AI46" i="27" a="1"/>
  <c r="AI46" i="27" s="1"/>
  <c r="S65" i="27" a="1"/>
  <c r="S65" i="27" s="1"/>
  <c r="Q69" i="27" a="1"/>
  <c r="Q69" i="27" s="1"/>
  <c r="N58" i="27" a="1"/>
  <c r="N58" i="27" s="1"/>
  <c r="M10" i="27" a="1"/>
  <c r="M10" i="27" s="1"/>
  <c r="N106" i="27" a="1"/>
  <c r="N106" i="27" s="1"/>
  <c r="O130" i="27" a="1"/>
  <c r="O130" i="27" s="1"/>
  <c r="X64" i="27" a="1"/>
  <c r="X64" i="27" s="1"/>
  <c r="AG26" i="27" a="1"/>
  <c r="AG26" i="27" s="1"/>
  <c r="N92" i="27" a="1"/>
  <c r="N92" i="27" s="1"/>
  <c r="AC64" i="27" a="1"/>
  <c r="AC64" i="27" s="1"/>
  <c r="AD14" i="27" a="1"/>
  <c r="AD14" i="27" s="1"/>
  <c r="P10" i="27" a="1"/>
  <c r="P10" i="27" s="1"/>
  <c r="V120" i="27" a="1"/>
  <c r="V120" i="27" s="1"/>
  <c r="S92" i="27" a="1"/>
  <c r="S92" i="27" s="1"/>
  <c r="AB112" i="27" a="1"/>
  <c r="AB112" i="27" s="1"/>
  <c r="V122" i="27" a="1"/>
  <c r="V122" i="27" s="1"/>
  <c r="N56" i="27" a="1"/>
  <c r="N56" i="27" s="1"/>
  <c r="Z46" i="27" a="1"/>
  <c r="Z46" i="27" s="1"/>
  <c r="Y139" i="27" a="1"/>
  <c r="Y139" i="27" s="1"/>
  <c r="X139" i="27" a="1"/>
  <c r="X139" i="27" s="1"/>
  <c r="U133" i="27" a="1"/>
  <c r="U133" i="27" s="1"/>
  <c r="P92" i="27" a="1"/>
  <c r="P92" i="27" s="1"/>
  <c r="AC105" i="27" a="1"/>
  <c r="AC105" i="27" s="1"/>
  <c r="O112" i="27" a="1"/>
  <c r="O112" i="27" s="1"/>
  <c r="R32" i="27" a="1"/>
  <c r="R32" i="27" s="1"/>
  <c r="X60" i="27" a="1"/>
  <c r="X60" i="27" s="1"/>
  <c r="AG110" i="27" a="1"/>
  <c r="AG110" i="27" s="1"/>
  <c r="AB58" i="27" a="1"/>
  <c r="AB58" i="27" s="1"/>
  <c r="Y46" i="27" a="1"/>
  <c r="Y46" i="27" s="1"/>
  <c r="R125" i="27" a="1"/>
  <c r="R125" i="27" s="1"/>
  <c r="N10" i="27" a="1"/>
  <c r="N10" i="27" s="1"/>
  <c r="N48" i="27" a="1"/>
  <c r="N48" i="27" s="1"/>
  <c r="Q116" i="27" a="1"/>
  <c r="Q116" i="27" s="1"/>
  <c r="AG105" i="27" a="1"/>
  <c r="AG105" i="27" s="1"/>
  <c r="R29" i="27" a="1"/>
  <c r="R29" i="27" s="1"/>
  <c r="Z25" i="27" a="1"/>
  <c r="Z25" i="27" s="1"/>
  <c r="AI110" i="27" a="1"/>
  <c r="AI110" i="27" s="1"/>
  <c r="N60" i="27" a="1"/>
  <c r="N60" i="27" s="1"/>
  <c r="N128" i="27" a="1"/>
  <c r="N128" i="27" s="1"/>
  <c r="AF65" i="27" a="1"/>
  <c r="AF65" i="27" s="1"/>
  <c r="AF130" i="27" a="1"/>
  <c r="AF130" i="27" s="1"/>
  <c r="M42" i="27" a="1"/>
  <c r="M42" i="27" s="1"/>
  <c r="Z13" i="27" a="1"/>
  <c r="Z13" i="27" s="1"/>
  <c r="AH69" i="27" a="1"/>
  <c r="AH69" i="27" s="1"/>
  <c r="AH102" i="27" a="1"/>
  <c r="AH102" i="27" s="1"/>
  <c r="U128" i="27" a="1"/>
  <c r="U128" i="27" s="1"/>
  <c r="P14" i="27" a="1"/>
  <c r="P14" i="27" s="1"/>
  <c r="AB17" i="27" a="1"/>
  <c r="AB17" i="27" s="1"/>
  <c r="W58" i="27" a="1"/>
  <c r="W58" i="27" s="1"/>
  <c r="P120" i="27" a="1"/>
  <c r="P120" i="27" s="1"/>
  <c r="T134" i="27" a="1"/>
  <c r="T134" i="27" s="1"/>
  <c r="Q36" i="27" a="1"/>
  <c r="Q36" i="27" s="1"/>
  <c r="O92" i="27" a="1"/>
  <c r="O92" i="27" s="1"/>
  <c r="R105" i="27" a="1"/>
  <c r="R105" i="27" s="1"/>
  <c r="N42" i="27" a="1"/>
  <c r="N42" i="27" s="1"/>
  <c r="AA100" i="27" a="1"/>
  <c r="AA100" i="27" s="1"/>
  <c r="L29" i="27" a="1"/>
  <c r="L29" i="27" s="1"/>
  <c r="T25" i="27" a="1"/>
  <c r="T25" i="27" s="1"/>
  <c r="AD12" i="27" a="1"/>
  <c r="AD12" i="27" s="1"/>
  <c r="AD82" i="27" a="1"/>
  <c r="AD82" i="27" s="1"/>
  <c r="AA138" i="27" a="1"/>
  <c r="AA138" i="27" s="1"/>
  <c r="S93" i="27" a="1"/>
  <c r="S93" i="27" s="1"/>
  <c r="S90" i="27" a="1"/>
  <c r="S90" i="27" s="1"/>
  <c r="L17" i="27" a="1"/>
  <c r="L17" i="27" s="1"/>
  <c r="Z134" i="27" a="1"/>
  <c r="Z134" i="27" s="1"/>
  <c r="AC120" i="27" a="1"/>
  <c r="AC120" i="27" s="1"/>
  <c r="AF133" i="27" a="1"/>
  <c r="AF133" i="27" s="1"/>
  <c r="AF68" i="27" a="1"/>
  <c r="AF68" i="27" s="1"/>
  <c r="Q64" i="27" a="1"/>
  <c r="Q64" i="27" s="1"/>
  <c r="AA92" i="27" a="1"/>
  <c r="AA92" i="27" s="1"/>
  <c r="AA24" i="27" a="1"/>
  <c r="AA24" i="27" s="1"/>
  <c r="S42" i="27" a="1"/>
  <c r="S42" i="27" s="1"/>
  <c r="P13" i="27" a="1"/>
  <c r="P13" i="27" s="1"/>
  <c r="AD100" i="27" a="1"/>
  <c r="AD100" i="27" s="1"/>
  <c r="M32" i="27" a="1"/>
  <c r="M32" i="27" s="1"/>
  <c r="O25" i="27" a="1"/>
  <c r="O25" i="27" s="1"/>
  <c r="AD114" i="27" a="1"/>
  <c r="AD114" i="27" s="1"/>
  <c r="M125" i="27" a="1"/>
  <c r="M125" i="27" s="1"/>
  <c r="L128" i="27" a="1"/>
  <c r="L128" i="27" s="1"/>
  <c r="M14" i="27" a="1"/>
  <c r="M14" i="27" s="1"/>
  <c r="AC53" i="27" a="1"/>
  <c r="AC53" i="27" s="1"/>
  <c r="AA48" i="27" a="1"/>
  <c r="AA48" i="27" s="1"/>
  <c r="AA126" i="27" a="1"/>
  <c r="AA126" i="27" s="1"/>
  <c r="R133" i="27" a="1"/>
  <c r="R133" i="27" s="1"/>
  <c r="AE90" i="27" a="1"/>
  <c r="AE90" i="27" s="1"/>
  <c r="Z106" i="27" a="1"/>
  <c r="Z106" i="27" s="1"/>
  <c r="AB94" i="27" a="1"/>
  <c r="AB94" i="27" s="1"/>
  <c r="AA29" i="27" a="1"/>
  <c r="AA29" i="27" s="1"/>
  <c r="AG58" i="27" a="1"/>
  <c r="AG58" i="27" s="1"/>
  <c r="X46" i="27" a="1"/>
  <c r="X46" i="27" s="1"/>
  <c r="Z82" i="27" a="1"/>
  <c r="Z82" i="27" s="1"/>
  <c r="Q12" i="27" a="1"/>
  <c r="Q12" i="27" s="1"/>
  <c r="Q17" i="27" a="1"/>
  <c r="Q17" i="27" s="1"/>
  <c r="AE139" i="27" a="1"/>
  <c r="AE139" i="27" s="1"/>
  <c r="AI106" i="27" a="1"/>
  <c r="AI106" i="27" s="1"/>
  <c r="W94" i="27" a="1"/>
  <c r="W94" i="27" s="1"/>
  <c r="AC130" i="27" a="1"/>
  <c r="AC130" i="27" s="1"/>
  <c r="X116" i="27" a="1"/>
  <c r="X116" i="27" s="1"/>
  <c r="R92" i="27" a="1"/>
  <c r="R92" i="27" s="1"/>
  <c r="AC76" i="27" a="1"/>
  <c r="AC76" i="27" s="1"/>
  <c r="M137" i="27" a="1"/>
  <c r="M137" i="27" s="1"/>
  <c r="M69" i="27" a="1"/>
  <c r="M69" i="27" s="1"/>
  <c r="AD130" i="27" a="1"/>
  <c r="AD130" i="27" s="1"/>
  <c r="AF36" i="27" a="1"/>
  <c r="AF36" i="27" s="1"/>
  <c r="Q133" i="27" a="1"/>
  <c r="Q133" i="27" s="1"/>
  <c r="AD106" i="27" a="1"/>
  <c r="AD106" i="27" s="1"/>
  <c r="S13" i="27" a="1"/>
  <c r="S13" i="27" s="1"/>
  <c r="V110" i="27" a="1"/>
  <c r="V110" i="27" s="1"/>
  <c r="AI128" i="27" a="1"/>
  <c r="AI128" i="27" s="1"/>
  <c r="AI139" i="27" a="1"/>
  <c r="AI139" i="27" s="1"/>
  <c r="AC106" i="27" a="1"/>
  <c r="AC106" i="27" s="1"/>
  <c r="O76" i="27" a="1"/>
  <c r="O76" i="27" s="1"/>
  <c r="Y24" i="27" a="1"/>
  <c r="Y24" i="27" s="1"/>
  <c r="X58" i="27" a="1"/>
  <c r="X58" i="27" s="1"/>
  <c r="AB82" i="27" a="1"/>
  <c r="AB82" i="27" s="1"/>
  <c r="AD102" i="27" a="1"/>
  <c r="AD102" i="27" s="1"/>
  <c r="AI134" i="27" a="1"/>
  <c r="AI134" i="27" s="1"/>
  <c r="AH120" i="27" a="1"/>
  <c r="AH120" i="27" s="1"/>
  <c r="W48" i="27" a="1"/>
  <c r="W48" i="27" s="1"/>
  <c r="M26" i="27" a="1"/>
  <c r="M26" i="27" s="1"/>
  <c r="V24" i="27" a="1"/>
  <c r="V24" i="27" s="1"/>
  <c r="AB42" i="27" a="1"/>
  <c r="AB42" i="27" s="1"/>
  <c r="AE112" i="27" a="1"/>
  <c r="AE112" i="27" s="1"/>
  <c r="AC100" i="27" a="1"/>
  <c r="AC100" i="27" s="1"/>
  <c r="R98" i="27" a="1"/>
  <c r="R98" i="27" s="1"/>
  <c r="AC80" i="27" a="1"/>
  <c r="AC80" i="27" s="1"/>
  <c r="L92" i="27" a="1"/>
  <c r="L92" i="27" s="1"/>
  <c r="L100" i="27" a="1"/>
  <c r="L100" i="27" s="1"/>
  <c r="W25" i="27" a="1"/>
  <c r="W25" i="27" s="1"/>
  <c r="AA12" i="27" a="1"/>
  <c r="AA12" i="27" s="1"/>
  <c r="AD110" i="27" a="1"/>
  <c r="AD110" i="27" s="1"/>
  <c r="V17" i="27" a="1"/>
  <c r="V17" i="27" s="1"/>
  <c r="AD126" i="27" a="1"/>
  <c r="AD126" i="27" s="1"/>
  <c r="Q106" i="27" a="1"/>
  <c r="Q106" i="27" s="1"/>
  <c r="U94" i="27" a="1"/>
  <c r="U94" i="27" s="1"/>
  <c r="AB76" i="27" a="1"/>
  <c r="AB76" i="27" s="1"/>
  <c r="AH122" i="27" a="1"/>
  <c r="AH122" i="27" s="1"/>
  <c r="P60" i="27" a="1"/>
  <c r="P60" i="27" s="1"/>
  <c r="S25" i="27" a="1"/>
  <c r="S25" i="27" s="1"/>
  <c r="X98" i="27" a="1"/>
  <c r="X98" i="27" s="1"/>
  <c r="O137" i="27" a="1"/>
  <c r="O137" i="27" s="1"/>
  <c r="X125" i="27" a="1"/>
  <c r="X125" i="27" s="1"/>
  <c r="N82" i="27" a="1"/>
  <c r="N82" i="27" s="1"/>
  <c r="Q125" i="27" a="1"/>
  <c r="Q125" i="27" s="1"/>
  <c r="T53" i="27" a="1"/>
  <c r="T53" i="27" s="1"/>
  <c r="U139" i="27" a="1"/>
  <c r="U139" i="27" s="1"/>
  <c r="V94" i="27" a="1"/>
  <c r="V94" i="27" s="1"/>
  <c r="X36" i="27" a="1"/>
  <c r="X36" i="27" s="1"/>
  <c r="W76" i="27" a="1"/>
  <c r="W76" i="27" s="1"/>
  <c r="T105" i="27" a="1"/>
  <c r="T105" i="27" s="1"/>
  <c r="Z42" i="27" a="1"/>
  <c r="Z42" i="27" s="1"/>
  <c r="AF100" i="27" a="1"/>
  <c r="AF100" i="27" s="1"/>
  <c r="AC29" i="27" a="1"/>
  <c r="AC29" i="27" s="1"/>
  <c r="O60" i="27" a="1"/>
  <c r="O60" i="27" s="1"/>
  <c r="R114" i="27" a="1"/>
  <c r="R114" i="27" s="1"/>
  <c r="U110" i="27" a="1"/>
  <c r="U110" i="27" s="1"/>
  <c r="AC69" i="27" a="1"/>
  <c r="AC69" i="27" s="1"/>
  <c r="AE28" i="27" a="1"/>
  <c r="AE28" i="27" s="1"/>
  <c r="AH58" i="27" a="1"/>
  <c r="AH58" i="27" s="1"/>
  <c r="AE46" i="27" a="1"/>
  <c r="AE46" i="27" s="1"/>
  <c r="AD69" i="27" a="1"/>
  <c r="AD69" i="27" s="1"/>
  <c r="W90" i="27" a="1"/>
  <c r="W90" i="27" s="1"/>
  <c r="R120" i="27" a="1"/>
  <c r="R120" i="27" s="1"/>
  <c r="AH139" i="27" a="1"/>
  <c r="AH139" i="27" s="1"/>
  <c r="O94" i="27" a="1"/>
  <c r="O94" i="27" s="1"/>
  <c r="AB64" i="27" a="1"/>
  <c r="AB64" i="27" s="1"/>
  <c r="AD92" i="27" a="1"/>
  <c r="AD92" i="27" s="1"/>
  <c r="AB24" i="27" a="1"/>
  <c r="AB24" i="27" s="1"/>
  <c r="T42" i="27" a="1"/>
  <c r="T42" i="27" s="1"/>
  <c r="U13" i="27" a="1"/>
  <c r="U13" i="27" s="1"/>
  <c r="AE100" i="27" a="1"/>
  <c r="AE100" i="27" s="1"/>
  <c r="U32" i="27" a="1"/>
  <c r="U32" i="27" s="1"/>
  <c r="AD25" i="27" a="1"/>
  <c r="AD25" i="27" s="1"/>
  <c r="AI114" i="27" a="1"/>
  <c r="AI114" i="27" s="1"/>
  <c r="P56" i="27" a="1"/>
  <c r="P56" i="27" s="1"/>
  <c r="AA69" i="27" a="1"/>
  <c r="AA69" i="27" s="1"/>
  <c r="W110" i="27" a="1"/>
  <c r="W110" i="27" s="1"/>
  <c r="X129" i="27" a="1"/>
  <c r="X129" i="27" s="1"/>
  <c r="AA46" i="27" a="1"/>
  <c r="AA46" i="27" s="1"/>
  <c r="AF89" i="27" a="1"/>
  <c r="AF89" i="27" s="1"/>
  <c r="S82" i="27" a="1"/>
  <c r="S82" i="27" s="1"/>
  <c r="V69" i="27" a="1"/>
  <c r="V69" i="27" s="1"/>
  <c r="N102" i="27" a="1"/>
  <c r="N102" i="27" s="1"/>
  <c r="AA120" i="27" a="1"/>
  <c r="AA120" i="27" s="1"/>
  <c r="V53" i="27" a="1"/>
  <c r="V53" i="27" s="1"/>
  <c r="AF22" i="27" a="1"/>
  <c r="AF22" i="27" s="1"/>
  <c r="AE22" i="27" a="1"/>
  <c r="AE22" i="27" s="1"/>
  <c r="W134" i="27" a="1"/>
  <c r="W134" i="27" s="1"/>
  <c r="Y68" i="27" a="1"/>
  <c r="Y68" i="27" s="1"/>
  <c r="O13" i="27" a="1"/>
  <c r="O13" i="27" s="1"/>
  <c r="S125" i="27" a="1"/>
  <c r="S125" i="27" s="1"/>
  <c r="S134" i="27" a="1"/>
  <c r="S134" i="27" s="1"/>
  <c r="U68" i="27" a="1"/>
  <c r="U68" i="27" s="1"/>
  <c r="Y28" i="27" a="1"/>
  <c r="Y28" i="27" s="1"/>
  <c r="R58" i="27" a="1"/>
  <c r="R58" i="27" s="1"/>
  <c r="U65" i="27" a="1"/>
  <c r="U65" i="27" s="1"/>
  <c r="AA22" i="27" a="1"/>
  <c r="AA22" i="27" s="1"/>
  <c r="AH133" i="27" a="1"/>
  <c r="AH133" i="27" s="1"/>
  <c r="N133" i="27" a="1"/>
  <c r="N133" i="27" s="1"/>
  <c r="AH110" i="27" a="1"/>
  <c r="AH110" i="27" s="1"/>
  <c r="AE92" i="27" a="1"/>
  <c r="AE92" i="27" s="1"/>
  <c r="Y120" i="27" a="1"/>
  <c r="Y120" i="27" s="1"/>
  <c r="AH53" i="27" a="1"/>
  <c r="AH53" i="27" s="1"/>
  <c r="N94" i="27" a="1"/>
  <c r="N94" i="27" s="1"/>
  <c r="O89" i="27" a="1"/>
  <c r="O89" i="27" s="1"/>
  <c r="U114" i="27" a="1"/>
  <c r="U114" i="27" s="1"/>
  <c r="M98" i="27" a="1"/>
  <c r="M98" i="27" s="1"/>
  <c r="S26" i="27" a="1"/>
  <c r="S26" i="27" s="1"/>
  <c r="U22" i="27" a="1"/>
  <c r="U22" i="27" s="1"/>
  <c r="S48" i="27" a="1"/>
  <c r="S48" i="27" s="1"/>
  <c r="U16" i="27" a="1"/>
  <c r="U16" i="27" s="1"/>
  <c r="AB113" i="27" a="1"/>
  <c r="AB113" i="27" s="1"/>
  <c r="R113" i="27" a="1"/>
  <c r="R113" i="27" s="1"/>
  <c r="U113" i="27" a="1"/>
  <c r="U113" i="27" s="1"/>
  <c r="AE66" i="27" a="1"/>
  <c r="AE66" i="27" s="1"/>
  <c r="W66" i="27" a="1"/>
  <c r="W66" i="27" s="1"/>
  <c r="AC20" i="27" a="1"/>
  <c r="AC20" i="27" s="1"/>
  <c r="AF49" i="27" a="1"/>
  <c r="AF49" i="27" s="1"/>
  <c r="AH20" i="27" a="1"/>
  <c r="AH20" i="27" s="1"/>
  <c r="V113" i="27" a="1"/>
  <c r="V113" i="27" s="1"/>
  <c r="Q16" i="27" a="1"/>
  <c r="Q16" i="27" s="1"/>
  <c r="P16" i="27" a="1"/>
  <c r="P16" i="27" s="1"/>
  <c r="P66" i="27" a="1"/>
  <c r="P66" i="27" s="1"/>
  <c r="N20" i="27" a="1"/>
  <c r="N20" i="27" s="1"/>
  <c r="V118" i="27" a="1"/>
  <c r="V118" i="27" s="1"/>
  <c r="N66" i="27" a="1"/>
  <c r="N66" i="27" s="1"/>
  <c r="M24" i="27" a="1"/>
  <c r="M24" i="27" s="1"/>
  <c r="L126" i="27" a="1"/>
  <c r="L126" i="27" s="1"/>
  <c r="AB105" i="27" a="1"/>
  <c r="AB105" i="27" s="1"/>
  <c r="Q122" i="27" a="1"/>
  <c r="Q122" i="27" s="1"/>
  <c r="AE14" i="27" a="1"/>
  <c r="AE14" i="27" s="1"/>
  <c r="AB89" i="27" a="1"/>
  <c r="AB89" i="27" s="1"/>
  <c r="Q126" i="27" a="1"/>
  <c r="Q126" i="27" s="1"/>
  <c r="AH48" i="27" a="1"/>
  <c r="AH48" i="27" s="1"/>
  <c r="U24" i="27" a="1"/>
  <c r="U24" i="27" s="1"/>
  <c r="Z102" i="27" a="1"/>
  <c r="Z102" i="27" s="1"/>
  <c r="R106" i="27" a="1"/>
  <c r="R106" i="27" s="1"/>
  <c r="AB130" i="27" a="1"/>
  <c r="AB130" i="27" s="1"/>
  <c r="AG29" i="27" a="1"/>
  <c r="AG29" i="27" s="1"/>
  <c r="P58" i="27" a="1"/>
  <c r="P58" i="27" s="1"/>
  <c r="AF53" i="27" a="1"/>
  <c r="AF53" i="27" s="1"/>
  <c r="R68" i="27" a="1"/>
  <c r="R68" i="27" s="1"/>
  <c r="AG32" i="27" a="1"/>
  <c r="AG32" i="27" s="1"/>
  <c r="AE65" i="27" a="1"/>
  <c r="AE65" i="27" s="1"/>
  <c r="V102" i="27" a="1"/>
  <c r="V102" i="27" s="1"/>
  <c r="V48" i="27" a="1"/>
  <c r="V48" i="27" s="1"/>
  <c r="W36" i="27" a="1"/>
  <c r="W36" i="27" s="1"/>
  <c r="N65" i="27" a="1"/>
  <c r="N65" i="27" s="1"/>
  <c r="AH126" i="27" a="1"/>
  <c r="AH126" i="27" s="1"/>
  <c r="Y25" i="27" a="1"/>
  <c r="Y25" i="27" s="1"/>
  <c r="R12" i="27" a="1"/>
  <c r="R12" i="27" s="1"/>
  <c r="Y137" i="27" a="1"/>
  <c r="Y137" i="27" s="1"/>
  <c r="Z138" i="27" a="1"/>
  <c r="Z138" i="27" s="1"/>
  <c r="AD116" i="27" a="1"/>
  <c r="AD116" i="27" s="1"/>
  <c r="AA94" i="27" a="1"/>
  <c r="AA94" i="27" s="1"/>
  <c r="W68" i="27" a="1"/>
  <c r="W68" i="27" s="1"/>
  <c r="AD56" i="27" a="1"/>
  <c r="AD56" i="27" s="1"/>
  <c r="T17" i="27" a="1"/>
  <c r="T17" i="27" s="1"/>
  <c r="Y60" i="27" a="1"/>
  <c r="Y60" i="27" s="1"/>
  <c r="T120" i="27" a="1"/>
  <c r="T120" i="27" s="1"/>
  <c r="AI126" i="27" a="1"/>
  <c r="AI126" i="27" s="1"/>
  <c r="AG36" i="27" a="1"/>
  <c r="AG36" i="27" s="1"/>
  <c r="T46" i="27" a="1"/>
  <c r="T46" i="27" s="1"/>
  <c r="AF120" i="27" a="1"/>
  <c r="AF120" i="27" s="1"/>
  <c r="AD76" i="27" a="1"/>
  <c r="AD76" i="27" s="1"/>
  <c r="U100" i="27" a="1"/>
  <c r="U100" i="27" s="1"/>
  <c r="R65" i="27" a="1"/>
  <c r="R65" i="27" s="1"/>
  <c r="AF80" i="27" a="1"/>
  <c r="AF80" i="27" s="1"/>
  <c r="W112" i="27" a="1"/>
  <c r="W112" i="27" s="1"/>
  <c r="N122" i="27" a="1"/>
  <c r="N122" i="27" s="1"/>
  <c r="S69" i="27" a="1"/>
  <c r="S69" i="27" s="1"/>
  <c r="AC125" i="27" a="1"/>
  <c r="AC125" i="27" s="1"/>
  <c r="X133" i="27" a="1"/>
  <c r="X133" i="27" s="1"/>
  <c r="AG94" i="27" a="1"/>
  <c r="AG94" i="27" s="1"/>
  <c r="AE129" i="27" a="1"/>
  <c r="AE129" i="27" s="1"/>
  <c r="AH94" i="27" a="1"/>
  <c r="AH94" i="27" s="1"/>
  <c r="AE94" i="27" a="1"/>
  <c r="AE94" i="27" s="1"/>
  <c r="S98" i="27" a="1"/>
  <c r="S98" i="27" s="1"/>
  <c r="L68" i="27" a="1"/>
  <c r="L68" i="27" s="1"/>
  <c r="L110" i="27" a="1"/>
  <c r="L110" i="27" s="1"/>
  <c r="W129" i="27" a="1"/>
  <c r="W129" i="27" s="1"/>
  <c r="U93" i="27" a="1"/>
  <c r="U93" i="27" s="1"/>
  <c r="P106" i="27" a="1"/>
  <c r="P106" i="27" s="1"/>
  <c r="AE128" i="27" a="1"/>
  <c r="AE128" i="27" s="1"/>
  <c r="AG64" i="27" a="1"/>
  <c r="AG64" i="27" s="1"/>
  <c r="O28" i="27" a="1"/>
  <c r="O28" i="27" s="1"/>
  <c r="R14" i="27" a="1"/>
  <c r="R14" i="27" s="1"/>
  <c r="W89" i="27" a="1"/>
  <c r="W89" i="27" s="1"/>
  <c r="AI24" i="27" a="1"/>
  <c r="AI24" i="27" s="1"/>
  <c r="AA42" i="27" a="1"/>
  <c r="AA42" i="27" s="1"/>
  <c r="Y13" i="27" a="1"/>
  <c r="Y13" i="27" s="1"/>
  <c r="AA25" i="27" a="1"/>
  <c r="AA25" i="27" s="1"/>
  <c r="O17" i="27" a="1"/>
  <c r="O17" i="27" s="1"/>
  <c r="P76" i="27" a="1"/>
  <c r="P76" i="27" s="1"/>
  <c r="AF13" i="27" a="1"/>
  <c r="AF13" i="27" s="1"/>
  <c r="Z89" i="27" a="1"/>
  <c r="Z89" i="27" s="1"/>
  <c r="R139" i="27" a="1"/>
  <c r="R139" i="27" s="1"/>
  <c r="P116" i="27" a="1"/>
  <c r="P116" i="27" s="1"/>
  <c r="V42" i="27" a="1"/>
  <c r="V42" i="27" s="1"/>
  <c r="U29" i="27" a="1"/>
  <c r="U29" i="27" s="1"/>
  <c r="AH28" i="27" a="1"/>
  <c r="AH28" i="27" s="1"/>
  <c r="M58" i="27" a="1"/>
  <c r="M58" i="27" s="1"/>
  <c r="V134" i="27" a="1"/>
  <c r="V134" i="27" s="1"/>
  <c r="AB48" i="27" a="1"/>
  <c r="AB48" i="27" s="1"/>
  <c r="Q92" i="27" a="1"/>
  <c r="Q92" i="27" s="1"/>
  <c r="AF32" i="27" a="1"/>
  <c r="AF32" i="27" s="1"/>
  <c r="L98" i="27" a="1"/>
  <c r="L98" i="27" s="1"/>
  <c r="Z110" i="27" a="1"/>
  <c r="Z110" i="27" s="1"/>
  <c r="L25" i="27" a="1"/>
  <c r="L25" i="27" s="1"/>
  <c r="P129" i="27" a="1"/>
  <c r="P129" i="27" s="1"/>
  <c r="V93" i="27" a="1"/>
  <c r="V93" i="27" s="1"/>
  <c r="Z90" i="27" a="1"/>
  <c r="Z90" i="27" s="1"/>
  <c r="AF94" i="27" a="1"/>
  <c r="AF94" i="27" s="1"/>
  <c r="X26" i="27" a="1"/>
  <c r="X26" i="27" s="1"/>
  <c r="V13" i="27" a="1"/>
  <c r="V13" i="27" s="1"/>
  <c r="X114" i="27" a="1"/>
  <c r="X114" i="27" s="1"/>
  <c r="AI98" i="27" a="1"/>
  <c r="AI98" i="27" s="1"/>
  <c r="X69" i="27" a="1"/>
  <c r="X69" i="27" s="1"/>
  <c r="X110" i="27" a="1"/>
  <c r="X110" i="27" s="1"/>
  <c r="W125" i="27" a="1"/>
  <c r="W125" i="27" s="1"/>
  <c r="V46" i="27" a="1"/>
  <c r="V46" i="27" s="1"/>
  <c r="AH82" i="27" a="1"/>
  <c r="AH82" i="27" s="1"/>
  <c r="O139" i="27" a="1"/>
  <c r="O139" i="27" s="1"/>
  <c r="AA134" i="27" a="1"/>
  <c r="AA134" i="27" s="1"/>
  <c r="R48" i="27" a="1"/>
  <c r="R48" i="27" s="1"/>
  <c r="AB106" i="27" a="1"/>
  <c r="AB106" i="27" s="1"/>
  <c r="AE29" i="27" a="1"/>
  <c r="AE29" i="27" s="1"/>
  <c r="AB25" i="27" a="1"/>
  <c r="AB25" i="27" s="1"/>
  <c r="Q98" i="27" a="1"/>
  <c r="Q98" i="27" s="1"/>
  <c r="AI137" i="27" a="1"/>
  <c r="AI137" i="27" s="1"/>
  <c r="U28" i="27" a="1"/>
  <c r="U28" i="27" s="1"/>
  <c r="AD98" i="27" a="1"/>
  <c r="AD98" i="27" s="1"/>
  <c r="S138" i="27" a="1"/>
  <c r="S138" i="27" s="1"/>
  <c r="X128" i="27" a="1"/>
  <c r="X128" i="27" s="1"/>
  <c r="AE120" i="27" a="1"/>
  <c r="AE120" i="27" s="1"/>
  <c r="P48" i="27" a="1"/>
  <c r="P48" i="27" s="1"/>
  <c r="N68" i="27" a="1"/>
  <c r="N68" i="27" s="1"/>
  <c r="Z92" i="27" a="1"/>
  <c r="Z92" i="27" s="1"/>
  <c r="Z36" i="27" a="1"/>
  <c r="Z36" i="27" s="1"/>
  <c r="L129" i="27" a="1"/>
  <c r="L129" i="27" s="1"/>
  <c r="M53" i="27" a="1"/>
  <c r="M53" i="27" s="1"/>
  <c r="AC14" i="27" a="1"/>
  <c r="AC14" i="27" s="1"/>
  <c r="AF114" i="27" a="1"/>
  <c r="AF114" i="27" s="1"/>
  <c r="U58" i="27" a="1"/>
  <c r="U58" i="27" s="1"/>
  <c r="AB90" i="27" a="1"/>
  <c r="AB90" i="27" s="1"/>
  <c r="AE106" i="27" a="1"/>
  <c r="AE106" i="27" s="1"/>
  <c r="Y36" i="27" a="1"/>
  <c r="Y36" i="27" s="1"/>
  <c r="AI36" i="27" a="1"/>
  <c r="AI36" i="27" s="1"/>
  <c r="U56" i="27" a="1"/>
  <c r="U56" i="27" s="1"/>
  <c r="P80" i="27" a="1"/>
  <c r="P80" i="27" s="1"/>
  <c r="AB128" i="27" a="1"/>
  <c r="AB128" i="27" s="1"/>
  <c r="AE69" i="27" a="1"/>
  <c r="AE69" i="27" s="1"/>
  <c r="Y58" i="27" a="1"/>
  <c r="Y58" i="27" s="1"/>
  <c r="Y64" i="27" a="1"/>
  <c r="Y64" i="27" s="1"/>
  <c r="S105" i="27" a="1"/>
  <c r="S105" i="27" s="1"/>
  <c r="R129" i="27" a="1"/>
  <c r="R129" i="27" s="1"/>
  <c r="AG22" i="27" a="1"/>
  <c r="AG22" i="27" s="1"/>
  <c r="M94" i="27" a="1"/>
  <c r="M94" i="27" s="1"/>
  <c r="M13" i="27" a="1"/>
  <c r="M13" i="27" s="1"/>
  <c r="AI58" i="27" a="1"/>
  <c r="AI58" i="27" s="1"/>
  <c r="P102" i="27" a="1"/>
  <c r="P102" i="27" s="1"/>
  <c r="X134" i="27" a="1"/>
  <c r="X134" i="27" s="1"/>
  <c r="AI48" i="27" a="1"/>
  <c r="AI48" i="27" s="1"/>
  <c r="V116" i="27" a="1"/>
  <c r="V116" i="27" s="1"/>
  <c r="Z29" i="27" a="1"/>
  <c r="Z29" i="27" s="1"/>
  <c r="N98" i="27" a="1"/>
  <c r="N98" i="27" s="1"/>
  <c r="T65" i="27" a="1"/>
  <c r="T65" i="27" s="1"/>
  <c r="M48" i="27" a="1"/>
  <c r="M48" i="27" s="1"/>
  <c r="AE122" i="27" a="1"/>
  <c r="AE122" i="27" s="1"/>
  <c r="L137" i="27" a="1"/>
  <c r="L137" i="27" s="1"/>
  <c r="L46" i="27" a="1"/>
  <c r="L46" i="27" s="1"/>
  <c r="O129" i="27" a="1"/>
  <c r="O129" i="27" s="1"/>
  <c r="N53" i="27" a="1"/>
  <c r="N53" i="27" s="1"/>
  <c r="AH64" i="27" a="1"/>
  <c r="AH64" i="27" s="1"/>
  <c r="AF92" i="27" a="1"/>
  <c r="AF92" i="27" s="1"/>
  <c r="P100" i="27" a="1"/>
  <c r="P100" i="27" s="1"/>
  <c r="AE60" i="27" a="1"/>
  <c r="AE60" i="27" s="1"/>
  <c r="Z56" i="27" a="1"/>
  <c r="Z56" i="27" s="1"/>
  <c r="Q58" i="27" a="1"/>
  <c r="Q58" i="27" s="1"/>
  <c r="AD129" i="27" a="1"/>
  <c r="AD129" i="27" s="1"/>
  <c r="U120" i="27" a="1"/>
  <c r="U120" i="27" s="1"/>
  <c r="AB133" i="27" a="1"/>
  <c r="AB133" i="27" s="1"/>
  <c r="AI130" i="27" a="1"/>
  <c r="AI130" i="27" s="1"/>
  <c r="M100" i="27" a="1"/>
  <c r="M100" i="27" s="1"/>
  <c r="L102" i="27" a="1"/>
  <c r="L102" i="27" s="1"/>
  <c r="AF90" i="27" a="1"/>
  <c r="AF90" i="27" s="1"/>
  <c r="AB26" i="27" a="1"/>
  <c r="AB26" i="27" s="1"/>
  <c r="Y100" i="27" a="1"/>
  <c r="Y100" i="27" s="1"/>
  <c r="M12" i="27" a="1"/>
  <c r="M12" i="27" s="1"/>
  <c r="M17" i="27" a="1"/>
  <c r="M17" i="27" s="1"/>
  <c r="L36" i="27" a="1"/>
  <c r="L36" i="27" s="1"/>
  <c r="T114" i="27" a="1"/>
  <c r="T114" i="27" s="1"/>
  <c r="AI125" i="27" a="1"/>
  <c r="AI125" i="27" s="1"/>
  <c r="Z69" i="27" a="1"/>
  <c r="Z69" i="27" s="1"/>
  <c r="W138" i="27" a="1"/>
  <c r="W138" i="27" s="1"/>
  <c r="R22" i="27" a="1"/>
  <c r="R22" i="27" s="1"/>
  <c r="T64" i="27" a="1"/>
  <c r="T64" i="27" s="1"/>
  <c r="Y105" i="27" a="1"/>
  <c r="Y105" i="27" s="1"/>
  <c r="P128" i="27" a="1"/>
  <c r="P128" i="27" s="1"/>
  <c r="T106" i="27" a="1"/>
  <c r="T106" i="27" s="1"/>
  <c r="T24" i="27" a="1"/>
  <c r="T24" i="27" s="1"/>
  <c r="AH46" i="27" a="1"/>
  <c r="AH46" i="27" s="1"/>
  <c r="Y82" i="27" a="1"/>
  <c r="Y82" i="27" s="1"/>
  <c r="P26" i="27" a="1"/>
  <c r="P26" i="27" s="1"/>
  <c r="AD60" i="27" a="1"/>
  <c r="AD60" i="27" s="1"/>
  <c r="S14" i="27" a="1"/>
  <c r="S14" i="27" s="1"/>
  <c r="S133" i="27" a="1"/>
  <c r="S133" i="27" s="1"/>
  <c r="AH130" i="27" a="1"/>
  <c r="AH130" i="27" s="1"/>
  <c r="Z116" i="27" a="1"/>
  <c r="Z116" i="27" s="1"/>
  <c r="L42" i="27" a="1"/>
  <c r="L42" i="27" s="1"/>
  <c r="Y122" i="27" a="1"/>
  <c r="Y122" i="27" s="1"/>
  <c r="R138" i="27" a="1"/>
  <c r="R138" i="27" s="1"/>
  <c r="R126" i="27" a="1"/>
  <c r="R126" i="27" s="1"/>
  <c r="AC22" i="27" a="1"/>
  <c r="AC22" i="27" s="1"/>
  <c r="Q112" i="27" a="1"/>
  <c r="Q112" i="27" s="1"/>
  <c r="AI29" i="27" a="1"/>
  <c r="AI29" i="27" s="1"/>
  <c r="AA98" i="27" a="1"/>
  <c r="AA98" i="27" s="1"/>
  <c r="AE137" i="27" a="1"/>
  <c r="AE137" i="27" s="1"/>
  <c r="X22" i="27" a="1"/>
  <c r="X22" i="27" s="1"/>
  <c r="V68" i="27" a="1"/>
  <c r="V68" i="27" s="1"/>
  <c r="AH16" i="27" a="1"/>
  <c r="AH16" i="27" s="1"/>
  <c r="R66" i="27" a="1"/>
  <c r="R66" i="27" s="1"/>
  <c r="T49" i="27" a="1"/>
  <c r="T49" i="27" s="1"/>
  <c r="AD16" i="27" a="1"/>
  <c r="AD16" i="27" s="1"/>
  <c r="W49" i="27" a="1"/>
  <c r="W49" i="27" s="1"/>
  <c r="AC66" i="27" a="1"/>
  <c r="AC66" i="27" s="1"/>
  <c r="AE132" i="27" a="1"/>
  <c r="AE132" i="27" s="1"/>
  <c r="X49" i="27" a="1"/>
  <c r="X49" i="27" s="1"/>
  <c r="Y72" i="27" a="1"/>
  <c r="Y72" i="27" s="1"/>
  <c r="AD20" i="27" a="1"/>
  <c r="AD20" i="27" s="1"/>
  <c r="Z117" i="27" a="1"/>
  <c r="Z117" i="27" s="1"/>
  <c r="N113" i="27" a="1"/>
  <c r="N113" i="27" s="1"/>
  <c r="W118" i="27" a="1"/>
  <c r="W118" i="27" s="1"/>
  <c r="AF113" i="27" a="1"/>
  <c r="AF113" i="27" s="1"/>
  <c r="AG113" i="27" a="1"/>
  <c r="AG113" i="27" s="1"/>
  <c r="AC16" i="27" a="1"/>
  <c r="AC16" i="27" s="1"/>
  <c r="AC117" i="27" a="1"/>
  <c r="AC117" i="27" s="1"/>
  <c r="AF117" i="27" a="1"/>
  <c r="AF117" i="27" s="1"/>
  <c r="AD132" i="27" a="1"/>
  <c r="AD132" i="27" s="1"/>
  <c r="T40" i="27" a="1"/>
  <c r="T40" i="27" s="1"/>
  <c r="O121" i="27" a="1"/>
  <c r="O121" i="27" s="1"/>
  <c r="N117" i="27" a="1"/>
  <c r="N117" i="27" s="1"/>
  <c r="O72" i="27" a="1"/>
  <c r="O72" i="27" s="1"/>
  <c r="AH121" i="27" a="1"/>
  <c r="AH121" i="27" s="1"/>
  <c r="Z66" i="27" a="1"/>
  <c r="Z66" i="27" s="1"/>
  <c r="U121" i="27" a="1"/>
  <c r="U121" i="27" s="1"/>
  <c r="V121" i="27" a="1"/>
  <c r="V121" i="27" s="1"/>
  <c r="AE113" i="27" a="1"/>
  <c r="AE113" i="27" s="1"/>
  <c r="R16" i="27" a="1"/>
  <c r="R16" i="27" s="1"/>
  <c r="AG121" i="27" a="1"/>
  <c r="AG121" i="27" s="1"/>
  <c r="Q28" i="27" a="1"/>
  <c r="Q28" i="27" s="1"/>
  <c r="N93" i="27" a="1"/>
  <c r="N93" i="27" s="1"/>
  <c r="R25" i="27" a="1"/>
  <c r="R25" i="27" s="1"/>
  <c r="U82" i="27" a="1"/>
  <c r="U82" i="27" s="1"/>
  <c r="U90" i="27" a="1"/>
  <c r="U90" i="27" s="1"/>
  <c r="S64" i="27" a="1"/>
  <c r="S64" i="27" s="1"/>
  <c r="W26" i="27" a="1"/>
  <c r="W26" i="27" s="1"/>
  <c r="Q110" i="27" a="1"/>
  <c r="Q110" i="27" s="1"/>
  <c r="O138" i="27" a="1"/>
  <c r="O138" i="27" s="1"/>
  <c r="M133" i="27" a="1"/>
  <c r="M133" i="27" s="1"/>
  <c r="M105" i="27" a="1"/>
  <c r="M105" i="27" s="1"/>
  <c r="M128" i="27" a="1"/>
  <c r="M128" i="27" s="1"/>
  <c r="R17" i="27" a="1"/>
  <c r="R17" i="27" s="1"/>
  <c r="AF139" i="27" a="1"/>
  <c r="AF139" i="27" s="1"/>
  <c r="V64" i="27" a="1"/>
  <c r="V64" i="27" s="1"/>
  <c r="AH100" i="27" a="1"/>
  <c r="AH100" i="27" s="1"/>
  <c r="R69" i="27" a="1"/>
  <c r="R69" i="27" s="1"/>
  <c r="AD58" i="27" a="1"/>
  <c r="AD58" i="27" s="1"/>
  <c r="AA65" i="27" a="1"/>
  <c r="AA65" i="27" s="1"/>
  <c r="Z93" i="27" a="1"/>
  <c r="Z93" i="27" s="1"/>
  <c r="M90" i="27" a="1"/>
  <c r="M90" i="27" s="1"/>
  <c r="AG90" i="27" a="1"/>
  <c r="AG90" i="27" s="1"/>
  <c r="M106" i="27" a="1"/>
  <c r="M106" i="27" s="1"/>
  <c r="S36" i="27" a="1"/>
  <c r="S36" i="27" s="1"/>
  <c r="AI92" i="27" a="1"/>
  <c r="AI92" i="27" s="1"/>
  <c r="AE134" i="27" a="1"/>
  <c r="AE134" i="27" s="1"/>
  <c r="M68" i="27" a="1"/>
  <c r="M68" i="27" s="1"/>
  <c r="AB100" i="27" a="1"/>
  <c r="AB100" i="27" s="1"/>
  <c r="R82" i="27" a="1"/>
  <c r="R82" i="27" s="1"/>
  <c r="AC48" i="27" a="1"/>
  <c r="AC48" i="27" s="1"/>
  <c r="AB36" i="27" a="1"/>
  <c r="AB36" i="27" s="1"/>
  <c r="Z125" i="27" a="1"/>
  <c r="Z125" i="27" s="1"/>
  <c r="W116" i="27" a="1"/>
  <c r="W116" i="27" s="1"/>
  <c r="W28" i="27" a="1"/>
  <c r="W28" i="27" s="1"/>
  <c r="AH105" i="27" a="1"/>
  <c r="AH105" i="27" s="1"/>
  <c r="AF46" i="27" a="1"/>
  <c r="AF46" i="27" s="1"/>
  <c r="X53" i="27" a="1"/>
  <c r="X53" i="27" s="1"/>
  <c r="P24" i="27" a="1"/>
  <c r="P24" i="27" s="1"/>
  <c r="AB12" i="27" a="1"/>
  <c r="AB12" i="27" s="1"/>
  <c r="S58" i="27" a="1"/>
  <c r="S58" i="27" s="1"/>
  <c r="L58" i="27" a="1"/>
  <c r="L58" i="27" s="1"/>
  <c r="AC94" i="27" a="1"/>
  <c r="AC94" i="27" s="1"/>
  <c r="P122" i="27" a="1"/>
  <c r="P122" i="27" s="1"/>
  <c r="O58" i="27" a="1"/>
  <c r="O58" i="27" s="1"/>
  <c r="Y133" i="27" a="1"/>
  <c r="Y133" i="27" s="1"/>
  <c r="M25" i="27" a="1"/>
  <c r="M25" i="27" s="1"/>
  <c r="L65" i="27" a="1"/>
  <c r="L65" i="27" s="1"/>
  <c r="W139" i="27" a="1"/>
  <c r="W139" i="27" s="1"/>
  <c r="AA114" i="27" a="1"/>
  <c r="AA114" i="27" s="1"/>
  <c r="V82" i="27" a="1"/>
  <c r="V82" i="27" s="1"/>
  <c r="X90" i="27" a="1"/>
  <c r="X90" i="27" s="1"/>
  <c r="AB14" i="27" a="1"/>
  <c r="AB14" i="27" s="1"/>
  <c r="L13" i="27" a="1"/>
  <c r="L13" i="27" s="1"/>
  <c r="O98" i="27" a="1"/>
  <c r="O98" i="27" s="1"/>
  <c r="P17" i="27" a="1"/>
  <c r="P17" i="27" s="1"/>
  <c r="S94" i="27" a="1"/>
  <c r="S94" i="27" s="1"/>
  <c r="P93" i="27" a="1"/>
  <c r="P93" i="27" s="1"/>
  <c r="AF126" i="27" a="1"/>
  <c r="AF126" i="27" s="1"/>
  <c r="T69" i="27" a="1"/>
  <c r="T69" i="27" s="1"/>
  <c r="R94" i="27" a="1"/>
  <c r="R94" i="27" s="1"/>
  <c r="AC93" i="27" a="1"/>
  <c r="AC93" i="27" s="1"/>
  <c r="Q48" i="27" a="1"/>
  <c r="Q48" i="27" s="1"/>
  <c r="X76" i="27" a="1"/>
  <c r="X76" i="27" s="1"/>
  <c r="AB53" i="27" a="1"/>
  <c r="AB53" i="27" s="1"/>
  <c r="Z105" i="27" a="1"/>
  <c r="Z105" i="27" s="1"/>
  <c r="AG133" i="27" a="1"/>
  <c r="AG133" i="27" s="1"/>
  <c r="AA90" i="27" a="1"/>
  <c r="AA90" i="27" s="1"/>
  <c r="Q42" i="27" a="1"/>
  <c r="Q42" i="27" s="1"/>
  <c r="P36" i="27" a="1"/>
  <c r="P36" i="27" s="1"/>
  <c r="L24" i="27" a="1"/>
  <c r="L24" i="27" s="1"/>
  <c r="U14" i="27" a="1"/>
  <c r="U14" i="27" s="1"/>
  <c r="W22" i="27" a="1"/>
  <c r="W22" i="27" s="1"/>
  <c r="Q32" i="27" a="1"/>
  <c r="Q32" i="27" s="1"/>
  <c r="AE102" i="27" a="1"/>
  <c r="AE102" i="27" s="1"/>
  <c r="V138" i="27" a="1"/>
  <c r="V138" i="27" s="1"/>
  <c r="Y12" i="27" a="1"/>
  <c r="Y12" i="27" s="1"/>
  <c r="AI80" i="27" a="1"/>
  <c r="AI80" i="27" s="1"/>
  <c r="M64" i="27" a="1"/>
  <c r="M64" i="27" s="1"/>
  <c r="O24" i="27" a="1"/>
  <c r="O24" i="27" s="1"/>
  <c r="O12" i="27" a="1"/>
  <c r="O12" i="27" s="1"/>
  <c r="Y69" i="27" a="1"/>
  <c r="Y69" i="27" s="1"/>
  <c r="AD120" i="27" a="1"/>
  <c r="AD120" i="27" s="1"/>
  <c r="Z64" i="27" a="1"/>
  <c r="Z64" i="27" s="1"/>
  <c r="M116" i="27" a="1"/>
  <c r="M116" i="27" s="1"/>
  <c r="AI13" i="27" a="1"/>
  <c r="AI13" i="27" s="1"/>
  <c r="R122" i="27" a="1"/>
  <c r="R122" i="27" s="1"/>
  <c r="AD93" i="27" a="1"/>
  <c r="AD93" i="27" s="1"/>
  <c r="P22" i="27" a="1"/>
  <c r="P22" i="27" s="1"/>
  <c r="AG53" i="27" a="1"/>
  <c r="AG53" i="27" s="1"/>
  <c r="AD133" i="27" a="1"/>
  <c r="AD133" i="27" s="1"/>
  <c r="Y126" i="27" a="1"/>
  <c r="Y126" i="27" s="1"/>
  <c r="P130" i="27" a="1"/>
  <c r="P130" i="27" s="1"/>
  <c r="AC116" i="27" a="1"/>
  <c r="AC116" i="27" s="1"/>
  <c r="N24" i="27" a="1"/>
  <c r="N24" i="27" s="1"/>
  <c r="U42" i="27" a="1"/>
  <c r="U42" i="27" s="1"/>
  <c r="T100" i="27" a="1"/>
  <c r="T100" i="27" s="1"/>
  <c r="O32" i="27" a="1"/>
  <c r="O32" i="27" s="1"/>
  <c r="AC60" i="27" a="1"/>
  <c r="AC60" i="27" s="1"/>
  <c r="S114" i="27" a="1"/>
  <c r="S114" i="27" s="1"/>
  <c r="Z98" i="27" a="1"/>
  <c r="Z98" i="27" s="1"/>
  <c r="N137" i="27" a="1"/>
  <c r="N137" i="27" s="1"/>
  <c r="R137" i="27" a="1"/>
  <c r="R137" i="27" s="1"/>
  <c r="AD89" i="27" a="1"/>
  <c r="AD89" i="27" s="1"/>
  <c r="L125" i="27" a="1"/>
  <c r="L125" i="27" s="1"/>
  <c r="W80" i="27" a="1"/>
  <c r="W80" i="27" s="1"/>
  <c r="O120" i="27" a="1"/>
  <c r="O120" i="27" s="1"/>
  <c r="AC68" i="27" a="1"/>
  <c r="AC68" i="27" s="1"/>
  <c r="AF122" i="27" a="1"/>
  <c r="AF122" i="27" s="1"/>
  <c r="AI69" i="27" a="1"/>
  <c r="AI69" i="27" s="1"/>
  <c r="AE98" i="27" a="1"/>
  <c r="AE98" i="27" s="1"/>
  <c r="O69" i="27" a="1"/>
  <c r="O69" i="27" s="1"/>
  <c r="AE110" i="27" a="1"/>
  <c r="AE110" i="27" s="1"/>
  <c r="O102" i="27" a="1"/>
  <c r="O102" i="27" s="1"/>
  <c r="AG128" i="27" a="1"/>
  <c r="AG128" i="27" s="1"/>
  <c r="W93" i="27" a="1"/>
  <c r="W93" i="27" s="1"/>
  <c r="Q80" i="27" a="1"/>
  <c r="Q80" i="27" s="1"/>
  <c r="R10" i="27" a="1"/>
  <c r="R10" i="27" s="1"/>
  <c r="AC126" i="27" a="1"/>
  <c r="AC126" i="27" s="1"/>
  <c r="V129" i="27" a="1"/>
  <c r="V129" i="27" s="1"/>
  <c r="L93" i="27" a="1"/>
  <c r="L93" i="27" s="1"/>
  <c r="AF93" i="27" a="1"/>
  <c r="AF93" i="27" s="1"/>
  <c r="AD36" i="27" a="1"/>
  <c r="AD36" i="27" s="1"/>
  <c r="V76" i="27" a="1"/>
  <c r="V76" i="27" s="1"/>
  <c r="U130" i="27" a="1"/>
  <c r="U130" i="27" s="1"/>
  <c r="AG76" i="27" a="1"/>
  <c r="AG76" i="27" s="1"/>
  <c r="O26" i="27" a="1"/>
  <c r="O26" i="27" s="1"/>
  <c r="T138" i="27" a="1"/>
  <c r="T138" i="27" s="1"/>
  <c r="X14" i="27" a="1"/>
  <c r="X14" i="27" s="1"/>
  <c r="AH92" i="27" a="1"/>
  <c r="AH92" i="27" s="1"/>
  <c r="AG17" i="27" a="1"/>
  <c r="AG17" i="27" s="1"/>
  <c r="AG138" i="27" a="1"/>
  <c r="AG138" i="27" s="1"/>
  <c r="O82" i="27" a="1"/>
  <c r="O82" i="27" s="1"/>
  <c r="AD17" i="27" a="1"/>
  <c r="AD17" i="27" s="1"/>
  <c r="AI10" i="27" a="1"/>
  <c r="AI10" i="27" s="1"/>
  <c r="Z94" i="27" a="1"/>
  <c r="Z94" i="27" s="1"/>
  <c r="Q13" i="27" a="1"/>
  <c r="Q13" i="27" s="1"/>
  <c r="N110" i="27" a="1"/>
  <c r="N110" i="27" s="1"/>
  <c r="V128" i="27" a="1"/>
  <c r="V128" i="27" s="1"/>
  <c r="U53" i="27" a="1"/>
  <c r="U53" i="27" s="1"/>
  <c r="V130" i="27" a="1"/>
  <c r="V130" i="27" s="1"/>
  <c r="Z130" i="27" a="1"/>
  <c r="Z130" i="27" s="1"/>
  <c r="Q76" i="27" a="1"/>
  <c r="Q76" i="27" s="1"/>
  <c r="Q120" i="27" a="1"/>
  <c r="Q120" i="27" s="1"/>
  <c r="AD29" i="27" a="1"/>
  <c r="AD29" i="27" s="1"/>
  <c r="Z22" i="27" a="1"/>
  <c r="Z22" i="27" s="1"/>
  <c r="AF116" i="27" a="1"/>
  <c r="AF116" i="27" s="1"/>
  <c r="P29" i="27" a="1"/>
  <c r="P29" i="27" s="1"/>
  <c r="U80" i="27" a="1"/>
  <c r="U80" i="27" s="1"/>
  <c r="Q68" i="27" a="1"/>
  <c r="Q68" i="27" s="1"/>
  <c r="AF24" i="27" a="1"/>
  <c r="AF24" i="27" s="1"/>
  <c r="P42" i="27" a="1"/>
  <c r="P42" i="27" s="1"/>
  <c r="AE13" i="27" a="1"/>
  <c r="AE13" i="27" s="1"/>
  <c r="N25" i="27" a="1"/>
  <c r="N25" i="27" s="1"/>
  <c r="U92" i="27" a="1"/>
  <c r="U92" i="27" s="1"/>
  <c r="N112" i="27" a="1"/>
  <c r="N112" i="27" s="1"/>
  <c r="AC32" i="27" a="1"/>
  <c r="AC32" i="27" s="1"/>
  <c r="M129" i="27" a="1"/>
  <c r="M129" i="27" s="1"/>
  <c r="S53" i="27" a="1"/>
  <c r="S53" i="27" s="1"/>
  <c r="L90" i="27" a="1"/>
  <c r="L90" i="27" s="1"/>
  <c r="V98" i="27" a="1"/>
  <c r="V98" i="27" s="1"/>
  <c r="X105" i="27" a="1"/>
  <c r="X105" i="27" s="1"/>
  <c r="L12" i="27" a="1"/>
  <c r="L12" i="27" s="1"/>
  <c r="AI12" i="27" a="1"/>
  <c r="AI12" i="27" s="1"/>
  <c r="AH138" i="27" a="1"/>
  <c r="AH138" i="27" s="1"/>
  <c r="Z10" i="27" a="1"/>
  <c r="Z10" i="27" s="1"/>
  <c r="L14" i="27" a="1"/>
  <c r="L14" i="27" s="1"/>
  <c r="S106" i="27" a="1"/>
  <c r="S106" i="27" s="1"/>
  <c r="N13" i="27" a="1"/>
  <c r="N13" i="27" s="1"/>
  <c r="N32" i="27" a="1"/>
  <c r="N32" i="27" s="1"/>
  <c r="W98" i="27" a="1"/>
  <c r="W98" i="27" s="1"/>
  <c r="AE56" i="27" a="1"/>
  <c r="AE56" i="27" s="1"/>
  <c r="Q128" i="27" a="1"/>
  <c r="Q128" i="27" s="1"/>
  <c r="V80" i="27" a="1"/>
  <c r="V80" i="27" s="1"/>
  <c r="W10" i="27" a="1"/>
  <c r="W10" i="27" s="1"/>
  <c r="L133" i="27" a="1"/>
  <c r="L133" i="27" s="1"/>
  <c r="AE130" i="27" a="1"/>
  <c r="AE130" i="27" s="1"/>
  <c r="AB116" i="27" a="1"/>
  <c r="AB116" i="27" s="1"/>
  <c r="AE24" i="27" a="1"/>
  <c r="AE24" i="27" s="1"/>
  <c r="W42" i="27" a="1"/>
  <c r="W42" i="27" s="1"/>
  <c r="T13" i="27" a="1"/>
  <c r="T13" i="27" s="1"/>
  <c r="AF29" i="27" a="1"/>
  <c r="AF29" i="27" s="1"/>
  <c r="P82" i="27" a="1"/>
  <c r="P82" i="27" s="1"/>
  <c r="AB22" i="27" a="1"/>
  <c r="AB22" i="27" s="1"/>
  <c r="Z58" i="27" a="1"/>
  <c r="Z58" i="27" s="1"/>
  <c r="AH65" i="27" a="1"/>
  <c r="AH65" i="27" s="1"/>
  <c r="AA106" i="27" a="1"/>
  <c r="AA106" i="27" s="1"/>
  <c r="Y32" i="27" a="1"/>
  <c r="Y32" i="27" s="1"/>
  <c r="AG69" i="27" a="1"/>
  <c r="AG69" i="27" s="1"/>
  <c r="W53" i="27" a="1"/>
  <c r="W53" i="27" s="1"/>
  <c r="AD53" i="27" a="1"/>
  <c r="AD53" i="27" s="1"/>
  <c r="V114" i="27" a="1"/>
  <c r="V114" i="27" s="1"/>
  <c r="AH76" i="27" a="1"/>
  <c r="AH76" i="27" s="1"/>
  <c r="AD48" i="27" a="1"/>
  <c r="AD48" i="27" s="1"/>
  <c r="AC25" i="27" a="1"/>
  <c r="AC25" i="27" s="1"/>
  <c r="X138" i="27" a="1"/>
  <c r="X138" i="27" s="1"/>
  <c r="N36" i="27" a="1"/>
  <c r="N36" i="27" s="1"/>
  <c r="S80" i="27" a="1"/>
  <c r="S80" i="27" s="1"/>
  <c r="AG46" i="27" a="1"/>
  <c r="AG46" i="27" s="1"/>
  <c r="AH129" i="27" a="1"/>
  <c r="AH129" i="27" s="1"/>
  <c r="P105" i="27" a="1"/>
  <c r="P105" i="27" s="1"/>
  <c r="S100" i="27" a="1"/>
  <c r="S100" i="27" s="1"/>
  <c r="AC128" i="27" a="1"/>
  <c r="AC128" i="27" s="1"/>
  <c r="M76" i="27" a="1"/>
  <c r="M76" i="27" s="1"/>
  <c r="AF112" i="27" a="1"/>
  <c r="AF112" i="27" s="1"/>
  <c r="N69" i="27" a="1"/>
  <c r="N69" i="27" s="1"/>
  <c r="P114" i="27" a="1"/>
  <c r="P114" i="27" s="1"/>
  <c r="M139" i="27" a="1"/>
  <c r="M139" i="27" s="1"/>
  <c r="Y134" i="27" a="1"/>
  <c r="Y134" i="27" s="1"/>
  <c r="AF69" i="27" a="1"/>
  <c r="AF69" i="27" s="1"/>
  <c r="AG12" i="27" a="1"/>
  <c r="AG12" i="27" s="1"/>
  <c r="AG56" i="27" a="1"/>
  <c r="AG56" i="27" s="1"/>
  <c r="L120" i="27" a="1"/>
  <c r="L120" i="27" s="1"/>
  <c r="O36" i="27" a="1"/>
  <c r="O36" i="27" s="1"/>
  <c r="AD112" i="27" a="1"/>
  <c r="AD112" i="27" s="1"/>
  <c r="U122" i="27" a="1"/>
  <c r="U122" i="27" s="1"/>
  <c r="AB102" i="27" a="1"/>
  <c r="AB102" i="27" s="1"/>
  <c r="AA128" i="27" a="1"/>
  <c r="AA128" i="27" s="1"/>
  <c r="AI120" i="27" a="1"/>
  <c r="AI120" i="27" s="1"/>
  <c r="X92" i="27" a="1"/>
  <c r="X92" i="27" s="1"/>
  <c r="O105" i="27" a="1"/>
  <c r="O105" i="27" s="1"/>
  <c r="AI32" i="27" a="1"/>
  <c r="AI32" i="27" s="1"/>
  <c r="AC114" i="27" a="1"/>
  <c r="AC114" i="27" s="1"/>
  <c r="R56" i="27" a="1"/>
  <c r="R56" i="27" s="1"/>
  <c r="AF110" i="27" a="1"/>
  <c r="AF110" i="27" s="1"/>
  <c r="L82" i="27" a="1"/>
  <c r="L82" i="27" s="1"/>
  <c r="R93" i="27" a="1"/>
  <c r="R93" i="27" s="1"/>
  <c r="AH128" i="27" a="1"/>
  <c r="AH128" i="27" s="1"/>
  <c r="W126" i="27" a="1"/>
  <c r="W126" i="27" s="1"/>
  <c r="P94" i="27" a="1"/>
  <c r="P94" i="27" s="1"/>
  <c r="U64" i="27" a="1"/>
  <c r="U64" i="27" s="1"/>
  <c r="T116" i="27" a="1"/>
  <c r="T116" i="27" s="1"/>
  <c r="AD105" i="27" a="1"/>
  <c r="AD105" i="27" s="1"/>
  <c r="AA122" i="27" a="1"/>
  <c r="AA122" i="27" s="1"/>
  <c r="P25" i="27" a="1"/>
  <c r="P25" i="27" s="1"/>
  <c r="Y56" i="27" a="1"/>
  <c r="Y56" i="27" s="1"/>
  <c r="O125" i="27" a="1"/>
  <c r="O125" i="27" s="1"/>
  <c r="R128" i="27" a="1"/>
  <c r="R128" i="27" s="1"/>
  <c r="Q138" i="27" a="1"/>
  <c r="Q138" i="27" s="1"/>
  <c r="S102" i="27" a="1"/>
  <c r="S102" i="27" s="1"/>
  <c r="AB134" i="27" a="1"/>
  <c r="AB134" i="27" s="1"/>
  <c r="AC134" i="27" a="1"/>
  <c r="AC134" i="27" s="1"/>
  <c r="S126" i="27" a="1"/>
  <c r="S126" i="27" s="1"/>
  <c r="M134" i="27" a="1"/>
  <c r="M134" i="27" s="1"/>
  <c r="AC90" i="27" a="1"/>
  <c r="AC90" i="27" s="1"/>
  <c r="L94" i="27" a="1"/>
  <c r="L94" i="27" s="1"/>
  <c r="AG100" i="27" a="1"/>
  <c r="AG100" i="27" s="1"/>
  <c r="U46" i="27" a="1"/>
  <c r="U46" i="27" s="1"/>
  <c r="X93" i="27" a="1"/>
  <c r="X93" i="27" s="1"/>
  <c r="N114" i="27" a="1"/>
  <c r="N114" i="27" s="1"/>
  <c r="M28" i="27" a="1"/>
  <c r="M28" i="27" s="1"/>
  <c r="W14" i="27" a="1"/>
  <c r="W14" i="27" s="1"/>
  <c r="R134" i="27" a="1"/>
  <c r="R134" i="27" s="1"/>
  <c r="AF48" i="27" a="1"/>
  <c r="AF48" i="27" s="1"/>
  <c r="U116" i="27" a="1"/>
  <c r="U116" i="27" s="1"/>
  <c r="AF26" i="27" a="1"/>
  <c r="AF26" i="27" s="1"/>
  <c r="AG65" i="27" a="1"/>
  <c r="AG65" i="27" s="1"/>
  <c r="O134" i="27" a="1"/>
  <c r="O134" i="27" s="1"/>
  <c r="R90" i="27" a="1"/>
  <c r="R90" i="27" s="1"/>
  <c r="AG93" i="27" a="1"/>
  <c r="AG93" i="27" s="1"/>
  <c r="AG130" i="27" a="1"/>
  <c r="AG130" i="27" s="1"/>
  <c r="Y116" i="27" a="1"/>
  <c r="Y116" i="27" s="1"/>
  <c r="V126" i="27" a="1"/>
  <c r="V126" i="27" s="1"/>
  <c r="AD139" i="27" a="1"/>
  <c r="AD139" i="27" s="1"/>
  <c r="U20" i="27" a="1"/>
  <c r="U20" i="27" s="1"/>
  <c r="T20" i="27" a="1"/>
  <c r="T20" i="27" s="1"/>
  <c r="M66" i="27" a="1"/>
  <c r="M66" i="27" s="1"/>
  <c r="S132" i="27" a="1"/>
  <c r="S132" i="27" s="1"/>
  <c r="P132" i="27" a="1"/>
  <c r="P132" i="27" s="1"/>
  <c r="L49" i="27" a="1"/>
  <c r="L49" i="27" s="1"/>
  <c r="AA121" i="27" a="1"/>
  <c r="AA121" i="27" s="1"/>
  <c r="L113" i="27" a="1"/>
  <c r="L113" i="27" s="1"/>
  <c r="AH118" i="27" a="1"/>
  <c r="AH118" i="27" s="1"/>
  <c r="P49" i="27" a="1"/>
  <c r="P49" i="27" s="1"/>
  <c r="AA132" i="27" a="1"/>
  <c r="AA132" i="27" s="1"/>
  <c r="Q117" i="27" a="1"/>
  <c r="Q117" i="27" s="1"/>
  <c r="U66" i="27" a="1"/>
  <c r="U66" i="27" s="1"/>
  <c r="AA49" i="27" a="1"/>
  <c r="AA49" i="27" s="1"/>
  <c r="AH72" i="27" a="1"/>
  <c r="AH72" i="27" s="1"/>
  <c r="AB16" i="27" a="1"/>
  <c r="AB16" i="27" s="1"/>
  <c r="Y113" i="27" a="1"/>
  <c r="Y113" i="27" s="1"/>
  <c r="AF66" i="27" a="1"/>
  <c r="AF66" i="27" s="1"/>
  <c r="O118" i="27" a="1"/>
  <c r="O118" i="27" s="1"/>
  <c r="AA117" i="27" a="1"/>
  <c r="AA117" i="27" s="1"/>
  <c r="N40" i="27" a="1"/>
  <c r="N40" i="27" s="1"/>
  <c r="AA118" i="27" a="1"/>
  <c r="AA118" i="27" s="1"/>
  <c r="M118" i="27" a="1"/>
  <c r="M118" i="27" s="1"/>
  <c r="M113" i="27" a="1"/>
  <c r="M113" i="27" s="1"/>
  <c r="R72" i="27" a="1"/>
  <c r="R72" i="27" s="1"/>
  <c r="O16" i="27" a="1"/>
  <c r="O16" i="27" s="1"/>
  <c r="AH132" i="27" a="1"/>
  <c r="AH132" i="27" s="1"/>
  <c r="Y118" i="27" a="1"/>
  <c r="Y118" i="27" s="1"/>
  <c r="X113" i="27" a="1"/>
  <c r="X113" i="27" s="1"/>
  <c r="Y20" i="27" a="1"/>
  <c r="Y20" i="27" s="1"/>
  <c r="AF121" i="27" a="1"/>
  <c r="AF121" i="27" s="1"/>
  <c r="R40" i="27" a="1"/>
  <c r="R40" i="27" s="1"/>
  <c r="P121" i="27" a="1"/>
  <c r="P121" i="27" s="1"/>
  <c r="S118" i="27" a="1"/>
  <c r="S118" i="27" s="1"/>
  <c r="AB121" i="27" a="1"/>
  <c r="AB121" i="27" s="1"/>
  <c r="AB72" i="27" a="1"/>
  <c r="AB72" i="27" s="1"/>
  <c r="AD121" i="27" a="1"/>
  <c r="AD121" i="27" s="1"/>
  <c r="X132" i="27" a="1"/>
  <c r="X132" i="27" s="1"/>
  <c r="W32" i="27" a="1"/>
  <c r="W32" i="27" s="1"/>
  <c r="AD125" i="27" a="1"/>
  <c r="AD125" i="27" s="1"/>
  <c r="AA89" i="27" a="1"/>
  <c r="AA89" i="27" s="1"/>
  <c r="AF58" i="27" a="1"/>
  <c r="AF58" i="27" s="1"/>
  <c r="AG139" i="27" a="1"/>
  <c r="AG139" i="27" s="1"/>
  <c r="AC139" i="27" a="1"/>
  <c r="AC139" i="27" s="1"/>
  <c r="X106" i="27" a="1"/>
  <c r="X106" i="27" s="1"/>
  <c r="W24" i="27" a="1"/>
  <c r="W24" i="27" s="1"/>
  <c r="AD42" i="27" a="1"/>
  <c r="AD42" i="27" s="1"/>
  <c r="X137" i="27" a="1"/>
  <c r="X137" i="27" s="1"/>
  <c r="Q46" i="27" a="1"/>
  <c r="Q46" i="27" s="1"/>
  <c r="W65" i="27" a="1"/>
  <c r="W65" i="27" s="1"/>
  <c r="AB98" i="27" a="1"/>
  <c r="AB98" i="27" s="1"/>
  <c r="AD138" i="27" a="1"/>
  <c r="AD138" i="27" s="1"/>
  <c r="AA68" i="27" a="1"/>
  <c r="AA68" i="27" s="1"/>
  <c r="AG42" i="27" a="1"/>
  <c r="AG42" i="27" s="1"/>
  <c r="AH98" i="27" a="1"/>
  <c r="AH98" i="27" s="1"/>
  <c r="S110" i="27" a="1"/>
  <c r="S110" i="27" s="1"/>
  <c r="AF25" i="27" a="1"/>
  <c r="AF25" i="27" s="1"/>
  <c r="M82" i="27" a="1"/>
  <c r="M82" i="27" s="1"/>
  <c r="AB65" i="27" a="1"/>
  <c r="AB65" i="27" s="1"/>
  <c r="O93" i="27" a="1"/>
  <c r="O93" i="27" s="1"/>
  <c r="O22" i="27" a="1"/>
  <c r="O22" i="27" s="1"/>
  <c r="U106" i="27" a="1"/>
  <c r="U106" i="27" s="1"/>
  <c r="AF76" i="27" a="1"/>
  <c r="AF76" i="27" s="1"/>
  <c r="N105" i="27" a="1"/>
  <c r="N105" i="27" s="1"/>
  <c r="R100" i="27" a="1"/>
  <c r="R100" i="27" s="1"/>
  <c r="S32" i="27" a="1"/>
  <c r="S32" i="27" s="1"/>
  <c r="L60" i="27" a="1"/>
  <c r="L60" i="27" s="1"/>
  <c r="AA56" i="27" a="1"/>
  <c r="AA56" i="27" s="1"/>
  <c r="T137" i="27" a="1"/>
  <c r="T137" i="27" s="1"/>
  <c r="AE25" i="27" a="1"/>
  <c r="AE25" i="27" s="1"/>
  <c r="AI89" i="27" a="1"/>
  <c r="AI89" i="27" s="1"/>
  <c r="S129" i="27" a="1"/>
  <c r="S129" i="27" s="1"/>
  <c r="AD80" i="27" a="1"/>
  <c r="AD80" i="27" s="1"/>
  <c r="P53" i="27" a="1"/>
  <c r="P53" i="27" s="1"/>
  <c r="AI17" i="27" a="1"/>
  <c r="AI17" i="27" s="1"/>
  <c r="AI68" i="27" a="1"/>
  <c r="AI68" i="27" s="1"/>
  <c r="AI64" i="27" a="1"/>
  <c r="AI64" i="27" s="1"/>
  <c r="AH116" i="27" a="1"/>
  <c r="AH116" i="27" s="1"/>
  <c r="T92" i="27" a="1"/>
  <c r="T92" i="27" s="1"/>
  <c r="AE114" i="27" a="1"/>
  <c r="AE114" i="27" s="1"/>
  <c r="AC28" i="27" a="1"/>
  <c r="AC28" i="27" s="1"/>
  <c r="AA28" i="27" a="1"/>
  <c r="AA28" i="27" s="1"/>
  <c r="M110" i="27" a="1"/>
  <c r="M110" i="27" s="1"/>
  <c r="T125" i="27" a="1"/>
  <c r="T125" i="27" s="1"/>
  <c r="AB46" i="27" a="1"/>
  <c r="AB46" i="27" s="1"/>
  <c r="T102" i="27" a="1"/>
  <c r="T102" i="27" s="1"/>
  <c r="AB10" i="27" a="1"/>
  <c r="AB10" i="27" s="1"/>
  <c r="U48" i="27" a="1"/>
  <c r="U48" i="27" s="1"/>
  <c r="AG134" i="27" a="1"/>
  <c r="AG134" i="27" s="1"/>
  <c r="AA139" i="27" a="1"/>
  <c r="AA139" i="27" s="1"/>
  <c r="R36" i="27" a="1"/>
  <c r="R36" i="27" s="1"/>
  <c r="V26" i="27" a="1"/>
  <c r="V26" i="27" s="1"/>
  <c r="AI105" i="27" a="1"/>
  <c r="AI105" i="27" s="1"/>
  <c r="X112" i="27" a="1"/>
  <c r="X112" i="27" s="1"/>
  <c r="X122" i="27" a="1"/>
  <c r="X122" i="27" s="1"/>
  <c r="V29" i="27" a="1"/>
  <c r="V29" i="27" s="1"/>
  <c r="U60" i="27" a="1"/>
  <c r="U60" i="27" s="1"/>
  <c r="V25" i="27" a="1"/>
  <c r="V25" i="27" s="1"/>
  <c r="AB28" i="27" a="1"/>
  <c r="AB28" i="27" s="1"/>
  <c r="AF12" i="27" a="1"/>
  <c r="AF12" i="27" s="1"/>
  <c r="AE125" i="27" a="1"/>
  <c r="AE125" i="27" s="1"/>
  <c r="W102" i="27" a="1"/>
  <c r="W102" i="27" s="1"/>
  <c r="O56" i="27" a="1"/>
  <c r="O56" i="27" s="1"/>
  <c r="S128" i="27" a="1"/>
  <c r="S128" i="27" s="1"/>
  <c r="N138" i="27" a="1"/>
  <c r="N138" i="27" s="1"/>
  <c r="T93" i="27" a="1"/>
  <c r="T93" i="27" s="1"/>
  <c r="W12" i="27" a="1"/>
  <c r="W12" i="27" s="1"/>
  <c r="AG80" i="27" a="1"/>
  <c r="AG80" i="27" s="1"/>
  <c r="X48" i="27" a="1"/>
  <c r="X48" i="27" s="1"/>
  <c r="Y17" i="27" a="1"/>
  <c r="Y17" i="27" s="1"/>
  <c r="AE126" i="27" a="1"/>
  <c r="AE126" i="27" s="1"/>
  <c r="AI60" i="27" a="1"/>
  <c r="AI60" i="27" s="1"/>
  <c r="U138" i="27" a="1"/>
  <c r="U138" i="27" s="1"/>
  <c r="X28" i="27" a="1"/>
  <c r="X28" i="27" s="1"/>
  <c r="L106" i="27" a="1"/>
  <c r="L106" i="27" s="1"/>
  <c r="Y94" i="27" a="1"/>
  <c r="Y94" i="27" s="1"/>
  <c r="T122" i="27" a="1"/>
  <c r="T122" i="27" s="1"/>
  <c r="Q29" i="27" a="1"/>
  <c r="Q29" i="27" s="1"/>
  <c r="M60" i="27" a="1"/>
  <c r="M60" i="27" s="1"/>
  <c r="M114" i="27" a="1"/>
  <c r="M114" i="27" s="1"/>
  <c r="U25" i="27" a="1"/>
  <c r="U25" i="27" s="1"/>
  <c r="R28" i="27" a="1"/>
  <c r="R28" i="27" s="1"/>
  <c r="AC12" i="27" a="1"/>
  <c r="AC12" i="27" s="1"/>
  <c r="T58" i="27" a="1"/>
  <c r="T58" i="27" s="1"/>
  <c r="Q114" i="27" a="1"/>
  <c r="Q114" i="27" s="1"/>
  <c r="Y129" i="27" a="1"/>
  <c r="Y129" i="27" s="1"/>
  <c r="Q139" i="27" a="1"/>
  <c r="Q139" i="27" s="1"/>
  <c r="U17" i="27" a="1"/>
  <c r="U17" i="27" s="1"/>
  <c r="AH134" i="27" a="1"/>
  <c r="AH134" i="27" s="1"/>
  <c r="P139" i="27" a="1"/>
  <c r="P139" i="27" s="1"/>
  <c r="Q129" i="27" a="1"/>
  <c r="Q129" i="27" s="1"/>
  <c r="AD134" i="27" a="1"/>
  <c r="AD134" i="27" s="1"/>
  <c r="AE64" i="27" a="1"/>
  <c r="AE64" i="27" s="1"/>
  <c r="L116" i="27" a="1"/>
  <c r="L116" i="27" s="1"/>
  <c r="N76" i="27" a="1"/>
  <c r="N76" i="27" s="1"/>
  <c r="AC36" i="27" a="1"/>
  <c r="AC36" i="27" s="1"/>
  <c r="S116" i="27" a="1"/>
  <c r="S116" i="27" s="1"/>
  <c r="S76" i="27" a="1"/>
  <c r="S76" i="27" s="1"/>
  <c r="S122" i="27" a="1"/>
  <c r="S122" i="27" s="1"/>
  <c r="R102" i="27" a="1"/>
  <c r="R102" i="27" s="1"/>
  <c r="AE17" i="27" a="1"/>
  <c r="AE17" i="27" s="1"/>
  <c r="AC56" i="27" a="1"/>
  <c r="AC56" i="27" s="1"/>
  <c r="S12" i="27" a="1"/>
  <c r="S12" i="27" s="1"/>
  <c r="O110" i="27" a="1"/>
  <c r="O110" i="27" s="1"/>
  <c r="Q102" i="27" a="1"/>
  <c r="Q102" i="27" s="1"/>
  <c r="S46" i="27" a="1"/>
  <c r="S46" i="27" s="1"/>
  <c r="P65" i="27" a="1"/>
  <c r="P65" i="27" s="1"/>
  <c r="M126" i="27" a="1"/>
  <c r="M126" i="27" s="1"/>
  <c r="Q134" i="27" a="1"/>
  <c r="Q134" i="27" s="1"/>
  <c r="R80" i="27" a="1"/>
  <c r="R80" i="27" s="1"/>
  <c r="AB29" i="27" a="1"/>
  <c r="AB29" i="27" s="1"/>
  <c r="L56" i="27" a="1"/>
  <c r="L56" i="27" s="1"/>
  <c r="T98" i="27" a="1"/>
  <c r="T98" i="27" s="1"/>
  <c r="AF137" i="27" a="1"/>
  <c r="AF137" i="27" s="1"/>
  <c r="V89" i="27" a="1"/>
  <c r="V89" i="27" s="1"/>
  <c r="AE82" i="27" a="1"/>
  <c r="AE82" i="27" s="1"/>
  <c r="O14" i="27" a="1"/>
  <c r="O14" i="27" s="1"/>
  <c r="V58" i="27" a="1"/>
  <c r="V58" i="27" s="1"/>
  <c r="Z80" i="27" a="1"/>
  <c r="Z80" i="27" s="1"/>
  <c r="Q22" i="27" a="1"/>
  <c r="Q22" i="27" s="1"/>
  <c r="N14" i="27" a="1"/>
  <c r="N14" i="27" s="1"/>
  <c r="V92" i="27" a="1"/>
  <c r="V92" i="27" s="1"/>
  <c r="AE76" i="27" a="1"/>
  <c r="AE76" i="27" s="1"/>
  <c r="O106" i="27" a="1"/>
  <c r="O106" i="27" s="1"/>
  <c r="X12" i="27" a="1"/>
  <c r="X12" i="27" s="1"/>
  <c r="AC10" i="27" a="1"/>
  <c r="AC10" i="27" s="1"/>
  <c r="N130" i="27" a="1"/>
  <c r="N130" i="27" s="1"/>
  <c r="AB125" i="27" a="1"/>
  <c r="AB125" i="27" s="1"/>
  <c r="AD128" i="27" a="1"/>
  <c r="AD128" i="27" s="1"/>
  <c r="X120" i="27" a="1"/>
  <c r="X120" i="27" s="1"/>
  <c r="M36" i="27" a="1"/>
  <c r="M36" i="27" s="1"/>
  <c r="Q24" i="27" a="1"/>
  <c r="Q24" i="27" s="1"/>
  <c r="O42" i="27" a="1"/>
  <c r="O42" i="27" s="1"/>
  <c r="Y112" i="27" a="1"/>
  <c r="Y112" i="27" s="1"/>
  <c r="X100" i="27" a="1"/>
  <c r="X100" i="27" s="1"/>
  <c r="O114" i="27" a="1"/>
  <c r="O114" i="27" s="1"/>
  <c r="AF56" i="27" a="1"/>
  <c r="AF56" i="27" s="1"/>
  <c r="P110" i="27" a="1"/>
  <c r="P110" i="27" s="1"/>
  <c r="X102" i="27" a="1"/>
  <c r="X102" i="27" s="1"/>
  <c r="M22" i="27" a="1"/>
  <c r="M22" i="27" s="1"/>
  <c r="AC42" i="27" a="1"/>
  <c r="AC42" i="27" s="1"/>
  <c r="Q100" i="27" a="1"/>
  <c r="Q100" i="27" s="1"/>
  <c r="Z28" i="27" a="1"/>
  <c r="Z28" i="27" s="1"/>
  <c r="AC98" i="27" a="1"/>
  <c r="AC98" i="27" s="1"/>
  <c r="AA14" i="27" a="1"/>
  <c r="AA14" i="27" s="1"/>
  <c r="M93" i="27" a="1"/>
  <c r="M93" i="27" s="1"/>
  <c r="U134" i="27" a="1"/>
  <c r="U134" i="27" s="1"/>
  <c r="AB129" i="27" a="1"/>
  <c r="AB129" i="27" s="1"/>
  <c r="T68" i="27" a="1"/>
  <c r="T68" i="27" s="1"/>
  <c r="Y76" i="27" a="1"/>
  <c r="Y76" i="27" s="1"/>
  <c r="O100" i="27" a="1"/>
  <c r="O100" i="27" s="1"/>
  <c r="T32" i="27" a="1"/>
  <c r="T32" i="27" s="1"/>
  <c r="Z60" i="27" a="1"/>
  <c r="Z60" i="27" s="1"/>
  <c r="P98" i="27" a="1"/>
  <c r="P98" i="27" s="1"/>
  <c r="P137" i="27" a="1"/>
  <c r="P137" i="27" s="1"/>
  <c r="Y98" i="27" a="1"/>
  <c r="Y98" i="27" s="1"/>
  <c r="Z129" i="27" a="1"/>
  <c r="Z129" i="27" s="1"/>
  <c r="AA17" i="27" a="1"/>
  <c r="AA17" i="27" s="1"/>
  <c r="Y22" i="27" a="1"/>
  <c r="Y22" i="27" s="1"/>
  <c r="AF138" i="27" a="1"/>
  <c r="AF138" i="27" s="1"/>
  <c r="Z68" i="27" a="1"/>
  <c r="Z68" i="27" s="1"/>
  <c r="AA64" i="27" a="1"/>
  <c r="AA64" i="27" s="1"/>
  <c r="AD64" i="27" a="1"/>
  <c r="AD64" i="27" s="1"/>
  <c r="O116" i="27" a="1"/>
  <c r="O116" i="27" s="1"/>
  <c r="AG24" i="27" a="1"/>
  <c r="AG24" i="27" s="1"/>
  <c r="M112" i="27" a="1"/>
  <c r="M112" i="27" s="1"/>
  <c r="W137" i="27" a="1"/>
  <c r="W137" i="27" s="1"/>
  <c r="P125" i="27" a="1"/>
  <c r="P125" i="27" s="1"/>
  <c r="M89" i="27" a="1"/>
  <c r="M89" i="27" s="1"/>
  <c r="X89" i="27" a="1"/>
  <c r="X89" i="27" s="1"/>
  <c r="Z48" i="27" a="1"/>
  <c r="Z48" i="27" s="1"/>
  <c r="P134" i="27" a="1"/>
  <c r="P134" i="27" s="1"/>
  <c r="V133" i="27" a="1"/>
  <c r="V133" i="27" s="1"/>
  <c r="X94" i="27" a="1"/>
  <c r="X94" i="27" s="1"/>
  <c r="AA116" i="27" a="1"/>
  <c r="AA116" i="27" s="1"/>
  <c r="U105" i="27" a="1"/>
  <c r="U105" i="27" s="1"/>
  <c r="S112" i="27" a="1"/>
  <c r="S112" i="27" s="1"/>
  <c r="AG122" i="27" a="1"/>
  <c r="AG122" i="27" s="1"/>
  <c r="M29" i="27" a="1"/>
  <c r="M29" i="27" s="1"/>
  <c r="W69" i="27" a="1"/>
  <c r="W69" i="27" s="1"/>
  <c r="Q25" i="27" a="1"/>
  <c r="Q25" i="27" s="1"/>
  <c r="AF28" i="27" a="1"/>
  <c r="AF28" i="27" s="1"/>
  <c r="AG137" i="27" a="1"/>
  <c r="AG137" i="27" s="1"/>
  <c r="T28" i="27" a="1"/>
  <c r="T28" i="27" s="1"/>
  <c r="AG98" i="27" a="1"/>
  <c r="AG98" i="27" s="1"/>
  <c r="AG89" i="27" a="1"/>
  <c r="AG89" i="27" s="1"/>
  <c r="M138" i="27" a="1"/>
  <c r="M138" i="27" s="1"/>
  <c r="Z139" i="27" a="1"/>
  <c r="Z139" i="27" s="1"/>
  <c r="AI65" i="27" a="1"/>
  <c r="AI65" i="27" s="1"/>
  <c r="O133" i="27" a="1"/>
  <c r="O133" i="27" s="1"/>
  <c r="AI94" i="27" a="1"/>
  <c r="AI94" i="27" s="1"/>
  <c r="AC122" i="27" a="1"/>
  <c r="AC122" i="27" s="1"/>
  <c r="X65" i="27" a="1"/>
  <c r="X65" i="27" s="1"/>
  <c r="Q93" i="27" a="1"/>
  <c r="Q93" i="27" s="1"/>
  <c r="O48" i="27" a="1"/>
  <c r="O48" i="27" s="1"/>
  <c r="N134" i="27" a="1"/>
  <c r="N134" i="27" s="1"/>
  <c r="AE36" i="27" a="1"/>
  <c r="AE36" i="27" s="1"/>
  <c r="Y92" i="27" a="1"/>
  <c r="Y92" i="27" s="1"/>
  <c r="T130" i="27" a="1"/>
  <c r="T130" i="27" s="1"/>
  <c r="Y29" i="27" a="1"/>
  <c r="Y29" i="27" s="1"/>
  <c r="AI102" i="27" a="1"/>
  <c r="AI102" i="27" s="1"/>
  <c r="R116" i="27" a="1"/>
  <c r="R116" i="27" s="1"/>
  <c r="W92" i="27" a="1"/>
  <c r="W92" i="27" s="1"/>
  <c r="AC133" i="27" a="1"/>
  <c r="AC133" i="27" s="1"/>
  <c r="L64" i="27" a="1"/>
  <c r="L64" i="27" s="1"/>
  <c r="V32" i="27" a="1"/>
  <c r="V32" i="27" s="1"/>
  <c r="V56" i="27" a="1"/>
  <c r="V56" i="27" s="1"/>
  <c r="N126" i="27" a="1"/>
  <c r="N126" i="27" s="1"/>
  <c r="AG116" i="27" a="1"/>
  <c r="AG116" i="27" s="1"/>
  <c r="Y42" i="27" a="1"/>
  <c r="Y42" i="27" s="1"/>
  <c r="R60" i="27" a="1"/>
  <c r="R60" i="27" s="1"/>
  <c r="AG28" i="27" a="1"/>
  <c r="AG28" i="27" s="1"/>
  <c r="O46" i="27" a="1"/>
  <c r="O46" i="27" s="1"/>
  <c r="Z120" i="27" a="1"/>
  <c r="Z120" i="27" s="1"/>
  <c r="X10" i="27" a="1"/>
  <c r="X10" i="27" s="1"/>
  <c r="AE48" i="27" a="1"/>
  <c r="AE48" i="27" s="1"/>
  <c r="W105" i="27" a="1"/>
  <c r="W105" i="27" s="1"/>
  <c r="L112" i="27" a="1"/>
  <c r="L112" i="27" s="1"/>
  <c r="X24" i="27" a="1"/>
  <c r="X24" i="27" s="1"/>
  <c r="AB32" i="27" a="1"/>
  <c r="AB32" i="27" s="1"/>
  <c r="V137" i="27" a="1"/>
  <c r="V137" i="27" s="1"/>
  <c r="W17" i="27" a="1"/>
  <c r="W17" i="27" s="1"/>
  <c r="M120" i="27" a="1"/>
  <c r="M120" i="27" s="1"/>
  <c r="AI76" i="27" a="1"/>
  <c r="AI76" i="27" s="1"/>
  <c r="R13" i="27" a="1"/>
  <c r="R13" i="27" s="1"/>
  <c r="AH29" i="27" a="1"/>
  <c r="AH29" i="27" s="1"/>
  <c r="V60" i="27" a="1"/>
  <c r="V60" i="27" s="1"/>
  <c r="Y110" i="27" a="1"/>
  <c r="Y110" i="27" s="1"/>
  <c r="AD137" i="27" a="1"/>
  <c r="AD137" i="27" s="1"/>
  <c r="AA125" i="27" a="1"/>
  <c r="AA125" i="27" s="1"/>
  <c r="U102" i="27" a="1"/>
  <c r="U102" i="27" s="1"/>
  <c r="V125" i="27" a="1"/>
  <c r="V125" i="27" s="1"/>
  <c r="Y130" i="27" a="1"/>
  <c r="Y130" i="27" s="1"/>
  <c r="AH24" i="27" a="1"/>
  <c r="AH24" i="27" s="1"/>
  <c r="AE42" i="27" a="1"/>
  <c r="AE42" i="27" s="1"/>
  <c r="AB13" i="27" a="1"/>
  <c r="AB13" i="27" s="1"/>
  <c r="N29" i="27" a="1"/>
  <c r="N29" i="27" s="1"/>
  <c r="Y114" i="27" a="1"/>
  <c r="Y114" i="27" s="1"/>
  <c r="AH12" i="27" a="1"/>
  <c r="AH12" i="27" s="1"/>
  <c r="Y89" i="27" a="1"/>
  <c r="Y89" i="27" s="1"/>
  <c r="Y138" i="27" a="1"/>
  <c r="Y138" i="27" s="1"/>
  <c r="U125" i="27" a="1"/>
  <c r="U125" i="27" s="1"/>
  <c r="AB80" i="27" a="1"/>
  <c r="AB80" i="27" s="1"/>
  <c r="Y53" i="27" a="1"/>
  <c r="Y53" i="27" s="1"/>
  <c r="AG10" i="27" a="1"/>
  <c r="AG10" i="27" s="1"/>
  <c r="P133" i="27" a="1"/>
  <c r="P133" i="27" s="1"/>
  <c r="S68" i="27" a="1"/>
  <c r="S68" i="27" s="1"/>
  <c r="U36" i="27" a="1"/>
  <c r="U36" i="27" s="1"/>
  <c r="N116" i="27" a="1"/>
  <c r="N116" i="27" s="1"/>
  <c r="AD13" i="27" a="1"/>
  <c r="AD13" i="27" s="1"/>
  <c r="M122" i="27" a="1"/>
  <c r="M122" i="27" s="1"/>
  <c r="AA32" i="27" a="1"/>
  <c r="AA32" i="27" s="1"/>
  <c r="U69" i="27" a="1"/>
  <c r="U69" i="27" s="1"/>
  <c r="L69" i="27" a="1"/>
  <c r="L69" i="27" s="1"/>
  <c r="V28" i="27" a="1"/>
  <c r="V28" i="27" s="1"/>
  <c r="AB137" i="27" a="1"/>
  <c r="AB137" i="27" s="1"/>
  <c r="Z128" i="27" a="1"/>
  <c r="Z128" i="27" s="1"/>
  <c r="Y65" i="27" a="1"/>
  <c r="Y65" i="27" s="1"/>
  <c r="P69" i="27" a="1"/>
  <c r="P69" i="27" s="1"/>
  <c r="V90" i="27" a="1"/>
  <c r="V90" i="27" s="1"/>
  <c r="P126" i="27" a="1"/>
  <c r="P126" i="27" s="1"/>
  <c r="AD90" i="27" a="1"/>
  <c r="AD90" i="27" s="1"/>
  <c r="O68" i="27" a="1"/>
  <c r="O68" i="27" s="1"/>
  <c r="Q94" i="27" a="1"/>
  <c r="Q94" i="27" s="1"/>
  <c r="N26" i="27" a="1"/>
  <c r="N26" i="27" s="1"/>
  <c r="V105" i="27" a="1"/>
  <c r="V105" i="27" s="1"/>
  <c r="Z112" i="27" a="1"/>
  <c r="Z112" i="27" s="1"/>
  <c r="O122" i="27" a="1"/>
  <c r="O122" i="27" s="1"/>
  <c r="S29" i="27" a="1"/>
  <c r="S29" i="27" s="1"/>
  <c r="U12" i="27" a="1"/>
  <c r="U12" i="27" s="1"/>
  <c r="AI28" i="27" a="1"/>
  <c r="AI28" i="27" s="1"/>
  <c r="AA110" i="27" a="1"/>
  <c r="AA110" i="27" s="1"/>
  <c r="T89" i="27" a="1"/>
  <c r="T89" i="27" s="1"/>
  <c r="AA102" i="27" a="1"/>
  <c r="AA102" i="27" s="1"/>
  <c r="AH114" i="27" a="1"/>
  <c r="AH114" i="27" s="1"/>
  <c r="M46" i="27" a="1"/>
  <c r="M46" i="27" s="1"/>
  <c r="N129" i="27" a="1"/>
  <c r="N129" i="27" s="1"/>
  <c r="Y93" i="27" a="1"/>
  <c r="Y93" i="27" s="1"/>
  <c r="N80" i="27" a="1"/>
  <c r="N80" i="27" s="1"/>
  <c r="L80" i="27" a="1"/>
  <c r="L80" i="27" s="1"/>
  <c r="AG48" i="27" a="1"/>
  <c r="AG48" i="27" s="1"/>
  <c r="S10" i="27" a="1"/>
  <c r="S10" i="27" s="1"/>
  <c r="Z17" i="27" a="1"/>
  <c r="Z17" i="27" s="1"/>
  <c r="N64" i="27" a="1"/>
  <c r="N64" i="27" s="1"/>
  <c r="Q60" i="27" a="1"/>
  <c r="Q60" i="27" s="1"/>
  <c r="AA82" i="27" a="1"/>
  <c r="AA82" i="27" s="1"/>
  <c r="AF10" i="27" a="1"/>
  <c r="AF10" i="27" s="1"/>
  <c r="AG120" i="27" a="1"/>
  <c r="AG120" i="27" s="1"/>
  <c r="AH36" i="27" a="1"/>
  <c r="AH36" i="27" s="1"/>
  <c r="W130" i="27" a="1"/>
  <c r="W130" i="27" s="1"/>
  <c r="AB120" i="27" a="1"/>
  <c r="AB120" i="27" s="1"/>
  <c r="Y106" i="27" a="1"/>
  <c r="Y106" i="27" s="1"/>
  <c r="T26" i="27" a="1"/>
  <c r="T26" i="27" s="1"/>
  <c r="Z26" i="27" a="1"/>
  <c r="Z26" i="27" s="1"/>
  <c r="Q137" i="27" a="1"/>
  <c r="Q137" i="27" s="1"/>
  <c r="W106" i="27" a="1"/>
  <c r="W106" i="27" s="1"/>
  <c r="O64" i="27" a="1"/>
  <c r="O64" i="27" s="1"/>
  <c r="Y14" i="27" a="1"/>
  <c r="Y14" i="27" s="1"/>
  <c r="AC58" i="27" a="1"/>
  <c r="AC58" i="27" s="1"/>
  <c r="X82" i="27" a="1"/>
  <c r="X82" i="27" s="1"/>
  <c r="M80" i="27" a="1"/>
  <c r="M80" i="27" s="1"/>
  <c r="R76" i="27" a="1"/>
  <c r="R76" i="27" s="1"/>
  <c r="N17" i="27" a="1"/>
  <c r="N17" i="27" s="1"/>
  <c r="M16" i="27" a="1"/>
  <c r="M16" i="27" s="1"/>
  <c r="AA16" i="27" a="1"/>
  <c r="AA16" i="27" s="1"/>
  <c r="AG66" i="27" a="1"/>
  <c r="AG66" i="27" s="1"/>
  <c r="L117" i="27" a="1"/>
  <c r="L117" i="27" s="1"/>
  <c r="AF16" i="27" a="1"/>
  <c r="AF16" i="27" s="1"/>
  <c r="AG49" i="27" a="1"/>
  <c r="AG49" i="27" s="1"/>
  <c r="AA20" i="27" a="1"/>
  <c r="AA20" i="27" s="1"/>
  <c r="AF20" i="27" a="1"/>
  <c r="AF20" i="27" s="1"/>
  <c r="AA124" i="27" a="1"/>
  <c r="AA124" i="27" s="1"/>
  <c r="AF88" i="27" a="1"/>
  <c r="AF88" i="27" s="1"/>
  <c r="Q124" i="27" a="1"/>
  <c r="Q124" i="27" s="1"/>
  <c r="AI88" i="27" a="1"/>
  <c r="AI88" i="27" s="1"/>
  <c r="Q88" i="27" a="1"/>
  <c r="Q88" i="27" s="1"/>
  <c r="AH124" i="27" a="1"/>
  <c r="AH124" i="27" s="1"/>
  <c r="AF124" i="27" a="1"/>
  <c r="AF124" i="27" s="1"/>
  <c r="X124" i="27" a="1"/>
  <c r="X124" i="27" s="1"/>
  <c r="AG88" i="27" a="1"/>
  <c r="AG88" i="27" s="1"/>
  <c r="W88" i="27" a="1"/>
  <c r="W88" i="27" s="1"/>
  <c r="Z78" i="27" a="1"/>
  <c r="Z78" i="27" s="1"/>
  <c r="AG78" i="27" a="1"/>
  <c r="AG78" i="27" s="1"/>
  <c r="W78" i="27" a="1"/>
  <c r="W78" i="27" s="1"/>
  <c r="S78" i="27" a="1"/>
  <c r="S78" i="27" s="1"/>
  <c r="N78" i="27" a="1"/>
  <c r="N78" i="27" s="1"/>
  <c r="Q78" i="27" a="1"/>
  <c r="Q78" i="27" s="1"/>
  <c r="AE73" i="27" a="1"/>
  <c r="AE73" i="27" s="1"/>
  <c r="AA73" i="27" a="1"/>
  <c r="AA73" i="27" s="1"/>
  <c r="AC73" i="27" a="1"/>
  <c r="AC73" i="27" s="1"/>
  <c r="W41" i="27" a="1"/>
  <c r="W41" i="27" s="1"/>
  <c r="AG41" i="27" a="1"/>
  <c r="AG41" i="27" s="1"/>
  <c r="N41" i="27" a="1"/>
  <c r="N41" i="27" s="1"/>
  <c r="Y73" i="27" a="1"/>
  <c r="Y73" i="27" s="1"/>
  <c r="P73" i="27" a="1"/>
  <c r="P73" i="27" s="1"/>
  <c r="Z41" i="27" a="1"/>
  <c r="Z41" i="27" s="1"/>
  <c r="AA41" i="27" a="1"/>
  <c r="AA41" i="27" s="1"/>
  <c r="M41" i="27" a="1"/>
  <c r="M41" i="27" s="1"/>
  <c r="U73" i="27" a="1"/>
  <c r="U73" i="27" s="1"/>
  <c r="R41" i="27" a="1"/>
  <c r="R41" i="27" s="1"/>
  <c r="AE84" i="27" a="1"/>
  <c r="AE84" i="27" s="1"/>
  <c r="P84" i="27" a="1"/>
  <c r="P84" i="27" s="1"/>
  <c r="P21" i="27" a="1"/>
  <c r="P21" i="27" s="1"/>
  <c r="R97" i="27" a="1"/>
  <c r="R97" i="27" s="1"/>
  <c r="AB97" i="27" a="1"/>
  <c r="AB97" i="27" s="1"/>
  <c r="M73" i="27" a="1"/>
  <c r="M73" i="27" s="1"/>
  <c r="W57" i="27" a="1"/>
  <c r="W57" i="27" s="1"/>
  <c r="P33" i="27" a="1"/>
  <c r="P33" i="27" s="1"/>
  <c r="Q21" i="27" a="1"/>
  <c r="Q21" i="27" s="1"/>
  <c r="AA33" i="27" a="1"/>
  <c r="AA33" i="27" s="1"/>
  <c r="AD33" i="27" a="1"/>
  <c r="AD33" i="27" s="1"/>
  <c r="U57" i="27" a="1"/>
  <c r="U57" i="27" s="1"/>
  <c r="Z21" i="27" a="1"/>
  <c r="Z21" i="27" s="1"/>
  <c r="T33" i="27" a="1"/>
  <c r="T33" i="27" s="1"/>
  <c r="Q97" i="27" a="1"/>
  <c r="Q97" i="27" s="1"/>
  <c r="N21" i="27" a="1"/>
  <c r="N21" i="27" s="1"/>
  <c r="AA57" i="27" a="1"/>
  <c r="AA57" i="27" s="1"/>
  <c r="AH84" i="27" a="1"/>
  <c r="AH84" i="27" s="1"/>
  <c r="S41" i="27" a="1"/>
  <c r="S41" i="27" s="1"/>
  <c r="O21" i="27" a="1"/>
  <c r="O21" i="27" s="1"/>
  <c r="AG97" i="27" a="1"/>
  <c r="AG97" i="27" s="1"/>
  <c r="O33" i="27" a="1"/>
  <c r="O33" i="27" s="1"/>
  <c r="N57" i="27" a="1"/>
  <c r="N57" i="27" s="1"/>
  <c r="Z97" i="27" a="1"/>
  <c r="Z97" i="27" s="1"/>
  <c r="S57" i="27" a="1"/>
  <c r="S57" i="27" s="1"/>
  <c r="AF57" i="27" a="1"/>
  <c r="AF57" i="27" s="1"/>
  <c r="U33" i="27" a="1"/>
  <c r="U33" i="27" s="1"/>
  <c r="S21" i="27" a="1"/>
  <c r="S21" i="27" s="1"/>
  <c r="AG21" i="27" a="1"/>
  <c r="AG21" i="27" s="1"/>
  <c r="Z88" i="27" a="1"/>
  <c r="Z88" i="27" s="1"/>
  <c r="AA88" i="27" a="1"/>
  <c r="AA88" i="27" s="1"/>
  <c r="L109" i="27" a="1"/>
  <c r="L109" i="27" s="1"/>
  <c r="Q109" i="27" a="1"/>
  <c r="Q109" i="27" s="1"/>
  <c r="AA109" i="27" a="1"/>
  <c r="AA109" i="27" s="1"/>
  <c r="T109" i="27" a="1"/>
  <c r="T109" i="27" s="1"/>
  <c r="AG109" i="27" a="1"/>
  <c r="AG109" i="27" s="1"/>
  <c r="AF109" i="27" a="1"/>
  <c r="AF109" i="27" s="1"/>
  <c r="AB109" i="27" a="1"/>
  <c r="AB109" i="27" s="1"/>
  <c r="T77" i="27" a="1"/>
  <c r="T77" i="27" s="1"/>
  <c r="O77" i="27" a="1"/>
  <c r="O77" i="27" s="1"/>
  <c r="L77" i="27" a="1"/>
  <c r="L77" i="27" s="1"/>
  <c r="U77" i="27" a="1"/>
  <c r="U77" i="27" s="1"/>
  <c r="AH77" i="27" a="1"/>
  <c r="AH77" i="27" s="1"/>
  <c r="N77" i="27" a="1"/>
  <c r="N77" i="27" s="1"/>
  <c r="U21" i="27" a="1"/>
  <c r="U21" i="27" s="1"/>
  <c r="AH41" i="27" a="1"/>
  <c r="AH41" i="27" s="1"/>
  <c r="Y88" i="27" a="1"/>
  <c r="Y88" i="27" s="1"/>
  <c r="BO45" i="27"/>
  <c r="BN45" i="27"/>
  <c r="BJ38" i="27"/>
  <c r="BH38" i="27" s="1"/>
  <c r="F36" i="12" s="1"/>
  <c r="BO111" i="27"/>
  <c r="BN111" i="27"/>
  <c r="BJ83" i="27"/>
  <c r="BH83" i="27" s="1"/>
  <c r="M81" i="30" s="1"/>
  <c r="BJ95" i="27"/>
  <c r="BL95" i="27" s="1"/>
  <c r="BP95" i="27" s="1"/>
  <c r="BJ85" i="27"/>
  <c r="BH85" i="27" s="1"/>
  <c r="F83" i="12" s="1"/>
  <c r="BJ11" i="27"/>
  <c r="BL11" i="27" s="1"/>
  <c r="BP11" i="27" s="1"/>
  <c r="BJ107" i="27"/>
  <c r="BH107" i="27" s="1"/>
  <c r="M105" i="12" s="1"/>
  <c r="BJ63" i="27"/>
  <c r="BL63" i="27" s="1"/>
  <c r="BP63" i="27" s="1"/>
  <c r="BJ35" i="27"/>
  <c r="BH35" i="27" s="1"/>
  <c r="F33" i="12" s="1"/>
  <c r="BJ23" i="27"/>
  <c r="BH23" i="27" s="1"/>
  <c r="F21" i="12" s="1"/>
  <c r="AI66" i="27" a="1"/>
  <c r="AI66" i="27" s="1"/>
  <c r="Q49" i="27" a="1"/>
  <c r="Q49" i="27" s="1"/>
  <c r="Q113" i="27" a="1"/>
  <c r="Q113" i="27" s="1"/>
  <c r="U117" i="27" a="1"/>
  <c r="U117" i="27" s="1"/>
  <c r="Q20" i="27" a="1"/>
  <c r="Q20" i="27" s="1"/>
  <c r="AB49" i="27" a="1"/>
  <c r="AB49" i="27" s="1"/>
  <c r="Z113" i="27" a="1"/>
  <c r="Z113" i="27" s="1"/>
  <c r="AI113" i="27" a="1"/>
  <c r="AI113" i="27" s="1"/>
  <c r="AG72" i="27" a="1"/>
  <c r="AG72" i="27" s="1"/>
  <c r="AE20" i="27" a="1"/>
  <c r="AE20" i="27" s="1"/>
  <c r="AI49" i="27" a="1"/>
  <c r="AI49" i="27" s="1"/>
  <c r="X16" i="27" a="1"/>
  <c r="X16" i="27" s="1"/>
  <c r="AG132" i="27" a="1"/>
  <c r="AG132" i="27" s="1"/>
  <c r="AG20" i="27" a="1"/>
  <c r="AG20" i="27" s="1"/>
  <c r="AD113" i="27" a="1"/>
  <c r="AD113" i="27" s="1"/>
  <c r="T117" i="27" a="1"/>
  <c r="T117" i="27" s="1"/>
  <c r="AE118" i="27" a="1"/>
  <c r="AE118" i="27" s="1"/>
  <c r="Q132" i="27" a="1"/>
  <c r="Q132" i="27" s="1"/>
  <c r="Q72" i="27" a="1"/>
  <c r="Q72" i="27" s="1"/>
  <c r="S40" i="27" a="1"/>
  <c r="S40" i="27" s="1"/>
  <c r="AE49" i="27" a="1"/>
  <c r="AE49" i="27" s="1"/>
  <c r="AD118" i="27" a="1"/>
  <c r="AD118" i="27" s="1"/>
  <c r="R118" i="27" a="1"/>
  <c r="R118" i="27" s="1"/>
  <c r="T16" i="27" a="1"/>
  <c r="T16" i="27" s="1"/>
  <c r="R117" i="27" a="1"/>
  <c r="R117" i="27" s="1"/>
  <c r="W121" i="27" a="1"/>
  <c r="W121" i="27" s="1"/>
  <c r="N49" i="27" a="1"/>
  <c r="N49" i="27" s="1"/>
  <c r="S121" i="27" a="1"/>
  <c r="S121" i="27" s="1"/>
  <c r="T132" i="27" a="1"/>
  <c r="T132" i="27" s="1"/>
  <c r="AI121" i="27" a="1"/>
  <c r="AI121" i="27" s="1"/>
  <c r="W20" i="27" a="1"/>
  <c r="W20" i="27" s="1"/>
  <c r="O20" i="27" a="1"/>
  <c r="O20" i="27" s="1"/>
  <c r="AG118" i="27" a="1"/>
  <c r="AG118" i="27" s="1"/>
  <c r="AI20" i="27" a="1"/>
  <c r="AI20" i="27" s="1"/>
  <c r="AE16" i="27" a="1"/>
  <c r="AE16" i="27" s="1"/>
  <c r="V132" i="27" a="1"/>
  <c r="V132" i="27" s="1"/>
  <c r="AC113" i="27" a="1"/>
  <c r="AC113" i="27" s="1"/>
  <c r="O40" i="27" a="1"/>
  <c r="O40" i="27" s="1"/>
  <c r="W40" i="27" a="1"/>
  <c r="W40" i="27" s="1"/>
  <c r="O132" i="27" a="1"/>
  <c r="O132" i="27" s="1"/>
  <c r="M40" i="27" a="1"/>
  <c r="M40" i="27" s="1"/>
  <c r="L121" i="27" a="1"/>
  <c r="L121" i="27" s="1"/>
  <c r="AB40" i="27" a="1"/>
  <c r="AB40" i="27" s="1"/>
  <c r="U72" i="27" a="1"/>
  <c r="U72" i="27" s="1"/>
  <c r="AB20" i="27" a="1"/>
  <c r="AB20" i="27" s="1"/>
  <c r="V66" i="27" a="1"/>
  <c r="V66" i="27" s="1"/>
  <c r="AE40" i="27" a="1"/>
  <c r="AE40" i="27" s="1"/>
  <c r="AH113" i="27" a="1"/>
  <c r="AH113" i="27" s="1"/>
  <c r="AD66" i="27" a="1"/>
  <c r="AD66" i="27" s="1"/>
  <c r="Y121" i="27" a="1"/>
  <c r="Y121" i="27" s="1"/>
  <c r="N72" i="27" a="1"/>
  <c r="N72" i="27" s="1"/>
  <c r="L72" i="27" a="1"/>
  <c r="L72" i="27" s="1"/>
  <c r="Z20" i="27" a="1"/>
  <c r="Z20" i="27" s="1"/>
  <c r="AH49" i="27" a="1"/>
  <c r="AH49" i="27" s="1"/>
  <c r="L40" i="27" a="1"/>
  <c r="L40" i="27" s="1"/>
  <c r="Y66" i="27" a="1"/>
  <c r="Y66" i="27" s="1"/>
  <c r="L20" i="27" a="1"/>
  <c r="L20" i="27" s="1"/>
  <c r="S20" i="27" a="1"/>
  <c r="S20" i="27" s="1"/>
  <c r="AD72" i="27" a="1"/>
  <c r="AD72" i="27" s="1"/>
  <c r="W124" i="27" a="1"/>
  <c r="W124" i="27" s="1"/>
  <c r="AB124" i="27" a="1"/>
  <c r="AB124" i="27" s="1"/>
  <c r="S88" i="27" a="1"/>
  <c r="S88" i="27" s="1"/>
  <c r="AE124" i="27" a="1"/>
  <c r="AE124" i="27" s="1"/>
  <c r="U78" i="27" a="1"/>
  <c r="U78" i="27" s="1"/>
  <c r="L78" i="27" a="1"/>
  <c r="L78" i="27" s="1"/>
  <c r="AF78" i="27" a="1"/>
  <c r="AF78" i="27" s="1"/>
  <c r="X41" i="27" a="1"/>
  <c r="X41" i="27" s="1"/>
  <c r="O78" i="27" a="1"/>
  <c r="O78" i="27" s="1"/>
  <c r="AC78" i="27" a="1"/>
  <c r="AC78" i="27" s="1"/>
  <c r="R73" i="27" a="1"/>
  <c r="R73" i="27" s="1"/>
  <c r="X73" i="27" a="1"/>
  <c r="X73" i="27" s="1"/>
  <c r="Z73" i="27" a="1"/>
  <c r="Z73" i="27" s="1"/>
  <c r="P41" i="27" a="1"/>
  <c r="P41" i="27" s="1"/>
  <c r="V73" i="27" a="1"/>
  <c r="V73" i="27" s="1"/>
  <c r="S73" i="27" a="1"/>
  <c r="S73" i="27" s="1"/>
  <c r="AC41" i="27" a="1"/>
  <c r="AC41" i="27" s="1"/>
  <c r="U84" i="27" a="1"/>
  <c r="U84" i="27" s="1"/>
  <c r="AE21" i="27" a="1"/>
  <c r="AE21" i="27" s="1"/>
  <c r="V97" i="27" a="1"/>
  <c r="V97" i="27" s="1"/>
  <c r="AC21" i="27" a="1"/>
  <c r="AC21" i="27" s="1"/>
  <c r="AC33" i="27" a="1"/>
  <c r="AC33" i="27" s="1"/>
  <c r="R57" i="27" a="1"/>
  <c r="R57" i="27" s="1"/>
  <c r="R84" i="27" a="1"/>
  <c r="R84" i="27" s="1"/>
  <c r="P57" i="27" a="1"/>
  <c r="P57" i="27" s="1"/>
  <c r="X84" i="27" a="1"/>
  <c r="X84" i="27" s="1"/>
  <c r="W21" i="27" a="1"/>
  <c r="W21" i="27" s="1"/>
  <c r="Y57" i="27" a="1"/>
  <c r="Y57" i="27" s="1"/>
  <c r="AD57" i="27" a="1"/>
  <c r="AD57" i="27" s="1"/>
  <c r="U97" i="27" a="1"/>
  <c r="U97" i="27" s="1"/>
  <c r="AH57" i="27" a="1"/>
  <c r="AH57" i="27" s="1"/>
  <c r="O57" i="27" a="1"/>
  <c r="O57" i="27" s="1"/>
  <c r="M97" i="27" a="1"/>
  <c r="M97" i="27" s="1"/>
  <c r="AD97" i="27" a="1"/>
  <c r="AD97" i="27" s="1"/>
  <c r="AA84" i="27" a="1"/>
  <c r="AA84" i="27" s="1"/>
  <c r="O97" i="27" a="1"/>
  <c r="O97" i="27" s="1"/>
  <c r="AG84" i="27" a="1"/>
  <c r="AG84" i="27" s="1"/>
  <c r="Z57" i="27" a="1"/>
  <c r="Z57" i="27" s="1"/>
  <c r="AB21" i="27" a="1"/>
  <c r="AB21" i="27" s="1"/>
  <c r="AB57" i="27" a="1"/>
  <c r="AB57" i="27" s="1"/>
  <c r="L21" i="27" a="1"/>
  <c r="L21" i="27" s="1"/>
  <c r="W33" i="27" a="1"/>
  <c r="W33" i="27" s="1"/>
  <c r="N33" i="27" a="1"/>
  <c r="N33" i="27" s="1"/>
  <c r="AF84" i="27" a="1"/>
  <c r="AF84" i="27" s="1"/>
  <c r="AA97" i="27" a="1"/>
  <c r="AA97" i="27" s="1"/>
  <c r="AI78" i="27" a="1"/>
  <c r="AI78" i="27" s="1"/>
  <c r="AB78" i="27" a="1"/>
  <c r="AB78" i="27" s="1"/>
  <c r="U109" i="27" a="1"/>
  <c r="U109" i="27" s="1"/>
  <c r="AD109" i="27" a="1"/>
  <c r="AD109" i="27" s="1"/>
  <c r="P109" i="27" a="1"/>
  <c r="P109" i="27" s="1"/>
  <c r="R109" i="27" a="1"/>
  <c r="R109" i="27" s="1"/>
  <c r="O109" i="27" a="1"/>
  <c r="O109" i="27" s="1"/>
  <c r="AC109" i="27" a="1"/>
  <c r="AC109" i="27" s="1"/>
  <c r="AF77" i="27" a="1"/>
  <c r="AF77" i="27" s="1"/>
  <c r="AD77" i="27" a="1"/>
  <c r="AD77" i="27" s="1"/>
  <c r="Y77" i="27" a="1"/>
  <c r="Y77" i="27" s="1"/>
  <c r="R77" i="27" a="1"/>
  <c r="R77" i="27" s="1"/>
  <c r="X77" i="27" a="1"/>
  <c r="X77" i="27" s="1"/>
  <c r="AC88" i="27" a="1"/>
  <c r="AC88" i="27" s="1"/>
  <c r="N73" i="27" a="1"/>
  <c r="N73" i="27" s="1"/>
  <c r="L88" i="27" a="1"/>
  <c r="L88" i="27" s="1"/>
  <c r="AB84" i="27" a="1"/>
  <c r="AB84" i="27" s="1"/>
  <c r="BO99" i="27"/>
  <c r="BN99" i="27"/>
  <c r="BL135" i="27"/>
  <c r="BP54" i="27"/>
  <c r="BO54" i="27"/>
  <c r="BN54" i="27"/>
  <c r="BO115" i="27"/>
  <c r="BN115" i="27"/>
  <c r="BJ131" i="27"/>
  <c r="BL131" i="27" s="1"/>
  <c r="BP131" i="27" s="1"/>
  <c r="BJ30" i="27"/>
  <c r="BH30" i="27" s="1"/>
  <c r="F28" i="12" s="1"/>
  <c r="BJ108" i="27"/>
  <c r="BH108" i="27" s="1"/>
  <c r="F106" i="12" s="1"/>
  <c r="BJ43" i="27"/>
  <c r="BH43" i="27" s="1"/>
  <c r="F41" i="12" s="1"/>
  <c r="BJ91" i="27"/>
  <c r="BH91" i="27" s="1"/>
  <c r="F89" i="30" s="1"/>
  <c r="BJ50" i="27"/>
  <c r="BH50" i="27" s="1"/>
  <c r="F48" i="30" s="1"/>
  <c r="BJ104" i="27"/>
  <c r="BL104" i="27" s="1"/>
  <c r="BP104" i="27" s="1"/>
  <c r="BJ136" i="27"/>
  <c r="BH136" i="27" s="1"/>
  <c r="F134" i="12" s="1"/>
  <c r="BJ79" i="27"/>
  <c r="BH79" i="27" s="1"/>
  <c r="F77" i="30" s="1"/>
  <c r="BJ127" i="27"/>
  <c r="BH127" i="27" s="1"/>
  <c r="M125" i="30" s="1"/>
  <c r="BJ123" i="27"/>
  <c r="BH123" i="27" s="1"/>
  <c r="F121" i="12" s="1"/>
  <c r="BJ15" i="27"/>
  <c r="BH15" i="27" s="1"/>
  <c r="M13" i="30" s="1"/>
  <c r="P124" i="27" a="1"/>
  <c r="P124" i="27" s="1"/>
  <c r="AC124" i="27" a="1"/>
  <c r="AC124" i="27" s="1"/>
  <c r="V124" i="27" a="1"/>
  <c r="V124" i="27" s="1"/>
  <c r="AG124" i="27" a="1"/>
  <c r="AG124" i="27" s="1"/>
  <c r="R88" i="27" a="1"/>
  <c r="R88" i="27" s="1"/>
  <c r="M124" i="27" a="1"/>
  <c r="M124" i="27" s="1"/>
  <c r="AH88" i="27" a="1"/>
  <c r="AH88" i="27" s="1"/>
  <c r="AI124" i="27" a="1"/>
  <c r="AI124" i="27" s="1"/>
  <c r="T88" i="27" a="1"/>
  <c r="T88" i="27" s="1"/>
  <c r="V88" i="27" a="1"/>
  <c r="V88" i="27" s="1"/>
  <c r="X78" i="27" a="1"/>
  <c r="X78" i="27" s="1"/>
  <c r="P78" i="27" a="1"/>
  <c r="P78" i="27" s="1"/>
  <c r="AH78" i="27" a="1"/>
  <c r="AH78" i="27" s="1"/>
  <c r="AH73" i="27" a="1"/>
  <c r="AH73" i="27" s="1"/>
  <c r="AD73" i="27" a="1"/>
  <c r="AD73" i="27" s="1"/>
  <c r="O73" i="27" a="1"/>
  <c r="O73" i="27" s="1"/>
  <c r="AF41" i="27" a="1"/>
  <c r="AF41" i="27" s="1"/>
  <c r="AB73" i="27" a="1"/>
  <c r="AB73" i="27" s="1"/>
  <c r="U41" i="27" a="1"/>
  <c r="U41" i="27" s="1"/>
  <c r="AI41" i="27" a="1"/>
  <c r="AI41" i="27" s="1"/>
  <c r="V41" i="27" a="1"/>
  <c r="V41" i="27" s="1"/>
  <c r="AE41" i="27" a="1"/>
  <c r="AE41" i="27" s="1"/>
  <c r="Y41" i="27" a="1"/>
  <c r="Y41" i="27" s="1"/>
  <c r="Q84" i="27" a="1"/>
  <c r="Q84" i="27" s="1"/>
  <c r="W84" i="27" a="1"/>
  <c r="W84" i="27" s="1"/>
  <c r="Q33" i="27" a="1"/>
  <c r="Q33" i="27" s="1"/>
  <c r="AH97" i="27" a="1"/>
  <c r="AH97" i="27" s="1"/>
  <c r="M84" i="27" a="1"/>
  <c r="M84" i="27" s="1"/>
  <c r="Z33" i="27" a="1"/>
  <c r="Z33" i="27" s="1"/>
  <c r="L57" i="27" a="1"/>
  <c r="L57" i="27" s="1"/>
  <c r="AB33" i="27" a="1"/>
  <c r="AB33" i="27" s="1"/>
  <c r="P97" i="27" a="1"/>
  <c r="P97" i="27" s="1"/>
  <c r="AC84" i="27" a="1"/>
  <c r="AC84" i="27" s="1"/>
  <c r="M33" i="27" a="1"/>
  <c r="M33" i="27" s="1"/>
  <c r="T21" i="27" a="1"/>
  <c r="T21" i="27" s="1"/>
  <c r="R33" i="27" a="1"/>
  <c r="R33" i="27" s="1"/>
  <c r="AG57" i="27" a="1"/>
  <c r="AG57" i="27" s="1"/>
  <c r="AF33" i="27" a="1"/>
  <c r="AF33" i="27" s="1"/>
  <c r="AA21" i="27" a="1"/>
  <c r="AA21" i="27" s="1"/>
  <c r="AI33" i="27" a="1"/>
  <c r="AI33" i="27" s="1"/>
  <c r="AG33" i="27" a="1"/>
  <c r="AG33" i="27" s="1"/>
  <c r="AE57" i="27" a="1"/>
  <c r="AE57" i="27" s="1"/>
  <c r="L84" i="27" a="1"/>
  <c r="L84" i="27" s="1"/>
  <c r="S33" i="27" a="1"/>
  <c r="S33" i="27" s="1"/>
  <c r="V21" i="27" a="1"/>
  <c r="V21" i="27" s="1"/>
  <c r="Y21" i="27" a="1"/>
  <c r="Y21" i="27" s="1"/>
  <c r="R21" i="27" a="1"/>
  <c r="R21" i="27" s="1"/>
  <c r="Z84" i="27" a="1"/>
  <c r="Z84" i="27" s="1"/>
  <c r="AE33" i="27" a="1"/>
  <c r="AE33" i="27" s="1"/>
  <c r="AI21" i="27" a="1"/>
  <c r="AI21" i="27" s="1"/>
  <c r="X88" i="27" a="1"/>
  <c r="X88" i="27" s="1"/>
  <c r="Y78" i="27" a="1"/>
  <c r="Y78" i="27" s="1"/>
  <c r="N124" i="27" a="1"/>
  <c r="N124" i="27" s="1"/>
  <c r="M109" i="27" a="1"/>
  <c r="M109" i="27" s="1"/>
  <c r="X109" i="27" a="1"/>
  <c r="X109" i="27" s="1"/>
  <c r="AH109" i="27" a="1"/>
  <c r="AH109" i="27" s="1"/>
  <c r="AE109" i="27" a="1"/>
  <c r="AE109" i="27" s="1"/>
  <c r="S77" i="27" a="1"/>
  <c r="S77" i="27" s="1"/>
  <c r="M77" i="27" a="1"/>
  <c r="M77" i="27" s="1"/>
  <c r="AC77" i="27" a="1"/>
  <c r="AC77" i="27" s="1"/>
  <c r="BJ62" i="27"/>
  <c r="BH62" i="27" s="1"/>
  <c r="M60" i="30" s="1"/>
  <c r="BJ81" i="27"/>
  <c r="BL81" i="27" s="1"/>
  <c r="BP81" i="27" s="1"/>
  <c r="BO101" i="27"/>
  <c r="BN101" i="27"/>
  <c r="BJ55" i="27"/>
  <c r="BL55" i="27" s="1"/>
  <c r="BP55" i="27" s="1"/>
  <c r="BJ37" i="27"/>
  <c r="BH37" i="27" s="1"/>
  <c r="M35" i="30" s="1"/>
  <c r="BJ47" i="27"/>
  <c r="BH47" i="27" s="1"/>
  <c r="F45" i="30" s="1"/>
  <c r="BJ51" i="27"/>
  <c r="BH51" i="27" s="1"/>
  <c r="F49" i="30" s="1"/>
  <c r="BJ52" i="27"/>
  <c r="BL52" i="27" s="1"/>
  <c r="BP52" i="27" s="1"/>
  <c r="BJ71" i="27"/>
  <c r="BH71" i="27" s="1"/>
  <c r="F69" i="12" s="1"/>
  <c r="M117" i="27" a="1"/>
  <c r="M117" i="27" s="1"/>
  <c r="S113" i="27" a="1"/>
  <c r="S113" i="27" s="1"/>
  <c r="AA66" i="27" a="1"/>
  <c r="AA66" i="27" s="1"/>
  <c r="P72" i="27" a="1"/>
  <c r="P72" i="27" s="1"/>
  <c r="Y49" i="27" a="1"/>
  <c r="Y49" i="27" s="1"/>
  <c r="L66" i="27" a="1"/>
  <c r="L66" i="27" s="1"/>
  <c r="P117" i="27" a="1"/>
  <c r="P117" i="27" s="1"/>
  <c r="Q66" i="27" a="1"/>
  <c r="Q66" i="27" s="1"/>
  <c r="AB117" i="27" a="1"/>
  <c r="AB117" i="27" s="1"/>
  <c r="AG40" i="27" a="1"/>
  <c r="AG40" i="27" s="1"/>
  <c r="AI118" i="27" a="1"/>
  <c r="AI118" i="27" s="1"/>
  <c r="O66" i="27" a="1"/>
  <c r="O66" i="27" s="1"/>
  <c r="M121" i="27" a="1"/>
  <c r="M121" i="27" s="1"/>
  <c r="N118" i="27" a="1"/>
  <c r="N118" i="27" s="1"/>
  <c r="V117" i="27" a="1"/>
  <c r="V117" i="27" s="1"/>
  <c r="P118" i="27" a="1"/>
  <c r="P118" i="27" s="1"/>
  <c r="Z118" i="27" a="1"/>
  <c r="Z118" i="27" s="1"/>
  <c r="AI40" i="27" a="1"/>
  <c r="AI40" i="27" s="1"/>
  <c r="AF132" i="27" a="1"/>
  <c r="AF132" i="27" s="1"/>
  <c r="M132" i="27" a="1"/>
  <c r="M132" i="27" s="1"/>
  <c r="R49" i="27" a="1"/>
  <c r="R49" i="27" s="1"/>
  <c r="X121" i="27" a="1"/>
  <c r="X121" i="27" s="1"/>
  <c r="V72" i="27" a="1"/>
  <c r="V72" i="27" s="1"/>
  <c r="P40" i="27" a="1"/>
  <c r="P40" i="27" s="1"/>
  <c r="O117" i="27" a="1"/>
  <c r="O117" i="27" s="1"/>
  <c r="X72" i="27" a="1"/>
  <c r="X72" i="27" s="1"/>
  <c r="AB118" i="27" a="1"/>
  <c r="AB118" i="27" s="1"/>
  <c r="V40" i="27" a="1"/>
  <c r="V40" i="27" s="1"/>
  <c r="AH66" i="27" a="1"/>
  <c r="AH66" i="27" s="1"/>
  <c r="R132" i="27" a="1"/>
  <c r="R132" i="27" s="1"/>
  <c r="Z49" i="27" a="1"/>
  <c r="Z49" i="27" s="1"/>
  <c r="P113" i="27" a="1"/>
  <c r="P113" i="27" s="1"/>
  <c r="Q121" i="27" a="1"/>
  <c r="Q121" i="27" s="1"/>
  <c r="U49" i="27" a="1"/>
  <c r="U49" i="27" s="1"/>
  <c r="AC121" i="27" a="1"/>
  <c r="AC121" i="27" s="1"/>
  <c r="R121" i="27" a="1"/>
  <c r="R121" i="27" s="1"/>
  <c r="AI72" i="27" a="1"/>
  <c r="AI72" i="27" s="1"/>
  <c r="Q40" i="27" a="1"/>
  <c r="Q40" i="27" s="1"/>
  <c r="AA113" i="27" a="1"/>
  <c r="AA113" i="27" s="1"/>
  <c r="AA72" i="27" a="1"/>
  <c r="AA72" i="27" s="1"/>
  <c r="AC72" i="27" a="1"/>
  <c r="AC72" i="27" s="1"/>
  <c r="Z72" i="27" a="1"/>
  <c r="Z72" i="27" s="1"/>
  <c r="T113" i="27" a="1"/>
  <c r="T113" i="27" s="1"/>
  <c r="AE72" i="27" a="1"/>
  <c r="AE72" i="27" s="1"/>
  <c r="N121" i="27" a="1"/>
  <c r="N121" i="27" s="1"/>
  <c r="P28" i="27" a="1"/>
  <c r="P28" i="27" s="1"/>
  <c r="P88" i="27" a="1"/>
  <c r="P88" i="27" s="1"/>
  <c r="L124" i="27" a="1"/>
  <c r="L124" i="27" s="1"/>
  <c r="S124" i="27" a="1"/>
  <c r="S124" i="27" s="1"/>
  <c r="Z124" i="27" a="1"/>
  <c r="Z124" i="27" s="1"/>
  <c r="Y124" i="27" a="1"/>
  <c r="Y124" i="27" s="1"/>
  <c r="M88" i="27" a="1"/>
  <c r="M88" i="27" s="1"/>
  <c r="R124" i="27" a="1"/>
  <c r="R124" i="27" s="1"/>
  <c r="AD88" i="27" a="1"/>
  <c r="AD88" i="27" s="1"/>
  <c r="U124" i="27" a="1"/>
  <c r="U124" i="27" s="1"/>
  <c r="T124" i="27" a="1"/>
  <c r="T124" i="27" s="1"/>
  <c r="O88" i="27" a="1"/>
  <c r="O88" i="27" s="1"/>
  <c r="AD124" i="27" a="1"/>
  <c r="AD124" i="27" s="1"/>
  <c r="N88" i="27" a="1"/>
  <c r="N88" i="27" s="1"/>
  <c r="AE88" i="27" a="1"/>
  <c r="AE88" i="27" s="1"/>
  <c r="O124" i="27" a="1"/>
  <c r="O124" i="27" s="1"/>
  <c r="AB88" i="27" a="1"/>
  <c r="AB88" i="27" s="1"/>
  <c r="R78" i="27" a="1"/>
  <c r="R78" i="27" s="1"/>
  <c r="AA78" i="27" a="1"/>
  <c r="AA78" i="27" s="1"/>
  <c r="AD78" i="27" a="1"/>
  <c r="AD78" i="27" s="1"/>
  <c r="M78" i="27" a="1"/>
  <c r="M78" i="27" s="1"/>
  <c r="L73" i="27" a="1"/>
  <c r="L73" i="27" s="1"/>
  <c r="AI73" i="27" a="1"/>
  <c r="AI73" i="27" s="1"/>
  <c r="AG73" i="27" a="1"/>
  <c r="AG73" i="27" s="1"/>
  <c r="AB41" i="27" a="1"/>
  <c r="AB41" i="27" s="1"/>
  <c r="Q73" i="27" a="1"/>
  <c r="Q73" i="27" s="1"/>
  <c r="T78" i="27" a="1"/>
  <c r="T78" i="27" s="1"/>
  <c r="T73" i="27" a="1"/>
  <c r="T73" i="27" s="1"/>
  <c r="W73" i="27" a="1"/>
  <c r="W73" i="27" s="1"/>
  <c r="O41" i="27" a="1"/>
  <c r="O41" i="27" s="1"/>
  <c r="AF73" i="27" a="1"/>
  <c r="AF73" i="27" s="1"/>
  <c r="AD41" i="27" a="1"/>
  <c r="AD41" i="27" s="1"/>
  <c r="Q41" i="27" a="1"/>
  <c r="Q41" i="27" s="1"/>
  <c r="T41" i="27" a="1"/>
  <c r="T41" i="27" s="1"/>
  <c r="M57" i="27" a="1"/>
  <c r="M57" i="27" s="1"/>
  <c r="S97" i="27" a="1"/>
  <c r="S97" i="27" s="1"/>
  <c r="V84" i="27" a="1"/>
  <c r="V84" i="27" s="1"/>
  <c r="M21" i="27" a="1"/>
  <c r="M21" i="27" s="1"/>
  <c r="Q57" i="27" a="1"/>
  <c r="Q57" i="27" s="1"/>
  <c r="AF97" i="27" a="1"/>
  <c r="AF97" i="27" s="1"/>
  <c r="W97" i="27" a="1"/>
  <c r="W97" i="27" s="1"/>
  <c r="Y84" i="27" a="1"/>
  <c r="Y84" i="27" s="1"/>
  <c r="T84" i="27" a="1"/>
  <c r="T84" i="27" s="1"/>
  <c r="V57" i="27" a="1"/>
  <c r="V57" i="27" s="1"/>
  <c r="AH21" i="27" a="1"/>
  <c r="AH21" i="27" s="1"/>
  <c r="X21" i="27" a="1"/>
  <c r="X21" i="27" s="1"/>
  <c r="AI57" i="27" a="1"/>
  <c r="AI57" i="27" s="1"/>
  <c r="AI84" i="27" a="1"/>
  <c r="AI84" i="27" s="1"/>
  <c r="Y97" i="27" a="1"/>
  <c r="Y97" i="27" s="1"/>
  <c r="X97" i="27" a="1"/>
  <c r="X97" i="27" s="1"/>
  <c r="T97" i="27" a="1"/>
  <c r="T97" i="27" s="1"/>
  <c r="AD84" i="27" a="1"/>
  <c r="AD84" i="27" s="1"/>
  <c r="AC97" i="27" a="1"/>
  <c r="AC97" i="27" s="1"/>
  <c r="V33" i="27" a="1"/>
  <c r="V33" i="27" s="1"/>
  <c r="X33" i="27" a="1"/>
  <c r="X33" i="27" s="1"/>
  <c r="AC57" i="27" a="1"/>
  <c r="AC57" i="27" s="1"/>
  <c r="L33" i="27" a="1"/>
  <c r="L33" i="27" s="1"/>
  <c r="O84" i="27" a="1"/>
  <c r="O84" i="27" s="1"/>
  <c r="L97" i="27" a="1"/>
  <c r="L97" i="27" s="1"/>
  <c r="X57" i="27" a="1"/>
  <c r="X57" i="27" s="1"/>
  <c r="Y33" i="27" a="1"/>
  <c r="Y33" i="27" s="1"/>
  <c r="AF21" i="27" a="1"/>
  <c r="AF21" i="27" s="1"/>
  <c r="S84" i="27" a="1"/>
  <c r="S84" i="27" s="1"/>
  <c r="AI97" i="27" a="1"/>
  <c r="AI97" i="27" s="1"/>
  <c r="N84" i="27" a="1"/>
  <c r="N84" i="27" s="1"/>
  <c r="U88" i="27" a="1"/>
  <c r="U88" i="27" s="1"/>
  <c r="V78" i="27" a="1"/>
  <c r="V78" i="27" s="1"/>
  <c r="AH33" i="27" a="1"/>
  <c r="AH33" i="27" s="1"/>
  <c r="AE78" i="27" a="1"/>
  <c r="AE78" i="27" s="1"/>
  <c r="V109" i="27" a="1"/>
  <c r="V109" i="27" s="1"/>
  <c r="W109" i="27" a="1"/>
  <c r="W109" i="27" s="1"/>
  <c r="S109" i="27" a="1"/>
  <c r="S109" i="27" s="1"/>
  <c r="AI109" i="27" a="1"/>
  <c r="AI109" i="27" s="1"/>
  <c r="Y109" i="27" a="1"/>
  <c r="Y109" i="27" s="1"/>
  <c r="N109" i="27" a="1"/>
  <c r="N109" i="27" s="1"/>
  <c r="Z109" i="27" a="1"/>
  <c r="Z109" i="27" s="1"/>
  <c r="AG77" i="27" a="1"/>
  <c r="AG77" i="27" s="1"/>
  <c r="AA77" i="27" a="1"/>
  <c r="AA77" i="27" s="1"/>
  <c r="P77" i="27" a="1"/>
  <c r="P77" i="27" s="1"/>
  <c r="V77" i="27" a="1"/>
  <c r="V77" i="27" s="1"/>
  <c r="W77" i="27" a="1"/>
  <c r="W77" i="27" s="1"/>
  <c r="AE77" i="27" a="1"/>
  <c r="AE77" i="27" s="1"/>
  <c r="AI77" i="27" a="1"/>
  <c r="AI77" i="27" s="1"/>
  <c r="Z77" i="27" a="1"/>
  <c r="Z77" i="27" s="1"/>
  <c r="Q77" i="27" a="1"/>
  <c r="Q77" i="27" s="1"/>
  <c r="AB77" i="27" a="1"/>
  <c r="AB77" i="27" s="1"/>
  <c r="AD21" i="27" a="1"/>
  <c r="AD21" i="27" s="1"/>
  <c r="L41" i="27" a="1"/>
  <c r="L41" i="27" s="1"/>
  <c r="T57" i="27" a="1"/>
  <c r="T57" i="27" s="1"/>
  <c r="BO74" i="27"/>
  <c r="BN74" i="27"/>
  <c r="BJ61" i="27"/>
  <c r="BL61" i="27" s="1"/>
  <c r="BP61" i="27" s="1"/>
  <c r="BO70" i="27"/>
  <c r="BN70" i="27"/>
  <c r="BQ70" i="27" s="1"/>
  <c r="BJ39" i="27"/>
  <c r="BH39" i="27" s="1"/>
  <c r="F37" i="30" s="1"/>
  <c r="BJ18" i="27"/>
  <c r="BH18" i="27" s="1"/>
  <c r="F16" i="30" s="1"/>
  <c r="BJ31" i="27"/>
  <c r="BH31" i="27" s="1"/>
  <c r="F29" i="30" s="1"/>
  <c r="BJ75" i="27"/>
  <c r="BH75" i="27" s="1"/>
  <c r="M73" i="30" s="1"/>
  <c r="BJ19" i="27"/>
  <c r="BH19" i="27" s="1"/>
  <c r="F17" i="12" s="1"/>
  <c r="BJ34" i="27"/>
  <c r="BH34" i="27" s="1"/>
  <c r="F32" i="12" s="1"/>
  <c r="BJ86" i="27"/>
  <c r="BH86" i="27" s="1"/>
  <c r="M84" i="12" s="1"/>
  <c r="BJ27" i="27"/>
  <c r="BH27" i="27" s="1"/>
  <c r="F25" i="12" s="1"/>
  <c r="BJ119" i="27"/>
  <c r="BH119" i="27" s="1"/>
  <c r="F117" i="30" s="1"/>
  <c r="BJ87" i="27"/>
  <c r="BH87" i="27" s="1"/>
  <c r="F85" i="30" s="1"/>
  <c r="BJ103" i="27"/>
  <c r="BH103" i="27" s="1"/>
  <c r="F101" i="12" s="1"/>
  <c r="BO67" i="27"/>
  <c r="BN67" i="27"/>
  <c r="O9" i="27" a="1"/>
  <c r="O9" i="27" s="1"/>
  <c r="AE9" i="27" a="1"/>
  <c r="AE9" i="27" s="1"/>
  <c r="AH6" i="27" a="1"/>
  <c r="AH6" i="27" s="1"/>
  <c r="AG6" i="27" a="1"/>
  <c r="AG6" i="27" s="1"/>
  <c r="AF9" i="27" a="1"/>
  <c r="AF9" i="27" s="1"/>
  <c r="AF6" i="27" a="1"/>
  <c r="AF6" i="27" s="1"/>
  <c r="T6" i="27" a="1"/>
  <c r="T6" i="27" s="1"/>
  <c r="AD6" i="27" a="1"/>
  <c r="AD6" i="27" s="1"/>
  <c r="V6" i="27" a="1"/>
  <c r="V6" i="27" s="1"/>
  <c r="W6" i="27" a="1"/>
  <c r="W6" i="27" s="1"/>
  <c r="U6" i="27" a="1"/>
  <c r="U6" i="27" s="1"/>
  <c r="S6" i="27" a="1"/>
  <c r="S6" i="27" s="1"/>
  <c r="N9" i="27" a="1"/>
  <c r="N9" i="27" s="1"/>
  <c r="AD9" i="27" a="1"/>
  <c r="AD9" i="27" s="1"/>
  <c r="Q9" i="27" a="1"/>
  <c r="Q9" i="27" s="1"/>
  <c r="X9" i="27" a="1"/>
  <c r="X9" i="27" s="1"/>
  <c r="AH9" i="27" a="1"/>
  <c r="AH9" i="27" s="1"/>
  <c r="N6" i="27" a="1"/>
  <c r="N6" i="27" s="1"/>
  <c r="AE6" i="27" a="1"/>
  <c r="AE6" i="27" s="1"/>
  <c r="P6" i="27" a="1"/>
  <c r="P6" i="27" s="1"/>
  <c r="AA9" i="27" a="1"/>
  <c r="AA9" i="27" s="1"/>
  <c r="P9" i="27" a="1"/>
  <c r="P9" i="27" s="1"/>
  <c r="AG9" i="27" a="1"/>
  <c r="AG9" i="27" s="1"/>
  <c r="S9" i="27" a="1"/>
  <c r="S9" i="27" s="1"/>
  <c r="Z9" i="27" a="1"/>
  <c r="Z9" i="27" s="1"/>
  <c r="Z6" i="27" a="1"/>
  <c r="Z6" i="27" s="1"/>
  <c r="AA6" i="27" a="1"/>
  <c r="AA6" i="27" s="1"/>
  <c r="AI6" i="27" a="1"/>
  <c r="AI6" i="27" s="1"/>
  <c r="X6" i="27" a="1"/>
  <c r="X6" i="27" s="1"/>
  <c r="R6" i="27" a="1"/>
  <c r="R6" i="27" s="1"/>
  <c r="AB6" i="27" a="1"/>
  <c r="AB6" i="27" s="1"/>
  <c r="Q6" i="27" a="1"/>
  <c r="Q6" i="27" s="1"/>
  <c r="Y6" i="27" a="1"/>
  <c r="Y6" i="27" s="1"/>
  <c r="O6" i="27" a="1"/>
  <c r="O6" i="27" s="1"/>
  <c r="AC6" i="27" a="1"/>
  <c r="AC6" i="27" s="1"/>
  <c r="AI9" i="27" a="1"/>
  <c r="AI9" i="27" s="1"/>
  <c r="R9" i="27" a="1"/>
  <c r="R9" i="27" s="1"/>
  <c r="AB9" i="27" a="1"/>
  <c r="AB9" i="27" s="1"/>
  <c r="AC9" i="27" a="1"/>
  <c r="AC9" i="27" s="1"/>
  <c r="T9" i="27" a="1"/>
  <c r="T9" i="27" s="1"/>
  <c r="Y9" i="27" a="1"/>
  <c r="Y9" i="27" s="1"/>
  <c r="U9" i="27" a="1"/>
  <c r="U9" i="27" s="1"/>
  <c r="W9" i="27" a="1"/>
  <c r="W9" i="27" s="1"/>
  <c r="V9" i="27" a="1"/>
  <c r="V9" i="27" s="1"/>
  <c r="M9" i="27" a="1"/>
  <c r="M9" i="27" s="1"/>
  <c r="BJ7" i="27"/>
  <c r="BH7" i="27" s="1"/>
  <c r="M5" i="30" s="1"/>
  <c r="L9" i="27" a="1"/>
  <c r="L9" i="27" s="1"/>
  <c r="M6" i="27" a="1"/>
  <c r="M6" i="27" s="1"/>
  <c r="F78" i="12" l="1"/>
  <c r="BO8" i="27"/>
  <c r="BQ8" i="27" s="1"/>
  <c r="N42" i="12"/>
  <c r="H68" i="12"/>
  <c r="H68" i="30"/>
  <c r="F107" i="12"/>
  <c r="L107" i="12" s="1"/>
  <c r="M107" i="12"/>
  <c r="M121" i="12"/>
  <c r="F105" i="12"/>
  <c r="M83" i="12"/>
  <c r="M36" i="12"/>
  <c r="F84" i="12"/>
  <c r="F49" i="12"/>
  <c r="M89" i="12"/>
  <c r="M117" i="12"/>
  <c r="M37" i="12"/>
  <c r="F95" i="12"/>
  <c r="BQ99" i="27"/>
  <c r="M21" i="12"/>
  <c r="M77" i="12"/>
  <c r="M17" i="12"/>
  <c r="M81" i="12"/>
  <c r="F89" i="12"/>
  <c r="F117" i="12"/>
  <c r="F37" i="12"/>
  <c r="F80" i="12"/>
  <c r="F44" i="12"/>
  <c r="M134" i="12"/>
  <c r="F77" i="12"/>
  <c r="F81" i="12"/>
  <c r="M73" i="12"/>
  <c r="M125" i="12"/>
  <c r="F68" i="12"/>
  <c r="J68" i="12" s="1"/>
  <c r="L68" i="12" s="1"/>
  <c r="N68" i="12" s="1"/>
  <c r="Z68" i="12" s="1"/>
  <c r="M68" i="12"/>
  <c r="F68" i="30"/>
  <c r="J68" i="30" s="1"/>
  <c r="L68" i="30" s="1"/>
  <c r="M68" i="30"/>
  <c r="F64" i="12"/>
  <c r="M45" i="12"/>
  <c r="M32" i="12"/>
  <c r="M48" i="12"/>
  <c r="M106" i="12"/>
  <c r="N59" i="12"/>
  <c r="M101" i="12"/>
  <c r="F73" i="12"/>
  <c r="F125" i="12"/>
  <c r="M29" i="12"/>
  <c r="F45" i="12"/>
  <c r="F48" i="12"/>
  <c r="M33" i="12"/>
  <c r="M41" i="12"/>
  <c r="M25" i="12"/>
  <c r="F103" i="12"/>
  <c r="F29" i="12"/>
  <c r="M35" i="12"/>
  <c r="M60" i="12"/>
  <c r="M16" i="12"/>
  <c r="M85" i="12"/>
  <c r="M69" i="12"/>
  <c r="F97" i="30"/>
  <c r="M97" i="30"/>
  <c r="F97" i="12"/>
  <c r="M97" i="12"/>
  <c r="F11" i="12"/>
  <c r="F90" i="12"/>
  <c r="F6" i="12"/>
  <c r="M6" i="12"/>
  <c r="M5" i="12"/>
  <c r="F35" i="12"/>
  <c r="F60" i="12"/>
  <c r="N79" i="12"/>
  <c r="F16" i="12"/>
  <c r="F85" i="12"/>
  <c r="M13" i="12"/>
  <c r="M28" i="12"/>
  <c r="F51" i="12"/>
  <c r="F5" i="12"/>
  <c r="M49" i="12"/>
  <c r="F13" i="12"/>
  <c r="F6" i="30"/>
  <c r="M6" i="30"/>
  <c r="Z59" i="12"/>
  <c r="N42" i="30"/>
  <c r="Z42" i="30" s="1"/>
  <c r="Z42" i="12"/>
  <c r="N59" i="30"/>
  <c r="Z59" i="30" s="1"/>
  <c r="F80" i="30"/>
  <c r="F44" i="30"/>
  <c r="F35" i="30"/>
  <c r="F60" i="30"/>
  <c r="Z79" i="12"/>
  <c r="F106" i="30"/>
  <c r="M17" i="30"/>
  <c r="M69" i="30"/>
  <c r="F28" i="30"/>
  <c r="M25" i="30"/>
  <c r="F134" i="30"/>
  <c r="F64" i="30"/>
  <c r="F21" i="30"/>
  <c r="M36" i="30"/>
  <c r="F69" i="30"/>
  <c r="F13" i="30"/>
  <c r="F125" i="30"/>
  <c r="F25" i="30"/>
  <c r="F78" i="30"/>
  <c r="M105" i="30"/>
  <c r="M32" i="30"/>
  <c r="M48" i="30"/>
  <c r="M16" i="30"/>
  <c r="F36" i="30"/>
  <c r="M85" i="30"/>
  <c r="F17" i="30"/>
  <c r="F81" i="30"/>
  <c r="F5" i="30"/>
  <c r="F73" i="30"/>
  <c r="M37" i="30"/>
  <c r="M29" i="30"/>
  <c r="F103" i="30"/>
  <c r="M45" i="30"/>
  <c r="M83" i="30"/>
  <c r="M77" i="30"/>
  <c r="M49" i="30"/>
  <c r="M101" i="30"/>
  <c r="M89" i="30"/>
  <c r="M121" i="30"/>
  <c r="F11" i="30"/>
  <c r="F90" i="30"/>
  <c r="F105" i="30"/>
  <c r="F32" i="30"/>
  <c r="M33" i="30"/>
  <c r="M117" i="30"/>
  <c r="M41" i="30"/>
  <c r="F51" i="30"/>
  <c r="F83" i="30"/>
  <c r="M84" i="30"/>
  <c r="F101" i="30"/>
  <c r="F33" i="30"/>
  <c r="F41" i="30"/>
  <c r="F121" i="30"/>
  <c r="F107" i="30"/>
  <c r="L107" i="30" s="1"/>
  <c r="M107" i="30"/>
  <c r="M21" i="30"/>
  <c r="M106" i="30"/>
  <c r="M134" i="30"/>
  <c r="F95" i="30"/>
  <c r="N79" i="30"/>
  <c r="Z79" i="30" s="1"/>
  <c r="F84" i="30"/>
  <c r="M28" i="30"/>
  <c r="BO44" i="27"/>
  <c r="BJ6" i="27"/>
  <c r="BH6" i="27" s="1"/>
  <c r="L140" i="27" a="1"/>
  <c r="L140" i="27" s="1"/>
  <c r="AD140" i="27" a="1"/>
  <c r="AD140" i="27" s="1"/>
  <c r="AG140" i="27" a="1"/>
  <c r="AG140" i="27" s="1"/>
  <c r="W140" i="27" a="1"/>
  <c r="W140" i="27" s="1"/>
  <c r="BL27" i="27"/>
  <c r="BP27" i="27" s="1"/>
  <c r="BL75" i="27"/>
  <c r="BP75" i="27" s="1"/>
  <c r="BJ73" i="27"/>
  <c r="BH73" i="27" s="1"/>
  <c r="F71" i="12" s="1"/>
  <c r="BL71" i="27"/>
  <c r="BP71" i="27" s="1"/>
  <c r="BL51" i="27"/>
  <c r="BL79" i="27"/>
  <c r="BO104" i="27"/>
  <c r="BN104" i="27"/>
  <c r="BL108" i="27"/>
  <c r="BO131" i="27"/>
  <c r="BN131" i="27"/>
  <c r="BO135" i="27"/>
  <c r="BN135" i="27"/>
  <c r="BL35" i="27"/>
  <c r="BL107" i="27"/>
  <c r="BP107" i="27" s="1"/>
  <c r="BL85" i="27"/>
  <c r="BP85" i="27" s="1"/>
  <c r="BL83" i="27"/>
  <c r="BJ109" i="27"/>
  <c r="BL109" i="27" s="1"/>
  <c r="BP109" i="27" s="1"/>
  <c r="BJ117" i="27"/>
  <c r="BH117" i="27" s="1"/>
  <c r="M115" i="30" s="1"/>
  <c r="BJ56" i="27"/>
  <c r="BH56" i="27" s="1"/>
  <c r="F54" i="12" s="1"/>
  <c r="BJ116" i="27"/>
  <c r="BH116" i="27" s="1"/>
  <c r="F114" i="12" s="1"/>
  <c r="BJ106" i="27"/>
  <c r="BH106" i="27" s="1"/>
  <c r="F104" i="12" s="1"/>
  <c r="BJ60" i="27"/>
  <c r="BH60" i="27" s="1"/>
  <c r="M58" i="12" s="1"/>
  <c r="BJ49" i="27"/>
  <c r="BH49" i="27" s="1"/>
  <c r="F47" i="12" s="1"/>
  <c r="BJ120" i="27"/>
  <c r="BH120" i="27" s="1"/>
  <c r="F118" i="12" s="1"/>
  <c r="BJ133" i="27"/>
  <c r="BH133" i="27" s="1"/>
  <c r="F131" i="30" s="1"/>
  <c r="BJ12" i="27"/>
  <c r="BH12" i="27" s="1"/>
  <c r="F10" i="30" s="1"/>
  <c r="BJ90" i="27"/>
  <c r="BH90" i="27" s="1"/>
  <c r="F88" i="12" s="1"/>
  <c r="BJ93" i="27"/>
  <c r="BH93" i="27" s="1"/>
  <c r="F91" i="12" s="1"/>
  <c r="BJ24" i="27"/>
  <c r="BH24" i="27" s="1"/>
  <c r="F22" i="12" s="1"/>
  <c r="BJ58" i="27"/>
  <c r="BH58" i="27" s="1"/>
  <c r="F56" i="12" s="1"/>
  <c r="BJ102" i="27"/>
  <c r="BH102" i="27" s="1"/>
  <c r="F100" i="12" s="1"/>
  <c r="BJ46" i="27"/>
  <c r="BL46" i="27" s="1"/>
  <c r="BP46" i="27" s="1"/>
  <c r="BJ129" i="27"/>
  <c r="BH129" i="27" s="1"/>
  <c r="M127" i="30" s="1"/>
  <c r="BJ25" i="27"/>
  <c r="BH25" i="27" s="1"/>
  <c r="F23" i="30" s="1"/>
  <c r="BJ98" i="27"/>
  <c r="BH98" i="27" s="1"/>
  <c r="F96" i="12" s="1"/>
  <c r="BJ110" i="27"/>
  <c r="BH110" i="27" s="1"/>
  <c r="F108" i="12" s="1"/>
  <c r="BJ68" i="27"/>
  <c r="BH68" i="27" s="1"/>
  <c r="F66" i="30" s="1"/>
  <c r="BJ126" i="27"/>
  <c r="BH126" i="27" s="1"/>
  <c r="M124" i="30" s="1"/>
  <c r="BJ100" i="27"/>
  <c r="BH100" i="27" s="1"/>
  <c r="M98" i="12" s="1"/>
  <c r="BJ92" i="27"/>
  <c r="BL92" i="27" s="1"/>
  <c r="BP92" i="27" s="1"/>
  <c r="BJ17" i="27"/>
  <c r="BH17" i="27" s="1"/>
  <c r="F15" i="30" s="1"/>
  <c r="BJ114" i="27"/>
  <c r="BH114" i="27" s="1"/>
  <c r="M112" i="12" s="1"/>
  <c r="BJ76" i="27"/>
  <c r="BH76" i="27" s="1"/>
  <c r="M74" i="12" s="1"/>
  <c r="BJ130" i="27"/>
  <c r="BH130" i="27" s="1"/>
  <c r="F128" i="30" s="1"/>
  <c r="BJ118" i="27"/>
  <c r="BH118" i="27" s="1"/>
  <c r="M116" i="30" s="1"/>
  <c r="BJ132" i="27"/>
  <c r="BH132" i="27" s="1"/>
  <c r="F130" i="30" s="1"/>
  <c r="BJ28" i="27"/>
  <c r="BH28" i="27" s="1"/>
  <c r="F26" i="30" s="1"/>
  <c r="BJ22" i="27"/>
  <c r="BH22" i="27" s="1"/>
  <c r="F20" i="12" s="1"/>
  <c r="BJ10" i="27"/>
  <c r="BH10" i="27" s="1"/>
  <c r="F8" i="30" s="1"/>
  <c r="BJ48" i="27"/>
  <c r="BH48" i="27" s="1"/>
  <c r="M46" i="12" s="1"/>
  <c r="BJ138" i="27"/>
  <c r="BH138" i="27" s="1"/>
  <c r="F136" i="12" s="1"/>
  <c r="BJ139" i="27"/>
  <c r="BH139" i="27" s="1"/>
  <c r="F137" i="30" s="1"/>
  <c r="BJ26" i="27"/>
  <c r="BH26" i="27" s="1"/>
  <c r="M24" i="30" s="1"/>
  <c r="Z140" i="27" a="1"/>
  <c r="Z140" i="27" s="1"/>
  <c r="AC140" i="27" a="1"/>
  <c r="AC140" i="27" s="1"/>
  <c r="AB140" i="27" a="1"/>
  <c r="AB140" i="27" s="1"/>
  <c r="T140" i="27" a="1"/>
  <c r="T140" i="27" s="1"/>
  <c r="AE140" i="27" a="1"/>
  <c r="AE140" i="27" s="1"/>
  <c r="AI140" i="27" a="1"/>
  <c r="AI140" i="27" s="1"/>
  <c r="Y140" i="27" a="1"/>
  <c r="Y140" i="27" s="1"/>
  <c r="U140" i="27" a="1"/>
  <c r="U140" i="27" s="1"/>
  <c r="BL103" i="27"/>
  <c r="BP103" i="27" s="1"/>
  <c r="BL86" i="27"/>
  <c r="BP86" i="27" s="1"/>
  <c r="BL31" i="27"/>
  <c r="BL47" i="27"/>
  <c r="BP47" i="27" s="1"/>
  <c r="BO55" i="27"/>
  <c r="BN55" i="27"/>
  <c r="BJ57" i="27"/>
  <c r="BH57" i="27" s="1"/>
  <c r="F55" i="30" s="1"/>
  <c r="BL15" i="27"/>
  <c r="BL136" i="27"/>
  <c r="BL50" i="27"/>
  <c r="BP50" i="27" s="1"/>
  <c r="BL30" i="27"/>
  <c r="BJ88" i="27"/>
  <c r="BH88" i="27" s="1"/>
  <c r="M86" i="30" s="1"/>
  <c r="BJ20" i="27"/>
  <c r="BH20" i="27" s="1"/>
  <c r="F18" i="12" s="1"/>
  <c r="BJ40" i="27"/>
  <c r="BH40" i="27" s="1"/>
  <c r="M38" i="12" s="1"/>
  <c r="BL38" i="27"/>
  <c r="BP38" i="27" s="1"/>
  <c r="N140" i="27" a="1"/>
  <c r="N140" i="27" s="1"/>
  <c r="Q140" i="27" a="1"/>
  <c r="Q140" i="27" s="1"/>
  <c r="O140" i="27" a="1"/>
  <c r="O140" i="27" s="1"/>
  <c r="BL87" i="27"/>
  <c r="BP87" i="27" s="1"/>
  <c r="BL34" i="27"/>
  <c r="BL18" i="27"/>
  <c r="BP18" i="27" s="1"/>
  <c r="BJ41" i="27"/>
  <c r="BH41" i="27" s="1"/>
  <c r="F39" i="12" s="1"/>
  <c r="BJ97" i="27"/>
  <c r="BL97" i="27" s="1"/>
  <c r="BP97" i="27" s="1"/>
  <c r="BJ33" i="27"/>
  <c r="BH33" i="27" s="1"/>
  <c r="F31" i="12" s="1"/>
  <c r="BJ124" i="27"/>
  <c r="BH124" i="27" s="1"/>
  <c r="M122" i="30" s="1"/>
  <c r="BJ66" i="27"/>
  <c r="BL37" i="27"/>
  <c r="BO81" i="27"/>
  <c r="BN81" i="27"/>
  <c r="BL62" i="27"/>
  <c r="BL123" i="27"/>
  <c r="BL91" i="27"/>
  <c r="BP91" i="27" s="1"/>
  <c r="BJ77" i="27"/>
  <c r="BH77" i="27" s="1"/>
  <c r="F75" i="30" s="1"/>
  <c r="BJ80" i="27"/>
  <c r="BL80" i="27" s="1"/>
  <c r="BJ69" i="27"/>
  <c r="BH69" i="27" s="1"/>
  <c r="F67" i="30" s="1"/>
  <c r="BJ112" i="27"/>
  <c r="BH112" i="27" s="1"/>
  <c r="M110" i="12" s="1"/>
  <c r="BJ64" i="27"/>
  <c r="BH64" i="27" s="1"/>
  <c r="M62" i="30" s="1"/>
  <c r="BJ113" i="27"/>
  <c r="BH113" i="27" s="1"/>
  <c r="F111" i="12" s="1"/>
  <c r="BJ94" i="27"/>
  <c r="BH94" i="27" s="1"/>
  <c r="F92" i="12" s="1"/>
  <c r="BJ82" i="27"/>
  <c r="BL82" i="27" s="1"/>
  <c r="BP82" i="27" s="1"/>
  <c r="BJ14" i="27"/>
  <c r="BH14" i="27" s="1"/>
  <c r="F12" i="30" s="1"/>
  <c r="BJ125" i="27"/>
  <c r="BH125" i="27" s="1"/>
  <c r="M123" i="12" s="1"/>
  <c r="BJ13" i="27"/>
  <c r="BL13" i="27" s="1"/>
  <c r="BP13" i="27" s="1"/>
  <c r="BJ65" i="27"/>
  <c r="BH65" i="27" s="1"/>
  <c r="F63" i="12" s="1"/>
  <c r="BJ42" i="27"/>
  <c r="BH42" i="27" s="1"/>
  <c r="F40" i="12" s="1"/>
  <c r="BJ36" i="27"/>
  <c r="BH36" i="27" s="1"/>
  <c r="M34" i="12" s="1"/>
  <c r="BJ137" i="27"/>
  <c r="BH137" i="27" s="1"/>
  <c r="F135" i="30" s="1"/>
  <c r="BJ128" i="27"/>
  <c r="BH128" i="27" s="1"/>
  <c r="F126" i="12" s="1"/>
  <c r="BJ29" i="27"/>
  <c r="BH29" i="27" s="1"/>
  <c r="F27" i="12" s="1"/>
  <c r="BJ134" i="27"/>
  <c r="BH134" i="27" s="1"/>
  <c r="M132" i="30" s="1"/>
  <c r="BJ53" i="27"/>
  <c r="BL53" i="27" s="1"/>
  <c r="BJ32" i="27"/>
  <c r="BH32" i="27" s="1"/>
  <c r="F30" i="12" s="1"/>
  <c r="BJ16" i="27"/>
  <c r="BH16" i="27" s="1"/>
  <c r="F14" i="30" s="1"/>
  <c r="BJ89" i="27"/>
  <c r="BH89" i="27" s="1"/>
  <c r="F87" i="30" s="1"/>
  <c r="BJ105" i="27"/>
  <c r="BJ122" i="27"/>
  <c r="BH122" i="27" s="1"/>
  <c r="M120" i="30" s="1"/>
  <c r="P140" i="27" a="1"/>
  <c r="P140" i="27" s="1"/>
  <c r="V140" i="27" a="1"/>
  <c r="V140" i="27" s="1"/>
  <c r="R140" i="27" a="1"/>
  <c r="R140" i="27" s="1"/>
  <c r="AH140" i="27" a="1"/>
  <c r="AH140" i="27" s="1"/>
  <c r="X140" i="27" a="1"/>
  <c r="X140" i="27" s="1"/>
  <c r="AF140" i="27" a="1"/>
  <c r="AF140" i="27" s="1"/>
  <c r="M140" i="27" a="1"/>
  <c r="M140" i="27" s="1"/>
  <c r="AA140" i="27" a="1"/>
  <c r="AA140" i="27" s="1"/>
  <c r="S140" i="27" a="1"/>
  <c r="S140" i="27" s="1"/>
  <c r="BL119" i="27"/>
  <c r="BL19" i="27"/>
  <c r="BP19" i="27" s="1"/>
  <c r="BL39" i="27"/>
  <c r="BO61" i="27"/>
  <c r="BN61" i="27"/>
  <c r="BN52" i="27"/>
  <c r="BO52" i="27"/>
  <c r="BJ84" i="27"/>
  <c r="BH84" i="27" s="1"/>
  <c r="M82" i="12" s="1"/>
  <c r="BL127" i="27"/>
  <c r="BP127" i="27" s="1"/>
  <c r="BL43" i="27"/>
  <c r="BP43" i="27" s="1"/>
  <c r="BJ21" i="27"/>
  <c r="BH21" i="27" s="1"/>
  <c r="F19" i="12" s="1"/>
  <c r="BJ78" i="27"/>
  <c r="BH78" i="27" s="1"/>
  <c r="F76" i="12" s="1"/>
  <c r="BJ72" i="27"/>
  <c r="BH72" i="27" s="1"/>
  <c r="F70" i="30" s="1"/>
  <c r="BJ121" i="27"/>
  <c r="BH121" i="27" s="1"/>
  <c r="F119" i="30" s="1"/>
  <c r="BL23" i="27"/>
  <c r="BP23" i="27" s="1"/>
  <c r="BN63" i="27"/>
  <c r="BO63" i="27"/>
  <c r="BN11" i="27"/>
  <c r="BO11" i="27"/>
  <c r="BN95" i="27"/>
  <c r="BO95" i="27"/>
  <c r="BL7" i="27"/>
  <c r="BJ9" i="27"/>
  <c r="BH9" i="27" s="1"/>
  <c r="F7" i="12" s="1"/>
  <c r="H6" i="12" l="1"/>
  <c r="J6" i="12" s="1"/>
  <c r="L6" i="12" s="1"/>
  <c r="N6" i="12" s="1"/>
  <c r="Z6" i="12" s="1"/>
  <c r="H6" i="30"/>
  <c r="N107" i="12"/>
  <c r="N68" i="30"/>
  <c r="Z68" i="30" s="1"/>
  <c r="F46" i="12"/>
  <c r="M62" i="12"/>
  <c r="M116" i="12"/>
  <c r="F34" i="12"/>
  <c r="M67" i="12"/>
  <c r="F98" i="12"/>
  <c r="F38" i="12"/>
  <c r="M120" i="12"/>
  <c r="M100" i="12"/>
  <c r="M111" i="12"/>
  <c r="F82" i="12"/>
  <c r="F87" i="12"/>
  <c r="F123" i="12"/>
  <c r="F74" i="12"/>
  <c r="F110" i="12"/>
  <c r="F112" i="12"/>
  <c r="F58" i="12"/>
  <c r="M122" i="12"/>
  <c r="M70" i="12"/>
  <c r="M39" i="12"/>
  <c r="M8" i="12"/>
  <c r="F62" i="12"/>
  <c r="F116" i="12"/>
  <c r="F67" i="12"/>
  <c r="M108" i="12"/>
  <c r="F120" i="12"/>
  <c r="M31" i="12"/>
  <c r="M128" i="12"/>
  <c r="M91" i="12"/>
  <c r="M96" i="12"/>
  <c r="M119" i="12"/>
  <c r="M124" i="12"/>
  <c r="M104" i="12"/>
  <c r="F122" i="12"/>
  <c r="F70" i="12"/>
  <c r="F8" i="12"/>
  <c r="M75" i="12"/>
  <c r="M126" i="12"/>
  <c r="M92" i="12"/>
  <c r="M20" i="12"/>
  <c r="M63" i="12"/>
  <c r="M54" i="12"/>
  <c r="F128" i="12"/>
  <c r="F119" i="12"/>
  <c r="F124" i="12"/>
  <c r="M19" i="12"/>
  <c r="F75" i="12"/>
  <c r="M22" i="12"/>
  <c r="M7" i="12"/>
  <c r="M135" i="12"/>
  <c r="M18" i="12"/>
  <c r="M26" i="12"/>
  <c r="M24" i="12"/>
  <c r="M127" i="12"/>
  <c r="M115" i="12"/>
  <c r="M132" i="12"/>
  <c r="M47" i="12"/>
  <c r="M130" i="12"/>
  <c r="M88" i="12"/>
  <c r="F135" i="12"/>
  <c r="F26" i="12"/>
  <c r="M56" i="12"/>
  <c r="F24" i="12"/>
  <c r="F127" i="12"/>
  <c r="F115" i="12"/>
  <c r="M23" i="12"/>
  <c r="M71" i="12"/>
  <c r="F132" i="12"/>
  <c r="M66" i="12"/>
  <c r="M15" i="12"/>
  <c r="M12" i="12"/>
  <c r="F130" i="12"/>
  <c r="M86" i="12"/>
  <c r="M137" i="12"/>
  <c r="M40" i="12"/>
  <c r="M76" i="12"/>
  <c r="M30" i="12"/>
  <c r="M14" i="12"/>
  <c r="M10" i="12"/>
  <c r="H97" i="12"/>
  <c r="H97" i="30"/>
  <c r="J97" i="30" s="1"/>
  <c r="L97" i="30" s="1"/>
  <c r="N97" i="30" s="1"/>
  <c r="Z97" i="30" s="1"/>
  <c r="F23" i="12"/>
  <c r="M118" i="12"/>
  <c r="M136" i="12"/>
  <c r="F66" i="12"/>
  <c r="M114" i="12"/>
  <c r="F15" i="12"/>
  <c r="F12" i="12"/>
  <c r="M27" i="12"/>
  <c r="M131" i="12"/>
  <c r="F86" i="12"/>
  <c r="F137" i="12"/>
  <c r="F14" i="12"/>
  <c r="F10" i="12"/>
  <c r="M55" i="12"/>
  <c r="F131" i="12"/>
  <c r="M87" i="12"/>
  <c r="F55" i="12"/>
  <c r="J6" i="30"/>
  <c r="L6" i="30" s="1"/>
  <c r="N6" i="30" s="1"/>
  <c r="Z6" i="30" s="1"/>
  <c r="Z107" i="12"/>
  <c r="M112" i="30"/>
  <c r="F127" i="30"/>
  <c r="F115" i="30"/>
  <c r="F46" i="30"/>
  <c r="M136" i="30"/>
  <c r="F126" i="30"/>
  <c r="F92" i="30"/>
  <c r="F114" i="30"/>
  <c r="F71" i="30"/>
  <c r="M22" i="30"/>
  <c r="M38" i="30"/>
  <c r="M54" i="30"/>
  <c r="F39" i="30"/>
  <c r="M87" i="30"/>
  <c r="M135" i="30"/>
  <c r="M123" i="30"/>
  <c r="M74" i="30"/>
  <c r="M110" i="30"/>
  <c r="F112" i="30"/>
  <c r="F58" i="30"/>
  <c r="F122" i="30"/>
  <c r="F136" i="30"/>
  <c r="M34" i="30"/>
  <c r="M67" i="30"/>
  <c r="M98" i="30"/>
  <c r="F120" i="30"/>
  <c r="M63" i="30"/>
  <c r="M131" i="30"/>
  <c r="F86" i="30"/>
  <c r="M18" i="30"/>
  <c r="M26" i="30"/>
  <c r="M7" i="30"/>
  <c r="F24" i="30"/>
  <c r="M19" i="30"/>
  <c r="F132" i="30"/>
  <c r="F62" i="30"/>
  <c r="F34" i="30"/>
  <c r="M47" i="30"/>
  <c r="F98" i="30"/>
  <c r="F22" i="30"/>
  <c r="F38" i="30"/>
  <c r="M20" i="30"/>
  <c r="M27" i="30"/>
  <c r="F63" i="30"/>
  <c r="F54" i="30"/>
  <c r="F123" i="30"/>
  <c r="F18" i="30"/>
  <c r="M31" i="30"/>
  <c r="F74" i="30"/>
  <c r="M56" i="30"/>
  <c r="F110" i="30"/>
  <c r="F7" i="30"/>
  <c r="M10" i="30"/>
  <c r="M104" i="30"/>
  <c r="M55" i="30"/>
  <c r="F19" i="30"/>
  <c r="M8" i="30"/>
  <c r="M118" i="30"/>
  <c r="F47" i="30"/>
  <c r="F20" i="30"/>
  <c r="F27" i="30"/>
  <c r="M82" i="30"/>
  <c r="F31" i="30"/>
  <c r="M14" i="30"/>
  <c r="F124" i="30"/>
  <c r="F104" i="30"/>
  <c r="N107" i="30"/>
  <c r="Z107" i="30" s="1"/>
  <c r="M75" i="30"/>
  <c r="F116" i="30"/>
  <c r="M15" i="30"/>
  <c r="M108" i="30"/>
  <c r="M12" i="30"/>
  <c r="M88" i="30"/>
  <c r="M111" i="30"/>
  <c r="F82" i="30"/>
  <c r="M40" i="30"/>
  <c r="M91" i="30"/>
  <c r="M76" i="30"/>
  <c r="M96" i="30"/>
  <c r="F56" i="30"/>
  <c r="M119" i="30"/>
  <c r="M23" i="30"/>
  <c r="F118" i="30"/>
  <c r="M66" i="30"/>
  <c r="F108" i="30"/>
  <c r="M100" i="30"/>
  <c r="M137" i="30"/>
  <c r="M128" i="30"/>
  <c r="M30" i="30"/>
  <c r="M58" i="30"/>
  <c r="M70" i="30"/>
  <c r="M46" i="30"/>
  <c r="M126" i="30"/>
  <c r="M92" i="30"/>
  <c r="M114" i="30"/>
  <c r="M71" i="30"/>
  <c r="M130" i="30"/>
  <c r="F100" i="30"/>
  <c r="F88" i="30"/>
  <c r="F111" i="30"/>
  <c r="M39" i="30"/>
  <c r="F40" i="30"/>
  <c r="F91" i="30"/>
  <c r="F76" i="30"/>
  <c r="F30" i="30"/>
  <c r="F96" i="30"/>
  <c r="BL120" i="27"/>
  <c r="BQ52" i="27"/>
  <c r="H50" i="12" s="1"/>
  <c r="BQ63" i="27"/>
  <c r="H61" i="12" s="1"/>
  <c r="BQ95" i="27"/>
  <c r="H93" i="12" s="1"/>
  <c r="BL72" i="27"/>
  <c r="BP72" i="27" s="1"/>
  <c r="BN43" i="27"/>
  <c r="BO43" i="27"/>
  <c r="BL84" i="27"/>
  <c r="BP84" i="27" s="1"/>
  <c r="BL105" i="27"/>
  <c r="BP105" i="27" s="1"/>
  <c r="BL29" i="27"/>
  <c r="BP29" i="27" s="1"/>
  <c r="BL42" i="27"/>
  <c r="BO13" i="27"/>
  <c r="BN13" i="27"/>
  <c r="BL64" i="27"/>
  <c r="BO30" i="27"/>
  <c r="BN30" i="27"/>
  <c r="BO136" i="27"/>
  <c r="BN136" i="27"/>
  <c r="BL57" i="27"/>
  <c r="BL138" i="27"/>
  <c r="BL28" i="27"/>
  <c r="BP28" i="27" s="1"/>
  <c r="BL76" i="27"/>
  <c r="BP76" i="27" s="1"/>
  <c r="BL68" i="27"/>
  <c r="BL129" i="27"/>
  <c r="BL102" i="27"/>
  <c r="BL90" i="27"/>
  <c r="BP90" i="27" s="1"/>
  <c r="BL106" i="27"/>
  <c r="BN75" i="27"/>
  <c r="BO75" i="27"/>
  <c r="BN23" i="27"/>
  <c r="BO23" i="27"/>
  <c r="BL78" i="27"/>
  <c r="BP78" i="27" s="1"/>
  <c r="BN39" i="27"/>
  <c r="BO39" i="27"/>
  <c r="BO119" i="27"/>
  <c r="BN119" i="27"/>
  <c r="BL89" i="27"/>
  <c r="BP89" i="27" s="1"/>
  <c r="BL128" i="27"/>
  <c r="BL65" i="27"/>
  <c r="BL125" i="27"/>
  <c r="BO82" i="27"/>
  <c r="BN82" i="27"/>
  <c r="BL112" i="27"/>
  <c r="BO80" i="27"/>
  <c r="BN80" i="27"/>
  <c r="BO123" i="27"/>
  <c r="BN123" i="27"/>
  <c r="BL66" i="27"/>
  <c r="BP66" i="27" s="1"/>
  <c r="BN18" i="27"/>
  <c r="BO18" i="27"/>
  <c r="BN87" i="27"/>
  <c r="BO87" i="27"/>
  <c r="BL40" i="27"/>
  <c r="BQ55" i="27"/>
  <c r="H53" i="12" s="1"/>
  <c r="BN31" i="27"/>
  <c r="BO31" i="27"/>
  <c r="BN103" i="27"/>
  <c r="BO103" i="27"/>
  <c r="BL48" i="27"/>
  <c r="BL132" i="27"/>
  <c r="BP132" i="27" s="1"/>
  <c r="BL114" i="27"/>
  <c r="BP114" i="27" s="1"/>
  <c r="BN92" i="27"/>
  <c r="BO92" i="27"/>
  <c r="BL110" i="27"/>
  <c r="BL58" i="27"/>
  <c r="BP58" i="27" s="1"/>
  <c r="BL12" i="27"/>
  <c r="BP12" i="27" s="1"/>
  <c r="BL116" i="27"/>
  <c r="BN83" i="27"/>
  <c r="BO83" i="27"/>
  <c r="BO107" i="27"/>
  <c r="BN107" i="27"/>
  <c r="BQ135" i="27"/>
  <c r="H133" i="12" s="1"/>
  <c r="BN108" i="27"/>
  <c r="BO108" i="27"/>
  <c r="BN79" i="27"/>
  <c r="BO79" i="27"/>
  <c r="BN71" i="27"/>
  <c r="BO71" i="27"/>
  <c r="BQ11" i="27"/>
  <c r="H9" i="12" s="1"/>
  <c r="BL21" i="27"/>
  <c r="BP21" i="27" s="1"/>
  <c r="BO127" i="27"/>
  <c r="BN127" i="27"/>
  <c r="BL16" i="27"/>
  <c r="BN53" i="27"/>
  <c r="BO53" i="27"/>
  <c r="BL137" i="27"/>
  <c r="BL14" i="27"/>
  <c r="BP14" i="27" s="1"/>
  <c r="BL94" i="27"/>
  <c r="BL69" i="27"/>
  <c r="BL77" i="27"/>
  <c r="BP77" i="27" s="1"/>
  <c r="BL124" i="27"/>
  <c r="BP124" i="27" s="1"/>
  <c r="BN97" i="27"/>
  <c r="BO97" i="27"/>
  <c r="BL20" i="27"/>
  <c r="BO50" i="27"/>
  <c r="BN50" i="27"/>
  <c r="BO15" i="27"/>
  <c r="BN15" i="27"/>
  <c r="BL26" i="27"/>
  <c r="BL10" i="27"/>
  <c r="BP10" i="27" s="1"/>
  <c r="BL118" i="27"/>
  <c r="BL17" i="27"/>
  <c r="BL100" i="27"/>
  <c r="BL98" i="27"/>
  <c r="BP98" i="27" s="1"/>
  <c r="BL24" i="27"/>
  <c r="BP24" i="27" s="1"/>
  <c r="BL133" i="27"/>
  <c r="BL49" i="27"/>
  <c r="BP49" i="27" s="1"/>
  <c r="BL56" i="27"/>
  <c r="BO109" i="27"/>
  <c r="BN109" i="27"/>
  <c r="BN27" i="27"/>
  <c r="BO27" i="27"/>
  <c r="BJ140" i="27"/>
  <c r="BH140" i="27" s="1"/>
  <c r="F138" i="12" s="1"/>
  <c r="BL121" i="27"/>
  <c r="BP121" i="27" s="1"/>
  <c r="BO19" i="27"/>
  <c r="BN19" i="27"/>
  <c r="BL122" i="27"/>
  <c r="BL32" i="27"/>
  <c r="BL134" i="27"/>
  <c r="BL36" i="27"/>
  <c r="BL113" i="27"/>
  <c r="BN91" i="27"/>
  <c r="BO91" i="27"/>
  <c r="BO62" i="27"/>
  <c r="BN62" i="27"/>
  <c r="BO37" i="27"/>
  <c r="BN37" i="27"/>
  <c r="BL33" i="27"/>
  <c r="BP33" i="27" s="1"/>
  <c r="BL41" i="27"/>
  <c r="BO34" i="27"/>
  <c r="BN34" i="27"/>
  <c r="BO38" i="27"/>
  <c r="BN38" i="27"/>
  <c r="BL88" i="27"/>
  <c r="BP88" i="27" s="1"/>
  <c r="BN47" i="27"/>
  <c r="BO47" i="27"/>
  <c r="BO86" i="27"/>
  <c r="BN86" i="27"/>
  <c r="BL139" i="27"/>
  <c r="BP139" i="27" s="1"/>
  <c r="BL22" i="27"/>
  <c r="BP22" i="27" s="1"/>
  <c r="BL130" i="27"/>
  <c r="BP130" i="27" s="1"/>
  <c r="BL126" i="27"/>
  <c r="BP126" i="27" s="1"/>
  <c r="BL25" i="27"/>
  <c r="BN46" i="27"/>
  <c r="BO46" i="27"/>
  <c r="BL93" i="27"/>
  <c r="BP93" i="27" s="1"/>
  <c r="BL60" i="27"/>
  <c r="BL117" i="27"/>
  <c r="BP117" i="27" s="1"/>
  <c r="BN85" i="27"/>
  <c r="BO85" i="27"/>
  <c r="BO35" i="27"/>
  <c r="BN35" i="27"/>
  <c r="BQ131" i="27"/>
  <c r="H129" i="12" s="1"/>
  <c r="BQ104" i="27"/>
  <c r="H102" i="12" s="1"/>
  <c r="BO51" i="27"/>
  <c r="BN51" i="27"/>
  <c r="BL73" i="27"/>
  <c r="BL9" i="27"/>
  <c r="BP9" i="27" s="1"/>
  <c r="BO7" i="27"/>
  <c r="BN7" i="27"/>
  <c r="F4" i="12"/>
  <c r="BL6" i="27"/>
  <c r="BP6" i="27" s="1"/>
  <c r="J97" i="12" l="1"/>
  <c r="L97" i="12" s="1"/>
  <c r="N97" i="12" s="1"/>
  <c r="Z97" i="12" s="1"/>
  <c r="M138" i="12"/>
  <c r="H93" i="30"/>
  <c r="H61" i="30"/>
  <c r="H129" i="30"/>
  <c r="BN120" i="27"/>
  <c r="BP120" i="27"/>
  <c r="H102" i="30"/>
  <c r="H50" i="30"/>
  <c r="H133" i="30"/>
  <c r="H9" i="30"/>
  <c r="H53" i="30"/>
  <c r="M138" i="30"/>
  <c r="F138" i="30"/>
  <c r="BO120" i="27"/>
  <c r="U4" i="12"/>
  <c r="W4" i="12" s="1"/>
  <c r="BQ27" i="27"/>
  <c r="H25" i="12" s="1"/>
  <c r="BQ19" i="27"/>
  <c r="H17" i="12" s="1"/>
  <c r="BQ15" i="27"/>
  <c r="H13" i="12" s="1"/>
  <c r="BQ127" i="27"/>
  <c r="H125" i="12" s="1"/>
  <c r="BQ107" i="27"/>
  <c r="H105" i="12" s="1"/>
  <c r="BQ71" i="27"/>
  <c r="H69" i="12" s="1"/>
  <c r="BQ108" i="27"/>
  <c r="H106" i="12" s="1"/>
  <c r="BQ87" i="27"/>
  <c r="H85" i="12" s="1"/>
  <c r="BQ39" i="27"/>
  <c r="H37" i="12" s="1"/>
  <c r="BQ23" i="27"/>
  <c r="H21" i="12" s="1"/>
  <c r="BQ79" i="27"/>
  <c r="H77" i="12" s="1"/>
  <c r="BQ18" i="27"/>
  <c r="H16" i="12" s="1"/>
  <c r="BQ75" i="27"/>
  <c r="H73" i="12" s="1"/>
  <c r="F4" i="30"/>
  <c r="M4" i="30"/>
  <c r="M4" i="12"/>
  <c r="BQ50" i="27"/>
  <c r="H48" i="12" s="1"/>
  <c r="BQ86" i="27"/>
  <c r="H84" i="12" s="1"/>
  <c r="BQ91" i="27"/>
  <c r="H89" i="12" s="1"/>
  <c r="BQ51" i="27"/>
  <c r="H49" i="12" s="1"/>
  <c r="BQ35" i="27"/>
  <c r="H33" i="12" s="1"/>
  <c r="BO117" i="27"/>
  <c r="BN117" i="27"/>
  <c r="BO93" i="27"/>
  <c r="BN93" i="27"/>
  <c r="BO25" i="27"/>
  <c r="BN25" i="27"/>
  <c r="BO130" i="27"/>
  <c r="BN130" i="27"/>
  <c r="BN139" i="27"/>
  <c r="BO139" i="27"/>
  <c r="BO134" i="27"/>
  <c r="BN134" i="27"/>
  <c r="BN122" i="27"/>
  <c r="BO122" i="27"/>
  <c r="BO121" i="27"/>
  <c r="BN121" i="27"/>
  <c r="BQ53" i="27"/>
  <c r="H51" i="12" s="1"/>
  <c r="BQ83" i="27"/>
  <c r="H81" i="12" s="1"/>
  <c r="BQ92" i="27"/>
  <c r="H90" i="12" s="1"/>
  <c r="BQ103" i="27"/>
  <c r="H101" i="12" s="1"/>
  <c r="BO40" i="27"/>
  <c r="BN40" i="27"/>
  <c r="BQ123" i="27"/>
  <c r="H121" i="12" s="1"/>
  <c r="BN112" i="27"/>
  <c r="BO112" i="27"/>
  <c r="BN125" i="27"/>
  <c r="BO125" i="27"/>
  <c r="BO128" i="27"/>
  <c r="BN128" i="27"/>
  <c r="BQ119" i="27"/>
  <c r="H117" i="12" s="1"/>
  <c r="BO78" i="27"/>
  <c r="BN78" i="27"/>
  <c r="BN90" i="27"/>
  <c r="BO90" i="27"/>
  <c r="BO129" i="27"/>
  <c r="BN129" i="27"/>
  <c r="BN76" i="27"/>
  <c r="BO76" i="27"/>
  <c r="BO138" i="27"/>
  <c r="BN138" i="27"/>
  <c r="BQ136" i="27"/>
  <c r="H134" i="12" s="1"/>
  <c r="BO64" i="27"/>
  <c r="BN64" i="27"/>
  <c r="BO42" i="27"/>
  <c r="BN42" i="27"/>
  <c r="BO105" i="27"/>
  <c r="BN105" i="27"/>
  <c r="BQ47" i="27"/>
  <c r="H45" i="12" s="1"/>
  <c r="BQ38" i="27"/>
  <c r="H36" i="12" s="1"/>
  <c r="BO41" i="27"/>
  <c r="BN41" i="27"/>
  <c r="BQ37" i="27"/>
  <c r="H35" i="12" s="1"/>
  <c r="BN36" i="27"/>
  <c r="BO36" i="27"/>
  <c r="BO49" i="27"/>
  <c r="BN49" i="27"/>
  <c r="BN24" i="27"/>
  <c r="BO24" i="27"/>
  <c r="BN100" i="27"/>
  <c r="BO100" i="27"/>
  <c r="BO118" i="27"/>
  <c r="BN118" i="27"/>
  <c r="BN26" i="27"/>
  <c r="BO26" i="27"/>
  <c r="BN77" i="27"/>
  <c r="BO77" i="27"/>
  <c r="BN94" i="27"/>
  <c r="BO94" i="27"/>
  <c r="BN137" i="27"/>
  <c r="BO137" i="27"/>
  <c r="BO16" i="27"/>
  <c r="BN16" i="27"/>
  <c r="BN116" i="27"/>
  <c r="BO116" i="27"/>
  <c r="BN12" i="27"/>
  <c r="BO12" i="27"/>
  <c r="BN110" i="27"/>
  <c r="BO110" i="27"/>
  <c r="BN114" i="27"/>
  <c r="BO114" i="27"/>
  <c r="BO48" i="27"/>
  <c r="BN48" i="27"/>
  <c r="BQ43" i="27"/>
  <c r="H41" i="12" s="1"/>
  <c r="BQ7" i="27"/>
  <c r="H5" i="12" s="1"/>
  <c r="BO73" i="27"/>
  <c r="BN73" i="27"/>
  <c r="BO60" i="27"/>
  <c r="BN60" i="27"/>
  <c r="BN126" i="27"/>
  <c r="BO126" i="27"/>
  <c r="BO22" i="27"/>
  <c r="BN22" i="27"/>
  <c r="BO32" i="27"/>
  <c r="BN32" i="27"/>
  <c r="BL140" i="27"/>
  <c r="BP140" i="27" s="1"/>
  <c r="BQ97" i="27"/>
  <c r="H95" i="12" s="1"/>
  <c r="BQ31" i="27"/>
  <c r="H29" i="12" s="1"/>
  <c r="BO66" i="27"/>
  <c r="BN66" i="27"/>
  <c r="BQ80" i="27"/>
  <c r="H78" i="12" s="1"/>
  <c r="BQ82" i="27"/>
  <c r="H80" i="12" s="1"/>
  <c r="BO65" i="27"/>
  <c r="BN65" i="27"/>
  <c r="BN89" i="27"/>
  <c r="BO89" i="27"/>
  <c r="BN106" i="27"/>
  <c r="BO106" i="27"/>
  <c r="BO102" i="27"/>
  <c r="BN102" i="27"/>
  <c r="BN68" i="27"/>
  <c r="BO68" i="27"/>
  <c r="BN28" i="27"/>
  <c r="BO28" i="27"/>
  <c r="BN57" i="27"/>
  <c r="BO57" i="27"/>
  <c r="BQ30" i="27"/>
  <c r="H28" i="12" s="1"/>
  <c r="BQ13" i="27"/>
  <c r="H11" i="12" s="1"/>
  <c r="BN29" i="27"/>
  <c r="BO29" i="27"/>
  <c r="BO84" i="27"/>
  <c r="BN84" i="27"/>
  <c r="BO72" i="27"/>
  <c r="BN72" i="27"/>
  <c r="BQ85" i="27"/>
  <c r="H83" i="12" s="1"/>
  <c r="BQ46" i="27"/>
  <c r="H44" i="12" s="1"/>
  <c r="BN88" i="27"/>
  <c r="BO88" i="27"/>
  <c r="BQ34" i="27"/>
  <c r="H32" i="12" s="1"/>
  <c r="BO33" i="27"/>
  <c r="BN33" i="27"/>
  <c r="BQ62" i="27"/>
  <c r="H60" i="12" s="1"/>
  <c r="BO113" i="27"/>
  <c r="BN113" i="27"/>
  <c r="BN56" i="27"/>
  <c r="BO56" i="27"/>
  <c r="BN133" i="27"/>
  <c r="BO133" i="27"/>
  <c r="BN98" i="27"/>
  <c r="BO98" i="27"/>
  <c r="BO17" i="27"/>
  <c r="BN17" i="27"/>
  <c r="BO10" i="27"/>
  <c r="BN10" i="27"/>
  <c r="BN20" i="27"/>
  <c r="BO20" i="27"/>
  <c r="BN124" i="27"/>
  <c r="BO124" i="27"/>
  <c r="BN69" i="27"/>
  <c r="BO69" i="27"/>
  <c r="BN14" i="27"/>
  <c r="BO14" i="27"/>
  <c r="BN21" i="27"/>
  <c r="BO21" i="27"/>
  <c r="BO58" i="27"/>
  <c r="BN58" i="27"/>
  <c r="BN132" i="27"/>
  <c r="BO132" i="27"/>
  <c r="BN9" i="27"/>
  <c r="BO9" i="27"/>
  <c r="BN6" i="27"/>
  <c r="BO6" i="27"/>
  <c r="BQ120" i="27" l="1"/>
  <c r="H118" i="12" s="1"/>
  <c r="H101" i="30"/>
  <c r="H21" i="30"/>
  <c r="H17" i="30"/>
  <c r="H85" i="30"/>
  <c r="H78" i="30"/>
  <c r="H90" i="30"/>
  <c r="H48" i="30"/>
  <c r="H29" i="30"/>
  <c r="H36" i="30"/>
  <c r="H134" i="30"/>
  <c r="H81" i="30"/>
  <c r="H106" i="30"/>
  <c r="H28" i="30"/>
  <c r="H5" i="30"/>
  <c r="H35" i="30"/>
  <c r="H84" i="30"/>
  <c r="H25" i="30"/>
  <c r="H32" i="30"/>
  <c r="H95" i="30"/>
  <c r="H45" i="30"/>
  <c r="H51" i="30"/>
  <c r="H69" i="30"/>
  <c r="H83" i="30"/>
  <c r="H60" i="30"/>
  <c r="H41" i="30"/>
  <c r="H37" i="30"/>
  <c r="H121" i="30"/>
  <c r="H33" i="30"/>
  <c r="H73" i="30"/>
  <c r="H105" i="30"/>
  <c r="H117" i="30"/>
  <c r="H49" i="30"/>
  <c r="H16" i="30"/>
  <c r="H125" i="30"/>
  <c r="H44" i="30"/>
  <c r="H11" i="30"/>
  <c r="H80" i="30"/>
  <c r="H89" i="30"/>
  <c r="H77" i="30"/>
  <c r="H13" i="30"/>
  <c r="Y4" i="12"/>
  <c r="W4" i="30"/>
  <c r="Y4" i="30" s="1"/>
  <c r="W4" i="31"/>
  <c r="Y4" i="31" s="1"/>
  <c r="BQ10" i="27"/>
  <c r="H8" i="12" s="1"/>
  <c r="BQ65" i="27"/>
  <c r="H63" i="12" s="1"/>
  <c r="BQ66" i="27"/>
  <c r="H64" i="12" s="1"/>
  <c r="BQ24" i="27"/>
  <c r="H22" i="12" s="1"/>
  <c r="BQ36" i="27"/>
  <c r="H34" i="12" s="1"/>
  <c r="BQ42" i="27"/>
  <c r="H40" i="12" s="1"/>
  <c r="BQ17" i="27"/>
  <c r="H15" i="12" s="1"/>
  <c r="BQ113" i="27"/>
  <c r="H111" i="12" s="1"/>
  <c r="BQ48" i="27"/>
  <c r="H46" i="12" s="1"/>
  <c r="BQ16" i="27"/>
  <c r="H14" i="12" s="1"/>
  <c r="BQ49" i="27"/>
  <c r="H47" i="12" s="1"/>
  <c r="BQ112" i="27"/>
  <c r="H110" i="12" s="1"/>
  <c r="BQ25" i="27"/>
  <c r="H23" i="12" s="1"/>
  <c r="BQ117" i="27"/>
  <c r="H115" i="12" s="1"/>
  <c r="BQ137" i="27"/>
  <c r="H135" i="12" s="1"/>
  <c r="BQ118" i="27"/>
  <c r="H116" i="12" s="1"/>
  <c r="BQ121" i="27"/>
  <c r="H119" i="12" s="1"/>
  <c r="BQ134" i="27"/>
  <c r="H132" i="12" s="1"/>
  <c r="BQ58" i="27"/>
  <c r="H56" i="12" s="1"/>
  <c r="BQ21" i="27"/>
  <c r="H19" i="12" s="1"/>
  <c r="BQ57" i="27"/>
  <c r="H55" i="12" s="1"/>
  <c r="BQ78" i="27"/>
  <c r="H76" i="12" s="1"/>
  <c r="BQ124" i="27"/>
  <c r="H122" i="12" s="1"/>
  <c r="BQ102" i="27"/>
  <c r="H100" i="12" s="1"/>
  <c r="BQ126" i="27"/>
  <c r="H124" i="12" s="1"/>
  <c r="BQ122" i="27"/>
  <c r="H120" i="12" s="1"/>
  <c r="BQ130" i="27"/>
  <c r="H128" i="12" s="1"/>
  <c r="BQ93" i="27"/>
  <c r="H91" i="12" s="1"/>
  <c r="BQ22" i="27"/>
  <c r="H20" i="12" s="1"/>
  <c r="BQ60" i="27"/>
  <c r="H58" i="12" s="1"/>
  <c r="BQ73" i="27"/>
  <c r="H71" i="12" s="1"/>
  <c r="BQ110" i="27"/>
  <c r="H108" i="12" s="1"/>
  <c r="BQ116" i="27"/>
  <c r="H114" i="12" s="1"/>
  <c r="BQ77" i="27"/>
  <c r="H75" i="12" s="1"/>
  <c r="BQ69" i="27"/>
  <c r="H67" i="12" s="1"/>
  <c r="BQ133" i="27"/>
  <c r="H131" i="12" s="1"/>
  <c r="BQ33" i="27"/>
  <c r="H31" i="12" s="1"/>
  <c r="BQ88" i="27"/>
  <c r="H86" i="12" s="1"/>
  <c r="BQ72" i="27"/>
  <c r="H70" i="12" s="1"/>
  <c r="BQ68" i="27"/>
  <c r="H66" i="12" s="1"/>
  <c r="BQ106" i="27"/>
  <c r="H104" i="12" s="1"/>
  <c r="BQ89" i="27"/>
  <c r="H87" i="12" s="1"/>
  <c r="BN140" i="27"/>
  <c r="BO140" i="27"/>
  <c r="BQ139" i="27"/>
  <c r="H137" i="12" s="1"/>
  <c r="BQ32" i="27"/>
  <c r="H30" i="12" s="1"/>
  <c r="BQ114" i="27"/>
  <c r="H112" i="12" s="1"/>
  <c r="BQ12" i="27"/>
  <c r="H10" i="12" s="1"/>
  <c r="BQ94" i="27"/>
  <c r="H92" i="12" s="1"/>
  <c r="BQ26" i="27"/>
  <c r="H24" i="12" s="1"/>
  <c r="BQ100" i="27"/>
  <c r="H98" i="12" s="1"/>
  <c r="BQ41" i="27"/>
  <c r="H39" i="12" s="1"/>
  <c r="BQ76" i="27"/>
  <c r="H74" i="12" s="1"/>
  <c r="BQ90" i="27"/>
  <c r="H88" i="12" s="1"/>
  <c r="BQ125" i="27"/>
  <c r="H123" i="12" s="1"/>
  <c r="BQ40" i="27"/>
  <c r="H38" i="12" s="1"/>
  <c r="BQ132" i="27"/>
  <c r="H130" i="12" s="1"/>
  <c r="BQ14" i="27"/>
  <c r="H12" i="12" s="1"/>
  <c r="BQ20" i="27"/>
  <c r="H18" i="12" s="1"/>
  <c r="BQ98" i="27"/>
  <c r="H96" i="12" s="1"/>
  <c r="BQ56" i="27"/>
  <c r="H54" i="12" s="1"/>
  <c r="BQ84" i="27"/>
  <c r="H82" i="12" s="1"/>
  <c r="BQ29" i="27"/>
  <c r="H27" i="12" s="1"/>
  <c r="BQ28" i="27"/>
  <c r="H26" i="12" s="1"/>
  <c r="BQ105" i="27"/>
  <c r="H103" i="12" s="1"/>
  <c r="BQ64" i="27"/>
  <c r="H62" i="12" s="1"/>
  <c r="BQ138" i="27"/>
  <c r="H136" i="12" s="1"/>
  <c r="BQ129" i="27"/>
  <c r="H127" i="12" s="1"/>
  <c r="BQ128" i="27"/>
  <c r="H126" i="12" s="1"/>
  <c r="BQ9" i="27"/>
  <c r="H7" i="12" s="1"/>
  <c r="BQ6" i="27"/>
  <c r="H118" i="30" l="1"/>
  <c r="H136" i="30"/>
  <c r="H98" i="30"/>
  <c r="H67" i="30"/>
  <c r="H56" i="30"/>
  <c r="H64" i="30"/>
  <c r="H62" i="30"/>
  <c r="H12" i="30"/>
  <c r="H24" i="30"/>
  <c r="H87" i="30"/>
  <c r="H75" i="30"/>
  <c r="H120" i="30"/>
  <c r="H132" i="30"/>
  <c r="H14" i="30"/>
  <c r="H63" i="30"/>
  <c r="H18" i="30"/>
  <c r="H128" i="30"/>
  <c r="H47" i="30"/>
  <c r="H103" i="30"/>
  <c r="H130" i="30"/>
  <c r="H92" i="30"/>
  <c r="H104" i="30"/>
  <c r="H114" i="30"/>
  <c r="H124" i="30"/>
  <c r="H119" i="30"/>
  <c r="H46" i="30"/>
  <c r="H8" i="30"/>
  <c r="H26" i="30"/>
  <c r="H10" i="30"/>
  <c r="H100" i="30"/>
  <c r="H4" i="12"/>
  <c r="H4" i="30"/>
  <c r="H27" i="30"/>
  <c r="H123" i="30"/>
  <c r="H112" i="30"/>
  <c r="H70" i="30"/>
  <c r="H71" i="30"/>
  <c r="H122" i="30"/>
  <c r="H135" i="30"/>
  <c r="H15" i="30"/>
  <c r="H66" i="30"/>
  <c r="H111" i="30"/>
  <c r="H7" i="30"/>
  <c r="H30" i="30"/>
  <c r="H76" i="30"/>
  <c r="H126" i="30"/>
  <c r="H74" i="30"/>
  <c r="H137" i="30"/>
  <c r="H31" i="30"/>
  <c r="H20" i="30"/>
  <c r="H55" i="30"/>
  <c r="H23" i="30"/>
  <c r="H34" i="30"/>
  <c r="H38" i="30"/>
  <c r="H108" i="30"/>
  <c r="H116" i="30"/>
  <c r="H82" i="30"/>
  <c r="H88" i="30"/>
  <c r="H86" i="30"/>
  <c r="H58" i="30"/>
  <c r="H115" i="30"/>
  <c r="H40" i="30"/>
  <c r="H54" i="30"/>
  <c r="H127" i="30"/>
  <c r="H96" i="30"/>
  <c r="H39" i="30"/>
  <c r="H131" i="30"/>
  <c r="H91" i="30"/>
  <c r="H19" i="30"/>
  <c r="H110" i="30"/>
  <c r="H22" i="30"/>
  <c r="BQ140" i="27"/>
  <c r="H138" i="12" s="1"/>
  <c r="H138" i="30" l="1"/>
  <c r="AM124" i="27" a="1"/>
  <c r="AM124" i="27" s="1"/>
  <c r="AJ124" i="27" a="1"/>
  <c r="AJ124" i="27" s="1"/>
  <c r="AK31" i="27" l="1" a="1"/>
  <c r="AK31" i="27" s="1"/>
  <c r="AR130" i="27" a="1"/>
  <c r="AR130" i="27" s="1"/>
  <c r="AN37" i="27" a="1"/>
  <c r="AN37" i="27" s="1"/>
  <c r="AR14" i="27" a="1"/>
  <c r="AR14" i="27" s="1"/>
  <c r="AM14" i="27" a="1"/>
  <c r="AM14" i="27" s="1"/>
  <c r="AK23" i="27" a="1"/>
  <c r="AK23" i="27" s="1"/>
  <c r="AK128" i="27" a="1"/>
  <c r="AK128" i="27" s="1"/>
  <c r="AQ134" i="27" a="1"/>
  <c r="AQ134" i="27" s="1"/>
  <c r="AJ55" i="27" a="1"/>
  <c r="AJ55" i="27" s="1"/>
  <c r="AS124" i="27" a="1"/>
  <c r="AS124" i="27" s="1"/>
  <c r="AK124" i="27" a="1"/>
  <c r="AK124" i="27" s="1"/>
  <c r="AL134" i="27" a="1"/>
  <c r="AL134" i="27" s="1"/>
  <c r="AM79" i="27" a="1"/>
  <c r="AM79" i="27" s="1"/>
  <c r="AJ79" i="27" a="1"/>
  <c r="AJ79" i="27" s="1"/>
  <c r="AK89" i="27" a="1"/>
  <c r="AK89" i="27" s="1"/>
  <c r="AN90" i="27" a="1"/>
  <c r="AN90" i="27" s="1"/>
  <c r="AK84" i="27" a="1"/>
  <c r="AK84" i="27" s="1"/>
  <c r="AK90" i="27" a="1"/>
  <c r="AK90" i="27" s="1"/>
  <c r="AS7" i="27" a="1"/>
  <c r="AS7" i="27" s="1"/>
  <c r="AP130" i="27" a="1"/>
  <c r="AP130" i="27" s="1"/>
  <c r="AM98" i="27" a="1"/>
  <c r="AM98" i="27" s="1"/>
  <c r="AL14" i="27" a="1"/>
  <c r="AL14" i="27" s="1"/>
  <c r="AN14" i="27" a="1"/>
  <c r="AN14" i="27" s="1"/>
  <c r="AK14" i="27" a="1"/>
  <c r="AK14" i="27" s="1"/>
  <c r="AP89" i="27" a="1"/>
  <c r="AP89" i="27" s="1"/>
  <c r="AK25" i="27" a="1"/>
  <c r="AK25" i="27" s="1"/>
  <c r="AQ110" i="27" a="1"/>
  <c r="AQ110" i="27" s="1"/>
  <c r="AJ63" i="27" a="1"/>
  <c r="AJ63" i="27" s="1"/>
  <c r="AS52" i="27" a="1"/>
  <c r="AS52" i="27" s="1"/>
  <c r="AL95" i="27" a="1"/>
  <c r="AL95" i="27" s="1"/>
  <c r="AK82" i="27" a="1"/>
  <c r="AK82" i="27" s="1"/>
  <c r="AQ124" i="27" a="1"/>
  <c r="AQ124" i="27" s="1"/>
  <c r="AR124" i="27" a="1"/>
  <c r="AR124" i="27" s="1"/>
  <c r="AK63" i="27" a="1"/>
  <c r="AK63" i="27" s="1"/>
  <c r="AP124" i="27" a="1"/>
  <c r="AP124" i="27" s="1"/>
  <c r="AS97" i="27" a="1"/>
  <c r="AS97" i="27" s="1"/>
  <c r="AJ80" i="27" a="1"/>
  <c r="AJ80" i="27" s="1"/>
  <c r="AN95" i="27" a="1"/>
  <c r="AN95" i="27" s="1"/>
  <c r="AR80" i="27" a="1"/>
  <c r="AR80" i="27" s="1"/>
  <c r="AR95" i="27" a="1"/>
  <c r="AR95" i="27" s="1"/>
  <c r="AP95" i="27" a="1"/>
  <c r="AP95" i="27" s="1"/>
  <c r="AN55" i="27" a="1"/>
  <c r="AN55" i="27" s="1"/>
  <c r="AR63" i="27" a="1"/>
  <c r="AR63" i="27" s="1"/>
  <c r="AQ55" i="27" a="1"/>
  <c r="AQ55" i="27" s="1"/>
  <c r="AQ80" i="27" a="1"/>
  <c r="AQ80" i="27" s="1"/>
  <c r="AO95" i="27" a="1"/>
  <c r="AO95" i="27" s="1"/>
  <c r="AR82" i="27" a="1"/>
  <c r="AR82" i="27" s="1"/>
  <c r="AQ63" i="27" a="1"/>
  <c r="AQ63" i="27" s="1"/>
  <c r="AJ82" i="27" a="1"/>
  <c r="AJ82" i="27" s="1"/>
  <c r="AO52" i="27" a="1"/>
  <c r="AO52" i="27" s="1"/>
  <c r="AK55" i="27" a="1"/>
  <c r="AK55" i="27" s="1"/>
  <c r="AM80" i="27" a="1"/>
  <c r="AM80" i="27" s="1"/>
  <c r="AJ52" i="27" a="1"/>
  <c r="AJ52" i="27" s="1"/>
  <c r="AJ46" i="27" a="1"/>
  <c r="AJ46" i="27" s="1"/>
  <c r="AL52" i="27" a="1"/>
  <c r="AL52" i="27" s="1"/>
  <c r="AP63" i="27" a="1"/>
  <c r="AP63" i="27" s="1"/>
  <c r="AP82" i="27" a="1"/>
  <c r="AP82" i="27" s="1"/>
  <c r="AQ52" i="27" a="1"/>
  <c r="AQ52" i="27" s="1"/>
  <c r="AR52" i="27" a="1"/>
  <c r="AR52" i="27" s="1"/>
  <c r="AM63" i="27" l="1" a="1"/>
  <c r="AM63" i="27" s="1"/>
  <c r="AK52" i="27" a="1"/>
  <c r="AK52" i="27" s="1"/>
  <c r="AN63" i="27" a="1"/>
  <c r="AN63" i="27" s="1"/>
  <c r="AO80" i="27" a="1"/>
  <c r="AO80" i="27" s="1"/>
  <c r="AP80" i="27" a="1"/>
  <c r="AP80" i="27" s="1"/>
  <c r="AL82" i="27" a="1"/>
  <c r="AL82" i="27" s="1"/>
  <c r="AT40" i="27" a="1"/>
  <c r="AT40" i="27" s="1"/>
  <c r="AT23" i="27" a="1"/>
  <c r="AT23" i="27" s="1"/>
  <c r="AS51" i="27" a="1"/>
  <c r="AS51" i="27" s="1"/>
  <c r="AQ90" i="27" a="1"/>
  <c r="AQ90" i="27" s="1"/>
  <c r="AQ7" i="27" a="1"/>
  <c r="AQ7" i="27" s="1"/>
  <c r="AQ97" i="27" a="1"/>
  <c r="AQ97" i="27" s="1"/>
  <c r="AQ100" i="27" a="1"/>
  <c r="AQ100" i="27" s="1"/>
  <c r="AM97" i="27" a="1"/>
  <c r="AM97" i="27" s="1"/>
  <c r="AL89" i="27" a="1"/>
  <c r="AL89" i="27" s="1"/>
  <c r="AS34" i="27" a="1"/>
  <c r="AS34" i="27" s="1"/>
  <c r="AO84" i="27" a="1"/>
  <c r="AO84" i="27" s="1"/>
  <c r="AS119" i="27" a="1"/>
  <c r="AS119" i="27" s="1"/>
  <c r="AM119" i="27" a="1"/>
  <c r="AM119" i="27" s="1"/>
  <c r="AN107" i="27" a="1"/>
  <c r="AN107" i="27" s="1"/>
  <c r="AO107" i="27" a="1"/>
  <c r="AO107" i="27" s="1"/>
  <c r="AJ119" i="27" a="1"/>
  <c r="AJ119" i="27" s="1"/>
  <c r="AM107" i="27" a="1"/>
  <c r="AM107" i="27" s="1"/>
  <c r="AO79" i="27" a="1"/>
  <c r="AO79" i="27" s="1"/>
  <c r="AO7" i="27" a="1"/>
  <c r="AO7" i="27" s="1"/>
  <c r="AL79" i="27" a="1"/>
  <c r="AL79" i="27" s="1"/>
  <c r="AM110" i="27" a="1"/>
  <c r="AM110" i="27" s="1"/>
  <c r="AS130" i="27" a="1"/>
  <c r="AS130" i="27" s="1"/>
  <c r="AM82" i="27" a="1"/>
  <c r="AM82" i="27" s="1"/>
  <c r="AS82" i="27" a="1"/>
  <c r="AS82" i="27" s="1"/>
  <c r="AN82" i="27" a="1"/>
  <c r="AN82" i="27" s="1"/>
  <c r="AQ79" i="27" a="1"/>
  <c r="AQ79" i="27" s="1"/>
  <c r="AJ130" i="27" a="1"/>
  <c r="AJ130" i="27" s="1"/>
  <c r="AM23" i="27" a="1"/>
  <c r="AM23" i="27" s="1"/>
  <c r="AS90" i="27" a="1"/>
  <c r="AS90" i="27" s="1"/>
  <c r="AK86" i="27" a="1"/>
  <c r="AK86" i="27" s="1"/>
  <c r="AK137" i="27" a="1"/>
  <c r="AK137" i="27" s="1"/>
  <c r="AS79" i="27" a="1"/>
  <c r="AS79" i="27" s="1"/>
  <c r="AL110" i="27" a="1"/>
  <c r="AL110" i="27" s="1"/>
  <c r="AR7" i="27" a="1"/>
  <c r="AR7" i="27" s="1"/>
  <c r="AN124" i="27" a="1"/>
  <c r="AN124" i="27" s="1"/>
  <c r="AM7" i="27" a="1"/>
  <c r="AM7" i="27" s="1"/>
  <c r="AR66" i="27" a="1"/>
  <c r="AR66" i="27" s="1"/>
  <c r="AS25" i="27" a="1"/>
  <c r="AS25" i="27" s="1"/>
  <c r="AR83" i="27" a="1"/>
  <c r="AR83" i="27" s="1"/>
  <c r="AK123" i="27" a="1"/>
  <c r="AK123" i="27" s="1"/>
  <c r="AK39" i="27" a="1"/>
  <c r="AK39" i="27" s="1"/>
  <c r="AL125" i="27" a="1"/>
  <c r="AL125" i="27" s="1"/>
  <c r="AR110" i="27" a="1"/>
  <c r="AR110" i="27" s="1"/>
  <c r="AP128" i="27" a="1"/>
  <c r="AP128" i="27" s="1"/>
  <c r="AP134" i="27" a="1"/>
  <c r="AP134" i="27" s="1"/>
  <c r="AQ42" i="27" a="1"/>
  <c r="AQ42" i="27" s="1"/>
  <c r="AJ110" i="27" a="1"/>
  <c r="AJ110" i="27" s="1"/>
  <c r="AL16" i="27" a="1"/>
  <c r="AL16" i="27" s="1"/>
  <c r="AP24" i="27" a="1"/>
  <c r="AP24" i="27" s="1"/>
  <c r="AK103" i="27" a="1"/>
  <c r="AK103" i="27" s="1"/>
  <c r="AP100" i="27" a="1"/>
  <c r="AP100" i="27" s="1"/>
  <c r="AQ40" i="27" a="1"/>
  <c r="AQ40" i="27" s="1"/>
  <c r="AM40" i="27" a="1"/>
  <c r="AM40" i="27" s="1"/>
  <c r="AQ123" i="27" a="1"/>
  <c r="AQ123" i="27" s="1"/>
  <c r="AL98" i="27" a="1"/>
  <c r="AL98" i="27" s="1"/>
  <c r="AQ10" i="27" a="1"/>
  <c r="AQ10" i="27" s="1"/>
  <c r="AP83" i="27" a="1"/>
  <c r="AP83" i="27" s="1"/>
  <c r="AO132" i="27" a="1"/>
  <c r="AO132" i="27" s="1"/>
  <c r="AS125" i="27" a="1"/>
  <c r="AS125" i="27" s="1"/>
  <c r="AS72" i="27" a="1"/>
  <c r="AS72" i="27" s="1"/>
  <c r="AN86" i="27" a="1"/>
  <c r="AN86" i="27" s="1"/>
  <c r="AJ100" i="27" a="1"/>
  <c r="AJ100" i="27" s="1"/>
  <c r="AO128" i="27" a="1"/>
  <c r="AO128" i="27" s="1"/>
  <c r="AO42" i="27" a="1"/>
  <c r="AO42" i="27" s="1"/>
  <c r="AP79" i="27" a="1"/>
  <c r="AP79" i="27" s="1"/>
  <c r="AO35" i="27" a="1"/>
  <c r="AO35" i="27" s="1"/>
  <c r="AL130" i="27" a="1"/>
  <c r="AL130" i="27" s="1"/>
  <c r="AO34" i="27" a="1"/>
  <c r="AO34" i="27" s="1"/>
  <c r="AL124" i="27" a="1"/>
  <c r="AL124" i="27" s="1"/>
  <c r="AK130" i="27" a="1"/>
  <c r="AK130" i="27" s="1"/>
  <c r="AK110" i="27" a="1"/>
  <c r="AK110" i="27" s="1"/>
  <c r="AQ66" i="27" a="1"/>
  <c r="AQ66" i="27" s="1"/>
  <c r="AO124" i="27" a="1"/>
  <c r="AO124" i="27" s="1"/>
  <c r="AR35" i="27" a="1"/>
  <c r="AR35" i="27" s="1"/>
  <c r="AN25" i="27" a="1"/>
  <c r="AN25" i="27" s="1"/>
  <c r="AS123" i="27" a="1"/>
  <c r="AS123" i="27" s="1"/>
  <c r="AM39" i="27" a="1"/>
  <c r="AM39" i="27" s="1"/>
  <c r="AO37" i="27" a="1"/>
  <c r="AO37" i="27" s="1"/>
  <c r="AO86" i="27" a="1"/>
  <c r="AO86" i="27" s="1"/>
  <c r="AK79" i="27" a="1"/>
  <c r="AK79" i="27" s="1"/>
  <c r="AN24" i="27" a="1"/>
  <c r="AN24" i="27" s="1"/>
  <c r="AM34" i="27" a="1"/>
  <c r="AM34" i="27" s="1"/>
  <c r="AN128" i="27" a="1"/>
  <c r="AN128" i="27" s="1"/>
  <c r="AQ25" i="27" a="1"/>
  <c r="AQ25" i="27" s="1"/>
  <c r="AR24" i="27" a="1"/>
  <c r="AR24" i="27" s="1"/>
  <c r="AJ72" i="27" a="1"/>
  <c r="AJ72" i="27" s="1"/>
  <c r="AJ89" i="27" a="1"/>
  <c r="AJ89" i="27" s="1"/>
  <c r="AQ72" i="27" a="1"/>
  <c r="AQ72" i="27" s="1"/>
  <c r="AS110" i="27" a="1"/>
  <c r="AS110" i="27" s="1"/>
  <c r="AL113" i="27" a="1"/>
  <c r="AL113" i="27" s="1"/>
  <c r="AR100" i="27" a="1"/>
  <c r="AR100" i="27" s="1"/>
  <c r="AP98" i="27" a="1"/>
  <c r="AP98" i="27" s="1"/>
  <c r="AR132" i="27" a="1"/>
  <c r="AR132" i="27" s="1"/>
  <c r="AM132" i="27" a="1"/>
  <c r="AM132" i="27" s="1"/>
  <c r="AL123" i="27" a="1"/>
  <c r="AL123" i="27" s="1"/>
  <c r="AK100" i="27" a="1"/>
  <c r="AK100" i="27" s="1"/>
  <c r="AN98" i="27" a="1"/>
  <c r="AN98" i="27" s="1"/>
  <c r="AK98" i="27" a="1"/>
  <c r="AK98" i="27" s="1"/>
  <c r="AN10" i="27" a="1"/>
  <c r="AN10" i="27" s="1"/>
  <c r="AS65" i="27" a="1"/>
  <c r="AS65" i="27" s="1"/>
  <c r="AO65" i="27" a="1"/>
  <c r="AO65" i="27" s="1"/>
  <c r="AL86" i="27" a="1"/>
  <c r="AL86" i="27" s="1"/>
  <c r="AP137" i="27" a="1"/>
  <c r="AP137" i="27" s="1"/>
  <c r="AO134" i="27" a="1"/>
  <c r="AO134" i="27" s="1"/>
  <c r="AQ23" i="27" a="1"/>
  <c r="AQ23" i="27" s="1"/>
  <c r="AP14" i="27" a="1"/>
  <c r="AP14" i="27" s="1"/>
  <c r="AP103" i="27" a="1"/>
  <c r="AP103" i="27" s="1"/>
  <c r="AJ103" i="27" a="1"/>
  <c r="AJ103" i="27" s="1"/>
  <c r="AJ42" i="27" a="1"/>
  <c r="AJ42" i="27" s="1"/>
  <c r="AQ24" i="27" a="1"/>
  <c r="AQ24" i="27" s="1"/>
  <c r="AO40" i="27" a="1"/>
  <c r="AO40" i="27" s="1"/>
  <c r="AO39" i="27" a="1"/>
  <c r="AO39" i="27" s="1"/>
  <c r="AS132" i="27" a="1"/>
  <c r="AS132" i="27" s="1"/>
  <c r="AN65" i="27" a="1"/>
  <c r="AN65" i="27" s="1"/>
  <c r="AS83" i="27" a="1"/>
  <c r="AS83" i="27" s="1"/>
  <c r="AQ107" i="27" a="1"/>
  <c r="AQ107" i="27" s="1"/>
  <c r="AM86" i="27" a="1"/>
  <c r="AM86" i="27" s="1"/>
  <c r="AS134" i="27" a="1"/>
  <c r="AS134" i="27" s="1"/>
  <c r="AM130" i="27" a="1"/>
  <c r="AM130" i="27" s="1"/>
  <c r="AR72" i="27" a="1"/>
  <c r="AR72" i="27" s="1"/>
  <c r="AM128" i="27" a="1"/>
  <c r="AM128" i="27" s="1"/>
  <c r="AQ128" i="27" a="1"/>
  <c r="AQ128" i="27" s="1"/>
  <c r="AN51" i="27" a="1"/>
  <c r="AN51" i="27" s="1"/>
  <c r="AQ51" i="27" a="1"/>
  <c r="AQ51" i="27" s="1"/>
  <c r="AS89" i="27" a="1"/>
  <c r="AS89" i="27" s="1"/>
  <c r="AK16" i="27" a="1"/>
  <c r="AK16" i="27" s="1"/>
  <c r="AO90" i="27" a="1"/>
  <c r="AO90" i="27" s="1"/>
  <c r="AR89" i="27" a="1"/>
  <c r="AR89" i="27" s="1"/>
  <c r="AL132" i="27" a="1"/>
  <c r="AL132" i="27" s="1"/>
  <c r="AS39" i="27" a="1"/>
  <c r="AS39" i="27" s="1"/>
  <c r="AR65" i="27" a="1"/>
  <c r="AR65" i="27" s="1"/>
  <c r="AN84" i="27" a="1"/>
  <c r="AN84" i="27" s="1"/>
  <c r="AS37" i="27" a="1"/>
  <c r="AS37" i="27" s="1"/>
  <c r="AO123" i="27" a="1"/>
  <c r="AO123" i="27" s="1"/>
  <c r="AJ83" i="27" a="1"/>
  <c r="AJ83" i="27" s="1"/>
  <c r="AQ37" i="27" a="1"/>
  <c r="AQ37" i="27" s="1"/>
  <c r="AL119" i="27" a="1"/>
  <c r="AL119" i="27" s="1"/>
  <c r="AR34" i="27" a="1"/>
  <c r="AR34" i="27" s="1"/>
  <c r="AL37" i="27" a="1"/>
  <c r="AL37" i="27" s="1"/>
  <c r="AS86" i="27" a="1"/>
  <c r="AS86" i="27" s="1"/>
  <c r="AS107" i="27" a="1"/>
  <c r="AS107" i="27" s="1"/>
  <c r="AJ51" i="27" a="1"/>
  <c r="AJ51" i="27" s="1"/>
  <c r="AR84" i="27" a="1"/>
  <c r="AR84" i="27" s="1"/>
  <c r="AQ130" i="27" a="1"/>
  <c r="AQ130" i="27" s="1"/>
  <c r="AJ97" i="27" a="1"/>
  <c r="AJ97" i="27" s="1"/>
  <c r="AM42" i="27" a="1"/>
  <c r="AM42" i="27" s="1"/>
  <c r="AS16" i="27" a="1"/>
  <c r="AS16" i="27" s="1"/>
  <c r="AP84" i="27" a="1"/>
  <c r="AP84" i="27" s="1"/>
  <c r="AJ98" i="27" a="1"/>
  <c r="AJ98" i="27" s="1"/>
  <c r="AN134" i="27" a="1"/>
  <c r="AN134" i="27" s="1"/>
  <c r="AL137" i="27" a="1"/>
  <c r="AL137" i="27" s="1"/>
  <c r="AP52" i="27" a="1"/>
  <c r="AP52" i="27" s="1"/>
  <c r="AL46" i="27" a="1"/>
  <c r="AL46" i="27" s="1"/>
  <c r="AQ82" i="27" a="1"/>
  <c r="AQ82" i="27" s="1"/>
  <c r="AS14" i="27" a="1"/>
  <c r="AS14" i="27" s="1"/>
  <c r="AR97" i="27" a="1"/>
  <c r="AR97" i="27" s="1"/>
  <c r="AS63" i="27" a="1"/>
  <c r="AS63" i="27" s="1"/>
  <c r="AO14" i="27" a="1"/>
  <c r="AO14" i="27" s="1"/>
  <c r="AL63" i="27" a="1"/>
  <c r="AL63" i="27" s="1"/>
  <c r="AS55" i="27" a="1"/>
  <c r="AS55" i="27" s="1"/>
  <c r="AO63" i="27" a="1"/>
  <c r="AO63" i="27" s="1"/>
  <c r="AM55" i="27" a="1"/>
  <c r="AM55" i="27" s="1"/>
  <c r="AM95" i="27" a="1"/>
  <c r="AM95" i="27" s="1"/>
  <c r="AK97" i="27" a="1"/>
  <c r="AK97" i="27" s="1"/>
  <c r="AP55" i="27" a="1"/>
  <c r="AP55" i="27" s="1"/>
  <c r="AJ95" i="27" a="1"/>
  <c r="AJ95" i="27" s="1"/>
  <c r="AQ95" i="27" a="1"/>
  <c r="AQ95" i="27" s="1"/>
  <c r="AO125" i="27" a="1"/>
  <c r="AO125" i="27" s="1"/>
  <c r="AL55" i="27" a="1"/>
  <c r="AL55" i="27" s="1"/>
  <c r="AR55" i="27" a="1"/>
  <c r="AR55" i="27" s="1"/>
  <c r="AK95" i="27" a="1"/>
  <c r="AK95" i="27" s="1"/>
  <c r="AO55" i="27" a="1"/>
  <c r="AO55" i="27" s="1"/>
  <c r="AQ125" i="27" a="1"/>
  <c r="AQ125" i="27" s="1"/>
  <c r="AM31" i="27" a="1"/>
  <c r="AM31" i="27" s="1"/>
  <c r="AO82" i="27" a="1"/>
  <c r="AO82" i="27" s="1"/>
  <c r="AN46" i="27" a="1"/>
  <c r="AN46" i="27" s="1"/>
  <c r="AS46" i="27" a="1"/>
  <c r="AS46" i="27" s="1"/>
  <c r="AK46" i="27" a="1"/>
  <c r="AK46" i="27" s="1"/>
  <c r="AP46" i="27" a="1"/>
  <c r="AP46" i="27" s="1"/>
  <c r="AM46" i="27" a="1"/>
  <c r="AM46" i="27" s="1"/>
  <c r="AQ46" i="27" a="1"/>
  <c r="AQ46" i="27" s="1"/>
  <c r="AO46" i="27" a="1"/>
  <c r="AO46" i="27" s="1"/>
  <c r="AR46" i="27" a="1"/>
  <c r="AR46" i="27" s="1"/>
  <c r="AM52" i="27" a="1"/>
  <c r="AM52" i="27" s="1"/>
  <c r="AN52" i="27" a="1"/>
  <c r="AN52" i="27" s="1"/>
  <c r="AL80" i="27" a="1"/>
  <c r="AL80" i="27" s="1"/>
  <c r="AS80" i="27" a="1"/>
  <c r="AS80" i="27" s="1"/>
  <c r="AK80" i="27" a="1"/>
  <c r="AK80" i="27" s="1"/>
  <c r="AN80" i="27" a="1"/>
  <c r="AN80" i="27" s="1"/>
  <c r="AQ104" i="27" a="1"/>
  <c r="AQ104" i="27" s="1"/>
  <c r="AL104" i="27" a="1"/>
  <c r="AL104" i="27" s="1"/>
  <c r="AM103" i="27" a="1"/>
  <c r="AM103" i="27" s="1"/>
  <c r="AK72" i="27" a="1"/>
  <c r="AK72" i="27" s="1"/>
  <c r="AP23" i="27" a="1"/>
  <c r="AP23" i="27" s="1"/>
  <c r="AL53" i="27" a="1"/>
  <c r="AL53" i="27" s="1"/>
  <c r="AP120" i="27" a="1"/>
  <c r="AP120" i="27" s="1"/>
  <c r="AK120" i="27" a="1"/>
  <c r="AK120" i="27" s="1"/>
  <c r="AN120" i="27" a="1"/>
  <c r="AN120" i="27" s="1"/>
  <c r="AL72" i="27" a="1"/>
  <c r="AL72" i="27" s="1"/>
  <c r="AM104" i="27" a="1"/>
  <c r="AM104" i="27" s="1"/>
  <c r="AO104" i="27" a="1"/>
  <c r="AO104" i="27" s="1"/>
  <c r="AN103" i="27" a="1"/>
  <c r="AN103" i="27" s="1"/>
  <c r="AP53" i="27" a="1"/>
  <c r="AP53" i="27" s="1"/>
  <c r="AS53" i="27" a="1"/>
  <c r="AS53" i="27" s="1"/>
  <c r="AJ53" i="27" a="1"/>
  <c r="AJ53" i="27" s="1"/>
  <c r="AK42" i="27" a="1"/>
  <c r="AK42" i="27" s="1"/>
  <c r="AS128" i="27" a="1"/>
  <c r="AS128" i="27" s="1"/>
  <c r="AP25" i="27" a="1"/>
  <c r="AP25" i="27" s="1"/>
  <c r="AJ128" i="27" a="1"/>
  <c r="AJ128" i="27" s="1"/>
  <c r="AS120" i="27" a="1"/>
  <c r="AS120" i="27" s="1"/>
  <c r="AJ120" i="27" a="1"/>
  <c r="AJ120" i="27" s="1"/>
  <c r="AO24" i="27" a="1"/>
  <c r="AO24" i="27" s="1"/>
  <c r="AN104" i="27" a="1"/>
  <c r="AN104" i="27" s="1"/>
  <c r="AJ104" i="27" a="1"/>
  <c r="AJ104" i="27" s="1"/>
  <c r="AK104" i="27" a="1"/>
  <c r="AK104" i="27" s="1"/>
  <c r="AR104" i="27" a="1"/>
  <c r="AR104" i="27" s="1"/>
  <c r="AP72" i="27" a="1"/>
  <c r="AP72" i="27" s="1"/>
  <c r="AN53" i="27" a="1"/>
  <c r="AN53" i="27" s="1"/>
  <c r="AQ53" i="27" a="1"/>
  <c r="AQ53" i="27" s="1"/>
  <c r="AR53" i="27" a="1"/>
  <c r="AR53" i="27" s="1"/>
  <c r="AR113" i="27" a="1"/>
  <c r="AR113" i="27" s="1"/>
  <c r="AM89" i="27" a="1"/>
  <c r="AM89" i="27" s="1"/>
  <c r="AO72" i="27" a="1"/>
  <c r="AO72" i="27" s="1"/>
  <c r="AL25" i="27" a="1"/>
  <c r="AL25" i="27" s="1"/>
  <c r="AM137" i="27" a="1"/>
  <c r="AM137" i="27" s="1"/>
  <c r="AL24" i="27" a="1"/>
  <c r="AL24" i="27" s="1"/>
  <c r="AR120" i="27" a="1"/>
  <c r="AR120" i="27" s="1"/>
  <c r="AM120" i="27" a="1"/>
  <c r="AM120" i="27" s="1"/>
  <c r="AL120" i="27" a="1"/>
  <c r="AL120" i="27" s="1"/>
  <c r="AL66" i="27" a="1"/>
  <c r="AL66" i="27" s="1"/>
  <c r="AS104" i="27" a="1"/>
  <c r="AS104" i="27" s="1"/>
  <c r="AP104" i="27" a="1"/>
  <c r="AP104" i="27" s="1"/>
  <c r="AS103" i="27" a="1"/>
  <c r="AS103" i="27" s="1"/>
  <c r="AP35" i="27" a="1"/>
  <c r="AP35" i="27" s="1"/>
  <c r="AO53" i="27" a="1"/>
  <c r="AO53" i="27" s="1"/>
  <c r="AK53" i="27" a="1"/>
  <c r="AK53" i="27" s="1"/>
  <c r="AM53" i="27" a="1"/>
  <c r="AM53" i="27" s="1"/>
  <c r="AQ16" i="27" a="1"/>
  <c r="AQ16" i="27" s="1"/>
  <c r="AM24" i="27" a="1"/>
  <c r="AM24" i="27" s="1"/>
  <c r="AQ35" i="27" a="1"/>
  <c r="AQ35" i="27" s="1"/>
  <c r="AM90" i="27" a="1"/>
  <c r="AM90" i="27" s="1"/>
  <c r="AO120" i="27" a="1"/>
  <c r="AO120" i="27" s="1"/>
  <c r="AQ120" i="27" a="1"/>
  <c r="AQ120" i="27" s="1"/>
  <c r="AM51" i="27" a="1"/>
  <c r="AM51" i="27" s="1"/>
  <c r="AJ35" i="27" l="1" a="1"/>
  <c r="AJ35" i="27" s="1"/>
  <c r="AJ24" i="27" a="1"/>
  <c r="AJ24" i="27" s="1"/>
  <c r="AJ40" i="27" a="1"/>
  <c r="AJ40" i="27" s="1"/>
  <c r="AJ34" i="27" a="1"/>
  <c r="AJ34" i="27" s="1"/>
  <c r="AJ16" i="27" a="1"/>
  <c r="AJ16" i="27" s="1"/>
  <c r="AJ10" i="27" a="1"/>
  <c r="AJ10" i="27" s="1"/>
  <c r="AJ23" i="27" a="1"/>
  <c r="AJ23" i="27" s="1"/>
  <c r="AT14" i="27" a="1"/>
  <c r="AT14" i="27" s="1"/>
  <c r="AT39" i="27" a="1"/>
  <c r="AT39" i="27" s="1"/>
  <c r="AT137" i="27" a="1"/>
  <c r="AT137" i="27" s="1"/>
  <c r="AT107" i="27" a="1"/>
  <c r="AT107" i="27" s="1"/>
  <c r="AT125" i="27" a="1"/>
  <c r="AT125" i="27" s="1"/>
  <c r="AT84" i="27" a="1"/>
  <c r="AT84" i="27" s="1"/>
  <c r="AT66" i="27" a="1"/>
  <c r="AT66" i="27" s="1"/>
  <c r="AT79" i="27" a="1"/>
  <c r="AT79" i="27" s="1"/>
  <c r="AT83" i="27" a="1"/>
  <c r="AT83" i="27" s="1"/>
  <c r="AT31" i="27" a="1"/>
  <c r="AT31" i="27" s="1"/>
  <c r="AT42" i="27" a="1"/>
  <c r="AT42" i="27" s="1"/>
  <c r="AT25" i="27" a="1"/>
  <c r="AT25" i="27" s="1"/>
  <c r="AT37" i="27" a="1"/>
  <c r="AT37" i="27" s="1"/>
  <c r="AT80" i="27" a="1"/>
  <c r="AT80" i="27" s="1"/>
  <c r="AT128" i="27" a="1"/>
  <c r="AT128" i="27" s="1"/>
  <c r="AT123" i="27" a="1"/>
  <c r="AT123" i="27" s="1"/>
  <c r="AS95" i="27" a="1"/>
  <c r="AS95" i="27" s="1"/>
  <c r="AT55" i="27" a="1"/>
  <c r="AT55" i="27" s="1"/>
  <c r="AT124" i="27" a="1"/>
  <c r="AT124" i="27" s="1"/>
  <c r="AT52" i="27" a="1"/>
  <c r="AT52" i="27" s="1"/>
  <c r="AT100" i="27" a="1"/>
  <c r="AT100" i="27" s="1"/>
  <c r="AO97" i="27" a="1"/>
  <c r="AO97" i="27" s="1"/>
  <c r="AN97" i="27" a="1"/>
  <c r="AN97" i="27" s="1"/>
  <c r="AT97" i="27" a="1"/>
  <c r="AT97" i="27" s="1"/>
  <c r="AP97" i="27" a="1"/>
  <c r="AP97" i="27" s="1"/>
  <c r="AK119" i="27" a="1"/>
  <c r="AK119" i="27" s="1"/>
  <c r="AL97" i="27" a="1"/>
  <c r="AL97" i="27" s="1"/>
  <c r="AR105" i="27" a="1"/>
  <c r="AR105" i="27" s="1"/>
  <c r="AS105" i="27" a="1"/>
  <c r="AS105" i="27" s="1"/>
  <c r="AM105" i="27" a="1"/>
  <c r="AM105" i="27" s="1"/>
  <c r="AR25" i="27" a="1"/>
  <c r="AR25" i="27" s="1"/>
  <c r="AM83" i="27" a="1"/>
  <c r="AM83" i="27" s="1"/>
  <c r="AM72" i="27" a="1"/>
  <c r="AM72" i="27" s="1"/>
  <c r="AT34" i="27" a="1"/>
  <c r="AT34" i="27" s="1"/>
  <c r="AT90" i="27" a="1"/>
  <c r="AT90" i="27" s="1"/>
  <c r="AJ123" i="27" a="1"/>
  <c r="AJ123" i="27" s="1"/>
  <c r="AP123" i="27" a="1"/>
  <c r="AP123" i="27" s="1"/>
  <c r="AS66" i="27" a="1"/>
  <c r="AS66" i="27" s="1"/>
  <c r="AN83" i="27" a="1"/>
  <c r="AN83" i="27" s="1"/>
  <c r="AL34" i="27" a="1"/>
  <c r="AL34" i="27" s="1"/>
  <c r="AL107" i="27" a="1"/>
  <c r="AL107" i="27" s="1"/>
  <c r="AM66" i="27" a="1"/>
  <c r="AM66" i="27" s="1"/>
  <c r="AM10" i="27" a="1"/>
  <c r="AM10" i="27" s="1"/>
  <c r="AR86" i="27" a="1"/>
  <c r="AR86" i="27" s="1"/>
  <c r="AQ34" i="27" a="1"/>
  <c r="AQ34" i="27" s="1"/>
  <c r="AJ66" i="27" a="1"/>
  <c r="AJ66" i="27" s="1"/>
  <c r="AK65" i="27" a="1"/>
  <c r="AK65" i="27" s="1"/>
  <c r="AR107" i="27" a="1"/>
  <c r="AR107" i="27" s="1"/>
  <c r="AJ113" i="27" a="1"/>
  <c r="AJ113" i="27" s="1"/>
  <c r="AJ86" i="27" a="1"/>
  <c r="AJ86" i="27" s="1"/>
  <c r="AM25" i="27" a="1"/>
  <c r="AM25" i="27" s="1"/>
  <c r="AN31" i="27" a="1"/>
  <c r="AN31" i="27" s="1"/>
  <c r="AT103" i="27" a="1"/>
  <c r="AT103" i="27" s="1"/>
  <c r="AR10" i="27" a="1"/>
  <c r="AR10" i="27" s="1"/>
  <c r="AL103" i="27" a="1"/>
  <c r="AL103" i="27" s="1"/>
  <c r="AR125" i="27" a="1"/>
  <c r="AR125" i="27" s="1"/>
  <c r="AO83" i="27" a="1"/>
  <c r="AO83" i="27" s="1"/>
  <c r="AS100" i="27" a="1"/>
  <c r="AS100" i="27" s="1"/>
  <c r="AQ98" i="27" a="1"/>
  <c r="AQ98" i="27" s="1"/>
  <c r="AO10" i="27" a="1"/>
  <c r="AO10" i="27" s="1"/>
  <c r="AR40" i="27" a="1"/>
  <c r="AR40" i="27" s="1"/>
  <c r="AR16" i="27" a="1"/>
  <c r="AR16" i="27" s="1"/>
  <c r="AN110" i="27" a="1"/>
  <c r="AN110" i="27" s="1"/>
  <c r="AK132" i="27" a="1"/>
  <c r="AK132" i="27" s="1"/>
  <c r="AK10" i="27" a="1"/>
  <c r="AK10" i="27" s="1"/>
  <c r="AP10" i="27" a="1"/>
  <c r="AP10" i="27" s="1"/>
  <c r="AO130" i="27" a="1"/>
  <c r="AO130" i="27" s="1"/>
  <c r="AP110" i="27" a="1"/>
  <c r="AP110" i="27" s="1"/>
  <c r="AP39" i="27" a="1"/>
  <c r="AP39" i="27" s="1"/>
  <c r="AR42" i="27" a="1"/>
  <c r="AR42" i="27" s="1"/>
  <c r="AO110" i="27" a="1"/>
  <c r="AO110" i="27" s="1"/>
  <c r="AP51" i="27" a="1"/>
  <c r="AP51" i="27" s="1"/>
  <c r="AS24" i="27" a="1"/>
  <c r="AS24" i="27" s="1"/>
  <c r="AL23" i="27" a="1"/>
  <c r="AL23" i="27" s="1"/>
  <c r="AN132" i="27" a="1"/>
  <c r="AN132" i="27" s="1"/>
  <c r="AO23" i="27" a="1"/>
  <c r="AO23" i="27" s="1"/>
  <c r="AK40" i="27" a="1"/>
  <c r="AK40" i="27" s="1"/>
  <c r="AS40" i="27" a="1"/>
  <c r="AS40" i="27" s="1"/>
  <c r="AN123" i="27" a="1"/>
  <c r="AN123" i="27" s="1"/>
  <c r="AR39" i="27" a="1"/>
  <c r="AR39" i="27" s="1"/>
  <c r="AM37" i="27" a="1"/>
  <c r="AM37" i="27" s="1"/>
  <c r="AR31" i="27" a="1"/>
  <c r="AR31" i="27" s="1"/>
  <c r="AT98" i="27" a="1"/>
  <c r="AT98" i="27" s="1"/>
  <c r="AO113" i="27" a="1"/>
  <c r="AO113" i="27" s="1"/>
  <c r="AT132" i="27" a="1"/>
  <c r="AT132" i="27" s="1"/>
  <c r="AJ132" i="27" a="1"/>
  <c r="AJ132" i="27" s="1"/>
  <c r="AM65" i="27" a="1"/>
  <c r="AM65" i="27" s="1"/>
  <c r="AS23" i="27" a="1"/>
  <c r="AS23" i="27" s="1"/>
  <c r="AR103" i="27" a="1"/>
  <c r="AR103" i="27" s="1"/>
  <c r="AL39" i="27" a="1"/>
  <c r="AL39" i="27" s="1"/>
  <c r="AS84" i="27" a="1"/>
  <c r="AS84" i="27" s="1"/>
  <c r="AS113" i="27" a="1"/>
  <c r="AS113" i="27" s="1"/>
  <c r="AK83" i="27" a="1"/>
  <c r="AK83" i="27" s="1"/>
  <c r="AN39" i="27" a="1"/>
  <c r="AN39" i="27" s="1"/>
  <c r="AL40" i="27" a="1"/>
  <c r="AL40" i="27" s="1"/>
  <c r="AO16" i="27" a="1"/>
  <c r="AO16" i="27" s="1"/>
  <c r="AQ84" i="27" a="1"/>
  <c r="AQ84" i="27" s="1"/>
  <c r="AL10" i="27" a="1"/>
  <c r="AL10" i="27" s="1"/>
  <c r="AM125" i="27" a="1"/>
  <c r="AM125" i="27" s="1"/>
  <c r="AM123" i="27" a="1"/>
  <c r="AM123" i="27" s="1"/>
  <c r="AP31" i="27" a="1"/>
  <c r="AP31" i="27" s="1"/>
  <c r="AQ89" i="27" a="1"/>
  <c r="AQ89" i="27" s="1"/>
  <c r="AQ39" i="27" a="1"/>
  <c r="AQ39" i="27" s="1"/>
  <c r="AN125" i="27" a="1"/>
  <c r="AN125" i="27" s="1"/>
  <c r="AK66" i="27" a="1"/>
  <c r="AK66" i="27" s="1"/>
  <c r="AP7" i="27" a="1"/>
  <c r="AP7" i="27" s="1"/>
  <c r="AP113" i="27" a="1"/>
  <c r="AP113" i="27" s="1"/>
  <c r="AN89" i="27" a="1"/>
  <c r="AN89" i="27" s="1"/>
  <c r="AS42" i="27" a="1"/>
  <c r="AS42" i="27" s="1"/>
  <c r="AN66" i="27" a="1"/>
  <c r="AN66" i="27" s="1"/>
  <c r="AP132" i="27" a="1"/>
  <c r="AP132" i="27" s="1"/>
  <c r="AP40" i="27" a="1"/>
  <c r="AP40" i="27" s="1"/>
  <c r="AO89" i="27" a="1"/>
  <c r="AO89" i="27" s="1"/>
  <c r="AL90" i="27" a="1"/>
  <c r="AL90" i="27" s="1"/>
  <c r="AQ132" i="27" a="1"/>
  <c r="AQ132" i="27" s="1"/>
  <c r="AO31" i="27" a="1"/>
  <c r="AO31" i="27" s="1"/>
  <c r="AL7" i="27" a="1"/>
  <c r="AL7" i="27" s="1"/>
  <c r="AN23" i="27" a="1"/>
  <c r="AN23" i="27" s="1"/>
  <c r="AR134" i="27" a="1"/>
  <c r="AR134" i="27" s="1"/>
  <c r="AL83" i="27" a="1"/>
  <c r="AL83" i="27" s="1"/>
  <c r="AN119" i="27" a="1"/>
  <c r="AN119" i="27" s="1"/>
  <c r="AN100" i="27" a="1"/>
  <c r="AN100" i="27" s="1"/>
  <c r="AQ86" i="27" a="1"/>
  <c r="AQ86" i="27" s="1"/>
  <c r="AO66" i="27" a="1"/>
  <c r="AO66" i="27" s="1"/>
  <c r="AP37" i="27" a="1"/>
  <c r="AP37" i="27" s="1"/>
  <c r="AT10" i="27" a="1"/>
  <c r="AT10" i="27" s="1"/>
  <c r="AT119" i="27" a="1"/>
  <c r="AT119" i="27" s="1"/>
  <c r="AK113" i="27" a="1"/>
  <c r="AK113" i="27" s="1"/>
  <c r="AR137" i="27" a="1"/>
  <c r="AR137" i="27" s="1"/>
  <c r="AK34" i="27" a="1"/>
  <c r="AK34" i="27" s="1"/>
  <c r="AQ103" i="27" a="1"/>
  <c r="AQ103" i="27" s="1"/>
  <c r="AP125" i="27" a="1"/>
  <c r="AP125" i="27" s="1"/>
  <c r="AJ107" i="27" a="1"/>
  <c r="AJ107" i="27" s="1"/>
  <c r="AJ137" i="27" a="1"/>
  <c r="AJ137" i="27" s="1"/>
  <c r="AP34" i="27" a="1"/>
  <c r="AP34" i="27" s="1"/>
  <c r="AM100" i="27" a="1"/>
  <c r="AM100" i="27" s="1"/>
  <c r="AL42" i="27" a="1"/>
  <c r="AL42" i="27" s="1"/>
  <c r="AJ90" i="27" a="1"/>
  <c r="AJ90" i="27" s="1"/>
  <c r="AJ134" i="27" a="1"/>
  <c r="AJ134" i="27" s="1"/>
  <c r="AN72" i="27" a="1"/>
  <c r="AN72" i="27" s="1"/>
  <c r="AK35" i="27" a="1"/>
  <c r="AK35" i="27" s="1"/>
  <c r="AK24" i="27" a="1"/>
  <c r="AK24" i="27" s="1"/>
  <c r="AN113" i="27" a="1"/>
  <c r="AN113" i="27" s="1"/>
  <c r="AK37" i="27" a="1"/>
  <c r="AK37" i="27" s="1"/>
  <c r="AS137" i="27" a="1"/>
  <c r="AS137" i="27" s="1"/>
  <c r="AN137" i="27" a="1"/>
  <c r="AN137" i="27" s="1"/>
  <c r="AR51" i="27" a="1"/>
  <c r="AR51" i="27" s="1"/>
  <c r="AL100" i="27" a="1"/>
  <c r="AL100" i="27" s="1"/>
  <c r="AP66" i="27" a="1"/>
  <c r="AP66" i="27" s="1"/>
  <c r="AT7" i="27" a="1"/>
  <c r="AT7" i="27" s="1"/>
  <c r="AP42" i="27" a="1"/>
  <c r="AP42" i="27" s="1"/>
  <c r="AQ75" i="27" a="1"/>
  <c r="AQ75" i="27" s="1"/>
  <c r="AR133" i="27" a="1"/>
  <c r="AR133" i="27" s="1"/>
  <c r="AP71" i="27" a="1"/>
  <c r="AP71" i="27" s="1"/>
  <c r="AJ127" i="27" a="1"/>
  <c r="AJ127" i="27" s="1"/>
  <c r="AO18" i="27" a="1"/>
  <c r="AO18" i="27" s="1"/>
  <c r="AT56" i="27" a="1"/>
  <c r="AT56" i="27" s="1"/>
  <c r="AR71" i="27" a="1"/>
  <c r="AR71" i="27" s="1"/>
  <c r="AS78" i="27" a="1"/>
  <c r="AS78" i="27" s="1"/>
  <c r="AP90" i="27" a="1"/>
  <c r="AP90" i="27" s="1"/>
  <c r="AS21" i="27" a="1"/>
  <c r="AS21" i="27" s="1"/>
  <c r="AM113" i="27" a="1"/>
  <c r="AM113" i="27" s="1"/>
  <c r="AL26" i="27" a="1"/>
  <c r="AL26" i="27" s="1"/>
  <c r="AM139" i="27" a="1"/>
  <c r="AM139" i="27" s="1"/>
  <c r="AQ58" i="27" a="1"/>
  <c r="AQ58" i="27" s="1"/>
  <c r="AN50" i="27" a="1"/>
  <c r="AN50" i="27" s="1"/>
  <c r="AP64" i="27" a="1"/>
  <c r="AP64" i="27" s="1"/>
  <c r="AP91" i="27" a="1"/>
  <c r="AP91" i="27" s="1"/>
  <c r="AS10" i="27" a="1"/>
  <c r="AS10" i="27" s="1"/>
  <c r="AR98" i="27" a="1"/>
  <c r="AR98" i="27" s="1"/>
  <c r="AN42" i="27" a="1"/>
  <c r="AN42" i="27" s="1"/>
  <c r="AP107" i="27" a="1"/>
  <c r="AP107" i="27" s="1"/>
  <c r="AK125" i="27" a="1"/>
  <c r="AK125" i="27" s="1"/>
  <c r="AL31" i="27" a="1"/>
  <c r="AL31" i="27" s="1"/>
  <c r="AO100" i="27" a="1"/>
  <c r="AO100" i="27" s="1"/>
  <c r="AO137" i="27" a="1"/>
  <c r="AO137" i="27" s="1"/>
  <c r="AT35" i="27" a="1"/>
  <c r="AT35" i="27" s="1"/>
  <c r="AQ14" i="27" a="1"/>
  <c r="AQ14" i="27" s="1"/>
  <c r="AL51" i="27" a="1"/>
  <c r="AL51" i="27" s="1"/>
  <c r="AM134" i="27" a="1"/>
  <c r="AM134" i="27" s="1"/>
  <c r="AT72" i="27" a="1"/>
  <c r="AT72" i="27" s="1"/>
  <c r="AQ137" i="27" a="1"/>
  <c r="AQ137" i="27" s="1"/>
  <c r="AK134" i="27" a="1"/>
  <c r="AK134" i="27" s="1"/>
  <c r="AJ125" i="27" a="1"/>
  <c r="AJ125" i="27" s="1"/>
  <c r="AQ119" i="27" a="1"/>
  <c r="AQ119" i="27" s="1"/>
  <c r="AQ83" i="27" a="1"/>
  <c r="AQ83" i="27" s="1"/>
  <c r="AR123" i="27" a="1"/>
  <c r="AR123" i="27" s="1"/>
  <c r="AJ84" i="27" a="1"/>
  <c r="AJ84" i="27" s="1"/>
  <c r="AO98" i="27" a="1"/>
  <c r="AO98" i="27" s="1"/>
  <c r="AL65" i="27" a="1"/>
  <c r="AL65" i="27" s="1"/>
  <c r="AN40" i="27" a="1"/>
  <c r="AN40" i="27" s="1"/>
  <c r="AO103" i="27" a="1"/>
  <c r="AO103" i="27" s="1"/>
  <c r="AM35" i="27" a="1"/>
  <c r="AM35" i="27" s="1"/>
  <c r="AL84" i="27" a="1"/>
  <c r="AL84" i="27" s="1"/>
  <c r="AR90" i="27" a="1"/>
  <c r="AR90" i="27" s="1"/>
  <c r="AM16" i="27" a="1"/>
  <c r="AM16" i="27" s="1"/>
  <c r="AN79" i="27" a="1"/>
  <c r="AN79" i="27" s="1"/>
  <c r="AR128" i="27" a="1"/>
  <c r="AR128" i="27" s="1"/>
  <c r="AT89" i="27" a="1"/>
  <c r="AT89" i="27" s="1"/>
  <c r="AS98" i="27" a="1"/>
  <c r="AS98" i="27" s="1"/>
  <c r="AN16" i="27" a="1"/>
  <c r="AN16" i="27" s="1"/>
  <c r="AP16" i="27" a="1"/>
  <c r="AP16" i="27" s="1"/>
  <c r="AM84" i="27" a="1"/>
  <c r="AM84" i="27" s="1"/>
  <c r="AO51" i="27" a="1"/>
  <c r="AO51" i="27" s="1"/>
  <c r="AO25" i="27" a="1"/>
  <c r="AO25" i="27" s="1"/>
  <c r="AN35" i="27" a="1"/>
  <c r="AN35" i="27" s="1"/>
  <c r="AN34" i="27" a="1"/>
  <c r="AN34" i="27" s="1"/>
  <c r="AQ113" i="27" a="1"/>
  <c r="AQ113" i="27" s="1"/>
  <c r="AK51" i="27" a="1"/>
  <c r="AK51" i="27" s="1"/>
  <c r="AO21" i="27" a="1"/>
  <c r="AO21" i="27" s="1"/>
  <c r="AJ139" i="27" a="1"/>
  <c r="AJ139" i="27" s="1"/>
  <c r="AT6" i="27" a="1"/>
  <c r="AT6" i="27" s="1"/>
  <c r="AM38" i="27" a="1"/>
  <c r="AM38" i="27" s="1"/>
  <c r="AQ108" i="27" a="1"/>
  <c r="AQ108" i="27" s="1"/>
  <c r="AK18" i="27" a="1"/>
  <c r="AK18" i="27" s="1"/>
  <c r="AT19" i="27" a="1"/>
  <c r="AT19" i="27" s="1"/>
  <c r="AS19" i="27" a="1"/>
  <c r="AS19" i="27" s="1"/>
  <c r="AJ75" i="27" a="1"/>
  <c r="AJ75" i="27" s="1"/>
  <c r="AL35" i="27" a="1"/>
  <c r="AL35" i="27" s="1"/>
  <c r="AT133" i="27" a="1"/>
  <c r="AT133" i="27" s="1"/>
  <c r="AO6" i="27" a="1"/>
  <c r="AO6" i="27" s="1"/>
  <c r="AK36" i="27" a="1"/>
  <c r="AK36" i="27" s="1"/>
  <c r="AJ48" i="27" a="1"/>
  <c r="AJ48" i="27" s="1"/>
  <c r="AL128" i="27" a="1"/>
  <c r="AL128" i="27" s="1"/>
  <c r="AK107" i="27" a="1"/>
  <c r="AK107" i="27" s="1"/>
  <c r="AR79" i="27" a="1"/>
  <c r="AR79" i="27" s="1"/>
  <c r="AT73" i="27" a="1"/>
  <c r="AT73" i="27" s="1"/>
  <c r="AT20" i="27" a="1"/>
  <c r="AT20" i="27" s="1"/>
  <c r="AK64" i="27" a="1"/>
  <c r="AK64" i="27" s="1"/>
  <c r="AK129" i="27" a="1"/>
  <c r="AK129" i="27" s="1"/>
  <c r="AQ118" i="27" a="1"/>
  <c r="AQ118" i="27" s="1"/>
  <c r="AR20" i="27" a="1"/>
  <c r="AR20" i="27" s="1"/>
  <c r="AK21" i="27" a="1"/>
  <c r="AK21" i="27" s="1"/>
  <c r="AJ58" i="27" a="1"/>
  <c r="AJ58" i="27" s="1"/>
  <c r="AL78" i="27" a="1"/>
  <c r="AL78" i="27" s="1"/>
  <c r="AO62" i="27" a="1"/>
  <c r="AO62" i="27" s="1"/>
  <c r="AK12" i="27" a="1"/>
  <c r="AK12" i="27" s="1"/>
  <c r="AN91" i="27" a="1"/>
  <c r="AN91" i="27" s="1"/>
  <c r="AM75" i="27" a="1"/>
  <c r="AM75" i="27" s="1"/>
  <c r="AK26" i="27" a="1"/>
  <c r="AK26" i="27" s="1"/>
  <c r="AS108" i="27" a="1"/>
  <c r="AS108" i="27" s="1"/>
  <c r="AO71" i="27" a="1"/>
  <c r="AO71" i="27" s="1"/>
  <c r="AN85" i="27" a="1"/>
  <c r="AN85" i="27" s="1"/>
  <c r="AQ19" i="27" a="1"/>
  <c r="AQ19" i="27" s="1"/>
  <c r="AR29" i="27" a="1"/>
  <c r="AR29" i="27" s="1"/>
  <c r="AS29" i="27" a="1"/>
  <c r="AS29" i="27" s="1"/>
  <c r="AM15" i="27" a="1"/>
  <c r="AM15" i="27" s="1"/>
  <c r="AT113" i="27" a="1"/>
  <c r="AT113" i="27" s="1"/>
  <c r="AT110" i="27" a="1"/>
  <c r="AT110" i="27" s="1"/>
  <c r="AN130" i="27" a="1"/>
  <c r="AN130" i="27" s="1"/>
  <c r="AS35" i="27" a="1"/>
  <c r="AS35" i="27" s="1"/>
  <c r="AR37" i="27" a="1"/>
  <c r="AR37" i="27" s="1"/>
  <c r="AR23" i="27" a="1"/>
  <c r="AR23" i="27" s="1"/>
  <c r="AT130" i="27" a="1"/>
  <c r="AT130" i="27" s="1"/>
  <c r="AN7" i="27" a="1"/>
  <c r="AN7" i="27" s="1"/>
  <c r="AK7" i="27" a="1"/>
  <c r="AK7" i="27" s="1"/>
  <c r="AT134" i="27" a="1"/>
  <c r="AT134" i="27" s="1"/>
  <c r="AT24" i="27" a="1"/>
  <c r="AT24" i="27" s="1"/>
  <c r="AP86" i="27" a="1"/>
  <c r="AP86" i="27" s="1"/>
  <c r="AQ31" i="27" a="1"/>
  <c r="AQ31" i="27" s="1"/>
  <c r="AO41" i="27" a="1"/>
  <c r="AO41" i="27" s="1"/>
  <c r="AN41" i="27" a="1"/>
  <c r="AN41" i="27" s="1"/>
  <c r="AR41" i="27" a="1"/>
  <c r="AR41" i="27" s="1"/>
  <c r="AQ41" i="27" a="1"/>
  <c r="AQ41" i="27" s="1"/>
  <c r="AK41" i="27" a="1"/>
  <c r="AK41" i="27" s="1"/>
  <c r="AT41" i="27" a="1"/>
  <c r="AT41" i="27" s="1"/>
  <c r="AM41" i="27" a="1"/>
  <c r="AM41" i="27" s="1"/>
  <c r="AL41" i="27" a="1"/>
  <c r="AL41" i="27" s="1"/>
  <c r="AP41" i="27" a="1"/>
  <c r="AP41" i="27" s="1"/>
  <c r="AS41" i="27" a="1"/>
  <c r="AS41" i="27" s="1"/>
  <c r="AR136" i="27" a="1"/>
  <c r="AR136" i="27" s="1"/>
  <c r="AO136" i="27" a="1"/>
  <c r="AO136" i="27" s="1"/>
  <c r="AR38" i="27" a="1"/>
  <c r="AR38" i="27" s="1"/>
  <c r="AL64" i="27" a="1"/>
  <c r="AL64" i="27" s="1"/>
  <c r="AR19" i="27" a="1"/>
  <c r="AR19" i="27" s="1"/>
  <c r="AT108" i="27" a="1"/>
  <c r="AT108" i="27" s="1"/>
  <c r="AO112" i="27" a="1"/>
  <c r="AO112" i="27" s="1"/>
  <c r="AP20" i="27" a="1"/>
  <c r="AP20" i="27" s="1"/>
  <c r="AQ77" i="27" a="1"/>
  <c r="AQ77" i="27" s="1"/>
  <c r="AM112" i="27" a="1"/>
  <c r="AM112" i="27" s="1"/>
  <c r="AL129" i="27" a="1"/>
  <c r="AL129" i="27" s="1"/>
  <c r="AQ129" i="27" a="1"/>
  <c r="AQ129" i="27" s="1"/>
  <c r="AQ64" i="27" a="1"/>
  <c r="AQ64" i="27" s="1"/>
  <c r="AQ48" i="27" a="1"/>
  <c r="AQ48" i="27" s="1"/>
  <c r="AP48" i="27" a="1"/>
  <c r="AP48" i="27" s="1"/>
  <c r="AS36" i="27" a="1"/>
  <c r="AS36" i="27" s="1"/>
  <c r="AN20" i="27" a="1"/>
  <c r="AN20" i="27" s="1"/>
  <c r="AO19" i="27" a="1"/>
  <c r="AO19" i="27" s="1"/>
  <c r="AL58" i="27" a="1"/>
  <c r="AL58" i="27" s="1"/>
  <c r="AM129" i="27" a="1"/>
  <c r="AM129" i="27" s="1"/>
  <c r="AM26" i="27" a="1"/>
  <c r="AM26" i="27" s="1"/>
  <c r="AS91" i="27" a="1"/>
  <c r="AS91" i="27" s="1"/>
  <c r="AR85" i="27" a="1"/>
  <c r="AR85" i="27" s="1"/>
  <c r="AK6" i="27" a="1"/>
  <c r="AK6" i="27" s="1"/>
  <c r="AS58" i="27" a="1"/>
  <c r="AS58" i="27" s="1"/>
  <c r="AN76" i="27" a="1"/>
  <c r="AN76" i="27" s="1"/>
  <c r="AN36" i="27" a="1"/>
  <c r="AN36" i="27" s="1"/>
  <c r="AL71" i="27" a="1"/>
  <c r="AL71" i="27" s="1"/>
  <c r="AM62" i="27" a="1"/>
  <c r="AM62" i="27" s="1"/>
  <c r="AN38" i="27" a="1"/>
  <c r="AN38" i="27" s="1"/>
  <c r="AK127" i="27" a="1"/>
  <c r="AK127" i="27" s="1"/>
  <c r="AS129" i="27" a="1"/>
  <c r="AS129" i="27" s="1"/>
  <c r="AM133" i="27" a="1"/>
  <c r="AM133" i="27" s="1"/>
  <c r="AP139" i="27" a="1"/>
  <c r="AP139" i="27" s="1"/>
  <c r="AP138" i="27" a="1"/>
  <c r="AP138" i="27" s="1"/>
  <c r="AN6" i="27" a="1"/>
  <c r="AN6" i="27" s="1"/>
  <c r="AJ91" i="27" a="1"/>
  <c r="AJ91" i="27" s="1"/>
  <c r="AR138" i="27" a="1"/>
  <c r="AR138" i="27" s="1"/>
  <c r="AS138" i="27" a="1"/>
  <c r="AS138" i="27" s="1"/>
  <c r="AQ78" i="27" a="1"/>
  <c r="AQ78" i="27" s="1"/>
  <c r="AS50" i="27" a="1"/>
  <c r="AS50" i="27" s="1"/>
  <c r="AT76" i="27" a="1"/>
  <c r="AT76" i="27" s="1"/>
  <c r="AS76" i="27" a="1"/>
  <c r="AS76" i="27" s="1"/>
  <c r="AJ129" i="27" a="1"/>
  <c r="AJ129" i="27" s="1"/>
  <c r="AR33" i="27" a="1"/>
  <c r="AR33" i="27" s="1"/>
  <c r="AK112" i="27" a="1"/>
  <c r="AK112" i="27" s="1"/>
  <c r="AM50" i="27" a="1"/>
  <c r="AM50" i="27" s="1"/>
  <c r="AT26" i="27" a="1"/>
  <c r="AT26" i="27" s="1"/>
  <c r="AL112" i="27" a="1"/>
  <c r="AL112" i="27" s="1"/>
  <c r="AM12" i="27" a="1"/>
  <c r="AM12" i="27" s="1"/>
  <c r="AS64" i="27" a="1"/>
  <c r="AS64" i="27" s="1"/>
  <c r="AT138" i="27" a="1"/>
  <c r="AT138" i="27" s="1"/>
  <c r="AO20" i="27" a="1"/>
  <c r="AO20" i="27" s="1"/>
  <c r="AP58" i="27" a="1"/>
  <c r="AP58" i="27" s="1"/>
  <c r="AM131" i="27" a="1"/>
  <c r="AM131" i="27" s="1"/>
  <c r="AL131" i="27" a="1"/>
  <c r="AL131" i="27" s="1"/>
  <c r="AN131" i="27" a="1"/>
  <c r="AN131" i="27" s="1"/>
  <c r="AR131" i="27" a="1"/>
  <c r="AR131" i="27" s="1"/>
  <c r="AS131" i="27" a="1"/>
  <c r="AS131" i="27" s="1"/>
  <c r="AP131" i="27" a="1"/>
  <c r="AP131" i="27" s="1"/>
  <c r="AQ131" i="27" a="1"/>
  <c r="AQ131" i="27" s="1"/>
  <c r="AT131" i="27" a="1"/>
  <c r="AT131" i="27" s="1"/>
  <c r="AO131" i="27" a="1"/>
  <c r="AO131" i="27" s="1"/>
  <c r="AK131" i="27" a="1"/>
  <c r="AK131" i="27" s="1"/>
  <c r="AJ131" i="27" a="1"/>
  <c r="AJ131" i="27" s="1"/>
  <c r="AS27" i="27" a="1"/>
  <c r="AS27" i="27" s="1"/>
  <c r="AQ106" i="27" a="1"/>
  <c r="AQ106" i="27" s="1"/>
  <c r="AS106" i="27" a="1"/>
  <c r="AS106" i="27" s="1"/>
  <c r="AP106" i="27" a="1"/>
  <c r="AP106" i="27" s="1"/>
  <c r="AR106" i="27" a="1"/>
  <c r="AR106" i="27" s="1"/>
  <c r="AO92" i="27" a="1"/>
  <c r="AO92" i="27" s="1"/>
  <c r="AL92" i="27" a="1"/>
  <c r="AL92" i="27" s="1"/>
  <c r="AM92" i="27" a="1"/>
  <c r="AM92" i="27" s="1"/>
  <c r="AJ92" i="27" a="1"/>
  <c r="AJ92" i="27" s="1"/>
  <c r="AQ92" i="27" a="1"/>
  <c r="AQ92" i="27" s="1"/>
  <c r="AN92" i="27" a="1"/>
  <c r="AN92" i="27" s="1"/>
  <c r="AK92" i="27" a="1"/>
  <c r="AK92" i="27" s="1"/>
  <c r="AP92" i="27" a="1"/>
  <c r="AP92" i="27" s="1"/>
  <c r="AR92" i="27" a="1"/>
  <c r="AR92" i="27" s="1"/>
  <c r="AT92" i="27" a="1"/>
  <c r="AT92" i="27" s="1"/>
  <c r="AS92" i="27" a="1"/>
  <c r="AS92" i="27" s="1"/>
  <c r="AP11" i="27" a="1"/>
  <c r="AP11" i="27" s="1"/>
  <c r="AS11" i="27" a="1"/>
  <c r="AS11" i="27" s="1"/>
  <c r="AQ11" i="27" a="1"/>
  <c r="AQ11" i="27" s="1"/>
  <c r="AT11" i="27" a="1"/>
  <c r="AT11" i="27" s="1"/>
  <c r="AK11" i="27" a="1"/>
  <c r="AK11" i="27" s="1"/>
  <c r="AL11" i="27" a="1"/>
  <c r="AL11" i="27" s="1"/>
  <c r="AM11" i="27" a="1"/>
  <c r="AM11" i="27" s="1"/>
  <c r="AO11" i="27" a="1"/>
  <c r="AO11" i="27" s="1"/>
  <c r="AR11" i="27" a="1"/>
  <c r="AR11" i="27" s="1"/>
  <c r="AN11" i="27" a="1"/>
  <c r="AN11" i="27" s="1"/>
  <c r="AQ94" i="27" a="1"/>
  <c r="AQ94" i="27" s="1"/>
  <c r="AR94" i="27" a="1"/>
  <c r="AR94" i="27" s="1"/>
  <c r="AM17" i="27" a="1"/>
  <c r="AM17" i="27" s="1"/>
  <c r="AJ121" i="27" a="1"/>
  <c r="AJ121" i="27" s="1"/>
  <c r="AK121" i="27" a="1"/>
  <c r="AK121" i="27" s="1"/>
  <c r="AS49" i="27" a="1"/>
  <c r="AS49" i="27" s="1"/>
  <c r="AT68" i="27" a="1"/>
  <c r="AT68" i="27" s="1"/>
  <c r="AT13" i="27" a="1"/>
  <c r="AT13" i="27" s="1"/>
  <c r="AK13" i="27" a="1"/>
  <c r="AK13" i="27" s="1"/>
  <c r="AP13" i="27" a="1"/>
  <c r="AP13" i="27" s="1"/>
  <c r="AS13" i="27" a="1"/>
  <c r="AS13" i="27" s="1"/>
  <c r="AO13" i="27" a="1"/>
  <c r="AO13" i="27" s="1"/>
  <c r="AN13" i="27" a="1"/>
  <c r="AN13" i="27" s="1"/>
  <c r="AR13" i="27" a="1"/>
  <c r="AR13" i="27" s="1"/>
  <c r="AM13" i="27" a="1"/>
  <c r="AM13" i="27" s="1"/>
  <c r="AQ13" i="27" a="1"/>
  <c r="AQ13" i="27" s="1"/>
  <c r="AL13" i="27" a="1"/>
  <c r="AL13" i="27" s="1"/>
  <c r="AS31" i="27" a="1"/>
  <c r="AS31" i="27" s="1"/>
  <c r="AJ41" i="27" l="1" a="1"/>
  <c r="AJ41" i="27" s="1"/>
  <c r="AJ19" i="27" a="1"/>
  <c r="AJ19" i="27" s="1"/>
  <c r="AJ26" i="27" a="1"/>
  <c r="AJ26" i="27" s="1"/>
  <c r="AJ13" i="27" a="1"/>
  <c r="AJ13" i="27" s="1"/>
  <c r="AJ31" i="27" a="1"/>
  <c r="AJ31" i="27" s="1"/>
  <c r="AJ11" i="27" a="1"/>
  <c r="AJ11" i="27" s="1"/>
  <c r="AJ37" i="27" a="1"/>
  <c r="AJ37" i="27" s="1"/>
  <c r="AJ14" i="27" a="1"/>
  <c r="AJ14" i="27" s="1"/>
  <c r="AJ39" i="27" a="1"/>
  <c r="AJ39" i="27" s="1"/>
  <c r="AJ15" i="27" a="1"/>
  <c r="AJ15" i="27" s="1"/>
  <c r="AJ7" i="27" a="1"/>
  <c r="AJ7" i="27" s="1"/>
  <c r="AJ36" i="27" a="1"/>
  <c r="AJ36" i="27" s="1"/>
  <c r="AJ20" i="27" a="1"/>
  <c r="AJ20" i="27" s="1"/>
  <c r="AJ25" i="27" a="1"/>
  <c r="AJ25" i="27" s="1"/>
  <c r="AT82" i="27" a="1"/>
  <c r="AT82" i="27" s="1"/>
  <c r="AU75" i="27" a="1"/>
  <c r="AU75" i="27" s="1"/>
  <c r="AU43" i="27" a="1"/>
  <c r="AU43" i="27" s="1"/>
  <c r="AU27" i="27" a="1"/>
  <c r="AU27" i="27" s="1"/>
  <c r="AU126" i="27" a="1"/>
  <c r="AU126" i="27" s="1"/>
  <c r="AU114" i="27" a="1"/>
  <c r="AU114" i="27" s="1"/>
  <c r="AU102" i="27" a="1"/>
  <c r="AU102" i="27" s="1"/>
  <c r="AU94" i="27" a="1"/>
  <c r="AU94" i="27" s="1"/>
  <c r="AU58" i="27" a="1"/>
  <c r="AU58" i="27" s="1"/>
  <c r="AU22" i="27" a="1"/>
  <c r="AU22" i="27" s="1"/>
  <c r="AU18" i="27" a="1"/>
  <c r="AU18" i="27" s="1"/>
  <c r="AU129" i="27" a="1"/>
  <c r="AU129" i="27" s="1"/>
  <c r="AU69" i="27" a="1"/>
  <c r="AU69" i="27" s="1"/>
  <c r="AU49" i="27" a="1"/>
  <c r="AU49" i="27" s="1"/>
  <c r="AU136" i="27" a="1"/>
  <c r="AU136" i="27" s="1"/>
  <c r="AU116" i="27" a="1"/>
  <c r="AU116" i="27" s="1"/>
  <c r="AU76" i="27" a="1"/>
  <c r="AU76" i="27" s="1"/>
  <c r="AU68" i="27" a="1"/>
  <c r="AU68" i="27" s="1"/>
  <c r="AU64" i="27" a="1"/>
  <c r="AU64" i="27" s="1"/>
  <c r="AU56" i="27" a="1"/>
  <c r="AU56" i="27" s="1"/>
  <c r="AU32" i="27" a="1"/>
  <c r="AU32" i="27" s="1"/>
  <c r="AT120" i="27" a="1"/>
  <c r="AT120" i="27" s="1"/>
  <c r="AT46" i="27" a="1"/>
  <c r="AT46" i="27" s="1"/>
  <c r="AT86" i="27" a="1"/>
  <c r="AT86" i="27" s="1"/>
  <c r="AT16" i="27" a="1"/>
  <c r="AT16" i="27" s="1"/>
  <c r="AT104" i="27" a="1"/>
  <c r="AT104" i="27" s="1"/>
  <c r="AT51" i="27" a="1"/>
  <c r="AT51" i="27" s="1"/>
  <c r="AT53" i="27" a="1"/>
  <c r="AT53" i="27" s="1"/>
  <c r="AT63" i="27" a="1"/>
  <c r="AT63" i="27" s="1"/>
  <c r="AT95" i="27" a="1"/>
  <c r="AT95" i="27" s="1"/>
  <c r="AK140" i="27" a="1"/>
  <c r="AK140" i="27" s="1"/>
  <c r="AP140" i="27" a="1"/>
  <c r="AP140" i="27" s="1"/>
  <c r="AJ140" i="27" a="1"/>
  <c r="AJ140" i="27" s="1"/>
  <c r="AN140" i="27" a="1"/>
  <c r="AN140" i="27" s="1"/>
  <c r="AS140" i="27" a="1"/>
  <c r="AS140" i="27" s="1"/>
  <c r="AM140" i="27" a="1"/>
  <c r="AM140" i="27" s="1"/>
  <c r="AP105" i="27" a="1"/>
  <c r="AP105" i="27" s="1"/>
  <c r="AL93" i="27" a="1"/>
  <c r="AL93" i="27" s="1"/>
  <c r="AS122" i="27" a="1"/>
  <c r="AS122" i="27" s="1"/>
  <c r="AK69" i="27" a="1"/>
  <c r="AK69" i="27" s="1"/>
  <c r="AO121" i="27" a="1"/>
  <c r="AO121" i="27" s="1"/>
  <c r="AO27" i="27" a="1"/>
  <c r="AO27" i="27" s="1"/>
  <c r="AP94" i="27" a="1"/>
  <c r="AP94" i="27" s="1"/>
  <c r="AO106" i="27" a="1"/>
  <c r="AO106" i="27" s="1"/>
  <c r="AL17" i="27" a="1"/>
  <c r="AL17" i="27" s="1"/>
  <c r="AN17" i="27" a="1"/>
  <c r="AN17" i="27" s="1"/>
  <c r="AQ105" i="27" a="1"/>
  <c r="AQ105" i="27" s="1"/>
  <c r="AL105" i="27" a="1"/>
  <c r="AL105" i="27" s="1"/>
  <c r="AQ17" i="27" a="1"/>
  <c r="AQ17" i="27" s="1"/>
  <c r="AT105" i="27" a="1"/>
  <c r="AT105" i="27" s="1"/>
  <c r="AT121" i="27" a="1"/>
  <c r="AT121" i="27" s="1"/>
  <c r="AS126" i="27" a="1"/>
  <c r="AS126" i="27" s="1"/>
  <c r="AN105" i="27" a="1"/>
  <c r="AN105" i="27" s="1"/>
  <c r="AJ105" i="27" a="1"/>
  <c r="AJ105" i="27" s="1"/>
  <c r="AO105" i="27" a="1"/>
  <c r="AO105" i="27" s="1"/>
  <c r="AK105" i="27" a="1"/>
  <c r="AK105" i="27" s="1"/>
  <c r="AS57" i="27" a="1"/>
  <c r="AS57" i="27" s="1"/>
  <c r="AL20" i="27" a="1"/>
  <c r="AL20" i="27" s="1"/>
  <c r="AL121" i="27" a="1"/>
  <c r="AL121" i="27" s="1"/>
  <c r="AN27" i="27" a="1"/>
  <c r="AN27" i="27" s="1"/>
  <c r="AP32" i="27" a="1"/>
  <c r="AP32" i="27" s="1"/>
  <c r="AT32" i="27" a="1"/>
  <c r="AT32" i="27" s="1"/>
  <c r="AR17" i="27" a="1"/>
  <c r="AR17" i="27" s="1"/>
  <c r="AT17" i="27" a="1"/>
  <c r="AT17" i="27" s="1"/>
  <c r="AO122" i="27" a="1"/>
  <c r="AO122" i="27" s="1"/>
  <c r="AM60" i="27" a="1"/>
  <c r="AM60" i="27" s="1"/>
  <c r="AO43" i="27" a="1"/>
  <c r="AO43" i="27" s="1"/>
  <c r="AN43" i="27" a="1"/>
  <c r="AN43" i="27" s="1"/>
  <c r="AK93" i="27" a="1"/>
  <c r="AK93" i="27" s="1"/>
  <c r="AN32" i="27" a="1"/>
  <c r="AN32" i="27" s="1"/>
  <c r="AR49" i="27" a="1"/>
  <c r="AR49" i="27" s="1"/>
  <c r="AO60" i="27" a="1"/>
  <c r="AO60" i="27" s="1"/>
  <c r="AJ43" i="27" a="1"/>
  <c r="AJ43" i="27" s="1"/>
  <c r="AK60" i="27" a="1"/>
  <c r="AK60" i="27" s="1"/>
  <c r="AT57" i="27" a="1"/>
  <c r="AT57" i="27" s="1"/>
  <c r="AQ49" i="27" a="1"/>
  <c r="AQ49" i="27" s="1"/>
  <c r="AJ60" i="27" a="1"/>
  <c r="AJ60" i="27" s="1"/>
  <c r="AP60" i="27" a="1"/>
  <c r="AP60" i="27" s="1"/>
  <c r="AL60" i="27" a="1"/>
  <c r="AL60" i="27" s="1"/>
  <c r="AS69" i="27" a="1"/>
  <c r="AS69" i="27" s="1"/>
  <c r="AN69" i="27" a="1"/>
  <c r="AN69" i="27" s="1"/>
  <c r="AR69" i="27" a="1"/>
  <c r="AR69" i="27" s="1"/>
  <c r="AM43" i="27" a="1"/>
  <c r="AM43" i="27" s="1"/>
  <c r="AN93" i="27" a="1"/>
  <c r="AN93" i="27" s="1"/>
  <c r="AL69" i="27" a="1"/>
  <c r="AL69" i="27" s="1"/>
  <c r="AT49" i="27" a="1"/>
  <c r="AT49" i="27" s="1"/>
  <c r="AP121" i="27" a="1"/>
  <c r="AP121" i="27" s="1"/>
  <c r="AQ121" i="27" a="1"/>
  <c r="AQ121" i="27" s="1"/>
  <c r="AS32" i="27" a="1"/>
  <c r="AS32" i="27" s="1"/>
  <c r="AQ93" i="27" a="1"/>
  <c r="AQ93" i="27" s="1"/>
  <c r="AT106" i="27" a="1"/>
  <c r="AT106" i="27" s="1"/>
  <c r="AN94" i="27" a="1"/>
  <c r="AN94" i="27" s="1"/>
  <c r="AT116" i="27" a="1"/>
  <c r="AT116" i="27" s="1"/>
  <c r="AR116" i="27" a="1"/>
  <c r="AR116" i="27" s="1"/>
  <c r="AK20" i="27" a="1"/>
  <c r="AK20" i="27" s="1"/>
  <c r="AP118" i="27" a="1"/>
  <c r="AP118" i="27" s="1"/>
  <c r="AL27" i="27" a="1"/>
  <c r="AL27" i="27" s="1"/>
  <c r="AP112" i="27" a="1"/>
  <c r="AP112" i="27" s="1"/>
  <c r="AQ76" i="27" a="1"/>
  <c r="AQ76" i="27" s="1"/>
  <c r="AT58" i="27" a="1"/>
  <c r="AT58" i="27" s="1"/>
  <c r="AP73" i="27" a="1"/>
  <c r="AP73" i="27" s="1"/>
  <c r="AM106" i="27" a="1"/>
  <c r="AM106" i="27" s="1"/>
  <c r="AR108" i="27" a="1"/>
  <c r="AR108" i="27" s="1"/>
  <c r="AT18" i="27" a="1"/>
  <c r="AT18" i="27" s="1"/>
  <c r="AS133" i="27" a="1"/>
  <c r="AS133" i="27" s="1"/>
  <c r="AQ127" i="27" a="1"/>
  <c r="AQ127" i="27" s="1"/>
  <c r="AQ33" i="27" a="1"/>
  <c r="AQ33" i="27" s="1"/>
  <c r="AK50" i="27" a="1"/>
  <c r="AK50" i="27" s="1"/>
  <c r="AM19" i="27" a="1"/>
  <c r="AM19" i="27" s="1"/>
  <c r="AN19" i="27" a="1"/>
  <c r="AN19" i="27" s="1"/>
  <c r="AJ56" i="27" a="1"/>
  <c r="AJ56" i="27" s="1"/>
  <c r="AQ62" i="27" a="1"/>
  <c r="AQ62" i="27" s="1"/>
  <c r="AR75" i="27" a="1"/>
  <c r="AR75" i="27" s="1"/>
  <c r="AM57" i="27" a="1"/>
  <c r="AM57" i="27" s="1"/>
  <c r="AJ71" i="27" a="1"/>
  <c r="AJ71" i="27" s="1"/>
  <c r="AQ36" i="27" a="1"/>
  <c r="AQ36" i="27" s="1"/>
  <c r="AO33" i="27" a="1"/>
  <c r="AO33" i="27" s="1"/>
  <c r="AK62" i="27" a="1"/>
  <c r="AK62" i="27" s="1"/>
  <c r="AN64" i="27" a="1"/>
  <c r="AN64" i="27" s="1"/>
  <c r="AR21" i="27" a="1"/>
  <c r="AR21" i="27" s="1"/>
  <c r="AP36" i="27" a="1"/>
  <c r="AP36" i="27" s="1"/>
  <c r="AN118" i="27" a="1"/>
  <c r="AN118" i="27" s="1"/>
  <c r="AR78" i="27" a="1"/>
  <c r="AR78" i="27" s="1"/>
  <c r="AP75" i="27" a="1"/>
  <c r="AP75" i="27" s="1"/>
  <c r="AM73" i="27" a="1"/>
  <c r="AM73" i="27" s="1"/>
  <c r="AS18" i="27" a="1"/>
  <c r="AS18" i="27" s="1"/>
  <c r="AQ38" i="27" a="1"/>
  <c r="AQ38" i="27" s="1"/>
  <c r="AP12" i="27" a="1"/>
  <c r="AP12" i="27" s="1"/>
  <c r="AS26" i="27" a="1"/>
  <c r="AS26" i="27" s="1"/>
  <c r="AN26" i="27" a="1"/>
  <c r="AN26" i="27" s="1"/>
  <c r="AS75" i="27" a="1"/>
  <c r="AS75" i="27" s="1"/>
  <c r="AT62" i="27" a="1"/>
  <c r="AT62" i="27" s="1"/>
  <c r="AQ116" i="27" a="1"/>
  <c r="AQ116" i="27" s="1"/>
  <c r="AL33" i="27" a="1"/>
  <c r="AL33" i="27" s="1"/>
  <c r="AR139" i="27" a="1"/>
  <c r="AR139" i="27" s="1"/>
  <c r="AL6" i="27" a="1"/>
  <c r="AL6" i="27" s="1"/>
  <c r="AN112" i="27" a="1"/>
  <c r="AN112" i="27" s="1"/>
  <c r="AS38" i="27" a="1"/>
  <c r="AS38" i="27" s="1"/>
  <c r="AO77" i="27" a="1"/>
  <c r="AO77" i="27" s="1"/>
  <c r="AT48" i="27" a="1"/>
  <c r="AT48" i="27" s="1"/>
  <c r="AT33" i="27" a="1"/>
  <c r="AT33" i="27" s="1"/>
  <c r="AM58" i="27" a="1"/>
  <c r="AM58" i="27" s="1"/>
  <c r="AR112" i="27" a="1"/>
  <c r="AR112" i="27" s="1"/>
  <c r="AJ108" i="27" a="1"/>
  <c r="AJ108" i="27" s="1"/>
  <c r="AK57" i="27" a="1"/>
  <c r="AK57" i="27" s="1"/>
  <c r="AN57" i="27" a="1"/>
  <c r="AN57" i="27" s="1"/>
  <c r="AS136" i="27" a="1"/>
  <c r="AS136" i="27" s="1"/>
  <c r="AM138" i="27" a="1"/>
  <c r="AM138" i="27" s="1"/>
  <c r="AO138" i="27" a="1"/>
  <c r="AO138" i="27" s="1"/>
  <c r="AM21" i="27" a="1"/>
  <c r="AM21" i="27" s="1"/>
  <c r="AO38" i="27" a="1"/>
  <c r="AO38" i="27" s="1"/>
  <c r="AL36" i="27" a="1"/>
  <c r="AL36" i="27" s="1"/>
  <c r="AP108" i="27" a="1"/>
  <c r="AP108" i="27" s="1"/>
  <c r="AO22" i="27" a="1"/>
  <c r="AO22" i="27" s="1"/>
  <c r="AN129" i="27" a="1"/>
  <c r="AN129" i="27" s="1"/>
  <c r="AS77" i="27" a="1"/>
  <c r="AS77" i="27" s="1"/>
  <c r="AP38" i="27" a="1"/>
  <c r="AP38" i="27" s="1"/>
  <c r="AP18" i="27" a="1"/>
  <c r="AP18" i="27" s="1"/>
  <c r="AT78" i="27" a="1"/>
  <c r="AT78" i="27" s="1"/>
  <c r="AN18" i="27" a="1"/>
  <c r="AN18" i="27" s="1"/>
  <c r="AJ76" i="27" a="1"/>
  <c r="AJ76" i="27" s="1"/>
  <c r="AR48" i="27" a="1"/>
  <c r="AR48" i="27" s="1"/>
  <c r="AP50" i="27" a="1"/>
  <c r="AP50" i="27" s="1"/>
  <c r="AQ126" i="27" a="1"/>
  <c r="AQ126" i="27" s="1"/>
  <c r="AM56" i="27" a="1"/>
  <c r="AM56" i="27" s="1"/>
  <c r="AK58" i="27" a="1"/>
  <c r="AK58" i="27" s="1"/>
  <c r="AK33" i="27" a="1"/>
  <c r="AK33" i="27" s="1"/>
  <c r="AO73" i="27" a="1"/>
  <c r="AO73" i="27" s="1"/>
  <c r="AT139" i="27" a="1"/>
  <c r="AT139" i="27" s="1"/>
  <c r="AO116" i="27" a="1"/>
  <c r="AO116" i="27" s="1"/>
  <c r="AL18" i="27" a="1"/>
  <c r="AL18" i="27" s="1"/>
  <c r="AT36" i="27" a="1"/>
  <c r="AT36" i="27" s="1"/>
  <c r="AR129" i="27" a="1"/>
  <c r="AR129" i="27" s="1"/>
  <c r="AM127" i="27" a="1"/>
  <c r="AM127" i="27" s="1"/>
  <c r="AM33" i="27" a="1"/>
  <c r="AM33" i="27" s="1"/>
  <c r="AM48" i="27" a="1"/>
  <c r="AM48" i="27" s="1"/>
  <c r="AJ116" i="27" a="1"/>
  <c r="AJ116" i="27" s="1"/>
  <c r="AR102" i="27" a="1"/>
  <c r="AR102" i="27" s="1"/>
  <c r="AL138" i="27" a="1"/>
  <c r="AL138" i="27" s="1"/>
  <c r="AN58" i="27" a="1"/>
  <c r="AN58" i="27" s="1"/>
  <c r="AT118" i="27" a="1"/>
  <c r="AT118" i="27" s="1"/>
  <c r="AK91" i="27" a="1"/>
  <c r="AK91" i="27" s="1"/>
  <c r="AQ26" i="27" a="1"/>
  <c r="AQ26" i="27" s="1"/>
  <c r="AS116" i="27" a="1"/>
  <c r="AS116" i="27" s="1"/>
  <c r="AK118" i="27" a="1"/>
  <c r="AK118" i="27" s="1"/>
  <c r="AL73" i="27" a="1"/>
  <c r="AL73" i="27" s="1"/>
  <c r="AN127" i="27" a="1"/>
  <c r="AN127" i="27" s="1"/>
  <c r="AP33" i="27" a="1"/>
  <c r="AP33" i="27" s="1"/>
  <c r="AK19" i="27" a="1"/>
  <c r="AK19" i="27" s="1"/>
  <c r="AS73" i="27" a="1"/>
  <c r="AS73" i="27" s="1"/>
  <c r="AP133" i="27" a="1"/>
  <c r="AP133" i="27" s="1"/>
  <c r="AK138" i="27" a="1"/>
  <c r="AK138" i="27" s="1"/>
  <c r="AR18" i="27" a="1"/>
  <c r="AR18" i="27" s="1"/>
  <c r="AP129" i="27" a="1"/>
  <c r="AP129" i="27" s="1"/>
  <c r="AP26" i="27" a="1"/>
  <c r="AP26" i="27" s="1"/>
  <c r="AM20" i="27" a="1"/>
  <c r="AM20" i="27" s="1"/>
  <c r="AO64" i="27" a="1"/>
  <c r="AO64" i="27" s="1"/>
  <c r="AO26" i="27" a="1"/>
  <c r="AO26" i="27" s="1"/>
  <c r="AJ126" i="27" a="1"/>
  <c r="AJ126" i="27" s="1"/>
  <c r="AS127" i="27" a="1"/>
  <c r="AS127" i="27" s="1"/>
  <c r="AO118" i="27" a="1"/>
  <c r="AO118" i="27" s="1"/>
  <c r="AS102" i="27" a="1"/>
  <c r="AS102" i="27" s="1"/>
  <c r="AO78" i="27" a="1"/>
  <c r="AO78" i="27" s="1"/>
  <c r="AS139" i="27" a="1"/>
  <c r="AS139" i="27" s="1"/>
  <c r="AO127" i="27" a="1"/>
  <c r="AO127" i="27" s="1"/>
  <c r="AK78" i="27" a="1"/>
  <c r="AK78" i="27" s="1"/>
  <c r="AT75" i="27" a="1"/>
  <c r="AT75" i="27" s="1"/>
  <c r="AR64" i="27" a="1"/>
  <c r="AR64" i="27" s="1"/>
  <c r="AT112" i="27" a="1"/>
  <c r="AT112" i="27" s="1"/>
  <c r="AR26" i="27" a="1"/>
  <c r="AR26" i="27" s="1"/>
  <c r="AP19" i="27" a="1"/>
  <c r="AP19" i="27" s="1"/>
  <c r="AN75" i="27" a="1"/>
  <c r="AN75" i="27" s="1"/>
  <c r="AO129" i="27" a="1"/>
  <c r="AO129" i="27" s="1"/>
  <c r="AO58" i="27" a="1"/>
  <c r="AO58" i="27" s="1"/>
  <c r="AS20" i="27" a="1"/>
  <c r="AS20" i="27" s="1"/>
  <c r="AT129" i="27" a="1"/>
  <c r="AT129" i="27" s="1"/>
  <c r="AT91" i="27" a="1"/>
  <c r="AT91" i="27" s="1"/>
  <c r="AL48" i="27" a="1"/>
  <c r="AL48" i="27" s="1"/>
  <c r="AL126" i="27" a="1"/>
  <c r="AL126" i="27" s="1"/>
  <c r="AJ118" i="27" a="1"/>
  <c r="AJ118" i="27" s="1"/>
  <c r="AK75" i="27" a="1"/>
  <c r="AK75" i="27" s="1"/>
  <c r="AS85" i="27" a="1"/>
  <c r="AS85" i="27" s="1"/>
  <c r="AO48" i="27" a="1"/>
  <c r="AO48" i="27" s="1"/>
  <c r="AJ64" i="27" a="1"/>
  <c r="AJ64" i="27" s="1"/>
  <c r="AM18" i="27" a="1"/>
  <c r="AM18" i="27" s="1"/>
  <c r="AO50" i="27" a="1"/>
  <c r="AO50" i="27" s="1"/>
  <c r="AJ138" i="27" a="1"/>
  <c r="AJ138" i="27" s="1"/>
  <c r="AQ112" i="27" a="1"/>
  <c r="AQ112" i="27" s="1"/>
  <c r="AL19" i="27" a="1"/>
  <c r="AL19" i="27" s="1"/>
  <c r="AT64" i="27" a="1"/>
  <c r="AT64" i="27" s="1"/>
  <c r="AM118" i="27" a="1"/>
  <c r="AM118" i="27" s="1"/>
  <c r="AM85" i="27" a="1"/>
  <c r="AM85" i="27" s="1"/>
  <c r="AM108" i="27" a="1"/>
  <c r="AM108" i="27" s="1"/>
  <c r="AL77" i="27" a="1"/>
  <c r="AL77" i="27" s="1"/>
  <c r="AK22" i="27" a="1"/>
  <c r="AK22" i="27" s="1"/>
  <c r="AQ21" i="27" a="1"/>
  <c r="AQ21" i="27" s="1"/>
  <c r="AR126" i="27" a="1"/>
  <c r="AR126" i="27" s="1"/>
  <c r="AL22" i="27" a="1"/>
  <c r="AL22" i="27" s="1"/>
  <c r="AN73" i="27" a="1"/>
  <c r="AN73" i="27" s="1"/>
  <c r="AQ20" i="27" a="1"/>
  <c r="AQ20" i="27" s="1"/>
  <c r="AP85" i="27" a="1"/>
  <c r="AP85" i="27" s="1"/>
  <c r="AL75" i="27" a="1"/>
  <c r="AL75" i="27" s="1"/>
  <c r="AJ57" i="27" a="1"/>
  <c r="AJ57" i="27" s="1"/>
  <c r="AK108" i="27" a="1"/>
  <c r="AK108" i="27" s="1"/>
  <c r="AP126" i="27" a="1"/>
  <c r="AP126" i="27" s="1"/>
  <c r="AN116" i="27" a="1"/>
  <c r="AN116" i="27" s="1"/>
  <c r="AJ65" i="27" a="1"/>
  <c r="AJ65" i="27" s="1"/>
  <c r="AO29" i="27" a="1"/>
  <c r="AO29" i="27" s="1"/>
  <c r="AK56" i="27" a="1"/>
  <c r="AK56" i="27" s="1"/>
  <c r="AP57" i="27" a="1"/>
  <c r="AP57" i="27" s="1"/>
  <c r="AK85" i="27" a="1"/>
  <c r="AK85" i="27" s="1"/>
  <c r="AS71" i="27" a="1"/>
  <c r="AS71" i="27" s="1"/>
  <c r="AO139" i="27" a="1"/>
  <c r="AO139" i="27" s="1"/>
  <c r="AM116" i="27" a="1"/>
  <c r="AM116" i="27" s="1"/>
  <c r="AM36" i="27" a="1"/>
  <c r="AM36" i="27" s="1"/>
  <c r="AK38" i="27" a="1"/>
  <c r="AK38" i="27" s="1"/>
  <c r="AK71" i="27" a="1"/>
  <c r="AK71" i="27" s="1"/>
  <c r="AT15" i="27" a="1"/>
  <c r="AT15" i="27" s="1"/>
  <c r="AJ85" i="27" a="1"/>
  <c r="AJ85" i="27" s="1"/>
  <c r="AJ77" i="27" a="1"/>
  <c r="AJ77" i="27" s="1"/>
  <c r="AP62" i="27" a="1"/>
  <c r="AP62" i="27" s="1"/>
  <c r="AR127" i="27" a="1"/>
  <c r="AR127" i="27" s="1"/>
  <c r="AQ91" i="27" a="1"/>
  <c r="AQ91" i="27" s="1"/>
  <c r="AQ56" i="27" a="1"/>
  <c r="AQ56" i="27" s="1"/>
  <c r="AK139" i="27" a="1"/>
  <c r="AK139" i="27" s="1"/>
  <c r="AL29" i="27" a="1"/>
  <c r="AL29" i="27" s="1"/>
  <c r="AO36" i="27" a="1"/>
  <c r="AO36" i="27" s="1"/>
  <c r="AL85" i="27" a="1"/>
  <c r="AL85" i="27" s="1"/>
  <c r="AO12" i="27" a="1"/>
  <c r="AO12" i="27" s="1"/>
  <c r="AR118" i="27" a="1"/>
  <c r="AR118" i="27" s="1"/>
  <c r="AR36" i="27" a="1"/>
  <c r="AR36" i="27" s="1"/>
  <c r="AM77" i="27" a="1"/>
  <c r="AM77" i="27" s="1"/>
  <c r="AN21" i="27" a="1"/>
  <c r="AN21" i="27" s="1"/>
  <c r="AK77" i="27" a="1"/>
  <c r="AK77" i="27" s="1"/>
  <c r="AN138" i="27" a="1"/>
  <c r="AN138" i="27" s="1"/>
  <c r="AT29" i="27" a="1"/>
  <c r="AT29" i="27" s="1"/>
  <c r="AL91" i="27" a="1"/>
  <c r="AL91" i="27" s="1"/>
  <c r="AM64" i="27" a="1"/>
  <c r="AM64" i="27" s="1"/>
  <c r="AO133" i="27" a="1"/>
  <c r="AO133" i="27" s="1"/>
  <c r="AQ50" i="27" a="1"/>
  <c r="AQ50" i="27" s="1"/>
  <c r="AM71" i="27" a="1"/>
  <c r="AM71" i="27" s="1"/>
  <c r="AQ136" i="27" a="1"/>
  <c r="AQ136" i="27" s="1"/>
  <c r="AO57" i="27" a="1"/>
  <c r="AO57" i="27" s="1"/>
  <c r="AJ78" i="27" a="1"/>
  <c r="AJ78" i="27" s="1"/>
  <c r="AR76" i="27" a="1"/>
  <c r="AR76" i="27" s="1"/>
  <c r="AM91" i="27" a="1"/>
  <c r="AM91" i="27" s="1"/>
  <c r="AR50" i="27" a="1"/>
  <c r="AR50" i="27" s="1"/>
  <c r="AQ85" i="27" a="1"/>
  <c r="AQ85" i="27" s="1"/>
  <c r="AN139" i="27" a="1"/>
  <c r="AN139" i="27" s="1"/>
  <c r="AR58" i="27" a="1"/>
  <c r="AR58" i="27" s="1"/>
  <c r="AN136" i="27" a="1"/>
  <c r="AN136" i="27" s="1"/>
  <c r="AM102" i="27" a="1"/>
  <c r="AM102" i="27" s="1"/>
  <c r="AK29" i="27" a="1"/>
  <c r="AK29" i="27" s="1"/>
  <c r="AJ112" i="27" a="1"/>
  <c r="AJ112" i="27" s="1"/>
  <c r="AL108" i="27" a="1"/>
  <c r="AL108" i="27" s="1"/>
  <c r="AL62" i="27" a="1"/>
  <c r="AL62" i="27" s="1"/>
  <c r="AQ73" i="27" a="1"/>
  <c r="AQ73" i="27" s="1"/>
  <c r="AP127" i="27" a="1"/>
  <c r="AP127" i="27" s="1"/>
  <c r="AJ62" i="27" a="1"/>
  <c r="AJ62" i="27" s="1"/>
  <c r="AT38" i="27" a="1"/>
  <c r="AT38" i="27" s="1"/>
  <c r="AJ73" i="27" a="1"/>
  <c r="AJ73" i="27" s="1"/>
  <c r="AL136" i="27" a="1"/>
  <c r="AL136" i="27" s="1"/>
  <c r="AN29" i="27" a="1"/>
  <c r="AN29" i="27" s="1"/>
  <c r="AN108" i="27" a="1"/>
  <c r="AN108" i="27" s="1"/>
  <c r="AR77" i="27" a="1"/>
  <c r="AR77" i="27" s="1"/>
  <c r="AK102" i="27" a="1"/>
  <c r="AK102" i="27" s="1"/>
  <c r="AQ18" i="27" a="1"/>
  <c r="AQ18" i="27" s="1"/>
  <c r="AQ139" i="27" a="1"/>
  <c r="AQ139" i="27" s="1"/>
  <c r="AR62" i="27" a="1"/>
  <c r="AR62" i="27" s="1"/>
  <c r="AS22" i="27" a="1"/>
  <c r="AS22" i="27" s="1"/>
  <c r="AK116" i="27" a="1"/>
  <c r="AK116" i="27" s="1"/>
  <c r="AJ50" i="27" a="1"/>
  <c r="AJ50" i="27" s="1"/>
  <c r="AO126" i="27" a="1"/>
  <c r="AO126" i="27" s="1"/>
  <c r="AL21" i="27" a="1"/>
  <c r="AL21" i="27" s="1"/>
  <c r="AL133" i="27" a="1"/>
  <c r="AL133" i="27" s="1"/>
  <c r="AL118" i="27" a="1"/>
  <c r="AL118" i="27" s="1"/>
  <c r="AN12" i="27" a="1"/>
  <c r="AN12" i="27" s="1"/>
  <c r="AS62" i="27" a="1"/>
  <c r="AS62" i="27" s="1"/>
  <c r="AN48" i="27" a="1"/>
  <c r="AN48" i="27" s="1"/>
  <c r="AQ15" i="27" a="1"/>
  <c r="AQ15" i="27" s="1"/>
  <c r="AM126" i="27" a="1"/>
  <c r="AM126" i="27" s="1"/>
  <c r="AP76" i="27" a="1"/>
  <c r="AP76" i="27" s="1"/>
  <c r="AM22" i="27" a="1"/>
  <c r="AM22" i="27" s="1"/>
  <c r="AT22" i="27" a="1"/>
  <c r="AT22" i="27" s="1"/>
  <c r="AR22" i="27" a="1"/>
  <c r="AR22" i="27" s="1"/>
  <c r="AP22" i="27" a="1"/>
  <c r="AP22" i="27" s="1"/>
  <c r="AN22" i="27" a="1"/>
  <c r="AN22" i="27" s="1"/>
  <c r="AQ22" i="27" a="1"/>
  <c r="AQ22" i="27" s="1"/>
  <c r="AR119" i="27" a="1"/>
  <c r="AR119" i="27" s="1"/>
  <c r="AL12" i="27" a="1"/>
  <c r="AL12" i="27" s="1"/>
  <c r="AU85" i="27" a="1"/>
  <c r="AU85" i="27" s="1"/>
  <c r="AK15" i="27" a="1"/>
  <c r="AK15" i="27" s="1"/>
  <c r="AP15" i="27" a="1"/>
  <c r="AP15" i="27" s="1"/>
  <c r="AQ29" i="27" a="1"/>
  <c r="AQ29" i="27" s="1"/>
  <c r="AN33" i="27" a="1"/>
  <c r="AN33" i="27" s="1"/>
  <c r="AT71" i="27" a="1"/>
  <c r="AT71" i="27" s="1"/>
  <c r="AK133" i="27" a="1"/>
  <c r="AK133" i="27" s="1"/>
  <c r="AM76" i="27" a="1"/>
  <c r="AM76" i="27" s="1"/>
  <c r="AS48" i="27" a="1"/>
  <c r="AS48" i="27" s="1"/>
  <c r="AQ12" i="27" a="1"/>
  <c r="AQ12" i="27" s="1"/>
  <c r="AQ138" i="27" a="1"/>
  <c r="AQ138" i="27" s="1"/>
  <c r="AR6" i="27" a="1"/>
  <c r="AR6" i="27" s="1"/>
  <c r="AS112" i="27" a="1"/>
  <c r="AS112" i="27" s="1"/>
  <c r="AM29" i="27" a="1"/>
  <c r="AM29" i="27" s="1"/>
  <c r="AL116" i="27" a="1"/>
  <c r="AL116" i="27" s="1"/>
  <c r="AK76" i="27" a="1"/>
  <c r="AK76" i="27" s="1"/>
  <c r="AM78" i="27" a="1"/>
  <c r="AM78" i="27" s="1"/>
  <c r="AR91" i="27" a="1"/>
  <c r="AR91" i="27" s="1"/>
  <c r="AJ133" i="27" a="1"/>
  <c r="AJ133" i="27" s="1"/>
  <c r="AQ65" i="27" a="1"/>
  <c r="AQ65" i="27" s="1"/>
  <c r="AJ136" i="27" a="1"/>
  <c r="AJ136" i="27" s="1"/>
  <c r="AR57" i="27" a="1"/>
  <c r="AR57" i="27" s="1"/>
  <c r="AQ133" i="27" a="1"/>
  <c r="AQ133" i="27" s="1"/>
  <c r="AM6" i="27" a="1"/>
  <c r="AM6" i="27" s="1"/>
  <c r="AT126" i="27" a="1"/>
  <c r="AT126" i="27" s="1"/>
  <c r="AK48" i="27" a="1"/>
  <c r="AK48" i="27" s="1"/>
  <c r="AP102" i="27" a="1"/>
  <c r="AP102" i="27" s="1"/>
  <c r="AO85" i="27" a="1"/>
  <c r="AO85" i="27" s="1"/>
  <c r="AQ102" i="27" a="1"/>
  <c r="AQ102" i="27" s="1"/>
  <c r="AO15" i="27" a="1"/>
  <c r="AO15" i="27" s="1"/>
  <c r="AP29" i="27" a="1"/>
  <c r="AP29" i="27" s="1"/>
  <c r="AS56" i="27" a="1"/>
  <c r="AS56" i="27" s="1"/>
  <c r="AT12" i="27" a="1"/>
  <c r="AT12" i="27" s="1"/>
  <c r="AQ6" i="27" a="1"/>
  <c r="AQ6" i="27" s="1"/>
  <c r="AO91" i="27" a="1"/>
  <c r="AO91" i="27" s="1"/>
  <c r="AP116" i="27" a="1"/>
  <c r="AP116" i="27" s="1"/>
  <c r="AT102" i="27" a="1"/>
  <c r="AT102" i="27" s="1"/>
  <c r="AR15" i="27" a="1"/>
  <c r="AR15" i="27" s="1"/>
  <c r="AL56" i="27" a="1"/>
  <c r="AL56" i="27" s="1"/>
  <c r="AQ71" i="27" a="1"/>
  <c r="AQ71" i="27" s="1"/>
  <c r="AN71" i="27" a="1"/>
  <c r="AN71" i="27" s="1"/>
  <c r="AS118" i="27" a="1"/>
  <c r="AS118" i="27" s="1"/>
  <c r="AK73" i="27" a="1"/>
  <c r="AK73" i="27" s="1"/>
  <c r="AP21" i="27" a="1"/>
  <c r="AP21" i="27" s="1"/>
  <c r="AL38" i="27" a="1"/>
  <c r="AL38" i="27" s="1"/>
  <c r="AT21" i="27" a="1"/>
  <c r="AT21" i="27" s="1"/>
  <c r="AN62" i="27" a="1"/>
  <c r="AN62" i="27" s="1"/>
  <c r="AO56" i="27" a="1"/>
  <c r="AO56" i="27" s="1"/>
  <c r="AR12" i="27" a="1"/>
  <c r="AR12" i="27" s="1"/>
  <c r="AQ57" i="27" a="1"/>
  <c r="AQ57" i="27" s="1"/>
  <c r="AT77" i="27" a="1"/>
  <c r="AT77" i="27" s="1"/>
  <c r="AL139" i="27" a="1"/>
  <c r="AL139" i="27" s="1"/>
  <c r="AS12" i="27" a="1"/>
  <c r="AS12" i="27" s="1"/>
  <c r="AN133" i="27" a="1"/>
  <c r="AN133" i="27" s="1"/>
  <c r="AP6" i="27" a="1"/>
  <c r="AP6" i="27" s="1"/>
  <c r="AJ102" i="27" a="1"/>
  <c r="AJ102" i="27" s="1"/>
  <c r="AR73" i="27" a="1"/>
  <c r="AR73" i="27" s="1"/>
  <c r="AO76" i="27" a="1"/>
  <c r="AO76" i="27" s="1"/>
  <c r="AT127" i="27" a="1"/>
  <c r="AT127" i="27" s="1"/>
  <c r="AS15" i="27" a="1"/>
  <c r="AS15" i="27" s="1"/>
  <c r="AS33" i="27" a="1"/>
  <c r="AS33" i="27" s="1"/>
  <c r="AO108" i="27" a="1"/>
  <c r="AO108" i="27" s="1"/>
  <c r="AL127" i="27" a="1"/>
  <c r="AL127" i="27" s="1"/>
  <c r="AT65" i="27" a="1"/>
  <c r="AT65" i="27" s="1"/>
  <c r="AL15" i="27" a="1"/>
  <c r="AL15" i="27" s="1"/>
  <c r="AP119" i="27" a="1"/>
  <c r="AP119" i="27" s="1"/>
  <c r="AN56" i="27" a="1"/>
  <c r="AN56" i="27" s="1"/>
  <c r="AT85" i="27" a="1"/>
  <c r="AT85" i="27" s="1"/>
  <c r="AN126" i="27" a="1"/>
  <c r="AN126" i="27" s="1"/>
  <c r="AP136" i="27" a="1"/>
  <c r="AP136" i="27" s="1"/>
  <c r="AL50" i="27" a="1"/>
  <c r="AL50" i="27" s="1"/>
  <c r="AP78" i="27" a="1"/>
  <c r="AP78" i="27" s="1"/>
  <c r="AP77" i="27" a="1"/>
  <c r="AP77" i="27" s="1"/>
  <c r="AL102" i="27" a="1"/>
  <c r="AL102" i="27" s="1"/>
  <c r="AM136" i="27" a="1"/>
  <c r="AM136" i="27" s="1"/>
  <c r="AO102" i="27" a="1"/>
  <c r="AO102" i="27" s="1"/>
  <c r="AN15" i="27" a="1"/>
  <c r="AN15" i="27" s="1"/>
  <c r="AP56" i="27" a="1"/>
  <c r="AP56" i="27" s="1"/>
  <c r="AN102" i="27" a="1"/>
  <c r="AN102" i="27" s="1"/>
  <c r="AN78" i="27" a="1"/>
  <c r="AN78" i="27" s="1"/>
  <c r="AO75" i="27" a="1"/>
  <c r="AO75" i="27" s="1"/>
  <c r="AL76" i="27" a="1"/>
  <c r="AL76" i="27" s="1"/>
  <c r="AN77" i="27" a="1"/>
  <c r="AN77" i="27" s="1"/>
  <c r="AR56" i="27" a="1"/>
  <c r="AR56" i="27" s="1"/>
  <c r="AT50" i="27" a="1"/>
  <c r="AT50" i="27" s="1"/>
  <c r="AS6" i="27" a="1"/>
  <c r="AS6" i="27" s="1"/>
  <c r="AM32" i="27" a="1"/>
  <c r="AM32" i="27" s="1"/>
  <c r="AK126" i="27" a="1"/>
  <c r="AK126" i="27" s="1"/>
  <c r="AL57" i="27" a="1"/>
  <c r="AL57" i="27" s="1"/>
  <c r="AT136" i="27" a="1"/>
  <c r="AT136" i="27" s="1"/>
  <c r="AT60" i="27" a="1"/>
  <c r="AT60" i="27" s="1"/>
  <c r="AR43" i="27" a="1"/>
  <c r="AR43" i="27" s="1"/>
  <c r="AN121" i="27" a="1"/>
  <c r="AN121" i="27" s="1"/>
  <c r="AQ32" i="27" a="1"/>
  <c r="AQ32" i="27" s="1"/>
  <c r="AQ60" i="27" a="1"/>
  <c r="AQ60" i="27" s="1"/>
  <c r="AN60" i="27" a="1"/>
  <c r="AN60" i="27" s="1"/>
  <c r="AM69" i="27" a="1"/>
  <c r="AM69" i="27" s="1"/>
  <c r="AO119" i="27" a="1"/>
  <c r="AO119" i="27" s="1"/>
  <c r="AS87" i="27" a="1"/>
  <c r="AS87" i="27" s="1"/>
  <c r="AM68" i="27" a="1"/>
  <c r="AM68" i="27" s="1"/>
  <c r="AL114" i="27" a="1"/>
  <c r="AL114" i="27" s="1"/>
  <c r="AQ114" i="27" a="1"/>
  <c r="AQ114" i="27" s="1"/>
  <c r="AN114" i="27" a="1"/>
  <c r="AN114" i="27" s="1"/>
  <c r="AN122" i="27" a="1"/>
  <c r="AN122" i="27" s="1"/>
  <c r="AT122" i="27" a="1"/>
  <c r="AT122" i="27" s="1"/>
  <c r="AM122" i="27" a="1"/>
  <c r="AM122" i="27" s="1"/>
  <c r="AR32" i="27" a="1"/>
  <c r="AR32" i="27" s="1"/>
  <c r="AK49" i="27" a="1"/>
  <c r="AK49" i="27" s="1"/>
  <c r="AN49" i="27" a="1"/>
  <c r="AN49" i="27" s="1"/>
  <c r="AJ69" i="27" a="1"/>
  <c r="AJ69" i="27" s="1"/>
  <c r="AL43" i="27" a="1"/>
  <c r="AL43" i="27" s="1"/>
  <c r="AP43" i="27" a="1"/>
  <c r="AP43" i="27" s="1"/>
  <c r="AR121" i="27" a="1"/>
  <c r="AR121" i="27" s="1"/>
  <c r="AM121" i="27" a="1"/>
  <c r="AM121" i="27" s="1"/>
  <c r="AK27" i="27" a="1"/>
  <c r="AK27" i="27" s="1"/>
  <c r="AQ27" i="27" a="1"/>
  <c r="AQ27" i="27" s="1"/>
  <c r="AK136" i="27" a="1"/>
  <c r="AK136" i="27" s="1"/>
  <c r="AT114" i="27" a="1"/>
  <c r="AT114" i="27" s="1"/>
  <c r="AP65" i="27" a="1"/>
  <c r="AP65" i="27" s="1"/>
  <c r="AK114" i="27" a="1"/>
  <c r="AK114" i="27" s="1"/>
  <c r="AJ68" i="27" a="1"/>
  <c r="AJ68" i="27" s="1"/>
  <c r="AN68" i="27" a="1"/>
  <c r="AN68" i="27" s="1"/>
  <c r="AS43" i="27" a="1"/>
  <c r="AS43" i="27" s="1"/>
  <c r="AO135" i="27" a="1"/>
  <c r="AO135" i="27" s="1"/>
  <c r="AO9" i="27" a="1"/>
  <c r="AO9" i="27" s="1"/>
  <c r="AR60" i="27" a="1"/>
  <c r="AR60" i="27" s="1"/>
  <c r="AP17" i="27" a="1"/>
  <c r="AP17" i="27" s="1"/>
  <c r="AK106" i="27" a="1"/>
  <c r="AK106" i="27" s="1"/>
  <c r="G100" i="12" l="1"/>
  <c r="J100" i="12" s="1"/>
  <c r="L100" i="12" s="1"/>
  <c r="N100" i="12" s="1"/>
  <c r="G56" i="12"/>
  <c r="J56" i="12" s="1"/>
  <c r="L56" i="12" s="1"/>
  <c r="N56" i="12" s="1"/>
  <c r="G73" i="12"/>
  <c r="J73" i="12" s="1"/>
  <c r="L73" i="12" s="1"/>
  <c r="N73" i="12" s="1"/>
  <c r="Z73" i="12" s="1"/>
  <c r="G127" i="12"/>
  <c r="J127" i="12" s="1"/>
  <c r="L127" i="12" s="1"/>
  <c r="N127" i="12" s="1"/>
  <c r="G83" i="12"/>
  <c r="J83" i="12" s="1"/>
  <c r="L83" i="12" s="1"/>
  <c r="N83" i="12" s="1"/>
  <c r="G114" i="12"/>
  <c r="J114" i="12" s="1"/>
  <c r="L114" i="12" s="1"/>
  <c r="N114" i="12" s="1"/>
  <c r="G74" i="12"/>
  <c r="J74" i="12" s="1"/>
  <c r="L74" i="12" s="1"/>
  <c r="N74" i="12" s="1"/>
  <c r="Z74" i="12" s="1"/>
  <c r="G62" i="12"/>
  <c r="J62" i="12" s="1"/>
  <c r="L62" i="12" s="1"/>
  <c r="N62" i="12" s="1"/>
  <c r="Z62" i="12" s="1"/>
  <c r="G134" i="12"/>
  <c r="G124" i="12"/>
  <c r="G54" i="12"/>
  <c r="J54" i="12" s="1"/>
  <c r="L54" i="12" s="1"/>
  <c r="N54" i="12" s="1"/>
  <c r="G56" i="31"/>
  <c r="J56" i="31" s="1"/>
  <c r="L56" i="31" s="1"/>
  <c r="N56" i="31" s="1"/>
  <c r="Z56" i="31" s="1"/>
  <c r="G127" i="31"/>
  <c r="J127" i="31" s="1"/>
  <c r="L127" i="31" s="1"/>
  <c r="N127" i="31" s="1"/>
  <c r="Z127" i="31" s="1"/>
  <c r="G73" i="30"/>
  <c r="J73" i="30" s="1"/>
  <c r="L73" i="30" s="1"/>
  <c r="N73" i="30" s="1"/>
  <c r="Z73" i="30" s="1"/>
  <c r="G73" i="31"/>
  <c r="Z56" i="12"/>
  <c r="G83" i="31"/>
  <c r="G83" i="30"/>
  <c r="Z83" i="12"/>
  <c r="G56" i="30"/>
  <c r="J56" i="30" s="1"/>
  <c r="L56" i="30" s="1"/>
  <c r="N56" i="30" s="1"/>
  <c r="Z56" i="30" s="1"/>
  <c r="G100" i="31"/>
  <c r="G100" i="30"/>
  <c r="J100" i="30" s="1"/>
  <c r="L100" i="30" s="1"/>
  <c r="N100" i="30" s="1"/>
  <c r="Z100" i="30" s="1"/>
  <c r="Z100" i="12"/>
  <c r="G114" i="31"/>
  <c r="G114" i="30"/>
  <c r="Z114" i="12"/>
  <c r="G74" i="31"/>
  <c r="G74" i="30"/>
  <c r="Z127" i="12"/>
  <c r="G62" i="31"/>
  <c r="J62" i="31" s="1"/>
  <c r="L62" i="31" s="1"/>
  <c r="N62" i="31" s="1"/>
  <c r="Z62" i="31" s="1"/>
  <c r="G62" i="30"/>
  <c r="G127" i="30"/>
  <c r="J127" i="30" s="1"/>
  <c r="L127" i="30" s="1"/>
  <c r="N127" i="30" s="1"/>
  <c r="Z127" i="30" s="1"/>
  <c r="G134" i="31"/>
  <c r="G134" i="30"/>
  <c r="G124" i="31"/>
  <c r="G124" i="30"/>
  <c r="G54" i="31"/>
  <c r="J54" i="31" s="1"/>
  <c r="L54" i="31" s="1"/>
  <c r="N54" i="31" s="1"/>
  <c r="Z54" i="31" s="1"/>
  <c r="G54" i="30"/>
  <c r="Z54" i="12"/>
  <c r="AU33" i="27" a="1"/>
  <c r="AU33" i="27" s="1"/>
  <c r="AU26" i="27" a="1"/>
  <c r="AU26" i="27" s="1"/>
  <c r="G24" i="31" s="1"/>
  <c r="AU105" i="27" a="1"/>
  <c r="AU105" i="27" s="1"/>
  <c r="G103" i="31" s="1"/>
  <c r="J103" i="31" s="1"/>
  <c r="AU57" i="27" a="1"/>
  <c r="AU57" i="27" s="1"/>
  <c r="G55" i="31" s="1"/>
  <c r="J55" i="31" s="1"/>
  <c r="L55" i="31" s="1"/>
  <c r="N55" i="31" s="1"/>
  <c r="Z55" i="31" s="1"/>
  <c r="AU50" i="27" a="1"/>
  <c r="AU50" i="27" s="1"/>
  <c r="AU121" i="27" a="1"/>
  <c r="AU121" i="27" s="1"/>
  <c r="AU17" i="27" a="1"/>
  <c r="AU17" i="27" s="1"/>
  <c r="AU138" i="27" a="1"/>
  <c r="AU138" i="27" s="1"/>
  <c r="G136" i="31" s="1"/>
  <c r="AU106" i="27" a="1"/>
  <c r="AU106" i="27" s="1"/>
  <c r="AU78" i="27" a="1"/>
  <c r="AU78" i="27" s="1"/>
  <c r="G76" i="31" s="1"/>
  <c r="AU15" i="27" a="1"/>
  <c r="AU15" i="27" s="1"/>
  <c r="G13" i="31" s="1"/>
  <c r="AU29" i="27" a="1"/>
  <c r="AU29" i="27" s="1"/>
  <c r="AU118" i="27" a="1"/>
  <c r="AU118" i="27" s="1"/>
  <c r="G116" i="31" s="1"/>
  <c r="J116" i="31" s="1"/>
  <c r="L116" i="31" s="1"/>
  <c r="N116" i="31" s="1"/>
  <c r="Z116" i="31" s="1"/>
  <c r="AJ29" i="27" a="1"/>
  <c r="AJ29" i="27" s="1"/>
  <c r="AJ33" i="27" a="1"/>
  <c r="AJ33" i="27" s="1"/>
  <c r="G31" i="12" s="1"/>
  <c r="J31" i="12" s="1"/>
  <c r="L31" i="12" s="1"/>
  <c r="N31" i="12" s="1"/>
  <c r="AJ17" i="27" a="1"/>
  <c r="AJ17" i="27" s="1"/>
  <c r="AJ38" i="27" a="1"/>
  <c r="AJ38" i="27" s="1"/>
  <c r="AJ27" i="27" a="1"/>
  <c r="AJ27" i="27" s="1"/>
  <c r="AJ22" i="27" a="1"/>
  <c r="AJ22" i="27" s="1"/>
  <c r="G20" i="12" s="1"/>
  <c r="J20" i="12" s="1"/>
  <c r="L20" i="12" s="1"/>
  <c r="N20" i="12" s="1"/>
  <c r="AJ12" i="27" a="1"/>
  <c r="AJ12" i="27" s="1"/>
  <c r="AJ18" i="27" a="1"/>
  <c r="AJ18" i="27" s="1"/>
  <c r="G16" i="12" s="1"/>
  <c r="J16" i="12" s="1"/>
  <c r="L16" i="12" s="1"/>
  <c r="N16" i="12" s="1"/>
  <c r="AJ21" i="27" a="1"/>
  <c r="AJ21" i="27" s="1"/>
  <c r="AJ32" i="27" a="1"/>
  <c r="AJ32" i="27" s="1"/>
  <c r="AJ6" i="27" a="1"/>
  <c r="AJ6" i="27" s="1"/>
  <c r="AU91" i="27" a="1"/>
  <c r="AU91" i="27" s="1"/>
  <c r="G89" i="30" s="1"/>
  <c r="J89" i="30" s="1"/>
  <c r="L89" i="30" s="1"/>
  <c r="N89" i="30" s="1"/>
  <c r="Z89" i="30" s="1"/>
  <c r="AU112" i="27" a="1"/>
  <c r="AU112" i="27" s="1"/>
  <c r="G110" i="12" s="1"/>
  <c r="J110" i="12" s="1"/>
  <c r="L110" i="12" s="1"/>
  <c r="N110" i="12" s="1"/>
  <c r="AU73" i="27" a="1"/>
  <c r="AU73" i="27" s="1"/>
  <c r="G71" i="31" s="1"/>
  <c r="AU48" i="27" a="1"/>
  <c r="AU48" i="27" s="1"/>
  <c r="AU127" i="27" a="1"/>
  <c r="AU127" i="27" s="1"/>
  <c r="AU6" i="27" a="1"/>
  <c r="AU6" i="27" s="1"/>
  <c r="AU20" i="27" a="1"/>
  <c r="AU20" i="27" s="1"/>
  <c r="G18" i="30" s="1"/>
  <c r="J18" i="30" s="1"/>
  <c r="L18" i="30" s="1"/>
  <c r="N18" i="30" s="1"/>
  <c r="Z18" i="30" s="1"/>
  <c r="AU77" i="27" a="1"/>
  <c r="AU77" i="27" s="1"/>
  <c r="G75" i="30" s="1"/>
  <c r="J75" i="30" s="1"/>
  <c r="L75" i="30" s="1"/>
  <c r="N75" i="30" s="1"/>
  <c r="Z75" i="30" s="1"/>
  <c r="AU38" i="27" a="1"/>
  <c r="AU38" i="27" s="1"/>
  <c r="AU108" i="27" a="1"/>
  <c r="AU108" i="27" s="1"/>
  <c r="G106" i="31" s="1"/>
  <c r="AU62" i="27" a="1"/>
  <c r="AU62" i="27" s="1"/>
  <c r="G60" i="31" s="1"/>
  <c r="J60" i="31" s="1"/>
  <c r="L60" i="31" s="1"/>
  <c r="N60" i="31" s="1"/>
  <c r="Z60" i="31" s="1"/>
  <c r="AU133" i="27" a="1"/>
  <c r="AU133" i="27" s="1"/>
  <c r="G131" i="31" s="1"/>
  <c r="AU36" i="27" a="1"/>
  <c r="AU36" i="27" s="1"/>
  <c r="G34" i="30" s="1"/>
  <c r="AU52" i="27" a="1"/>
  <c r="AU52" i="27" s="1"/>
  <c r="G50" i="12" s="1"/>
  <c r="J50" i="12" s="1"/>
  <c r="AU84" i="27" a="1"/>
  <c r="AU84" i="27" s="1"/>
  <c r="G82" i="12" s="1"/>
  <c r="J82" i="12" s="1"/>
  <c r="L82" i="12" s="1"/>
  <c r="N82" i="12" s="1"/>
  <c r="AU100" i="27" a="1"/>
  <c r="AU100" i="27" s="1"/>
  <c r="G98" i="12" s="1"/>
  <c r="J98" i="12" s="1"/>
  <c r="L98" i="12" s="1"/>
  <c r="N98" i="12" s="1"/>
  <c r="AU132" i="27" a="1"/>
  <c r="AU132" i="27" s="1"/>
  <c r="G130" i="12" s="1"/>
  <c r="J130" i="12" s="1"/>
  <c r="L130" i="12" s="1"/>
  <c r="N130" i="12" s="1"/>
  <c r="AU13" i="27" a="1"/>
  <c r="AU13" i="27" s="1"/>
  <c r="G11" i="31" s="1"/>
  <c r="J11" i="31" s="1"/>
  <c r="AU125" i="27" a="1"/>
  <c r="AU125" i="27" s="1"/>
  <c r="G123" i="12" s="1"/>
  <c r="AU86" i="27" a="1"/>
  <c r="AU86" i="27" s="1"/>
  <c r="AU134" i="27" a="1"/>
  <c r="AU134" i="27" s="1"/>
  <c r="G132" i="12" s="1"/>
  <c r="AU31" i="27" a="1"/>
  <c r="AU31" i="27" s="1"/>
  <c r="G29" i="31" s="1"/>
  <c r="AU63" i="27" a="1"/>
  <c r="AU63" i="27" s="1"/>
  <c r="G61" i="12" s="1"/>
  <c r="J61" i="12" s="1"/>
  <c r="AU79" i="27" a="1"/>
  <c r="AU79" i="27" s="1"/>
  <c r="G77" i="12" s="1"/>
  <c r="AU95" i="27" a="1"/>
  <c r="AU95" i="27" s="1"/>
  <c r="G93" i="12" s="1"/>
  <c r="J93" i="12" s="1"/>
  <c r="AU24" i="27" a="1"/>
  <c r="AU24" i="27" s="1"/>
  <c r="G22" i="12" s="1"/>
  <c r="J22" i="12" s="1"/>
  <c r="L22" i="12" s="1"/>
  <c r="N22" i="12" s="1"/>
  <c r="AU40" i="27" a="1"/>
  <c r="AU40" i="27" s="1"/>
  <c r="G38" i="12" s="1"/>
  <c r="J38" i="12" s="1"/>
  <c r="L38" i="12" s="1"/>
  <c r="N38" i="12" s="1"/>
  <c r="AU72" i="27" a="1"/>
  <c r="AU72" i="27" s="1"/>
  <c r="G70" i="12" s="1"/>
  <c r="J70" i="12" s="1"/>
  <c r="L70" i="12" s="1"/>
  <c r="N70" i="12" s="1"/>
  <c r="AU104" i="27" a="1"/>
  <c r="AU104" i="27" s="1"/>
  <c r="G102" i="31" s="1"/>
  <c r="J102" i="31" s="1"/>
  <c r="AU120" i="27" a="1"/>
  <c r="AU120" i="27" s="1"/>
  <c r="G118" i="31" s="1"/>
  <c r="AU65" i="27" a="1"/>
  <c r="AU65" i="27" s="1"/>
  <c r="G63" i="31" s="1"/>
  <c r="J63" i="31" s="1"/>
  <c r="L63" i="31" s="1"/>
  <c r="N63" i="31" s="1"/>
  <c r="Z63" i="31" s="1"/>
  <c r="AU97" i="27" a="1"/>
  <c r="AU97" i="27" s="1"/>
  <c r="G95" i="12" s="1"/>
  <c r="J95" i="12" s="1"/>
  <c r="AU113" i="27" a="1"/>
  <c r="AU113" i="27" s="1"/>
  <c r="G111" i="12" s="1"/>
  <c r="J111" i="12" s="1"/>
  <c r="L111" i="12" s="1"/>
  <c r="N111" i="12" s="1"/>
  <c r="AU10" i="27" a="1"/>
  <c r="AU10" i="27" s="1"/>
  <c r="G8" i="12" s="1"/>
  <c r="AU42" i="27" a="1"/>
  <c r="AU42" i="27" s="1"/>
  <c r="G40" i="12" s="1"/>
  <c r="J40" i="12" s="1"/>
  <c r="L40" i="12" s="1"/>
  <c r="N40" i="12" s="1"/>
  <c r="AU90" i="27" a="1"/>
  <c r="AU90" i="27" s="1"/>
  <c r="G88" i="12" s="1"/>
  <c r="J88" i="12" s="1"/>
  <c r="L88" i="12" s="1"/>
  <c r="N88" i="12" s="1"/>
  <c r="AU19" i="27" a="1"/>
  <c r="AU19" i="27" s="1"/>
  <c r="G17" i="31" s="1"/>
  <c r="AU35" i="27" a="1"/>
  <c r="AU35" i="27" s="1"/>
  <c r="G33" i="12" s="1"/>
  <c r="AU51" i="27" a="1"/>
  <c r="AU51" i="27" s="1"/>
  <c r="G49" i="31" s="1"/>
  <c r="J49" i="31" s="1"/>
  <c r="L49" i="31" s="1"/>
  <c r="N49" i="31" s="1"/>
  <c r="Z49" i="31" s="1"/>
  <c r="AU83" i="27" a="1"/>
  <c r="AU83" i="27" s="1"/>
  <c r="G81" i="12" s="1"/>
  <c r="AU131" i="27" a="1"/>
  <c r="AU131" i="27" s="1"/>
  <c r="G129" i="12" s="1"/>
  <c r="J129" i="12" s="1"/>
  <c r="AU12" i="27" a="1"/>
  <c r="AU12" i="27" s="1"/>
  <c r="AU60" i="27" a="1"/>
  <c r="AU60" i="27" s="1"/>
  <c r="AU92" i="27" a="1"/>
  <c r="AU92" i="27" s="1"/>
  <c r="G90" i="12" s="1"/>
  <c r="J90" i="12" s="1"/>
  <c r="AU124" i="27" a="1"/>
  <c r="AU124" i="27" s="1"/>
  <c r="G122" i="12" s="1"/>
  <c r="AU21" i="27" a="1"/>
  <c r="AU21" i="27" s="1"/>
  <c r="AU37" i="27" a="1"/>
  <c r="AU37" i="27" s="1"/>
  <c r="G35" i="12" s="1"/>
  <c r="AU53" i="27" a="1"/>
  <c r="AU53" i="27" s="1"/>
  <c r="G51" i="31" s="1"/>
  <c r="J51" i="31" s="1"/>
  <c r="AU14" i="27" a="1"/>
  <c r="AU14" i="27" s="1"/>
  <c r="G12" i="31" s="1"/>
  <c r="AU46" i="27" a="1"/>
  <c r="AU46" i="27" s="1"/>
  <c r="G44" i="31" s="1"/>
  <c r="J44" i="31" s="1"/>
  <c r="AU110" i="27" a="1"/>
  <c r="AU110" i="27" s="1"/>
  <c r="G108" i="12" s="1"/>
  <c r="J108" i="12" s="1"/>
  <c r="L108" i="12" s="1"/>
  <c r="N108" i="12" s="1"/>
  <c r="AU7" i="27" a="1"/>
  <c r="AU7" i="27" s="1"/>
  <c r="G5" i="31" s="1"/>
  <c r="AU23" i="27" a="1"/>
  <c r="AU23" i="27" s="1"/>
  <c r="G21" i="12" s="1"/>
  <c r="AU39" i="27" a="1"/>
  <c r="AU39" i="27" s="1"/>
  <c r="G37" i="31" s="1"/>
  <c r="AU55" i="27" a="1"/>
  <c r="AU55" i="27" s="1"/>
  <c r="G53" i="12" s="1"/>
  <c r="J53" i="12" s="1"/>
  <c r="AU71" i="27" a="1"/>
  <c r="AU71" i="27" s="1"/>
  <c r="G69" i="12" s="1"/>
  <c r="AU103" i="27" a="1"/>
  <c r="AU103" i="27" s="1"/>
  <c r="G101" i="12" s="1"/>
  <c r="AU119" i="27" a="1"/>
  <c r="AU119" i="27" s="1"/>
  <c r="G117" i="31" s="1"/>
  <c r="AU16" i="27" a="1"/>
  <c r="AU16" i="27" s="1"/>
  <c r="G14" i="31" s="1"/>
  <c r="AU80" i="27" a="1"/>
  <c r="AU80" i="27" s="1"/>
  <c r="G78" i="12" s="1"/>
  <c r="J78" i="12" s="1"/>
  <c r="AU128" i="27" a="1"/>
  <c r="AU128" i="27" s="1"/>
  <c r="G126" i="12" s="1"/>
  <c r="J126" i="12" s="1"/>
  <c r="L126" i="12" s="1"/>
  <c r="N126" i="12" s="1"/>
  <c r="AU25" i="27" a="1"/>
  <c r="AU25" i="27" s="1"/>
  <c r="G23" i="30" s="1"/>
  <c r="J23" i="30" s="1"/>
  <c r="L23" i="30" s="1"/>
  <c r="N23" i="30" s="1"/>
  <c r="Z23" i="30" s="1"/>
  <c r="AU41" i="27" a="1"/>
  <c r="AU41" i="27" s="1"/>
  <c r="G39" i="31" s="1"/>
  <c r="AU89" i="27" a="1"/>
  <c r="AU89" i="27" s="1"/>
  <c r="G87" i="12" s="1"/>
  <c r="J87" i="12" s="1"/>
  <c r="L87" i="12" s="1"/>
  <c r="N87" i="12" s="1"/>
  <c r="AU137" i="27" a="1"/>
  <c r="AU137" i="27" s="1"/>
  <c r="G135" i="12" s="1"/>
  <c r="AU34" i="27" a="1"/>
  <c r="AU34" i="27" s="1"/>
  <c r="G32" i="12" s="1"/>
  <c r="J32" i="12" s="1"/>
  <c r="L32" i="12" s="1"/>
  <c r="N32" i="12" s="1"/>
  <c r="AU66" i="27" a="1"/>
  <c r="AU66" i="27" s="1"/>
  <c r="G64" i="12" s="1"/>
  <c r="J64" i="12" s="1"/>
  <c r="AU82" i="27" a="1"/>
  <c r="AU82" i="27" s="1"/>
  <c r="G80" i="31" s="1"/>
  <c r="J80" i="31" s="1"/>
  <c r="AU98" i="27" a="1"/>
  <c r="AU98" i="27" s="1"/>
  <c r="G96" i="12" s="1"/>
  <c r="J96" i="12" s="1"/>
  <c r="L96" i="12" s="1"/>
  <c r="N96" i="12" s="1"/>
  <c r="AU130" i="27" a="1"/>
  <c r="AU130" i="27" s="1"/>
  <c r="G128" i="12" s="1"/>
  <c r="J128" i="12" s="1"/>
  <c r="L128" i="12" s="1"/>
  <c r="N128" i="12" s="1"/>
  <c r="AU11" i="27" a="1"/>
  <c r="AU11" i="27" s="1"/>
  <c r="G9" i="31" s="1"/>
  <c r="J9" i="31" s="1"/>
  <c r="AU107" i="27" a="1"/>
  <c r="AU107" i="27" s="1"/>
  <c r="G105" i="12" s="1"/>
  <c r="AU123" i="27" a="1"/>
  <c r="AU123" i="27" s="1"/>
  <c r="G121" i="12" s="1"/>
  <c r="J121" i="12" s="1"/>
  <c r="L121" i="12" s="1"/>
  <c r="N121" i="12" s="1"/>
  <c r="AU139" i="27" a="1"/>
  <c r="AU139" i="27" s="1"/>
  <c r="G137" i="31" s="1"/>
  <c r="AO140" i="27" a="1"/>
  <c r="AO140" i="27" s="1"/>
  <c r="AL140" i="27" a="1"/>
  <c r="AL140" i="27" s="1"/>
  <c r="AR140" i="27" a="1"/>
  <c r="AR140" i="27" s="1"/>
  <c r="AQ140" i="27" a="1"/>
  <c r="AQ140" i="27" s="1"/>
  <c r="AU140" i="27" a="1"/>
  <c r="AU140" i="27" s="1"/>
  <c r="AK47" i="27" a="1"/>
  <c r="AK47" i="27" s="1"/>
  <c r="AO47" i="27" a="1"/>
  <c r="AO47" i="27" s="1"/>
  <c r="AM49" i="27" a="1"/>
  <c r="AM49" i="27" s="1"/>
  <c r="AP93" i="27" a="1"/>
  <c r="AP93" i="27" s="1"/>
  <c r="AT87" i="27" a="1"/>
  <c r="AT87" i="27" s="1"/>
  <c r="AO114" i="27" a="1"/>
  <c r="AO114" i="27" s="1"/>
  <c r="AS17" i="27" a="1"/>
  <c r="AS17" i="27" s="1"/>
  <c r="AT140" i="27" a="1"/>
  <c r="AT140" i="27" s="1"/>
  <c r="AP114" i="27" a="1"/>
  <c r="AP114" i="27" s="1"/>
  <c r="AN9" i="27" a="1"/>
  <c r="AN9" i="27" s="1"/>
  <c r="AU87" i="27" a="1"/>
  <c r="AU87" i="27" s="1"/>
  <c r="AS114" i="27" a="1"/>
  <c r="AS114" i="27" s="1"/>
  <c r="AM114" i="27" a="1"/>
  <c r="AM114" i="27" s="1"/>
  <c r="AJ114" i="27" a="1"/>
  <c r="AJ114" i="27" s="1"/>
  <c r="AT135" i="27" a="1"/>
  <c r="AT135" i="27" s="1"/>
  <c r="AR114" i="27" a="1"/>
  <c r="AR114" i="27" s="1"/>
  <c r="AR68" i="27" a="1"/>
  <c r="AR68" i="27" s="1"/>
  <c r="AO68" i="27" a="1"/>
  <c r="AO68" i="27" s="1"/>
  <c r="AS30" i="27" a="1"/>
  <c r="AS30" i="27" s="1"/>
  <c r="AJ135" i="27" a="1"/>
  <c r="AJ135" i="27" s="1"/>
  <c r="AN87" i="27" a="1"/>
  <c r="AN87" i="27" s="1"/>
  <c r="AM135" i="27" a="1"/>
  <c r="AM135" i="27" s="1"/>
  <c r="AM87" i="27" a="1"/>
  <c r="AM87" i="27" s="1"/>
  <c r="AS135" i="27" a="1"/>
  <c r="AS135" i="27" s="1"/>
  <c r="AR27" i="27" a="1"/>
  <c r="AR27" i="27" s="1"/>
  <c r="AM94" i="27" a="1"/>
  <c r="AM94" i="27" s="1"/>
  <c r="AS93" i="27" a="1"/>
  <c r="AS93" i="27" s="1"/>
  <c r="AT43" i="27" a="1"/>
  <c r="AT43" i="27" s="1"/>
  <c r="AT69" i="27" a="1"/>
  <c r="AT69" i="27" s="1"/>
  <c r="AL32" i="27" a="1"/>
  <c r="AL32" i="27" s="1"/>
  <c r="AO17" i="27" a="1"/>
  <c r="AO17" i="27" s="1"/>
  <c r="AO93" i="27" a="1"/>
  <c r="AO93" i="27" s="1"/>
  <c r="AJ93" i="27" a="1"/>
  <c r="AJ93" i="27" s="1"/>
  <c r="AS60" i="27" a="1"/>
  <c r="AS60" i="27" s="1"/>
  <c r="G58" i="31" s="1"/>
  <c r="J58" i="31" s="1"/>
  <c r="L58" i="31" s="1"/>
  <c r="N58" i="31" s="1"/>
  <c r="Z58" i="31" s="1"/>
  <c r="AL49" i="27" a="1"/>
  <c r="AL49" i="27" s="1"/>
  <c r="AO49" i="27" a="1"/>
  <c r="AO49" i="27" s="1"/>
  <c r="AO32" i="27" a="1"/>
  <c r="AO32" i="27" s="1"/>
  <c r="AK68" i="27" a="1"/>
  <c r="AK68" i="27" s="1"/>
  <c r="AO88" i="27" a="1"/>
  <c r="AO88" i="27" s="1"/>
  <c r="AJ94" i="27" a="1"/>
  <c r="AJ94" i="27" s="1"/>
  <c r="AP28" i="27" a="1"/>
  <c r="AP28" i="27" s="1"/>
  <c r="AK9" i="27" a="1"/>
  <c r="AK9" i="27" s="1"/>
  <c r="AO30" i="27" a="1"/>
  <c r="AO30" i="27" s="1"/>
  <c r="AT9" i="27" a="1"/>
  <c r="AT9" i="27" s="1"/>
  <c r="AK135" i="27" a="1"/>
  <c r="AK135" i="27" s="1"/>
  <c r="AP135" i="27" a="1"/>
  <c r="AP135" i="27" s="1"/>
  <c r="AN106" i="27" a="1"/>
  <c r="AN106" i="27" s="1"/>
  <c r="AJ106" i="27" a="1"/>
  <c r="AJ106" i="27" s="1"/>
  <c r="AL106" i="27" a="1"/>
  <c r="AL106" i="27" s="1"/>
  <c r="AT94" i="27" a="1"/>
  <c r="AT94" i="27" s="1"/>
  <c r="AL68" i="27" a="1"/>
  <c r="AL68" i="27" s="1"/>
  <c r="AJ122" i="27" a="1"/>
  <c r="AJ122" i="27" s="1"/>
  <c r="AR122" i="27" a="1"/>
  <c r="AR122" i="27" s="1"/>
  <c r="AU122" i="27" a="1"/>
  <c r="AU122" i="27" s="1"/>
  <c r="AL135" i="27" a="1"/>
  <c r="AL135" i="27" s="1"/>
  <c r="AO87" i="27" a="1"/>
  <c r="AO87" i="27" s="1"/>
  <c r="AS94" i="27" a="1"/>
  <c r="AS94" i="27" s="1"/>
  <c r="AS121" i="27" a="1"/>
  <c r="AS121" i="27" s="1"/>
  <c r="G119" i="12" s="1"/>
  <c r="J119" i="12" s="1"/>
  <c r="L119" i="12" s="1"/>
  <c r="N119" i="12" s="1"/>
  <c r="AM93" i="27" a="1"/>
  <c r="AM93" i="27" s="1"/>
  <c r="AT93" i="27" a="1"/>
  <c r="AT93" i="27" s="1"/>
  <c r="AO69" i="27" a="1"/>
  <c r="AO69" i="27" s="1"/>
  <c r="AP49" i="27" a="1"/>
  <c r="AP49" i="27" s="1"/>
  <c r="AM27" i="27" a="1"/>
  <c r="AM27" i="27" s="1"/>
  <c r="AL94" i="27" a="1"/>
  <c r="AL94" i="27" s="1"/>
  <c r="AT27" i="27" a="1"/>
  <c r="AT27" i="27" s="1"/>
  <c r="AK17" i="27" a="1"/>
  <c r="AK17" i="27" s="1"/>
  <c r="AU93" i="27" a="1"/>
  <c r="AU93" i="27" s="1"/>
  <c r="AR93" i="27" a="1"/>
  <c r="AR93" i="27" s="1"/>
  <c r="AJ49" i="27" a="1"/>
  <c r="AJ49" i="27" s="1"/>
  <c r="AQ68" i="27" a="1"/>
  <c r="AQ68" i="27" s="1"/>
  <c r="AP68" i="27" a="1"/>
  <c r="AP68" i="27" s="1"/>
  <c r="AL88" i="27" a="1"/>
  <c r="AL88" i="27" s="1"/>
  <c r="AP27" i="27" a="1"/>
  <c r="AP27" i="27" s="1"/>
  <c r="AK94" i="27" a="1"/>
  <c r="AK94" i="27" s="1"/>
  <c r="AK43" i="27" a="1"/>
  <c r="AK43" i="27" s="1"/>
  <c r="AQ43" i="27" a="1"/>
  <c r="AQ43" i="27" s="1"/>
  <c r="AQ69" i="27" a="1"/>
  <c r="AQ69" i="27" s="1"/>
  <c r="AO94" i="27" a="1"/>
  <c r="AO94" i="27" s="1"/>
  <c r="AS68" i="27" a="1"/>
  <c r="AS68" i="27" s="1"/>
  <c r="AQ122" i="27" a="1"/>
  <c r="AQ122" i="27" s="1"/>
  <c r="AP122" i="27" a="1"/>
  <c r="AP122" i="27" s="1"/>
  <c r="AK122" i="27" a="1"/>
  <c r="AK122" i="27" s="1"/>
  <c r="AP69" i="27" a="1"/>
  <c r="AP69" i="27" s="1"/>
  <c r="AK32" i="27" a="1"/>
  <c r="AK32" i="27" s="1"/>
  <c r="AL122" i="27" a="1"/>
  <c r="AL122" i="27" s="1"/>
  <c r="AP87" i="27" a="1"/>
  <c r="AP87" i="27" s="1"/>
  <c r="AQ88" i="27" a="1"/>
  <c r="AQ88" i="27" s="1"/>
  <c r="AR87" i="27" a="1"/>
  <c r="AR87" i="27" s="1"/>
  <c r="AN88" i="27" a="1"/>
  <c r="AN88" i="27" s="1"/>
  <c r="AL28" i="27" a="1"/>
  <c r="AL28" i="27" s="1"/>
  <c r="AU135" i="27" a="1"/>
  <c r="AU135" i="27" s="1"/>
  <c r="AL87" i="27" a="1"/>
  <c r="AL87" i="27" s="1"/>
  <c r="AT88" i="27" a="1"/>
  <c r="AT88" i="27" s="1"/>
  <c r="AP88" i="27" a="1"/>
  <c r="AP88" i="27" s="1"/>
  <c r="AM28" i="27" a="1"/>
  <c r="AM28" i="27" s="1"/>
  <c r="AK88" i="27" a="1"/>
  <c r="AK88" i="27" s="1"/>
  <c r="AU88" i="27" a="1"/>
  <c r="AU88" i="27" s="1"/>
  <c r="AT28" i="27" a="1"/>
  <c r="AT28" i="27" s="1"/>
  <c r="AR88" i="27" a="1"/>
  <c r="AR88" i="27" s="1"/>
  <c r="AM88" i="27" a="1"/>
  <c r="AM88" i="27" s="1"/>
  <c r="AJ88" i="27" a="1"/>
  <c r="AJ88" i="27" s="1"/>
  <c r="AR9" i="27" a="1"/>
  <c r="AR9" i="27" s="1"/>
  <c r="AU9" i="27" a="1"/>
  <c r="AU9" i="27" s="1"/>
  <c r="AQ28" i="27" a="1"/>
  <c r="AQ28" i="27" s="1"/>
  <c r="AN47" i="27" a="1"/>
  <c r="AN47" i="27" s="1"/>
  <c r="G104" i="12" l="1"/>
  <c r="J104" i="12" s="1"/>
  <c r="L104" i="12" s="1"/>
  <c r="N104" i="12" s="1"/>
  <c r="G66" i="12"/>
  <c r="J66" i="12" s="1"/>
  <c r="L66" i="12" s="1"/>
  <c r="N66" i="12" s="1"/>
  <c r="G67" i="12"/>
  <c r="G138" i="12"/>
  <c r="G41" i="12"/>
  <c r="J41" i="12" s="1"/>
  <c r="J69" i="12"/>
  <c r="L69" i="12" s="1"/>
  <c r="N69" i="12" s="1"/>
  <c r="Z69" i="12" s="1"/>
  <c r="J35" i="12"/>
  <c r="L35" i="12" s="1"/>
  <c r="N35" i="12" s="1"/>
  <c r="Z35" i="12" s="1"/>
  <c r="J67" i="12"/>
  <c r="L67" i="12" s="1"/>
  <c r="N67" i="12" s="1"/>
  <c r="Z67" i="12" s="1"/>
  <c r="J138" i="12"/>
  <c r="L138" i="12" s="1"/>
  <c r="N138" i="12" s="1"/>
  <c r="Z138" i="12" s="1"/>
  <c r="G112" i="12"/>
  <c r="J112" i="12" s="1"/>
  <c r="L112" i="12" s="1"/>
  <c r="N112" i="12" s="1"/>
  <c r="J21" i="12"/>
  <c r="L21" i="12" s="1"/>
  <c r="N21" i="12" s="1"/>
  <c r="Z21" i="12" s="1"/>
  <c r="J122" i="12"/>
  <c r="L122" i="12" s="1"/>
  <c r="N122" i="12" s="1"/>
  <c r="Z122" i="12" s="1"/>
  <c r="J132" i="12"/>
  <c r="L132" i="12" s="1"/>
  <c r="N132" i="12" s="1"/>
  <c r="G118" i="12"/>
  <c r="J118" i="12" s="1"/>
  <c r="L118" i="12" s="1"/>
  <c r="N118" i="12" s="1"/>
  <c r="G63" i="12"/>
  <c r="G17" i="12"/>
  <c r="G47" i="12"/>
  <c r="J47" i="12" s="1"/>
  <c r="L47" i="12" s="1"/>
  <c r="N47" i="12" s="1"/>
  <c r="G10" i="12"/>
  <c r="G103" i="12"/>
  <c r="J103" i="12" s="1"/>
  <c r="J134" i="12"/>
  <c r="L134" i="12" s="1"/>
  <c r="N134" i="12" s="1"/>
  <c r="Z134" i="12" s="1"/>
  <c r="G80" i="12"/>
  <c r="J80" i="12" s="1"/>
  <c r="G39" i="12"/>
  <c r="G13" i="12"/>
  <c r="G58" i="12"/>
  <c r="J58" i="12" s="1"/>
  <c r="L58" i="12" s="1"/>
  <c r="N58" i="12" s="1"/>
  <c r="G120" i="12"/>
  <c r="J120" i="12" s="1"/>
  <c r="L120" i="12" s="1"/>
  <c r="N120" i="12" s="1"/>
  <c r="J123" i="12"/>
  <c r="L123" i="12" s="1"/>
  <c r="N123" i="12" s="1"/>
  <c r="Z123" i="12" s="1"/>
  <c r="G9" i="12"/>
  <c r="J9" i="12" s="1"/>
  <c r="G37" i="12"/>
  <c r="G51" i="12"/>
  <c r="J51" i="12" s="1"/>
  <c r="G71" i="12"/>
  <c r="G89" i="12"/>
  <c r="J8" i="12"/>
  <c r="L8" i="12" s="1"/>
  <c r="N8" i="12" s="1"/>
  <c r="Z8" i="12" s="1"/>
  <c r="Z110" i="12"/>
  <c r="G25" i="12"/>
  <c r="G29" i="12"/>
  <c r="G23" i="12"/>
  <c r="J23" i="12" s="1"/>
  <c r="L23" i="12" s="1"/>
  <c r="N23" i="12" s="1"/>
  <c r="G116" i="12"/>
  <c r="J116" i="12" s="1"/>
  <c r="L116" i="12" s="1"/>
  <c r="N116" i="12" s="1"/>
  <c r="G131" i="12"/>
  <c r="J131" i="12" s="1"/>
  <c r="L131" i="12" s="1"/>
  <c r="N131" i="12" s="1"/>
  <c r="J135" i="12"/>
  <c r="L135" i="12" s="1"/>
  <c r="N135" i="12" s="1"/>
  <c r="J101" i="12"/>
  <c r="L101" i="12" s="1"/>
  <c r="N101" i="12" s="1"/>
  <c r="Z101" i="12" s="1"/>
  <c r="G36" i="12"/>
  <c r="J36" i="12" s="1"/>
  <c r="L36" i="12" s="1"/>
  <c r="N36" i="12" s="1"/>
  <c r="Z36" i="12" s="1"/>
  <c r="G18" i="12"/>
  <c r="J18" i="12" s="1"/>
  <c r="L18" i="12" s="1"/>
  <c r="N18" i="12" s="1"/>
  <c r="G106" i="12"/>
  <c r="J106" i="12" s="1"/>
  <c r="L106" i="12" s="1"/>
  <c r="N106" i="12" s="1"/>
  <c r="G136" i="12"/>
  <c r="G75" i="12"/>
  <c r="J75" i="12" s="1"/>
  <c r="L75" i="12" s="1"/>
  <c r="N75" i="12" s="1"/>
  <c r="G49" i="12"/>
  <c r="G84" i="12"/>
  <c r="J84" i="12" s="1"/>
  <c r="L84" i="12" s="1"/>
  <c r="N84" i="12" s="1"/>
  <c r="Z84" i="12" s="1"/>
  <c r="G91" i="12"/>
  <c r="J105" i="12"/>
  <c r="L105" i="12" s="1"/>
  <c r="N105" i="12" s="1"/>
  <c r="Z105" i="12" s="1"/>
  <c r="J81" i="12"/>
  <c r="L81" i="12" s="1"/>
  <c r="N81" i="12" s="1"/>
  <c r="Z81" i="12" s="1"/>
  <c r="J77" i="12"/>
  <c r="L77" i="12" s="1"/>
  <c r="N77" i="12" s="1"/>
  <c r="Z77" i="12" s="1"/>
  <c r="G15" i="12"/>
  <c r="J15" i="12" s="1"/>
  <c r="L15" i="12" s="1"/>
  <c r="N15" i="12" s="1"/>
  <c r="G44" i="12"/>
  <c r="J44" i="12" s="1"/>
  <c r="G55" i="12"/>
  <c r="G76" i="12"/>
  <c r="J76" i="12" s="1"/>
  <c r="L76" i="12" s="1"/>
  <c r="N76" i="12" s="1"/>
  <c r="G14" i="12"/>
  <c r="G92" i="12"/>
  <c r="J92" i="12" s="1"/>
  <c r="L92" i="12" s="1"/>
  <c r="N92" i="12" s="1"/>
  <c r="G30" i="12"/>
  <c r="J30" i="12" s="1"/>
  <c r="L30" i="12" s="1"/>
  <c r="N30" i="12" s="1"/>
  <c r="G11" i="12"/>
  <c r="J11" i="12" s="1"/>
  <c r="G48" i="12"/>
  <c r="J48" i="12" s="1"/>
  <c r="L48" i="12" s="1"/>
  <c r="N48" i="12" s="1"/>
  <c r="Z48" i="12" s="1"/>
  <c r="G12" i="12"/>
  <c r="J12" i="12" s="1"/>
  <c r="L12" i="12" s="1"/>
  <c r="N12" i="12" s="1"/>
  <c r="G24" i="12"/>
  <c r="J24" i="12" s="1"/>
  <c r="L24" i="12" s="1"/>
  <c r="N24" i="12" s="1"/>
  <c r="G46" i="12"/>
  <c r="J46" i="12" s="1"/>
  <c r="L46" i="12" s="1"/>
  <c r="N46" i="12" s="1"/>
  <c r="Z46" i="12" s="1"/>
  <c r="G137" i="12"/>
  <c r="J137" i="12" s="1"/>
  <c r="L137" i="12" s="1"/>
  <c r="N137" i="12" s="1"/>
  <c r="J33" i="12"/>
  <c r="L33" i="12" s="1"/>
  <c r="N33" i="12" s="1"/>
  <c r="Z33" i="12" s="1"/>
  <c r="G19" i="12"/>
  <c r="J19" i="12" s="1"/>
  <c r="L19" i="12" s="1"/>
  <c r="N19" i="12" s="1"/>
  <c r="G27" i="12"/>
  <c r="G34" i="12"/>
  <c r="J34" i="12" s="1"/>
  <c r="L34" i="12" s="1"/>
  <c r="N34" i="12" s="1"/>
  <c r="J124" i="12"/>
  <c r="L124" i="12" s="1"/>
  <c r="N124" i="12" s="1"/>
  <c r="Z124" i="12" s="1"/>
  <c r="G102" i="12"/>
  <c r="J102" i="12" s="1"/>
  <c r="G60" i="12"/>
  <c r="J60" i="12" s="1"/>
  <c r="L60" i="12" s="1"/>
  <c r="N60" i="12" s="1"/>
  <c r="G5" i="12"/>
  <c r="G117" i="12"/>
  <c r="J117" i="12" s="1"/>
  <c r="L117" i="12" s="1"/>
  <c r="N117" i="12" s="1"/>
  <c r="G125" i="12"/>
  <c r="J125" i="12" s="1"/>
  <c r="L125" i="12" s="1"/>
  <c r="N125" i="12" s="1"/>
  <c r="Z125" i="12" s="1"/>
  <c r="G119" i="31"/>
  <c r="J119" i="31" s="1"/>
  <c r="L119" i="31" s="1"/>
  <c r="N119" i="31" s="1"/>
  <c r="Z119" i="31" s="1"/>
  <c r="G138" i="31"/>
  <c r="J138" i="31" s="1"/>
  <c r="L138" i="31" s="1"/>
  <c r="N138" i="31" s="1"/>
  <c r="Z138" i="31" s="1"/>
  <c r="G67" i="31"/>
  <c r="G41" i="31"/>
  <c r="J41" i="31" s="1"/>
  <c r="L41" i="31" s="1"/>
  <c r="N41" i="31" s="1"/>
  <c r="Z41" i="31" s="1"/>
  <c r="G66" i="31"/>
  <c r="J66" i="31" s="1"/>
  <c r="L66" i="31" s="1"/>
  <c r="N66" i="31" s="1"/>
  <c r="Z66" i="31" s="1"/>
  <c r="J39" i="31"/>
  <c r="L39" i="31" s="1"/>
  <c r="N39" i="31" s="1"/>
  <c r="Z39" i="31" s="1"/>
  <c r="J37" i="31"/>
  <c r="L37" i="31" s="1"/>
  <c r="N37" i="31" s="1"/>
  <c r="Z37" i="31" s="1"/>
  <c r="J118" i="31"/>
  <c r="L118" i="31" s="1"/>
  <c r="N118" i="31" s="1"/>
  <c r="Z118" i="31" s="1"/>
  <c r="J29" i="31"/>
  <c r="L29" i="31" s="1"/>
  <c r="N29" i="31" s="1"/>
  <c r="Z29" i="31" s="1"/>
  <c r="J17" i="31"/>
  <c r="L17" i="31" s="1"/>
  <c r="N17" i="31" s="1"/>
  <c r="Z17" i="31" s="1"/>
  <c r="J34" i="30"/>
  <c r="L34" i="30" s="1"/>
  <c r="N34" i="30" s="1"/>
  <c r="Z34" i="30" s="1"/>
  <c r="J5" i="31"/>
  <c r="L5" i="31" s="1"/>
  <c r="N5" i="31" s="1"/>
  <c r="Z5" i="31" s="1"/>
  <c r="J131" i="31"/>
  <c r="L131" i="31" s="1"/>
  <c r="N131" i="31" s="1"/>
  <c r="Z131" i="31" s="1"/>
  <c r="J14" i="31"/>
  <c r="L14" i="31" s="1"/>
  <c r="N14" i="31" s="1"/>
  <c r="Z14" i="31" s="1"/>
  <c r="J71" i="31"/>
  <c r="L71" i="31" s="1"/>
  <c r="N71" i="31" s="1"/>
  <c r="Z71" i="31" s="1"/>
  <c r="J13" i="31"/>
  <c r="L13" i="31" s="1"/>
  <c r="N13" i="31" s="1"/>
  <c r="Z13" i="31" s="1"/>
  <c r="J106" i="31"/>
  <c r="L106" i="31" s="1"/>
  <c r="N106" i="31" s="1"/>
  <c r="Z106" i="31" s="1"/>
  <c r="J76" i="31"/>
  <c r="L76" i="31" s="1"/>
  <c r="N76" i="31" s="1"/>
  <c r="Z76" i="31" s="1"/>
  <c r="J24" i="31"/>
  <c r="L24" i="31" s="1"/>
  <c r="N24" i="31" s="1"/>
  <c r="Z24" i="31" s="1"/>
  <c r="J67" i="31"/>
  <c r="L67" i="31" s="1"/>
  <c r="N67" i="31" s="1"/>
  <c r="Z67" i="31" s="1"/>
  <c r="J137" i="31"/>
  <c r="L137" i="31" s="1"/>
  <c r="N137" i="31" s="1"/>
  <c r="Z137" i="31" s="1"/>
  <c r="J12" i="31"/>
  <c r="L12" i="31" s="1"/>
  <c r="N12" i="31" s="1"/>
  <c r="Z12" i="31" s="1"/>
  <c r="J117" i="31"/>
  <c r="L117" i="31" s="1"/>
  <c r="N117" i="31" s="1"/>
  <c r="Z117" i="31" s="1"/>
  <c r="J136" i="31"/>
  <c r="L136" i="31" s="1"/>
  <c r="N136" i="31" s="1"/>
  <c r="Z136" i="31" s="1"/>
  <c r="G120" i="31"/>
  <c r="G120" i="30"/>
  <c r="J120" i="30" s="1"/>
  <c r="L120" i="30" s="1"/>
  <c r="N120" i="30" s="1"/>
  <c r="Z120" i="30" s="1"/>
  <c r="Z120" i="12"/>
  <c r="G64" i="31"/>
  <c r="J64" i="31" s="1"/>
  <c r="G64" i="30"/>
  <c r="J64" i="30" s="1"/>
  <c r="G108" i="30"/>
  <c r="J108" i="30" s="1"/>
  <c r="L108" i="30" s="1"/>
  <c r="N108" i="30" s="1"/>
  <c r="Z108" i="30" s="1"/>
  <c r="G108" i="31"/>
  <c r="Z108" i="12"/>
  <c r="G40" i="31"/>
  <c r="J40" i="31" s="1"/>
  <c r="L40" i="31" s="1"/>
  <c r="N40" i="31" s="1"/>
  <c r="Z40" i="31" s="1"/>
  <c r="Z40" i="12"/>
  <c r="G40" i="30"/>
  <c r="G38" i="31"/>
  <c r="G38" i="30"/>
  <c r="J38" i="30" s="1"/>
  <c r="L38" i="30" s="1"/>
  <c r="N38" i="30" s="1"/>
  <c r="Z38" i="30" s="1"/>
  <c r="Z38" i="12"/>
  <c r="G123" i="31"/>
  <c r="G123" i="30"/>
  <c r="J123" i="30" s="1"/>
  <c r="L123" i="30" s="1"/>
  <c r="N123" i="30" s="1"/>
  <c r="Z123" i="30" s="1"/>
  <c r="G20" i="31"/>
  <c r="G20" i="30"/>
  <c r="J20" i="30" s="1"/>
  <c r="L20" i="30" s="1"/>
  <c r="N20" i="30" s="1"/>
  <c r="Z20" i="30" s="1"/>
  <c r="Z20" i="12"/>
  <c r="G18" i="31"/>
  <c r="J18" i="31" s="1"/>
  <c r="L18" i="31" s="1"/>
  <c r="N18" i="31" s="1"/>
  <c r="Z18" i="31" s="1"/>
  <c r="J124" i="30"/>
  <c r="L124" i="30" s="1"/>
  <c r="N124" i="30" s="1"/>
  <c r="Z124" i="30" s="1"/>
  <c r="Z119" i="12"/>
  <c r="G23" i="31"/>
  <c r="G48" i="30"/>
  <c r="G35" i="30"/>
  <c r="J35" i="30" s="1"/>
  <c r="L35" i="30" s="1"/>
  <c r="N35" i="30" s="1"/>
  <c r="Z35" i="30" s="1"/>
  <c r="J114" i="31"/>
  <c r="L114" i="31" s="1"/>
  <c r="N114" i="31" s="1"/>
  <c r="Z114" i="31" s="1"/>
  <c r="G69" i="30"/>
  <c r="G75" i="31"/>
  <c r="G46" i="31"/>
  <c r="J46" i="31" s="1"/>
  <c r="L46" i="31" s="1"/>
  <c r="N46" i="31" s="1"/>
  <c r="Z46" i="31" s="1"/>
  <c r="G61" i="30"/>
  <c r="J61" i="30" s="1"/>
  <c r="Z131" i="12"/>
  <c r="G34" i="31"/>
  <c r="J34" i="31" s="1"/>
  <c r="L34" i="31" s="1"/>
  <c r="N34" i="31" s="1"/>
  <c r="Z34" i="31" s="1"/>
  <c r="G110" i="30"/>
  <c r="G32" i="31"/>
  <c r="G32" i="30"/>
  <c r="J32" i="30" s="1"/>
  <c r="L32" i="30" s="1"/>
  <c r="N32" i="30" s="1"/>
  <c r="Z32" i="30" s="1"/>
  <c r="Z32" i="12"/>
  <c r="G8" i="31"/>
  <c r="G8" i="30"/>
  <c r="J8" i="30" s="1"/>
  <c r="L8" i="30" s="1"/>
  <c r="N8" i="30" s="1"/>
  <c r="Z8" i="30" s="1"/>
  <c r="G22" i="31"/>
  <c r="G22" i="30"/>
  <c r="J22" i="30" s="1"/>
  <c r="L22" i="30" s="1"/>
  <c r="N22" i="30" s="1"/>
  <c r="Z22" i="30" s="1"/>
  <c r="G25" i="31"/>
  <c r="J25" i="31" s="1"/>
  <c r="L25" i="31" s="1"/>
  <c r="N25" i="31" s="1"/>
  <c r="Z25" i="31" s="1"/>
  <c r="G25" i="30"/>
  <c r="J25" i="30" s="1"/>
  <c r="L25" i="30" s="1"/>
  <c r="N25" i="30" s="1"/>
  <c r="Z25" i="30" s="1"/>
  <c r="G44" i="30"/>
  <c r="J44" i="30" s="1"/>
  <c r="J124" i="31"/>
  <c r="L124" i="31" s="1"/>
  <c r="N124" i="31" s="1"/>
  <c r="Z124" i="31" s="1"/>
  <c r="G137" i="30"/>
  <c r="J137" i="30" s="1"/>
  <c r="L137" i="30" s="1"/>
  <c r="N137" i="30" s="1"/>
  <c r="Z137" i="30" s="1"/>
  <c r="Z106" i="12"/>
  <c r="G48" i="31"/>
  <c r="G35" i="31"/>
  <c r="G41" i="30"/>
  <c r="J41" i="30" s="1"/>
  <c r="L41" i="30" s="1"/>
  <c r="N41" i="30" s="1"/>
  <c r="Z41" i="30" s="1"/>
  <c r="G117" i="30"/>
  <c r="J117" i="30" s="1"/>
  <c r="L117" i="30" s="1"/>
  <c r="N117" i="30" s="1"/>
  <c r="Z117" i="30" s="1"/>
  <c r="G69" i="31"/>
  <c r="J83" i="30"/>
  <c r="L83" i="30" s="1"/>
  <c r="N83" i="30" s="1"/>
  <c r="Z83" i="30" s="1"/>
  <c r="G84" i="30"/>
  <c r="J84" i="30" s="1"/>
  <c r="L84" i="30" s="1"/>
  <c r="N84" i="30" s="1"/>
  <c r="Z84" i="30" s="1"/>
  <c r="G51" i="30"/>
  <c r="J51" i="30" s="1"/>
  <c r="Z76" i="12"/>
  <c r="Z24" i="12"/>
  <c r="G61" i="31"/>
  <c r="J61" i="31" s="1"/>
  <c r="G131" i="30"/>
  <c r="J131" i="30" s="1"/>
  <c r="L131" i="30" s="1"/>
  <c r="N131" i="30" s="1"/>
  <c r="Z131" i="30" s="1"/>
  <c r="Z118" i="12"/>
  <c r="G110" i="31"/>
  <c r="G121" i="31"/>
  <c r="G121" i="30"/>
  <c r="J121" i="30" s="1"/>
  <c r="L121" i="30" s="1"/>
  <c r="N121" i="30" s="1"/>
  <c r="Z121" i="30" s="1"/>
  <c r="Z121" i="12"/>
  <c r="G135" i="31"/>
  <c r="G135" i="30"/>
  <c r="J135" i="30" s="1"/>
  <c r="L135" i="30" s="1"/>
  <c r="N135" i="30" s="1"/>
  <c r="Z135" i="30" s="1"/>
  <c r="G101" i="31"/>
  <c r="G101" i="30"/>
  <c r="J101" i="30" s="1"/>
  <c r="L101" i="30" s="1"/>
  <c r="N101" i="30" s="1"/>
  <c r="Z101" i="30" s="1"/>
  <c r="G129" i="31"/>
  <c r="J129" i="31" s="1"/>
  <c r="G129" i="30"/>
  <c r="J129" i="30" s="1"/>
  <c r="G111" i="31"/>
  <c r="G111" i="30"/>
  <c r="Z111" i="12"/>
  <c r="Z130" i="12"/>
  <c r="G130" i="31"/>
  <c r="G130" i="30"/>
  <c r="J130" i="30" s="1"/>
  <c r="L130" i="30" s="1"/>
  <c r="N130" i="30" s="1"/>
  <c r="Z130" i="30" s="1"/>
  <c r="G36" i="31"/>
  <c r="G36" i="30"/>
  <c r="J36" i="30" s="1"/>
  <c r="L36" i="30" s="1"/>
  <c r="N36" i="30" s="1"/>
  <c r="Z36" i="30" s="1"/>
  <c r="G106" i="30"/>
  <c r="G93" i="30"/>
  <c r="J93" i="30" s="1"/>
  <c r="G80" i="30"/>
  <c r="J80" i="30" s="1"/>
  <c r="Z12" i="12"/>
  <c r="J100" i="31"/>
  <c r="L100" i="31" s="1"/>
  <c r="N100" i="31" s="1"/>
  <c r="Z100" i="31" s="1"/>
  <c r="G39" i="30"/>
  <c r="J39" i="30" s="1"/>
  <c r="L39" i="30" s="1"/>
  <c r="N39" i="30" s="1"/>
  <c r="Z39" i="30" s="1"/>
  <c r="J83" i="31"/>
  <c r="L83" i="31" s="1"/>
  <c r="N83" i="31" s="1"/>
  <c r="Z83" i="31" s="1"/>
  <c r="G76" i="30"/>
  <c r="G24" i="30"/>
  <c r="J24" i="30" s="1"/>
  <c r="L24" i="30" s="1"/>
  <c r="N24" i="30" s="1"/>
  <c r="Z24" i="30" s="1"/>
  <c r="Z58" i="12"/>
  <c r="G46" i="30"/>
  <c r="J46" i="30" s="1"/>
  <c r="L46" i="30" s="1"/>
  <c r="N46" i="30" s="1"/>
  <c r="Z46" i="30" s="1"/>
  <c r="G118" i="30"/>
  <c r="J118" i="30" s="1"/>
  <c r="L118" i="30" s="1"/>
  <c r="N118" i="30" s="1"/>
  <c r="Z118" i="30" s="1"/>
  <c r="G49" i="30"/>
  <c r="J49" i="30" s="1"/>
  <c r="L49" i="30" s="1"/>
  <c r="N49" i="30" s="1"/>
  <c r="Z49" i="30" s="1"/>
  <c r="G89" i="31"/>
  <c r="G91" i="31"/>
  <c r="G91" i="30"/>
  <c r="J91" i="30" s="1"/>
  <c r="L91" i="30" s="1"/>
  <c r="N91" i="30" s="1"/>
  <c r="Z91" i="30" s="1"/>
  <c r="G105" i="31"/>
  <c r="G105" i="30"/>
  <c r="G87" i="31"/>
  <c r="J87" i="31" s="1"/>
  <c r="L87" i="31" s="1"/>
  <c r="N87" i="31" s="1"/>
  <c r="Z87" i="31" s="1"/>
  <c r="G87" i="30"/>
  <c r="J87" i="30" s="1"/>
  <c r="L87" i="30" s="1"/>
  <c r="N87" i="30" s="1"/>
  <c r="Z87" i="30" s="1"/>
  <c r="G81" i="30"/>
  <c r="J81" i="30" s="1"/>
  <c r="L81" i="30" s="1"/>
  <c r="N81" i="30" s="1"/>
  <c r="Z81" i="30" s="1"/>
  <c r="G81" i="31"/>
  <c r="G95" i="30"/>
  <c r="J95" i="30" s="1"/>
  <c r="G95" i="31"/>
  <c r="J95" i="31" s="1"/>
  <c r="G77" i="30"/>
  <c r="J77" i="30" s="1"/>
  <c r="L77" i="30" s="1"/>
  <c r="N77" i="30" s="1"/>
  <c r="Z77" i="30" s="1"/>
  <c r="G77" i="31"/>
  <c r="G98" i="31"/>
  <c r="G98" i="30"/>
  <c r="Z98" i="12"/>
  <c r="G15" i="31"/>
  <c r="G15" i="30"/>
  <c r="J15" i="30" s="1"/>
  <c r="L15" i="30" s="1"/>
  <c r="N15" i="30" s="1"/>
  <c r="Z15" i="30" s="1"/>
  <c r="Z15" i="12"/>
  <c r="G63" i="30"/>
  <c r="J63" i="30" s="1"/>
  <c r="L63" i="30" s="1"/>
  <c r="N63" i="30" s="1"/>
  <c r="Z63" i="30" s="1"/>
  <c r="G93" i="31"/>
  <c r="J93" i="31" s="1"/>
  <c r="G12" i="30"/>
  <c r="J12" i="30" s="1"/>
  <c r="L12" i="30" s="1"/>
  <c r="N12" i="30" s="1"/>
  <c r="Z12" i="30" s="1"/>
  <c r="Z66" i="12"/>
  <c r="G136" i="30"/>
  <c r="J136" i="30" s="1"/>
  <c r="L136" i="30" s="1"/>
  <c r="N136" i="30" s="1"/>
  <c r="Z136" i="30" s="1"/>
  <c r="Z60" i="12"/>
  <c r="G17" i="30"/>
  <c r="J17" i="30" s="1"/>
  <c r="L17" i="30" s="1"/>
  <c r="N17" i="30" s="1"/>
  <c r="Z17" i="30" s="1"/>
  <c r="Z116" i="12"/>
  <c r="G58" i="30"/>
  <c r="G119" i="30"/>
  <c r="G125" i="31"/>
  <c r="J125" i="31" s="1"/>
  <c r="L125" i="31" s="1"/>
  <c r="N125" i="31" s="1"/>
  <c r="Z125" i="31" s="1"/>
  <c r="G104" i="31"/>
  <c r="G104" i="30"/>
  <c r="J104" i="30" s="1"/>
  <c r="L104" i="30" s="1"/>
  <c r="N104" i="30" s="1"/>
  <c r="Z104" i="30" s="1"/>
  <c r="Z104" i="12"/>
  <c r="G92" i="31"/>
  <c r="G92" i="30"/>
  <c r="J92" i="30" s="1"/>
  <c r="L92" i="30" s="1"/>
  <c r="N92" i="30" s="1"/>
  <c r="Z92" i="30" s="1"/>
  <c r="Z92" i="12"/>
  <c r="G53" i="31"/>
  <c r="J53" i="31" s="1"/>
  <c r="G53" i="30"/>
  <c r="J53" i="30" s="1"/>
  <c r="G82" i="30"/>
  <c r="Z82" i="12"/>
  <c r="G82" i="31"/>
  <c r="J82" i="31" s="1"/>
  <c r="L82" i="31" s="1"/>
  <c r="N82" i="31" s="1"/>
  <c r="Z82" i="31" s="1"/>
  <c r="G30" i="31"/>
  <c r="G30" i="30"/>
  <c r="J30" i="30" s="1"/>
  <c r="L30" i="30" s="1"/>
  <c r="N30" i="30" s="1"/>
  <c r="Z30" i="30" s="1"/>
  <c r="G31" i="31"/>
  <c r="G31" i="30"/>
  <c r="G29" i="30"/>
  <c r="J29" i="30" s="1"/>
  <c r="L29" i="30" s="1"/>
  <c r="N29" i="30" s="1"/>
  <c r="Z29" i="30" s="1"/>
  <c r="G9" i="30"/>
  <c r="J9" i="30" s="1"/>
  <c r="Z137" i="12"/>
  <c r="J74" i="30"/>
  <c r="L74" i="30" s="1"/>
  <c r="N74" i="30" s="1"/>
  <c r="Z74" i="30" s="1"/>
  <c r="G66" i="30"/>
  <c r="G60" i="30"/>
  <c r="J60" i="30" s="1"/>
  <c r="L60" i="30" s="1"/>
  <c r="N60" i="30" s="1"/>
  <c r="Z60" i="30" s="1"/>
  <c r="G116" i="30"/>
  <c r="J116" i="30" s="1"/>
  <c r="L116" i="30" s="1"/>
  <c r="N116" i="30" s="1"/>
  <c r="Z116" i="30" s="1"/>
  <c r="G67" i="30"/>
  <c r="J67" i="30" s="1"/>
  <c r="L67" i="30" s="1"/>
  <c r="N67" i="30" s="1"/>
  <c r="Z67" i="30" s="1"/>
  <c r="G11" i="30"/>
  <c r="J11" i="30" s="1"/>
  <c r="G128" i="30"/>
  <c r="J128" i="30" s="1"/>
  <c r="L128" i="30" s="1"/>
  <c r="N128" i="30" s="1"/>
  <c r="Z128" i="30" s="1"/>
  <c r="Z128" i="12"/>
  <c r="G128" i="31"/>
  <c r="G33" i="30"/>
  <c r="J33" i="30" s="1"/>
  <c r="L33" i="30" s="1"/>
  <c r="N33" i="30" s="1"/>
  <c r="Z33" i="30" s="1"/>
  <c r="G33" i="31"/>
  <c r="G50" i="30"/>
  <c r="J50" i="30" s="1"/>
  <c r="G50" i="31"/>
  <c r="J50" i="31" s="1"/>
  <c r="G19" i="31"/>
  <c r="J19" i="31" s="1"/>
  <c r="L19" i="31" s="1"/>
  <c r="N19" i="31" s="1"/>
  <c r="Z19" i="31" s="1"/>
  <c r="G19" i="30"/>
  <c r="J19" i="30" s="1"/>
  <c r="L19" i="30" s="1"/>
  <c r="N19" i="30" s="1"/>
  <c r="Z19" i="30" s="1"/>
  <c r="Z19" i="12"/>
  <c r="G27" i="31"/>
  <c r="G27" i="30"/>
  <c r="J27" i="30" s="1"/>
  <c r="L27" i="30" s="1"/>
  <c r="N27" i="30" s="1"/>
  <c r="Z27" i="30" s="1"/>
  <c r="J54" i="30"/>
  <c r="L54" i="30" s="1"/>
  <c r="N54" i="30" s="1"/>
  <c r="Z54" i="30" s="1"/>
  <c r="J62" i="30"/>
  <c r="L62" i="30" s="1"/>
  <c r="N62" i="30" s="1"/>
  <c r="Z62" i="30" s="1"/>
  <c r="J74" i="31"/>
  <c r="L74" i="31" s="1"/>
  <c r="N74" i="31" s="1"/>
  <c r="Z74" i="31" s="1"/>
  <c r="G37" i="30"/>
  <c r="J37" i="30" s="1"/>
  <c r="L37" i="30" s="1"/>
  <c r="N37" i="30" s="1"/>
  <c r="Z37" i="30" s="1"/>
  <c r="G5" i="30"/>
  <c r="J5" i="30" s="1"/>
  <c r="L5" i="30" s="1"/>
  <c r="N5" i="30" s="1"/>
  <c r="Z5" i="30" s="1"/>
  <c r="G103" i="30"/>
  <c r="J103" i="30" s="1"/>
  <c r="G84" i="31"/>
  <c r="G112" i="31"/>
  <c r="G112" i="30"/>
  <c r="J112" i="30" s="1"/>
  <c r="L112" i="30" s="1"/>
  <c r="N112" i="30" s="1"/>
  <c r="Z112" i="30" s="1"/>
  <c r="Z112" i="12"/>
  <c r="G96" i="31"/>
  <c r="G96" i="30"/>
  <c r="Z96" i="12"/>
  <c r="G126" i="31"/>
  <c r="Z126" i="12"/>
  <c r="G126" i="30"/>
  <c r="J126" i="30" s="1"/>
  <c r="L126" i="30" s="1"/>
  <c r="N126" i="30" s="1"/>
  <c r="Z126" i="30" s="1"/>
  <c r="G21" i="31"/>
  <c r="J21" i="31" s="1"/>
  <c r="L21" i="31" s="1"/>
  <c r="N21" i="31" s="1"/>
  <c r="Z21" i="31" s="1"/>
  <c r="G21" i="30"/>
  <c r="J21" i="30" s="1"/>
  <c r="L21" i="30" s="1"/>
  <c r="N21" i="30" s="1"/>
  <c r="Z21" i="30" s="1"/>
  <c r="G122" i="31"/>
  <c r="G122" i="30"/>
  <c r="J122" i="30" s="1"/>
  <c r="L122" i="30" s="1"/>
  <c r="N122" i="30" s="1"/>
  <c r="Z122" i="30" s="1"/>
  <c r="G132" i="31"/>
  <c r="G132" i="30"/>
  <c r="G16" i="31"/>
  <c r="G16" i="30"/>
  <c r="J16" i="30" s="1"/>
  <c r="L16" i="30" s="1"/>
  <c r="N16" i="30" s="1"/>
  <c r="Z16" i="30" s="1"/>
  <c r="Z16" i="12"/>
  <c r="Z18" i="12"/>
  <c r="J134" i="30"/>
  <c r="L134" i="30" s="1"/>
  <c r="N134" i="30" s="1"/>
  <c r="Z134" i="30" s="1"/>
  <c r="G138" i="30"/>
  <c r="J138" i="30" s="1"/>
  <c r="L138" i="30" s="1"/>
  <c r="N138" i="30" s="1"/>
  <c r="Z138" i="30" s="1"/>
  <c r="G102" i="30"/>
  <c r="J102" i="30" s="1"/>
  <c r="Z117" i="12"/>
  <c r="G55" i="30"/>
  <c r="J55" i="30" s="1"/>
  <c r="L55" i="30" s="1"/>
  <c r="N55" i="30" s="1"/>
  <c r="Z55" i="30" s="1"/>
  <c r="G14" i="30"/>
  <c r="J14" i="30" s="1"/>
  <c r="L14" i="30" s="1"/>
  <c r="N14" i="30" s="1"/>
  <c r="Z14" i="30" s="1"/>
  <c r="G13" i="30"/>
  <c r="Z75" i="12"/>
  <c r="J73" i="31"/>
  <c r="L73" i="31" s="1"/>
  <c r="N73" i="31" s="1"/>
  <c r="Z73" i="31" s="1"/>
  <c r="G71" i="30"/>
  <c r="J71" i="30" s="1"/>
  <c r="L71" i="30" s="1"/>
  <c r="N71" i="30" s="1"/>
  <c r="Z71" i="30" s="1"/>
  <c r="Z34" i="12"/>
  <c r="G47" i="31"/>
  <c r="G47" i="30"/>
  <c r="J47" i="30" s="1"/>
  <c r="L47" i="30" s="1"/>
  <c r="N47" i="30" s="1"/>
  <c r="Z47" i="30" s="1"/>
  <c r="Z47" i="12"/>
  <c r="G78" i="30"/>
  <c r="J78" i="30" s="1"/>
  <c r="G78" i="31"/>
  <c r="J78" i="31" s="1"/>
  <c r="G90" i="31"/>
  <c r="J90" i="31" s="1"/>
  <c r="G90" i="30"/>
  <c r="J90" i="30" s="1"/>
  <c r="G88" i="31"/>
  <c r="G88" i="30"/>
  <c r="J88" i="30" s="1"/>
  <c r="L88" i="30" s="1"/>
  <c r="N88" i="30" s="1"/>
  <c r="Z88" i="30" s="1"/>
  <c r="Z88" i="12"/>
  <c r="G70" i="31"/>
  <c r="Z70" i="12"/>
  <c r="G70" i="30"/>
  <c r="G10" i="31"/>
  <c r="J10" i="31" s="1"/>
  <c r="L10" i="31" s="1"/>
  <c r="N10" i="31" s="1"/>
  <c r="Z10" i="31" s="1"/>
  <c r="G10" i="30"/>
  <c r="J10" i="30" s="1"/>
  <c r="L10" i="30" s="1"/>
  <c r="N10" i="30" s="1"/>
  <c r="Z10" i="30" s="1"/>
  <c r="J134" i="31"/>
  <c r="L134" i="31" s="1"/>
  <c r="N134" i="31" s="1"/>
  <c r="Z134" i="31" s="1"/>
  <c r="J114" i="30"/>
  <c r="L114" i="30" s="1"/>
  <c r="N114" i="30" s="1"/>
  <c r="Z114" i="30" s="1"/>
  <c r="G125" i="30"/>
  <c r="AS88" i="27" a="1"/>
  <c r="AS88" i="27" s="1"/>
  <c r="G86" i="31" s="1"/>
  <c r="AJ9" i="27" a="1"/>
  <c r="AJ9" i="27" s="1"/>
  <c r="G4" i="31"/>
  <c r="G4" i="30"/>
  <c r="J4" i="30" s="1"/>
  <c r="L4" i="30" s="1"/>
  <c r="N4" i="30" s="1"/>
  <c r="Z4" i="30" s="1"/>
  <c r="G4" i="12"/>
  <c r="J4" i="12" s="1"/>
  <c r="AK28" i="27" a="1"/>
  <c r="AK28" i="27" s="1"/>
  <c r="AR30" i="27" a="1"/>
  <c r="AR30" i="27" s="1"/>
  <c r="AT30" i="27" a="1"/>
  <c r="AT30" i="27" s="1"/>
  <c r="AJ87" i="27" a="1"/>
  <c r="AJ87" i="27" s="1"/>
  <c r="AQ9" i="27" a="1"/>
  <c r="AQ9" i="27" s="1"/>
  <c r="AS28" i="27" a="1"/>
  <c r="AS28" i="27" s="1"/>
  <c r="AU47" i="27" a="1"/>
  <c r="AU47" i="27" s="1"/>
  <c r="AO28" i="27" a="1"/>
  <c r="AO28" i="27" s="1"/>
  <c r="AK30" i="27" a="1"/>
  <c r="AK30" i="27" s="1"/>
  <c r="AM9" i="27" a="1"/>
  <c r="AM9" i="27" s="1"/>
  <c r="AN135" i="27" a="1"/>
  <c r="AN135" i="27" s="1"/>
  <c r="AQ87" i="27" a="1"/>
  <c r="AQ87" i="27" s="1"/>
  <c r="AP30" i="27" a="1"/>
  <c r="AP30" i="27" s="1"/>
  <c r="AL30" i="27" a="1"/>
  <c r="AL30" i="27" s="1"/>
  <c r="AQ47" i="27" a="1"/>
  <c r="AQ47" i="27" s="1"/>
  <c r="AK87" i="27" a="1"/>
  <c r="AK87" i="27" s="1"/>
  <c r="AM47" i="27" a="1"/>
  <c r="AM47" i="27" s="1"/>
  <c r="AU28" i="27" a="1"/>
  <c r="AU28" i="27" s="1"/>
  <c r="AR135" i="27" a="1"/>
  <c r="AR135" i="27" s="1"/>
  <c r="AN30" i="27" a="1"/>
  <c r="AN30" i="27" s="1"/>
  <c r="AR28" i="27" a="1"/>
  <c r="AR28" i="27" s="1"/>
  <c r="AQ135" i="27" a="1"/>
  <c r="AQ135" i="27" s="1"/>
  <c r="AL9" i="27" a="1"/>
  <c r="AL9" i="27" s="1"/>
  <c r="AU30" i="27" a="1"/>
  <c r="AU30" i="27" s="1"/>
  <c r="AP9" i="27" a="1"/>
  <c r="AP9" i="27" s="1"/>
  <c r="AN28" i="27" a="1"/>
  <c r="AN28" i="27" s="1"/>
  <c r="AM30" i="27" a="1"/>
  <c r="AM30" i="27" s="1"/>
  <c r="AS9" i="27" a="1"/>
  <c r="AS9" i="27" s="1"/>
  <c r="AQ30" i="27" a="1"/>
  <c r="AQ30" i="27" s="1"/>
  <c r="AR47" i="27" a="1"/>
  <c r="AR47" i="27" s="1"/>
  <c r="L41" i="12" l="1"/>
  <c r="N41" i="12" s="1"/>
  <c r="Z41" i="12" s="1"/>
  <c r="G133" i="12"/>
  <c r="J133" i="12"/>
  <c r="J37" i="12"/>
  <c r="L37" i="12" s="1"/>
  <c r="N37" i="12" s="1"/>
  <c r="Z37" i="12" s="1"/>
  <c r="J91" i="12"/>
  <c r="L91" i="12" s="1"/>
  <c r="N91" i="12" s="1"/>
  <c r="Z91" i="12" s="1"/>
  <c r="J25" i="12"/>
  <c r="L25" i="12" s="1"/>
  <c r="N25" i="12" s="1"/>
  <c r="Z25" i="12" s="1"/>
  <c r="G86" i="12"/>
  <c r="J86" i="12" s="1"/>
  <c r="L86" i="12" s="1"/>
  <c r="N86" i="12" s="1"/>
  <c r="Z86" i="12" s="1"/>
  <c r="J5" i="12"/>
  <c r="L5" i="12" s="1"/>
  <c r="N5" i="12" s="1"/>
  <c r="Z5" i="12" s="1"/>
  <c r="J17" i="12"/>
  <c r="L17" i="12" s="1"/>
  <c r="N17" i="12" s="1"/>
  <c r="Z17" i="12" s="1"/>
  <c r="J27" i="12"/>
  <c r="L27" i="12" s="1"/>
  <c r="N27" i="12" s="1"/>
  <c r="Z27" i="12" s="1"/>
  <c r="J49" i="12"/>
  <c r="L49" i="12" s="1"/>
  <c r="N49" i="12" s="1"/>
  <c r="Z49" i="12" s="1"/>
  <c r="J63" i="12"/>
  <c r="L63" i="12" s="1"/>
  <c r="N63" i="12" s="1"/>
  <c r="Z63" i="12" s="1"/>
  <c r="J29" i="12"/>
  <c r="L29" i="12" s="1"/>
  <c r="N29" i="12" s="1"/>
  <c r="Z29" i="12" s="1"/>
  <c r="J14" i="12"/>
  <c r="L14" i="12" s="1"/>
  <c r="N14" i="12" s="1"/>
  <c r="Z14" i="12" s="1"/>
  <c r="J136" i="12"/>
  <c r="L136" i="12" s="1"/>
  <c r="N136" i="12" s="1"/>
  <c r="Z136" i="12" s="1"/>
  <c r="J89" i="12"/>
  <c r="L89" i="12" s="1"/>
  <c r="N89" i="12" s="1"/>
  <c r="Z89" i="12" s="1"/>
  <c r="J10" i="12"/>
  <c r="L10" i="12"/>
  <c r="N10" i="12" s="1"/>
  <c r="Z10" i="12" s="1"/>
  <c r="G7" i="12"/>
  <c r="J7" i="12" s="1"/>
  <c r="L7" i="12" s="1"/>
  <c r="N7" i="12" s="1"/>
  <c r="Z7" i="12" s="1"/>
  <c r="J71" i="12"/>
  <c r="L71" i="12" s="1"/>
  <c r="N71" i="12" s="1"/>
  <c r="Z71" i="12" s="1"/>
  <c r="J39" i="12"/>
  <c r="L39" i="12" s="1"/>
  <c r="N39" i="12" s="1"/>
  <c r="Z39" i="12" s="1"/>
  <c r="G85" i="12"/>
  <c r="J55" i="12"/>
  <c r="L55" i="12" s="1"/>
  <c r="N55" i="12" s="1"/>
  <c r="Z55" i="12" s="1"/>
  <c r="J13" i="12"/>
  <c r="L13" i="12" s="1"/>
  <c r="N13" i="12" s="1"/>
  <c r="Z13" i="12" s="1"/>
  <c r="G133" i="30"/>
  <c r="J133" i="30" s="1"/>
  <c r="L133" i="30" s="1"/>
  <c r="N133" i="30" s="1"/>
  <c r="Z133" i="30" s="1"/>
  <c r="J86" i="31"/>
  <c r="L86" i="31" s="1"/>
  <c r="N86" i="31" s="1"/>
  <c r="Z86" i="31" s="1"/>
  <c r="G7" i="31"/>
  <c r="G7" i="30"/>
  <c r="J7" i="30" s="1"/>
  <c r="L7" i="30" s="1"/>
  <c r="N7" i="30" s="1"/>
  <c r="Z7" i="30" s="1"/>
  <c r="J47" i="31"/>
  <c r="L47" i="31" s="1"/>
  <c r="N47" i="31" s="1"/>
  <c r="Z47" i="31" s="1"/>
  <c r="Z23" i="12"/>
  <c r="J132" i="31"/>
  <c r="L132" i="31" s="1"/>
  <c r="N132" i="31" s="1"/>
  <c r="Z132" i="31" s="1"/>
  <c r="J112" i="31"/>
  <c r="L112" i="31" s="1"/>
  <c r="N112" i="31" s="1"/>
  <c r="Z112" i="31" s="1"/>
  <c r="Z30" i="12"/>
  <c r="J119" i="30"/>
  <c r="L119" i="30" s="1"/>
  <c r="N119" i="30" s="1"/>
  <c r="Z119" i="30" s="1"/>
  <c r="Z87" i="12"/>
  <c r="J106" i="30"/>
  <c r="L106" i="30" s="1"/>
  <c r="N106" i="30" s="1"/>
  <c r="Z106" i="30" s="1"/>
  <c r="J110" i="31"/>
  <c r="L110" i="31" s="1"/>
  <c r="N110" i="31" s="1"/>
  <c r="Z110" i="31" s="1"/>
  <c r="Z22" i="12"/>
  <c r="J32" i="31"/>
  <c r="L32" i="31" s="1"/>
  <c r="N32" i="31" s="1"/>
  <c r="Z32" i="31" s="1"/>
  <c r="J123" i="31"/>
  <c r="L123" i="31" s="1"/>
  <c r="N123" i="31" s="1"/>
  <c r="Z123" i="31" s="1"/>
  <c r="G133" i="31"/>
  <c r="G85" i="31"/>
  <c r="G85" i="30"/>
  <c r="J85" i="30" s="1"/>
  <c r="L85" i="30" s="1"/>
  <c r="N85" i="30" s="1"/>
  <c r="Z85" i="30" s="1"/>
  <c r="J13" i="30"/>
  <c r="L13" i="30" s="1"/>
  <c r="N13" i="30" s="1"/>
  <c r="Z13" i="30" s="1"/>
  <c r="Z132" i="12"/>
  <c r="J84" i="31"/>
  <c r="L84" i="31" s="1"/>
  <c r="N84" i="31" s="1"/>
  <c r="Z84" i="31" s="1"/>
  <c r="J33" i="31"/>
  <c r="L33" i="31" s="1"/>
  <c r="N33" i="31" s="1"/>
  <c r="Z33" i="31" s="1"/>
  <c r="J15" i="31"/>
  <c r="L15" i="31" s="1"/>
  <c r="N15" i="31" s="1"/>
  <c r="Z15" i="31" s="1"/>
  <c r="J101" i="31"/>
  <c r="L101" i="31" s="1"/>
  <c r="N101" i="31" s="1"/>
  <c r="Z101" i="31" s="1"/>
  <c r="J110" i="30"/>
  <c r="L110" i="30" s="1"/>
  <c r="N110" i="30" s="1"/>
  <c r="Z110" i="30" s="1"/>
  <c r="J69" i="30"/>
  <c r="L69" i="30" s="1"/>
  <c r="N69" i="30" s="1"/>
  <c r="Z69" i="30" s="1"/>
  <c r="J108" i="31"/>
  <c r="L108" i="31" s="1"/>
  <c r="N108" i="31" s="1"/>
  <c r="Z108" i="31" s="1"/>
  <c r="J125" i="30"/>
  <c r="L125" i="30" s="1"/>
  <c r="N125" i="30" s="1"/>
  <c r="Z125" i="30" s="1"/>
  <c r="J70" i="30"/>
  <c r="L70" i="30" s="1"/>
  <c r="N70" i="30" s="1"/>
  <c r="Z70" i="30" s="1"/>
  <c r="G86" i="30"/>
  <c r="J126" i="31"/>
  <c r="L126" i="31" s="1"/>
  <c r="N126" i="31" s="1"/>
  <c r="Z126" i="31" s="1"/>
  <c r="J27" i="31"/>
  <c r="L27" i="31" s="1"/>
  <c r="N27" i="31" s="1"/>
  <c r="Z27" i="31" s="1"/>
  <c r="J30" i="31"/>
  <c r="L30" i="31" s="1"/>
  <c r="N30" i="31" s="1"/>
  <c r="Z30" i="31" s="1"/>
  <c r="J105" i="30"/>
  <c r="L105" i="30" s="1"/>
  <c r="N105" i="30" s="1"/>
  <c r="Z105" i="30" s="1"/>
  <c r="J111" i="30"/>
  <c r="L111" i="30" s="1"/>
  <c r="N111" i="30" s="1"/>
  <c r="Z111" i="30" s="1"/>
  <c r="Z135" i="12"/>
  <c r="J69" i="31"/>
  <c r="L69" i="31" s="1"/>
  <c r="N69" i="31" s="1"/>
  <c r="Z69" i="31" s="1"/>
  <c r="J22" i="31"/>
  <c r="L22" i="31" s="1"/>
  <c r="N22" i="31" s="1"/>
  <c r="Z22" i="31" s="1"/>
  <c r="J92" i="31"/>
  <c r="L92" i="31" s="1"/>
  <c r="N92" i="31" s="1"/>
  <c r="Z92" i="31" s="1"/>
  <c r="J58" i="30"/>
  <c r="L58" i="30" s="1"/>
  <c r="N58" i="30" s="1"/>
  <c r="Z58" i="30" s="1"/>
  <c r="J98" i="30"/>
  <c r="L98" i="30" s="1"/>
  <c r="N98" i="30" s="1"/>
  <c r="Z98" i="30" s="1"/>
  <c r="J105" i="31"/>
  <c r="L105" i="31" s="1"/>
  <c r="N105" i="31" s="1"/>
  <c r="Z105" i="31" s="1"/>
  <c r="J111" i="31"/>
  <c r="L111" i="31" s="1"/>
  <c r="N111" i="31" s="1"/>
  <c r="Z111" i="31" s="1"/>
  <c r="J120" i="31"/>
  <c r="L120" i="31" s="1"/>
  <c r="N120" i="31" s="1"/>
  <c r="Z120" i="31" s="1"/>
  <c r="J70" i="31"/>
  <c r="L70" i="31" s="1"/>
  <c r="N70" i="31" s="1"/>
  <c r="Z70" i="31" s="1"/>
  <c r="J122" i="31"/>
  <c r="L122" i="31" s="1"/>
  <c r="N122" i="31" s="1"/>
  <c r="Z122" i="31" s="1"/>
  <c r="J96" i="30"/>
  <c r="L96" i="30" s="1"/>
  <c r="N96" i="30" s="1"/>
  <c r="Z96" i="30" s="1"/>
  <c r="J128" i="31"/>
  <c r="L128" i="31" s="1"/>
  <c r="N128" i="31" s="1"/>
  <c r="Z128" i="31" s="1"/>
  <c r="J98" i="31"/>
  <c r="L98" i="31" s="1"/>
  <c r="N98" i="31" s="1"/>
  <c r="Z98" i="31" s="1"/>
  <c r="J81" i="31"/>
  <c r="L81" i="31" s="1"/>
  <c r="N81" i="31" s="1"/>
  <c r="Z81" i="31" s="1"/>
  <c r="J135" i="31"/>
  <c r="L135" i="31" s="1"/>
  <c r="N135" i="31" s="1"/>
  <c r="Z135" i="31" s="1"/>
  <c r="J38" i="31"/>
  <c r="L38" i="31" s="1"/>
  <c r="N38" i="31" s="1"/>
  <c r="Z38" i="31" s="1"/>
  <c r="J96" i="31"/>
  <c r="L96" i="31" s="1"/>
  <c r="N96" i="31" s="1"/>
  <c r="Z96" i="31" s="1"/>
  <c r="Z31" i="12"/>
  <c r="J82" i="30"/>
  <c r="L82" i="30" s="1"/>
  <c r="N82" i="30" s="1"/>
  <c r="Z82" i="30" s="1"/>
  <c r="J77" i="31"/>
  <c r="L77" i="31" s="1"/>
  <c r="N77" i="31" s="1"/>
  <c r="Z77" i="31" s="1"/>
  <c r="J76" i="30"/>
  <c r="L76" i="30" s="1"/>
  <c r="N76" i="30" s="1"/>
  <c r="Z76" i="30" s="1"/>
  <c r="J36" i="31"/>
  <c r="L36" i="31" s="1"/>
  <c r="N36" i="31" s="1"/>
  <c r="Z36" i="31" s="1"/>
  <c r="J8" i="31"/>
  <c r="L8" i="31" s="1"/>
  <c r="N8" i="31" s="1"/>
  <c r="Z8" i="31" s="1"/>
  <c r="J40" i="30"/>
  <c r="L40" i="30" s="1"/>
  <c r="N40" i="30" s="1"/>
  <c r="Z40" i="30" s="1"/>
  <c r="J16" i="31"/>
  <c r="L16" i="31" s="1"/>
  <c r="N16" i="31" s="1"/>
  <c r="Z16" i="31" s="1"/>
  <c r="J31" i="30"/>
  <c r="L31" i="30" s="1"/>
  <c r="N31" i="30" s="1"/>
  <c r="Z31" i="30" s="1"/>
  <c r="J104" i="31"/>
  <c r="L104" i="31" s="1"/>
  <c r="N104" i="31" s="1"/>
  <c r="Z104" i="31" s="1"/>
  <c r="J91" i="31"/>
  <c r="L91" i="31" s="1"/>
  <c r="N91" i="31" s="1"/>
  <c r="Z91" i="31" s="1"/>
  <c r="J35" i="31"/>
  <c r="L35" i="31" s="1"/>
  <c r="N35" i="31" s="1"/>
  <c r="Z35" i="31" s="1"/>
  <c r="J48" i="30"/>
  <c r="L48" i="30" s="1"/>
  <c r="N48" i="30" s="1"/>
  <c r="Z48" i="30" s="1"/>
  <c r="J20" i="31"/>
  <c r="L20" i="31" s="1"/>
  <c r="N20" i="31" s="1"/>
  <c r="Z20" i="31" s="1"/>
  <c r="J88" i="31"/>
  <c r="L88" i="31" s="1"/>
  <c r="N88" i="31" s="1"/>
  <c r="Z88" i="31" s="1"/>
  <c r="J132" i="30"/>
  <c r="L132" i="30" s="1"/>
  <c r="N132" i="30" s="1"/>
  <c r="Z132" i="30" s="1"/>
  <c r="J66" i="30"/>
  <c r="L66" i="30" s="1"/>
  <c r="N66" i="30" s="1"/>
  <c r="Z66" i="30" s="1"/>
  <c r="J31" i="31"/>
  <c r="L31" i="31" s="1"/>
  <c r="N31" i="31" s="1"/>
  <c r="Z31" i="31" s="1"/>
  <c r="J89" i="31"/>
  <c r="L89" i="31" s="1"/>
  <c r="N89" i="31" s="1"/>
  <c r="Z89" i="31" s="1"/>
  <c r="J130" i="31"/>
  <c r="L130" i="31" s="1"/>
  <c r="N130" i="31" s="1"/>
  <c r="Z130" i="31" s="1"/>
  <c r="J121" i="31"/>
  <c r="L121" i="31" s="1"/>
  <c r="N121" i="31" s="1"/>
  <c r="Z121" i="31" s="1"/>
  <c r="J48" i="31"/>
  <c r="L48" i="31" s="1"/>
  <c r="N48" i="31" s="1"/>
  <c r="Z48" i="31" s="1"/>
  <c r="J75" i="31"/>
  <c r="L75" i="31" s="1"/>
  <c r="N75" i="31" s="1"/>
  <c r="Z75" i="31" s="1"/>
  <c r="J23" i="31"/>
  <c r="L23" i="31" s="1"/>
  <c r="N23" i="31" s="1"/>
  <c r="Z23" i="31" s="1"/>
  <c r="J4" i="31"/>
  <c r="L4" i="31" s="1"/>
  <c r="N4" i="31" s="1"/>
  <c r="Z4" i="31" s="1"/>
  <c r="AJ30" i="27" a="1"/>
  <c r="AJ30" i="27" s="1"/>
  <c r="G28" i="12" s="1"/>
  <c r="J28" i="12" s="1"/>
  <c r="L28" i="12" s="1"/>
  <c r="N28" i="12" s="1"/>
  <c r="AJ28" i="27" a="1"/>
  <c r="AJ28" i="27" s="1"/>
  <c r="G26" i="12" s="1"/>
  <c r="AJ47" i="27" a="1"/>
  <c r="AJ47" i="27" s="1"/>
  <c r="AL47" i="27" a="1"/>
  <c r="AL47" i="27" s="1"/>
  <c r="AT47" i="27" a="1"/>
  <c r="AT47" i="27" s="1"/>
  <c r="AS47" i="27" a="1"/>
  <c r="AS47" i="27" s="1"/>
  <c r="AP47" i="27" a="1"/>
  <c r="AP47" i="27" s="1"/>
  <c r="L133" i="12" l="1"/>
  <c r="N133" i="12" s="1"/>
  <c r="Z133" i="12" s="1"/>
  <c r="G45" i="12"/>
  <c r="J45" i="12" s="1"/>
  <c r="L45" i="12" s="1"/>
  <c r="N45" i="12" s="1"/>
  <c r="Z45" i="12" s="1"/>
  <c r="J26" i="12"/>
  <c r="L26" i="12" s="1"/>
  <c r="N26" i="12" s="1"/>
  <c r="Z26" i="12" s="1"/>
  <c r="J85" i="12"/>
  <c r="L85" i="12" s="1"/>
  <c r="N85" i="12" s="1"/>
  <c r="Z85" i="12" s="1"/>
  <c r="G45" i="31"/>
  <c r="G45" i="30"/>
  <c r="J45" i="30" s="1"/>
  <c r="L45" i="30" s="1"/>
  <c r="N45" i="30" s="1"/>
  <c r="Z45" i="30" s="1"/>
  <c r="J85" i="31"/>
  <c r="L85" i="31" s="1"/>
  <c r="N85" i="31" s="1"/>
  <c r="Z85" i="31" s="1"/>
  <c r="G28" i="31"/>
  <c r="G28" i="30"/>
  <c r="J28" i="30" s="1"/>
  <c r="L28" i="30" s="1"/>
  <c r="N28" i="30" s="1"/>
  <c r="Z28" i="30" s="1"/>
  <c r="Z28" i="12"/>
  <c r="G26" i="31"/>
  <c r="G26" i="30"/>
  <c r="J26" i="30" s="1"/>
  <c r="L26" i="30" s="1"/>
  <c r="N26" i="30" s="1"/>
  <c r="Z26" i="30" s="1"/>
  <c r="J133" i="31"/>
  <c r="L133" i="31" s="1"/>
  <c r="N133" i="31" s="1"/>
  <c r="Z133" i="31" s="1"/>
  <c r="J86" i="30"/>
  <c r="L86" i="30" s="1"/>
  <c r="N86" i="30" s="1"/>
  <c r="Z86" i="30" s="1"/>
  <c r="J7" i="31"/>
  <c r="L7" i="31" s="1"/>
  <c r="N7" i="31" s="1"/>
  <c r="Z7" i="31" s="1"/>
  <c r="L4" i="12"/>
  <c r="N4" i="12" s="1"/>
  <c r="Z4" i="12" s="1"/>
  <c r="AU117" i="27" a="1"/>
  <c r="AU117" i="27" s="1"/>
  <c r="AN117" i="27" a="1"/>
  <c r="AN117" i="27" s="1"/>
  <c r="AL117" i="27" a="1"/>
  <c r="AL117" i="27" s="1"/>
  <c r="AQ117" i="27" a="1"/>
  <c r="AQ117" i="27" s="1"/>
  <c r="AP117" i="27" a="1"/>
  <c r="AP117" i="27" s="1"/>
  <c r="AM117" i="27" a="1"/>
  <c r="AM117" i="27" s="1"/>
  <c r="AT117" i="27" a="1"/>
  <c r="AT117" i="27" s="1"/>
  <c r="AS117" i="27" a="1"/>
  <c r="AS117" i="27" s="1"/>
  <c r="AJ117" i="27" a="1"/>
  <c r="AJ117" i="27" s="1"/>
  <c r="AO117" i="27" a="1"/>
  <c r="AO117" i="27" s="1"/>
  <c r="AK117" i="27" a="1"/>
  <c r="AK117" i="27" s="1"/>
  <c r="AR117" i="27" a="1"/>
  <c r="AR117" i="27" s="1"/>
  <c r="G115" i="12" l="1"/>
  <c r="J115" i="12" s="1"/>
  <c r="L115" i="12" s="1"/>
  <c r="N115" i="12" s="1"/>
  <c r="J28" i="31"/>
  <c r="L28" i="31" s="1"/>
  <c r="N28" i="31" s="1"/>
  <c r="Z28" i="31" s="1"/>
  <c r="G115" i="31"/>
  <c r="G115" i="30"/>
  <c r="J115" i="30" s="1"/>
  <c r="L115" i="30" s="1"/>
  <c r="N115" i="30" s="1"/>
  <c r="Z115" i="30" s="1"/>
  <c r="AA67" i="30" s="1"/>
  <c r="Z115" i="12"/>
  <c r="AA4" i="12" s="1"/>
  <c r="J26" i="31"/>
  <c r="L26" i="31" s="1"/>
  <c r="N26" i="31" s="1"/>
  <c r="Z26" i="31" s="1"/>
  <c r="J45" i="31"/>
  <c r="L45" i="31" s="1"/>
  <c r="N45" i="31" s="1"/>
  <c r="Z45" i="31" s="1"/>
  <c r="AA115" i="12" l="1"/>
  <c r="AA67" i="12"/>
  <c r="J115" i="31"/>
  <c r="L115" i="31" s="1"/>
  <c r="N115" i="31" s="1"/>
  <c r="Z115" i="31" s="1"/>
  <c r="AA115" i="30"/>
  <c r="AA99" i="30"/>
  <c r="AA7" i="12"/>
  <c r="AA45" i="12"/>
  <c r="AA40" i="12"/>
  <c r="AA8" i="12"/>
  <c r="AA69" i="12"/>
  <c r="AA30" i="12"/>
  <c r="AA66" i="12"/>
  <c r="AA75" i="12"/>
  <c r="AA22" i="12"/>
  <c r="AA104" i="12"/>
  <c r="AA138" i="12"/>
  <c r="AA83" i="12"/>
  <c r="AA62" i="12"/>
  <c r="AA48" i="12"/>
  <c r="AA107" i="12"/>
  <c r="AA42" i="12"/>
  <c r="AA28" i="12"/>
  <c r="AA81" i="12"/>
  <c r="AA82" i="12"/>
  <c r="AA126" i="12"/>
  <c r="AA101" i="12"/>
  <c r="AA34" i="12"/>
  <c r="AA137" i="12"/>
  <c r="AA20" i="12"/>
  <c r="AA96" i="12"/>
  <c r="AA16" i="12"/>
  <c r="AA74" i="12"/>
  <c r="AA76" i="12"/>
  <c r="AA13" i="12"/>
  <c r="AA68" i="12"/>
  <c r="AA79" i="12"/>
  <c r="AA26" i="12"/>
  <c r="AA46" i="12"/>
  <c r="AA23" i="12"/>
  <c r="AA135" i="12"/>
  <c r="AA121" i="12"/>
  <c r="AA130" i="12"/>
  <c r="AA49" i="12"/>
  <c r="AA60" i="12"/>
  <c r="AA15" i="12"/>
  <c r="AA71" i="12"/>
  <c r="AA117" i="12"/>
  <c r="AA73" i="12"/>
  <c r="AA116" i="12"/>
  <c r="AA72" i="12"/>
  <c r="AA6" i="12"/>
  <c r="AA133" i="12"/>
  <c r="AA91" i="12"/>
  <c r="AA108" i="12"/>
  <c r="AA5" i="12"/>
  <c r="AA118" i="12"/>
  <c r="AA33" i="12"/>
  <c r="AA98" i="12"/>
  <c r="AA119" i="12"/>
  <c r="AA106" i="12"/>
  <c r="AA134" i="12"/>
  <c r="AA127" i="12"/>
  <c r="AA35" i="12"/>
  <c r="AA124" i="12"/>
  <c r="AA59" i="12"/>
  <c r="AA94" i="12"/>
  <c r="AA88" i="12"/>
  <c r="AA58" i="12"/>
  <c r="AA17" i="12"/>
  <c r="AA31" i="12"/>
  <c r="AA21" i="12"/>
  <c r="AA10" i="12"/>
  <c r="AA131" i="12"/>
  <c r="AA32" i="12"/>
  <c r="AA125" i="12"/>
  <c r="AA24" i="12"/>
  <c r="AA103" i="12"/>
  <c r="AA110" i="12"/>
  <c r="AA52" i="12"/>
  <c r="AA57" i="12"/>
  <c r="AA85" i="12"/>
  <c r="AA41" i="12"/>
  <c r="AA29" i="12"/>
  <c r="AA25" i="12"/>
  <c r="AA18" i="12"/>
  <c r="AA70" i="12"/>
  <c r="AA128" i="12"/>
  <c r="AA89" i="12"/>
  <c r="AA120" i="12"/>
  <c r="AA39" i="12"/>
  <c r="AA100" i="12"/>
  <c r="AA114" i="12"/>
  <c r="AA14" i="12"/>
  <c r="AA113" i="12"/>
  <c r="AA122" i="12"/>
  <c r="AA105" i="12"/>
  <c r="AA36" i="12"/>
  <c r="AA123" i="12"/>
  <c r="AA47" i="12"/>
  <c r="AA86" i="12"/>
  <c r="AA38" i="12"/>
  <c r="AA92" i="12"/>
  <c r="AA87" i="12"/>
  <c r="AA136" i="12"/>
  <c r="AA54" i="12"/>
  <c r="AA55" i="12"/>
  <c r="AA97" i="12"/>
  <c r="AA65" i="12"/>
  <c r="AA77" i="12"/>
  <c r="AA112" i="12"/>
  <c r="AA27" i="12"/>
  <c r="AA64" i="12"/>
  <c r="AA63" i="12"/>
  <c r="AA19" i="12"/>
  <c r="AA132" i="12"/>
  <c r="AA12" i="12"/>
  <c r="AA111" i="12"/>
  <c r="AA37" i="12"/>
  <c r="AA84" i="12"/>
  <c r="AA56" i="12"/>
  <c r="AA43" i="12"/>
  <c r="AA109" i="12"/>
  <c r="AA99" i="12"/>
  <c r="AA64" i="31"/>
  <c r="AA103" i="31"/>
  <c r="AA26" i="30"/>
  <c r="AA38" i="30"/>
  <c r="AA132" i="30"/>
  <c r="AA52" i="30"/>
  <c r="AA121" i="30"/>
  <c r="AA103" i="30"/>
  <c r="AA16" i="30"/>
  <c r="AA13" i="30"/>
  <c r="AA118" i="30"/>
  <c r="AA101" i="30"/>
  <c r="AA83" i="30"/>
  <c r="AA94" i="30"/>
  <c r="AA7" i="30"/>
  <c r="AA137" i="30"/>
  <c r="AA27" i="30"/>
  <c r="AA15" i="30"/>
  <c r="AA117" i="30"/>
  <c r="AA60" i="30"/>
  <c r="AA65" i="30"/>
  <c r="AA82" i="30"/>
  <c r="AA22" i="30"/>
  <c r="AA126" i="30"/>
  <c r="AA128" i="30"/>
  <c r="AA25" i="30"/>
  <c r="AA33" i="30"/>
  <c r="AA24" i="30"/>
  <c r="AA109" i="30"/>
  <c r="AA112" i="30"/>
  <c r="AA119" i="30"/>
  <c r="AA41" i="30"/>
  <c r="AA89" i="30"/>
  <c r="AA39" i="30"/>
  <c r="AA70" i="30"/>
  <c r="AA71" i="30"/>
  <c r="AA110" i="30"/>
  <c r="AA34" i="30"/>
  <c r="AA6" i="30"/>
  <c r="AA96" i="30"/>
  <c r="AA75" i="30"/>
  <c r="AA107" i="30"/>
  <c r="AA100" i="30"/>
  <c r="AA46" i="30"/>
  <c r="AA98" i="30"/>
  <c r="AA84" i="30"/>
  <c r="AA113" i="30"/>
  <c r="AA29" i="30"/>
  <c r="AA62" i="30"/>
  <c r="AA92" i="30"/>
  <c r="AA21" i="30"/>
  <c r="AA91" i="30"/>
  <c r="AA35" i="30"/>
  <c r="AA4" i="30"/>
  <c r="AA20" i="30"/>
  <c r="AA18" i="30"/>
  <c r="AA72" i="30"/>
  <c r="AA31" i="30"/>
  <c r="AA136" i="30"/>
  <c r="AA69" i="30"/>
  <c r="AA123" i="30"/>
  <c r="AA68" i="30"/>
  <c r="AA8" i="30"/>
  <c r="AA85" i="30"/>
  <c r="AA12" i="30"/>
  <c r="AA43" i="30"/>
  <c r="AA88" i="30"/>
  <c r="AA131" i="30"/>
  <c r="AA42" i="30"/>
  <c r="AA116" i="30"/>
  <c r="AA114" i="30"/>
  <c r="AA77" i="30"/>
  <c r="AA56" i="30"/>
  <c r="AA97" i="30"/>
  <c r="AA48" i="30"/>
  <c r="AA73" i="30"/>
  <c r="AA108" i="30"/>
  <c r="AA86" i="30"/>
  <c r="AA19" i="30"/>
  <c r="AA57" i="30"/>
  <c r="AA58" i="30"/>
  <c r="AA17" i="30"/>
  <c r="AA79" i="30"/>
  <c r="AA133" i="30"/>
  <c r="AA76" i="30"/>
  <c r="AA66" i="30"/>
  <c r="AA63" i="30"/>
  <c r="AA59" i="30"/>
  <c r="AA36" i="30"/>
  <c r="AA120" i="30"/>
  <c r="AA138" i="30"/>
  <c r="AA40" i="30"/>
  <c r="AA135" i="30"/>
  <c r="AA125" i="30"/>
  <c r="AA106" i="30"/>
  <c r="AA37" i="30"/>
  <c r="AA55" i="30"/>
  <c r="AA87" i="30"/>
  <c r="AA54" i="30"/>
  <c r="AA10" i="30"/>
  <c r="AA122" i="30"/>
  <c r="AA134" i="30"/>
  <c r="AA14" i="30"/>
  <c r="AA124" i="30"/>
  <c r="AA47" i="30"/>
  <c r="AA81" i="30"/>
  <c r="AA49" i="30"/>
  <c r="AA111" i="30"/>
  <c r="AA30" i="30"/>
  <c r="AA105" i="30"/>
  <c r="AA5" i="30"/>
  <c r="AA130" i="30"/>
  <c r="AA104" i="30"/>
  <c r="AA23" i="30"/>
  <c r="AA127" i="30"/>
  <c r="AA74" i="30"/>
  <c r="AA32" i="30"/>
  <c r="AA64" i="30"/>
  <c r="AA28" i="30"/>
  <c r="AA45" i="30"/>
  <c r="AA67" i="31" l="1"/>
  <c r="AA48" i="31"/>
  <c r="AA134" i="31"/>
  <c r="AA37" i="31"/>
  <c r="AA100" i="31"/>
  <c r="AA120" i="31"/>
  <c r="AA25" i="31"/>
  <c r="AA108" i="31"/>
  <c r="AA75" i="31"/>
  <c r="AA18" i="31"/>
  <c r="AA121" i="31"/>
  <c r="AA82" i="31"/>
  <c r="AA72" i="31"/>
  <c r="AA55" i="31"/>
  <c r="AA15" i="31"/>
  <c r="AA29" i="31"/>
  <c r="AA117" i="31"/>
  <c r="AA123" i="31"/>
  <c r="AA99" i="31"/>
  <c r="AA114" i="31"/>
  <c r="AA96" i="31"/>
  <c r="AA92" i="31"/>
  <c r="AA132" i="31"/>
  <c r="AA41" i="31"/>
  <c r="AA101" i="31"/>
  <c r="AA12" i="31"/>
  <c r="AA69" i="31"/>
  <c r="AA20" i="31"/>
  <c r="AA116" i="31"/>
  <c r="AA19" i="31"/>
  <c r="AA34" i="31"/>
  <c r="AA74" i="31"/>
  <c r="AA62" i="31"/>
  <c r="AA135" i="31"/>
  <c r="AA113" i="31"/>
  <c r="AA107" i="31"/>
  <c r="AA13" i="31"/>
  <c r="AA66" i="31"/>
  <c r="AA105" i="31"/>
  <c r="AA47" i="31"/>
  <c r="AA136" i="31"/>
  <c r="AA131" i="31"/>
  <c r="AA83" i="31"/>
  <c r="AA49" i="31"/>
  <c r="AA57" i="31"/>
  <c r="AA16" i="31"/>
  <c r="AA97" i="31"/>
  <c r="AA76" i="31"/>
  <c r="AA71" i="31"/>
  <c r="AA122" i="31"/>
  <c r="AA89" i="31"/>
  <c r="AA86" i="31"/>
  <c r="AA84" i="31"/>
  <c r="AA125" i="31"/>
  <c r="AA111" i="31"/>
  <c r="AA8" i="31"/>
  <c r="AA104" i="31"/>
  <c r="AA137" i="31"/>
  <c r="AA98" i="31"/>
  <c r="AA112" i="31"/>
  <c r="AA52" i="31"/>
  <c r="AA14" i="31"/>
  <c r="AA68" i="31"/>
  <c r="AA56" i="31"/>
  <c r="AA24" i="31"/>
  <c r="AA63" i="31"/>
  <c r="AA77" i="31"/>
  <c r="AA31" i="31"/>
  <c r="AA133" i="31"/>
  <c r="AA110" i="31"/>
  <c r="AA85" i="31"/>
  <c r="AA30" i="31"/>
  <c r="AA42" i="31"/>
  <c r="AA10" i="31"/>
  <c r="AA81" i="31"/>
  <c r="AA54" i="31"/>
  <c r="AA38" i="31"/>
  <c r="AA127" i="31"/>
  <c r="AA91" i="31"/>
  <c r="AA126" i="31"/>
  <c r="AA58" i="31"/>
  <c r="AA124" i="31"/>
  <c r="AA7" i="31"/>
  <c r="AA73" i="31"/>
  <c r="AA21" i="31"/>
  <c r="AA115" i="31"/>
  <c r="AA35" i="31"/>
  <c r="AA106" i="31"/>
  <c r="AA33" i="31"/>
  <c r="AA5" i="31"/>
  <c r="AA119" i="31"/>
  <c r="AA46" i="31"/>
  <c r="AA94" i="31"/>
  <c r="AA79" i="31"/>
  <c r="AA27" i="31"/>
  <c r="AA128" i="31"/>
  <c r="AA70" i="31"/>
  <c r="AA138" i="31"/>
  <c r="AA65" i="31"/>
  <c r="AA87" i="31"/>
  <c r="AA17" i="31"/>
  <c r="AA59" i="31"/>
  <c r="AA26" i="31"/>
  <c r="AA4" i="31"/>
  <c r="AA32" i="31"/>
  <c r="AA36" i="31"/>
  <c r="AA130" i="31"/>
  <c r="AA23" i="31"/>
  <c r="AA6" i="31"/>
  <c r="AA40" i="31"/>
  <c r="AA22" i="31"/>
  <c r="AA28" i="31"/>
  <c r="AA60" i="31"/>
  <c r="AA118" i="31"/>
  <c r="AA39" i="31"/>
  <c r="AA88" i="31"/>
  <c r="AA43" i="31"/>
  <c r="AA109" i="31"/>
  <c r="AA45" i="31"/>
  <c r="T123" i="20"/>
  <c r="V123" i="20"/>
  <c r="U123" i="20" s="1"/>
  <c r="H123" i="20"/>
  <c r="I123" i="20"/>
  <c r="J123" i="20"/>
  <c r="K123" i="20"/>
  <c r="B123" i="20"/>
  <c r="C123" i="20"/>
  <c r="D123" i="20"/>
  <c r="E123" i="20"/>
  <c r="E18" i="20"/>
  <c r="D18" i="20"/>
  <c r="B18" i="20"/>
  <c r="E14" i="20"/>
  <c r="B14" i="20"/>
  <c r="C14" i="20"/>
  <c r="C37" i="20"/>
  <c r="E37" i="20"/>
  <c r="B37" i="20"/>
  <c r="B40" i="20"/>
  <c r="D40" i="20"/>
  <c r="B41" i="20"/>
  <c r="C108" i="20"/>
  <c r="D108" i="20"/>
  <c r="E108" i="20"/>
  <c r="E95" i="20"/>
  <c r="B95" i="20"/>
  <c r="B108" i="20"/>
  <c r="C122" i="20"/>
  <c r="B101" i="20"/>
  <c r="E61" i="20"/>
  <c r="E41" i="20"/>
  <c r="E92" i="20"/>
  <c r="C33" i="20"/>
  <c r="B116" i="20"/>
  <c r="C51" i="20"/>
  <c r="C87" i="20"/>
  <c r="C11" i="20"/>
  <c r="D24" i="20"/>
  <c r="C86" i="20"/>
  <c r="C99" i="20"/>
  <c r="C9" i="20"/>
  <c r="D25" i="20"/>
  <c r="B75" i="20"/>
  <c r="C114" i="20"/>
  <c r="D74" i="20"/>
  <c r="B30" i="20"/>
  <c r="C101" i="20"/>
  <c r="B79" i="20"/>
  <c r="E64" i="20"/>
  <c r="C24" i="20"/>
  <c r="C47" i="20"/>
  <c r="E88" i="20"/>
  <c r="B106" i="20"/>
  <c r="E59" i="20"/>
  <c r="D116" i="20"/>
  <c r="D16" i="20"/>
  <c r="C109" i="20"/>
  <c r="E57" i="20"/>
  <c r="C95" i="20"/>
  <c r="D47" i="20"/>
  <c r="B60" i="20"/>
  <c r="E9" i="20"/>
  <c r="C52" i="20"/>
  <c r="C81" i="20"/>
  <c r="B88" i="20"/>
  <c r="E28" i="20"/>
  <c r="B33" i="20"/>
  <c r="C40" i="20"/>
  <c r="E63" i="20"/>
  <c r="B118" i="20"/>
  <c r="C55" i="20"/>
  <c r="D31" i="20"/>
  <c r="C54" i="20"/>
  <c r="B96" i="20"/>
  <c r="C79" i="20"/>
  <c r="B5" i="20"/>
  <c r="E77" i="20"/>
  <c r="D101" i="20"/>
  <c r="E16" i="20"/>
  <c r="C80" i="20"/>
  <c r="C58" i="20"/>
  <c r="D95" i="20"/>
  <c r="D14" i="20"/>
  <c r="E40" i="20"/>
  <c r="D37" i="20"/>
  <c r="D7" i="20"/>
  <c r="B46" i="20"/>
  <c r="E69" i="20"/>
  <c r="B77" i="20"/>
  <c r="E43" i="20"/>
  <c r="D23" i="20"/>
  <c r="C72" i="20"/>
  <c r="C18" i="20"/>
  <c r="E97" i="20"/>
  <c r="E21" i="20"/>
  <c r="C29" i="20"/>
  <c r="B73" i="20"/>
  <c r="D56" i="20"/>
  <c r="B27" i="20"/>
  <c r="C91" i="20"/>
  <c r="B24" i="20"/>
  <c r="E121" i="20"/>
  <c r="D62" i="20"/>
  <c r="E38" i="20"/>
  <c r="E73" i="20"/>
  <c r="C104" i="20"/>
  <c r="E120" i="20"/>
  <c r="C89" i="20"/>
  <c r="E82" i="20"/>
  <c r="B109" i="20"/>
  <c r="E52" i="20"/>
  <c r="B92" i="20"/>
  <c r="B112" i="20"/>
  <c r="E76" i="20"/>
  <c r="B105" i="20"/>
  <c r="D67" i="20"/>
  <c r="B34" i="20"/>
  <c r="E39" i="20"/>
  <c r="B110" i="20"/>
  <c r="E85" i="20"/>
  <c r="B10" i="20"/>
  <c r="D64" i="20"/>
  <c r="E99" i="20"/>
  <c r="E35" i="20"/>
  <c r="D96" i="20"/>
  <c r="B17" i="20"/>
  <c r="D45" i="20"/>
  <c r="D6" i="20"/>
  <c r="C69" i="20"/>
  <c r="B78" i="20"/>
  <c r="C46" i="20"/>
  <c r="C36" i="20"/>
  <c r="D75" i="20"/>
  <c r="D90" i="20"/>
  <c r="B81" i="20"/>
  <c r="B8" i="20"/>
  <c r="B86" i="20"/>
  <c r="B44" i="20"/>
  <c r="B87" i="20"/>
  <c r="E122" i="20"/>
  <c r="E81" i="20"/>
  <c r="B61" i="20"/>
  <c r="C103" i="20"/>
  <c r="E78" i="20"/>
  <c r="E27" i="20"/>
  <c r="D27" i="20"/>
  <c r="E49" i="20"/>
  <c r="D106" i="20"/>
  <c r="D38" i="20"/>
  <c r="C13" i="20"/>
  <c r="B82" i="20"/>
  <c r="C15" i="20"/>
  <c r="E23" i="20"/>
  <c r="D29" i="20"/>
  <c r="C30" i="20"/>
  <c r="D50" i="20"/>
  <c r="D30" i="20"/>
  <c r="D97" i="20"/>
  <c r="E71" i="20"/>
  <c r="B11" i="20"/>
  <c r="B21" i="20"/>
  <c r="B59" i="20"/>
  <c r="D84" i="20"/>
  <c r="C66" i="20"/>
  <c r="B13" i="20"/>
  <c r="C116" i="20"/>
  <c r="D91" i="20"/>
  <c r="C115" i="20"/>
  <c r="D92" i="20"/>
  <c r="B43" i="20"/>
  <c r="C120" i="20"/>
  <c r="B57" i="20"/>
  <c r="E89" i="20"/>
  <c r="E109" i="20"/>
  <c r="B31" i="20"/>
  <c r="E87" i="20"/>
  <c r="C77" i="20"/>
  <c r="E25" i="20"/>
  <c r="B15" i="20"/>
  <c r="C60" i="20"/>
  <c r="B55" i="20"/>
  <c r="C20" i="20"/>
  <c r="B35" i="20"/>
  <c r="C44" i="20"/>
  <c r="D100" i="20"/>
  <c r="D118" i="20"/>
  <c r="C23" i="20"/>
  <c r="E114" i="20"/>
  <c r="B25" i="20"/>
  <c r="C74" i="20"/>
  <c r="D68" i="20"/>
  <c r="B45" i="20"/>
  <c r="E44" i="20"/>
  <c r="D120" i="20"/>
  <c r="D103" i="20"/>
  <c r="B6" i="20"/>
  <c r="E10" i="20"/>
  <c r="B114" i="20"/>
  <c r="D28" i="20"/>
  <c r="C61" i="20"/>
  <c r="E42" i="20"/>
  <c r="D54" i="20"/>
  <c r="E118" i="20"/>
  <c r="C110" i="20"/>
  <c r="D70" i="20"/>
  <c r="C117" i="20"/>
  <c r="D71" i="20"/>
  <c r="B19" i="20"/>
  <c r="D33" i="20"/>
  <c r="E113" i="20"/>
  <c r="E101" i="20"/>
  <c r="E7" i="20"/>
  <c r="E8" i="20"/>
  <c r="D105" i="20"/>
  <c r="D58" i="20"/>
  <c r="C105" i="20"/>
  <c r="C119" i="20"/>
  <c r="B67" i="20"/>
  <c r="B26" i="20"/>
  <c r="E80" i="20"/>
  <c r="C22" i="20"/>
  <c r="E15" i="20"/>
  <c r="E45" i="20"/>
  <c r="C90" i="20"/>
  <c r="C45" i="20"/>
  <c r="E116" i="20"/>
  <c r="D80" i="20"/>
  <c r="B94" i="20"/>
  <c r="D83" i="20"/>
  <c r="E102" i="20"/>
  <c r="D43" i="20"/>
  <c r="B51" i="20"/>
  <c r="B83" i="20"/>
  <c r="E47" i="20"/>
  <c r="D49" i="20"/>
  <c r="D41" i="20"/>
  <c r="C21" i="20"/>
  <c r="B65" i="20"/>
  <c r="E83" i="20"/>
  <c r="B76" i="20"/>
  <c r="E36" i="20"/>
  <c r="C82" i="20"/>
  <c r="D57" i="20"/>
  <c r="D46" i="20"/>
  <c r="E54" i="20"/>
  <c r="B22" i="20"/>
  <c r="D87" i="20"/>
  <c r="B74" i="20"/>
  <c r="D85" i="20"/>
  <c r="B100" i="20"/>
  <c r="C121" i="20"/>
  <c r="C78" i="20"/>
  <c r="D52" i="20"/>
  <c r="D66" i="20"/>
  <c r="B32" i="20"/>
  <c r="E96" i="20"/>
  <c r="E107" i="20"/>
  <c r="E98" i="20"/>
  <c r="C5" i="20"/>
  <c r="D59" i="20"/>
  <c r="B120" i="20"/>
  <c r="D112" i="20"/>
  <c r="C85" i="20"/>
  <c r="B36" i="20"/>
  <c r="D65" i="20"/>
  <c r="E31" i="20"/>
  <c r="D32" i="20"/>
  <c r="B64" i="20"/>
  <c r="D69" i="20"/>
  <c r="E106" i="20"/>
  <c r="C35" i="20"/>
  <c r="E20" i="20"/>
  <c r="B84" i="20"/>
  <c r="E94" i="20"/>
  <c r="E24" i="20"/>
  <c r="D77" i="20"/>
  <c r="C107" i="20"/>
  <c r="C28" i="20"/>
  <c r="D53" i="20"/>
  <c r="B90" i="20"/>
  <c r="D76" i="20"/>
  <c r="C94" i="20"/>
  <c r="E62" i="20"/>
  <c r="B23" i="20"/>
  <c r="B117" i="20"/>
  <c r="B39" i="20"/>
  <c r="D98" i="20"/>
  <c r="E74" i="20"/>
  <c r="C75" i="20"/>
  <c r="C16" i="20"/>
  <c r="C42" i="20"/>
  <c r="C25" i="20"/>
  <c r="B38" i="20"/>
  <c r="B56" i="20"/>
  <c r="C32" i="20"/>
  <c r="C34" i="20"/>
  <c r="C8" i="20"/>
  <c r="C6" i="20"/>
  <c r="C27" i="20"/>
  <c r="E55" i="20"/>
  <c r="C71" i="20"/>
  <c r="E91" i="20"/>
  <c r="D12" i="20"/>
  <c r="B85" i="20"/>
  <c r="D94" i="20"/>
  <c r="E19" i="20"/>
  <c r="B102" i="20"/>
  <c r="D110" i="20"/>
  <c r="D15" i="20"/>
  <c r="D99" i="20"/>
  <c r="E103" i="20"/>
  <c r="D9" i="20"/>
  <c r="B119" i="20"/>
  <c r="D8" i="20"/>
  <c r="B68" i="20"/>
  <c r="D89" i="20"/>
  <c r="C68" i="20"/>
  <c r="D119" i="20"/>
  <c r="C92" i="20"/>
  <c r="D115" i="20"/>
  <c r="E86" i="20"/>
  <c r="E100" i="20"/>
  <c r="E34" i="20"/>
  <c r="E93" i="20"/>
  <c r="C10" i="20"/>
  <c r="B7" i="20"/>
  <c r="C59" i="20"/>
  <c r="B20" i="20"/>
  <c r="D121" i="20"/>
  <c r="E110" i="20"/>
  <c r="D63" i="20"/>
  <c r="B98" i="20"/>
  <c r="E66" i="20"/>
  <c r="B91" i="20"/>
  <c r="B49" i="20"/>
  <c r="D20" i="20"/>
  <c r="C70" i="20"/>
  <c r="B42" i="20"/>
  <c r="C83" i="20"/>
  <c r="E26" i="20"/>
  <c r="E13" i="20"/>
  <c r="E48" i="20"/>
  <c r="B72" i="20"/>
  <c r="D44" i="20"/>
  <c r="E51" i="20"/>
  <c r="D78" i="20"/>
  <c r="D51" i="20"/>
  <c r="B16" i="20"/>
  <c r="D19" i="20"/>
  <c r="B71" i="20"/>
  <c r="C65" i="20"/>
  <c r="D122" i="20"/>
  <c r="C73" i="20"/>
  <c r="E17" i="20"/>
  <c r="C39" i="20"/>
  <c r="D55" i="20"/>
  <c r="D13" i="20"/>
  <c r="E30" i="20"/>
  <c r="C84" i="20"/>
  <c r="C93" i="20"/>
  <c r="B104" i="20"/>
  <c r="B103" i="20"/>
  <c r="E50" i="20"/>
  <c r="E58" i="20"/>
  <c r="E72" i="20"/>
  <c r="C53" i="20"/>
  <c r="C7" i="20"/>
  <c r="E65" i="20"/>
  <c r="D39" i="20"/>
  <c r="B115" i="20"/>
  <c r="E79" i="20"/>
  <c r="C48" i="20"/>
  <c r="C67" i="20"/>
  <c r="E67" i="20"/>
  <c r="E68" i="20"/>
  <c r="D114" i="20"/>
  <c r="D79" i="20"/>
  <c r="B97" i="20"/>
  <c r="D26" i="20"/>
  <c r="B12" i="20"/>
  <c r="D81" i="20"/>
  <c r="E90" i="20"/>
  <c r="E119" i="20"/>
  <c r="E53" i="20"/>
  <c r="D86" i="20"/>
  <c r="D21" i="20"/>
  <c r="C64" i="20"/>
  <c r="B122" i="20"/>
  <c r="D34" i="20"/>
  <c r="E11" i="20"/>
  <c r="D102" i="20"/>
  <c r="B50" i="20"/>
  <c r="E33" i="20"/>
  <c r="D17" i="20"/>
  <c r="E111" i="20"/>
  <c r="E5" i="20"/>
  <c r="C26" i="20"/>
  <c r="E6" i="20"/>
  <c r="D10" i="20"/>
  <c r="B113" i="20"/>
  <c r="C50" i="20"/>
  <c r="C97" i="20"/>
  <c r="B99" i="20"/>
  <c r="D73" i="20"/>
  <c r="E104" i="20"/>
  <c r="C56" i="20"/>
  <c r="D72" i="20"/>
  <c r="C76" i="20"/>
  <c r="D60" i="20"/>
  <c r="C102" i="20"/>
  <c r="D22" i="20"/>
  <c r="B93" i="20"/>
  <c r="D93" i="20"/>
  <c r="B111" i="20"/>
  <c r="D117" i="20"/>
  <c r="C57" i="20"/>
  <c r="B70" i="20"/>
  <c r="B89" i="20"/>
  <c r="B58" i="20"/>
  <c r="C112" i="20"/>
  <c r="D42" i="20"/>
  <c r="D88" i="20"/>
  <c r="B52" i="20"/>
  <c r="C113" i="20"/>
  <c r="B63" i="20"/>
  <c r="E84" i="20"/>
  <c r="E56" i="20"/>
  <c r="C118" i="20"/>
  <c r="E46" i="20"/>
  <c r="C98" i="20"/>
  <c r="C106" i="20"/>
  <c r="B80" i="20"/>
  <c r="B48" i="20"/>
  <c r="C38" i="20"/>
  <c r="E70" i="20"/>
  <c r="C111" i="20"/>
  <c r="C88" i="20"/>
  <c r="E105" i="20"/>
  <c r="E75" i="20"/>
  <c r="D109" i="20"/>
  <c r="D61" i="20"/>
  <c r="C49" i="20"/>
  <c r="B69" i="20"/>
  <c r="C19" i="20"/>
  <c r="B121" i="20"/>
  <c r="B29" i="20"/>
  <c r="B47" i="20"/>
  <c r="D48" i="20"/>
  <c r="E32" i="20"/>
  <c r="D35" i="20"/>
  <c r="E60" i="20"/>
  <c r="B107" i="20"/>
  <c r="C96" i="20"/>
  <c r="C62" i="20"/>
  <c r="D104" i="20"/>
  <c r="D5" i="20"/>
  <c r="D113" i="20"/>
  <c r="E112" i="20"/>
  <c r="B28" i="20"/>
  <c r="C12" i="20"/>
  <c r="B54" i="20"/>
  <c r="E22" i="20"/>
  <c r="D36" i="20"/>
  <c r="C100" i="20"/>
  <c r="D82" i="20"/>
  <c r="B53" i="20"/>
  <c r="D107" i="20"/>
  <c r="B9" i="20"/>
  <c r="C31" i="20"/>
  <c r="B66" i="20"/>
  <c r="C41" i="20"/>
  <c r="B62" i="20"/>
  <c r="E115" i="20"/>
  <c r="D111" i="20"/>
  <c r="E29" i="20"/>
  <c r="C43" i="20"/>
  <c r="E117" i="20"/>
  <c r="D11" i="20"/>
  <c r="C63" i="20"/>
  <c r="E12" i="20"/>
  <c r="C17" i="20"/>
  <c r="I103" i="20"/>
  <c r="I48" i="20"/>
  <c r="H40" i="20"/>
  <c r="V26" i="20"/>
  <c r="V29" i="20"/>
  <c r="I118" i="20"/>
  <c r="H24" i="20"/>
  <c r="K53" i="20"/>
  <c r="I51" i="20"/>
  <c r="H37" i="20"/>
  <c r="J13" i="20"/>
  <c r="T120" i="20"/>
  <c r="W120" i="20" s="1"/>
  <c r="K11" i="20"/>
  <c r="H86" i="20"/>
  <c r="I47" i="20"/>
  <c r="T101" i="20"/>
  <c r="W101" i="20" s="1"/>
  <c r="K91" i="20"/>
  <c r="H23" i="20"/>
  <c r="I24" i="20"/>
  <c r="J43" i="20"/>
  <c r="V11" i="20"/>
  <c r="K14" i="20"/>
  <c r="K67" i="20"/>
  <c r="I71" i="20"/>
  <c r="V112" i="20"/>
  <c r="I76" i="20"/>
  <c r="K90" i="20"/>
  <c r="J44" i="20"/>
  <c r="K117" i="20"/>
  <c r="I58" i="20"/>
  <c r="J100" i="20"/>
  <c r="T88" i="20"/>
  <c r="W88" i="20" s="1"/>
  <c r="V20" i="20"/>
  <c r="T22" i="20"/>
  <c r="W22" i="20" s="1"/>
  <c r="V97" i="20"/>
  <c r="V100" i="20"/>
  <c r="I14" i="20"/>
  <c r="T68" i="20"/>
  <c r="W68" i="20" s="1"/>
  <c r="H74" i="20"/>
  <c r="K115" i="20"/>
  <c r="V85" i="20"/>
  <c r="H122" i="20"/>
  <c r="J48" i="20"/>
  <c r="V110" i="20"/>
  <c r="I75" i="20"/>
  <c r="K100" i="20"/>
  <c r="I22" i="20"/>
  <c r="T30" i="20"/>
  <c r="W30" i="20" s="1"/>
  <c r="V21" i="20"/>
  <c r="H93" i="20"/>
  <c r="T38" i="20"/>
  <c r="W38" i="20" s="1"/>
  <c r="V8" i="20"/>
  <c r="T117" i="20"/>
  <c r="W117" i="20" s="1"/>
  <c r="H12" i="20"/>
  <c r="T17" i="20"/>
  <c r="W17" i="20" s="1"/>
  <c r="H43" i="20"/>
  <c r="I25" i="20"/>
  <c r="K97" i="20"/>
  <c r="J58" i="20"/>
  <c r="H89" i="20"/>
  <c r="V25" i="20"/>
  <c r="V101" i="20"/>
  <c r="K82" i="20"/>
  <c r="H80" i="20"/>
  <c r="I38" i="20"/>
  <c r="V14" i="20"/>
  <c r="V99" i="20"/>
  <c r="H83" i="20"/>
  <c r="J75" i="20"/>
  <c r="H102" i="20"/>
  <c r="I44" i="20"/>
  <c r="T67" i="20"/>
  <c r="W67" i="20" s="1"/>
  <c r="J7" i="20"/>
  <c r="K48" i="20"/>
  <c r="I95" i="20"/>
  <c r="K109" i="20"/>
  <c r="I85" i="20"/>
  <c r="I77" i="20"/>
  <c r="H29" i="20"/>
  <c r="I67" i="20"/>
  <c r="K55" i="20"/>
  <c r="J22" i="20"/>
  <c r="J21" i="20"/>
  <c r="H103" i="20"/>
  <c r="I52" i="20"/>
  <c r="I55" i="20"/>
  <c r="V38" i="20"/>
  <c r="T103" i="20"/>
  <c r="W103" i="20" s="1"/>
  <c r="H68" i="20"/>
  <c r="T18" i="20"/>
  <c r="W18" i="20" s="1"/>
  <c r="H15" i="20"/>
  <c r="J107" i="20"/>
  <c r="T111" i="20"/>
  <c r="W111" i="20" s="1"/>
  <c r="J23" i="20"/>
  <c r="V41" i="20"/>
  <c r="J88" i="20"/>
  <c r="J85" i="20"/>
  <c r="K15" i="20"/>
  <c r="V104" i="20"/>
  <c r="T40" i="20"/>
  <c r="W40" i="20" s="1"/>
  <c r="H95" i="20"/>
  <c r="I40" i="20"/>
  <c r="H100" i="20"/>
  <c r="T90" i="20"/>
  <c r="W90" i="20" s="1"/>
  <c r="V22" i="20"/>
  <c r="J68" i="20"/>
  <c r="H6" i="20"/>
  <c r="J50" i="20"/>
  <c r="I36" i="20"/>
  <c r="H44" i="20"/>
  <c r="J80" i="20"/>
  <c r="H34" i="20"/>
  <c r="J96" i="20"/>
  <c r="T27" i="20"/>
  <c r="W27" i="20" s="1"/>
  <c r="V13" i="20"/>
  <c r="H13" i="20"/>
  <c r="H61" i="20"/>
  <c r="T81" i="20"/>
  <c r="W81" i="20" s="1"/>
  <c r="J42" i="20"/>
  <c r="I18" i="20"/>
  <c r="T91" i="20"/>
  <c r="W91" i="20" s="1"/>
  <c r="K20" i="20"/>
  <c r="H28" i="20"/>
  <c r="V103" i="20"/>
  <c r="J121" i="20"/>
  <c r="V65" i="20"/>
  <c r="H108" i="20"/>
  <c r="T24" i="20"/>
  <c r="W24" i="20" s="1"/>
  <c r="I59" i="20"/>
  <c r="V61" i="20"/>
  <c r="J56" i="20"/>
  <c r="H22" i="20"/>
  <c r="K39" i="20"/>
  <c r="H114" i="20"/>
  <c r="T10" i="20"/>
  <c r="W10" i="20" s="1"/>
  <c r="T80" i="20"/>
  <c r="W80" i="20" s="1"/>
  <c r="T107" i="20"/>
  <c r="W107" i="20" s="1"/>
  <c r="T113" i="20"/>
  <c r="W113" i="20" s="1"/>
  <c r="I21" i="20"/>
  <c r="K101" i="20"/>
  <c r="T87" i="20"/>
  <c r="W87" i="20" s="1"/>
  <c r="K18" i="20"/>
  <c r="H84" i="20"/>
  <c r="J103" i="20"/>
  <c r="J37" i="20"/>
  <c r="V111" i="20"/>
  <c r="K19" i="20"/>
  <c r="J108" i="20"/>
  <c r="T79" i="20"/>
  <c r="W79" i="20" s="1"/>
  <c r="J74" i="20"/>
  <c r="V7" i="20"/>
  <c r="I119" i="20"/>
  <c r="H7" i="20"/>
  <c r="J102" i="20"/>
  <c r="I81" i="20"/>
  <c r="V27" i="20"/>
  <c r="I41" i="20"/>
  <c r="K25" i="20"/>
  <c r="I87" i="20"/>
  <c r="J26" i="20"/>
  <c r="J49" i="20"/>
  <c r="J29" i="20"/>
  <c r="T56" i="20"/>
  <c r="W56" i="20" s="1"/>
  <c r="I50" i="20"/>
  <c r="V60" i="20"/>
  <c r="K33" i="20"/>
  <c r="I10" i="20"/>
  <c r="H35" i="20"/>
  <c r="V17" i="20"/>
  <c r="V108" i="20"/>
  <c r="H99" i="20"/>
  <c r="H5" i="20"/>
  <c r="I45" i="20"/>
  <c r="J24" i="20"/>
  <c r="V80" i="20"/>
  <c r="K12" i="20"/>
  <c r="H121" i="20"/>
  <c r="K51" i="20"/>
  <c r="K58" i="20"/>
  <c r="V102" i="20"/>
  <c r="V77" i="20"/>
  <c r="K102" i="20"/>
  <c r="T33" i="20"/>
  <c r="W33" i="20" s="1"/>
  <c r="I27" i="20"/>
  <c r="V18" i="20"/>
  <c r="J41" i="20"/>
  <c r="H57" i="20"/>
  <c r="I8" i="20"/>
  <c r="J92" i="20"/>
  <c r="I29" i="20"/>
  <c r="J61" i="20"/>
  <c r="T108" i="20"/>
  <c r="W108" i="20" s="1"/>
  <c r="I98" i="20"/>
  <c r="J5" i="20"/>
  <c r="T115" i="20"/>
  <c r="W115" i="20" s="1"/>
  <c r="T44" i="20"/>
  <c r="W44" i="20" s="1"/>
  <c r="V44" i="20"/>
  <c r="K37" i="20"/>
  <c r="K57" i="20"/>
  <c r="K61" i="20"/>
  <c r="H88" i="20"/>
  <c r="J15" i="20"/>
  <c r="V51" i="20"/>
  <c r="K44" i="20"/>
  <c r="H109" i="20"/>
  <c r="J118" i="20"/>
  <c r="I6" i="20"/>
  <c r="V121" i="20"/>
  <c r="K69" i="20"/>
  <c r="T105" i="20"/>
  <c r="W105" i="20" s="1"/>
  <c r="J113" i="20"/>
  <c r="H47" i="20"/>
  <c r="J53" i="20"/>
  <c r="K80" i="20"/>
  <c r="I31" i="20"/>
  <c r="T83" i="20"/>
  <c r="W83" i="20" s="1"/>
  <c r="V57" i="20"/>
  <c r="V83" i="20"/>
  <c r="K78" i="20"/>
  <c r="T102" i="20"/>
  <c r="W102" i="20" s="1"/>
  <c r="I54" i="20"/>
  <c r="K10" i="20"/>
  <c r="V70" i="20"/>
  <c r="I32" i="20"/>
  <c r="H8" i="20"/>
  <c r="K62" i="20"/>
  <c r="J60" i="20"/>
  <c r="K6" i="20"/>
  <c r="H62" i="20"/>
  <c r="T63" i="20"/>
  <c r="W63" i="20" s="1"/>
  <c r="J106" i="20"/>
  <c r="K96" i="20"/>
  <c r="V12" i="20"/>
  <c r="K34" i="20"/>
  <c r="I33" i="20"/>
  <c r="T59" i="20"/>
  <c r="W59" i="20" s="1"/>
  <c r="T11" i="20"/>
  <c r="W11" i="20" s="1"/>
  <c r="H41" i="20"/>
  <c r="T75" i="20"/>
  <c r="W75" i="20" s="1"/>
  <c r="V94" i="20"/>
  <c r="T122" i="20"/>
  <c r="W122" i="20" s="1"/>
  <c r="V116" i="20"/>
  <c r="K81" i="20"/>
  <c r="J79" i="20"/>
  <c r="J95" i="20"/>
  <c r="T54" i="20"/>
  <c r="W54" i="20" s="1"/>
  <c r="T100" i="20"/>
  <c r="W100" i="20" s="1"/>
  <c r="H18" i="20"/>
  <c r="I83" i="20"/>
  <c r="I89" i="20"/>
  <c r="T57" i="20"/>
  <c r="W57" i="20" s="1"/>
  <c r="I91" i="20"/>
  <c r="V78" i="20"/>
  <c r="K41" i="20"/>
  <c r="K70" i="20"/>
  <c r="K94" i="20"/>
  <c r="T118" i="20"/>
  <c r="W118" i="20" s="1"/>
  <c r="T109" i="20"/>
  <c r="W109" i="20" s="1"/>
  <c r="K104" i="20"/>
  <c r="V84" i="20"/>
  <c r="T7" i="20"/>
  <c r="W7" i="20" s="1"/>
  <c r="H107" i="20"/>
  <c r="H115" i="20"/>
  <c r="I82" i="20"/>
  <c r="K106" i="20"/>
  <c r="V63" i="20"/>
  <c r="T98" i="20"/>
  <c r="W98" i="20" s="1"/>
  <c r="T35" i="20"/>
  <c r="W35" i="20" s="1"/>
  <c r="H90" i="20"/>
  <c r="V56" i="20"/>
  <c r="K56" i="20"/>
  <c r="I114" i="20"/>
  <c r="K89" i="20"/>
  <c r="K74" i="20"/>
  <c r="K40" i="20"/>
  <c r="H21" i="20"/>
  <c r="I68" i="20"/>
  <c r="T6" i="20"/>
  <c r="W6" i="20" s="1"/>
  <c r="V119" i="20"/>
  <c r="H120" i="20"/>
  <c r="J111" i="20"/>
  <c r="K122" i="20"/>
  <c r="I11" i="20"/>
  <c r="H19" i="20"/>
  <c r="T31" i="20"/>
  <c r="W31" i="20" s="1"/>
  <c r="I110" i="20"/>
  <c r="T99" i="20"/>
  <c r="W99" i="20" s="1"/>
  <c r="J114" i="20"/>
  <c r="J30" i="20"/>
  <c r="V106" i="20"/>
  <c r="K107" i="20"/>
  <c r="V113" i="20"/>
  <c r="K32" i="20"/>
  <c r="K113" i="20"/>
  <c r="J120" i="20"/>
  <c r="T36" i="20"/>
  <c r="W36" i="20" s="1"/>
  <c r="J47" i="20"/>
  <c r="K24" i="20"/>
  <c r="H49" i="20"/>
  <c r="K111" i="20"/>
  <c r="K22" i="20"/>
  <c r="V68" i="20"/>
  <c r="V87" i="20"/>
  <c r="J11" i="20"/>
  <c r="K49" i="20"/>
  <c r="H113" i="20"/>
  <c r="J59" i="20"/>
  <c r="V92" i="20"/>
  <c r="J122" i="20"/>
  <c r="J90" i="20"/>
  <c r="I23" i="20"/>
  <c r="J65" i="20"/>
  <c r="J20" i="20"/>
  <c r="I104" i="20"/>
  <c r="J36" i="20"/>
  <c r="H56" i="20"/>
  <c r="J110" i="20"/>
  <c r="H46" i="20"/>
  <c r="J69" i="20"/>
  <c r="V89" i="20"/>
  <c r="H106" i="20"/>
  <c r="V42" i="20"/>
  <c r="V91" i="20"/>
  <c r="T60" i="20"/>
  <c r="W60" i="20" s="1"/>
  <c r="J32" i="20"/>
  <c r="T86" i="20"/>
  <c r="W86" i="20" s="1"/>
  <c r="H32" i="20"/>
  <c r="H79" i="20"/>
  <c r="H52" i="20"/>
  <c r="H72" i="20"/>
  <c r="H17" i="20"/>
  <c r="J9" i="20"/>
  <c r="I97" i="20"/>
  <c r="H67" i="20"/>
  <c r="V109" i="20"/>
  <c r="K84" i="20"/>
  <c r="V36" i="20"/>
  <c r="V52" i="20"/>
  <c r="K28" i="20"/>
  <c r="V24" i="20"/>
  <c r="J6" i="20"/>
  <c r="T116" i="20"/>
  <c r="W116" i="20" s="1"/>
  <c r="I69" i="20"/>
  <c r="K83" i="20"/>
  <c r="I30" i="20"/>
  <c r="I79" i="20"/>
  <c r="J105" i="20"/>
  <c r="K8" i="20"/>
  <c r="V30" i="20"/>
  <c r="I43" i="20"/>
  <c r="I102" i="20"/>
  <c r="J64" i="20"/>
  <c r="I101" i="20"/>
  <c r="J84" i="20"/>
  <c r="K45" i="20"/>
  <c r="K31" i="20"/>
  <c r="J34" i="20"/>
  <c r="I111" i="20"/>
  <c r="J99" i="20"/>
  <c r="K95" i="20"/>
  <c r="V34" i="20"/>
  <c r="H81" i="20"/>
  <c r="I92" i="20"/>
  <c r="K73" i="20"/>
  <c r="K112" i="20"/>
  <c r="H71" i="20"/>
  <c r="H45" i="20"/>
  <c r="T52" i="20"/>
  <c r="W52" i="20" s="1"/>
  <c r="K5" i="20"/>
  <c r="J66" i="20"/>
  <c r="I96" i="20"/>
  <c r="H20" i="20"/>
  <c r="K85" i="20"/>
  <c r="K68" i="20"/>
  <c r="I121" i="20"/>
  <c r="V33" i="20"/>
  <c r="J116" i="20"/>
  <c r="I17" i="20"/>
  <c r="H97" i="20"/>
  <c r="I108" i="20"/>
  <c r="H70" i="20"/>
  <c r="I105" i="20"/>
  <c r="H42" i="20"/>
  <c r="T77" i="20"/>
  <c r="W77" i="20" s="1"/>
  <c r="J83" i="20"/>
  <c r="K110" i="20"/>
  <c r="J45" i="20"/>
  <c r="I78" i="20"/>
  <c r="T15" i="20"/>
  <c r="W15" i="20" s="1"/>
  <c r="I16" i="20"/>
  <c r="J31" i="20"/>
  <c r="K119" i="20"/>
  <c r="H118" i="20"/>
  <c r="J18" i="20"/>
  <c r="H75" i="20"/>
  <c r="J62" i="20"/>
  <c r="V19" i="20"/>
  <c r="H119" i="20"/>
  <c r="T19" i="20"/>
  <c r="W19" i="20" s="1"/>
  <c r="K43" i="20"/>
  <c r="V5" i="20"/>
  <c r="K75" i="20"/>
  <c r="T66" i="20"/>
  <c r="W66" i="20" s="1"/>
  <c r="T49" i="20"/>
  <c r="W49" i="20" s="1"/>
  <c r="T84" i="20"/>
  <c r="W84" i="20" s="1"/>
  <c r="H110" i="20"/>
  <c r="K54" i="20"/>
  <c r="V23" i="20"/>
  <c r="V79" i="20"/>
  <c r="J35" i="20"/>
  <c r="J25" i="20"/>
  <c r="T29" i="20"/>
  <c r="W29" i="20" s="1"/>
  <c r="T9" i="20"/>
  <c r="W9" i="20" s="1"/>
  <c r="K13" i="20"/>
  <c r="I100" i="20"/>
  <c r="V69" i="20"/>
  <c r="I90" i="20"/>
  <c r="K103" i="20"/>
  <c r="K17" i="20"/>
  <c r="T92" i="20"/>
  <c r="W92" i="20" s="1"/>
  <c r="U92" i="20" s="1"/>
  <c r="I12" i="20"/>
  <c r="J46" i="20"/>
  <c r="J8" i="20"/>
  <c r="V48" i="20"/>
  <c r="H60" i="20"/>
  <c r="V107" i="20"/>
  <c r="J119" i="20"/>
  <c r="K63" i="20"/>
  <c r="V50" i="20"/>
  <c r="V43" i="20"/>
  <c r="H63" i="20"/>
  <c r="V58" i="20"/>
  <c r="I120" i="20"/>
  <c r="K72" i="20"/>
  <c r="T97" i="20"/>
  <c r="W97" i="20" s="1"/>
  <c r="T104" i="20"/>
  <c r="W104" i="20" s="1"/>
  <c r="I39" i="20"/>
  <c r="J54" i="20"/>
  <c r="H33" i="20"/>
  <c r="I115" i="20"/>
  <c r="V86" i="20"/>
  <c r="H112" i="20"/>
  <c r="T110" i="20"/>
  <c r="W110" i="20" s="1"/>
  <c r="K16" i="20"/>
  <c r="T51" i="20"/>
  <c r="W51" i="20" s="1"/>
  <c r="I56" i="20"/>
  <c r="I61" i="20"/>
  <c r="T93" i="20"/>
  <c r="W93" i="20" s="1"/>
  <c r="K77" i="20"/>
  <c r="H14" i="20"/>
  <c r="J86" i="20"/>
  <c r="H78" i="20"/>
  <c r="T45" i="20"/>
  <c r="W45" i="20" s="1"/>
  <c r="I107" i="20"/>
  <c r="J16" i="20"/>
  <c r="T43" i="20"/>
  <c r="W43" i="20" s="1"/>
  <c r="I106" i="20"/>
  <c r="K42" i="20"/>
  <c r="J104" i="20"/>
  <c r="H11" i="20"/>
  <c r="J51" i="20"/>
  <c r="T8" i="20"/>
  <c r="W8" i="20" s="1"/>
  <c r="T96" i="20"/>
  <c r="W96" i="20" s="1"/>
  <c r="I28" i="20"/>
  <c r="K86" i="20"/>
  <c r="J70" i="20"/>
  <c r="T42" i="20"/>
  <c r="W42" i="20" s="1"/>
  <c r="I19" i="20"/>
  <c r="T12" i="20"/>
  <c r="W12" i="20" s="1"/>
  <c r="V98" i="20"/>
  <c r="K88" i="20"/>
  <c r="V62" i="20"/>
  <c r="J19" i="20"/>
  <c r="T25" i="20"/>
  <c r="W25" i="20" s="1"/>
  <c r="J93" i="20"/>
  <c r="V28" i="20"/>
  <c r="J117" i="20"/>
  <c r="K116" i="20"/>
  <c r="I70" i="20"/>
  <c r="K108" i="20"/>
  <c r="H76" i="20"/>
  <c r="T114" i="20"/>
  <c r="W114" i="20" s="1"/>
  <c r="I86" i="20"/>
  <c r="J12" i="20"/>
  <c r="T41" i="20"/>
  <c r="W41" i="20" s="1"/>
  <c r="I116" i="20"/>
  <c r="V9" i="20"/>
  <c r="J101" i="20"/>
  <c r="T55" i="20"/>
  <c r="W55" i="20" s="1"/>
  <c r="V122" i="20"/>
  <c r="J77" i="20"/>
  <c r="K79" i="20"/>
  <c r="K29" i="20"/>
  <c r="H26" i="20"/>
  <c r="I26" i="20"/>
  <c r="H30" i="20"/>
  <c r="T47" i="20"/>
  <c r="W47" i="20" s="1"/>
  <c r="I53" i="20"/>
  <c r="V118" i="20"/>
  <c r="T14" i="20"/>
  <c r="W14" i="20" s="1"/>
  <c r="V88" i="20"/>
  <c r="J57" i="20"/>
  <c r="H16" i="20"/>
  <c r="K46" i="20"/>
  <c r="H65" i="20"/>
  <c r="T119" i="20"/>
  <c r="W119" i="20" s="1"/>
  <c r="V115" i="20"/>
  <c r="J10" i="20"/>
  <c r="V73" i="20"/>
  <c r="K27" i="20"/>
  <c r="T64" i="20"/>
  <c r="W64" i="20" s="1"/>
  <c r="I37" i="20"/>
  <c r="H48" i="20"/>
  <c r="H96" i="20"/>
  <c r="K23" i="20"/>
  <c r="J38" i="20"/>
  <c r="K66" i="20"/>
  <c r="J33" i="20"/>
  <c r="T112" i="20"/>
  <c r="W112" i="20" s="1"/>
  <c r="I72" i="20"/>
  <c r="J115" i="20"/>
  <c r="J112" i="20"/>
  <c r="I74" i="20"/>
  <c r="H39" i="20"/>
  <c r="T69" i="20"/>
  <c r="W69" i="20" s="1"/>
  <c r="V74" i="20"/>
  <c r="T62" i="20"/>
  <c r="W62" i="20" s="1"/>
  <c r="T72" i="20"/>
  <c r="W72" i="20" s="1"/>
  <c r="I57" i="20"/>
  <c r="K38" i="20"/>
  <c r="K7" i="20"/>
  <c r="H117" i="20"/>
  <c r="J94" i="20"/>
  <c r="K121" i="20"/>
  <c r="V105" i="20"/>
  <c r="J55" i="20"/>
  <c r="J63" i="20"/>
  <c r="H69" i="20"/>
  <c r="J89" i="20"/>
  <c r="T48" i="20"/>
  <c r="W48" i="20" s="1"/>
  <c r="I49" i="20"/>
  <c r="T16" i="20"/>
  <c r="W16" i="20" s="1"/>
  <c r="T34" i="20"/>
  <c r="W34" i="20" s="1"/>
  <c r="T78" i="20"/>
  <c r="H54" i="20"/>
  <c r="I9" i="20"/>
  <c r="V117" i="20"/>
  <c r="T61" i="20"/>
  <c r="W61" i="20" s="1"/>
  <c r="J82" i="20"/>
  <c r="H64" i="20"/>
  <c r="K47" i="20"/>
  <c r="J97" i="20"/>
  <c r="J91" i="20"/>
  <c r="J73" i="20"/>
  <c r="I112" i="20"/>
  <c r="J14" i="20"/>
  <c r="T95" i="20"/>
  <c r="W95" i="20" s="1"/>
  <c r="K21" i="20"/>
  <c r="V96" i="20"/>
  <c r="T94" i="20"/>
  <c r="W94" i="20" s="1"/>
  <c r="J78" i="20"/>
  <c r="T58" i="20"/>
  <c r="W58" i="20" s="1"/>
  <c r="T5" i="20"/>
  <c r="W5" i="20" s="1"/>
  <c r="T65" i="20"/>
  <c r="W65" i="20" s="1"/>
  <c r="I88" i="20"/>
  <c r="V120" i="20"/>
  <c r="I60" i="20"/>
  <c r="H66" i="20"/>
  <c r="V82" i="20"/>
  <c r="I65" i="20"/>
  <c r="I7" i="20"/>
  <c r="V45" i="20"/>
  <c r="I46" i="20"/>
  <c r="V90" i="20"/>
  <c r="H58" i="20"/>
  <c r="K35" i="20"/>
  <c r="I122" i="20"/>
  <c r="T74" i="20"/>
  <c r="W74" i="20" s="1"/>
  <c r="V40" i="20"/>
  <c r="K105" i="20"/>
  <c r="T53" i="20"/>
  <c r="W53" i="20" s="1"/>
  <c r="K65" i="20"/>
  <c r="K59" i="20"/>
  <c r="T82" i="20"/>
  <c r="W82" i="20" s="1"/>
  <c r="V81" i="20"/>
  <c r="I15" i="20"/>
  <c r="K60" i="20"/>
  <c r="T21" i="20"/>
  <c r="W21" i="20" s="1"/>
  <c r="K36" i="20"/>
  <c r="H50" i="20"/>
  <c r="J76" i="20"/>
  <c r="V75" i="20"/>
  <c r="T28" i="20"/>
  <c r="W28" i="20" s="1"/>
  <c r="I94" i="20"/>
  <c r="H38" i="20"/>
  <c r="T106" i="20"/>
  <c r="W106" i="20" s="1"/>
  <c r="H31" i="20"/>
  <c r="I73" i="20"/>
  <c r="I99" i="20"/>
  <c r="H87" i="20"/>
  <c r="K99" i="20"/>
  <c r="T73" i="20"/>
  <c r="W73" i="20" s="1"/>
  <c r="K87" i="20"/>
  <c r="I113" i="20"/>
  <c r="J27" i="20"/>
  <c r="J67" i="20"/>
  <c r="V47" i="20"/>
  <c r="V54" i="20"/>
  <c r="K120" i="20"/>
  <c r="V93" i="20"/>
  <c r="H91" i="20"/>
  <c r="V32" i="20"/>
  <c r="K9" i="20"/>
  <c r="T32" i="20"/>
  <c r="W32" i="20" s="1"/>
  <c r="T76" i="20"/>
  <c r="W76" i="20" s="1"/>
  <c r="K92" i="20"/>
  <c r="V10" i="20"/>
  <c r="J81" i="20"/>
  <c r="H111" i="20"/>
  <c r="K118" i="20"/>
  <c r="K30" i="20"/>
  <c r="I117" i="20"/>
  <c r="K26" i="20"/>
  <c r="V6" i="20"/>
  <c r="I93" i="20"/>
  <c r="H27" i="20"/>
  <c r="H9" i="20"/>
  <c r="I42" i="20"/>
  <c r="H10" i="20"/>
  <c r="H94" i="20"/>
  <c r="J72" i="20"/>
  <c r="J17" i="20"/>
  <c r="J98" i="20"/>
  <c r="J52" i="20"/>
  <c r="K50" i="20"/>
  <c r="J40" i="20"/>
  <c r="V31" i="20"/>
  <c r="I64" i="20"/>
  <c r="V95" i="20"/>
  <c r="J87" i="20"/>
  <c r="K76" i="20"/>
  <c r="I62" i="20"/>
  <c r="H101" i="20"/>
  <c r="T26" i="20"/>
  <c r="W26" i="20" s="1"/>
  <c r="I80" i="20"/>
  <c r="T85" i="20"/>
  <c r="W85" i="20" s="1"/>
  <c r="T39" i="20"/>
  <c r="W39" i="20" s="1"/>
  <c r="V66" i="20"/>
  <c r="T13" i="20"/>
  <c r="W13" i="20" s="1"/>
  <c r="V67" i="20"/>
  <c r="K64" i="20"/>
  <c r="V46" i="20"/>
  <c r="I13" i="20"/>
  <c r="V76" i="20"/>
  <c r="V35" i="20"/>
  <c r="K98" i="20"/>
  <c r="V72" i="20"/>
  <c r="H53" i="20"/>
  <c r="V37" i="20"/>
  <c r="T50" i="20"/>
  <c r="W50" i="20" s="1"/>
  <c r="I5" i="20"/>
  <c r="V49" i="20"/>
  <c r="H25" i="20"/>
  <c r="T121" i="20"/>
  <c r="W121" i="20" s="1"/>
  <c r="K114" i="20"/>
  <c r="T46" i="20"/>
  <c r="W46" i="20" s="1"/>
  <c r="H36" i="20"/>
  <c r="I35" i="20"/>
  <c r="V16" i="20"/>
  <c r="V64" i="20"/>
  <c r="I34" i="20"/>
  <c r="T23" i="20"/>
  <c r="W23" i="20" s="1"/>
  <c r="H98" i="20"/>
  <c r="J39" i="20"/>
  <c r="V55" i="20"/>
  <c r="J109" i="20"/>
  <c r="H55" i="20"/>
  <c r="H104" i="20"/>
  <c r="T71" i="20"/>
  <c r="W71" i="20" s="1"/>
  <c r="J71" i="20"/>
  <c r="H59" i="20"/>
  <c r="V15" i="20"/>
  <c r="H73" i="20"/>
  <c r="V114" i="20"/>
  <c r="K52" i="20"/>
  <c r="H105" i="20"/>
  <c r="I109" i="20"/>
  <c r="H82" i="20"/>
  <c r="T89" i="20"/>
  <c r="W89" i="20" s="1"/>
  <c r="V53" i="20"/>
  <c r="H92" i="20"/>
  <c r="T70" i="20"/>
  <c r="W70" i="20" s="1"/>
  <c r="I66" i="20"/>
  <c r="V39" i="20"/>
  <c r="H85" i="20"/>
  <c r="H77" i="20"/>
  <c r="K93" i="20"/>
  <c r="H51" i="20"/>
  <c r="V59" i="20"/>
  <c r="I63" i="20"/>
  <c r="I84" i="20"/>
  <c r="T20" i="20"/>
  <c r="W20" i="20" s="1"/>
  <c r="T37" i="20"/>
  <c r="W37" i="20" s="1"/>
  <c r="I20" i="20"/>
  <c r="H116" i="20"/>
  <c r="V71" i="20"/>
  <c r="K71" i="20"/>
  <c r="J28" i="20"/>
  <c r="O113" i="23" l="1"/>
  <c r="G113" i="23"/>
  <c r="O115" i="23"/>
  <c r="G83" i="23"/>
  <c r="G115" i="23"/>
  <c r="O83" i="23"/>
  <c r="M83" i="23"/>
  <c r="D113" i="23"/>
  <c r="M113" i="23"/>
  <c r="D115" i="23"/>
  <c r="M115" i="23"/>
  <c r="D83" i="23"/>
  <c r="O91" i="20"/>
  <c r="Q73" i="20"/>
  <c r="P95" i="20"/>
  <c r="Q40" i="20"/>
  <c r="Q118" i="20"/>
  <c r="Q51" i="20"/>
  <c r="P43" i="20"/>
  <c r="N33" i="20"/>
  <c r="P63" i="20"/>
  <c r="O40" i="20"/>
  <c r="Q95" i="20"/>
  <c r="Q52" i="20"/>
  <c r="Q111" i="20"/>
  <c r="N95" i="20"/>
  <c r="P90" i="20"/>
  <c r="P40" i="20"/>
  <c r="P106" i="20"/>
  <c r="P10" i="20"/>
  <c r="Q47" i="20"/>
  <c r="P74" i="20"/>
  <c r="N74" i="20"/>
  <c r="O102" i="20"/>
  <c r="P73" i="20"/>
  <c r="O96" i="20"/>
  <c r="Q80" i="20"/>
  <c r="N41" i="20"/>
  <c r="P78" i="20"/>
  <c r="N96" i="20"/>
  <c r="Q24" i="20"/>
  <c r="N27" i="20"/>
  <c r="O111" i="20"/>
  <c r="P97" i="20"/>
  <c r="N10" i="20"/>
  <c r="O122" i="20"/>
  <c r="O95" i="20"/>
  <c r="N91" i="20"/>
  <c r="Q33" i="20"/>
  <c r="Q38" i="20"/>
  <c r="Q91" i="20"/>
  <c r="O103" i="20"/>
  <c r="N40" i="20"/>
  <c r="O21" i="20"/>
  <c r="Q101" i="20"/>
  <c r="Q96" i="20"/>
  <c r="O75" i="20"/>
  <c r="O10" i="20"/>
  <c r="P96" i="20"/>
  <c r="P82" i="20"/>
  <c r="P14" i="20"/>
  <c r="O33" i="20"/>
  <c r="P91" i="20"/>
  <c r="O14" i="20"/>
  <c r="N72" i="20"/>
  <c r="O90" i="20"/>
  <c r="N14" i="20"/>
  <c r="Q41" i="20"/>
  <c r="O68" i="20"/>
  <c r="N97" i="20"/>
  <c r="N67" i="20"/>
  <c r="Q37" i="20"/>
  <c r="Q98" i="20"/>
  <c r="P100" i="20"/>
  <c r="N62" i="20"/>
  <c r="Q10" i="20"/>
  <c r="P122" i="20"/>
  <c r="P86" i="20"/>
  <c r="O97" i="20"/>
  <c r="N7" i="20"/>
  <c r="Q114" i="20"/>
  <c r="O24" i="20"/>
  <c r="O119" i="20"/>
  <c r="N66" i="20"/>
  <c r="O67" i="20"/>
  <c r="P9" i="20"/>
  <c r="P19" i="20"/>
  <c r="P114" i="20"/>
  <c r="Q13" i="20"/>
  <c r="P67" i="20"/>
  <c r="P66" i="20"/>
  <c r="Q8" i="20"/>
  <c r="Q97" i="20"/>
  <c r="Q76" i="20"/>
  <c r="P109" i="20"/>
  <c r="Q64" i="20"/>
  <c r="Q72" i="20"/>
  <c r="Q107" i="20"/>
  <c r="Q120" i="20"/>
  <c r="O74" i="20"/>
  <c r="N45" i="20"/>
  <c r="O53" i="20"/>
  <c r="N80" i="20"/>
  <c r="P37" i="20"/>
  <c r="Q57" i="20"/>
  <c r="N37" i="20"/>
  <c r="P51" i="20"/>
  <c r="N116" i="20"/>
  <c r="O37" i="20"/>
  <c r="Q60" i="20"/>
  <c r="N108" i="20"/>
  <c r="Q50" i="20"/>
  <c r="N6" i="20"/>
  <c r="N76" i="20"/>
  <c r="O94" i="20"/>
  <c r="Q54" i="20"/>
  <c r="N102" i="20"/>
  <c r="Q66" i="20"/>
  <c r="N29" i="20"/>
  <c r="N101" i="20"/>
  <c r="P30" i="20"/>
  <c r="P42" i="20"/>
  <c r="O23" i="20"/>
  <c r="O16" i="20"/>
  <c r="O12" i="20"/>
  <c r="P117" i="20"/>
  <c r="Q67" i="20"/>
  <c r="N86" i="20"/>
  <c r="N5" i="20"/>
  <c r="O47" i="20"/>
  <c r="N85" i="20"/>
  <c r="O112" i="20"/>
  <c r="Q59" i="20"/>
  <c r="O62" i="20"/>
  <c r="O105" i="20"/>
  <c r="N32" i="20"/>
  <c r="Q7" i="20"/>
  <c r="Q86" i="20"/>
  <c r="O107" i="20"/>
  <c r="P98" i="20"/>
  <c r="Q109" i="20"/>
  <c r="O72" i="20"/>
  <c r="P103" i="20"/>
  <c r="P70" i="20"/>
  <c r="O55" i="20"/>
  <c r="O58" i="20"/>
  <c r="O114" i="20"/>
  <c r="O118" i="20"/>
  <c r="Q18" i="20"/>
  <c r="P50" i="20"/>
  <c r="O81" i="20"/>
  <c r="P112" i="20"/>
  <c r="P32" i="20"/>
  <c r="O52" i="20"/>
  <c r="N82" i="20"/>
  <c r="Q53" i="20"/>
  <c r="O59" i="20"/>
  <c r="P54" i="20"/>
  <c r="Q17" i="20"/>
  <c r="Q83" i="20"/>
  <c r="N65" i="20"/>
  <c r="O32" i="20"/>
  <c r="O7" i="20"/>
  <c r="N48" i="20"/>
  <c r="Q90" i="20"/>
  <c r="N38" i="20"/>
  <c r="N103" i="20"/>
  <c r="N114" i="20"/>
  <c r="N99" i="20"/>
  <c r="O30" i="20"/>
  <c r="N64" i="20"/>
  <c r="Q116" i="20"/>
  <c r="P7" i="20"/>
  <c r="N21" i="20"/>
  <c r="P20" i="20"/>
  <c r="P27" i="20"/>
  <c r="P12" i="20"/>
  <c r="Q100" i="20"/>
  <c r="Q122" i="20"/>
  <c r="Q5" i="20"/>
  <c r="O50" i="20"/>
  <c r="O13" i="20"/>
  <c r="O80" i="20"/>
  <c r="P102" i="20"/>
  <c r="Q71" i="20"/>
  <c r="O39" i="20"/>
  <c r="Q115" i="20"/>
  <c r="O61" i="20"/>
  <c r="O64" i="20"/>
  <c r="P64" i="20"/>
  <c r="P49" i="20"/>
  <c r="P11" i="20"/>
  <c r="P116" i="20"/>
  <c r="Q84" i="20"/>
  <c r="N120" i="20"/>
  <c r="P56" i="20"/>
  <c r="N93" i="20"/>
  <c r="P17" i="20"/>
  <c r="N92" i="20"/>
  <c r="P87" i="20"/>
  <c r="N106" i="20"/>
  <c r="P81" i="20"/>
  <c r="P6" i="20"/>
  <c r="N78" i="20"/>
  <c r="P36" i="20"/>
  <c r="N100" i="20"/>
  <c r="P21" i="20"/>
  <c r="P22" i="20"/>
  <c r="Q69" i="20"/>
  <c r="Q108" i="20"/>
  <c r="N54" i="20"/>
  <c r="N104" i="20"/>
  <c r="N117" i="20"/>
  <c r="O93" i="20"/>
  <c r="O108" i="20"/>
  <c r="Q94" i="20"/>
  <c r="O31" i="20"/>
  <c r="N49" i="20"/>
  <c r="Q43" i="20"/>
  <c r="O38" i="20"/>
  <c r="Q45" i="20"/>
  <c r="N23" i="20"/>
  <c r="P18" i="20"/>
  <c r="O8" i="20"/>
  <c r="N28" i="20"/>
  <c r="O84" i="20"/>
  <c r="N115" i="20"/>
  <c r="N121" i="20"/>
  <c r="N57" i="20"/>
  <c r="Q61" i="20"/>
  <c r="P79" i="20"/>
  <c r="N73" i="20"/>
  <c r="O121" i="20"/>
  <c r="N11" i="20"/>
  <c r="P84" i="20"/>
  <c r="O83" i="20"/>
  <c r="N119" i="20"/>
  <c r="N16" i="20"/>
  <c r="P85" i="20"/>
  <c r="Q85" i="20"/>
  <c r="N53" i="20"/>
  <c r="O51" i="20"/>
  <c r="O116" i="20"/>
  <c r="Q49" i="20"/>
  <c r="P31" i="20"/>
  <c r="P72" i="20"/>
  <c r="P99" i="20"/>
  <c r="Q68" i="20"/>
  <c r="P24" i="20"/>
  <c r="N70" i="20"/>
  <c r="N59" i="20"/>
  <c r="Q103" i="20"/>
  <c r="P15" i="20"/>
  <c r="P94" i="20"/>
  <c r="O20" i="20"/>
  <c r="O79" i="20"/>
  <c r="P53" i="20"/>
  <c r="N39" i="20"/>
  <c r="O88" i="20"/>
  <c r="P5" i="20"/>
  <c r="N26" i="20"/>
  <c r="N8" i="20"/>
  <c r="P61" i="20"/>
  <c r="Q82" i="20"/>
  <c r="P77" i="20"/>
  <c r="N17" i="20"/>
  <c r="O73" i="20"/>
  <c r="N89" i="20"/>
  <c r="O48" i="20"/>
  <c r="Q44" i="20"/>
  <c r="P65" i="20"/>
  <c r="O41" i="20"/>
  <c r="Q110" i="20"/>
  <c r="P28" i="20"/>
  <c r="O69" i="20"/>
  <c r="O78" i="20"/>
  <c r="Q75" i="20"/>
  <c r="O120" i="20"/>
  <c r="P35" i="20"/>
  <c r="N113" i="20"/>
  <c r="O85" i="20"/>
  <c r="O43" i="20"/>
  <c r="N34" i="20"/>
  <c r="Q26" i="20"/>
  <c r="N61" i="20"/>
  <c r="Q35" i="20"/>
  <c r="Q20" i="20"/>
  <c r="N112" i="20"/>
  <c r="O60" i="20"/>
  <c r="O5" i="20"/>
  <c r="P101" i="20"/>
  <c r="N12" i="20"/>
  <c r="N44" i="20"/>
  <c r="O35" i="20"/>
  <c r="O25" i="20"/>
  <c r="Q22" i="20"/>
  <c r="Q99" i="20"/>
  <c r="N15" i="20"/>
  <c r="O100" i="20"/>
  <c r="Q58" i="20"/>
  <c r="N30" i="20"/>
  <c r="O17" i="20"/>
  <c r="O82" i="20"/>
  <c r="P34" i="20"/>
  <c r="N109" i="20"/>
  <c r="P48" i="20"/>
  <c r="P119" i="20"/>
  <c r="O71" i="20"/>
  <c r="P23" i="20"/>
  <c r="Q11" i="20"/>
  <c r="O36" i="20"/>
  <c r="Q28" i="20"/>
  <c r="N105" i="20"/>
  <c r="Q34" i="20"/>
  <c r="N25" i="20"/>
  <c r="P107" i="20"/>
  <c r="P25" i="20"/>
  <c r="Q39" i="20"/>
  <c r="Q25" i="20"/>
  <c r="N90" i="20"/>
  <c r="O113" i="20"/>
  <c r="P13" i="20"/>
  <c r="P57" i="20"/>
  <c r="O27" i="20"/>
  <c r="P26" i="20"/>
  <c r="O22" i="20"/>
  <c r="P52" i="20"/>
  <c r="N56" i="20"/>
  <c r="O56" i="20"/>
  <c r="P8" i="20"/>
  <c r="Q63" i="20"/>
  <c r="Q23" i="20"/>
  <c r="O44" i="20"/>
  <c r="N22" i="20"/>
  <c r="O19" i="20"/>
  <c r="P80" i="20"/>
  <c r="Q92" i="20"/>
  <c r="N13" i="20"/>
  <c r="N51" i="20"/>
  <c r="Q74" i="20"/>
  <c r="N50" i="20"/>
  <c r="P69" i="20"/>
  <c r="N107" i="20"/>
  <c r="N55" i="20"/>
  <c r="P16" i="20"/>
  <c r="O63" i="20"/>
  <c r="O57" i="20"/>
  <c r="Q88" i="20"/>
  <c r="P45" i="20"/>
  <c r="Q106" i="20"/>
  <c r="Q29" i="20"/>
  <c r="Q46" i="20"/>
  <c r="N83" i="20"/>
  <c r="O86" i="20"/>
  <c r="N118" i="20"/>
  <c r="O42" i="20"/>
  <c r="P104" i="20"/>
  <c r="P108" i="20"/>
  <c r="O106" i="20"/>
  <c r="O99" i="20"/>
  <c r="O89" i="20"/>
  <c r="N94" i="20"/>
  <c r="N18" i="20"/>
  <c r="O104" i="20"/>
  <c r="O87" i="20"/>
  <c r="O15" i="20"/>
  <c r="Q21" i="20"/>
  <c r="O98" i="20"/>
  <c r="N88" i="20"/>
  <c r="N58" i="20"/>
  <c r="O65" i="20"/>
  <c r="O117" i="20"/>
  <c r="Q87" i="20"/>
  <c r="N84" i="20"/>
  <c r="O11" i="20"/>
  <c r="N60" i="20"/>
  <c r="Q19" i="20"/>
  <c r="O101" i="20"/>
  <c r="P83" i="20"/>
  <c r="P46" i="20"/>
  <c r="Q105" i="20"/>
  <c r="N77" i="20"/>
  <c r="P59" i="20"/>
  <c r="P71" i="20"/>
  <c r="Q30" i="20"/>
  <c r="P29" i="20"/>
  <c r="N110" i="20"/>
  <c r="N81" i="20"/>
  <c r="Q56" i="20"/>
  <c r="Q12" i="20"/>
  <c r="N19" i="20"/>
  <c r="Q89" i="20"/>
  <c r="N98" i="20"/>
  <c r="Q81" i="20"/>
  <c r="Q42" i="20"/>
  <c r="Q31" i="20"/>
  <c r="N63" i="20"/>
  <c r="N75" i="20"/>
  <c r="Q78" i="20"/>
  <c r="P121" i="20"/>
  <c r="P93" i="20"/>
  <c r="P41" i="20"/>
  <c r="N52" i="20"/>
  <c r="Q77" i="20"/>
  <c r="Q27" i="20"/>
  <c r="N31" i="20"/>
  <c r="O46" i="20"/>
  <c r="Q15" i="20"/>
  <c r="O26" i="20"/>
  <c r="Q121" i="20"/>
  <c r="Q93" i="20"/>
  <c r="O54" i="20"/>
  <c r="O18" i="20"/>
  <c r="O76" i="20"/>
  <c r="O28" i="20"/>
  <c r="Q62" i="20"/>
  <c r="O92" i="20"/>
  <c r="P113" i="20"/>
  <c r="Q65" i="20"/>
  <c r="N122" i="20"/>
  <c r="P60" i="20"/>
  <c r="O77" i="20"/>
  <c r="N79" i="20"/>
  <c r="N71" i="20"/>
  <c r="P68" i="20"/>
  <c r="Q36" i="20"/>
  <c r="Q9" i="20"/>
  <c r="P55" i="20"/>
  <c r="P44" i="20"/>
  <c r="P111" i="20"/>
  <c r="N9" i="20"/>
  <c r="N46" i="20"/>
  <c r="P47" i="20"/>
  <c r="O9" i="20"/>
  <c r="N68" i="20"/>
  <c r="N69" i="20"/>
  <c r="N47" i="20"/>
  <c r="P92" i="20"/>
  <c r="P118" i="20"/>
  <c r="Q6" i="20"/>
  <c r="P33" i="20"/>
  <c r="P39" i="20"/>
  <c r="P115" i="20"/>
  <c r="Q119" i="20"/>
  <c r="N43" i="20"/>
  <c r="O109" i="20"/>
  <c r="N87" i="20"/>
  <c r="Q14" i="20"/>
  <c r="N36" i="20"/>
  <c r="Q123" i="20"/>
  <c r="Q55" i="20"/>
  <c r="O6" i="20"/>
  <c r="Q112" i="20"/>
  <c r="O70" i="20"/>
  <c r="P38" i="20"/>
  <c r="P89" i="20"/>
  <c r="P75" i="20"/>
  <c r="N24" i="20"/>
  <c r="P88" i="20"/>
  <c r="O66" i="20"/>
  <c r="O115" i="20"/>
  <c r="N111" i="20"/>
  <c r="P76" i="20"/>
  <c r="O110" i="20"/>
  <c r="N20" i="20"/>
  <c r="O34" i="20"/>
  <c r="P58" i="20"/>
  <c r="Q104" i="20"/>
  <c r="Q113" i="20"/>
  <c r="O45" i="20"/>
  <c r="O49" i="20"/>
  <c r="Q102" i="20"/>
  <c r="Q48" i="20"/>
  <c r="N42" i="20"/>
  <c r="Q16" i="20"/>
  <c r="N35" i="20"/>
  <c r="Q32" i="20"/>
  <c r="P120" i="20"/>
  <c r="P105" i="20"/>
  <c r="Q79" i="20"/>
  <c r="P110" i="20"/>
  <c r="Q70" i="20"/>
  <c r="P62" i="20"/>
  <c r="Q117" i="20"/>
  <c r="O29" i="20"/>
  <c r="N123" i="20"/>
  <c r="P123" i="20"/>
  <c r="O123" i="20"/>
  <c r="O5" i="23"/>
  <c r="O7" i="23"/>
  <c r="O9" i="23"/>
  <c r="O11" i="23"/>
  <c r="O13" i="23"/>
  <c r="O15" i="23"/>
  <c r="O17" i="23"/>
  <c r="O19" i="23"/>
  <c r="O21" i="23"/>
  <c r="O23" i="23"/>
  <c r="O25" i="23"/>
  <c r="O27" i="23"/>
  <c r="O29" i="23"/>
  <c r="O31" i="23"/>
  <c r="O33" i="23"/>
  <c r="O35" i="23"/>
  <c r="O37" i="23"/>
  <c r="O39" i="23"/>
  <c r="O41" i="23"/>
  <c r="O43" i="23"/>
  <c r="O45" i="23"/>
  <c r="O47" i="23"/>
  <c r="O49" i="23"/>
  <c r="O51" i="23"/>
  <c r="O53" i="23"/>
  <c r="O55" i="23"/>
  <c r="O57" i="23"/>
  <c r="F83" i="23"/>
  <c r="G5" i="23"/>
  <c r="G7" i="23"/>
  <c r="G9" i="23"/>
  <c r="G11" i="23"/>
  <c r="G13" i="23"/>
  <c r="G15" i="23"/>
  <c r="G17" i="23"/>
  <c r="G19" i="23"/>
  <c r="G21" i="23"/>
  <c r="G23" i="23"/>
  <c r="G25" i="23"/>
  <c r="G27" i="23"/>
  <c r="G29" i="23"/>
  <c r="G31" i="23"/>
  <c r="G33" i="23"/>
  <c r="G35" i="23"/>
  <c r="G37" i="23"/>
  <c r="G39" i="23"/>
  <c r="G41" i="23"/>
  <c r="G43" i="23"/>
  <c r="G45" i="23"/>
  <c r="G47" i="23"/>
  <c r="G49" i="23"/>
  <c r="G51" i="23"/>
  <c r="G53" i="23"/>
  <c r="G55" i="23"/>
  <c r="G57" i="23"/>
  <c r="G59" i="23"/>
  <c r="G61" i="23"/>
  <c r="O6" i="23"/>
  <c r="O8" i="23"/>
  <c r="O10" i="23"/>
  <c r="O12" i="23"/>
  <c r="O14" i="23"/>
  <c r="O16" i="23"/>
  <c r="O18" i="23"/>
  <c r="O20" i="23"/>
  <c r="O22" i="23"/>
  <c r="O24" i="23"/>
  <c r="O26" i="23"/>
  <c r="O28" i="23"/>
  <c r="O30" i="23"/>
  <c r="O32" i="23"/>
  <c r="O34" i="23"/>
  <c r="O36" i="23"/>
  <c r="O38" i="23"/>
  <c r="O40" i="23"/>
  <c r="O42" i="23"/>
  <c r="O44" i="23"/>
  <c r="O46" i="23"/>
  <c r="O48" i="23"/>
  <c r="O50" i="23"/>
  <c r="O52" i="23"/>
  <c r="O54" i="23"/>
  <c r="O56" i="23"/>
  <c r="O58" i="23"/>
  <c r="O60" i="23"/>
  <c r="G6" i="23"/>
  <c r="G22" i="23"/>
  <c r="G38" i="23"/>
  <c r="G54" i="23"/>
  <c r="G60" i="23"/>
  <c r="O62" i="23"/>
  <c r="G69" i="23"/>
  <c r="O70" i="23"/>
  <c r="G77" i="23"/>
  <c r="O78" i="23"/>
  <c r="G82" i="23"/>
  <c r="F91" i="23"/>
  <c r="F97" i="23"/>
  <c r="F105" i="23"/>
  <c r="F111" i="23"/>
  <c r="F113" i="23"/>
  <c r="F115" i="23"/>
  <c r="F117" i="23"/>
  <c r="F119" i="23"/>
  <c r="G121" i="23"/>
  <c r="G16" i="23"/>
  <c r="G32" i="23"/>
  <c r="G48" i="23"/>
  <c r="G64" i="23"/>
  <c r="O65" i="23"/>
  <c r="G72" i="23"/>
  <c r="O73" i="23"/>
  <c r="G80" i="23"/>
  <c r="G85" i="23"/>
  <c r="G87" i="23"/>
  <c r="G89" i="23"/>
  <c r="G93" i="23"/>
  <c r="G95" i="23"/>
  <c r="G99" i="23"/>
  <c r="G101" i="23"/>
  <c r="G103" i="23"/>
  <c r="G107" i="23"/>
  <c r="G109" i="23"/>
  <c r="O120" i="23"/>
  <c r="G114" i="23"/>
  <c r="N117" i="23"/>
  <c r="G44" i="23"/>
  <c r="G66" i="23"/>
  <c r="N83" i="23"/>
  <c r="O87" i="23"/>
  <c r="O101" i="23"/>
  <c r="O109" i="23"/>
  <c r="G10" i="23"/>
  <c r="G26" i="23"/>
  <c r="G42" i="23"/>
  <c r="G58" i="23"/>
  <c r="G67" i="23"/>
  <c r="O68" i="23"/>
  <c r="G75" i="23"/>
  <c r="O76" i="23"/>
  <c r="O81" i="23"/>
  <c r="N112" i="23"/>
  <c r="N116" i="23"/>
  <c r="N118" i="23"/>
  <c r="N122" i="23"/>
  <c r="O67" i="23"/>
  <c r="G74" i="23"/>
  <c r="O95" i="23"/>
  <c r="O99" i="23"/>
  <c r="G20" i="23"/>
  <c r="G36" i="23"/>
  <c r="G52" i="23"/>
  <c r="G62" i="23"/>
  <c r="O63" i="23"/>
  <c r="G70" i="23"/>
  <c r="O71" i="23"/>
  <c r="G78" i="23"/>
  <c r="O79" i="23"/>
  <c r="O84" i="23"/>
  <c r="O86" i="23"/>
  <c r="O88" i="23"/>
  <c r="O90" i="23"/>
  <c r="O92" i="23"/>
  <c r="O94" i="23"/>
  <c r="O96" i="23"/>
  <c r="O98" i="23"/>
  <c r="O100" i="23"/>
  <c r="O102" i="23"/>
  <c r="O104" i="23"/>
  <c r="O106" i="23"/>
  <c r="O108" i="23"/>
  <c r="O110" i="23"/>
  <c r="O114" i="23"/>
  <c r="G28" i="23"/>
  <c r="O89" i="23"/>
  <c r="O93" i="23"/>
  <c r="O103" i="23"/>
  <c r="G14" i="23"/>
  <c r="G30" i="23"/>
  <c r="G46" i="23"/>
  <c r="O59" i="23"/>
  <c r="G65" i="23"/>
  <c r="O66" i="23"/>
  <c r="G73" i="23"/>
  <c r="O74" i="23"/>
  <c r="G81" i="23"/>
  <c r="F112" i="23"/>
  <c r="F116" i="23"/>
  <c r="F118" i="23"/>
  <c r="F122" i="23"/>
  <c r="G104" i="23"/>
  <c r="G108" i="23"/>
  <c r="G120" i="23"/>
  <c r="N115" i="23"/>
  <c r="G12" i="23"/>
  <c r="O75" i="23"/>
  <c r="O121" i="23"/>
  <c r="G8" i="23"/>
  <c r="G24" i="23"/>
  <c r="G40" i="23"/>
  <c r="G56" i="23"/>
  <c r="O61" i="23"/>
  <c r="G68" i="23"/>
  <c r="O69" i="23"/>
  <c r="G76" i="23"/>
  <c r="O77" i="23"/>
  <c r="O82" i="23"/>
  <c r="G84" i="23"/>
  <c r="G86" i="23"/>
  <c r="G88" i="23"/>
  <c r="G90" i="23"/>
  <c r="G92" i="23"/>
  <c r="G94" i="23"/>
  <c r="G96" i="23"/>
  <c r="G98" i="23"/>
  <c r="G100" i="23"/>
  <c r="G102" i="23"/>
  <c r="G106" i="23"/>
  <c r="G110" i="23"/>
  <c r="O85" i="23"/>
  <c r="O107" i="23"/>
  <c r="G18" i="23"/>
  <c r="G34" i="23"/>
  <c r="G50" i="23"/>
  <c r="G63" i="23"/>
  <c r="O64" i="23"/>
  <c r="G71" i="23"/>
  <c r="O72" i="23"/>
  <c r="G79" i="23"/>
  <c r="O80" i="23"/>
  <c r="N91" i="23"/>
  <c r="N97" i="23"/>
  <c r="N105" i="23"/>
  <c r="N111" i="23"/>
  <c r="N113" i="23"/>
  <c r="N119" i="23"/>
  <c r="D5" i="23"/>
  <c r="D7" i="23"/>
  <c r="D9" i="23"/>
  <c r="D11" i="23"/>
  <c r="D13" i="23"/>
  <c r="D15" i="23"/>
  <c r="D17" i="23"/>
  <c r="D19" i="23"/>
  <c r="D21" i="23"/>
  <c r="D23" i="23"/>
  <c r="D25" i="23"/>
  <c r="D27" i="23"/>
  <c r="D29" i="23"/>
  <c r="D31" i="23"/>
  <c r="D33" i="23"/>
  <c r="D35" i="23"/>
  <c r="D37" i="23"/>
  <c r="D39" i="23"/>
  <c r="D41" i="23"/>
  <c r="D43" i="23"/>
  <c r="D45" i="23"/>
  <c r="D47" i="23"/>
  <c r="D49" i="23"/>
  <c r="D51" i="23"/>
  <c r="D53" i="23"/>
  <c r="D55" i="23"/>
  <c r="D57" i="23"/>
  <c r="D59" i="23"/>
  <c r="M6" i="23"/>
  <c r="M8" i="23"/>
  <c r="M10" i="23"/>
  <c r="M12" i="23"/>
  <c r="M14" i="23"/>
  <c r="M16" i="23"/>
  <c r="M18" i="23"/>
  <c r="M20" i="23"/>
  <c r="M22" i="23"/>
  <c r="M24" i="23"/>
  <c r="M26" i="23"/>
  <c r="M28" i="23"/>
  <c r="M30" i="23"/>
  <c r="M32" i="23"/>
  <c r="M34" i="23"/>
  <c r="M36" i="23"/>
  <c r="M38" i="23"/>
  <c r="M40" i="23"/>
  <c r="M42" i="23"/>
  <c r="M44" i="23"/>
  <c r="M46" i="23"/>
  <c r="M48" i="23"/>
  <c r="M50" i="23"/>
  <c r="M52" i="23"/>
  <c r="M54" i="23"/>
  <c r="M56" i="23"/>
  <c r="M58" i="23"/>
  <c r="M60" i="23"/>
  <c r="D6" i="23"/>
  <c r="D8" i="23"/>
  <c r="D10" i="23"/>
  <c r="D12" i="23"/>
  <c r="D14" i="23"/>
  <c r="D16" i="23"/>
  <c r="D18" i="23"/>
  <c r="D20" i="23"/>
  <c r="D22" i="23"/>
  <c r="D24" i="23"/>
  <c r="D26" i="23"/>
  <c r="D28" i="23"/>
  <c r="D30" i="23"/>
  <c r="D32" i="23"/>
  <c r="D34" i="23"/>
  <c r="D36" i="23"/>
  <c r="D38" i="23"/>
  <c r="D40" i="23"/>
  <c r="D42" i="23"/>
  <c r="D44" i="23"/>
  <c r="D46" i="23"/>
  <c r="D48" i="23"/>
  <c r="D50" i="23"/>
  <c r="D52" i="23"/>
  <c r="D54" i="23"/>
  <c r="D56" i="23"/>
  <c r="D58" i="23"/>
  <c r="D60" i="23"/>
  <c r="M7" i="23"/>
  <c r="M23" i="23"/>
  <c r="M39" i="23"/>
  <c r="M55" i="23"/>
  <c r="D67" i="23"/>
  <c r="M68" i="23"/>
  <c r="D75" i="23"/>
  <c r="M76" i="23"/>
  <c r="M81" i="23"/>
  <c r="C83" i="23"/>
  <c r="L112" i="23"/>
  <c r="L116" i="23"/>
  <c r="L118" i="23"/>
  <c r="L122" i="23"/>
  <c r="D120" i="23"/>
  <c r="D87" i="23"/>
  <c r="M17" i="23"/>
  <c r="M33" i="23"/>
  <c r="M49" i="23"/>
  <c r="D62" i="23"/>
  <c r="M63" i="23"/>
  <c r="D70" i="23"/>
  <c r="M71" i="23"/>
  <c r="D78" i="23"/>
  <c r="M79" i="23"/>
  <c r="M84" i="23"/>
  <c r="M86" i="23"/>
  <c r="M88" i="23"/>
  <c r="M90" i="23"/>
  <c r="M92" i="23"/>
  <c r="M94" i="23"/>
  <c r="M96" i="23"/>
  <c r="M98" i="23"/>
  <c r="M100" i="23"/>
  <c r="M102" i="23"/>
  <c r="M104" i="23"/>
  <c r="M106" i="23"/>
  <c r="M108" i="23"/>
  <c r="M110" i="23"/>
  <c r="M114" i="23"/>
  <c r="M120" i="23"/>
  <c r="C122" i="23"/>
  <c r="M11" i="23"/>
  <c r="M27" i="23"/>
  <c r="M43" i="23"/>
  <c r="M59" i="23"/>
  <c r="D65" i="23"/>
  <c r="M66" i="23"/>
  <c r="D73" i="23"/>
  <c r="M74" i="23"/>
  <c r="D81" i="23"/>
  <c r="C112" i="23"/>
  <c r="C116" i="23"/>
  <c r="C118" i="23"/>
  <c r="M121" i="23"/>
  <c r="C115" i="23"/>
  <c r="M13" i="23"/>
  <c r="D89" i="23"/>
  <c r="D93" i="23"/>
  <c r="D121" i="23"/>
  <c r="M5" i="23"/>
  <c r="M21" i="23"/>
  <c r="M37" i="23"/>
  <c r="M53" i="23"/>
  <c r="M61" i="23"/>
  <c r="D68" i="23"/>
  <c r="M69" i="23"/>
  <c r="D76" i="23"/>
  <c r="M77" i="23"/>
  <c r="M82" i="23"/>
  <c r="D84" i="23"/>
  <c r="D86" i="23"/>
  <c r="D88" i="23"/>
  <c r="D90" i="23"/>
  <c r="D92" i="23"/>
  <c r="D94" i="23"/>
  <c r="D96" i="23"/>
  <c r="D98" i="23"/>
  <c r="D100" i="23"/>
  <c r="D102" i="23"/>
  <c r="D104" i="23"/>
  <c r="D106" i="23"/>
  <c r="D108" i="23"/>
  <c r="D110" i="23"/>
  <c r="D114" i="23"/>
  <c r="C117" i="23"/>
  <c r="D64" i="23"/>
  <c r="M73" i="23"/>
  <c r="D80" i="23"/>
  <c r="D85" i="23"/>
  <c r="D99" i="23"/>
  <c r="D107" i="23"/>
  <c r="M15" i="23"/>
  <c r="M31" i="23"/>
  <c r="M47" i="23"/>
  <c r="D63" i="23"/>
  <c r="M64" i="23"/>
  <c r="D71" i="23"/>
  <c r="M72" i="23"/>
  <c r="D79" i="23"/>
  <c r="M80" i="23"/>
  <c r="L91" i="23"/>
  <c r="L97" i="23"/>
  <c r="L105" i="23"/>
  <c r="L111" i="23"/>
  <c r="L113" i="23"/>
  <c r="L115" i="23"/>
  <c r="L117" i="23"/>
  <c r="L119" i="23"/>
  <c r="M101" i="23"/>
  <c r="M109" i="23"/>
  <c r="D61" i="23"/>
  <c r="D72" i="23"/>
  <c r="D103" i="23"/>
  <c r="D109" i="23"/>
  <c r="M9" i="23"/>
  <c r="M25" i="23"/>
  <c r="M41" i="23"/>
  <c r="M57" i="23"/>
  <c r="D66" i="23"/>
  <c r="M67" i="23"/>
  <c r="D74" i="23"/>
  <c r="M75" i="23"/>
  <c r="L83" i="23"/>
  <c r="M85" i="23"/>
  <c r="M87" i="23"/>
  <c r="M89" i="23"/>
  <c r="M93" i="23"/>
  <c r="M95" i="23"/>
  <c r="M99" i="23"/>
  <c r="M103" i="23"/>
  <c r="M107" i="23"/>
  <c r="M29" i="23"/>
  <c r="M45" i="23"/>
  <c r="M65" i="23"/>
  <c r="D95" i="23"/>
  <c r="D101" i="23"/>
  <c r="M19" i="23"/>
  <c r="M35" i="23"/>
  <c r="M51" i="23"/>
  <c r="M62" i="23"/>
  <c r="D69" i="23"/>
  <c r="M70" i="23"/>
  <c r="D77" i="23"/>
  <c r="M78" i="23"/>
  <c r="D82" i="23"/>
  <c r="C91" i="23"/>
  <c r="C97" i="23"/>
  <c r="C105" i="23"/>
  <c r="C111" i="23"/>
  <c r="C113" i="23"/>
  <c r="C119" i="23"/>
  <c r="U5" i="20"/>
  <c r="L123" i="20"/>
  <c r="F5" i="20"/>
  <c r="F123" i="20"/>
  <c r="F4" i="23"/>
  <c r="N4" i="23"/>
  <c r="C4" i="23"/>
  <c r="L4" i="23"/>
  <c r="P4" i="23"/>
  <c r="U60" i="20"/>
  <c r="U22" i="20"/>
  <c r="U117" i="20"/>
  <c r="U120" i="20"/>
  <c r="U54" i="20"/>
  <c r="U101" i="20"/>
  <c r="U103" i="20"/>
  <c r="U57" i="20"/>
  <c r="U18" i="20"/>
  <c r="F8" i="20"/>
  <c r="L72" i="20"/>
  <c r="U122" i="20"/>
  <c r="U69" i="20"/>
  <c r="U23" i="20"/>
  <c r="U14" i="20"/>
  <c r="U12" i="20"/>
  <c r="U89" i="20"/>
  <c r="U28" i="20"/>
  <c r="U107" i="20"/>
  <c r="F13" i="20"/>
  <c r="F9" i="20"/>
  <c r="F7" i="20"/>
  <c r="F10" i="20"/>
  <c r="F11" i="20"/>
  <c r="F17" i="20"/>
  <c r="F6" i="20"/>
  <c r="U84" i="20"/>
  <c r="U35" i="20"/>
  <c r="U49" i="20"/>
  <c r="U79" i="20"/>
  <c r="U111" i="20"/>
  <c r="U77" i="20"/>
  <c r="U87" i="20"/>
  <c r="U68" i="20"/>
  <c r="F22" i="20"/>
  <c r="U27" i="20"/>
  <c r="U30" i="20"/>
  <c r="F16" i="20"/>
  <c r="F108" i="20"/>
  <c r="F24" i="20"/>
  <c r="F61" i="20"/>
  <c r="U10" i="20"/>
  <c r="U29" i="20"/>
  <c r="F21" i="20"/>
  <c r="F23" i="20"/>
  <c r="F12" i="20"/>
  <c r="F18" i="20"/>
  <c r="U39" i="20"/>
  <c r="F91" i="20"/>
  <c r="F109" i="20"/>
  <c r="F19" i="20"/>
  <c r="F20" i="20"/>
  <c r="F92" i="20"/>
  <c r="F15" i="20"/>
  <c r="F48" i="20"/>
  <c r="F14" i="20"/>
  <c r="U26" i="20"/>
  <c r="U109" i="20"/>
  <c r="F97" i="20"/>
  <c r="F47" i="20"/>
  <c r="F104" i="20"/>
  <c r="L32" i="20"/>
  <c r="U83" i="20"/>
  <c r="U24" i="20"/>
  <c r="F64" i="20"/>
  <c r="F110" i="20"/>
  <c r="F93" i="20"/>
  <c r="F57" i="20"/>
  <c r="F72" i="20"/>
  <c r="L61" i="20"/>
  <c r="F36" i="20"/>
  <c r="F111" i="20"/>
  <c r="F59" i="20"/>
  <c r="D4" i="23"/>
  <c r="F85" i="20"/>
  <c r="F121" i="20"/>
  <c r="F25" i="20"/>
  <c r="F96" i="20"/>
  <c r="F56" i="20"/>
  <c r="F53" i="20"/>
  <c r="F77" i="20"/>
  <c r="F117" i="20"/>
  <c r="F62" i="20"/>
  <c r="F68" i="20"/>
  <c r="F94" i="20"/>
  <c r="F50" i="20"/>
  <c r="F30" i="20"/>
  <c r="F55" i="20"/>
  <c r="F113" i="20"/>
  <c r="F46" i="20"/>
  <c r="F27" i="20"/>
  <c r="F79" i="20"/>
  <c r="M4" i="23"/>
  <c r="F105" i="20"/>
  <c r="F115" i="20"/>
  <c r="F28" i="20"/>
  <c r="F118" i="20"/>
  <c r="F33" i="20"/>
  <c r="F86" i="20"/>
  <c r="F49" i="20"/>
  <c r="F107" i="20"/>
  <c r="F31" i="20"/>
  <c r="F63" i="20"/>
  <c r="F41" i="20"/>
  <c r="F106" i="20"/>
  <c r="U67" i="20"/>
  <c r="F95" i="20"/>
  <c r="F89" i="20"/>
  <c r="F54" i="20"/>
  <c r="F75" i="20"/>
  <c r="F71" i="20"/>
  <c r="F103" i="20"/>
  <c r="F51" i="20"/>
  <c r="F81" i="20"/>
  <c r="F74" i="20"/>
  <c r="F43" i="20"/>
  <c r="F66" i="20"/>
  <c r="F67" i="20"/>
  <c r="F32" i="20"/>
  <c r="F122" i="20"/>
  <c r="F40" i="20"/>
  <c r="F70" i="20"/>
  <c r="F100" i="20"/>
  <c r="F120" i="20"/>
  <c r="F34" i="20"/>
  <c r="F65" i="20"/>
  <c r="F90" i="20"/>
  <c r="F98" i="20"/>
  <c r="U121" i="20"/>
  <c r="U119" i="20"/>
  <c r="F87" i="20"/>
  <c r="F84" i="20"/>
  <c r="F82" i="20"/>
  <c r="F119" i="20"/>
  <c r="F69" i="20"/>
  <c r="F102" i="20"/>
  <c r="F29" i="20"/>
  <c r="F38" i="20"/>
  <c r="F42" i="20"/>
  <c r="F99" i="20"/>
  <c r="F26" i="20"/>
  <c r="F35" i="20"/>
  <c r="F80" i="20"/>
  <c r="U91" i="20"/>
  <c r="U20" i="20"/>
  <c r="U85" i="20"/>
  <c r="F58" i="20"/>
  <c r="F88" i="20"/>
  <c r="F101" i="20"/>
  <c r="F76" i="20"/>
  <c r="F114" i="20"/>
  <c r="F39" i="20"/>
  <c r="F78" i="20"/>
  <c r="F52" i="20"/>
  <c r="F37" i="20"/>
  <c r="F60" i="20"/>
  <c r="F83" i="20"/>
  <c r="U90" i="20"/>
  <c r="U36" i="20"/>
  <c r="U44" i="20"/>
  <c r="U56" i="20"/>
  <c r="U33" i="20"/>
  <c r="U6" i="20"/>
  <c r="U75" i="20"/>
  <c r="U82" i="20"/>
  <c r="U86" i="20"/>
  <c r="U115" i="20"/>
  <c r="U104" i="20"/>
  <c r="F112" i="20"/>
  <c r="U70" i="20"/>
  <c r="U50" i="20"/>
  <c r="U88" i="20"/>
  <c r="U41" i="20"/>
  <c r="U112" i="20"/>
  <c r="U13" i="20"/>
  <c r="U65" i="20"/>
  <c r="U8" i="20"/>
  <c r="U81" i="20"/>
  <c r="F44" i="20"/>
  <c r="F73" i="20"/>
  <c r="F116" i="20"/>
  <c r="F45" i="20"/>
  <c r="U94" i="20"/>
  <c r="U21" i="20"/>
  <c r="L49" i="20"/>
  <c r="U43" i="20"/>
  <c r="U52" i="20"/>
  <c r="U45" i="20"/>
  <c r="L17" i="20"/>
  <c r="U99" i="20"/>
  <c r="U42" i="20"/>
  <c r="U110" i="20"/>
  <c r="U100" i="20"/>
  <c r="U96" i="20"/>
  <c r="U106" i="20"/>
  <c r="U51" i="20"/>
  <c r="U9" i="20"/>
  <c r="U78" i="20"/>
  <c r="U63" i="20"/>
  <c r="U71" i="20"/>
  <c r="U53" i="20"/>
  <c r="U15" i="20"/>
  <c r="U73" i="20"/>
  <c r="U58" i="20"/>
  <c r="U48" i="20"/>
  <c r="U113" i="20"/>
  <c r="U17" i="20"/>
  <c r="U72" i="20"/>
  <c r="U31" i="20"/>
  <c r="U47" i="20"/>
  <c r="U114" i="20"/>
  <c r="U93" i="20"/>
  <c r="L116" i="20"/>
  <c r="L86" i="20"/>
  <c r="U118" i="20"/>
  <c r="L44" i="20"/>
  <c r="U64" i="20"/>
  <c r="U76" i="20"/>
  <c r="L39" i="20"/>
  <c r="L122" i="20"/>
  <c r="U16" i="20"/>
  <c r="U25" i="20"/>
  <c r="L88" i="20"/>
  <c r="L59" i="20"/>
  <c r="U59" i="20"/>
  <c r="U62" i="20"/>
  <c r="L15" i="20"/>
  <c r="L29" i="20"/>
  <c r="U40" i="20"/>
  <c r="U61" i="20"/>
  <c r="U98" i="20"/>
  <c r="L89" i="20"/>
  <c r="L82" i="20"/>
  <c r="U66" i="20"/>
  <c r="L90" i="20"/>
  <c r="L30" i="20"/>
  <c r="L38" i="20"/>
  <c r="L54" i="20"/>
  <c r="L57" i="20"/>
  <c r="L13" i="20"/>
  <c r="L111" i="20"/>
  <c r="L100" i="20"/>
  <c r="L85" i="20"/>
  <c r="L6" i="20"/>
  <c r="L101" i="20"/>
  <c r="L8" i="20"/>
  <c r="L87" i="20"/>
  <c r="L25" i="20"/>
  <c r="L94" i="20"/>
  <c r="L92" i="20"/>
  <c r="L68" i="20"/>
  <c r="L58" i="20"/>
  <c r="L77" i="20"/>
  <c r="L96" i="20"/>
  <c r="L98" i="20"/>
  <c r="L93" i="20"/>
  <c r="L35" i="20"/>
  <c r="L47" i="20"/>
  <c r="L20" i="20"/>
  <c r="L41" i="20"/>
  <c r="L70" i="20"/>
  <c r="L34" i="20"/>
  <c r="L71" i="20"/>
  <c r="L109" i="20"/>
  <c r="L80" i="20"/>
  <c r="L107" i="20"/>
  <c r="L83" i="20"/>
  <c r="L62" i="20"/>
  <c r="L65" i="20"/>
  <c r="L104" i="20"/>
  <c r="L5" i="20"/>
  <c r="L23" i="20"/>
  <c r="L106" i="20"/>
  <c r="L18" i="20"/>
  <c r="L51" i="20"/>
  <c r="L40" i="20"/>
  <c r="L117" i="20"/>
  <c r="L36" i="20"/>
  <c r="U116" i="20"/>
  <c r="U38" i="20"/>
  <c r="L53" i="20"/>
  <c r="L78" i="20"/>
  <c r="L14" i="20"/>
  <c r="L52" i="20"/>
  <c r="L119" i="20"/>
  <c r="L24" i="20"/>
  <c r="L84" i="20"/>
  <c r="L7" i="20"/>
  <c r="L66" i="20"/>
  <c r="L91" i="20"/>
  <c r="L45" i="20"/>
  <c r="L97" i="20"/>
  <c r="L69" i="20"/>
  <c r="L103" i="20"/>
  <c r="L12" i="20"/>
  <c r="U97" i="20"/>
  <c r="L48" i="20"/>
  <c r="L121" i="20"/>
  <c r="L79" i="20"/>
  <c r="L56" i="20"/>
  <c r="L9" i="20"/>
  <c r="L75" i="20"/>
  <c r="L115" i="20"/>
  <c r="L50" i="20"/>
  <c r="L46" i="20"/>
  <c r="L22" i="20"/>
  <c r="L64" i="20"/>
  <c r="L67" i="20"/>
  <c r="L102" i="20"/>
  <c r="L99" i="20"/>
  <c r="U34" i="20"/>
  <c r="U105" i="20"/>
  <c r="U11" i="20"/>
  <c r="L42" i="20"/>
  <c r="L11" i="20"/>
  <c r="L114" i="20"/>
  <c r="L28" i="20"/>
  <c r="L73" i="20"/>
  <c r="L110" i="20"/>
  <c r="L60" i="20"/>
  <c r="L55" i="20"/>
  <c r="L21" i="20"/>
  <c r="L10" i="20"/>
  <c r="L43" i="20"/>
  <c r="L74" i="20"/>
  <c r="L112" i="20"/>
  <c r="L27" i="20"/>
  <c r="L16" i="20"/>
  <c r="L108" i="20"/>
  <c r="L113" i="20"/>
  <c r="L37" i="20"/>
  <c r="L19" i="20"/>
  <c r="L81" i="20"/>
  <c r="L120" i="20"/>
  <c r="L105" i="20"/>
  <c r="L26" i="20"/>
  <c r="L31" i="20"/>
  <c r="L118" i="20"/>
  <c r="L33" i="20"/>
  <c r="L95" i="20"/>
  <c r="L76" i="20"/>
  <c r="L63" i="20"/>
  <c r="U80" i="20"/>
  <c r="U7" i="20"/>
  <c r="U102" i="20"/>
  <c r="U108" i="20"/>
  <c r="O4" i="23"/>
  <c r="U55" i="20"/>
  <c r="U32" i="20"/>
  <c r="U95" i="20"/>
  <c r="G4" i="23"/>
  <c r="U19" i="20"/>
  <c r="U74" i="20"/>
  <c r="U46" i="20"/>
  <c r="U37" i="20"/>
  <c r="Q113" i="23" l="1"/>
  <c r="Q115" i="23"/>
  <c r="Q83" i="23"/>
  <c r="R14" i="20"/>
  <c r="J102" i="23"/>
  <c r="Q43" i="23"/>
  <c r="Q102" i="23"/>
  <c r="J110" i="23"/>
  <c r="J43" i="23"/>
  <c r="Q110" i="23"/>
  <c r="R7" i="20"/>
  <c r="K12" i="23"/>
  <c r="Q35" i="23"/>
  <c r="R12" i="20"/>
  <c r="J62" i="23"/>
  <c r="J4" i="23"/>
  <c r="R13" i="20"/>
  <c r="R5" i="20"/>
  <c r="R10" i="20"/>
  <c r="J118" i="23"/>
  <c r="R105" i="20"/>
  <c r="J97" i="23"/>
  <c r="R36" i="20"/>
  <c r="J53" i="23"/>
  <c r="R20" i="20"/>
  <c r="Q45" i="23"/>
  <c r="R28" i="20"/>
  <c r="J48" i="23"/>
  <c r="R21" i="20"/>
  <c r="Q94" i="23"/>
  <c r="Q109" i="23"/>
  <c r="Q13" i="23"/>
  <c r="R53" i="20"/>
  <c r="R16" i="20"/>
  <c r="Q71" i="23"/>
  <c r="Q87" i="23"/>
  <c r="J35" i="23"/>
  <c r="J76" i="23"/>
  <c r="Q70" i="23"/>
  <c r="Q29" i="23"/>
  <c r="R83" i="20"/>
  <c r="J37" i="23"/>
  <c r="R31" i="20"/>
  <c r="R17" i="20"/>
  <c r="R49" i="20"/>
  <c r="R121" i="20"/>
  <c r="J106" i="23"/>
  <c r="Q106" i="23"/>
  <c r="Q69" i="23"/>
  <c r="J21" i="23"/>
  <c r="J34" i="23"/>
  <c r="R101" i="20"/>
  <c r="R100" i="20"/>
  <c r="R19" i="20"/>
  <c r="R70" i="20"/>
  <c r="R8" i="20"/>
  <c r="R89" i="20"/>
  <c r="R15" i="20"/>
  <c r="Q54" i="23"/>
  <c r="P113" i="23"/>
  <c r="J5" i="23"/>
  <c r="R9" i="20"/>
  <c r="R6" i="20"/>
  <c r="R11" i="20"/>
  <c r="J100" i="23"/>
  <c r="Q44" i="23"/>
  <c r="Q46" i="23"/>
  <c r="J18" i="23"/>
  <c r="J84" i="23"/>
  <c r="J113" i="23"/>
  <c r="J69" i="23"/>
  <c r="R55" i="20"/>
  <c r="R111" i="20"/>
  <c r="R50" i="20"/>
  <c r="R102" i="20"/>
  <c r="R61" i="20"/>
  <c r="R74" i="20"/>
  <c r="R25" i="20"/>
  <c r="R29" i="20"/>
  <c r="R107" i="20"/>
  <c r="R65" i="20"/>
  <c r="R93" i="20"/>
  <c r="Q4" i="23"/>
  <c r="R18" i="20"/>
  <c r="R46" i="20"/>
  <c r="R94" i="20"/>
  <c r="R23" i="20"/>
  <c r="R80" i="20"/>
  <c r="R47" i="20"/>
  <c r="R59" i="20"/>
  <c r="R90" i="20"/>
  <c r="R51" i="20"/>
  <c r="R58" i="20"/>
  <c r="R112" i="20"/>
  <c r="R54" i="20"/>
  <c r="R113" i="20"/>
  <c r="R104" i="20"/>
  <c r="R123" i="20"/>
  <c r="J86" i="23"/>
  <c r="Q20" i="23"/>
  <c r="Q96" i="23"/>
  <c r="Q79" i="23"/>
  <c r="Q68" i="23"/>
  <c r="Q65" i="23"/>
  <c r="J115" i="23"/>
  <c r="J99" i="23"/>
  <c r="Q78" i="23"/>
  <c r="Q121" i="23"/>
  <c r="Q89" i="23"/>
  <c r="Q8" i="23"/>
  <c r="P115" i="23"/>
  <c r="Q64" i="23"/>
  <c r="J71" i="23"/>
  <c r="J55" i="23"/>
  <c r="J39" i="23"/>
  <c r="J23" i="23"/>
  <c r="J7" i="23"/>
  <c r="Q47" i="23"/>
  <c r="Q31" i="23"/>
  <c r="Q15" i="23"/>
  <c r="J78" i="23"/>
  <c r="J44" i="23"/>
  <c r="R62" i="20"/>
  <c r="R109" i="20"/>
  <c r="R26" i="20"/>
  <c r="R91" i="20"/>
  <c r="R33" i="20"/>
  <c r="R38" i="20"/>
  <c r="R45" i="20"/>
  <c r="R86" i="20"/>
  <c r="R85" i="20"/>
  <c r="R72" i="20"/>
  <c r="R66" i="20"/>
  <c r="R97" i="20"/>
  <c r="R42" i="20"/>
  <c r="R114" i="20"/>
  <c r="J114" i="23"/>
  <c r="J98" i="23"/>
  <c r="Q74" i="23"/>
  <c r="Q120" i="23"/>
  <c r="Q92" i="23"/>
  <c r="Q63" i="23"/>
  <c r="P122" i="23"/>
  <c r="Q38" i="23"/>
  <c r="Q28" i="23"/>
  <c r="J111" i="23"/>
  <c r="J95" i="23"/>
  <c r="Q62" i="23"/>
  <c r="Q107" i="23"/>
  <c r="Q85" i="23"/>
  <c r="Q61" i="23"/>
  <c r="P111" i="23"/>
  <c r="Q30" i="23"/>
  <c r="J67" i="23"/>
  <c r="J51" i="23"/>
  <c r="J19" i="23"/>
  <c r="Q59" i="23"/>
  <c r="Q27" i="23"/>
  <c r="Q11" i="23"/>
  <c r="J72" i="23"/>
  <c r="J26" i="23"/>
  <c r="J20" i="23"/>
  <c r="R30" i="20"/>
  <c r="R120" i="20"/>
  <c r="R95" i="20"/>
  <c r="R60" i="20"/>
  <c r="R32" i="20"/>
  <c r="R103" i="20"/>
  <c r="R71" i="20"/>
  <c r="R63" i="20"/>
  <c r="R99" i="20"/>
  <c r="R69" i="20"/>
  <c r="R78" i="20"/>
  <c r="R87" i="20"/>
  <c r="R68" i="20"/>
  <c r="R98" i="20"/>
  <c r="J112" i="23"/>
  <c r="J96" i="23"/>
  <c r="Q66" i="23"/>
  <c r="Q108" i="23"/>
  <c r="Q90" i="23"/>
  <c r="Q60" i="23"/>
  <c r="P118" i="23"/>
  <c r="Q22" i="23"/>
  <c r="Q12" i="23"/>
  <c r="J109" i="23"/>
  <c r="J93" i="23"/>
  <c r="Q50" i="23"/>
  <c r="Q103" i="23"/>
  <c r="Q75" i="23"/>
  <c r="Q36" i="23"/>
  <c r="P105" i="23"/>
  <c r="Q14" i="23"/>
  <c r="J65" i="23"/>
  <c r="J49" i="23"/>
  <c r="J33" i="23"/>
  <c r="J17" i="23"/>
  <c r="Q57" i="23"/>
  <c r="Q41" i="23"/>
  <c r="Q25" i="23"/>
  <c r="Q9" i="23"/>
  <c r="J66" i="23"/>
  <c r="J22" i="23"/>
  <c r="R119" i="20"/>
  <c r="R48" i="20"/>
  <c r="R39" i="20"/>
  <c r="R24" i="20"/>
  <c r="R76" i="20"/>
  <c r="R64" i="20"/>
  <c r="R92" i="20"/>
  <c r="R88" i="20"/>
  <c r="R81" i="20"/>
  <c r="R44" i="20"/>
  <c r="R52" i="20"/>
  <c r="R77" i="20"/>
  <c r="R22" i="20"/>
  <c r="J94" i="23"/>
  <c r="Q58" i="23"/>
  <c r="Q104" i="23"/>
  <c r="Q88" i="23"/>
  <c r="Q48" i="23"/>
  <c r="P116" i="23"/>
  <c r="Q6" i="23"/>
  <c r="Q82" i="23"/>
  <c r="J107" i="23"/>
  <c r="J91" i="23"/>
  <c r="Q34" i="23"/>
  <c r="Q101" i="23"/>
  <c r="Q67" i="23"/>
  <c r="J116" i="23"/>
  <c r="P97" i="23"/>
  <c r="J79" i="23"/>
  <c r="J63" i="23"/>
  <c r="J47" i="23"/>
  <c r="J31" i="23"/>
  <c r="J15" i="23"/>
  <c r="Q55" i="23"/>
  <c r="Q39" i="23"/>
  <c r="Q23" i="23"/>
  <c r="Q7" i="23"/>
  <c r="J64" i="23"/>
  <c r="R27" i="20"/>
  <c r="R79" i="20"/>
  <c r="R35" i="20"/>
  <c r="R73" i="20"/>
  <c r="R56" i="20"/>
  <c r="R122" i="20"/>
  <c r="R106" i="20"/>
  <c r="R96" i="20"/>
  <c r="R110" i="20"/>
  <c r="R116" i="20"/>
  <c r="R57" i="20"/>
  <c r="R118" i="20"/>
  <c r="J108" i="23"/>
  <c r="J92" i="23"/>
  <c r="Q42" i="23"/>
  <c r="Q86" i="23"/>
  <c r="Q32" i="23"/>
  <c r="P112" i="23"/>
  <c r="Q114" i="23"/>
  <c r="Q52" i="23"/>
  <c r="J105" i="23"/>
  <c r="J89" i="23"/>
  <c r="Q18" i="23"/>
  <c r="Q99" i="23"/>
  <c r="Q56" i="23"/>
  <c r="J121" i="23"/>
  <c r="P91" i="23"/>
  <c r="J77" i="23"/>
  <c r="J61" i="23"/>
  <c r="J45" i="23"/>
  <c r="J29" i="23"/>
  <c r="J13" i="23"/>
  <c r="Q53" i="23"/>
  <c r="Q37" i="23"/>
  <c r="Q21" i="23"/>
  <c r="Q5" i="23"/>
  <c r="J56" i="23"/>
  <c r="J10" i="23"/>
  <c r="J16" i="23"/>
  <c r="R43" i="20"/>
  <c r="R117" i="20"/>
  <c r="R41" i="20"/>
  <c r="R34" i="20"/>
  <c r="R108" i="20"/>
  <c r="R75" i="20"/>
  <c r="R115" i="20"/>
  <c r="R82" i="20"/>
  <c r="R84" i="20"/>
  <c r="R40" i="20"/>
  <c r="R67" i="20"/>
  <c r="R37" i="20"/>
  <c r="J90" i="23"/>
  <c r="Q26" i="23"/>
  <c r="Q100" i="23"/>
  <c r="Q84" i="23"/>
  <c r="Q16" i="23"/>
  <c r="Q81" i="23"/>
  <c r="J83" i="23"/>
  <c r="J119" i="23"/>
  <c r="J103" i="23"/>
  <c r="J87" i="23"/>
  <c r="Q77" i="23"/>
  <c r="Q95" i="23"/>
  <c r="Q40" i="23"/>
  <c r="P119" i="23"/>
  <c r="Q80" i="23"/>
  <c r="J75" i="23"/>
  <c r="J59" i="23"/>
  <c r="J27" i="23"/>
  <c r="J11" i="23"/>
  <c r="Q51" i="23"/>
  <c r="Q19" i="23"/>
  <c r="P83" i="23"/>
  <c r="J50" i="23"/>
  <c r="J104" i="23"/>
  <c r="J88" i="23"/>
  <c r="Q10" i="23"/>
  <c r="Q98" i="23"/>
  <c r="J81" i="23"/>
  <c r="J122" i="23"/>
  <c r="Q76" i="23"/>
  <c r="Q73" i="23"/>
  <c r="J117" i="23"/>
  <c r="J101" i="23"/>
  <c r="J85" i="23"/>
  <c r="J120" i="23"/>
  <c r="Q93" i="23"/>
  <c r="Q24" i="23"/>
  <c r="P117" i="23"/>
  <c r="Q72" i="23"/>
  <c r="J73" i="23"/>
  <c r="J57" i="23"/>
  <c r="J41" i="23"/>
  <c r="J25" i="23"/>
  <c r="J9" i="23"/>
  <c r="Q49" i="23"/>
  <c r="Q33" i="23"/>
  <c r="Q17" i="23"/>
  <c r="J82" i="23"/>
  <c r="J58" i="23"/>
  <c r="J80" i="23"/>
  <c r="J70" i="23"/>
  <c r="J54" i="23"/>
  <c r="J74" i="23"/>
  <c r="J32" i="23"/>
  <c r="J46" i="23"/>
  <c r="J30" i="23"/>
  <c r="J60" i="23"/>
  <c r="J42" i="23"/>
  <c r="J28" i="23"/>
  <c r="J14" i="23"/>
  <c r="J12" i="23"/>
  <c r="J8" i="23"/>
  <c r="J36" i="23"/>
  <c r="J40" i="23"/>
  <c r="J24" i="23"/>
  <c r="J38" i="23"/>
  <c r="J68" i="23"/>
  <c r="J52" i="23"/>
  <c r="J6" i="23"/>
  <c r="K53" i="23"/>
  <c r="K32" i="23"/>
  <c r="K56" i="23"/>
  <c r="K63" i="23"/>
  <c r="K28" i="23"/>
  <c r="K89" i="23"/>
  <c r="K120" i="23"/>
  <c r="K7" i="23"/>
  <c r="K122" i="23"/>
  <c r="K5" i="23"/>
  <c r="K17" i="23"/>
  <c r="K43" i="23"/>
  <c r="K92" i="23"/>
  <c r="K51" i="23"/>
  <c r="K47" i="23"/>
  <c r="K35" i="23"/>
  <c r="K19" i="23"/>
  <c r="K60" i="23"/>
  <c r="K55" i="23"/>
  <c r="K93" i="23"/>
  <c r="K37" i="23"/>
  <c r="K68" i="23"/>
  <c r="K54" i="23"/>
  <c r="K75" i="23"/>
  <c r="K101" i="23"/>
  <c r="K86" i="23"/>
  <c r="K41" i="23"/>
  <c r="K80" i="23"/>
  <c r="K114" i="23"/>
  <c r="K79" i="23"/>
  <c r="K16" i="23"/>
  <c r="K71" i="23"/>
  <c r="K61" i="23"/>
  <c r="K65" i="23"/>
  <c r="K39" i="23"/>
  <c r="K9" i="23"/>
  <c r="K87" i="23"/>
  <c r="K100" i="23"/>
  <c r="K95" i="23"/>
  <c r="K8" i="23"/>
  <c r="K62" i="23"/>
  <c r="K94" i="23"/>
  <c r="K78" i="23"/>
  <c r="K106" i="23"/>
  <c r="K70" i="23"/>
  <c r="K25" i="23"/>
  <c r="K27" i="23"/>
  <c r="K10" i="23"/>
  <c r="K67" i="23"/>
  <c r="K69" i="23"/>
  <c r="K121" i="23"/>
  <c r="K104" i="23"/>
  <c r="K82" i="23"/>
  <c r="K83" i="23"/>
  <c r="K103" i="23"/>
  <c r="K110" i="23"/>
  <c r="K34" i="23"/>
  <c r="K30" i="23"/>
  <c r="K74" i="23"/>
  <c r="K105" i="23"/>
  <c r="K77" i="23"/>
  <c r="K6" i="23"/>
  <c r="K72" i="23"/>
  <c r="K22" i="23"/>
  <c r="K73" i="23"/>
  <c r="K111" i="23"/>
  <c r="K13" i="23"/>
  <c r="K52" i="23"/>
  <c r="K98" i="23"/>
  <c r="K59" i="23"/>
  <c r="K91" i="23"/>
  <c r="K107" i="23"/>
  <c r="K119" i="23"/>
  <c r="K58" i="23"/>
  <c r="K49" i="23"/>
  <c r="K44" i="23"/>
  <c r="K23" i="23"/>
  <c r="K14" i="23"/>
  <c r="K31" i="23"/>
  <c r="K113" i="23"/>
  <c r="K48" i="23"/>
  <c r="K117" i="23"/>
  <c r="K118" i="23"/>
  <c r="K18" i="23"/>
  <c r="K21" i="23"/>
  <c r="K116" i="23"/>
  <c r="K29" i="23"/>
  <c r="K90" i="23"/>
  <c r="K40" i="23"/>
  <c r="K50" i="23"/>
  <c r="K88" i="23"/>
  <c r="K38" i="23"/>
  <c r="K20" i="23"/>
  <c r="K84" i="23"/>
  <c r="K11" i="23"/>
  <c r="K99" i="23"/>
  <c r="K24" i="23"/>
  <c r="K85" i="23"/>
  <c r="K15" i="23"/>
  <c r="K57" i="23"/>
  <c r="K46" i="23"/>
  <c r="K33" i="23"/>
  <c r="K42" i="23"/>
  <c r="K66" i="23"/>
  <c r="K64" i="23"/>
  <c r="K96" i="23"/>
  <c r="K36" i="23"/>
  <c r="K81" i="23"/>
  <c r="K109" i="23"/>
  <c r="K108" i="23"/>
  <c r="K76" i="23"/>
  <c r="K26" i="23"/>
  <c r="K97" i="23"/>
  <c r="K45" i="23"/>
  <c r="K102" i="23"/>
  <c r="K112" i="23"/>
  <c r="K115" i="23"/>
  <c r="K4" i="23"/>
</calcChain>
</file>

<file path=xl/sharedStrings.xml><?xml version="1.0" encoding="utf-8"?>
<sst xmlns="http://schemas.openxmlformats.org/spreadsheetml/2006/main" count="7075" uniqueCount="612">
  <si>
    <t>TOC</t>
  </si>
  <si>
    <t>é</t>
  </si>
  <si>
    <t>BESID</t>
  </si>
  <si>
    <t>Preference Customer</t>
  </si>
  <si>
    <t>NOTJOE</t>
  </si>
  <si>
    <t>JOE</t>
  </si>
  <si>
    <t>Avg Non-Slice
TOCA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</si>
  <si>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</si>
  <si>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</si>
  <si>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</si>
  <si>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</si>
  <si>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</si>
  <si>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</si>
  <si>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</si>
  <si>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</si>
  <si>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</si>
  <si>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</si>
  <si>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</si>
  <si>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</si>
  <si>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</si>
  <si>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</si>
  <si>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</si>
  <si>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</si>
  <si>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</si>
  <si>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</si>
  <si>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</si>
  <si>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</si>
  <si>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</si>
  <si>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</si>
  <si>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</si>
  <si>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</si>
  <si>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</si>
  <si>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</si>
  <si>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</si>
  <si>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</si>
  <si>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</si>
  <si>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</si>
  <si>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</si>
  <si>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</si>
  <si>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</si>
  <si>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</si>
  <si>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</si>
  <si>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</si>
  <si>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</si>
  <si>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</si>
  <si>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</si>
  <si>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</si>
  <si>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</si>
  <si>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</si>
  <si>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</si>
  <si>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</si>
  <si>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</si>
  <si>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</si>
  <si>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</si>
  <si>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</si>
  <si>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</si>
  <si>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</si>
  <si>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</si>
  <si>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</si>
  <si>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</si>
  <si>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</si>
  <si>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</si>
  <si>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</si>
  <si>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</si>
  <si>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</si>
  <si>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</si>
  <si>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</si>
  <si>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</si>
  <si>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</si>
  <si>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</si>
  <si>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</si>
  <si>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</si>
  <si>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</si>
  <si>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</si>
  <si>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</si>
  <si>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</si>
  <si>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</si>
  <si>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</si>
  <si>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</si>
  <si>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</si>
  <si>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</si>
  <si>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</si>
  <si>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</si>
  <si>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</si>
  <si>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</si>
  <si>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</si>
  <si>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</si>
  <si>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</si>
  <si>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</si>
  <si>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</si>
  <si>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</si>
  <si>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</si>
  <si>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</si>
  <si>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</si>
  <si>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</si>
  <si>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</si>
  <si>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</si>
  <si>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</si>
  <si>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</si>
  <si>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</si>
  <si>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</si>
  <si>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</si>
  <si>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</si>
  <si>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</si>
  <si>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</si>
  <si>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</si>
  <si>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</si>
  <si>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</si>
  <si>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</si>
  <si>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</si>
  <si>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</si>
  <si>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</si>
  <si>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</si>
  <si>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</si>
  <si>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</si>
  <si>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</si>
  <si>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</si>
  <si>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</si>
  <si>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</si>
  <si>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</si>
  <si>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</si>
  <si>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</si>
  <si>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</si>
  <si>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</si>
  <si>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</si>
  <si>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</si>
  <si>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</si>
  <si>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</si>
  <si>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</si>
  <si>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</si>
  <si>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</si>
  <si>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</si>
  <si>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</si>
  <si>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</si>
  <si>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</si>
  <si>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</si>
  <si>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Hermiston, City of</t>
  </si>
  <si>
    <t>Port of Seattle - SETAC In'tl. Airport</t>
  </si>
  <si>
    <t>Weiser, City of</t>
  </si>
  <si>
    <t>Jefferson County PUD #1</t>
  </si>
  <si>
    <t>PNGC Aggregate</t>
  </si>
  <si>
    <t/>
  </si>
  <si>
    <t>TOCA Computations, RHWMs and Net Requirements</t>
  </si>
  <si>
    <t>HLH</t>
  </si>
  <si>
    <t>LLH</t>
  </si>
  <si>
    <t>Tier 1 Demand Charge Billing Determinant (KW)</t>
  </si>
  <si>
    <t>Preference Customer Parameters</t>
  </si>
  <si>
    <t>AccountName</t>
  </si>
  <si>
    <t>IRD Loads</t>
  </si>
  <si>
    <t>Previous</t>
  </si>
  <si>
    <t>Current</t>
  </si>
  <si>
    <t>Annual Hours</t>
  </si>
  <si>
    <t>days</t>
  </si>
  <si>
    <t>hours</t>
  </si>
  <si>
    <t>HLH%</t>
  </si>
  <si>
    <t>year</t>
  </si>
  <si>
    <t>Cost Allocation under Tiered Rates</t>
  </si>
  <si>
    <t>Costs ($000)</t>
  </si>
  <si>
    <t>Rate Period</t>
  </si>
  <si>
    <t>Composite</t>
  </si>
  <si>
    <t>Non-Slice</t>
  </si>
  <si>
    <t>Slice</t>
  </si>
  <si>
    <t>Tier 2</t>
  </si>
  <si>
    <t>Total Costs</t>
  </si>
  <si>
    <t>Adjustments</t>
  </si>
  <si>
    <t>Revenues from Rate Pools to Composite Cost Pool</t>
  </si>
  <si>
    <t>DSI Revenue Credit</t>
  </si>
  <si>
    <t>Exchange Revenues</t>
  </si>
  <si>
    <t>New Resource Revenues</t>
  </si>
  <si>
    <t>FPS Revenues</t>
  </si>
  <si>
    <t>Non-Federal RSS Revenues</t>
  </si>
  <si>
    <t>Other Credits</t>
  </si>
  <si>
    <t>Tiered Rate Elements</t>
  </si>
  <si>
    <t>Unused RHWM Credit Reallocation</t>
  </si>
  <si>
    <t>Balancing Augmentation Adjustment Reallocation</t>
  </si>
  <si>
    <t>Composite Augmentation RSS Revenue Debit/(Credit)</t>
  </si>
  <si>
    <t>Composite Tier 2 RSS Revenue Debit/(Credit)</t>
  </si>
  <si>
    <t>Composite Tier 2 Rate Design Adjustment Debit/(Credit)</t>
  </si>
  <si>
    <t>Transmission Losses Adjustment Reallocation</t>
  </si>
  <si>
    <t>Total</t>
  </si>
  <si>
    <t>Rate Discount Costs Applied to Composite Pool</t>
  </si>
  <si>
    <t>Irigation Rate Discout Costs</t>
  </si>
  <si>
    <t>Low Density Discount Costs</t>
  </si>
  <si>
    <t>Non-Slice Revenues, Credits, and Costs</t>
  </si>
  <si>
    <t>Secondary Revenue</t>
  </si>
  <si>
    <t>Non-federal RSC Revenues</t>
  </si>
  <si>
    <t>Load Shaping Revenue</t>
  </si>
  <si>
    <t>Demand Revenue</t>
  </si>
  <si>
    <t>Non-Slice Augmentation RSC Revenue Debit/(Credit)</t>
  </si>
  <si>
    <t>Non-Slice Tier 2 RSC Revenue Debit/(Credit)</t>
  </si>
  <si>
    <t>Non-Slice Tier 2 Rate Design Debit/(Credit)</t>
  </si>
  <si>
    <t>TRM Costs after Adjustments</t>
  </si>
  <si>
    <t>Billing Determinants</t>
  </si>
  <si>
    <t>TOCA</t>
  </si>
  <si>
    <t>Non-slice TOCA</t>
  </si>
  <si>
    <t>Slice Percentage</t>
  </si>
  <si>
    <t>Annual TRM Rates ($000/percent)</t>
  </si>
  <si>
    <t>Monthly TRM Rates ($/percent)</t>
  </si>
  <si>
    <t>Tier 2 Rates ($/MWh)</t>
  </si>
  <si>
    <t>Tier 2 Short Term</t>
  </si>
  <si>
    <t>Tier 2 Load Growth</t>
  </si>
  <si>
    <t>Demand (kW)</t>
  </si>
  <si>
    <t>Demand Rate ($/kW/mo.)</t>
  </si>
  <si>
    <t>Demand</t>
  </si>
  <si>
    <t>Load Shaping HLH (MWh)</t>
  </si>
  <si>
    <t>Load Shaping LLH (MWh)</t>
  </si>
  <si>
    <t>Load Shaping HLH Rate ($/MWh)</t>
  </si>
  <si>
    <t>Load Shaping LLH Rate ($/MWh)</t>
  </si>
  <si>
    <t>Load Shaping</t>
  </si>
  <si>
    <t>previous LS</t>
  </si>
  <si>
    <t>current LS</t>
  </si>
  <si>
    <t>previous Demand</t>
  </si>
  <si>
    <t>current Demand</t>
  </si>
  <si>
    <t>Rate Class</t>
  </si>
  <si>
    <t>Charges</t>
  </si>
  <si>
    <t>IRD</t>
  </si>
  <si>
    <t>Tier 1 Energy</t>
  </si>
  <si>
    <t>Tier 1 System Capability</t>
  </si>
  <si>
    <t>previous</t>
  </si>
  <si>
    <t>current</t>
  </si>
  <si>
    <t>Previous Year</t>
  </si>
  <si>
    <t>Effective Rate</t>
  </si>
  <si>
    <t>Percent Change</t>
  </si>
  <si>
    <t>LSTUR</t>
  </si>
  <si>
    <t>Rank</t>
  </si>
  <si>
    <t>Rate Increase Including Slice and LS</t>
  </si>
  <si>
    <t>Increase</t>
  </si>
  <si>
    <t>Customer</t>
  </si>
  <si>
    <t>Energy</t>
  </si>
  <si>
    <t>Cumulative</t>
  </si>
  <si>
    <t>Rate</t>
  </si>
  <si>
    <t>Rate Increase NonSlice and Previous LS Rates</t>
  </si>
  <si>
    <t>Rate Increase NonSlice and Excluding Load Shaping</t>
  </si>
  <si>
    <t>Rate Increase NonSlice</t>
  </si>
  <si>
    <t>Rate Increase NonSlice Effective Rate to Effective Rate</t>
  </si>
  <si>
    <t>Effective Rate Increase</t>
  </si>
  <si>
    <t>NR Revenues from ESS services</t>
  </si>
  <si>
    <t>Reshaping physical format of rates for calculations</t>
  </si>
  <si>
    <t>Kalispel Tribe Utility</t>
  </si>
  <si>
    <t>LSTU</t>
  </si>
  <si>
    <t>Tier 2 Load Shaping Flat Block</t>
  </si>
  <si>
    <t>Rounddown</t>
  </si>
  <si>
    <t>Tier 1 Load Shaping Charges Billing Determinant (MWh)</t>
  </si>
  <si>
    <t>Other Long Term Contract Revenues</t>
  </si>
  <si>
    <t>Tier 2 Vintage 3</t>
  </si>
  <si>
    <t>Staging Table</t>
  </si>
  <si>
    <t xml:space="preserve">Previous Year: </t>
  </si>
  <si>
    <t>Current Year:</t>
  </si>
  <si>
    <t>MWh</t>
  </si>
  <si>
    <t>Demand MW</t>
  </si>
  <si>
    <t>Tier 2 Load Shaping</t>
  </si>
  <si>
    <t>Load Shaping True Up</t>
  </si>
  <si>
    <t>Load Shaping MWh (If Slice/Block Customer then Load Shaping Billing Determinant is the average of the Monthly/Diurnal amounts in both years of the Rate Period)</t>
  </si>
  <si>
    <t>Sum of RHWMs</t>
  </si>
  <si>
    <t>LSTU Credit</t>
  </si>
  <si>
    <t>LSTU Charge</t>
  </si>
  <si>
    <t>Hours</t>
  </si>
  <si>
    <t>Special Implimentation Provision</t>
  </si>
  <si>
    <t>NonSlice</t>
  </si>
  <si>
    <t>LDD</t>
  </si>
  <si>
    <t>Include Tier 2 Load Shaping in Tier 1 Rate Impacts?</t>
  </si>
  <si>
    <t>Slice/Block or Block</t>
  </si>
  <si>
    <t>Yes</t>
  </si>
  <si>
    <t>PNGC LDD</t>
  </si>
  <si>
    <t>PNGC TOCA</t>
  </si>
  <si>
    <t>Surcharges</t>
  </si>
  <si>
    <t>RT1SC HLH</t>
  </si>
  <si>
    <t>RT1SC LLH</t>
  </si>
  <si>
    <t>System Shaped Load</t>
  </si>
  <si>
    <t xml:space="preserve">Total </t>
  </si>
  <si>
    <t>No</t>
  </si>
  <si>
    <t>Select Current Year?</t>
  </si>
  <si>
    <t>Monthly Hours</t>
  </si>
  <si>
    <t>FiscalID</t>
  </si>
  <si>
    <t>Cal Date</t>
  </si>
  <si>
    <t>LLH%</t>
  </si>
  <si>
    <t>2015_1</t>
  </si>
  <si>
    <t>2015_2</t>
  </si>
  <si>
    <t>2015_3</t>
  </si>
  <si>
    <t>2015_4</t>
  </si>
  <si>
    <t>2015_5</t>
  </si>
  <si>
    <t>2015_6</t>
  </si>
  <si>
    <t>2015_7</t>
  </si>
  <si>
    <t>2015_8</t>
  </si>
  <si>
    <t>2015_9</t>
  </si>
  <si>
    <t>2015_10</t>
  </si>
  <si>
    <t>2015_11</t>
  </si>
  <si>
    <t>2015_12</t>
  </si>
  <si>
    <t>2016_1</t>
  </si>
  <si>
    <t>2016_2</t>
  </si>
  <si>
    <t>2016_3</t>
  </si>
  <si>
    <t>2016_4</t>
  </si>
  <si>
    <t>2016_5</t>
  </si>
  <si>
    <t>2016_6</t>
  </si>
  <si>
    <t>2016_7</t>
  </si>
  <si>
    <t>2016_8</t>
  </si>
  <si>
    <t>2016_9</t>
  </si>
  <si>
    <t>2016_10</t>
  </si>
  <si>
    <t>2016_11</t>
  </si>
  <si>
    <t>2016_12</t>
  </si>
  <si>
    <t>2017_1</t>
  </si>
  <si>
    <t>2017_2</t>
  </si>
  <si>
    <t>2017_3</t>
  </si>
  <si>
    <t>2017_4</t>
  </si>
  <si>
    <t>2017_5</t>
  </si>
  <si>
    <t>2017_6</t>
  </si>
  <si>
    <t>2017_7</t>
  </si>
  <si>
    <t>2017_8</t>
  </si>
  <si>
    <t>2017_9</t>
  </si>
  <si>
    <t>2017_10</t>
  </si>
  <si>
    <t>2017_11</t>
  </si>
  <si>
    <t>2017_12</t>
  </si>
  <si>
    <t>2018_1</t>
  </si>
  <si>
    <t>2018_2</t>
  </si>
  <si>
    <t>2018_3</t>
  </si>
  <si>
    <t>2018_4</t>
  </si>
  <si>
    <t>2018_5</t>
  </si>
  <si>
    <t>2018_6</t>
  </si>
  <si>
    <t>2018_7</t>
  </si>
  <si>
    <t>2018_8</t>
  </si>
  <si>
    <t>2018_9</t>
  </si>
  <si>
    <t>2018_10</t>
  </si>
  <si>
    <t>2018_11</t>
  </si>
  <si>
    <t>2018_12</t>
  </si>
  <si>
    <t>2019_1</t>
  </si>
  <si>
    <t>2019_2</t>
  </si>
  <si>
    <t>2019_3</t>
  </si>
  <si>
    <t>2019_4</t>
  </si>
  <si>
    <t>2019_5</t>
  </si>
  <si>
    <t>2019_6</t>
  </si>
  <si>
    <t>2019_7</t>
  </si>
  <si>
    <t>2019_8</t>
  </si>
  <si>
    <t>2019_9</t>
  </si>
  <si>
    <t>2019_10</t>
  </si>
  <si>
    <t>2019_11</t>
  </si>
  <si>
    <t>2019_12</t>
  </si>
  <si>
    <t>2020_1</t>
  </si>
  <si>
    <t>2020_2</t>
  </si>
  <si>
    <t>2020_3</t>
  </si>
  <si>
    <t>2020_4</t>
  </si>
  <si>
    <t>2020_5</t>
  </si>
  <si>
    <t>2020_6</t>
  </si>
  <si>
    <t>2020_7</t>
  </si>
  <si>
    <t>2020_8</t>
  </si>
  <si>
    <t>2020_9</t>
  </si>
  <si>
    <t>2020_10</t>
  </si>
  <si>
    <t>2020_11</t>
  </si>
  <si>
    <t>2020_12</t>
  </si>
  <si>
    <t>2021_1</t>
  </si>
  <si>
    <t>2021_2</t>
  </si>
  <si>
    <t>2021_3</t>
  </si>
  <si>
    <t>2021_4</t>
  </si>
  <si>
    <t>2021_5</t>
  </si>
  <si>
    <t>2021_6</t>
  </si>
  <si>
    <t>2021_7</t>
  </si>
  <si>
    <t>2021_8</t>
  </si>
  <si>
    <t>2021_9</t>
  </si>
  <si>
    <t>2021_10</t>
  </si>
  <si>
    <t>2021_11</t>
  </si>
  <si>
    <t>2021_12</t>
  </si>
  <si>
    <t>2022_1</t>
  </si>
  <si>
    <t>2022_2</t>
  </si>
  <si>
    <t>2022_3</t>
  </si>
  <si>
    <t>2022_4</t>
  </si>
  <si>
    <t>2022_5</t>
  </si>
  <si>
    <t>2022_6</t>
  </si>
  <si>
    <t>2022_7</t>
  </si>
  <si>
    <t>2022_8</t>
  </si>
  <si>
    <t>2022_9</t>
  </si>
  <si>
    <t>2022_10</t>
  </si>
  <si>
    <t>2022_11</t>
  </si>
  <si>
    <t>2022_12</t>
  </si>
  <si>
    <t>2023_1</t>
  </si>
  <si>
    <t>2023_2</t>
  </si>
  <si>
    <t>2023_3</t>
  </si>
  <si>
    <t>2023_4</t>
  </si>
  <si>
    <t>2023_5</t>
  </si>
  <si>
    <t>2023_6</t>
  </si>
  <si>
    <t>2023_7</t>
  </si>
  <si>
    <t>2023_8</t>
  </si>
  <si>
    <t>2023_9</t>
  </si>
  <si>
    <t>2023_10</t>
  </si>
  <si>
    <t>2023_11</t>
  </si>
  <si>
    <t>2023_12</t>
  </si>
  <si>
    <t>2024_1</t>
  </si>
  <si>
    <t>2024_2</t>
  </si>
  <si>
    <t>2024_3</t>
  </si>
  <si>
    <t>2024_4</t>
  </si>
  <si>
    <t>2024_5</t>
  </si>
  <si>
    <t>2024_6</t>
  </si>
  <si>
    <t>2024_7</t>
  </si>
  <si>
    <t>2024_8</t>
  </si>
  <si>
    <t>2024_9</t>
  </si>
  <si>
    <t>2024_10</t>
  </si>
  <si>
    <t>2024_11</t>
  </si>
  <si>
    <t>2024_12</t>
  </si>
  <si>
    <t>2025_1</t>
  </si>
  <si>
    <t>2025_2</t>
  </si>
  <si>
    <t>2025_3</t>
  </si>
  <si>
    <t>2025_4</t>
  </si>
  <si>
    <t>2025_5</t>
  </si>
  <si>
    <t>2025_6</t>
  </si>
  <si>
    <t>2025_7</t>
  </si>
  <si>
    <t>2025_8</t>
  </si>
  <si>
    <t>2025_9</t>
  </si>
  <si>
    <t>2025_10</t>
  </si>
  <si>
    <t>2025_11</t>
  </si>
  <si>
    <t>2025_12</t>
  </si>
  <si>
    <t>2026_1</t>
  </si>
  <si>
    <t>2026_2</t>
  </si>
  <si>
    <t>2026_3</t>
  </si>
  <si>
    <t>2026_4</t>
  </si>
  <si>
    <t>2026_5</t>
  </si>
  <si>
    <t>2026_6</t>
  </si>
  <si>
    <t>2026_7</t>
  </si>
  <si>
    <t>2026_8</t>
  </si>
  <si>
    <t>2026_9</t>
  </si>
  <si>
    <t>2026_10</t>
  </si>
  <si>
    <t>2026_11</t>
  </si>
  <si>
    <t>2026_12</t>
  </si>
  <si>
    <t>2027_1</t>
  </si>
  <si>
    <t>2027_2</t>
  </si>
  <si>
    <t>2027_3</t>
  </si>
  <si>
    <t>2027_4</t>
  </si>
  <si>
    <t>2027_5</t>
  </si>
  <si>
    <t>2027_6</t>
  </si>
  <si>
    <t>2027_7</t>
  </si>
  <si>
    <t>2027_8</t>
  </si>
  <si>
    <t>2027_9</t>
  </si>
  <si>
    <t>2027_10</t>
  </si>
  <si>
    <t>2027_11</t>
  </si>
  <si>
    <t>2027_12</t>
  </si>
  <si>
    <t>2028_1</t>
  </si>
  <si>
    <t>2028_2</t>
  </si>
  <si>
    <t>2028_3</t>
  </si>
  <si>
    <t>2028_4</t>
  </si>
  <si>
    <t>2028_5</t>
  </si>
  <si>
    <t>2028_6</t>
  </si>
  <si>
    <t>2028_7</t>
  </si>
  <si>
    <t>2028_8</t>
  </si>
  <si>
    <t>2028_9</t>
  </si>
  <si>
    <t>2028_10</t>
  </si>
  <si>
    <t>2028_11</t>
  </si>
  <si>
    <t>2028_12</t>
  </si>
  <si>
    <t>2029_1</t>
  </si>
  <si>
    <t>2029_2</t>
  </si>
  <si>
    <t>2029_3</t>
  </si>
  <si>
    <t>2029_4</t>
  </si>
  <si>
    <t>2029_5</t>
  </si>
  <si>
    <t>2029_6</t>
  </si>
  <si>
    <t>2029_7</t>
  </si>
  <si>
    <t>2029_8</t>
  </si>
  <si>
    <t>2029_9</t>
  </si>
  <si>
    <t>2029_10</t>
  </si>
  <si>
    <t>2029_11</t>
  </si>
  <si>
    <t>2029_12</t>
  </si>
  <si>
    <t>2030_1</t>
  </si>
  <si>
    <t>2030_2</t>
  </si>
  <si>
    <t>2030_3</t>
  </si>
  <si>
    <t>2030_4</t>
  </si>
  <si>
    <t>2030_5</t>
  </si>
  <si>
    <t>2030_6</t>
  </si>
  <si>
    <t>2030_7</t>
  </si>
  <si>
    <t>2030_8</t>
  </si>
  <si>
    <t>2030_9</t>
  </si>
  <si>
    <t>2030_10</t>
  </si>
  <si>
    <t>2030_11</t>
  </si>
  <si>
    <t>2030_12</t>
  </si>
  <si>
    <t>2031_1</t>
  </si>
  <si>
    <t>2031_2</t>
  </si>
  <si>
    <t>2031_3</t>
  </si>
  <si>
    <t>2031_4</t>
  </si>
  <si>
    <t>2031_5</t>
  </si>
  <si>
    <t>2031_6</t>
  </si>
  <si>
    <t>2031_7</t>
  </si>
  <si>
    <t>2031_8</t>
  </si>
  <si>
    <t>2031_9</t>
  </si>
  <si>
    <t>2031_10</t>
  </si>
  <si>
    <t>2031_11</t>
  </si>
  <si>
    <t>2031_12</t>
  </si>
  <si>
    <t>2032_1</t>
  </si>
  <si>
    <t>2032_2</t>
  </si>
  <si>
    <t>2032_3</t>
  </si>
  <si>
    <t>2032_4</t>
  </si>
  <si>
    <t>2032_5</t>
  </si>
  <si>
    <t>2032_6</t>
  </si>
  <si>
    <t>2032_7</t>
  </si>
  <si>
    <t>2032_8</t>
  </si>
  <si>
    <t>2032_9</t>
  </si>
  <si>
    <t>2032_10</t>
  </si>
  <si>
    <t>2032_11</t>
  </si>
  <si>
    <t>2032_12</t>
  </si>
  <si>
    <t>2033_1</t>
  </si>
  <si>
    <t>2033_2</t>
  </si>
  <si>
    <t>2033_3</t>
  </si>
  <si>
    <t>2033_4</t>
  </si>
  <si>
    <t>2033_5</t>
  </si>
  <si>
    <t>2033_6</t>
  </si>
  <si>
    <t>2033_7</t>
  </si>
  <si>
    <t>2033_8</t>
  </si>
  <si>
    <t>2033_9</t>
  </si>
  <si>
    <t>2033_10</t>
  </si>
  <si>
    <t>2033_11</t>
  </si>
  <si>
    <t>2033_12</t>
  </si>
  <si>
    <t>CHWM 2022</t>
  </si>
  <si>
    <t>TRL 2022</t>
  </si>
  <si>
    <t>TRL 2023</t>
  </si>
  <si>
    <t>NLSL 2022</t>
  </si>
  <si>
    <t>NLSL 2023</t>
  </si>
  <si>
    <t>Existing/Other Resource aMW 2022</t>
  </si>
  <si>
    <t>Existing/Other Resource aMW 2023</t>
  </si>
  <si>
    <t>Existing/Other Resource MWh 2022</t>
  </si>
  <si>
    <t>Existing/Other Resource MWh 2023</t>
  </si>
  <si>
    <t>TRL - NLSL - Existing Resource 2022</t>
  </si>
  <si>
    <t>TRL - NLSL - Existing Resource 2023</t>
  </si>
  <si>
    <t>TRL - NLSL - Existing Resource MWh 2022</t>
  </si>
  <si>
    <t>TRL - NLSL - Existing Resource MWh 2023</t>
  </si>
  <si>
    <t>RHWM 2022</t>
  </si>
  <si>
    <t>RHWM MWh 2022</t>
  </si>
  <si>
    <t>Above RHWM 2022</t>
  </si>
  <si>
    <t>Above RHWM 2023</t>
  </si>
  <si>
    <t>Above RHWM Not Served with LS 2022</t>
  </si>
  <si>
    <t>Above RHWM Not Served with LS 2023</t>
  </si>
  <si>
    <t>TOCA 2022</t>
  </si>
  <si>
    <t>TOCA 2023</t>
  </si>
  <si>
    <t>Slice% 2022</t>
  </si>
  <si>
    <t>Non-slice TOCA 2022</t>
  </si>
  <si>
    <t>Non-slice TOCA 2023</t>
  </si>
  <si>
    <t>T1 Percentage 2022</t>
  </si>
  <si>
    <t>T1 Percentage 2023</t>
  </si>
  <si>
    <t>LDD adjTRL/RHWM 2022</t>
  </si>
  <si>
    <t>LDD adjTRL/RHWM 2023</t>
  </si>
  <si>
    <t>Applicable LDD 2022</t>
  </si>
  <si>
    <t>Applicable LDD 2023</t>
  </si>
  <si>
    <t>JOE Previous</t>
  </si>
  <si>
    <t>JOE Current</t>
  </si>
  <si>
    <t>RAMmodel_REP2022.xls</t>
  </si>
  <si>
    <t>Real Power Losses (Non-Slice)</t>
  </si>
  <si>
    <t>PRSC Net Credit (Non-Slice)</t>
  </si>
  <si>
    <t>FRP Surcharge Dec-Sept rate BP22</t>
  </si>
  <si>
    <t>LSTU w/ Surcharge, if any</t>
  </si>
  <si>
    <t>Rate Period Values</t>
  </si>
  <si>
    <t>RT1SC</t>
  </si>
  <si>
    <t>sum of RHWM</t>
  </si>
  <si>
    <t>MAX Financial Reserves Surcharge Annual Rate BP22</t>
  </si>
  <si>
    <t>sum of SSL, Oct-Sep, MWh</t>
  </si>
  <si>
    <t>IP Load, Oct-Sep, MWh</t>
  </si>
  <si>
    <t>sum of SSL, Dec-Sep, MWh</t>
  </si>
  <si>
    <t>IP Load, Dec-Sep, MWh</t>
  </si>
  <si>
    <t>BP-22 Rate</t>
  </si>
  <si>
    <t>CHWM 2024</t>
  </si>
  <si>
    <t>TRL 2024</t>
  </si>
  <si>
    <t>TRL 2025</t>
  </si>
  <si>
    <t>NLSL 2024</t>
  </si>
  <si>
    <t>NLSL 2025</t>
  </si>
  <si>
    <t>Existing/Other Resource aMW 2024</t>
  </si>
  <si>
    <t>Existing/Other Resource aMW 2025</t>
  </si>
  <si>
    <t>Existing/Other Resource MWh 2024</t>
  </si>
  <si>
    <t>Existing/Other Resource MWh 2025</t>
  </si>
  <si>
    <t>TRL - NLSL - Existing Resource 2024</t>
  </si>
  <si>
    <t>TRL - NLSL - Existing Resource 2025</t>
  </si>
  <si>
    <t>TRL - NLSL - Existing Resource MWh 2024</t>
  </si>
  <si>
    <t>TRL - NLSL - Existing Resource MWh 2025</t>
  </si>
  <si>
    <t>RHWM 2024</t>
  </si>
  <si>
    <t>RHWM MWh 2024</t>
  </si>
  <si>
    <t>RHWM MWh 2025</t>
  </si>
  <si>
    <t>Above RHWM 2024</t>
  </si>
  <si>
    <t>Above RHWM 2025</t>
  </si>
  <si>
    <t>Above RHWM Not Served with LS 2024</t>
  </si>
  <si>
    <t>Above RHWM Not Served with LS 2025</t>
  </si>
  <si>
    <t>Above RHWM Load Served at the LS rate 2024</t>
  </si>
  <si>
    <t>Above RHWM Load Served at the LS rate 2025</t>
  </si>
  <si>
    <t>Total Vintage 2024</t>
  </si>
  <si>
    <t>Total Vintage 2025</t>
  </si>
  <si>
    <t>Remaining Above RHWM 2024</t>
  </si>
  <si>
    <t>Remaining Above RHWM 2025</t>
  </si>
  <si>
    <t>TOCA 2024</t>
  </si>
  <si>
    <t>TOCA 2025</t>
  </si>
  <si>
    <t>Slice% 2024</t>
  </si>
  <si>
    <t>Non-slice TOCA 2024</t>
  </si>
  <si>
    <t>Non-slice TOCA 2025</t>
  </si>
  <si>
    <t>T1 Percentage 2024</t>
  </si>
  <si>
    <t>T1 Percentage 2025</t>
  </si>
  <si>
    <t>LDD adjTRL/RHWM 2024</t>
  </si>
  <si>
    <t>LDD adjTRL/RHWM 2025</t>
  </si>
  <si>
    <t>Applicable LDD 2024</t>
  </si>
  <si>
    <t>Applicable LDD 2025</t>
  </si>
  <si>
    <t>Election 2024</t>
  </si>
  <si>
    <t>Election 2025</t>
  </si>
  <si>
    <t>Amount 2024</t>
  </si>
  <si>
    <t>Amount 2025</t>
  </si>
  <si>
    <t>Tier 2 Amounts 2024</t>
  </si>
  <si>
    <t>Tier 2 Amounts 2025</t>
  </si>
  <si>
    <t>New Resource aMW 2024</t>
  </si>
  <si>
    <t>New Resource aMW 2025</t>
  </si>
  <si>
    <t>Remarketing 2024</t>
  </si>
  <si>
    <t>Remarketing 2025</t>
  </si>
  <si>
    <t>T2 Remarketing 2024</t>
  </si>
  <si>
    <t>T2 Remarketing 2025</t>
  </si>
  <si>
    <t>NR Remarketing 2024</t>
  </si>
  <si>
    <t>NR Remarketing 2025</t>
  </si>
  <si>
    <t>Forecast Net Requirement 2024</t>
  </si>
  <si>
    <t>Forecast Net Requirement 2025</t>
  </si>
  <si>
    <t>Use Previous BP-22 Billing Determinants adjusted for BP-24 Loads and CSP?</t>
  </si>
  <si>
    <t>RAMmodel_RAM2024 Initial Proposal Preview</t>
  </si>
  <si>
    <t>MAX Financial Reserves Surcharge Annual Rate BP24</t>
  </si>
  <si>
    <t>FRP Surcharge Dec-Sept rate BP24</t>
  </si>
  <si>
    <t>BP-24 Rate</t>
  </si>
  <si>
    <t>BP22 Tier 1 Non-Slice Effective Rate $/MWh previous</t>
  </si>
  <si>
    <t xml:space="preserve"> </t>
  </si>
  <si>
    <t>Transfer Service Delivery Rate</t>
  </si>
  <si>
    <t>Transfer Service Regional Compliance Enforcement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</si>
</sst>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7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_);_(* \(#,##0.000000\);_(* &quot;-&quot;????_);_(@_)"/>
    <numFmt numFmtId="165" formatCode="_(* #,##0_);_(* \(#,##0\);_(* &quot;-&quot;????_);_(@_)"/>
    <numFmt numFmtId="166" formatCode="_(* #,##0.000_);_(* \(#,##0.000\);_(* &quot;-&quot;????_);_(@_)"/>
    <numFmt numFmtId="167" formatCode="_(* #,##0.0000000_);_(* \(#,##0.0000000\);_(* &quot;-&quot;??_);_(@_)"/>
    <numFmt numFmtId="168" formatCode="_(* #,##0_);_(* \(#,##0\);_(* &quot;-&quot;??_);_(@_)"/>
    <numFmt numFmtId="169" formatCode="0.000%"/>
    <numFmt numFmtId="170" formatCode="_(* #,##0.000_);_(* \(#,##0.000\);_(* &quot;-&quot;??_);_(@_)"/>
    <numFmt numFmtId="171" formatCode="@*."/>
    <numFmt numFmtId="172" formatCode="_(&quot;$&quot;* #,##0_);_(&quot;$&quot;* \(#,##0\);_(&quot;$&quot;* &quot;-&quot;??_);_(@_)"/>
    <numFmt numFmtId="173" formatCode="0.0000"/>
    <numFmt numFmtId="174" formatCode="[$-409]mmm\-yy;@"/>
    <numFmt numFmtId="175" formatCode="0.0%"/>
    <numFmt numFmtId="176" formatCode="_(* #,##0.00_);\(* #,##0.00\);_(* &quot;-&quot;??_);_(@_)"/>
    <numFmt numFmtId="177" formatCode="#,##0.0_)\x;\(#,##0.0\)\x;0.0_)\x;@_)_x"/>
    <numFmt numFmtId="178" formatCode="#,##0.0_);\(#,##0.0\);#,##0.0_);@_)"/>
    <numFmt numFmtId="179" formatCode="&quot;$&quot;_(#,##0.00_);&quot;$&quot;\(#,##0.00\);&quot;$&quot;_(0.00_);@_)"/>
    <numFmt numFmtId="180" formatCode="#,##0.00_);\(#,##0.00\);0.00_);@_)"/>
    <numFmt numFmtId="181" formatCode="\€_(#,##0.00_);\€\(#,##0.00\);\€_(0.00_);@_)"/>
    <numFmt numFmtId="182" formatCode="0.0_)\%;\(0.0\)\%;0.0_)\%;@_)_%"/>
    <numFmt numFmtId="183" formatCode="#,##0.0_)_%;\(#,##0.0\)_%;0.0_)_%;@_)_%"/>
    <numFmt numFmtId="184" formatCode="#,##0.0_)_x;\(#,##0.0\)_x;0.0_)_x;@_)_x"/>
    <numFmt numFmtId="185" formatCode="0.000%;;"/>
    <numFmt numFmtId="186" formatCode="&quot;$&quot;#,##0.0;[Red]\-&quot;$&quot;#,##0.0"/>
    <numFmt numFmtId="187" formatCode="_([$€-2]* #,##0.00_);_([$€-2]* \(#,##0.00\);_([$€-2]* &quot;-&quot;??_)"/>
    <numFmt numFmtId="188" formatCode="_-* #,##0.0_-;\-* #,##0.0_-;_-* &quot;-&quot;??_-;_-@_-"/>
    <numFmt numFmtId="189" formatCode="#,##0.00&quot; $&quot;;\-#,##0.00&quot; $&quot;"/>
    <numFmt numFmtId="190" formatCode="#,##0.0000\ ;[Red]\(#,##0.0000\)"/>
    <numFmt numFmtId="191" formatCode="mmm\-yyyy"/>
    <numFmt numFmtId="192" formatCode="_(* #,##0.00000_);_(* \(#,##0.00000\);_(* &quot;-&quot;??_);_(@_)"/>
    <numFmt numFmtId="193" formatCode="0.0000000"/>
    <numFmt numFmtId="194" formatCode="#,##0.000_);[Red]\(#,##0.000\)"/>
    <numFmt numFmtId="195" formatCode="#,##0.000"/>
    <numFmt numFmtId="196" formatCode="0.00_);\(0.00\)"/>
  </numFmts>
  <fonts count="13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indexed="48"/>
      <name val="Arial"/>
      <family val="2"/>
    </font>
    <font>
      <sz val="8"/>
      <name val="Calibri"/>
      <family val="2"/>
    </font>
    <font>
      <sz val="10"/>
      <name val="Calibri"/>
      <family val="2"/>
    </font>
    <font>
      <sz val="10"/>
      <color indexed="22"/>
      <name val="Calibri"/>
      <family val="2"/>
    </font>
    <font>
      <u/>
      <sz val="10"/>
      <color indexed="12"/>
      <name val="Arial"/>
      <family val="2"/>
    </font>
    <font>
      <b/>
      <u/>
      <sz val="8"/>
      <color indexed="12"/>
      <name val="Times"/>
      <family val="1"/>
    </font>
    <font>
      <b/>
      <sz val="10"/>
      <name val="Times"/>
      <family val="1"/>
    </font>
    <font>
      <sz val="10"/>
      <name val="Arial"/>
      <family val="2"/>
    </font>
    <font>
      <b/>
      <u/>
      <sz val="10"/>
      <color indexed="12"/>
      <name val="Wingdings"/>
      <charset val="2"/>
    </font>
    <font>
      <b/>
      <sz val="10"/>
      <name val="Calibri"/>
      <family val="2"/>
    </font>
    <font>
      <b/>
      <sz val="8"/>
      <name val="Calibri"/>
      <family val="2"/>
    </font>
    <font>
      <sz val="10"/>
      <name val="Times New Roman"/>
      <family val="1"/>
    </font>
    <font>
      <sz val="10"/>
      <color indexed="22"/>
      <name val="Arial"/>
      <family val="2"/>
    </font>
    <font>
      <b/>
      <sz val="10"/>
      <name val="Arial"/>
      <family val="2"/>
    </font>
    <font>
      <sz val="10"/>
      <name val="Times"/>
      <family val="1"/>
    </font>
    <font>
      <b/>
      <sz val="12"/>
      <color indexed="48"/>
      <name val="Times New Roman"/>
      <family val="1"/>
    </font>
    <font>
      <sz val="10"/>
      <color indexed="9"/>
      <name val="Times New Roman"/>
      <family val="1"/>
    </font>
    <font>
      <sz val="10"/>
      <color indexed="48"/>
      <name val="Times New Roman"/>
      <family val="1"/>
    </font>
    <font>
      <b/>
      <sz val="10"/>
      <name val="Times"/>
    </font>
    <font>
      <sz val="10"/>
      <color rgb="FFFF0000"/>
      <name val="Times New Roman"/>
      <family val="1"/>
    </font>
    <font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MS Sans Serif"/>
      <family val="2"/>
    </font>
    <font>
      <b/>
      <sz val="10"/>
      <name val="MS Sans Serif"/>
      <family val="2"/>
    </font>
    <font>
      <b/>
      <sz val="11"/>
      <color theme="4"/>
      <name val="Calibri"/>
      <family val="2"/>
      <scheme val="minor"/>
    </font>
    <font>
      <sz val="10"/>
      <color indexed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sz val="11"/>
      <color indexed="8"/>
      <name val="Arial"/>
      <family val="2"/>
    </font>
    <font>
      <sz val="11"/>
      <color indexed="9"/>
      <name val="Arial"/>
      <family val="2"/>
    </font>
    <font>
      <sz val="11"/>
      <color indexed="20"/>
      <name val="Arial"/>
      <family val="2"/>
    </font>
    <font>
      <b/>
      <sz val="11"/>
      <color indexed="52"/>
      <name val="Arial"/>
      <family val="2"/>
    </font>
    <font>
      <b/>
      <sz val="11"/>
      <color indexed="9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7.5"/>
      <color indexed="12"/>
      <name val="Arial"/>
      <family val="2"/>
    </font>
    <font>
      <sz val="11"/>
      <color indexed="62"/>
      <name val="Arial"/>
      <family val="2"/>
    </font>
    <font>
      <sz val="11"/>
      <color indexed="52"/>
      <name val="Arial"/>
      <family val="2"/>
    </font>
    <font>
      <sz val="11"/>
      <color indexed="60"/>
      <name val="Arial"/>
      <family val="2"/>
    </font>
    <font>
      <b/>
      <sz val="11"/>
      <color indexed="63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sz val="9"/>
      <color indexed="8"/>
      <name val="Arial"/>
      <family val="2"/>
    </font>
    <font>
      <b/>
      <sz val="10"/>
      <color indexed="9"/>
      <name val="Arial"/>
      <family val="2"/>
    </font>
    <font>
      <b/>
      <sz val="9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20"/>
      <name val="Arial"/>
      <family val="2"/>
    </font>
    <font>
      <b/>
      <sz val="11"/>
      <color indexed="52"/>
      <name val="Calibri"/>
      <family val="2"/>
    </font>
    <font>
      <b/>
      <sz val="10"/>
      <color indexed="52"/>
      <name val="Arial"/>
      <family val="2"/>
    </font>
    <font>
      <b/>
      <sz val="11"/>
      <color indexed="9"/>
      <name val="Calibri"/>
      <family val="2"/>
    </font>
    <font>
      <sz val="8"/>
      <name val="Palatino"/>
      <family val="1"/>
    </font>
    <font>
      <i/>
      <sz val="11"/>
      <color indexed="23"/>
      <name val="Calibri"/>
      <family val="2"/>
    </font>
    <font>
      <i/>
      <sz val="10"/>
      <color indexed="23"/>
      <name val="Arial"/>
      <family val="2"/>
    </font>
    <font>
      <sz val="11"/>
      <color indexed="17"/>
      <name val="Calibri"/>
      <family val="2"/>
    </font>
    <font>
      <sz val="6"/>
      <color indexed="16"/>
      <name val="Palatino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color indexed="62"/>
      <name val="Arial"/>
      <family val="2"/>
    </font>
    <font>
      <sz val="11"/>
      <color indexed="52"/>
      <name val="Calibri"/>
      <family val="2"/>
    </font>
    <font>
      <sz val="10"/>
      <color indexed="52"/>
      <name val="Arial"/>
      <family val="2"/>
    </font>
    <font>
      <sz val="11"/>
      <color indexed="60"/>
      <name val="Calibri"/>
      <family val="2"/>
    </font>
    <font>
      <sz val="10"/>
      <color indexed="60"/>
      <name val="Arial"/>
      <family val="2"/>
    </font>
    <font>
      <b/>
      <sz val="11"/>
      <color indexed="63"/>
      <name val="Calibri"/>
      <family val="2"/>
    </font>
    <font>
      <b/>
      <sz val="10"/>
      <color indexed="63"/>
      <name val="Arial"/>
      <family val="2"/>
    </font>
    <font>
      <sz val="10"/>
      <color indexed="16"/>
      <name val="Helvetica-Black"/>
    </font>
    <font>
      <sz val="8"/>
      <color indexed="8"/>
      <name val="Times New Roman"/>
      <family val="1"/>
    </font>
    <font>
      <b/>
      <i/>
      <sz val="10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8"/>
      <name val="Arial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Helv"/>
    </font>
    <font>
      <sz val="11"/>
      <name val="??"/>
      <family val="3"/>
      <charset val="129"/>
    </font>
    <font>
      <sz val="10"/>
      <name val="Helv"/>
    </font>
    <font>
      <b/>
      <u/>
      <sz val="11"/>
      <color indexed="37"/>
      <name val="Arial"/>
      <family val="2"/>
    </font>
    <font>
      <sz val="7"/>
      <name val="Small Fonts"/>
      <family val="2"/>
    </font>
    <font>
      <sz val="8"/>
      <color indexed="12"/>
      <name val="Arial"/>
      <family val="2"/>
    </font>
    <font>
      <sz val="9"/>
      <color indexed="20"/>
      <name val="Times New Roman"/>
      <family val="1"/>
    </font>
    <font>
      <sz val="10"/>
      <color theme="1"/>
      <name val="Arial"/>
      <family val="2"/>
    </font>
    <font>
      <sz val="18"/>
      <name val="Arial"/>
      <family val="2"/>
    </font>
    <font>
      <i/>
      <sz val="12"/>
      <name val="Arial"/>
      <family val="2"/>
    </font>
    <font>
      <sz val="18"/>
      <name val="Times New Roman"/>
      <family val="1"/>
    </font>
    <font>
      <i/>
      <sz val="12"/>
      <name val="Times New Roman"/>
      <family val="1"/>
    </font>
    <font>
      <b/>
      <sz val="12"/>
      <color theme="4" tint="-0.249977111117893"/>
      <name val="Arial"/>
      <family val="2"/>
    </font>
    <font>
      <b/>
      <sz val="10"/>
      <color theme="4" tint="-0.249977111117893"/>
      <name val="Arial"/>
      <family val="2"/>
    </font>
    <font>
      <sz val="12"/>
      <name val="Times New Roman"/>
      <family val="1"/>
    </font>
    <font>
      <b/>
      <sz val="11"/>
      <name val="Calibri"/>
      <family val="2"/>
    </font>
    <font>
      <sz val="11"/>
      <color theme="0" tint="-0.249977111117893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2"/>
      <name val="Times New Roman"/>
      <family val="1"/>
    </font>
    <font>
      <sz val="11"/>
      <name val="Calibri"/>
      <family val="2"/>
      <scheme val="minor"/>
    </font>
    <font>
      <sz val="11"/>
      <color indexed="4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48"/>
      <name val="Calibri"/>
      <family val="2"/>
      <scheme val="minor"/>
    </font>
    <font>
      <b/>
      <u/>
      <sz val="11"/>
      <color indexed="12"/>
      <name val="Calibri"/>
      <family val="2"/>
      <scheme val="minor"/>
    </font>
    <font>
      <u/>
      <sz val="11"/>
      <color indexed="12"/>
      <name val="Calibri"/>
      <family val="2"/>
      <scheme val="minor"/>
    </font>
    <font>
      <sz val="11"/>
      <color indexed="10"/>
      <name val="Calibri"/>
      <family val="2"/>
      <scheme val="minor"/>
    </font>
    <font>
      <sz val="12"/>
      <name val="Times New Roman"/>
      <family val="1"/>
    </font>
    <font>
      <sz val="11"/>
      <color indexed="9"/>
      <name val="Calibri"/>
      <family val="2"/>
      <scheme val="minor"/>
    </font>
  </fonts>
  <fills count="7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1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3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5">
      <alignment horizontal="center"/>
    </xf>
    <xf numFmtId="3" fontId="30" fillId="0" borderId="0" applyFont="0" applyFill="0" applyBorder="0" applyAlignment="0" applyProtection="0"/>
    <xf numFmtId="0" fontId="30" fillId="7" borderId="0" applyNumberFormat="0" applyFont="0" applyBorder="0" applyAlignment="0" applyProtection="0"/>
    <xf numFmtId="0" fontId="12" fillId="0" borderId="0"/>
    <xf numFmtId="182" fontId="34" fillId="0" borderId="0" applyFont="0" applyFill="0" applyBorder="0" applyAlignment="0" applyProtection="0"/>
    <xf numFmtId="182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62" fillId="0" borderId="0" applyNumberFormat="0" applyFill="0" applyBorder="0" applyAlignment="0" applyProtection="0"/>
    <xf numFmtId="38" fontId="34" fillId="10" borderId="0" applyNumberFormat="0" applyFont="0" applyAlignment="0" applyProtection="0"/>
    <xf numFmtId="38" fontId="34" fillId="10" borderId="0" applyNumberFormat="0" applyFont="0" applyAlignment="0" applyProtection="0"/>
    <xf numFmtId="177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84" fontId="34" fillId="0" borderId="0" applyFont="0" applyFill="0" applyBorder="0" applyProtection="0">
      <alignment horizontal="right"/>
    </xf>
    <xf numFmtId="184" fontId="34" fillId="0" borderId="0" applyFont="0" applyFill="0" applyBorder="0" applyProtection="0">
      <alignment horizontal="right"/>
    </xf>
    <xf numFmtId="0" fontId="63" fillId="0" borderId="0" applyNumberFormat="0" applyFill="0" applyBorder="0" applyProtection="0">
      <alignment vertical="top"/>
    </xf>
    <xf numFmtId="38" fontId="59" fillId="0" borderId="16" applyNumberFormat="0" applyFill="0" applyAlignment="0" applyProtection="0"/>
    <xf numFmtId="38" fontId="64" fillId="0" borderId="17" applyNumberFormat="0" applyFill="0" applyProtection="0">
      <alignment horizontal="center"/>
    </xf>
    <xf numFmtId="38" fontId="64" fillId="0" borderId="0" applyNumberFormat="0" applyFill="0" applyBorder="0" applyProtection="0">
      <alignment horizontal="left"/>
    </xf>
    <xf numFmtId="38" fontId="65" fillId="0" borderId="0" applyNumberFormat="0" applyFill="0" applyBorder="0" applyProtection="0">
      <alignment horizontal="centerContinuous"/>
    </xf>
    <xf numFmtId="0" fontId="36" fillId="11" borderId="0" applyNumberFormat="0" applyBorder="0" applyAlignment="0" applyProtection="0"/>
    <xf numFmtId="0" fontId="56" fillId="11" borderId="0" applyNumberFormat="0" applyBorder="0" applyAlignment="0" applyProtection="0"/>
    <xf numFmtId="0" fontId="66" fillId="11" borderId="0" applyNumberFormat="0" applyBorder="0" applyAlignment="0" applyProtection="0"/>
    <xf numFmtId="0" fontId="66" fillId="11" borderId="0" applyNumberFormat="0" applyBorder="0" applyAlignment="0" applyProtection="0"/>
    <xf numFmtId="0" fontId="36" fillId="12" borderId="0" applyNumberFormat="0" applyBorder="0" applyAlignment="0" applyProtection="0"/>
    <xf numFmtId="0" fontId="56" fillId="12" borderId="0" applyNumberFormat="0" applyBorder="0" applyAlignment="0" applyProtection="0"/>
    <xf numFmtId="0" fontId="66" fillId="12" borderId="0" applyNumberFormat="0" applyBorder="0" applyAlignment="0" applyProtection="0"/>
    <xf numFmtId="0" fontId="66" fillId="12" borderId="0" applyNumberFormat="0" applyBorder="0" applyAlignment="0" applyProtection="0"/>
    <xf numFmtId="0" fontId="36" fillId="13" borderId="0" applyNumberFormat="0" applyBorder="0" applyAlignment="0" applyProtection="0"/>
    <xf numFmtId="0" fontId="5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36" fillId="14" borderId="0" applyNumberFormat="0" applyBorder="0" applyAlignment="0" applyProtection="0"/>
    <xf numFmtId="0" fontId="56" fillId="14" borderId="0" applyNumberFormat="0" applyBorder="0" applyAlignment="0" applyProtection="0"/>
    <xf numFmtId="0" fontId="66" fillId="14" borderId="0" applyNumberFormat="0" applyBorder="0" applyAlignment="0" applyProtection="0"/>
    <xf numFmtId="0" fontId="66" fillId="14" borderId="0" applyNumberFormat="0" applyBorder="0" applyAlignment="0" applyProtection="0"/>
    <xf numFmtId="0" fontId="36" fillId="15" borderId="0" applyNumberFormat="0" applyBorder="0" applyAlignment="0" applyProtection="0"/>
    <xf numFmtId="0" fontId="56" fillId="15" borderId="0" applyNumberFormat="0" applyBorder="0" applyAlignment="0" applyProtection="0"/>
    <xf numFmtId="0" fontId="66" fillId="15" borderId="0" applyNumberFormat="0" applyBorder="0" applyAlignment="0" applyProtection="0"/>
    <xf numFmtId="0" fontId="66" fillId="15" borderId="0" applyNumberFormat="0" applyBorder="0" applyAlignment="0" applyProtection="0"/>
    <xf numFmtId="0" fontId="36" fillId="16" borderId="0" applyNumberFormat="0" applyBorder="0" applyAlignment="0" applyProtection="0"/>
    <xf numFmtId="0" fontId="56" fillId="16" borderId="0" applyNumberFormat="0" applyBorder="0" applyAlignment="0" applyProtection="0"/>
    <xf numFmtId="0" fontId="66" fillId="16" borderId="0" applyNumberFormat="0" applyBorder="0" applyAlignment="0" applyProtection="0"/>
    <xf numFmtId="0" fontId="66" fillId="16" borderId="0" applyNumberFormat="0" applyBorder="0" applyAlignment="0" applyProtection="0"/>
    <xf numFmtId="0" fontId="36" fillId="17" borderId="0" applyNumberFormat="0" applyBorder="0" applyAlignment="0" applyProtection="0"/>
    <xf numFmtId="0" fontId="5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36" fillId="18" borderId="0" applyNumberFormat="0" applyBorder="0" applyAlignment="0" applyProtection="0"/>
    <xf numFmtId="0" fontId="56" fillId="18" borderId="0" applyNumberFormat="0" applyBorder="0" applyAlignment="0" applyProtection="0"/>
    <xf numFmtId="0" fontId="66" fillId="18" borderId="0" applyNumberFormat="0" applyBorder="0" applyAlignment="0" applyProtection="0"/>
    <xf numFmtId="0" fontId="66" fillId="18" borderId="0" applyNumberFormat="0" applyBorder="0" applyAlignment="0" applyProtection="0"/>
    <xf numFmtId="0" fontId="36" fillId="19" borderId="0" applyNumberFormat="0" applyBorder="0" applyAlignment="0" applyProtection="0"/>
    <xf numFmtId="0" fontId="56" fillId="19" borderId="0" applyNumberFormat="0" applyBorder="0" applyAlignment="0" applyProtection="0"/>
    <xf numFmtId="0" fontId="66" fillId="19" borderId="0" applyNumberFormat="0" applyBorder="0" applyAlignment="0" applyProtection="0"/>
    <xf numFmtId="0" fontId="66" fillId="19" borderId="0" applyNumberFormat="0" applyBorder="0" applyAlignment="0" applyProtection="0"/>
    <xf numFmtId="0" fontId="36" fillId="14" borderId="0" applyNumberFormat="0" applyBorder="0" applyAlignment="0" applyProtection="0"/>
    <xf numFmtId="0" fontId="56" fillId="14" borderId="0" applyNumberFormat="0" applyBorder="0" applyAlignment="0" applyProtection="0"/>
    <xf numFmtId="0" fontId="66" fillId="14" borderId="0" applyNumberFormat="0" applyBorder="0" applyAlignment="0" applyProtection="0"/>
    <xf numFmtId="0" fontId="66" fillId="14" borderId="0" applyNumberFormat="0" applyBorder="0" applyAlignment="0" applyProtection="0"/>
    <xf numFmtId="0" fontId="36" fillId="17" borderId="0" applyNumberFormat="0" applyBorder="0" applyAlignment="0" applyProtection="0"/>
    <xf numFmtId="0" fontId="5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36" fillId="20" borderId="0" applyNumberFormat="0" applyBorder="0" applyAlignment="0" applyProtection="0"/>
    <xf numFmtId="0" fontId="56" fillId="20" borderId="0" applyNumberFormat="0" applyBorder="0" applyAlignment="0" applyProtection="0"/>
    <xf numFmtId="0" fontId="66" fillId="20" borderId="0" applyNumberFormat="0" applyBorder="0" applyAlignment="0" applyProtection="0"/>
    <xf numFmtId="0" fontId="66" fillId="20" borderId="0" applyNumberFormat="0" applyBorder="0" applyAlignment="0" applyProtection="0"/>
    <xf numFmtId="0" fontId="37" fillId="21" borderId="0" applyNumberFormat="0" applyBorder="0" applyAlignment="0" applyProtection="0"/>
    <xf numFmtId="0" fontId="33" fillId="21" borderId="0" applyNumberFormat="0" applyBorder="0" applyAlignment="0" applyProtection="0"/>
    <xf numFmtId="0" fontId="67" fillId="21" borderId="0" applyNumberFormat="0" applyBorder="0" applyAlignment="0" applyProtection="0"/>
    <xf numFmtId="0" fontId="67" fillId="21" borderId="0" applyNumberFormat="0" applyBorder="0" applyAlignment="0" applyProtection="0"/>
    <xf numFmtId="0" fontId="37" fillId="18" borderId="0" applyNumberFormat="0" applyBorder="0" applyAlignment="0" applyProtection="0"/>
    <xf numFmtId="0" fontId="33" fillId="18" borderId="0" applyNumberFormat="0" applyBorder="0" applyAlignment="0" applyProtection="0"/>
    <xf numFmtId="0" fontId="67" fillId="18" borderId="0" applyNumberFormat="0" applyBorder="0" applyAlignment="0" applyProtection="0"/>
    <xf numFmtId="0" fontId="67" fillId="18" borderId="0" applyNumberFormat="0" applyBorder="0" applyAlignment="0" applyProtection="0"/>
    <xf numFmtId="0" fontId="37" fillId="19" borderId="0" applyNumberFormat="0" applyBorder="0" applyAlignment="0" applyProtection="0"/>
    <xf numFmtId="0" fontId="33" fillId="19" borderId="0" applyNumberFormat="0" applyBorder="0" applyAlignment="0" applyProtection="0"/>
    <xf numFmtId="0" fontId="67" fillId="19" borderId="0" applyNumberFormat="0" applyBorder="0" applyAlignment="0" applyProtection="0"/>
    <xf numFmtId="0" fontId="67" fillId="19" borderId="0" applyNumberFormat="0" applyBorder="0" applyAlignment="0" applyProtection="0"/>
    <xf numFmtId="0" fontId="37" fillId="22" borderId="0" applyNumberFormat="0" applyBorder="0" applyAlignment="0" applyProtection="0"/>
    <xf numFmtId="0" fontId="33" fillId="22" borderId="0" applyNumberFormat="0" applyBorder="0" applyAlignment="0" applyProtection="0"/>
    <xf numFmtId="0" fontId="67" fillId="22" borderId="0" applyNumberFormat="0" applyBorder="0" applyAlignment="0" applyProtection="0"/>
    <xf numFmtId="0" fontId="67" fillId="22" borderId="0" applyNumberFormat="0" applyBorder="0" applyAlignment="0" applyProtection="0"/>
    <xf numFmtId="0" fontId="37" fillId="23" borderId="0" applyNumberFormat="0" applyBorder="0" applyAlignment="0" applyProtection="0"/>
    <xf numFmtId="0" fontId="33" fillId="23" borderId="0" applyNumberFormat="0" applyBorder="0" applyAlignment="0" applyProtection="0"/>
    <xf numFmtId="0" fontId="67" fillId="23" borderId="0" applyNumberFormat="0" applyBorder="0" applyAlignment="0" applyProtection="0"/>
    <xf numFmtId="0" fontId="67" fillId="23" borderId="0" applyNumberFormat="0" applyBorder="0" applyAlignment="0" applyProtection="0"/>
    <xf numFmtId="0" fontId="37" fillId="24" borderId="0" applyNumberFormat="0" applyBorder="0" applyAlignment="0" applyProtection="0"/>
    <xf numFmtId="0" fontId="33" fillId="24" borderId="0" applyNumberFormat="0" applyBorder="0" applyAlignment="0" applyProtection="0"/>
    <xf numFmtId="0" fontId="67" fillId="24" borderId="0" applyNumberFormat="0" applyBorder="0" applyAlignment="0" applyProtection="0"/>
    <xf numFmtId="0" fontId="67" fillId="24" borderId="0" applyNumberFormat="0" applyBorder="0" applyAlignment="0" applyProtection="0"/>
    <xf numFmtId="0" fontId="37" fillId="25" borderId="0" applyNumberFormat="0" applyBorder="0" applyAlignment="0" applyProtection="0"/>
    <xf numFmtId="0" fontId="33" fillId="25" borderId="0" applyNumberFormat="0" applyBorder="0" applyAlignment="0" applyProtection="0"/>
    <xf numFmtId="0" fontId="67" fillId="25" borderId="0" applyNumberFormat="0" applyBorder="0" applyAlignment="0" applyProtection="0"/>
    <xf numFmtId="0" fontId="67" fillId="25" borderId="0" applyNumberFormat="0" applyBorder="0" applyAlignment="0" applyProtection="0"/>
    <xf numFmtId="0" fontId="37" fillId="26" borderId="0" applyNumberFormat="0" applyBorder="0" applyAlignment="0" applyProtection="0"/>
    <xf numFmtId="0" fontId="33" fillId="26" borderId="0" applyNumberFormat="0" applyBorder="0" applyAlignment="0" applyProtection="0"/>
    <xf numFmtId="0" fontId="67" fillId="26" borderId="0" applyNumberFormat="0" applyBorder="0" applyAlignment="0" applyProtection="0"/>
    <xf numFmtId="0" fontId="67" fillId="26" borderId="0" applyNumberFormat="0" applyBorder="0" applyAlignment="0" applyProtection="0"/>
    <xf numFmtId="0" fontId="37" fillId="27" borderId="0" applyNumberFormat="0" applyBorder="0" applyAlignment="0" applyProtection="0"/>
    <xf numFmtId="0" fontId="33" fillId="27" borderId="0" applyNumberFormat="0" applyBorder="0" applyAlignment="0" applyProtection="0"/>
    <xf numFmtId="0" fontId="67" fillId="27" borderId="0" applyNumberFormat="0" applyBorder="0" applyAlignment="0" applyProtection="0"/>
    <xf numFmtId="0" fontId="67" fillId="27" borderId="0" applyNumberFormat="0" applyBorder="0" applyAlignment="0" applyProtection="0"/>
    <xf numFmtId="0" fontId="37" fillId="22" borderId="0" applyNumberFormat="0" applyBorder="0" applyAlignment="0" applyProtection="0"/>
    <xf numFmtId="0" fontId="33" fillId="22" borderId="0" applyNumberFormat="0" applyBorder="0" applyAlignment="0" applyProtection="0"/>
    <xf numFmtId="0" fontId="67" fillId="22" borderId="0" applyNumberFormat="0" applyBorder="0" applyAlignment="0" applyProtection="0"/>
    <xf numFmtId="0" fontId="67" fillId="22" borderId="0" applyNumberFormat="0" applyBorder="0" applyAlignment="0" applyProtection="0"/>
    <xf numFmtId="0" fontId="37" fillId="23" borderId="0" applyNumberFormat="0" applyBorder="0" applyAlignment="0" applyProtection="0"/>
    <xf numFmtId="0" fontId="33" fillId="23" borderId="0" applyNumberFormat="0" applyBorder="0" applyAlignment="0" applyProtection="0"/>
    <xf numFmtId="0" fontId="67" fillId="23" borderId="0" applyNumberFormat="0" applyBorder="0" applyAlignment="0" applyProtection="0"/>
    <xf numFmtId="0" fontId="67" fillId="23" borderId="0" applyNumberFormat="0" applyBorder="0" applyAlignment="0" applyProtection="0"/>
    <xf numFmtId="0" fontId="37" fillId="28" borderId="0" applyNumberFormat="0" applyBorder="0" applyAlignment="0" applyProtection="0"/>
    <xf numFmtId="0" fontId="33" fillId="28" borderId="0" applyNumberFormat="0" applyBorder="0" applyAlignment="0" applyProtection="0"/>
    <xf numFmtId="0" fontId="67" fillId="28" borderId="0" applyNumberFormat="0" applyBorder="0" applyAlignment="0" applyProtection="0"/>
    <xf numFmtId="0" fontId="67" fillId="28" borderId="0" applyNumberFormat="0" applyBorder="0" applyAlignment="0" applyProtection="0"/>
    <xf numFmtId="0" fontId="57" fillId="0" borderId="0" applyNumberFormat="0" applyFill="0" applyBorder="0" applyAlignment="0">
      <protection locked="0"/>
    </xf>
    <xf numFmtId="0" fontId="38" fillId="12" borderId="0" applyNumberFormat="0" applyBorder="0" applyAlignment="0" applyProtection="0"/>
    <xf numFmtId="0" fontId="69" fillId="12" borderId="0" applyNumberFormat="0" applyBorder="0" applyAlignment="0" applyProtection="0"/>
    <xf numFmtId="0" fontId="68" fillId="12" borderId="0" applyNumberFormat="0" applyBorder="0" applyAlignment="0" applyProtection="0"/>
    <xf numFmtId="0" fontId="68" fillId="12" borderId="0" applyNumberFormat="0" applyBorder="0" applyAlignment="0" applyProtection="0"/>
    <xf numFmtId="0" fontId="39" fillId="29" borderId="18" applyNumberFormat="0" applyAlignment="0" applyProtection="0"/>
    <xf numFmtId="0" fontId="71" fillId="29" borderId="18" applyNumberFormat="0" applyAlignment="0" applyProtection="0"/>
    <xf numFmtId="0" fontId="70" fillId="29" borderId="18" applyNumberFormat="0" applyAlignment="0" applyProtection="0"/>
    <xf numFmtId="0" fontId="70" fillId="29" borderId="18" applyNumberFormat="0" applyAlignment="0" applyProtection="0"/>
    <xf numFmtId="0" fontId="40" fillId="30" borderId="19" applyNumberFormat="0" applyAlignment="0" applyProtection="0"/>
    <xf numFmtId="0" fontId="60" fillId="30" borderId="19" applyNumberFormat="0" applyAlignment="0" applyProtection="0"/>
    <xf numFmtId="0" fontId="72" fillId="30" borderId="19" applyNumberFormat="0" applyAlignment="0" applyProtection="0"/>
    <xf numFmtId="0" fontId="72" fillId="30" borderId="19" applyNumberFormat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6" fontId="18" fillId="0" borderId="0" applyFont="0" applyFill="0" applyBorder="0" applyAlignment="0" applyProtection="0"/>
    <xf numFmtId="43" fontId="12" fillId="0" borderId="0" applyFont="0" applyFill="0" applyBorder="0" applyAlignment="0" applyProtection="0"/>
    <xf numFmtId="176" fontId="18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6" fontId="18" fillId="0" borderId="0" applyFont="0" applyFill="0" applyBorder="0" applyAlignment="0" applyProtection="0"/>
    <xf numFmtId="176" fontId="18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3" fillId="0" borderId="0" applyFont="0" applyFill="0" applyBorder="0" applyAlignment="0" applyProtection="0">
      <alignment horizontal="right"/>
    </xf>
    <xf numFmtId="44" fontId="1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14" fontId="34" fillId="0" borderId="0" applyFont="0" applyFill="0" applyBorder="0" applyAlignment="0" applyProtection="0"/>
    <xf numFmtId="14" fontId="3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20" applyNumberFormat="0" applyFont="0" applyFill="0" applyAlignment="0" applyProtection="0"/>
    <xf numFmtId="0" fontId="41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5" fillId="0" borderId="0" applyFill="0" applyBorder="0" applyProtection="0">
      <alignment horizontal="left"/>
    </xf>
    <xf numFmtId="0" fontId="42" fillId="13" borderId="0" applyNumberFormat="0" applyBorder="0" applyAlignment="0" applyProtection="0"/>
    <xf numFmtId="0" fontId="58" fillId="13" borderId="0" applyNumberFormat="0" applyBorder="0" applyAlignment="0" applyProtection="0"/>
    <xf numFmtId="0" fontId="76" fillId="13" borderId="0" applyNumberFormat="0" applyBorder="0" applyAlignment="0" applyProtection="0"/>
    <xf numFmtId="0" fontId="76" fillId="13" borderId="0" applyNumberFormat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7" fillId="0" borderId="0" applyProtection="0">
      <alignment horizontal="right"/>
    </xf>
    <xf numFmtId="0" fontId="43" fillId="0" borderId="21" applyNumberFormat="0" applyFill="0" applyAlignment="0" applyProtection="0"/>
    <xf numFmtId="0" fontId="43" fillId="0" borderId="21" applyNumberFormat="0" applyFill="0" applyAlignment="0" applyProtection="0"/>
    <xf numFmtId="0" fontId="78" fillId="0" borderId="21" applyNumberFormat="0" applyFill="0" applyAlignment="0" applyProtection="0"/>
    <xf numFmtId="0" fontId="78" fillId="0" borderId="21" applyNumberFormat="0" applyFill="0" applyAlignment="0" applyProtection="0"/>
    <xf numFmtId="0" fontId="44" fillId="0" borderId="22" applyNumberFormat="0" applyFill="0" applyAlignment="0" applyProtection="0"/>
    <xf numFmtId="0" fontId="44" fillId="0" borderId="22" applyNumberFormat="0" applyFill="0" applyAlignment="0" applyProtection="0"/>
    <xf numFmtId="0" fontId="79" fillId="0" borderId="22" applyNumberFormat="0" applyFill="0" applyAlignment="0" applyProtection="0"/>
    <xf numFmtId="0" fontId="79" fillId="0" borderId="22" applyNumberFormat="0" applyFill="0" applyAlignment="0" applyProtection="0"/>
    <xf numFmtId="0" fontId="45" fillId="0" borderId="23" applyNumberFormat="0" applyFill="0" applyAlignment="0" applyProtection="0"/>
    <xf numFmtId="0" fontId="45" fillId="0" borderId="23" applyNumberFormat="0" applyFill="0" applyAlignment="0" applyProtection="0"/>
    <xf numFmtId="0" fontId="80" fillId="0" borderId="23" applyNumberFormat="0" applyFill="0" applyAlignment="0" applyProtection="0"/>
    <xf numFmtId="0" fontId="80" fillId="0" borderId="23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16" borderId="18" applyNumberFormat="0" applyAlignment="0" applyProtection="0"/>
    <xf numFmtId="0" fontId="82" fillId="16" borderId="18" applyNumberFormat="0" applyAlignment="0" applyProtection="0"/>
    <xf numFmtId="0" fontId="81" fillId="16" borderId="18" applyNumberFormat="0" applyAlignment="0" applyProtection="0"/>
    <xf numFmtId="0" fontId="81" fillId="16" borderId="18" applyNumberFormat="0" applyAlignment="0" applyProtection="0"/>
    <xf numFmtId="0" fontId="48" fillId="0" borderId="24" applyNumberFormat="0" applyFill="0" applyAlignment="0" applyProtection="0"/>
    <xf numFmtId="0" fontId="84" fillId="0" borderId="24" applyNumberFormat="0" applyFill="0" applyAlignment="0" applyProtection="0"/>
    <xf numFmtId="0" fontId="83" fillId="0" borderId="24" applyNumberFormat="0" applyFill="0" applyAlignment="0" applyProtection="0"/>
    <xf numFmtId="0" fontId="83" fillId="0" borderId="24" applyNumberFormat="0" applyFill="0" applyAlignment="0" applyProtection="0"/>
    <xf numFmtId="0" fontId="73" fillId="0" borderId="0" applyFont="0" applyFill="0" applyBorder="0" applyAlignment="0" applyProtection="0">
      <alignment horizontal="right"/>
    </xf>
    <xf numFmtId="0" fontId="49" fillId="10" borderId="0" applyNumberFormat="0" applyBorder="0" applyAlignment="0" applyProtection="0"/>
    <xf numFmtId="0" fontId="86" fillId="10" borderId="0" applyNumberFormat="0" applyBorder="0" applyAlignment="0" applyProtection="0"/>
    <xf numFmtId="0" fontId="85" fillId="10" borderId="0" applyNumberFormat="0" applyBorder="0" applyAlignment="0" applyProtection="0"/>
    <xf numFmtId="0" fontId="85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50" fillId="29" borderId="26" applyNumberFormat="0" applyAlignment="0" applyProtection="0"/>
    <xf numFmtId="0" fontId="88" fillId="29" borderId="26" applyNumberFormat="0" applyAlignment="0" applyProtection="0"/>
    <xf numFmtId="0" fontId="87" fillId="29" borderId="26" applyNumberFormat="0" applyAlignment="0" applyProtection="0"/>
    <xf numFmtId="0" fontId="87" fillId="29" borderId="26" applyNumberFormat="0" applyAlignment="0" applyProtection="0"/>
    <xf numFmtId="1" fontId="89" fillId="0" borderId="0" applyProtection="0">
      <alignment horizontal="right" vertical="center"/>
    </xf>
    <xf numFmtId="9" fontId="12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0" fontId="90" fillId="0" borderId="0" applyNumberFormat="0" applyFill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2" fillId="0" borderId="0" applyBorder="0" applyProtection="0">
      <alignment vertical="center"/>
    </xf>
    <xf numFmtId="0" fontId="92" fillId="0" borderId="1" applyBorder="0" applyProtection="0">
      <alignment horizontal="right" vertical="center"/>
    </xf>
    <xf numFmtId="0" fontId="93" fillId="32" borderId="0" applyBorder="0" applyProtection="0">
      <alignment horizontal="centerContinuous" vertical="center"/>
    </xf>
    <xf numFmtId="0" fontId="93" fillId="9" borderId="1" applyBorder="0" applyProtection="0">
      <alignment horizontal="centerContinuous" vertical="center"/>
    </xf>
    <xf numFmtId="0" fontId="94" fillId="0" borderId="0" applyBorder="0" applyProtection="0">
      <alignment horizontal="left"/>
    </xf>
    <xf numFmtId="0" fontId="94" fillId="0" borderId="0" applyBorder="0" applyProtection="0">
      <alignment horizontal="left"/>
    </xf>
    <xf numFmtId="0" fontId="61" fillId="0" borderId="0" applyFill="0" applyBorder="0" applyProtection="0">
      <alignment horizontal="left"/>
    </xf>
    <xf numFmtId="0" fontId="34" fillId="0" borderId="10" applyFill="0" applyBorder="0" applyProtection="0">
      <alignment horizontal="left" vertical="top"/>
    </xf>
    <xf numFmtId="0" fontId="34" fillId="0" borderId="10" applyFill="0" applyBorder="0" applyProtection="0">
      <alignment horizontal="left" vertical="top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27" applyNumberFormat="0" applyFill="0" applyAlignment="0" applyProtection="0"/>
    <xf numFmtId="0" fontId="55" fillId="0" borderId="27" applyNumberFormat="0" applyFill="0" applyAlignment="0" applyProtection="0"/>
    <xf numFmtId="0" fontId="95" fillId="0" borderId="27" applyNumberFormat="0" applyFill="0" applyAlignment="0" applyProtection="0"/>
    <xf numFmtId="0" fontId="95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25" fillId="0" borderId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25" fillId="0" borderId="0"/>
    <xf numFmtId="43" fontId="12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5">
      <alignment horizontal="center"/>
    </xf>
    <xf numFmtId="3" fontId="30" fillId="0" borderId="0" applyFont="0" applyFill="0" applyBorder="0" applyAlignment="0" applyProtection="0"/>
    <xf numFmtId="0" fontId="30" fillId="7" borderId="0" applyNumberFormat="0" applyFont="0" applyBorder="0" applyAlignment="0" applyProtection="0"/>
    <xf numFmtId="0" fontId="36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9" borderId="0" applyNumberFormat="0" applyBorder="0" applyAlignment="0" applyProtection="0"/>
    <xf numFmtId="0" fontId="36" fillId="14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18" borderId="0" applyNumberFormat="0" applyBorder="0" applyAlignment="0" applyProtection="0"/>
    <xf numFmtId="0" fontId="37" fillId="19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37" fillId="27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37" fillId="28" borderId="0" applyNumberFormat="0" applyBorder="0" applyAlignment="0" applyProtection="0"/>
    <xf numFmtId="186" fontId="16" fillId="33" borderId="28">
      <alignment horizontal="center" vertical="center"/>
    </xf>
    <xf numFmtId="0" fontId="38" fillId="12" borderId="0" applyNumberFormat="0" applyBorder="0" applyAlignment="0" applyProtection="0"/>
    <xf numFmtId="0" fontId="39" fillId="29" borderId="18" applyNumberFormat="0" applyAlignment="0" applyProtection="0"/>
    <xf numFmtId="0" fontId="40" fillId="30" borderId="19" applyNumberFormat="0" applyAlignment="0" applyProtection="0"/>
    <xf numFmtId="43" fontId="12" fillId="0" borderId="0" applyFont="0" applyFill="0" applyBorder="0" applyAlignment="0" applyProtection="0"/>
    <xf numFmtId="0" fontId="97" fillId="0" borderId="0"/>
    <xf numFmtId="44" fontId="12" fillId="0" borderId="0" applyFont="0" applyFill="0" applyBorder="0" applyAlignment="0" applyProtection="0"/>
    <xf numFmtId="6" fontId="98" fillId="0" borderId="0">
      <protection locked="0"/>
    </xf>
    <xf numFmtId="187" fontId="16" fillId="0" borderId="0" applyFont="0" applyFill="0" applyBorder="0" applyAlignment="0" applyProtection="0"/>
    <xf numFmtId="0" fontId="41" fillId="0" borderId="0" applyNumberFormat="0" applyFill="0" applyBorder="0" applyAlignment="0" applyProtection="0"/>
    <xf numFmtId="188" fontId="12" fillId="0" borderId="0">
      <protection locked="0"/>
    </xf>
    <xf numFmtId="188" fontId="12" fillId="0" borderId="0">
      <protection locked="0"/>
    </xf>
    <xf numFmtId="0" fontId="99" fillId="0" borderId="0"/>
    <xf numFmtId="0" fontId="42" fillId="13" borderId="0" applyNumberFormat="0" applyBorder="0" applyAlignment="0" applyProtection="0"/>
    <xf numFmtId="38" fontId="34" fillId="3" borderId="0" applyNumberFormat="0" applyBorder="0" applyAlignment="0" applyProtection="0"/>
    <xf numFmtId="0" fontId="100" fillId="0" borderId="0" applyNumberFormat="0" applyFill="0" applyBorder="0" applyAlignment="0" applyProtection="0"/>
    <xf numFmtId="189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0" fontId="57" fillId="0" borderId="29" applyNumberFormat="0" applyFill="0" applyAlignment="0" applyProtection="0"/>
    <xf numFmtId="10" fontId="34" fillId="34" borderId="11" applyNumberFormat="0" applyBorder="0" applyAlignment="0" applyProtection="0"/>
    <xf numFmtId="0" fontId="47" fillId="16" borderId="18" applyNumberFormat="0" applyAlignment="0" applyProtection="0"/>
    <xf numFmtId="0" fontId="48" fillId="0" borderId="24" applyNumberFormat="0" applyFill="0" applyAlignment="0" applyProtection="0"/>
    <xf numFmtId="0" fontId="49" fillId="10" borderId="0" applyNumberFormat="0" applyBorder="0" applyAlignment="0" applyProtection="0"/>
    <xf numFmtId="37" fontId="101" fillId="0" borderId="0"/>
    <xf numFmtId="190" fontId="16" fillId="0" borderId="0"/>
    <xf numFmtId="0" fontId="1" fillId="0" borderId="0"/>
    <xf numFmtId="0" fontId="1" fillId="0" borderId="0"/>
    <xf numFmtId="0" fontId="50" fillId="29" borderId="26" applyNumberFormat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 applyNumberFormat="0" applyFill="0" applyBorder="0" applyProtection="0">
      <alignment horizontal="right" wrapText="1"/>
    </xf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191" fontId="12" fillId="0" borderId="0" applyFill="0" applyBorder="0" applyAlignment="0" applyProtection="0">
      <alignment wrapText="1"/>
    </xf>
    <xf numFmtId="0" fontId="52" fillId="0" borderId="27" applyNumberFormat="0" applyFill="0" applyAlignment="0" applyProtection="0"/>
    <xf numFmtId="37" fontId="34" fillId="8" borderId="0" applyNumberFormat="0" applyBorder="0" applyAlignment="0" applyProtection="0"/>
    <xf numFmtId="37" fontId="34" fillId="0" borderId="0"/>
    <xf numFmtId="37" fontId="34" fillId="8" borderId="0" applyNumberFormat="0" applyBorder="0" applyAlignment="0" applyProtection="0"/>
    <xf numFmtId="3" fontId="102" fillId="0" borderId="29" applyProtection="0"/>
    <xf numFmtId="0" fontId="103" fillId="0" borderId="0">
      <alignment horizontal="center"/>
    </xf>
    <xf numFmtId="0" fontId="53" fillId="0" borderId="0" applyNumberForma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25" fillId="0" borderId="0"/>
    <xf numFmtId="0" fontId="12" fillId="0" borderId="0"/>
    <xf numFmtId="0" fontId="56" fillId="11" borderId="0" applyNumberFormat="0" applyBorder="0" applyAlignment="0" applyProtection="0"/>
    <xf numFmtId="0" fontId="56" fillId="12" borderId="0" applyNumberFormat="0" applyBorder="0" applyAlignment="0" applyProtection="0"/>
    <xf numFmtId="0" fontId="56" fillId="13" borderId="0" applyNumberFormat="0" applyBorder="0" applyAlignment="0" applyProtection="0"/>
    <xf numFmtId="0" fontId="56" fillId="14" borderId="0" applyNumberFormat="0" applyBorder="0" applyAlignment="0" applyProtection="0"/>
    <xf numFmtId="0" fontId="56" fillId="15" borderId="0" applyNumberFormat="0" applyBorder="0" applyAlignment="0" applyProtection="0"/>
    <xf numFmtId="0" fontId="56" fillId="16" borderId="0" applyNumberFormat="0" applyBorder="0" applyAlignment="0" applyProtection="0"/>
    <xf numFmtId="0" fontId="56" fillId="17" borderId="0" applyNumberFormat="0" applyBorder="0" applyAlignment="0" applyProtection="0"/>
    <xf numFmtId="0" fontId="56" fillId="18" borderId="0" applyNumberFormat="0" applyBorder="0" applyAlignment="0" applyProtection="0"/>
    <xf numFmtId="0" fontId="56" fillId="19" borderId="0" applyNumberFormat="0" applyBorder="0" applyAlignment="0" applyProtection="0"/>
    <xf numFmtId="0" fontId="56" fillId="14" borderId="0" applyNumberFormat="0" applyBorder="0" applyAlignment="0" applyProtection="0"/>
    <xf numFmtId="0" fontId="56" fillId="17" borderId="0" applyNumberFormat="0" applyBorder="0" applyAlignment="0" applyProtection="0"/>
    <xf numFmtId="0" fontId="56" fillId="20" borderId="0" applyNumberFormat="0" applyBorder="0" applyAlignment="0" applyProtection="0"/>
    <xf numFmtId="0" fontId="33" fillId="21" borderId="0" applyNumberFormat="0" applyBorder="0" applyAlignment="0" applyProtection="0"/>
    <xf numFmtId="0" fontId="33" fillId="18" borderId="0" applyNumberFormat="0" applyBorder="0" applyAlignment="0" applyProtection="0"/>
    <xf numFmtId="0" fontId="33" fillId="19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33" fillId="24" borderId="0" applyNumberFormat="0" applyBorder="0" applyAlignment="0" applyProtection="0"/>
    <xf numFmtId="0" fontId="33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7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33" fillId="28" borderId="0" applyNumberFormat="0" applyBorder="0" applyAlignment="0" applyProtection="0"/>
    <xf numFmtId="0" fontId="69" fillId="12" borderId="0" applyNumberFormat="0" applyBorder="0" applyAlignment="0" applyProtection="0"/>
    <xf numFmtId="0" fontId="71" fillId="29" borderId="18" applyNumberFormat="0" applyAlignment="0" applyProtection="0"/>
    <xf numFmtId="0" fontId="60" fillId="30" borderId="19" applyNumberFormat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5" fillId="0" borderId="0" applyNumberFormat="0" applyFill="0" applyBorder="0" applyAlignment="0" applyProtection="0"/>
    <xf numFmtId="0" fontId="58" fillId="13" borderId="0" applyNumberFormat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82" fillId="16" borderId="18" applyNumberFormat="0" applyAlignment="0" applyProtection="0"/>
    <xf numFmtId="0" fontId="84" fillId="0" borderId="24" applyNumberFormat="0" applyFill="0" applyAlignment="0" applyProtection="0"/>
    <xf numFmtId="0" fontId="86" fillId="10" borderId="0" applyNumberFormat="0" applyBorder="0" applyAlignment="0" applyProtection="0"/>
    <xf numFmtId="0" fontId="12" fillId="31" borderId="25" applyNumberFormat="0" applyFont="0" applyAlignment="0" applyProtection="0"/>
    <xf numFmtId="0" fontId="88" fillId="29" borderId="26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55" fillId="0" borderId="27" applyNumberFormat="0" applyFill="0" applyAlignment="0" applyProtection="0"/>
    <xf numFmtId="0" fontId="54" fillId="0" borderId="0" applyNumberFormat="0" applyFill="0" applyBorder="0" applyAlignment="0" applyProtection="0"/>
    <xf numFmtId="0" fontId="12" fillId="0" borderId="0"/>
    <xf numFmtId="0" fontId="66" fillId="11" borderId="0" applyNumberFormat="0" applyBorder="0" applyAlignment="0" applyProtection="0"/>
    <xf numFmtId="0" fontId="66" fillId="12" borderId="0" applyNumberFormat="0" applyBorder="0" applyAlignment="0" applyProtection="0"/>
    <xf numFmtId="0" fontId="66" fillId="13" borderId="0" applyNumberFormat="0" applyBorder="0" applyAlignment="0" applyProtection="0"/>
    <xf numFmtId="0" fontId="66" fillId="14" borderId="0" applyNumberFormat="0" applyBorder="0" applyAlignment="0" applyProtection="0"/>
    <xf numFmtId="0" fontId="66" fillId="15" borderId="0" applyNumberFormat="0" applyBorder="0" applyAlignment="0" applyProtection="0"/>
    <xf numFmtId="0" fontId="66" fillId="16" borderId="0" applyNumberFormat="0" applyBorder="0" applyAlignment="0" applyProtection="0"/>
    <xf numFmtId="0" fontId="66" fillId="17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14" borderId="0" applyNumberFormat="0" applyBorder="0" applyAlignment="0" applyProtection="0"/>
    <xf numFmtId="0" fontId="66" fillId="17" borderId="0" applyNumberFormat="0" applyBorder="0" applyAlignment="0" applyProtection="0"/>
    <xf numFmtId="0" fontId="66" fillId="20" borderId="0" applyNumberFormat="0" applyBorder="0" applyAlignment="0" applyProtection="0"/>
    <xf numFmtId="0" fontId="67" fillId="21" borderId="0" applyNumberFormat="0" applyBorder="0" applyAlignment="0" applyProtection="0"/>
    <xf numFmtId="0" fontId="67" fillId="18" borderId="0" applyNumberFormat="0" applyBorder="0" applyAlignment="0" applyProtection="0"/>
    <xf numFmtId="0" fontId="67" fillId="19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4" borderId="0" applyNumberFormat="0" applyBorder="0" applyAlignment="0" applyProtection="0"/>
    <xf numFmtId="0" fontId="67" fillId="25" borderId="0" applyNumberFormat="0" applyBorder="0" applyAlignment="0" applyProtection="0"/>
    <xf numFmtId="0" fontId="67" fillId="26" borderId="0" applyNumberFormat="0" applyBorder="0" applyAlignment="0" applyProtection="0"/>
    <xf numFmtId="0" fontId="67" fillId="27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8" borderId="0" applyNumberFormat="0" applyBorder="0" applyAlignment="0" applyProtection="0"/>
    <xf numFmtId="186" fontId="16" fillId="33" borderId="28">
      <alignment horizontal="center" vertical="center"/>
    </xf>
    <xf numFmtId="0" fontId="57" fillId="0" borderId="0" applyNumberFormat="0" applyFill="0" applyBorder="0" applyAlignment="0">
      <protection locked="0"/>
    </xf>
    <xf numFmtId="0" fontId="68" fillId="12" borderId="0" applyNumberFormat="0" applyBorder="0" applyAlignment="0" applyProtection="0"/>
    <xf numFmtId="0" fontId="70" fillId="29" borderId="18" applyNumberFormat="0" applyAlignment="0" applyProtection="0"/>
    <xf numFmtId="0" fontId="70" fillId="29" borderId="18" applyNumberFormat="0" applyAlignment="0" applyProtection="0"/>
    <xf numFmtId="0" fontId="39" fillId="29" borderId="18" applyNumberFormat="0" applyAlignment="0" applyProtection="0"/>
    <xf numFmtId="0" fontId="70" fillId="29" borderId="18" applyNumberFormat="0" applyAlignment="0" applyProtection="0"/>
    <xf numFmtId="0" fontId="72" fillId="30" borderId="19" applyNumberFormat="0" applyAlignment="0" applyProtection="0"/>
    <xf numFmtId="43" fontId="12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04" fillId="0" borderId="0" applyFont="0" applyFill="0" applyBorder="0" applyAlignment="0" applyProtection="0"/>
    <xf numFmtId="43" fontId="6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4" fontId="34" fillId="0" borderId="0" applyFont="0" applyFill="0" applyBorder="0" applyAlignment="0" applyProtection="0"/>
    <xf numFmtId="0" fontId="74" fillId="0" borderId="0" applyNumberFormat="0" applyFill="0" applyBorder="0" applyAlignment="0" applyProtection="0"/>
    <xf numFmtId="0" fontId="105" fillId="0" borderId="0" applyProtection="0"/>
    <xf numFmtId="0" fontId="105" fillId="0" borderId="0" applyProtection="0"/>
    <xf numFmtId="0" fontId="105" fillId="0" borderId="0" applyProtection="0"/>
    <xf numFmtId="0" fontId="34" fillId="0" borderId="0" applyProtection="0"/>
    <xf numFmtId="0" fontId="34" fillId="0" borderId="0" applyProtection="0"/>
    <xf numFmtId="0" fontId="34" fillId="0" borderId="0" applyProtection="0"/>
    <xf numFmtId="0" fontId="34" fillId="0" borderId="0" applyProtection="0"/>
    <xf numFmtId="0" fontId="106" fillId="0" borderId="0" applyProtection="0"/>
    <xf numFmtId="0" fontId="106" fillId="0" borderId="0" applyProtection="0"/>
    <xf numFmtId="0" fontId="106" fillId="0" borderId="0" applyProtection="0"/>
    <xf numFmtId="0" fontId="25" fillId="0" borderId="0" applyProtection="0"/>
    <xf numFmtId="0" fontId="25" fillId="0" borderId="0" applyProtection="0"/>
    <xf numFmtId="0" fontId="25" fillId="0" borderId="0" applyProtection="0"/>
    <xf numFmtId="0" fontId="25" fillId="0" borderId="0" applyProtection="0"/>
    <xf numFmtId="0" fontId="107" fillId="0" borderId="0" applyProtection="0"/>
    <xf numFmtId="0" fontId="107" fillId="0" borderId="0" applyProtection="0"/>
    <xf numFmtId="0" fontId="107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08" fillId="0" borderId="0" applyProtection="0"/>
    <xf numFmtId="0" fontId="108" fillId="0" borderId="0" applyProtection="0"/>
    <xf numFmtId="0" fontId="108" fillId="0" borderId="0" applyProtection="0"/>
    <xf numFmtId="188" fontId="12" fillId="0" borderId="0">
      <protection locked="0"/>
    </xf>
    <xf numFmtId="0" fontId="76" fillId="13" borderId="0" applyNumberFormat="0" applyBorder="0" applyAlignment="0" applyProtection="0"/>
    <xf numFmtId="38" fontId="34" fillId="3" borderId="0" applyNumberFormat="0" applyBorder="0" applyAlignment="0" applyProtection="0"/>
    <xf numFmtId="0" fontId="77" fillId="0" borderId="0" applyProtection="0">
      <alignment horizontal="right"/>
    </xf>
    <xf numFmtId="0" fontId="78" fillId="0" borderId="21" applyNumberFormat="0" applyFill="0" applyAlignment="0" applyProtection="0"/>
    <xf numFmtId="0" fontId="79" fillId="0" borderId="22" applyNumberFormat="0" applyFill="0" applyAlignment="0" applyProtection="0"/>
    <xf numFmtId="0" fontId="80" fillId="0" borderId="23" applyNumberFormat="0" applyFill="0" applyAlignment="0" applyProtection="0"/>
    <xf numFmtId="0" fontId="80" fillId="0" borderId="0" applyNumberFormat="0" applyFill="0" applyBorder="0" applyAlignment="0" applyProtection="0"/>
    <xf numFmtId="189" fontId="12" fillId="0" borderId="0">
      <protection locked="0"/>
    </xf>
    <xf numFmtId="189" fontId="12" fillId="0" borderId="0">
      <protection locked="0"/>
    </xf>
    <xf numFmtId="0" fontId="57" fillId="0" borderId="29" applyNumberFormat="0" applyFill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74" fontId="46" fillId="0" borderId="0" applyNumberFormat="0" applyFill="0" applyBorder="0" applyAlignment="0" applyProtection="0">
      <alignment vertical="top"/>
      <protection locked="0"/>
    </xf>
    <xf numFmtId="10" fontId="34" fillId="34" borderId="11" applyNumberFormat="0" applyBorder="0" applyAlignment="0" applyProtection="0"/>
    <xf numFmtId="10" fontId="34" fillId="34" borderId="11" applyNumberFormat="0" applyBorder="0" applyAlignment="0" applyProtection="0"/>
    <xf numFmtId="10" fontId="34" fillId="34" borderId="11" applyNumberFormat="0" applyBorder="0" applyAlignment="0" applyProtection="0"/>
    <xf numFmtId="0" fontId="81" fillId="16" borderId="18" applyNumberFormat="0" applyAlignment="0" applyProtection="0"/>
    <xf numFmtId="0" fontId="81" fillId="16" borderId="18" applyNumberFormat="0" applyAlignment="0" applyProtection="0"/>
    <xf numFmtId="0" fontId="47" fillId="16" borderId="18" applyNumberFormat="0" applyAlignment="0" applyProtection="0"/>
    <xf numFmtId="0" fontId="81" fillId="16" borderId="18" applyNumberFormat="0" applyAlignment="0" applyProtection="0"/>
    <xf numFmtId="0" fontId="81" fillId="16" borderId="18" applyNumberFormat="0" applyAlignment="0" applyProtection="0"/>
    <xf numFmtId="0" fontId="83" fillId="0" borderId="24" applyNumberFormat="0" applyFill="0" applyAlignment="0" applyProtection="0"/>
    <xf numFmtId="0" fontId="85" fillId="10" borderId="0" applyNumberFormat="0" applyBorder="0" applyAlignment="0" applyProtection="0"/>
    <xf numFmtId="37" fontId="101" fillId="0" borderId="0"/>
    <xf numFmtId="37" fontId="101" fillId="0" borderId="0"/>
    <xf numFmtId="190" fontId="16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2" fillId="0" borderId="0"/>
    <xf numFmtId="0" fontId="16" fillId="0" borderId="0"/>
    <xf numFmtId="0" fontId="16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25" fillId="0" borderId="0"/>
    <xf numFmtId="0" fontId="25" fillId="0" borderId="0"/>
    <xf numFmtId="0" fontId="1" fillId="0" borderId="0"/>
    <xf numFmtId="174" fontId="25" fillId="0" borderId="0"/>
    <xf numFmtId="174" fontId="25" fillId="0" borderId="0"/>
    <xf numFmtId="0" fontId="104" fillId="0" borderId="0"/>
    <xf numFmtId="0" fontId="25" fillId="31" borderId="25" applyNumberFormat="0" applyFont="0" applyAlignment="0" applyProtection="0"/>
    <xf numFmtId="0" fontId="25" fillId="31" borderId="25" applyNumberFormat="0" applyFont="0" applyAlignment="0" applyProtection="0"/>
    <xf numFmtId="0" fontId="25" fillId="31" borderId="25" applyNumberFormat="0" applyFont="0" applyAlignment="0" applyProtection="0"/>
    <xf numFmtId="0" fontId="25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25" fillId="31" borderId="25" applyNumberFormat="0" applyFont="0" applyAlignment="0" applyProtection="0"/>
    <xf numFmtId="0" fontId="25" fillId="31" borderId="25" applyNumberFormat="0" applyFont="0" applyAlignment="0" applyProtection="0"/>
    <xf numFmtId="0" fontId="88" fillId="29" borderId="26" applyNumberFormat="0" applyAlignment="0" applyProtection="0"/>
    <xf numFmtId="0" fontId="87" fillId="29" borderId="26" applyNumberFormat="0" applyAlignment="0" applyProtection="0"/>
    <xf numFmtId="0" fontId="87" fillId="29" borderId="26" applyNumberFormat="0" applyAlignment="0" applyProtection="0"/>
    <xf numFmtId="0" fontId="87" fillId="29" borderId="26" applyNumberFormat="0" applyAlignment="0" applyProtection="0"/>
    <xf numFmtId="0" fontId="87" fillId="29" borderId="26" applyNumberFormat="0" applyAlignment="0" applyProtection="0"/>
    <xf numFmtId="0" fontId="87" fillId="29" borderId="26" applyNumberFormat="0" applyAlignment="0" applyProtection="0"/>
    <xf numFmtId="0" fontId="87" fillId="29" borderId="26" applyNumberFormat="0" applyAlignment="0" applyProtection="0"/>
    <xf numFmtId="0" fontId="50" fillId="29" borderId="26" applyNumberFormat="0" applyAlignment="0" applyProtection="0"/>
    <xf numFmtId="0" fontId="50" fillId="29" borderId="26" applyNumberFormat="0" applyAlignment="0" applyProtection="0"/>
    <xf numFmtId="0" fontId="50" fillId="29" borderId="26" applyNumberFormat="0" applyAlignment="0" applyProtection="0"/>
    <xf numFmtId="0" fontId="87" fillId="29" borderId="26" applyNumberFormat="0" applyAlignment="0" applyProtection="0"/>
    <xf numFmtId="0" fontId="87" fillId="29" borderId="26" applyNumberFormat="0" applyAlignment="0" applyProtection="0"/>
    <xf numFmtId="10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0" fontId="51" fillId="0" borderId="0" applyNumberFormat="0" applyFill="0" applyBorder="0" applyAlignment="0" applyProtection="0"/>
    <xf numFmtId="0" fontId="12" fillId="0" borderId="0"/>
    <xf numFmtId="0" fontId="95" fillId="0" borderId="27" applyNumberFormat="0" applyFill="0" applyAlignment="0" applyProtection="0"/>
    <xf numFmtId="0" fontId="95" fillId="0" borderId="27" applyNumberFormat="0" applyFill="0" applyAlignment="0" applyProtection="0"/>
    <xf numFmtId="0" fontId="52" fillId="0" borderId="27" applyNumberFormat="0" applyFill="0" applyAlignment="0" applyProtection="0"/>
    <xf numFmtId="0" fontId="95" fillId="0" borderId="27" applyNumberFormat="0" applyFill="0" applyAlignment="0" applyProtection="0"/>
    <xf numFmtId="37" fontId="34" fillId="8" borderId="0" applyNumberFormat="0" applyBorder="0" applyAlignment="0" applyProtection="0"/>
    <xf numFmtId="37" fontId="34" fillId="0" borderId="0"/>
    <xf numFmtId="37" fontId="34" fillId="0" borderId="0"/>
    <xf numFmtId="0" fontId="96" fillId="0" borderId="0" applyNumberFormat="0" applyFill="0" applyBorder="0" applyAlignment="0" applyProtection="0"/>
    <xf numFmtId="0" fontId="25" fillId="0" borderId="0"/>
    <xf numFmtId="44" fontId="25" fillId="0" borderId="0" applyFont="0" applyFill="0" applyBorder="0" applyAlignment="0" applyProtection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0" fontId="1" fillId="0" borderId="0"/>
    <xf numFmtId="0" fontId="12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31" borderId="25" applyNumberFormat="0" applyFont="0" applyAlignment="0" applyProtection="0"/>
    <xf numFmtId="9" fontId="1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25" fillId="0" borderId="0"/>
    <xf numFmtId="0" fontId="47" fillId="16" borderId="18" applyNumberFormat="0" applyAlignment="0" applyProtection="0"/>
    <xf numFmtId="0" fontId="25" fillId="0" borderId="0"/>
    <xf numFmtId="182" fontId="34" fillId="0" borderId="0" applyFont="0" applyFill="0" applyBorder="0" applyAlignment="0" applyProtection="0"/>
    <xf numFmtId="182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38" fontId="34" fillId="10" borderId="0" applyNumberFormat="0" applyFont="0" applyAlignment="0" applyProtection="0"/>
    <xf numFmtId="38" fontId="34" fillId="10" borderId="0" applyNumberFormat="0" applyFont="0" applyAlignment="0" applyProtection="0"/>
    <xf numFmtId="177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84" fontId="34" fillId="0" borderId="0" applyFont="0" applyFill="0" applyBorder="0" applyProtection="0">
      <alignment horizontal="right"/>
    </xf>
    <xf numFmtId="184" fontId="34" fillId="0" borderId="0" applyFont="0" applyFill="0" applyBorder="0" applyProtection="0">
      <alignment horizontal="right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4" fontId="34" fillId="0" borderId="0" applyFont="0" applyFill="0" applyBorder="0" applyAlignment="0" applyProtection="0"/>
    <xf numFmtId="6" fontId="98" fillId="0" borderId="0">
      <protection locked="0"/>
    </xf>
    <xf numFmtId="187" fontId="16" fillId="0" borderId="0" applyFont="0" applyFill="0" applyBorder="0" applyAlignment="0" applyProtection="0"/>
    <xf numFmtId="188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1" fillId="0" borderId="0"/>
    <xf numFmtId="0" fontId="12" fillId="31" borderId="25" applyNumberFormat="0" applyFont="0" applyAlignment="0" applyProtection="0"/>
    <xf numFmtId="10" fontId="12" fillId="0" borderId="0" applyFont="0" applyFill="0" applyBorder="0" applyAlignment="0" applyProtection="0"/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0" fontId="31" fillId="0" borderId="15">
      <alignment horizontal="center"/>
    </xf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0" fontId="30" fillId="7" borderId="0" applyNumberFormat="0" applyFont="0" applyBorder="0" applyAlignment="0" applyProtection="0"/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0" fontId="34" fillId="0" borderId="10" applyFill="0" applyBorder="0" applyProtection="0">
      <alignment horizontal="left" vertical="top"/>
    </xf>
    <xf numFmtId="0" fontId="34" fillId="0" borderId="10" applyFill="0" applyBorder="0" applyProtection="0">
      <alignment horizontal="left" vertical="top"/>
    </xf>
    <xf numFmtId="0" fontId="34" fillId="0" borderId="10" applyFill="0" applyBorder="0" applyProtection="0">
      <alignment horizontal="left" vertical="top"/>
    </xf>
    <xf numFmtId="0" fontId="53" fillId="0" borderId="0" applyNumberFormat="0" applyFill="0" applyBorder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25" fillId="0" borderId="0"/>
    <xf numFmtId="0" fontId="47" fillId="16" borderId="18" applyNumberFormat="0" applyAlignment="0" applyProtection="0"/>
    <xf numFmtId="0" fontId="25" fillId="0" borderId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25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12" fillId="0" borderId="0"/>
    <xf numFmtId="43" fontId="1" fillId="0" borderId="0" applyFont="0" applyFill="0" applyBorder="0" applyAlignment="0" applyProtection="0"/>
    <xf numFmtId="0" fontId="1" fillId="0" borderId="0"/>
    <xf numFmtId="9" fontId="12" fillId="0" borderId="0" applyFont="0" applyFill="0" applyBorder="0" applyAlignment="0" applyProtection="0"/>
    <xf numFmtId="0" fontId="12" fillId="0" borderId="0"/>
    <xf numFmtId="44" fontId="25" fillId="0" borderId="0" applyFont="0" applyFill="0" applyBorder="0" applyAlignment="0" applyProtection="0"/>
    <xf numFmtId="0" fontId="12" fillId="31" borderId="25" applyNumberFormat="0" applyFont="0" applyAlignment="0" applyProtection="0"/>
    <xf numFmtId="14" fontId="34" fillId="0" borderId="0" applyFon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2" fillId="31" borderId="25" applyNumberFormat="0" applyFont="0" applyAlignment="0" applyProtection="0"/>
    <xf numFmtId="0" fontId="25" fillId="0" borderId="0"/>
    <xf numFmtId="44" fontId="25" fillId="0" borderId="0" applyFont="0" applyFill="0" applyBorder="0" applyAlignment="0" applyProtection="0"/>
    <xf numFmtId="0" fontId="25" fillId="0" borderId="0"/>
    <xf numFmtId="0" fontId="25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87" fontId="16" fillId="0" borderId="0" applyFont="0" applyFill="0" applyBorder="0" applyAlignment="0" applyProtection="0"/>
    <xf numFmtId="188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0" fontId="12" fillId="31" borderId="25" applyNumberFormat="0" applyFont="0" applyAlignment="0" applyProtection="0"/>
    <xf numFmtId="10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0" fontId="12" fillId="0" borderId="0"/>
    <xf numFmtId="0" fontId="1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6" fontId="98" fillId="0" borderId="0"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1" fillId="0" borderId="0"/>
    <xf numFmtId="0" fontId="25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2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25" fillId="0" borderId="0"/>
    <xf numFmtId="174" fontId="25" fillId="0" borderId="0"/>
    <xf numFmtId="9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53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9" fontId="25" fillId="0" borderId="0" applyFont="0" applyFill="0" applyBorder="0" applyAlignment="0" applyProtection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2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0" fontId="111" fillId="0" borderId="0"/>
    <xf numFmtId="9" fontId="25" fillId="0" borderId="0" applyFont="0" applyFill="0" applyBorder="0" applyAlignment="0" applyProtection="0"/>
    <xf numFmtId="0" fontId="111" fillId="0" borderId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111" fillId="0" borderId="0"/>
    <xf numFmtId="0" fontId="111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11" fillId="0" borderId="0"/>
    <xf numFmtId="9" fontId="25" fillId="0" borderId="0" applyFont="0" applyFill="0" applyBorder="0" applyAlignment="0" applyProtection="0"/>
    <xf numFmtId="0" fontId="111" fillId="0" borderId="0"/>
    <xf numFmtId="0" fontId="111" fillId="0" borderId="0"/>
    <xf numFmtId="0" fontId="47" fillId="16" borderId="18" applyNumberFormat="0" applyAlignment="0" applyProtection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0" fontId="111" fillId="0" borderId="0"/>
    <xf numFmtId="9" fontId="25" fillId="0" borderId="0" applyFont="0" applyFill="0" applyBorder="0" applyAlignment="0" applyProtection="0"/>
    <xf numFmtId="0" fontId="111" fillId="0" borderId="0"/>
    <xf numFmtId="0" fontId="25" fillId="0" borderId="0"/>
    <xf numFmtId="0" fontId="25" fillId="0" borderId="0"/>
    <xf numFmtId="0" fontId="25" fillId="0" borderId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11" fillId="0" borderId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114" fillId="0" borderId="0" applyNumberFormat="0" applyFill="0" applyBorder="0" applyAlignment="0" applyProtection="0"/>
    <xf numFmtId="0" fontId="115" fillId="0" borderId="30" applyNumberFormat="0" applyFill="0" applyAlignment="0" applyProtection="0"/>
    <xf numFmtId="0" fontId="116" fillId="0" borderId="31" applyNumberFormat="0" applyFill="0" applyAlignment="0" applyProtection="0"/>
    <xf numFmtId="0" fontId="117" fillId="0" borderId="32" applyNumberFormat="0" applyFill="0" applyAlignment="0" applyProtection="0"/>
    <xf numFmtId="0" fontId="117" fillId="0" borderId="0" applyNumberFormat="0" applyFill="0" applyBorder="0" applyAlignment="0" applyProtection="0"/>
    <xf numFmtId="0" fontId="118" fillId="39" borderId="0" applyNumberFormat="0" applyBorder="0" applyAlignment="0" applyProtection="0"/>
    <xf numFmtId="0" fontId="119" fillId="40" borderId="0" applyNumberFormat="0" applyBorder="0" applyAlignment="0" applyProtection="0"/>
    <xf numFmtId="0" fontId="120" fillId="41" borderId="0" applyNumberFormat="0" applyBorder="0" applyAlignment="0" applyProtection="0"/>
    <xf numFmtId="0" fontId="121" fillId="42" borderId="33" applyNumberFormat="0" applyAlignment="0" applyProtection="0"/>
    <xf numFmtId="0" fontId="122" fillId="43" borderId="34" applyNumberFormat="0" applyAlignment="0" applyProtection="0"/>
    <xf numFmtId="0" fontId="123" fillId="43" borderId="33" applyNumberFormat="0" applyAlignment="0" applyProtection="0"/>
    <xf numFmtId="0" fontId="124" fillId="0" borderId="35" applyNumberFormat="0" applyFill="0" applyAlignment="0" applyProtection="0"/>
    <xf numFmtId="0" fontId="125" fillId="44" borderId="36" applyNumberFormat="0" applyAlignment="0" applyProtection="0"/>
    <xf numFmtId="0" fontId="2" fillId="0" borderId="0" applyNumberFormat="0" applyFill="0" applyBorder="0" applyAlignment="0" applyProtection="0"/>
    <xf numFmtId="0" fontId="1" fillId="45" borderId="37" applyNumberFormat="0" applyFont="0" applyAlignment="0" applyProtection="0"/>
    <xf numFmtId="0" fontId="126" fillId="0" borderId="0" applyNumberFormat="0" applyFill="0" applyBorder="0" applyAlignment="0" applyProtection="0"/>
    <xf numFmtId="0" fontId="3" fillId="0" borderId="38" applyNumberFormat="0" applyFill="0" applyAlignment="0" applyProtection="0"/>
    <xf numFmtId="0" fontId="4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4" fillId="49" borderId="0" applyNumberFormat="0" applyBorder="0" applyAlignment="0" applyProtection="0"/>
    <xf numFmtId="0" fontId="4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4" fillId="53" borderId="0" applyNumberFormat="0" applyBorder="0" applyAlignment="0" applyProtection="0"/>
    <xf numFmtId="0" fontId="4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4" fillId="57" borderId="0" applyNumberFormat="0" applyBorder="0" applyAlignment="0" applyProtection="0"/>
    <xf numFmtId="0" fontId="4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4" fillId="69" borderId="0" applyNumberFormat="0" applyBorder="0" applyAlignment="0" applyProtection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127" fillId="0" borderId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127" fillId="0" borderId="0"/>
    <xf numFmtId="0" fontId="127" fillId="0" borderId="0"/>
    <xf numFmtId="9" fontId="25" fillId="0" borderId="0" applyFont="0" applyFill="0" applyBorder="0" applyAlignment="0" applyProtection="0"/>
    <xf numFmtId="0" fontId="127" fillId="0" borderId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127" fillId="0" borderId="0"/>
    <xf numFmtId="0" fontId="127" fillId="0" borderId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127" fillId="0" borderId="0"/>
    <xf numFmtId="0" fontId="127" fillId="0" borderId="0"/>
    <xf numFmtId="0" fontId="47" fillId="16" borderId="18" applyNumberFormat="0" applyAlignment="0" applyProtection="0"/>
    <xf numFmtId="0" fontId="47" fillId="16" borderId="18" applyNumberFormat="0" applyAlignment="0" applyProtection="0"/>
    <xf numFmtId="0" fontId="127" fillId="0" borderId="0"/>
    <xf numFmtId="9" fontId="25" fillId="0" borderId="0" applyFont="0" applyFill="0" applyBorder="0" applyAlignment="0" applyProtection="0"/>
    <xf numFmtId="0" fontId="127" fillId="0" borderId="0"/>
    <xf numFmtId="0" fontId="47" fillId="16" borderId="18" applyNumberFormat="0" applyAlignment="0" applyProtection="0"/>
    <xf numFmtId="0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9" fontId="12" fillId="0" borderId="0" applyFont="0" applyFill="0" applyBorder="0" applyAlignment="0" applyProtection="0"/>
    <xf numFmtId="0" fontId="12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9" fontId="1" fillId="0" borderId="0" applyFont="0" applyFill="0" applyBorder="0" applyAlignment="0" applyProtection="0"/>
    <xf numFmtId="0" fontId="12" fillId="0" borderId="0"/>
    <xf numFmtId="43" fontId="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0" fontId="16" fillId="0" borderId="0"/>
    <xf numFmtId="0" fontId="1" fillId="0" borderId="0"/>
    <xf numFmtId="0" fontId="1" fillId="0" borderId="0"/>
    <xf numFmtId="0" fontId="114" fillId="0" borderId="0" applyNumberFormat="0" applyFill="0" applyBorder="0" applyAlignment="0" applyProtection="0"/>
    <xf numFmtId="0" fontId="115" fillId="0" borderId="30" applyNumberFormat="0" applyFill="0" applyAlignment="0" applyProtection="0"/>
    <xf numFmtId="0" fontId="116" fillId="0" borderId="31" applyNumberFormat="0" applyFill="0" applyAlignment="0" applyProtection="0"/>
    <xf numFmtId="0" fontId="117" fillId="0" borderId="32" applyNumberFormat="0" applyFill="0" applyAlignment="0" applyProtection="0"/>
    <xf numFmtId="0" fontId="117" fillId="0" borderId="0" applyNumberFormat="0" applyFill="0" applyBorder="0" applyAlignment="0" applyProtection="0"/>
    <xf numFmtId="0" fontId="118" fillId="39" borderId="0" applyNumberFormat="0" applyBorder="0" applyAlignment="0" applyProtection="0"/>
    <xf numFmtId="0" fontId="119" fillId="40" borderId="0" applyNumberFormat="0" applyBorder="0" applyAlignment="0" applyProtection="0"/>
    <xf numFmtId="0" fontId="120" fillId="41" borderId="0" applyNumberFormat="0" applyBorder="0" applyAlignment="0" applyProtection="0"/>
    <xf numFmtId="0" fontId="121" fillId="42" borderId="33" applyNumberFormat="0" applyAlignment="0" applyProtection="0"/>
    <xf numFmtId="0" fontId="122" fillId="43" borderId="34" applyNumberFormat="0" applyAlignment="0" applyProtection="0"/>
    <xf numFmtId="0" fontId="123" fillId="43" borderId="33" applyNumberFormat="0" applyAlignment="0" applyProtection="0"/>
    <xf numFmtId="0" fontId="124" fillId="0" borderId="35" applyNumberFormat="0" applyFill="0" applyAlignment="0" applyProtection="0"/>
    <xf numFmtId="0" fontId="125" fillId="44" borderId="36" applyNumberFormat="0" applyAlignment="0" applyProtection="0"/>
    <xf numFmtId="0" fontId="2" fillId="0" borderId="0" applyNumberFormat="0" applyFill="0" applyBorder="0" applyAlignment="0" applyProtection="0"/>
    <xf numFmtId="0" fontId="1" fillId="45" borderId="37" applyNumberFormat="0" applyFont="0" applyAlignment="0" applyProtection="0"/>
    <xf numFmtId="0" fontId="126" fillId="0" borderId="0" applyNumberFormat="0" applyFill="0" applyBorder="0" applyAlignment="0" applyProtection="0"/>
    <xf numFmtId="0" fontId="3" fillId="0" borderId="38" applyNumberFormat="0" applyFill="0" applyAlignment="0" applyProtection="0"/>
    <xf numFmtId="0" fontId="4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4" fillId="49" borderId="0" applyNumberFormat="0" applyBorder="0" applyAlignment="0" applyProtection="0"/>
    <xf numFmtId="0" fontId="4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4" fillId="53" borderId="0" applyNumberFormat="0" applyBorder="0" applyAlignment="0" applyProtection="0"/>
    <xf numFmtId="0" fontId="4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4" fillId="57" borderId="0" applyNumberFormat="0" applyBorder="0" applyAlignment="0" applyProtection="0"/>
    <xf numFmtId="0" fontId="4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4" fillId="61" borderId="0" applyNumberFormat="0" applyBorder="0" applyAlignment="0" applyProtection="0"/>
    <xf numFmtId="0" fontId="4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4" fillId="65" borderId="0" applyNumberFormat="0" applyBorder="0" applyAlignment="0" applyProtection="0"/>
    <xf numFmtId="0" fontId="4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4" fillId="69" borderId="0" applyNumberFormat="0" applyBorder="0" applyAlignment="0" applyProtection="0"/>
    <xf numFmtId="0" fontId="121" fillId="42" borderId="33" applyNumberFormat="0" applyAlignment="0" applyProtection="0"/>
    <xf numFmtId="0" fontId="1" fillId="0" borderId="0"/>
    <xf numFmtId="9" fontId="1" fillId="0" borderId="0" applyFont="0" applyFill="0" applyBorder="0" applyAlignment="0" applyProtection="0"/>
    <xf numFmtId="0" fontId="121" fillId="42" borderId="33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36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9" borderId="0" applyNumberFormat="0" applyBorder="0" applyAlignment="0" applyProtection="0"/>
    <xf numFmtId="0" fontId="36" fillId="14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18" borderId="0" applyNumberFormat="0" applyBorder="0" applyAlignment="0" applyProtection="0"/>
    <xf numFmtId="0" fontId="37" fillId="19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37" fillId="27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37" fillId="28" borderId="0" applyNumberFormat="0" applyBorder="0" applyAlignment="0" applyProtection="0"/>
    <xf numFmtId="0" fontId="38" fillId="12" borderId="0" applyNumberFormat="0" applyBorder="0" applyAlignment="0" applyProtection="0"/>
    <xf numFmtId="0" fontId="39" fillId="29" borderId="18" applyNumberFormat="0" applyAlignment="0" applyProtection="0"/>
    <xf numFmtId="0" fontId="40" fillId="30" borderId="19" applyNumberFormat="0" applyAlignment="0" applyProtection="0"/>
    <xf numFmtId="0" fontId="41" fillId="0" borderId="0" applyNumberFormat="0" applyFill="0" applyBorder="0" applyAlignment="0" applyProtection="0"/>
    <xf numFmtId="0" fontId="42" fillId="13" borderId="0" applyNumberFormat="0" applyBorder="0" applyAlignment="0" applyProtection="0"/>
    <xf numFmtId="0" fontId="47" fillId="16" borderId="18" applyNumberFormat="0" applyAlignment="0" applyProtection="0"/>
    <xf numFmtId="0" fontId="48" fillId="0" borderId="24" applyNumberFormat="0" applyFill="0" applyAlignment="0" applyProtection="0"/>
    <xf numFmtId="0" fontId="49" fillId="10" borderId="0" applyNumberFormat="0" applyBorder="0" applyAlignment="0" applyProtection="0"/>
    <xf numFmtId="0" fontId="50" fillId="29" borderId="26" applyNumberFormat="0" applyAlignment="0" applyProtection="0"/>
    <xf numFmtId="0" fontId="52" fillId="0" borderId="27" applyNumberFormat="0" applyFill="0" applyAlignment="0" applyProtection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0" fontId="127" fillId="0" borderId="0"/>
    <xf numFmtId="0" fontId="47" fillId="16" borderId="18" applyNumberFormat="0" applyAlignment="0" applyProtection="0"/>
    <xf numFmtId="0" fontId="25" fillId="0" borderId="0"/>
    <xf numFmtId="44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27" fillId="0" borderId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36" fillId="0" borderId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6" borderId="18" applyNumberFormat="0" applyAlignment="0" applyProtection="0"/>
    <xf numFmtId="0" fontId="136" fillId="0" borderId="0"/>
    <xf numFmtId="0" fontId="136" fillId="0" borderId="0"/>
    <xf numFmtId="0" fontId="47" fillId="16" borderId="18" applyNumberFormat="0" applyAlignment="0" applyProtection="0"/>
    <xf numFmtId="9" fontId="25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3">
    <xf numFmtId="0" fontId="0" fillId="0" borderId="0" xfId="0"/>
    <xf numFmtId="0" fontId="0" fillId="2" borderId="0" xfId="0" applyFill="1"/>
    <xf numFmtId="0" fontId="0" fillId="0" borderId="0" xfId="0" applyFill="1"/>
    <xf numFmtId="1" fontId="6" fillId="0" borderId="0" xfId="0" applyNumberFormat="1" applyFont="1" applyFill="1" applyAlignment="1">
      <alignment horizontal="center"/>
    </xf>
    <xf numFmtId="1" fontId="6" fillId="0" borderId="0" xfId="0" applyNumberFormat="1" applyFont="1" applyFill="1" applyAlignment="1">
      <alignment horizontal="left"/>
    </xf>
    <xf numFmtId="1" fontId="7" fillId="0" borderId="0" xfId="0" applyNumberFormat="1" applyFont="1" applyFill="1" applyAlignment="1">
      <alignment horizontal="center"/>
    </xf>
    <xf numFmtId="166" fontId="7" fillId="0" borderId="0" xfId="0" applyNumberFormat="1" applyFont="1" applyFill="1"/>
    <xf numFmtId="164" fontId="7" fillId="0" borderId="0" xfId="0" applyNumberFormat="1" applyFont="1" applyFill="1"/>
    <xf numFmtId="165" fontId="7" fillId="0" borderId="0" xfId="0" applyNumberFormat="1" applyFont="1" applyFill="1"/>
    <xf numFmtId="164" fontId="8" fillId="0" borderId="0" xfId="0" applyNumberFormat="1" applyFont="1" applyFill="1"/>
    <xf numFmtId="167" fontId="7" fillId="0" borderId="0" xfId="0" applyNumberFormat="1" applyFont="1" applyFill="1" applyAlignment="1">
      <alignment horizontal="center"/>
    </xf>
    <xf numFmtId="9" fontId="7" fillId="0" borderId="0" xfId="3" applyFont="1" applyFill="1"/>
    <xf numFmtId="169" fontId="7" fillId="0" borderId="0" xfId="3" applyNumberFormat="1" applyFont="1" applyFill="1"/>
    <xf numFmtId="166" fontId="0" fillId="0" borderId="0" xfId="0" applyNumberFormat="1" applyFill="1"/>
    <xf numFmtId="165" fontId="0" fillId="0" borderId="0" xfId="0" applyNumberFormat="1" applyFill="1"/>
    <xf numFmtId="0" fontId="17" fillId="0" borderId="0" xfId="0" applyFont="1" applyFill="1"/>
    <xf numFmtId="164" fontId="7" fillId="0" borderId="0" xfId="0" applyNumberFormat="1" applyFont="1" applyFill="1" applyAlignment="1"/>
    <xf numFmtId="167" fontId="7" fillId="0" borderId="0" xfId="0" applyNumberFormat="1" applyFont="1" applyFill="1" applyAlignment="1"/>
    <xf numFmtId="49" fontId="7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164" fontId="0" fillId="0" borderId="0" xfId="0" applyNumberFormat="1" applyFill="1"/>
    <xf numFmtId="0" fontId="16" fillId="0" borderId="0" xfId="0" applyFont="1" applyFill="1" applyAlignment="1"/>
    <xf numFmtId="0" fontId="0" fillId="0" borderId="0" xfId="0" applyFill="1" applyAlignment="1"/>
    <xf numFmtId="0" fontId="0" fillId="0" borderId="0" xfId="0" applyAlignment="1"/>
    <xf numFmtId="1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left"/>
    </xf>
    <xf numFmtId="37" fontId="6" fillId="0" borderId="0" xfId="0" applyNumberFormat="1" applyFont="1" applyFill="1" applyBorder="1" applyAlignment="1">
      <alignment horizontal="right" wrapText="1"/>
    </xf>
    <xf numFmtId="37" fontId="6" fillId="0" borderId="7" xfId="0" applyNumberFormat="1" applyFont="1" applyFill="1" applyBorder="1" applyAlignment="1">
      <alignment horizontal="right" wrapText="1"/>
    </xf>
    <xf numFmtId="0" fontId="22" fillId="2" borderId="8" xfId="0" applyFont="1" applyFill="1" applyBorder="1" applyAlignment="1">
      <alignment wrapText="1"/>
    </xf>
    <xf numFmtId="0" fontId="22" fillId="2" borderId="9" xfId="0" applyFont="1" applyFill="1" applyBorder="1" applyAlignment="1">
      <alignment wrapText="1"/>
    </xf>
    <xf numFmtId="0" fontId="16" fillId="0" borderId="2" xfId="0" applyFont="1" applyFill="1" applyBorder="1" applyAlignment="1">
      <alignment horizontal="right"/>
    </xf>
    <xf numFmtId="0" fontId="16" fillId="0" borderId="0" xfId="0" applyFont="1" applyFill="1" applyBorder="1" applyAlignment="1"/>
    <xf numFmtId="0" fontId="16" fillId="0" borderId="10" xfId="0" applyFont="1" applyFill="1" applyBorder="1" applyAlignment="1">
      <alignment horizontal="right"/>
    </xf>
    <xf numFmtId="0" fontId="1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center"/>
    </xf>
    <xf numFmtId="0" fontId="16" fillId="4" borderId="11" xfId="0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 wrapText="1"/>
    </xf>
    <xf numFmtId="0" fontId="19" fillId="0" borderId="0" xfId="0" applyFont="1" applyFill="1" applyAlignment="1"/>
    <xf numFmtId="0" fontId="19" fillId="0" borderId="0" xfId="0" applyFont="1" applyFill="1" applyBorder="1" applyAlignment="1">
      <alignment horizontal="center"/>
    </xf>
    <xf numFmtId="0" fontId="23" fillId="0" borderId="0" xfId="0" applyFont="1" applyFill="1" applyAlignment="1"/>
    <xf numFmtId="0" fontId="20" fillId="0" borderId="0" xfId="0" applyFont="1" applyFill="1" applyAlignment="1">
      <alignment horizontal="left"/>
    </xf>
    <xf numFmtId="0" fontId="21" fillId="0" borderId="0" xfId="0" applyFont="1" applyFill="1" applyBorder="1" applyAlignment="1"/>
    <xf numFmtId="0" fontId="21" fillId="0" borderId="0" xfId="0" applyFont="1" applyFill="1" applyBorder="1" applyAlignment="1">
      <alignment horizontal="center"/>
    </xf>
    <xf numFmtId="0" fontId="24" fillId="0" borderId="10" xfId="0" applyFont="1" applyFill="1" applyBorder="1" applyAlignment="1">
      <alignment horizontal="right"/>
    </xf>
    <xf numFmtId="168" fontId="0" fillId="0" borderId="0" xfId="0" applyNumberFormat="1"/>
    <xf numFmtId="168" fontId="0" fillId="0" borderId="0" xfId="1" applyNumberFormat="1" applyFont="1"/>
    <xf numFmtId="0" fontId="3" fillId="0" borderId="0" xfId="0" applyFont="1"/>
    <xf numFmtId="0" fontId="5" fillId="0" borderId="0" xfId="0" applyFont="1" applyFill="1" applyAlignment="1"/>
    <xf numFmtId="164" fontId="6" fillId="0" borderId="0" xfId="0" applyNumberFormat="1" applyFont="1" applyFill="1" applyAlignment="1"/>
    <xf numFmtId="0" fontId="10" fillId="0" borderId="0" xfId="4" applyFont="1" applyFill="1" applyAlignment="1" applyProtection="1"/>
    <xf numFmtId="0" fontId="11" fillId="0" borderId="0" xfId="0" applyFont="1" applyFill="1" applyAlignment="1"/>
    <xf numFmtId="0" fontId="15" fillId="0" borderId="0" xfId="0" applyFont="1" applyFill="1" applyAlignment="1">
      <alignment horizontal="center"/>
    </xf>
    <xf numFmtId="0" fontId="26" fillId="0" borderId="0" xfId="0" applyFont="1"/>
    <xf numFmtId="0" fontId="27" fillId="0" borderId="0" xfId="0" applyFont="1"/>
    <xf numFmtId="0" fontId="29" fillId="4" borderId="11" xfId="0" applyFont="1" applyFill="1" applyBorder="1" applyAlignment="1">
      <alignment horizontal="center"/>
    </xf>
    <xf numFmtId="0" fontId="13" fillId="0" borderId="0" xfId="4" applyFont="1" applyFill="1" applyBorder="1" applyAlignment="1" applyProtection="1">
      <alignment horizontal="center"/>
    </xf>
    <xf numFmtId="0" fontId="14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2" fillId="0" borderId="0" xfId="0" applyFont="1"/>
    <xf numFmtId="43" fontId="32" fillId="0" borderId="0" xfId="1" applyFont="1"/>
    <xf numFmtId="43" fontId="0" fillId="0" borderId="0" xfId="1" applyFont="1"/>
    <xf numFmtId="43" fontId="3" fillId="0" borderId="0" xfId="1" applyFont="1" applyAlignment="1">
      <alignment wrapText="1"/>
    </xf>
    <xf numFmtId="9" fontId="0" fillId="6" borderId="0" xfId="3" applyFont="1" applyFill="1" applyBorder="1"/>
    <xf numFmtId="9" fontId="0" fillId="0" borderId="0" xfId="3" applyFont="1"/>
    <xf numFmtId="0" fontId="7" fillId="0" borderId="0" xfId="0" applyFont="1" applyBorder="1"/>
    <xf numFmtId="0" fontId="7" fillId="0" borderId="0" xfId="0" applyFont="1"/>
    <xf numFmtId="1" fontId="7" fillId="4" borderId="11" xfId="0" applyNumberFormat="1" applyFont="1" applyFill="1" applyBorder="1" applyAlignment="1">
      <alignment horizontal="left"/>
    </xf>
    <xf numFmtId="44" fontId="7" fillId="4" borderId="11" xfId="2" applyFont="1" applyFill="1" applyBorder="1" applyAlignment="1">
      <alignment horizontal="left"/>
    </xf>
    <xf numFmtId="9" fontId="0" fillId="0" borderId="0" xfId="0" applyNumberFormat="1"/>
    <xf numFmtId="168" fontId="0" fillId="0" borderId="0" xfId="1" applyNumberFormat="1" applyFont="1"/>
    <xf numFmtId="4" fontId="0" fillId="4" borderId="11" xfId="0" applyNumberFormat="1" applyFill="1" applyBorder="1"/>
    <xf numFmtId="0" fontId="0" fillId="0" borderId="0" xfId="0"/>
    <xf numFmtId="0" fontId="0" fillId="0" borderId="0" xfId="0" applyFill="1"/>
    <xf numFmtId="164" fontId="7" fillId="0" borderId="0" xfId="0" applyNumberFormat="1" applyFont="1" applyFill="1" applyAlignment="1">
      <alignment horizontal="center" vertical="center"/>
    </xf>
    <xf numFmtId="170" fontId="7" fillId="0" borderId="0" xfId="1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5" fontId="0" fillId="0" borderId="7" xfId="3" applyNumberFormat="1" applyFont="1" applyBorder="1"/>
    <xf numFmtId="0" fontId="0" fillId="6" borderId="13" xfId="0" applyFill="1" applyBorder="1"/>
    <xf numFmtId="0" fontId="3" fillId="35" borderId="0" xfId="0" applyNumberFormat="1" applyFont="1" applyFill="1" applyBorder="1" applyAlignment="1">
      <alignment horizontal="center"/>
    </xf>
    <xf numFmtId="0" fontId="3" fillId="35" borderId="0" xfId="0" applyFont="1" applyFill="1" applyBorder="1" applyAlignment="1">
      <alignment horizontal="center"/>
    </xf>
    <xf numFmtId="37" fontId="0" fillId="35" borderId="0" xfId="0" applyNumberFormat="1" applyFill="1"/>
    <xf numFmtId="0" fontId="2" fillId="0" borderId="0" xfId="0" applyFont="1" applyAlignment="1"/>
    <xf numFmtId="0" fontId="3" fillId="35" borderId="0" xfId="0" applyFont="1" applyFill="1" applyAlignment="1"/>
    <xf numFmtId="43" fontId="0" fillId="0" borderId="7" xfId="0" applyNumberFormat="1" applyFill="1" applyBorder="1"/>
    <xf numFmtId="168" fontId="0" fillId="0" borderId="0" xfId="0" applyNumberFormat="1" applyFill="1"/>
    <xf numFmtId="0" fontId="112" fillId="0" borderId="0" xfId="0" applyFont="1" applyFill="1" applyAlignment="1">
      <alignment horizontal="center" vertical="center"/>
    </xf>
    <xf numFmtId="43" fontId="0" fillId="0" borderId="0" xfId="1" applyFont="1"/>
    <xf numFmtId="0" fontId="3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168" fontId="0" fillId="0" borderId="0" xfId="1" applyNumberFormat="1" applyFont="1"/>
    <xf numFmtId="170" fontId="0" fillId="0" borderId="0" xfId="1" applyNumberFormat="1" applyFont="1"/>
    <xf numFmtId="167" fontId="0" fillId="0" borderId="0" xfId="1" applyNumberFormat="1" applyFont="1"/>
    <xf numFmtId="170" fontId="0" fillId="0" borderId="0" xfId="0" applyNumberFormat="1"/>
    <xf numFmtId="43" fontId="0" fillId="0" borderId="0" xfId="0" applyNumberFormat="1"/>
    <xf numFmtId="0" fontId="0" fillId="0" borderId="0" xfId="0" applyFill="1"/>
    <xf numFmtId="0" fontId="109" fillId="0" borderId="0" xfId="0" applyFont="1" applyFill="1"/>
    <xf numFmtId="168" fontId="0" fillId="0" borderId="0" xfId="1" applyNumberFormat="1" applyFont="1" applyFill="1"/>
    <xf numFmtId="192" fontId="0" fillId="0" borderId="0" xfId="0" applyNumberFormat="1"/>
    <xf numFmtId="170" fontId="0" fillId="0" borderId="0" xfId="1" applyNumberFormat="1" applyFont="1" applyFill="1"/>
    <xf numFmtId="167" fontId="0" fillId="0" borderId="0" xfId="1" applyNumberFormat="1" applyFont="1" applyFill="1"/>
    <xf numFmtId="0" fontId="0" fillId="0" borderId="0" xfId="0"/>
    <xf numFmtId="0" fontId="110" fillId="0" borderId="0" xfId="0" applyFont="1" applyFill="1"/>
    <xf numFmtId="0" fontId="9" fillId="0" borderId="0" xfId="4" applyAlignment="1" applyProtection="1"/>
    <xf numFmtId="0" fontId="0" fillId="0" borderId="0" xfId="0"/>
    <xf numFmtId="0" fontId="110" fillId="0" borderId="0" xfId="0" applyFont="1" applyFill="1"/>
    <xf numFmtId="0" fontId="9" fillId="0" borderId="0" xfId="4" applyAlignment="1" applyProtection="1"/>
    <xf numFmtId="193" fontId="0" fillId="0" borderId="0" xfId="2" applyNumberFormat="1" applyFont="1" applyFill="1"/>
    <xf numFmtId="193" fontId="0" fillId="0" borderId="0" xfId="2" applyNumberFormat="1" applyFont="1"/>
    <xf numFmtId="0" fontId="0" fillId="0" borderId="0" xfId="0"/>
    <xf numFmtId="170" fontId="0" fillId="0" borderId="0" xfId="1" applyNumberFormat="1" applyFont="1"/>
    <xf numFmtId="167" fontId="0" fillId="0" borderId="0" xfId="1" applyNumberFormat="1" applyFont="1"/>
    <xf numFmtId="43" fontId="0" fillId="0" borderId="0" xfId="0" applyNumberFormat="1"/>
    <xf numFmtId="0" fontId="0" fillId="0" borderId="0" xfId="0" applyFill="1"/>
    <xf numFmtId="0" fontId="109" fillId="0" borderId="0" xfId="0" applyFont="1" applyFill="1"/>
    <xf numFmtId="0" fontId="110" fillId="0" borderId="0" xfId="0" applyFont="1" applyFill="1"/>
    <xf numFmtId="192" fontId="0" fillId="0" borderId="0" xfId="0" applyNumberFormat="1"/>
    <xf numFmtId="170" fontId="0" fillId="0" borderId="0" xfId="1" applyNumberFormat="1" applyFont="1" applyFill="1"/>
    <xf numFmtId="167" fontId="0" fillId="0" borderId="0" xfId="1" applyNumberFormat="1" applyFont="1" applyFill="1"/>
    <xf numFmtId="0" fontId="9" fillId="0" borderId="0" xfId="4" applyAlignment="1" applyProtection="1"/>
    <xf numFmtId="0" fontId="0" fillId="0" borderId="0" xfId="0"/>
    <xf numFmtId="0" fontId="0" fillId="2" borderId="0" xfId="0" applyFill="1"/>
    <xf numFmtId="0" fontId="0" fillId="0" borderId="0" xfId="0" applyFill="1"/>
    <xf numFmtId="1" fontId="6" fillId="0" borderId="0" xfId="0" applyNumberFormat="1" applyFont="1" applyFill="1" applyAlignment="1">
      <alignment horizontal="center"/>
    </xf>
    <xf numFmtId="1" fontId="6" fillId="0" borderId="0" xfId="0" applyNumberFormat="1" applyFont="1" applyFill="1" applyAlignment="1">
      <alignment horizontal="left"/>
    </xf>
    <xf numFmtId="1" fontId="7" fillId="0" borderId="0" xfId="0" applyNumberFormat="1" applyFont="1" applyFill="1" applyAlignment="1">
      <alignment horizontal="center"/>
    </xf>
    <xf numFmtId="166" fontId="7" fillId="0" borderId="0" xfId="0" applyNumberFormat="1" applyFont="1" applyFill="1"/>
    <xf numFmtId="164" fontId="7" fillId="0" borderId="0" xfId="0" applyNumberFormat="1" applyFont="1" applyFill="1"/>
    <xf numFmtId="165" fontId="7" fillId="0" borderId="0" xfId="0" applyNumberFormat="1" applyFont="1" applyFill="1"/>
    <xf numFmtId="164" fontId="8" fillId="0" borderId="0" xfId="0" applyNumberFormat="1" applyFont="1" applyFill="1"/>
    <xf numFmtId="167" fontId="7" fillId="0" borderId="0" xfId="0" applyNumberFormat="1" applyFont="1" applyFill="1" applyAlignment="1">
      <alignment horizontal="center"/>
    </xf>
    <xf numFmtId="9" fontId="7" fillId="0" borderId="0" xfId="3" applyFont="1" applyFill="1"/>
    <xf numFmtId="169" fontId="7" fillId="0" borderId="0" xfId="3" applyNumberFormat="1" applyFont="1" applyFill="1"/>
    <xf numFmtId="166" fontId="0" fillId="0" borderId="0" xfId="0" applyNumberFormat="1" applyFill="1"/>
    <xf numFmtId="165" fontId="0" fillId="0" borderId="0" xfId="0" applyNumberFormat="1" applyFill="1"/>
    <xf numFmtId="0" fontId="17" fillId="0" borderId="0" xfId="0" applyFont="1" applyFill="1"/>
    <xf numFmtId="164" fontId="7" fillId="0" borderId="0" xfId="0" applyNumberFormat="1" applyFont="1" applyFill="1" applyAlignment="1"/>
    <xf numFmtId="167" fontId="7" fillId="0" borderId="0" xfId="0" applyNumberFormat="1" applyFont="1" applyFill="1" applyAlignment="1"/>
    <xf numFmtId="0" fontId="0" fillId="0" borderId="0" xfId="0" applyFill="1" applyAlignment="1">
      <alignment horizontal="left"/>
    </xf>
    <xf numFmtId="164" fontId="0" fillId="0" borderId="0" xfId="0" applyNumberFormat="1" applyFill="1"/>
    <xf numFmtId="0" fontId="16" fillId="0" borderId="0" xfId="0" applyFont="1" applyFill="1" applyAlignment="1"/>
    <xf numFmtId="0" fontId="0" fillId="0" borderId="0" xfId="0" applyFill="1" applyAlignment="1"/>
    <xf numFmtId="0" fontId="0" fillId="0" borderId="0" xfId="0" applyAlignment="1"/>
    <xf numFmtId="1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left"/>
    </xf>
    <xf numFmtId="37" fontId="6" fillId="0" borderId="0" xfId="0" applyNumberFormat="1" applyFont="1" applyFill="1" applyBorder="1" applyAlignment="1">
      <alignment horizontal="right" wrapText="1"/>
    </xf>
    <xf numFmtId="37" fontId="6" fillId="0" borderId="7" xfId="0" applyNumberFormat="1" applyFont="1" applyFill="1" applyBorder="1" applyAlignment="1">
      <alignment horizontal="right" wrapText="1"/>
    </xf>
    <xf numFmtId="168" fontId="0" fillId="0" borderId="0" xfId="0" applyNumberFormat="1"/>
    <xf numFmtId="0" fontId="3" fillId="0" borderId="0" xfId="0" applyFont="1"/>
    <xf numFmtId="170" fontId="0" fillId="0" borderId="0" xfId="1" applyNumberFormat="1" applyFont="1"/>
    <xf numFmtId="170" fontId="0" fillId="0" borderId="0" xfId="0" applyNumberFormat="1"/>
    <xf numFmtId="174" fontId="3" fillId="0" borderId="2" xfId="0" applyNumberFormat="1" applyFont="1" applyBorder="1" applyAlignment="1">
      <alignment horizontal="center"/>
    </xf>
    <xf numFmtId="164" fontId="7" fillId="0" borderId="0" xfId="0" applyNumberFormat="1" applyFont="1" applyFill="1" applyAlignment="1">
      <alignment horizontal="center" vertical="center"/>
    </xf>
    <xf numFmtId="170" fontId="7" fillId="0" borderId="0" xfId="1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wrapText="1"/>
    </xf>
    <xf numFmtId="0" fontId="3" fillId="35" borderId="0" xfId="0" applyNumberFormat="1" applyFont="1" applyFill="1" applyBorder="1" applyAlignment="1">
      <alignment horizontal="center"/>
    </xf>
    <xf numFmtId="0" fontId="3" fillId="35" borderId="0" xfId="0" applyFont="1" applyFill="1" applyBorder="1" applyAlignment="1">
      <alignment horizontal="center"/>
    </xf>
    <xf numFmtId="37" fontId="0" fillId="35" borderId="0" xfId="0" applyNumberFormat="1" applyFill="1"/>
    <xf numFmtId="0" fontId="2" fillId="0" borderId="0" xfId="0" applyFont="1" applyAlignment="1"/>
    <xf numFmtId="0" fontId="3" fillId="35" borderId="0" xfId="0" applyFont="1" applyFill="1" applyAlignment="1"/>
    <xf numFmtId="0" fontId="0" fillId="0" borderId="0" xfId="0"/>
    <xf numFmtId="0" fontId="0" fillId="0" borderId="0" xfId="0" applyFill="1"/>
    <xf numFmtId="0" fontId="3" fillId="0" borderId="0" xfId="0" applyFont="1" applyAlignment="1">
      <alignment horizontal="right"/>
    </xf>
    <xf numFmtId="0" fontId="0" fillId="36" borderId="0" xfId="0" applyFill="1"/>
    <xf numFmtId="0" fontId="0" fillId="37" borderId="0" xfId="0" applyFill="1"/>
    <xf numFmtId="1" fontId="7" fillId="0" borderId="0" xfId="0" applyNumberFormat="1" applyFont="1" applyFill="1"/>
    <xf numFmtId="1" fontId="8" fillId="0" borderId="0" xfId="0" applyNumberFormat="1" applyFont="1" applyFill="1"/>
    <xf numFmtId="1" fontId="7" fillId="0" borderId="0" xfId="0" applyNumberFormat="1" applyFont="1" applyFill="1" applyAlignment="1">
      <alignment horizontal="center" vertical="center"/>
    </xf>
    <xf numFmtId="1" fontId="7" fillId="0" borderId="0" xfId="1" applyNumberFormat="1" applyFont="1" applyFill="1" applyAlignment="1">
      <alignment horizontal="center" vertical="center"/>
    </xf>
    <xf numFmtId="1" fontId="0" fillId="0" borderId="0" xfId="0" applyNumberFormat="1" applyFill="1"/>
    <xf numFmtId="1" fontId="7" fillId="0" borderId="0" xfId="0" applyNumberFormat="1" applyFont="1" applyFill="1" applyAlignment="1"/>
    <xf numFmtId="0" fontId="3" fillId="0" borderId="0" xfId="0" applyFont="1" applyAlignment="1">
      <alignment horizontal="left"/>
    </xf>
    <xf numFmtId="0" fontId="14" fillId="0" borderId="0" xfId="0" applyFont="1" applyFill="1" applyAlignment="1">
      <alignment horizontal="center" vertical="center"/>
    </xf>
    <xf numFmtId="0" fontId="0" fillId="36" borderId="0" xfId="0" applyFont="1" applyFill="1" applyAlignment="1">
      <alignment horizontal="center" vertical="center"/>
    </xf>
    <xf numFmtId="0" fontId="0" fillId="36" borderId="0" xfId="0" applyFont="1" applyFill="1" applyAlignment="1">
      <alignment horizontal="center" vertical="center" wrapText="1"/>
    </xf>
    <xf numFmtId="174" fontId="0" fillId="36" borderId="0" xfId="0" applyNumberFormat="1" applyFont="1" applyFill="1" applyAlignment="1">
      <alignment horizontal="center" vertical="center" wrapText="1"/>
    </xf>
    <xf numFmtId="0" fontId="0" fillId="37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3" fontId="0" fillId="0" borderId="0" xfId="2" applyNumberFormat="1" applyFont="1"/>
    <xf numFmtId="38" fontId="0" fillId="0" borderId="0" xfId="2" applyNumberFormat="1" applyFont="1"/>
    <xf numFmtId="0" fontId="3" fillId="0" borderId="0" xfId="0" applyFont="1" applyFill="1" applyAlignment="1">
      <alignment horizontal="right"/>
    </xf>
    <xf numFmtId="194" fontId="0" fillId="0" borderId="0" xfId="2" applyNumberFormat="1" applyFont="1"/>
    <xf numFmtId="0" fontId="3" fillId="0" borderId="0" xfId="0" applyFont="1" applyAlignment="1">
      <alignment horizontal="center"/>
    </xf>
    <xf numFmtId="1" fontId="0" fillId="36" borderId="0" xfId="0" applyNumberFormat="1" applyFont="1" applyFill="1" applyAlignment="1">
      <alignment horizontal="center" vertical="center" wrapText="1"/>
    </xf>
    <xf numFmtId="0" fontId="0" fillId="37" borderId="0" xfId="0" applyFont="1" applyFill="1" applyAlignment="1">
      <alignment horizontal="center" vertical="center"/>
    </xf>
    <xf numFmtId="174" fontId="0" fillId="37" borderId="0" xfId="0" applyNumberFormat="1" applyFont="1" applyFill="1" applyAlignment="1">
      <alignment horizontal="center" vertical="center" wrapText="1"/>
    </xf>
    <xf numFmtId="1" fontId="0" fillId="37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193" fontId="0" fillId="0" borderId="0" xfId="0" applyNumberFormat="1"/>
    <xf numFmtId="0" fontId="0" fillId="0" borderId="0" xfId="0" applyFill="1"/>
    <xf numFmtId="0" fontId="0" fillId="0" borderId="0" xfId="0"/>
    <xf numFmtId="194" fontId="0" fillId="0" borderId="0" xfId="2" quotePrefix="1" applyNumberFormat="1" applyFont="1"/>
    <xf numFmtId="194" fontId="0" fillId="0" borderId="0" xfId="0" applyNumberFormat="1"/>
    <xf numFmtId="0" fontId="0" fillId="36" borderId="0" xfId="0" quotePrefix="1" applyFill="1"/>
    <xf numFmtId="0" fontId="0" fillId="37" borderId="0" xfId="0" quotePrefix="1" applyFill="1"/>
    <xf numFmtId="0" fontId="113" fillId="0" borderId="0" xfId="0" applyFont="1"/>
    <xf numFmtId="0" fontId="3" fillId="36" borderId="0" xfId="0" applyFont="1" applyFill="1" applyAlignment="1">
      <alignment horizontal="center"/>
    </xf>
    <xf numFmtId="0" fontId="3" fillId="36" borderId="0" xfId="0" applyFont="1" applyFill="1" applyBorder="1" applyAlignment="1">
      <alignment horizontal="center"/>
    </xf>
    <xf numFmtId="37" fontId="0" fillId="0" borderId="0" xfId="1" applyNumberFormat="1" applyFont="1" applyFill="1" applyBorder="1"/>
    <xf numFmtId="37" fontId="0" fillId="0" borderId="0" xfId="2" applyNumberFormat="1" applyFont="1" applyFill="1" applyBorder="1"/>
    <xf numFmtId="37" fontId="0" fillId="0" borderId="0" xfId="1" quotePrefix="1" applyNumberFormat="1" applyFont="1" applyFill="1" applyBorder="1"/>
    <xf numFmtId="0" fontId="3" fillId="37" borderId="0" xfId="0" applyFont="1" applyFill="1" applyBorder="1" applyAlignment="1">
      <alignment horizontal="center"/>
    </xf>
    <xf numFmtId="0" fontId="3" fillId="37" borderId="0" xfId="0" applyFont="1" applyFill="1" applyAlignment="1">
      <alignment horizontal="center"/>
    </xf>
    <xf numFmtId="37" fontId="0" fillId="0" borderId="0" xfId="0" applyNumberFormat="1"/>
    <xf numFmtId="0" fontId="3" fillId="0" borderId="0" xfId="0" applyFont="1" applyFill="1" applyAlignment="1">
      <alignment horizontal="center"/>
    </xf>
    <xf numFmtId="0" fontId="28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170" fontId="0" fillId="0" borderId="0" xfId="1" applyNumberFormat="1" applyFont="1"/>
    <xf numFmtId="195" fontId="0" fillId="4" borderId="11" xfId="0" applyNumberFormat="1" applyFill="1" applyBorder="1"/>
    <xf numFmtId="0" fontId="0" fillId="0" borderId="0" xfId="0"/>
    <xf numFmtId="0" fontId="3" fillId="0" borderId="0" xfId="0" applyFont="1"/>
    <xf numFmtId="168" fontId="0" fillId="0" borderId="0" xfId="1" applyNumberFormat="1" applyFont="1"/>
    <xf numFmtId="174" fontId="3" fillId="0" borderId="2" xfId="0" applyNumberFormat="1" applyFont="1" applyBorder="1" applyAlignment="1">
      <alignment horizontal="center"/>
    </xf>
    <xf numFmtId="174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0" xfId="0"/>
    <xf numFmtId="0" fontId="3" fillId="0" borderId="0" xfId="0" applyFont="1"/>
    <xf numFmtId="168" fontId="0" fillId="0" borderId="0" xfId="1" applyNumberFormat="1" applyFont="1"/>
    <xf numFmtId="174" fontId="3" fillId="0" borderId="2" xfId="0" applyNumberFormat="1" applyFont="1" applyBorder="1" applyAlignment="1">
      <alignment horizontal="center"/>
    </xf>
    <xf numFmtId="174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0" xfId="0"/>
    <xf numFmtId="0" fontId="3" fillId="0" borderId="0" xfId="0" applyFont="1"/>
    <xf numFmtId="168" fontId="0" fillId="0" borderId="0" xfId="1" applyNumberFormat="1" applyFont="1"/>
    <xf numFmtId="174" fontId="3" fillId="0" borderId="2" xfId="0" applyNumberFormat="1" applyFont="1" applyBorder="1" applyAlignment="1">
      <alignment horizontal="center"/>
    </xf>
    <xf numFmtId="174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0" xfId="0"/>
    <xf numFmtId="0" fontId="3" fillId="0" borderId="0" xfId="0" applyFont="1"/>
    <xf numFmtId="168" fontId="0" fillId="0" borderId="0" xfId="1" applyNumberFormat="1" applyFont="1"/>
    <xf numFmtId="174" fontId="3" fillId="0" borderId="2" xfId="0" applyNumberFormat="1" applyFont="1" applyBorder="1" applyAlignment="1">
      <alignment horizontal="center"/>
    </xf>
    <xf numFmtId="174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0" xfId="0" applyFill="1"/>
    <xf numFmtId="39" fontId="0" fillId="0" borderId="0" xfId="1" applyNumberFormat="1" applyFont="1" applyFill="1" applyBorder="1"/>
    <xf numFmtId="168" fontId="0" fillId="0" borderId="0" xfId="1" applyNumberFormat="1" applyFont="1"/>
    <xf numFmtId="168" fontId="0" fillId="0" borderId="0" xfId="1" applyNumberFormat="1" applyFont="1"/>
    <xf numFmtId="0" fontId="0" fillId="0" borderId="0" xfId="0" applyFont="1" applyFill="1"/>
    <xf numFmtId="0" fontId="0" fillId="0" borderId="0" xfId="0" applyFont="1" applyFill="1" applyBorder="1"/>
    <xf numFmtId="4" fontId="0" fillId="0" borderId="0" xfId="0" applyNumberFormat="1" applyFont="1" applyFill="1"/>
    <xf numFmtId="4" fontId="128" fillId="0" borderId="0" xfId="1023" applyNumberFormat="1" applyFont="1" applyFill="1" applyBorder="1"/>
    <xf numFmtId="4" fontId="0" fillId="0" borderId="0" xfId="0" applyNumberFormat="1" applyFont="1" applyFill="1" applyBorder="1"/>
    <xf numFmtId="4" fontId="128" fillId="0" borderId="0" xfId="1100" applyNumberFormat="1" applyFont="1" applyFill="1" applyBorder="1"/>
    <xf numFmtId="4" fontId="128" fillId="0" borderId="0" xfId="148" applyNumberFormat="1" applyFont="1" applyFill="1" applyBorder="1"/>
    <xf numFmtId="0" fontId="0" fillId="2" borderId="0" xfId="0" applyFont="1" applyFill="1" applyAlignment="1"/>
    <xf numFmtId="0" fontId="0" fillId="2" borderId="0" xfId="0" applyFont="1" applyFill="1"/>
    <xf numFmtId="0" fontId="0" fillId="0" borderId="0" xfId="0" applyFont="1"/>
    <xf numFmtId="172" fontId="128" fillId="0" borderId="0" xfId="1030" applyNumberFormat="1" applyFont="1" applyFill="1" applyBorder="1"/>
    <xf numFmtId="171" fontId="131" fillId="0" borderId="0" xfId="5" applyNumberFormat="1" applyFont="1" applyFill="1" applyBorder="1"/>
    <xf numFmtId="172" fontId="128" fillId="0" borderId="0" xfId="1018" applyNumberFormat="1" applyFont="1" applyFill="1"/>
    <xf numFmtId="171" fontId="131" fillId="0" borderId="1" xfId="5" applyNumberFormat="1" applyFont="1" applyFill="1" applyBorder="1"/>
    <xf numFmtId="172" fontId="128" fillId="0" borderId="1" xfId="1018" applyNumberFormat="1" applyFont="1" applyFill="1" applyBorder="1"/>
    <xf numFmtId="0" fontId="0" fillId="0" borderId="0" xfId="0" applyFont="1" applyBorder="1"/>
    <xf numFmtId="172" fontId="128" fillId="0" borderId="0" xfId="1011" applyNumberFormat="1" applyFont="1" applyFill="1"/>
    <xf numFmtId="168" fontId="0" fillId="0" borderId="0" xfId="0" applyNumberFormat="1" applyFont="1"/>
    <xf numFmtId="171" fontId="130" fillId="0" borderId="0" xfId="5" applyNumberFormat="1" applyFont="1" applyFill="1" applyBorder="1"/>
    <xf numFmtId="0" fontId="132" fillId="2" borderId="0" xfId="0" applyFont="1" applyFill="1" applyAlignment="1"/>
    <xf numFmtId="0" fontId="133" fillId="2" borderId="0" xfId="4" applyFont="1" applyFill="1" applyAlignment="1" applyProtection="1"/>
    <xf numFmtId="0" fontId="128" fillId="5" borderId="0" xfId="0" applyFont="1" applyFill="1" applyAlignment="1"/>
    <xf numFmtId="0" fontId="134" fillId="2" borderId="0" xfId="4" applyFont="1" applyFill="1" applyAlignment="1" applyProtection="1"/>
    <xf numFmtId="0" fontId="29" fillId="0" borderId="14" xfId="0" applyFont="1" applyFill="1" applyBorder="1" applyAlignment="1">
      <alignment horizontal="left" wrapText="1"/>
    </xf>
    <xf numFmtId="0" fontId="129" fillId="0" borderId="14" xfId="0" applyFont="1" applyBorder="1" applyAlignment="1">
      <alignment wrapText="1"/>
    </xf>
    <xf numFmtId="174" fontId="129" fillId="0" borderId="0" xfId="1096" applyNumberFormat="1" applyFont="1"/>
    <xf numFmtId="168" fontId="128" fillId="0" borderId="0" xfId="148" applyNumberFormat="1" applyFont="1"/>
    <xf numFmtId="8" fontId="128" fillId="0" borderId="0" xfId="803" applyNumberFormat="1" applyFont="1"/>
    <xf numFmtId="172" fontId="128" fillId="0" borderId="0" xfId="803" applyNumberFormat="1" applyFont="1"/>
    <xf numFmtId="172" fontId="128" fillId="0" borderId="0" xfId="1222" applyNumberFormat="1" applyFont="1"/>
    <xf numFmtId="168" fontId="128" fillId="0" borderId="1" xfId="148" applyNumberFormat="1" applyFont="1" applyBorder="1"/>
    <xf numFmtId="8" fontId="128" fillId="0" borderId="1" xfId="803" applyNumberFormat="1" applyFont="1" applyBorder="1"/>
    <xf numFmtId="172" fontId="128" fillId="0" borderId="1" xfId="803" applyNumberFormat="1" applyFont="1" applyBorder="1"/>
    <xf numFmtId="172" fontId="128" fillId="0" borderId="1" xfId="1222" applyNumberFormat="1" applyFont="1" applyBorder="1"/>
    <xf numFmtId="172" fontId="128" fillId="0" borderId="0" xfId="1107" applyNumberFormat="1" applyFont="1"/>
    <xf numFmtId="172" fontId="128" fillId="0" borderId="1" xfId="1107" applyNumberFormat="1" applyFont="1" applyBorder="1"/>
    <xf numFmtId="4" fontId="129" fillId="0" borderId="0" xfId="1006" applyNumberFormat="1" applyFont="1" applyFill="1" applyBorder="1"/>
    <xf numFmtId="4" fontId="128" fillId="0" borderId="0" xfId="803" applyNumberFormat="1" applyFont="1" applyFill="1" applyBorder="1"/>
    <xf numFmtId="172" fontId="128" fillId="0" borderId="0" xfId="803" applyNumberFormat="1" applyFont="1" applyFill="1" applyBorder="1"/>
    <xf numFmtId="168" fontId="128" fillId="0" borderId="0" xfId="148" applyNumberFormat="1" applyFont="1" applyBorder="1"/>
    <xf numFmtId="44" fontId="135" fillId="0" borderId="0" xfId="803" applyNumberFormat="1" applyFont="1" applyBorder="1"/>
    <xf numFmtId="172" fontId="128" fillId="0" borderId="0" xfId="1006" applyNumberFormat="1" applyFont="1" applyBorder="1"/>
    <xf numFmtId="174" fontId="129" fillId="0" borderId="0" xfId="1006" applyNumberFormat="1" applyFont="1" applyBorder="1"/>
    <xf numFmtId="44" fontId="128" fillId="0" borderId="0" xfId="803" applyNumberFormat="1" applyFont="1" applyBorder="1"/>
    <xf numFmtId="172" fontId="128" fillId="0" borderId="0" xfId="803" applyNumberFormat="1" applyFont="1" applyBorder="1"/>
    <xf numFmtId="174" fontId="129" fillId="0" borderId="0" xfId="782" applyNumberFormat="1" applyFont="1" applyBorder="1"/>
    <xf numFmtId="172" fontId="128" fillId="0" borderId="0" xfId="782" applyNumberFormat="1" applyFont="1" applyBorder="1"/>
    <xf numFmtId="44" fontId="0" fillId="0" borderId="0" xfId="0" applyNumberFormat="1" applyFont="1"/>
    <xf numFmtId="174" fontId="129" fillId="0" borderId="0" xfId="0" applyNumberFormat="1" applyFont="1"/>
    <xf numFmtId="174" fontId="129" fillId="0" borderId="1" xfId="0" applyNumberFormat="1" applyFont="1" applyBorder="1"/>
    <xf numFmtId="0" fontId="4" fillId="70" borderId="0" xfId="0" applyFont="1" applyFill="1" applyAlignment="1">
      <alignment horizontal="center"/>
    </xf>
    <xf numFmtId="1" fontId="0" fillId="0" borderId="0" xfId="2" applyNumberFormat="1" applyFont="1"/>
    <xf numFmtId="0" fontId="27" fillId="0" borderId="0" xfId="0" applyFont="1" applyFill="1"/>
    <xf numFmtId="0" fontId="0" fillId="0" borderId="0" xfId="0" applyFill="1"/>
    <xf numFmtId="43" fontId="0" fillId="0" borderId="7" xfId="0" applyNumberFormat="1" applyFill="1" applyBorder="1"/>
    <xf numFmtId="194" fontId="0" fillId="0" borderId="0" xfId="2" applyNumberFormat="1" applyFont="1"/>
    <xf numFmtId="4" fontId="0" fillId="0" borderId="0" xfId="0" applyNumberFormat="1"/>
    <xf numFmtId="8" fontId="128" fillId="0" borderId="0" xfId="1011" applyNumberFormat="1" applyFont="1" applyFill="1" applyBorder="1"/>
    <xf numFmtId="37" fontId="0" fillId="0" borderId="0" xfId="0" applyNumberFormat="1" applyFill="1"/>
    <xf numFmtId="4" fontId="0" fillId="0" borderId="0" xfId="0" applyNumberFormat="1" applyFont="1"/>
    <xf numFmtId="0" fontId="125" fillId="70" borderId="0" xfId="0" applyFont="1" applyFill="1" applyAlignment="1">
      <alignment horizontal="left"/>
    </xf>
    <xf numFmtId="0" fontId="0" fillId="70" borderId="0" xfId="0" applyFont="1" applyFill="1"/>
    <xf numFmtId="0" fontId="0" fillId="0" borderId="0" xfId="0" applyFont="1" applyAlignment="1">
      <alignment wrapText="1"/>
    </xf>
    <xf numFmtId="0" fontId="0" fillId="0" borderId="2" xfId="0" applyFont="1" applyBorder="1"/>
    <xf numFmtId="174" fontId="0" fillId="0" borderId="4" xfId="0" applyNumberFormat="1" applyFont="1" applyBorder="1"/>
    <xf numFmtId="0" fontId="0" fillId="0" borderId="4" xfId="0" applyFont="1" applyBorder="1"/>
    <xf numFmtId="0" fontId="0" fillId="0" borderId="3" xfId="0" applyFont="1" applyBorder="1"/>
    <xf numFmtId="0" fontId="0" fillId="0" borderId="10" xfId="0" applyFont="1" applyBorder="1"/>
    <xf numFmtId="174" fontId="0" fillId="0" borderId="0" xfId="0" applyNumberFormat="1" applyFont="1" applyBorder="1"/>
    <xf numFmtId="0" fontId="0" fillId="0" borderId="7" xfId="0" applyFont="1" applyBorder="1"/>
    <xf numFmtId="173" fontId="0" fillId="0" borderId="0" xfId="0" applyNumberFormat="1" applyFont="1" applyBorder="1"/>
    <xf numFmtId="173" fontId="0" fillId="0" borderId="7" xfId="0" applyNumberFormat="1" applyFont="1" applyBorder="1"/>
    <xf numFmtId="0" fontId="0" fillId="0" borderId="5" xfId="0" applyFont="1" applyBorder="1"/>
    <xf numFmtId="174" fontId="0" fillId="0" borderId="1" xfId="0" applyNumberFormat="1" applyFont="1" applyBorder="1"/>
    <xf numFmtId="0" fontId="0" fillId="0" borderId="1" xfId="0" applyFont="1" applyBorder="1"/>
    <xf numFmtId="0" fontId="0" fillId="0" borderId="6" xfId="0" applyFont="1" applyBorder="1"/>
    <xf numFmtId="0" fontId="29" fillId="0" borderId="0" xfId="0" applyFont="1" applyFill="1" applyAlignment="1"/>
    <xf numFmtId="0" fontId="128" fillId="0" borderId="0" xfId="0" applyFont="1" applyFill="1" applyAlignment="1"/>
    <xf numFmtId="0" fontId="137" fillId="0" borderId="0" xfId="0" applyFont="1" applyFill="1" applyBorder="1" applyAlignment="1"/>
    <xf numFmtId="0" fontId="137" fillId="0" borderId="0" xfId="0" applyFont="1" applyFill="1" applyBorder="1" applyAlignment="1">
      <alignment horizontal="center"/>
    </xf>
    <xf numFmtId="0" fontId="128" fillId="0" borderId="0" xfId="0" applyFont="1" applyFill="1" applyBorder="1" applyAlignment="1">
      <alignment wrapText="1"/>
    </xf>
    <xf numFmtId="0" fontId="128" fillId="0" borderId="8" xfId="0" applyFont="1" applyFill="1" applyBorder="1" applyAlignment="1">
      <alignment horizontal="center" wrapText="1"/>
    </xf>
    <xf numFmtId="0" fontId="128" fillId="0" borderId="9" xfId="0" applyFont="1" applyFill="1" applyBorder="1" applyAlignment="1">
      <alignment horizontal="center" wrapText="1"/>
    </xf>
    <xf numFmtId="0" fontId="128" fillId="0" borderId="12" xfId="0" applyFont="1" applyFill="1" applyBorder="1" applyAlignment="1">
      <alignment horizontal="center" wrapText="1"/>
    </xf>
    <xf numFmtId="0" fontId="128" fillId="0" borderId="0" xfId="0" applyFont="1" applyFill="1" applyBorder="1" applyAlignment="1"/>
    <xf numFmtId="0" fontId="128" fillId="0" borderId="2" xfId="0" applyFont="1" applyFill="1" applyBorder="1" applyAlignment="1">
      <alignment horizontal="center"/>
    </xf>
    <xf numFmtId="0" fontId="128" fillId="0" borderId="4" xfId="0" applyFont="1" applyFill="1" applyBorder="1" applyAlignment="1">
      <alignment horizontal="center"/>
    </xf>
    <xf numFmtId="0" fontId="128" fillId="0" borderId="3" xfId="0" applyFont="1" applyFill="1" applyBorder="1" applyAlignment="1">
      <alignment horizontal="center"/>
    </xf>
    <xf numFmtId="0" fontId="128" fillId="0" borderId="10" xfId="0" applyFont="1" applyFill="1" applyBorder="1" applyAlignment="1">
      <alignment horizontal="center"/>
    </xf>
    <xf numFmtId="0" fontId="128" fillId="0" borderId="0" xfId="0" applyFont="1" applyFill="1" applyBorder="1" applyAlignment="1">
      <alignment horizontal="center"/>
    </xf>
    <xf numFmtId="0" fontId="128" fillId="0" borderId="7" xfId="0" applyFont="1" applyFill="1" applyBorder="1" applyAlignment="1">
      <alignment horizontal="center"/>
    </xf>
    <xf numFmtId="0" fontId="128" fillId="0" borderId="5" xfId="0" applyFont="1" applyFill="1" applyBorder="1" applyAlignment="1">
      <alignment horizontal="center"/>
    </xf>
    <xf numFmtId="0" fontId="128" fillId="0" borderId="1" xfId="0" applyFont="1" applyFill="1" applyBorder="1" applyAlignment="1">
      <alignment horizontal="center"/>
    </xf>
    <xf numFmtId="0" fontId="128" fillId="0" borderId="6" xfId="0" applyFont="1" applyFill="1" applyBorder="1" applyAlignment="1">
      <alignment horizontal="center"/>
    </xf>
    <xf numFmtId="0" fontId="24" fillId="38" borderId="10" xfId="0" applyFont="1" applyFill="1" applyBorder="1" applyAlignment="1">
      <alignment horizontal="right"/>
    </xf>
    <xf numFmtId="0" fontId="16" fillId="38" borderId="0" xfId="0" applyFont="1" applyFill="1" applyBorder="1" applyAlignment="1"/>
    <xf numFmtId="0" fontId="16" fillId="38" borderId="11" xfId="0" applyFont="1" applyFill="1" applyBorder="1" applyAlignment="1">
      <alignment horizontal="center"/>
    </xf>
    <xf numFmtId="0" fontId="16" fillId="38" borderId="10" xfId="0" applyFont="1" applyFill="1" applyBorder="1" applyAlignment="1">
      <alignment horizontal="right"/>
    </xf>
    <xf numFmtId="168" fontId="128" fillId="0" borderId="0" xfId="1" applyNumberFormat="1" applyFont="1" applyFill="1"/>
    <xf numFmtId="44" fontId="128" fillId="0" borderId="0" xfId="2" applyNumberFormat="1" applyFont="1" applyFill="1"/>
    <xf numFmtId="172" fontId="128" fillId="0" borderId="0" xfId="2" applyNumberFormat="1" applyFont="1" applyFill="1"/>
    <xf numFmtId="172" fontId="128" fillId="0" borderId="0" xfId="0" applyNumberFormat="1" applyFont="1" applyFill="1"/>
    <xf numFmtId="3" fontId="128" fillId="0" borderId="0" xfId="0" applyNumberFormat="1" applyFont="1" applyFill="1"/>
    <xf numFmtId="168" fontId="128" fillId="0" borderId="1" xfId="1" applyNumberFormat="1" applyFont="1" applyFill="1" applyBorder="1"/>
    <xf numFmtId="44" fontId="128" fillId="0" borderId="1" xfId="2" applyNumberFormat="1" applyFont="1" applyFill="1" applyBorder="1"/>
    <xf numFmtId="172" fontId="128" fillId="0" borderId="1" xfId="2" applyNumberFormat="1" applyFont="1" applyFill="1" applyBorder="1"/>
    <xf numFmtId="172" fontId="128" fillId="0" borderId="1" xfId="0" applyNumberFormat="1" applyFont="1" applyFill="1" applyBorder="1"/>
    <xf numFmtId="3" fontId="128" fillId="0" borderId="0" xfId="787" applyNumberFormat="1" applyFont="1" applyFill="1"/>
    <xf numFmtId="0" fontId="128" fillId="0" borderId="0" xfId="0" applyFont="1"/>
    <xf numFmtId="171" fontId="128" fillId="0" borderId="0" xfId="5" applyNumberFormat="1" applyFont="1" applyFill="1" applyBorder="1"/>
    <xf numFmtId="171" fontId="128" fillId="0" borderId="1" xfId="5" applyNumberFormat="1" applyFont="1" applyFill="1" applyBorder="1"/>
    <xf numFmtId="171" fontId="29" fillId="0" borderId="0" xfId="5" applyNumberFormat="1" applyFont="1" applyFill="1" applyBorder="1"/>
    <xf numFmtId="0" fontId="29" fillId="0" borderId="14" xfId="5" applyFont="1" applyFill="1" applyBorder="1" applyAlignment="1">
      <alignment horizontal="left"/>
    </xf>
    <xf numFmtId="0" fontId="29" fillId="0" borderId="14" xfId="780" applyFont="1" applyFill="1" applyBorder="1" applyAlignment="1">
      <alignment horizontal="center"/>
    </xf>
    <xf numFmtId="0" fontId="29" fillId="0" borderId="14" xfId="780" applyFont="1" applyFill="1" applyBorder="1" applyAlignment="1">
      <alignment horizontal="left"/>
    </xf>
    <xf numFmtId="172" fontId="128" fillId="0" borderId="0" xfId="1025" applyNumberFormat="1" applyFont="1" applyFill="1" applyBorder="1"/>
    <xf numFmtId="171" fontId="29" fillId="0" borderId="1" xfId="5" applyNumberFormat="1" applyFont="1" applyFill="1" applyBorder="1"/>
    <xf numFmtId="172" fontId="128" fillId="0" borderId="1" xfId="1025" applyNumberFormat="1" applyFont="1" applyFill="1" applyBorder="1"/>
    <xf numFmtId="0" fontId="29" fillId="0" borderId="0" xfId="1019" applyFont="1" applyFill="1" applyAlignment="1">
      <alignment horizontal="right"/>
    </xf>
    <xf numFmtId="172" fontId="128" fillId="0" borderId="0" xfId="1019" applyNumberFormat="1" applyFont="1" applyFill="1" applyBorder="1"/>
    <xf numFmtId="0" fontId="128" fillId="0" borderId="0" xfId="780" applyFont="1" applyFill="1"/>
    <xf numFmtId="172" fontId="128" fillId="0" borderId="0" xfId="780" applyNumberFormat="1" applyFont="1" applyFill="1"/>
    <xf numFmtId="0" fontId="128" fillId="0" borderId="14" xfId="780" applyFont="1" applyFill="1" applyBorder="1" applyAlignment="1">
      <alignment horizontal="center"/>
    </xf>
    <xf numFmtId="172" fontId="128" fillId="0" borderId="14" xfId="780" applyNumberFormat="1" applyFont="1" applyFill="1" applyBorder="1" applyAlignment="1">
      <alignment horizontal="center"/>
    </xf>
    <xf numFmtId="0" fontId="29" fillId="0" borderId="1" xfId="5" applyFont="1" applyFill="1" applyBorder="1" applyAlignment="1">
      <alignment horizontal="left"/>
    </xf>
    <xf numFmtId="0" fontId="29" fillId="0" borderId="14" xfId="1030" applyFont="1" applyFill="1" applyBorder="1" applyAlignment="1">
      <alignment horizontal="center"/>
    </xf>
    <xf numFmtId="0" fontId="29" fillId="0" borderId="14" xfId="1030" applyFont="1" applyFill="1" applyBorder="1" applyAlignment="1">
      <alignment horizontal="left"/>
    </xf>
    <xf numFmtId="171" fontId="128" fillId="0" borderId="0" xfId="5" applyNumberFormat="1" applyFont="1" applyFill="1" applyBorder="1" applyAlignment="1">
      <alignment horizontal="left" indent="1"/>
    </xf>
    <xf numFmtId="171" fontId="128" fillId="0" borderId="1" xfId="5" applyNumberFormat="1" applyFont="1" applyFill="1" applyBorder="1" applyAlignment="1">
      <alignment horizontal="left" indent="1"/>
    </xf>
    <xf numFmtId="172" fontId="128" fillId="0" borderId="1" xfId="1030" applyNumberFormat="1" applyFont="1" applyFill="1" applyBorder="1"/>
    <xf numFmtId="172" fontId="128" fillId="0" borderId="0" xfId="1030" applyNumberFormat="1" applyFont="1" applyFill="1"/>
    <xf numFmtId="0" fontId="29" fillId="0" borderId="14" xfId="1018" applyFont="1" applyFill="1" applyBorder="1" applyAlignment="1">
      <alignment horizontal="center"/>
    </xf>
    <xf numFmtId="0" fontId="29" fillId="0" borderId="14" xfId="1018" applyFont="1" applyFill="1" applyBorder="1" applyAlignment="1">
      <alignment horizontal="left"/>
    </xf>
    <xf numFmtId="0" fontId="29" fillId="0" borderId="14" xfId="1023" applyFont="1" applyFill="1" applyBorder="1" applyAlignment="1">
      <alignment horizontal="center"/>
    </xf>
    <xf numFmtId="0" fontId="29" fillId="0" borderId="14" xfId="1023" applyFont="1" applyFill="1" applyBorder="1" applyAlignment="1">
      <alignment horizontal="left"/>
    </xf>
    <xf numFmtId="172" fontId="128" fillId="0" borderId="0" xfId="1023" applyNumberFormat="1" applyFont="1" applyFill="1" applyBorder="1"/>
    <xf numFmtId="0" fontId="29" fillId="0" borderId="14" xfId="1011" applyFont="1" applyFill="1" applyBorder="1" applyAlignment="1">
      <alignment horizontal="center"/>
    </xf>
    <xf numFmtId="0" fontId="29" fillId="0" borderId="14" xfId="1011" applyFont="1" applyFill="1" applyBorder="1" applyAlignment="1">
      <alignment horizontal="left"/>
    </xf>
    <xf numFmtId="171" fontId="128" fillId="0" borderId="0" xfId="5" applyNumberFormat="1" applyFont="1" applyFill="1" applyBorder="1" applyAlignment="1">
      <alignment horizontal="left"/>
    </xf>
    <xf numFmtId="172" fontId="128" fillId="0" borderId="0" xfId="1011" applyNumberFormat="1" applyFont="1" applyFill="1" applyBorder="1"/>
    <xf numFmtId="172" fontId="128" fillId="0" borderId="1" xfId="1011" applyNumberFormat="1" applyFont="1" applyFill="1" applyBorder="1"/>
    <xf numFmtId="0" fontId="128" fillId="0" borderId="0" xfId="1011" applyFont="1" applyFill="1"/>
    <xf numFmtId="0" fontId="29" fillId="0" borderId="0" xfId="1011" applyFont="1" applyFill="1" applyAlignment="1">
      <alignment horizontal="right"/>
    </xf>
    <xf numFmtId="173" fontId="128" fillId="0" borderId="0" xfId="1011" applyNumberFormat="1" applyFont="1" applyFill="1" applyBorder="1"/>
    <xf numFmtId="168" fontId="128" fillId="0" borderId="0" xfId="1011" applyNumberFormat="1" applyFont="1" applyFill="1"/>
    <xf numFmtId="44" fontId="128" fillId="0" borderId="0" xfId="1011" applyNumberFormat="1" applyFont="1" applyFill="1" applyBorder="1"/>
    <xf numFmtId="0" fontId="132" fillId="0" borderId="0" xfId="0" applyFont="1" applyFill="1" applyAlignment="1"/>
    <xf numFmtId="0" fontId="130" fillId="0" borderId="14" xfId="5" applyFont="1" applyFill="1" applyBorder="1" applyAlignment="1">
      <alignment horizontal="left"/>
    </xf>
    <xf numFmtId="171" fontId="130" fillId="0" borderId="1" xfId="5" applyNumberFormat="1" applyFont="1" applyFill="1" applyBorder="1"/>
    <xf numFmtId="0" fontId="130" fillId="0" borderId="1" xfId="5" applyFont="1" applyFill="1" applyBorder="1" applyAlignment="1">
      <alignment horizontal="left"/>
    </xf>
    <xf numFmtId="171" fontId="131" fillId="0" borderId="0" xfId="5" applyNumberFormat="1" applyFont="1" applyFill="1" applyBorder="1" applyAlignment="1">
      <alignment horizontal="left" indent="1"/>
    </xf>
    <xf numFmtId="171" fontId="131" fillId="0" borderId="1" xfId="5" applyNumberFormat="1" applyFont="1" applyFill="1" applyBorder="1" applyAlignment="1">
      <alignment horizontal="left" indent="1"/>
    </xf>
    <xf numFmtId="171" fontId="131" fillId="0" borderId="0" xfId="5" applyNumberFormat="1" applyFont="1" applyFill="1" applyBorder="1" applyAlignment="1">
      <alignment horizontal="left"/>
    </xf>
    <xf numFmtId="196" fontId="128" fillId="0" borderId="0" xfId="1030" applyNumberFormat="1" applyFont="1" applyFill="1" applyBorder="1"/>
    <xf numFmtId="196" fontId="128" fillId="0" borderId="1" xfId="1030" applyNumberFormat="1" applyFont="1" applyFill="1" applyBorder="1"/>
    <xf numFmtId="196" fontId="128" fillId="0" borderId="0" xfId="1030" applyNumberFormat="1" applyFont="1" applyFill="1"/>
    <xf numFmtId="44" fontId="128" fillId="0" borderId="0" xfId="1030" applyNumberFormat="1" applyFont="1" applyFill="1"/>
    <xf numFmtId="4" fontId="128" fillId="0" borderId="0" xfId="1415" applyNumberFormat="1" applyFont="1" applyFill="1" applyBorder="1"/>
    <xf numFmtId="195" fontId="0" fillId="0" borderId="0" xfId="2" quotePrefix="1" applyNumberFormat="1" applyFont="1"/>
    <xf numFmtId="195" fontId="0" fillId="0" borderId="0" xfId="2" applyNumberFormat="1" applyFont="1"/>
    <xf numFmtId="195" fontId="0" fillId="0" borderId="0" xfId="0" applyNumberFormat="1"/>
    <xf numFmtId="10" fontId="0" fillId="0" borderId="0" xfId="3" applyNumberFormat="1" applyFont="1"/>
    <xf numFmtId="175" fontId="0" fillId="0" borderId="0" xfId="0" applyNumberFormat="1"/>
    <xf numFmtId="9" fontId="0" fillId="0" borderId="0" xfId="3" applyNumberFormat="1" applyFont="1"/>
    <xf numFmtId="3" fontId="0" fillId="0" borderId="0" xfId="0" applyNumberFormat="1" applyFont="1" applyFill="1" applyAlignment="1"/>
    <xf numFmtId="2" fontId="0" fillId="0" borderId="0" xfId="0" applyNumberFormat="1"/>
    <xf numFmtId="43" fontId="0" fillId="0" borderId="0" xfId="1" applyFont="1" applyBorder="1"/>
    <xf numFmtId="43" fontId="0" fillId="6" borderId="0" xfId="1" applyFont="1" applyFill="1" applyBorder="1"/>
    <xf numFmtId="2" fontId="0" fillId="6" borderId="0" xfId="0" applyNumberFormat="1" applyFill="1" applyBorder="1"/>
    <xf numFmtId="0" fontId="3" fillId="0" borderId="0" xfId="0" applyFont="1" applyAlignment="1">
      <alignment horizontal="left" vertical="top"/>
    </xf>
  </cellXfs>
  <cellStyles count="1435">
    <cellStyle name="_%(SignOnly)" xfId="13"/>
    <cellStyle name="_%(SignOnly) 2" xfId="14"/>
    <cellStyle name="_%(SignOnly) 2 2" xfId="690"/>
    <cellStyle name="_%(SignOnly) 3" xfId="691"/>
    <cellStyle name="_%(SignSpaceOnly)" xfId="15"/>
    <cellStyle name="_%(SignSpaceOnly) 2" xfId="16"/>
    <cellStyle name="_%(SignSpaceOnly) 2 2" xfId="692"/>
    <cellStyle name="_%(SignSpaceOnly) 3" xfId="693"/>
    <cellStyle name="_Comma" xfId="17"/>
    <cellStyle name="_Comma 2" xfId="18"/>
    <cellStyle name="_Comma 2 2" xfId="694"/>
    <cellStyle name="_Comma 3" xfId="695"/>
    <cellStyle name="_Currency" xfId="19"/>
    <cellStyle name="_Currency 2" xfId="20"/>
    <cellStyle name="_Currency 2 2" xfId="696"/>
    <cellStyle name="_Currency 3" xfId="697"/>
    <cellStyle name="_CurrencySpace" xfId="21"/>
    <cellStyle name="_CurrencySpace 2" xfId="22"/>
    <cellStyle name="_CurrencySpace 2 2" xfId="698"/>
    <cellStyle name="_CurrencySpace 3" xfId="699"/>
    <cellStyle name="_Euro" xfId="23"/>
    <cellStyle name="_Euro 2" xfId="24"/>
    <cellStyle name="_Euro 2 2" xfId="700"/>
    <cellStyle name="_Euro 3" xfId="701"/>
    <cellStyle name="_Heading" xfId="25"/>
    <cellStyle name="_Highlight" xfId="26"/>
    <cellStyle name="_Highlight 2" xfId="27"/>
    <cellStyle name="_Highlight 2 2" xfId="702"/>
    <cellStyle name="_Highlight 3" xfId="703"/>
    <cellStyle name="_Multiple" xfId="28"/>
    <cellStyle name="_Multiple 2" xfId="29"/>
    <cellStyle name="_Multiple 2 2" xfId="704"/>
    <cellStyle name="_Multiple 3" xfId="705"/>
    <cellStyle name="_MultipleSpace" xfId="30"/>
    <cellStyle name="_MultipleSpace 2" xfId="31"/>
    <cellStyle name="_MultipleSpace 2 2" xfId="706"/>
    <cellStyle name="_MultipleSpace 3" xfId="707"/>
    <cellStyle name="_SubHeading" xfId="32"/>
    <cellStyle name="_Table" xfId="33"/>
    <cellStyle name="_TableHead" xfId="34"/>
    <cellStyle name="_TableRowHead" xfId="35"/>
    <cellStyle name="_TableSuperHead" xfId="36"/>
    <cellStyle name="20% - Accent1" xfId="1063" builtinId="30" customBuiltin="1"/>
    <cellStyle name="20% - Accent1 2" xfId="38"/>
    <cellStyle name="20% - Accent1 2 2" xfId="340"/>
    <cellStyle name="20% - Accent1 2 2 2" xfId="412"/>
    <cellStyle name="20% - Accent1 2 2 3" xfId="1186"/>
    <cellStyle name="20% - Accent1 3" xfId="39"/>
    <cellStyle name="20% - Accent1 4" xfId="40"/>
    <cellStyle name="20% - Accent1 5" xfId="37"/>
    <cellStyle name="20% - Accent1 6" xfId="455"/>
    <cellStyle name="20% - Accent1 7" xfId="1156"/>
    <cellStyle name="20% - Accent2" xfId="1067" builtinId="34" customBuiltin="1"/>
    <cellStyle name="20% - Accent2 2" xfId="42"/>
    <cellStyle name="20% - Accent2 2 2" xfId="341"/>
    <cellStyle name="20% - Accent2 2 2 2" xfId="413"/>
    <cellStyle name="20% - Accent2 2 2 3" xfId="1187"/>
    <cellStyle name="20% - Accent2 3" xfId="43"/>
    <cellStyle name="20% - Accent2 4" xfId="44"/>
    <cellStyle name="20% - Accent2 5" xfId="41"/>
    <cellStyle name="20% - Accent2 6" xfId="456"/>
    <cellStyle name="20% - Accent2 7" xfId="1160"/>
    <cellStyle name="20% - Accent3" xfId="1071" builtinId="38" customBuiltin="1"/>
    <cellStyle name="20% - Accent3 2" xfId="46"/>
    <cellStyle name="20% - Accent3 2 2" xfId="342"/>
    <cellStyle name="20% - Accent3 2 2 2" xfId="414"/>
    <cellStyle name="20% - Accent3 2 2 3" xfId="1188"/>
    <cellStyle name="20% - Accent3 3" xfId="47"/>
    <cellStyle name="20% - Accent3 4" xfId="48"/>
    <cellStyle name="20% - Accent3 5" xfId="45"/>
    <cellStyle name="20% - Accent3 6" xfId="457"/>
    <cellStyle name="20% - Accent3 7" xfId="1164"/>
    <cellStyle name="20% - Accent4" xfId="1075" builtinId="42" customBuiltin="1"/>
    <cellStyle name="20% - Accent4 2" xfId="50"/>
    <cellStyle name="20% - Accent4 2 2" xfId="343"/>
    <cellStyle name="20% - Accent4 2 2 2" xfId="415"/>
    <cellStyle name="20% - Accent4 2 2 3" xfId="1189"/>
    <cellStyle name="20% - Accent4 3" xfId="51"/>
    <cellStyle name="20% - Accent4 4" xfId="52"/>
    <cellStyle name="20% - Accent4 5" xfId="49"/>
    <cellStyle name="20% - Accent4 6" xfId="458"/>
    <cellStyle name="20% - Accent4 7" xfId="1168"/>
    <cellStyle name="20% - Accent5" xfId="1079" builtinId="46" customBuiltin="1"/>
    <cellStyle name="20% - Accent5 2" xfId="54"/>
    <cellStyle name="20% - Accent5 2 2" xfId="344"/>
    <cellStyle name="20% - Accent5 2 2 2" xfId="416"/>
    <cellStyle name="20% - Accent5 2 2 3" xfId="1190"/>
    <cellStyle name="20% - Accent5 3" xfId="55"/>
    <cellStyle name="20% - Accent5 4" xfId="56"/>
    <cellStyle name="20% - Accent5 5" xfId="53"/>
    <cellStyle name="20% - Accent5 6" xfId="459"/>
    <cellStyle name="20% - Accent5 7" xfId="1172"/>
    <cellStyle name="20% - Accent6" xfId="1083" builtinId="50" customBuiltin="1"/>
    <cellStyle name="20% - Accent6 2" xfId="58"/>
    <cellStyle name="20% - Accent6 2 2" xfId="345"/>
    <cellStyle name="20% - Accent6 2 2 2" xfId="417"/>
    <cellStyle name="20% - Accent6 2 2 3" xfId="1191"/>
    <cellStyle name="20% - Accent6 3" xfId="59"/>
    <cellStyle name="20% - Accent6 4" xfId="60"/>
    <cellStyle name="20% - Accent6 5" xfId="57"/>
    <cellStyle name="20% - Accent6 6" xfId="460"/>
    <cellStyle name="20% - Accent6 7" xfId="1176"/>
    <cellStyle name="40% - Accent1" xfId="1064" builtinId="31" customBuiltin="1"/>
    <cellStyle name="40% - Accent1 2" xfId="62"/>
    <cellStyle name="40% - Accent1 2 2" xfId="346"/>
    <cellStyle name="40% - Accent1 2 2 2" xfId="418"/>
    <cellStyle name="40% - Accent1 2 2 3" xfId="1192"/>
    <cellStyle name="40% - Accent1 3" xfId="63"/>
    <cellStyle name="40% - Accent1 4" xfId="64"/>
    <cellStyle name="40% - Accent1 5" xfId="61"/>
    <cellStyle name="40% - Accent1 6" xfId="461"/>
    <cellStyle name="40% - Accent1 7" xfId="1157"/>
    <cellStyle name="40% - Accent2" xfId="1068" builtinId="35" customBuiltin="1"/>
    <cellStyle name="40% - Accent2 2" xfId="66"/>
    <cellStyle name="40% - Accent2 2 2" xfId="347"/>
    <cellStyle name="40% - Accent2 2 2 2" xfId="419"/>
    <cellStyle name="40% - Accent2 2 2 3" xfId="1193"/>
    <cellStyle name="40% - Accent2 3" xfId="67"/>
    <cellStyle name="40% - Accent2 4" xfId="68"/>
    <cellStyle name="40% - Accent2 5" xfId="65"/>
    <cellStyle name="40% - Accent2 6" xfId="462"/>
    <cellStyle name="40% - Accent2 7" xfId="1161"/>
    <cellStyle name="40% - Accent3" xfId="1072" builtinId="39" customBuiltin="1"/>
    <cellStyle name="40% - Accent3 2" xfId="70"/>
    <cellStyle name="40% - Accent3 2 2" xfId="348"/>
    <cellStyle name="40% - Accent3 2 2 2" xfId="420"/>
    <cellStyle name="40% - Accent3 2 2 3" xfId="1194"/>
    <cellStyle name="40% - Accent3 3" xfId="71"/>
    <cellStyle name="40% - Accent3 4" xfId="72"/>
    <cellStyle name="40% - Accent3 5" xfId="69"/>
    <cellStyle name="40% - Accent3 6" xfId="463"/>
    <cellStyle name="40% - Accent3 7" xfId="1165"/>
    <cellStyle name="40% - Accent4" xfId="1076" builtinId="43" customBuiltin="1"/>
    <cellStyle name="40% - Accent4 2" xfId="74"/>
    <cellStyle name="40% - Accent4 2 2" xfId="349"/>
    <cellStyle name="40% - Accent4 2 2 2" xfId="421"/>
    <cellStyle name="40% - Accent4 2 2 3" xfId="1195"/>
    <cellStyle name="40% - Accent4 3" xfId="75"/>
    <cellStyle name="40% - Accent4 4" xfId="76"/>
    <cellStyle name="40% - Accent4 5" xfId="73"/>
    <cellStyle name="40% - Accent4 6" xfId="464"/>
    <cellStyle name="40% - Accent4 7" xfId="1169"/>
    <cellStyle name="40% - Accent5" xfId="1080" builtinId="47" customBuiltin="1"/>
    <cellStyle name="40% - Accent5 2" xfId="78"/>
    <cellStyle name="40% - Accent5 2 2" xfId="350"/>
    <cellStyle name="40% - Accent5 2 2 2" xfId="422"/>
    <cellStyle name="40% - Accent5 2 2 3" xfId="1196"/>
    <cellStyle name="40% - Accent5 3" xfId="79"/>
    <cellStyle name="40% - Accent5 4" xfId="80"/>
    <cellStyle name="40% - Accent5 5" xfId="77"/>
    <cellStyle name="40% - Accent5 6" xfId="465"/>
    <cellStyle name="40% - Accent5 7" xfId="1173"/>
    <cellStyle name="40% - Accent6" xfId="1084" builtinId="51" customBuiltin="1"/>
    <cellStyle name="40% - Accent6 2" xfId="82"/>
    <cellStyle name="40% - Accent6 2 2" xfId="351"/>
    <cellStyle name="40% - Accent6 2 2 2" xfId="423"/>
    <cellStyle name="40% - Accent6 2 2 3" xfId="1197"/>
    <cellStyle name="40% - Accent6 3" xfId="83"/>
    <cellStyle name="40% - Accent6 4" xfId="84"/>
    <cellStyle name="40% - Accent6 5" xfId="81"/>
    <cellStyle name="40% - Accent6 6" xfId="466"/>
    <cellStyle name="40% - Accent6 7" xfId="1177"/>
    <cellStyle name="60% - Accent1" xfId="1065" builtinId="32" customBuiltin="1"/>
    <cellStyle name="60% - Accent1 2" xfId="86"/>
    <cellStyle name="60% - Accent1 2 2" xfId="352"/>
    <cellStyle name="60% - Accent1 2 2 2" xfId="424"/>
    <cellStyle name="60% - Accent1 2 2 3" xfId="1198"/>
    <cellStyle name="60% - Accent1 3" xfId="87"/>
    <cellStyle name="60% - Accent1 4" xfId="88"/>
    <cellStyle name="60% - Accent1 5" xfId="85"/>
    <cellStyle name="60% - Accent1 6" xfId="467"/>
    <cellStyle name="60% - Accent1 7" xfId="1158"/>
    <cellStyle name="60% - Accent2" xfId="1069" builtinId="36" customBuiltin="1"/>
    <cellStyle name="60% - Accent2 2" xfId="90"/>
    <cellStyle name="60% - Accent2 2 2" xfId="353"/>
    <cellStyle name="60% - Accent2 2 2 2" xfId="425"/>
    <cellStyle name="60% - Accent2 2 2 3" xfId="1199"/>
    <cellStyle name="60% - Accent2 3" xfId="91"/>
    <cellStyle name="60% - Accent2 4" xfId="92"/>
    <cellStyle name="60% - Accent2 5" xfId="89"/>
    <cellStyle name="60% - Accent2 6" xfId="468"/>
    <cellStyle name="60% - Accent2 7" xfId="1162"/>
    <cellStyle name="60% - Accent3" xfId="1073" builtinId="40" customBuiltin="1"/>
    <cellStyle name="60% - Accent3 2" xfId="94"/>
    <cellStyle name="60% - Accent3 2 2" xfId="354"/>
    <cellStyle name="60% - Accent3 2 2 2" xfId="426"/>
    <cellStyle name="60% - Accent3 2 2 3" xfId="1200"/>
    <cellStyle name="60% - Accent3 3" xfId="95"/>
    <cellStyle name="60% - Accent3 4" xfId="96"/>
    <cellStyle name="60% - Accent3 5" xfId="93"/>
    <cellStyle name="60% - Accent3 6" xfId="469"/>
    <cellStyle name="60% - Accent3 7" xfId="1166"/>
    <cellStyle name="60% - Accent4" xfId="1077" builtinId="44" customBuiltin="1"/>
    <cellStyle name="60% - Accent4 2" xfId="98"/>
    <cellStyle name="60% - Accent4 2 2" xfId="355"/>
    <cellStyle name="60% - Accent4 2 2 2" xfId="427"/>
    <cellStyle name="60% - Accent4 2 2 3" xfId="1201"/>
    <cellStyle name="60% - Accent4 3" xfId="99"/>
    <cellStyle name="60% - Accent4 4" xfId="100"/>
    <cellStyle name="60% - Accent4 5" xfId="97"/>
    <cellStyle name="60% - Accent4 6" xfId="470"/>
    <cellStyle name="60% - Accent4 7" xfId="1170"/>
    <cellStyle name="60% - Accent5" xfId="1081" builtinId="48" customBuiltin="1"/>
    <cellStyle name="60% - Accent5 2" xfId="102"/>
    <cellStyle name="60% - Accent5 2 2" xfId="356"/>
    <cellStyle name="60% - Accent5 2 2 2" xfId="428"/>
    <cellStyle name="60% - Accent5 2 2 3" xfId="1202"/>
    <cellStyle name="60% - Accent5 3" xfId="103"/>
    <cellStyle name="60% - Accent5 4" xfId="104"/>
    <cellStyle name="60% - Accent5 5" xfId="101"/>
    <cellStyle name="60% - Accent5 6" xfId="471"/>
    <cellStyle name="60% - Accent5 7" xfId="1174"/>
    <cellStyle name="60% - Accent6" xfId="1085" builtinId="52" customBuiltin="1"/>
    <cellStyle name="60% - Accent6 2" xfId="106"/>
    <cellStyle name="60% - Accent6 2 2" xfId="357"/>
    <cellStyle name="60% - Accent6 2 2 2" xfId="429"/>
    <cellStyle name="60% - Accent6 2 2 3" xfId="1203"/>
    <cellStyle name="60% - Accent6 3" xfId="107"/>
    <cellStyle name="60% - Accent6 4" xfId="108"/>
    <cellStyle name="60% - Accent6 5" xfId="105"/>
    <cellStyle name="60% - Accent6 6" xfId="472"/>
    <cellStyle name="60% - Accent6 7" xfId="1178"/>
    <cellStyle name="Accent1" xfId="1062" builtinId="29" customBuiltin="1"/>
    <cellStyle name="Accent1 2" xfId="110"/>
    <cellStyle name="Accent1 2 2" xfId="358"/>
    <cellStyle name="Accent1 2 2 2" xfId="430"/>
    <cellStyle name="Accent1 2 2 3" xfId="1204"/>
    <cellStyle name="Accent1 3" xfId="111"/>
    <cellStyle name="Accent1 4" xfId="112"/>
    <cellStyle name="Accent1 5" xfId="109"/>
    <cellStyle name="Accent1 6" xfId="473"/>
    <cellStyle name="Accent1 7" xfId="1155"/>
    <cellStyle name="Accent2" xfId="1066" builtinId="33" customBuiltin="1"/>
    <cellStyle name="Accent2 2" xfId="114"/>
    <cellStyle name="Accent2 2 2" xfId="359"/>
    <cellStyle name="Accent2 2 2 2" xfId="431"/>
    <cellStyle name="Accent2 2 2 3" xfId="1205"/>
    <cellStyle name="Accent2 3" xfId="115"/>
    <cellStyle name="Accent2 4" xfId="116"/>
    <cellStyle name="Accent2 5" xfId="113"/>
    <cellStyle name="Accent2 6" xfId="474"/>
    <cellStyle name="Accent2 7" xfId="1159"/>
    <cellStyle name="Accent3" xfId="1070" builtinId="37" customBuiltin="1"/>
    <cellStyle name="Accent3 2" xfId="118"/>
    <cellStyle name="Accent3 2 2" xfId="360"/>
    <cellStyle name="Accent3 2 2 2" xfId="432"/>
    <cellStyle name="Accent3 2 2 3" xfId="1206"/>
    <cellStyle name="Accent3 3" xfId="119"/>
    <cellStyle name="Accent3 4" xfId="120"/>
    <cellStyle name="Accent3 5" xfId="117"/>
    <cellStyle name="Accent3 6" xfId="475"/>
    <cellStyle name="Accent3 7" xfId="1163"/>
    <cellStyle name="Accent4" xfId="1074" builtinId="41" customBuiltin="1"/>
    <cellStyle name="Accent4 2" xfId="122"/>
    <cellStyle name="Accent4 2 2" xfId="361"/>
    <cellStyle name="Accent4 2 2 2" xfId="433"/>
    <cellStyle name="Accent4 2 2 3" xfId="1207"/>
    <cellStyle name="Accent4 3" xfId="123"/>
    <cellStyle name="Accent4 4" xfId="124"/>
    <cellStyle name="Accent4 5" xfId="121"/>
    <cellStyle name="Accent4 6" xfId="476"/>
    <cellStyle name="Accent4 7" xfId="1167"/>
    <cellStyle name="Accent5" xfId="1078" builtinId="45" customBuiltin="1"/>
    <cellStyle name="Accent5 2" xfId="126"/>
    <cellStyle name="Accent5 2 2" xfId="362"/>
    <cellStyle name="Accent5 2 2 2" xfId="434"/>
    <cellStyle name="Accent5 2 2 3" xfId="1208"/>
    <cellStyle name="Accent5 3" xfId="127"/>
    <cellStyle name="Accent5 4" xfId="128"/>
    <cellStyle name="Accent5 5" xfId="125"/>
    <cellStyle name="Accent5 6" xfId="477"/>
    <cellStyle name="Accent5 7" xfId="1171"/>
    <cellStyle name="Accent6" xfId="1082" builtinId="49" customBuiltin="1"/>
    <cellStyle name="Accent6 2" xfId="130"/>
    <cellStyle name="Accent6 2 2" xfId="363"/>
    <cellStyle name="Accent6 2 2 2" xfId="435"/>
    <cellStyle name="Accent6 2 2 3" xfId="1209"/>
    <cellStyle name="Accent6 3" xfId="131"/>
    <cellStyle name="Accent6 4" xfId="132"/>
    <cellStyle name="Accent6 5" xfId="129"/>
    <cellStyle name="Accent6 6" xfId="478"/>
    <cellStyle name="Accent6 7" xfId="1175"/>
    <cellStyle name="Actual Date" xfId="364"/>
    <cellStyle name="Actual Date 2" xfId="479"/>
    <cellStyle name="Adjustable" xfId="133"/>
    <cellStyle name="Adjustable 2" xfId="480"/>
    <cellStyle name="Bad" xfId="1051" builtinId="27" customBuiltin="1"/>
    <cellStyle name="Bad 2" xfId="135"/>
    <cellStyle name="Bad 2 2" xfId="365"/>
    <cellStyle name="Bad 2 2 2" xfId="436"/>
    <cellStyle name="Bad 2 2 3" xfId="1210"/>
    <cellStyle name="Bad 3" xfId="136"/>
    <cellStyle name="Bad 4" xfId="137"/>
    <cellStyle name="Bad 5" xfId="134"/>
    <cellStyle name="Bad 6" xfId="481"/>
    <cellStyle name="Bad 7" xfId="1144"/>
    <cellStyle name="Calculation" xfId="1055" builtinId="22" customBuiltin="1"/>
    <cellStyle name="Calculation 2" xfId="139"/>
    <cellStyle name="Calculation 2 2" xfId="366"/>
    <cellStyle name="Calculation 2 2 2" xfId="437"/>
    <cellStyle name="Calculation 2 2 3" xfId="1211"/>
    <cellStyle name="Calculation 3" xfId="140"/>
    <cellStyle name="Calculation 3 2" xfId="482"/>
    <cellStyle name="Calculation 4" xfId="141"/>
    <cellStyle name="Calculation 4 2" xfId="483"/>
    <cellStyle name="Calculation 5" xfId="138"/>
    <cellStyle name="Calculation 5 2" xfId="484"/>
    <cellStyle name="Calculation 6" xfId="485"/>
    <cellStyle name="Calculation 7" xfId="1148"/>
    <cellStyle name="Check Cell" xfId="1057" builtinId="23" customBuiltin="1"/>
    <cellStyle name="Check Cell 2" xfId="143"/>
    <cellStyle name="Check Cell 2 2" xfId="367"/>
    <cellStyle name="Check Cell 2 2 2" xfId="438"/>
    <cellStyle name="Check Cell 2 2 3" xfId="1212"/>
    <cellStyle name="Check Cell 3" xfId="144"/>
    <cellStyle name="Check Cell 4" xfId="145"/>
    <cellStyle name="Check Cell 5" xfId="142"/>
    <cellStyle name="Check Cell 6" xfId="486"/>
    <cellStyle name="Check Cell 7" xfId="1150"/>
    <cellStyle name="Comma" xfId="1" builtinId="3"/>
    <cellStyle name="Comma 0" xfId="147"/>
    <cellStyle name="Comma 10" xfId="148"/>
    <cellStyle name="Comma 11" xfId="149"/>
    <cellStyle name="Comma 12" xfId="146"/>
    <cellStyle name="Comma 12 2" xfId="487"/>
    <cellStyle name="Comma 12 2 2" xfId="1434"/>
    <cellStyle name="Comma 12 3" xfId="678"/>
    <cellStyle name="Comma 13" xfId="488"/>
    <cellStyle name="Comma 13 2" xfId="489"/>
    <cellStyle name="Comma 13 3" xfId="490"/>
    <cellStyle name="Comma 13 3 2" xfId="837"/>
    <cellStyle name="Comma 13 3 2 2" xfId="898"/>
    <cellStyle name="Comma 13 3 2 2 2" xfId="1228"/>
    <cellStyle name="Comma 13 3 2 3" xfId="1227"/>
    <cellStyle name="Comma 13 3 3" xfId="920"/>
    <cellStyle name="Comma 13 3 3 2" xfId="1229"/>
    <cellStyle name="Comma 13 3 4" xfId="883"/>
    <cellStyle name="Comma 13 3 4 2" xfId="1230"/>
    <cellStyle name="Comma 13 3 5" xfId="979"/>
    <cellStyle name="Comma 13 3 5 2" xfId="1231"/>
    <cellStyle name="Comma 13 3 6" xfId="822"/>
    <cellStyle name="Comma 13 3 6 2" xfId="1232"/>
    <cellStyle name="Comma 13 3 7" xfId="1226"/>
    <cellStyle name="Comma 14" xfId="491"/>
    <cellStyle name="Comma 14 2" xfId="492"/>
    <cellStyle name="Comma 14 2 2" xfId="493"/>
    <cellStyle name="Comma 14 3" xfId="494"/>
    <cellStyle name="Comma 15" xfId="495"/>
    <cellStyle name="Comma 15 2" xfId="496"/>
    <cellStyle name="Comma 15 2 2" xfId="497"/>
    <cellStyle name="Comma 15 2 2 2" xfId="840"/>
    <cellStyle name="Comma 15 2 2 2 2" xfId="901"/>
    <cellStyle name="Comma 15 2 2 2 2 2" xfId="1237"/>
    <cellStyle name="Comma 15 2 2 2 3" xfId="1236"/>
    <cellStyle name="Comma 15 2 2 3" xfId="923"/>
    <cellStyle name="Comma 15 2 2 3 2" xfId="1238"/>
    <cellStyle name="Comma 15 2 2 4" xfId="886"/>
    <cellStyle name="Comma 15 2 2 4 2" xfId="1239"/>
    <cellStyle name="Comma 15 2 2 5" xfId="982"/>
    <cellStyle name="Comma 15 2 2 5 2" xfId="1240"/>
    <cellStyle name="Comma 15 2 2 6" xfId="825"/>
    <cellStyle name="Comma 15 2 2 6 2" xfId="1241"/>
    <cellStyle name="Comma 15 2 2 7" xfId="1235"/>
    <cellStyle name="Comma 15 2 3" xfId="839"/>
    <cellStyle name="Comma 15 2 3 2" xfId="900"/>
    <cellStyle name="Comma 15 2 3 2 2" xfId="1243"/>
    <cellStyle name="Comma 15 2 3 3" xfId="1242"/>
    <cellStyle name="Comma 15 2 4" xfId="922"/>
    <cellStyle name="Comma 15 2 4 2" xfId="1244"/>
    <cellStyle name="Comma 15 2 5" xfId="885"/>
    <cellStyle name="Comma 15 2 5 2" xfId="1245"/>
    <cellStyle name="Comma 15 2 6" xfId="981"/>
    <cellStyle name="Comma 15 2 6 2" xfId="1246"/>
    <cellStyle name="Comma 15 2 7" xfId="824"/>
    <cellStyle name="Comma 15 2 7 2" xfId="1247"/>
    <cellStyle name="Comma 15 2 8" xfId="1234"/>
    <cellStyle name="Comma 15 3" xfId="498"/>
    <cellStyle name="Comma 15 3 2" xfId="841"/>
    <cellStyle name="Comma 15 3 2 2" xfId="902"/>
    <cellStyle name="Comma 15 3 2 2 2" xfId="1250"/>
    <cellStyle name="Comma 15 3 2 3" xfId="1249"/>
    <cellStyle name="Comma 15 3 3" xfId="924"/>
    <cellStyle name="Comma 15 3 3 2" xfId="1251"/>
    <cellStyle name="Comma 15 3 4" xfId="887"/>
    <cellStyle name="Comma 15 3 4 2" xfId="1252"/>
    <cellStyle name="Comma 15 3 5" xfId="983"/>
    <cellStyle name="Comma 15 3 5 2" xfId="1253"/>
    <cellStyle name="Comma 15 3 6" xfId="826"/>
    <cellStyle name="Comma 15 3 6 2" xfId="1254"/>
    <cellStyle name="Comma 15 3 7" xfId="1248"/>
    <cellStyle name="Comma 15 4" xfId="838"/>
    <cellStyle name="Comma 15 4 2" xfId="899"/>
    <cellStyle name="Comma 15 4 2 2" xfId="1256"/>
    <cellStyle name="Comma 15 4 3" xfId="1255"/>
    <cellStyle name="Comma 15 5" xfId="921"/>
    <cellStyle name="Comma 15 5 2" xfId="1257"/>
    <cellStyle name="Comma 15 6" xfId="884"/>
    <cellStyle name="Comma 15 6 2" xfId="1258"/>
    <cellStyle name="Comma 15 7" xfId="980"/>
    <cellStyle name="Comma 15 7 2" xfId="1259"/>
    <cellStyle name="Comma 15 8" xfId="823"/>
    <cellStyle name="Comma 15 8 2" xfId="1260"/>
    <cellStyle name="Comma 15 9" xfId="1233"/>
    <cellStyle name="Comma 16" xfId="499"/>
    <cellStyle name="Comma 17" xfId="500"/>
    <cellStyle name="Comma 18" xfId="676"/>
    <cellStyle name="Comma 18 2" xfId="973"/>
    <cellStyle name="Comma 18 2 2" xfId="1262"/>
    <cellStyle name="Comma 18 3" xfId="919"/>
    <cellStyle name="Comma 18 3 2" xfId="1263"/>
    <cellStyle name="Comma 18 4" xfId="1261"/>
    <cellStyle name="Comma 19" xfId="1132"/>
    <cellStyle name="Comma 2" xfId="150"/>
    <cellStyle name="Comma 2 2" xfId="151"/>
    <cellStyle name="Comma 2 2 2" xfId="368"/>
    <cellStyle name="Comma 2 2 2 2" xfId="501"/>
    <cellStyle name="Comma 2 2 2 3" xfId="925"/>
    <cellStyle name="Comma 2 2 3" xfId="502"/>
    <cellStyle name="Comma 2 2 4" xfId="708"/>
    <cellStyle name="Comma 2 2 4 2" xfId="842"/>
    <cellStyle name="Comma 2 2_Augmentation" xfId="503"/>
    <cellStyle name="Comma 2 3" xfId="152"/>
    <cellStyle name="Comma 2 3 2" xfId="504"/>
    <cellStyle name="Comma 2 3 3" xfId="843"/>
    <cellStyle name="Comma 2 3 3 2" xfId="903"/>
    <cellStyle name="Comma 2 3 3 2 2" xfId="1265"/>
    <cellStyle name="Comma 2 3 3 3" xfId="1264"/>
    <cellStyle name="Comma 2 3 4" xfId="878"/>
    <cellStyle name="Comma 2 3 4 2" xfId="1266"/>
    <cellStyle name="Comma 2 3 5" xfId="799"/>
    <cellStyle name="Comma 2 3 5 2" xfId="1267"/>
    <cellStyle name="Comma 2 4" xfId="331"/>
    <cellStyle name="Comma 2 4 2" xfId="505"/>
    <cellStyle name="Comma 2 4 3" xfId="683"/>
    <cellStyle name="Comma 2 5" xfId="506"/>
    <cellStyle name="Comma 3" xfId="153"/>
    <cellStyle name="Comma 3 2" xfId="439"/>
    <cellStyle name="Comma 4" xfId="154"/>
    <cellStyle name="Comma 4 2" xfId="507"/>
    <cellStyle name="Comma 5" xfId="155"/>
    <cellStyle name="Comma 5 2" xfId="156"/>
    <cellStyle name="Comma 5 2 2" xfId="508"/>
    <cellStyle name="Comma 5 3" xfId="157"/>
    <cellStyle name="Comma 6" xfId="158"/>
    <cellStyle name="Comma 6 2" xfId="159"/>
    <cellStyle name="Comma 6 2 2" xfId="509"/>
    <cellStyle name="Comma 6 3" xfId="510"/>
    <cellStyle name="Comma 7" xfId="160"/>
    <cellStyle name="Comma 7 2" xfId="161"/>
    <cellStyle name="Comma 7 2 2" xfId="511"/>
    <cellStyle name="Comma 7 3" xfId="512"/>
    <cellStyle name="Comma 8" xfId="162"/>
    <cellStyle name="Comma 8 2" xfId="163"/>
    <cellStyle name="Comma 9" xfId="164"/>
    <cellStyle name="Comma 9 2" xfId="513"/>
    <cellStyle name="Comma0 - Style1" xfId="369"/>
    <cellStyle name="Currency" xfId="2" builtinId="4"/>
    <cellStyle name="Currency 0" xfId="166"/>
    <cellStyle name="Currency 10" xfId="514"/>
    <cellStyle name="Currency 10 2" xfId="926"/>
    <cellStyle name="Currency 10 3" xfId="803"/>
    <cellStyle name="Currency 11" xfId="515"/>
    <cellStyle name="Currency 12" xfId="668"/>
    <cellStyle name="Currency 2" xfId="167"/>
    <cellStyle name="Currency 2 2" xfId="370"/>
    <cellStyle name="Currency 2 2 2" xfId="440"/>
    <cellStyle name="Currency 2 2 3" xfId="927"/>
    <cellStyle name="Currency 2 3" xfId="516"/>
    <cellStyle name="Currency 2 4" xfId="709"/>
    <cellStyle name="Currency 2 4 2" xfId="844"/>
    <cellStyle name="Currency 2 5" xfId="1225"/>
    <cellStyle name="Currency 2_Augmentation" xfId="517"/>
    <cellStyle name="Currency 3" xfId="168"/>
    <cellStyle name="Currency 3 2" xfId="518"/>
    <cellStyle name="Currency 4" xfId="169"/>
    <cellStyle name="Currency 5" xfId="170"/>
    <cellStyle name="Currency 6" xfId="165"/>
    <cellStyle name="Currency 6 2" xfId="519"/>
    <cellStyle name="Currency 6 3" xfId="679"/>
    <cellStyle name="Currency 7" xfId="520"/>
    <cellStyle name="Currency 7 2" xfId="521"/>
    <cellStyle name="Currency 7 3" xfId="522"/>
    <cellStyle name="Currency 7 3 2" xfId="845"/>
    <cellStyle name="Currency 7 3 2 2" xfId="904"/>
    <cellStyle name="Currency 7 3 2 2 2" xfId="1270"/>
    <cellStyle name="Currency 7 3 2 3" xfId="1269"/>
    <cellStyle name="Currency 7 3 3" xfId="928"/>
    <cellStyle name="Currency 7 3 3 2" xfId="1271"/>
    <cellStyle name="Currency 7 3 4" xfId="888"/>
    <cellStyle name="Currency 7 3 4 2" xfId="1272"/>
    <cellStyle name="Currency 7 3 5" xfId="984"/>
    <cellStyle name="Currency 7 3 5 2" xfId="1273"/>
    <cellStyle name="Currency 7 3 6" xfId="827"/>
    <cellStyle name="Currency 7 3 6 2" xfId="1274"/>
    <cellStyle name="Currency 7 3 7" xfId="1268"/>
    <cellStyle name="Currency 8" xfId="523"/>
    <cellStyle name="Currency 8 2" xfId="524"/>
    <cellStyle name="Currency 8 3" xfId="525"/>
    <cellStyle name="Currency 9" xfId="526"/>
    <cellStyle name="Currency 9 2" xfId="527"/>
    <cellStyle name="Currency 9 2 2" xfId="528"/>
    <cellStyle name="Currency 9 2 2 2" xfId="847"/>
    <cellStyle name="Currency 9 2 2 2 2" xfId="906"/>
    <cellStyle name="Currency 9 2 2 2 2 2" xfId="1279"/>
    <cellStyle name="Currency 9 2 2 2 3" xfId="1278"/>
    <cellStyle name="Currency 9 2 2 3" xfId="931"/>
    <cellStyle name="Currency 9 2 2 3 2" xfId="1280"/>
    <cellStyle name="Currency 9 2 2 4" xfId="890"/>
    <cellStyle name="Currency 9 2 2 4 2" xfId="1281"/>
    <cellStyle name="Currency 9 2 2 5" xfId="987"/>
    <cellStyle name="Currency 9 2 2 5 2" xfId="1282"/>
    <cellStyle name="Currency 9 2 2 6" xfId="829"/>
    <cellStyle name="Currency 9 2 2 6 2" xfId="1283"/>
    <cellStyle name="Currency 9 2 2 7" xfId="1277"/>
    <cellStyle name="Currency 9 2 3" xfId="846"/>
    <cellStyle name="Currency 9 2 3 2" xfId="905"/>
    <cellStyle name="Currency 9 2 3 2 2" xfId="1285"/>
    <cellStyle name="Currency 9 2 3 3" xfId="1284"/>
    <cellStyle name="Currency 9 2 4" xfId="930"/>
    <cellStyle name="Currency 9 2 4 2" xfId="1286"/>
    <cellStyle name="Currency 9 2 5" xfId="889"/>
    <cellStyle name="Currency 9 2 5 2" xfId="1287"/>
    <cellStyle name="Currency 9 2 6" xfId="986"/>
    <cellStyle name="Currency 9 2 6 2" xfId="1288"/>
    <cellStyle name="Currency 9 2 7" xfId="828"/>
    <cellStyle name="Currency 9 2 7 2" xfId="1289"/>
    <cellStyle name="Currency 9 2 8" xfId="1276"/>
    <cellStyle name="Currency 9 3" xfId="529"/>
    <cellStyle name="Currency 9 3 2" xfId="848"/>
    <cellStyle name="Currency 9 3 2 2" xfId="907"/>
    <cellStyle name="Currency 9 3 2 2 2" xfId="1292"/>
    <cellStyle name="Currency 9 3 2 3" xfId="1291"/>
    <cellStyle name="Currency 9 3 3" xfId="932"/>
    <cellStyle name="Currency 9 3 3 2" xfId="1293"/>
    <cellStyle name="Currency 9 3 4" xfId="891"/>
    <cellStyle name="Currency 9 3 4 2" xfId="1294"/>
    <cellStyle name="Currency 9 3 5" xfId="988"/>
    <cellStyle name="Currency 9 3 5 2" xfId="1295"/>
    <cellStyle name="Currency 9 3 6" xfId="830"/>
    <cellStyle name="Currency 9 3 6 2" xfId="1296"/>
    <cellStyle name="Currency 9 3 7" xfId="1290"/>
    <cellStyle name="Currency 9 4" xfId="929"/>
    <cellStyle name="Currency 9 4 2" xfId="1297"/>
    <cellStyle name="Currency 9 5" xfId="985"/>
    <cellStyle name="Currency 9 5 2" xfId="1298"/>
    <cellStyle name="Currency 9 6" xfId="810"/>
    <cellStyle name="Currency 9 7" xfId="1275"/>
    <cellStyle name="Date" xfId="171"/>
    <cellStyle name="Date 2" xfId="172"/>
    <cellStyle name="Date 2 2" xfId="710"/>
    <cellStyle name="Date 3" xfId="371"/>
    <cellStyle name="Date 3 2" xfId="933"/>
    <cellStyle name="Date 3 3" xfId="805"/>
    <cellStyle name="Date 4" xfId="711"/>
    <cellStyle name="Date Aligned" xfId="173"/>
    <cellStyle name="Date_Augmentation" xfId="530"/>
    <cellStyle name="Dotted Line" xfId="174"/>
    <cellStyle name="Euro" xfId="372"/>
    <cellStyle name="Euro 2" xfId="712"/>
    <cellStyle name="Euro 2 2" xfId="849"/>
    <cellStyle name="Explanatory Text" xfId="1060" builtinId="53" customBuiltin="1"/>
    <cellStyle name="Explanatory Text 2" xfId="176"/>
    <cellStyle name="Explanatory Text 2 2" xfId="373"/>
    <cellStyle name="Explanatory Text 2 2 2" xfId="441"/>
    <cellStyle name="Explanatory Text 2 2 3" xfId="1213"/>
    <cellStyle name="Explanatory Text 3" xfId="177"/>
    <cellStyle name="Explanatory Text 4" xfId="178"/>
    <cellStyle name="Explanatory Text 5" xfId="175"/>
    <cellStyle name="Explanatory Text 6" xfId="531"/>
    <cellStyle name="Explanatory Text 7" xfId="1153"/>
    <cellStyle name="F2" xfId="532"/>
    <cellStyle name="F2 2" xfId="533"/>
    <cellStyle name="F2 2 2" xfId="534"/>
    <cellStyle name="F3" xfId="535"/>
    <cellStyle name="F3 2" xfId="536"/>
    <cellStyle name="F3 3" xfId="537"/>
    <cellStyle name="F3 3 2" xfId="538"/>
    <cellStyle name="F4" xfId="539"/>
    <cellStyle name="F4 2" xfId="540"/>
    <cellStyle name="F4 2 2" xfId="541"/>
    <cellStyle name="F5" xfId="542"/>
    <cellStyle name="F5 2" xfId="543"/>
    <cellStyle name="F5 3" xfId="544"/>
    <cellStyle name="F5 3 2" xfId="545"/>
    <cellStyle name="F6" xfId="546"/>
    <cellStyle name="F6 2" xfId="547"/>
    <cellStyle name="F6 2 2" xfId="548"/>
    <cellStyle name="F7" xfId="549"/>
    <cellStyle name="F7 2" xfId="550"/>
    <cellStyle name="F7 3" xfId="551"/>
    <cellStyle name="F7 3 2" xfId="552"/>
    <cellStyle name="F8" xfId="553"/>
    <cellStyle name="F8 2" xfId="554"/>
    <cellStyle name="F8 2 2" xfId="555"/>
    <cellStyle name="Fixed" xfId="374"/>
    <cellStyle name="Fixed 2" xfId="375"/>
    <cellStyle name="Fixed 2 2" xfId="556"/>
    <cellStyle name="Fixed 3" xfId="713"/>
    <cellStyle name="Fixed 3 2" xfId="850"/>
    <cellStyle name="Fixed1 - Style1" xfId="376"/>
    <cellStyle name="Footnote" xfId="179"/>
    <cellStyle name="Good" xfId="1050" builtinId="26" customBuiltin="1"/>
    <cellStyle name="Good 2" xfId="181"/>
    <cellStyle name="Good 2 2" xfId="377"/>
    <cellStyle name="Good 2 2 2" xfId="442"/>
    <cellStyle name="Good 2 2 3" xfId="1214"/>
    <cellStyle name="Good 3" xfId="182"/>
    <cellStyle name="Good 4" xfId="183"/>
    <cellStyle name="Good 5" xfId="180"/>
    <cellStyle name="Good 6" xfId="557"/>
    <cellStyle name="Good 7" xfId="1143"/>
    <cellStyle name="Grey" xfId="378"/>
    <cellStyle name="Grey 2" xfId="558"/>
    <cellStyle name="Hard Percent" xfId="184"/>
    <cellStyle name="Header" xfId="185"/>
    <cellStyle name="HEADER 2" xfId="379"/>
    <cellStyle name="Header 2 2" xfId="559"/>
    <cellStyle name="Heading 1" xfId="1046" builtinId="16" customBuiltin="1"/>
    <cellStyle name="Heading 1 2" xfId="187"/>
    <cellStyle name="Heading 1 3" xfId="188"/>
    <cellStyle name="Heading 1 4" xfId="189"/>
    <cellStyle name="Heading 1 5" xfId="186"/>
    <cellStyle name="Heading 1 6" xfId="560"/>
    <cellStyle name="Heading 1 7" xfId="1139"/>
    <cellStyle name="Heading 2" xfId="1047" builtinId="17" customBuiltin="1"/>
    <cellStyle name="Heading 2 2" xfId="191"/>
    <cellStyle name="Heading 2 3" xfId="192"/>
    <cellStyle name="Heading 2 4" xfId="193"/>
    <cellStyle name="Heading 2 5" xfId="190"/>
    <cellStyle name="Heading 2 6" xfId="561"/>
    <cellStyle name="Heading 2 7" xfId="1140"/>
    <cellStyle name="Heading 3" xfId="1048" builtinId="18" customBuiltin="1"/>
    <cellStyle name="Heading 3 2" xfId="195"/>
    <cellStyle name="Heading 3 3" xfId="196"/>
    <cellStyle name="Heading 3 4" xfId="197"/>
    <cellStyle name="Heading 3 5" xfId="194"/>
    <cellStyle name="Heading 3 6" xfId="562"/>
    <cellStyle name="Heading 3 7" xfId="1141"/>
    <cellStyle name="Heading 4" xfId="1049" builtinId="19" customBuiltin="1"/>
    <cellStyle name="Heading 4 2" xfId="199"/>
    <cellStyle name="Heading 4 3" xfId="200"/>
    <cellStyle name="Heading 4 4" xfId="201"/>
    <cellStyle name="Heading 4 5" xfId="198"/>
    <cellStyle name="Heading 4 6" xfId="563"/>
    <cellStyle name="Heading 4 7" xfId="1142"/>
    <cellStyle name="Heading1" xfId="380"/>
    <cellStyle name="Heading1 2" xfId="381"/>
    <cellStyle name="Heading1 2 2" xfId="564"/>
    <cellStyle name="Heading1 3" xfId="714"/>
    <cellStyle name="Heading1 3 2" xfId="851"/>
    <cellStyle name="Heading2" xfId="382"/>
    <cellStyle name="Heading2 2" xfId="383"/>
    <cellStyle name="Heading2 2 2" xfId="565"/>
    <cellStyle name="Heading2 3" xfId="715"/>
    <cellStyle name="Heading2 3 2" xfId="852"/>
    <cellStyle name="HIGHLIGHT" xfId="384"/>
    <cellStyle name="HIGHLIGHT 2" xfId="566"/>
    <cellStyle name="Hyperlink" xfId="4" builtinId="8"/>
    <cellStyle name="Hyperlink 2" xfId="202"/>
    <cellStyle name="Hyperlink 2 2" xfId="203"/>
    <cellStyle name="Hyperlink 2 2 2" xfId="716"/>
    <cellStyle name="Hyperlink 2 3" xfId="333"/>
    <cellStyle name="Hyperlink 2_Augmentation" xfId="567"/>
    <cellStyle name="Hyperlink 3" xfId="204"/>
    <cellStyle name="Hyperlink 3 2" xfId="443"/>
    <cellStyle name="Hyperlink 3 2 2" xfId="934"/>
    <cellStyle name="Hyperlink 3 2 3" xfId="806"/>
    <cellStyle name="Hyperlink 3 3" xfId="1183"/>
    <cellStyle name="Hyperlink 4" xfId="332"/>
    <cellStyle name="Hyperlink 4 2" xfId="444"/>
    <cellStyle name="Hyperlink 4 3" xfId="1185"/>
    <cellStyle name="Hyperlink 5" xfId="568"/>
    <cellStyle name="Input" xfId="1053" builtinId="20" customBuiltin="1"/>
    <cellStyle name="Input [yellow]" xfId="385"/>
    <cellStyle name="Input [yellow] 2" xfId="569"/>
    <cellStyle name="Input [yellow] 2 2" xfId="570"/>
    <cellStyle name="Input [yellow] 3" xfId="571"/>
    <cellStyle name="Input 10" xfId="717"/>
    <cellStyle name="Input 11" xfId="718"/>
    <cellStyle name="Input 12" xfId="719"/>
    <cellStyle name="Input 13" xfId="720"/>
    <cellStyle name="Input 14" xfId="721"/>
    <cellStyle name="Input 15" xfId="722"/>
    <cellStyle name="Input 16" xfId="723"/>
    <cellStyle name="Input 17" xfId="724"/>
    <cellStyle name="Input 18" xfId="725"/>
    <cellStyle name="Input 19" xfId="726"/>
    <cellStyle name="Input 2" xfId="206"/>
    <cellStyle name="Input 2 2" xfId="386"/>
    <cellStyle name="Input 2 2 2" xfId="445"/>
    <cellStyle name="Input 2 2 3" xfId="1215"/>
    <cellStyle name="Input 20" xfId="727"/>
    <cellStyle name="Input 21" xfId="728"/>
    <cellStyle name="Input 22" xfId="729"/>
    <cellStyle name="Input 23" xfId="730"/>
    <cellStyle name="Input 24" xfId="669"/>
    <cellStyle name="Input 25" xfId="672"/>
    <cellStyle name="Input 26" xfId="688"/>
    <cellStyle name="Input 27" xfId="781"/>
    <cellStyle name="Input 27 2" xfId="1146"/>
    <cellStyle name="Input 28" xfId="784"/>
    <cellStyle name="Input 28 2" xfId="1182"/>
    <cellStyle name="Input 29" xfId="797"/>
    <cellStyle name="Input 29 2" xfId="1179"/>
    <cellStyle name="Input 3" xfId="207"/>
    <cellStyle name="Input 3 2" xfId="572"/>
    <cellStyle name="Input 30" xfId="791"/>
    <cellStyle name="Input 31" xfId="779"/>
    <cellStyle name="Input 32" xfId="1007"/>
    <cellStyle name="Input 33" xfId="778"/>
    <cellStyle name="Input 34" xfId="785"/>
    <cellStyle name="Input 35" xfId="1017"/>
    <cellStyle name="Input 36" xfId="1012"/>
    <cellStyle name="Input 37" xfId="1040"/>
    <cellStyle name="Input 38" xfId="1028"/>
    <cellStyle name="Input 39" xfId="1036"/>
    <cellStyle name="Input 4" xfId="208"/>
    <cellStyle name="Input 4 2" xfId="573"/>
    <cellStyle name="Input 40" xfId="1015"/>
    <cellStyle name="Input 41" xfId="1027"/>
    <cellStyle name="Input 42" xfId="1013"/>
    <cellStyle name="Input 43" xfId="1014"/>
    <cellStyle name="Input 44" xfId="1016"/>
    <cellStyle name="Input 45" xfId="1098"/>
    <cellStyle name="Input 46" xfId="1105"/>
    <cellStyle name="Input 47" xfId="1223"/>
    <cellStyle name="Input 48" xfId="1113"/>
    <cellStyle name="Input 49" xfId="1092"/>
    <cellStyle name="Input 5" xfId="205"/>
    <cellStyle name="Input 5 2" xfId="574"/>
    <cellStyle name="Input 50" xfId="1087"/>
    <cellStyle name="Input 51" xfId="1108"/>
    <cellStyle name="Input 52" xfId="1109"/>
    <cellStyle name="Input 53" xfId="1089"/>
    <cellStyle name="Input 54" xfId="1102"/>
    <cellStyle name="Input 55" xfId="1399"/>
    <cellStyle name="Input 56" xfId="1220"/>
    <cellStyle name="Input 57" xfId="1394"/>
    <cellStyle name="Input 58" xfId="1424"/>
    <cellStyle name="Input 59" xfId="1427"/>
    <cellStyle name="Input 6" xfId="329"/>
    <cellStyle name="Input 6 2" xfId="575"/>
    <cellStyle name="Input 60" xfId="1430"/>
    <cellStyle name="Input 7" xfId="323"/>
    <cellStyle name="Input 7 2" xfId="576"/>
    <cellStyle name="Input 8" xfId="325"/>
    <cellStyle name="Input 9" xfId="328"/>
    <cellStyle name="Linked Cell" xfId="1056" builtinId="24" customBuiltin="1"/>
    <cellStyle name="Linked Cell 2" xfId="210"/>
    <cellStyle name="Linked Cell 2 2" xfId="387"/>
    <cellStyle name="Linked Cell 2 2 2" xfId="446"/>
    <cellStyle name="Linked Cell 2 2 3" xfId="1216"/>
    <cellStyle name="Linked Cell 3" xfId="211"/>
    <cellStyle name="Linked Cell 4" xfId="212"/>
    <cellStyle name="Linked Cell 5" xfId="209"/>
    <cellStyle name="Linked Cell 6" xfId="577"/>
    <cellStyle name="Linked Cell 7" xfId="1149"/>
    <cellStyle name="Multiple" xfId="213"/>
    <cellStyle name="Neutral" xfId="1052" builtinId="28" customBuiltin="1"/>
    <cellStyle name="Neutral 2" xfId="215"/>
    <cellStyle name="Neutral 2 2" xfId="388"/>
    <cellStyle name="Neutral 2 2 2" xfId="447"/>
    <cellStyle name="Neutral 2 2 3" xfId="1217"/>
    <cellStyle name="Neutral 3" xfId="216"/>
    <cellStyle name="Neutral 4" xfId="217"/>
    <cellStyle name="Neutral 5" xfId="214"/>
    <cellStyle name="Neutral 6" xfId="578"/>
    <cellStyle name="Neutral 7" xfId="1145"/>
    <cellStyle name="no dec" xfId="389"/>
    <cellStyle name="no dec 2" xfId="579"/>
    <cellStyle name="no dec 2 2" xfId="580"/>
    <cellStyle name="Normal" xfId="0" builtinId="0"/>
    <cellStyle name="Normal - Style1" xfId="390"/>
    <cellStyle name="Normal - Style1 2" xfId="581"/>
    <cellStyle name="Normal 10" xfId="322"/>
    <cellStyle name="Normal 10 2" xfId="583"/>
    <cellStyle name="Normal 10 2 2" xfId="853"/>
    <cellStyle name="Normal 10 2 2 2" xfId="908"/>
    <cellStyle name="Normal 10 2 2 2 2" xfId="1301"/>
    <cellStyle name="Normal 10 2 2 3" xfId="1300"/>
    <cellStyle name="Normal 10 2 3" xfId="936"/>
    <cellStyle name="Normal 10 2 3 2" xfId="1302"/>
    <cellStyle name="Normal 10 2 4" xfId="892"/>
    <cellStyle name="Normal 10 2 4 2" xfId="1303"/>
    <cellStyle name="Normal 10 2 5" xfId="989"/>
    <cellStyle name="Normal 10 2 5 2" xfId="1304"/>
    <cellStyle name="Normal 10 2 6" xfId="831"/>
    <cellStyle name="Normal 10 2 6 2" xfId="1305"/>
    <cellStyle name="Normal 10 2 7" xfId="1299"/>
    <cellStyle name="Normal 10 3" xfId="582"/>
    <cellStyle name="Normal 10 4" xfId="935"/>
    <cellStyle name="Normal 10 5" xfId="1000"/>
    <cellStyle name="Normal 10 5 2" xfId="1306"/>
    <cellStyle name="Normal 11" xfId="410"/>
    <cellStyle name="Normal 11 2" xfId="585"/>
    <cellStyle name="Normal 11 2 2" xfId="854"/>
    <cellStyle name="Normal 11 2 2 2" xfId="909"/>
    <cellStyle name="Normal 11 2 2 2 2" xfId="1309"/>
    <cellStyle name="Normal 11 2 2 3" xfId="1308"/>
    <cellStyle name="Normal 11 2 3" xfId="938"/>
    <cellStyle name="Normal 11 2 3 2" xfId="1310"/>
    <cellStyle name="Normal 11 2 4" xfId="893"/>
    <cellStyle name="Normal 11 2 4 2" xfId="1311"/>
    <cellStyle name="Normal 11 2 5" xfId="990"/>
    <cellStyle name="Normal 11 2 5 2" xfId="1312"/>
    <cellStyle name="Normal 11 2 6" xfId="832"/>
    <cellStyle name="Normal 11 2 6 2" xfId="1313"/>
    <cellStyle name="Normal 11 2 7" xfId="1307"/>
    <cellStyle name="Normal 11 3" xfId="584"/>
    <cellStyle name="Normal 11 4" xfId="937"/>
    <cellStyle name="Normal 11 5" xfId="1001"/>
    <cellStyle name="Normal 11 5 2" xfId="1314"/>
    <cellStyle name="Normal 12" xfId="409"/>
    <cellStyle name="Normal 12 2" xfId="586"/>
    <cellStyle name="Normal 12 3" xfId="1002"/>
    <cellStyle name="Normal 12 3 2" xfId="1315"/>
    <cellStyle name="Normal 13" xfId="411"/>
    <cellStyle name="Normal 13 2" xfId="587"/>
    <cellStyle name="Normal 13 3" xfId="939"/>
    <cellStyle name="Normal 13 4" xfId="811"/>
    <cellStyle name="Normal 13 5" xfId="1003"/>
    <cellStyle name="Normal 13 5 2" xfId="1316"/>
    <cellStyle name="Normal 14" xfId="588"/>
    <cellStyle name="Normal 14 2" xfId="589"/>
    <cellStyle name="Normal 14 2 2" xfId="590"/>
    <cellStyle name="Normal 14 2 2 2" xfId="856"/>
    <cellStyle name="Normal 14 2 2 2 2" xfId="911"/>
    <cellStyle name="Normal 14 2 2 2 2 2" xfId="1321"/>
    <cellStyle name="Normal 14 2 2 2 3" xfId="1320"/>
    <cellStyle name="Normal 14 2 2 3" xfId="942"/>
    <cellStyle name="Normal 14 2 2 3 2" xfId="1322"/>
    <cellStyle name="Normal 14 2 2 4" xfId="895"/>
    <cellStyle name="Normal 14 2 2 4 2" xfId="1323"/>
    <cellStyle name="Normal 14 2 2 5" xfId="993"/>
    <cellStyle name="Normal 14 2 2 5 2" xfId="1324"/>
    <cellStyle name="Normal 14 2 2 6" xfId="834"/>
    <cellStyle name="Normal 14 2 2 6 2" xfId="1325"/>
    <cellStyle name="Normal 14 2 2 7" xfId="1319"/>
    <cellStyle name="Normal 14 2 3" xfId="855"/>
    <cellStyle name="Normal 14 2 3 2" xfId="910"/>
    <cellStyle name="Normal 14 2 3 2 2" xfId="1327"/>
    <cellStyle name="Normal 14 2 3 3" xfId="1326"/>
    <cellStyle name="Normal 14 2 4" xfId="941"/>
    <cellStyle name="Normal 14 2 4 2" xfId="1328"/>
    <cellStyle name="Normal 14 2 5" xfId="894"/>
    <cellStyle name="Normal 14 2 5 2" xfId="1329"/>
    <cellStyle name="Normal 14 2 6" xfId="992"/>
    <cellStyle name="Normal 14 2 6 2" xfId="1330"/>
    <cellStyle name="Normal 14 2 7" xfId="833"/>
    <cellStyle name="Normal 14 2 7 2" xfId="1331"/>
    <cellStyle name="Normal 14 2 8" xfId="1318"/>
    <cellStyle name="Normal 14 3" xfId="591"/>
    <cellStyle name="Normal 14 3 2" xfId="857"/>
    <cellStyle name="Normal 14 3 2 2" xfId="912"/>
    <cellStyle name="Normal 14 3 2 2 2" xfId="1334"/>
    <cellStyle name="Normal 14 3 2 3" xfId="1333"/>
    <cellStyle name="Normal 14 3 3" xfId="943"/>
    <cellStyle name="Normal 14 3 3 2" xfId="1335"/>
    <cellStyle name="Normal 14 3 4" xfId="896"/>
    <cellStyle name="Normal 14 3 4 2" xfId="1336"/>
    <cellStyle name="Normal 14 3 5" xfId="994"/>
    <cellStyle name="Normal 14 3 5 2" xfId="1337"/>
    <cellStyle name="Normal 14 3 6" xfId="835"/>
    <cellStyle name="Normal 14 3 6 2" xfId="1338"/>
    <cellStyle name="Normal 14 3 7" xfId="1332"/>
    <cellStyle name="Normal 14 4" xfId="940"/>
    <cellStyle name="Normal 14 4 2" xfId="1339"/>
    <cellStyle name="Normal 14 5" xfId="991"/>
    <cellStyle name="Normal 14 5 2" xfId="1340"/>
    <cellStyle name="Normal 14 6" xfId="809"/>
    <cellStyle name="Normal 14 7" xfId="1317"/>
    <cellStyle name="Normal 15" xfId="592"/>
    <cellStyle name="Normal 15 2" xfId="944"/>
    <cellStyle name="Normal 15 3" xfId="812"/>
    <cellStyle name="Normal 16" xfId="593"/>
    <cellStyle name="Normal 16 2" xfId="945"/>
    <cellStyle name="Normal 16 3" xfId="815"/>
    <cellStyle name="Normal 17" xfId="594"/>
    <cellStyle name="Normal 17 2" xfId="858"/>
    <cellStyle name="Normal 17 3" xfId="946"/>
    <cellStyle name="Normal 17 4" xfId="816"/>
    <cellStyle name="Normal 18" xfId="595"/>
    <cellStyle name="Normal 18 2" xfId="859"/>
    <cellStyle name="Normal 18 3" xfId="947"/>
    <cellStyle name="Normal 18 4" xfId="819"/>
    <cellStyle name="Normal 19" xfId="596"/>
    <cellStyle name="Normal 19 2" xfId="860"/>
    <cellStyle name="Normal 19 3" xfId="948"/>
    <cellStyle name="Normal 19 3 2" xfId="1342"/>
    <cellStyle name="Normal 19 4" xfId="995"/>
    <cellStyle name="Normal 19 4 2" xfId="1343"/>
    <cellStyle name="Normal 19 5" xfId="820"/>
    <cellStyle name="Normal 19 6" xfId="1341"/>
    <cellStyle name="Normal 2" xfId="218"/>
    <cellStyle name="Normal 2 2" xfId="597"/>
    <cellStyle name="Normal 2 3" xfId="1131"/>
    <cellStyle name="Normal 2 3 2" xfId="1224"/>
    <cellStyle name="Normal 2 4" xfId="1129"/>
    <cellStyle name="Normal 20" xfId="598"/>
    <cellStyle name="Normal 20 2" xfId="861"/>
    <cellStyle name="Normal 20 3" xfId="949"/>
    <cellStyle name="Normal 20 3 2" xfId="1345"/>
    <cellStyle name="Normal 20 4" xfId="996"/>
    <cellStyle name="Normal 20 4 2" xfId="1346"/>
    <cellStyle name="Normal 20 5" xfId="821"/>
    <cellStyle name="Normal 20 6" xfId="1344"/>
    <cellStyle name="Normal 21" xfId="599"/>
    <cellStyle name="Normal 22" xfId="600"/>
    <cellStyle name="Normal 23" xfId="601"/>
    <cellStyle name="Normal 24" xfId="454"/>
    <cellStyle name="Normal 25" xfId="658"/>
    <cellStyle name="Normal 26" xfId="674"/>
    <cellStyle name="Normal 26 2" xfId="971"/>
    <cellStyle name="Normal 26 2 2" xfId="1348"/>
    <cellStyle name="Normal 26 3" xfId="918"/>
    <cellStyle name="Normal 26 3 2" xfId="1349"/>
    <cellStyle name="Normal 26 4" xfId="1347"/>
    <cellStyle name="Normal 27" xfId="682"/>
    <cellStyle name="Normal 27 2" xfId="975"/>
    <cellStyle name="Normal 27 2 2" xfId="1351"/>
    <cellStyle name="Normal 27 3" xfId="876"/>
    <cellStyle name="Normal 27 4" xfId="1350"/>
    <cellStyle name="Normal 28" xfId="667"/>
    <cellStyle name="Normal 28 2" xfId="877"/>
    <cellStyle name="Normal 28 2 2" xfId="1033"/>
    <cellStyle name="Normal 28 3" xfId="1042"/>
    <cellStyle name="Normal 29" xfId="689"/>
    <cellStyle name="Normal 29 2" xfId="960"/>
    <cellStyle name="Normal 29 2 2" xfId="1035"/>
    <cellStyle name="Normal 29 3" xfId="1044"/>
    <cellStyle name="Normal 3" xfId="219"/>
    <cellStyle name="Normal 3 2" xfId="602"/>
    <cellStyle name="Normal 3 2 2" xfId="862"/>
    <cellStyle name="Normal 30" xfId="687"/>
    <cellStyle name="Normal 30 2" xfId="961"/>
    <cellStyle name="Normal 30 2 2" xfId="1034"/>
    <cellStyle name="Normal 30 3" xfId="1043"/>
    <cellStyle name="Normal 31" xfId="789"/>
    <cellStyle name="Normal 31 2" xfId="962"/>
    <cellStyle name="Normal 31 3" xfId="1114"/>
    <cellStyle name="Normal 32" xfId="792"/>
    <cellStyle name="Normal 32 2" xfId="963"/>
    <cellStyle name="Normal 32 2 2" xfId="1126"/>
    <cellStyle name="Normal 32 3" xfId="1123"/>
    <cellStyle name="Normal 32 4" xfId="1118"/>
    <cellStyle name="Normal 33" xfId="964"/>
    <cellStyle name="Normal 33 2" xfId="1127"/>
    <cellStyle name="Normal 33 3" xfId="1124"/>
    <cellStyle name="Normal 33 4" xfId="1119"/>
    <cellStyle name="Normal 34" xfId="968"/>
    <cellStyle name="Normal 34 2" xfId="1128"/>
    <cellStyle name="Normal 34 3" xfId="1125"/>
    <cellStyle name="Normal 34 4" xfId="1120"/>
    <cellStyle name="Normal 35" xfId="798"/>
    <cellStyle name="Normal 35 2" xfId="1137"/>
    <cellStyle name="Normal 36" xfId="999"/>
    <cellStyle name="Normal 36 2" xfId="1136"/>
    <cellStyle name="Normal 37" xfId="780"/>
    <cellStyle name="Normal 37 2" xfId="1180"/>
    <cellStyle name="Normal 38" xfId="795"/>
    <cellStyle name="Normal 38 2" xfId="1135"/>
    <cellStyle name="Normal 39" xfId="782"/>
    <cellStyle name="Normal 39 2" xfId="1133"/>
    <cellStyle name="Normal 4" xfId="220"/>
    <cellStyle name="Normal 4 2" xfId="391"/>
    <cellStyle name="Normal 4 2 2" xfId="603"/>
    <cellStyle name="Normal 4 2 2 2" xfId="951"/>
    <cellStyle name="Normal 4 2 2 3" xfId="913"/>
    <cellStyle name="Normal 4 2 2 3 2" xfId="1353"/>
    <cellStyle name="Normal 4 2 2 4" xfId="863"/>
    <cellStyle name="Normal 4 2 2 4 2" xfId="1354"/>
    <cellStyle name="Normal 4 2 3" xfId="684"/>
    <cellStyle name="Normal 4 2 3 2" xfId="976"/>
    <cellStyle name="Normal 4 2 3 2 2" xfId="1356"/>
    <cellStyle name="Normal 4 2 3 3" xfId="950"/>
    <cellStyle name="Normal 4 2 3 3 2" xfId="1357"/>
    <cellStyle name="Normal 4 2 3 4" xfId="1355"/>
    <cellStyle name="Normal 4 2 4" xfId="881"/>
    <cellStyle name="Normal 4 2 4 2" xfId="1358"/>
    <cellStyle name="Normal 4 2 5" xfId="966"/>
    <cellStyle name="Normal 4 2 5 2" xfId="1359"/>
    <cellStyle name="Normal 4 2 6" xfId="969"/>
    <cellStyle name="Normal 4 2 6 2" xfId="1360"/>
    <cellStyle name="Normal 4 2 7" xfId="817"/>
    <cellStyle name="Normal 4 2 7 2" xfId="1361"/>
    <cellStyle name="Normal 4 2 8" xfId="1352"/>
    <cellStyle name="Normal 40" xfId="1006"/>
    <cellStyle name="Normal 41" xfId="787"/>
    <cellStyle name="Normal 42" xfId="1005"/>
    <cellStyle name="Normal 43" xfId="1025"/>
    <cellStyle name="Normal 43 2" xfId="1405"/>
    <cellStyle name="Normal 44" xfId="1019"/>
    <cellStyle name="Normal 44 2" xfId="1403"/>
    <cellStyle name="Normal 45" xfId="1030"/>
    <cellStyle name="Normal 45 2" xfId="1407"/>
    <cellStyle name="Normal 46" xfId="1018"/>
    <cellStyle name="Normal 46 2" xfId="1402"/>
    <cellStyle name="Normal 47" xfId="1039"/>
    <cellStyle name="Normal 47 2" xfId="1409"/>
    <cellStyle name="Normal 48" xfId="1032"/>
    <cellStyle name="Normal 48 2" xfId="1408"/>
    <cellStyle name="Normal 49" xfId="1026"/>
    <cellStyle name="Normal 49 2" xfId="1406"/>
    <cellStyle name="Normal 5" xfId="221"/>
    <cellStyle name="Normal 5 2" xfId="392"/>
    <cellStyle name="Normal 5 2 2" xfId="685"/>
    <cellStyle name="Normal 5 2 2 2" xfId="914"/>
    <cellStyle name="Normal 5 2 2 2 2" xfId="1364"/>
    <cellStyle name="Normal 5 2 2 3" xfId="977"/>
    <cellStyle name="Normal 5 2 2 3 2" xfId="1365"/>
    <cellStyle name="Normal 5 2 2 4" xfId="864"/>
    <cellStyle name="Normal 5 2 2 4 2" xfId="1366"/>
    <cellStyle name="Normal 5 2 2 5" xfId="1363"/>
    <cellStyle name="Normal 5 2 3" xfId="731"/>
    <cellStyle name="Normal 5 2 3 2" xfId="998"/>
    <cellStyle name="Normal 5 2 3 2 2" xfId="1368"/>
    <cellStyle name="Normal 5 2 3 3" xfId="952"/>
    <cellStyle name="Normal 5 2 3 3 2" xfId="1369"/>
    <cellStyle name="Normal 5 2 3 4" xfId="1367"/>
    <cellStyle name="Normal 5 2 4" xfId="882"/>
    <cellStyle name="Normal 5 2 4 2" xfId="1370"/>
    <cellStyle name="Normal 5 2 5" xfId="967"/>
    <cellStyle name="Normal 5 2 5 2" xfId="1371"/>
    <cellStyle name="Normal 5 2 6" xfId="970"/>
    <cellStyle name="Normal 5 2 6 2" xfId="1372"/>
    <cellStyle name="Normal 5 2 7" xfId="818"/>
    <cellStyle name="Normal 5 2 7 2" xfId="1373"/>
    <cellStyle name="Normal 5 2 8" xfId="1362"/>
    <cellStyle name="Normal 50" xfId="1023"/>
    <cellStyle name="Normal 50 2" xfId="1404"/>
    <cellStyle name="Normal 51" xfId="1009"/>
    <cellStyle name="Normal 51 2" xfId="1400"/>
    <cellStyle name="Normal 52" xfId="1011"/>
    <cellStyle name="Normal 52 2" xfId="1401"/>
    <cellStyle name="Normal 53" xfId="1112"/>
    <cellStyle name="Normal 53 2" xfId="1419"/>
    <cellStyle name="Normal 54" xfId="1122"/>
    <cellStyle name="Normal 54 2" xfId="1420"/>
    <cellStyle name="Normal 55" xfId="1090"/>
    <cellStyle name="Normal 55 2" xfId="1410"/>
    <cellStyle name="Normal 56" xfId="1099"/>
    <cellStyle name="Normal 56 2" xfId="1414"/>
    <cellStyle name="Normal 57" xfId="1110"/>
    <cellStyle name="Normal 57 2" xfId="1418"/>
    <cellStyle name="Normal 58" xfId="1093"/>
    <cellStyle name="Normal 58 2" xfId="1411"/>
    <cellStyle name="Normal 59" xfId="1397"/>
    <cellStyle name="Normal 59 2" xfId="1422"/>
    <cellStyle name="Normal 6" xfId="222"/>
    <cellStyle name="Normal 6 2" xfId="604"/>
    <cellStyle name="Normal 60" xfId="1096"/>
    <cellStyle name="Normal 60 2" xfId="1413"/>
    <cellStyle name="Normal 61" xfId="1106"/>
    <cellStyle name="Normal 61 2" xfId="1416"/>
    <cellStyle name="Normal 62" xfId="1222"/>
    <cellStyle name="Normal 62 2" xfId="1421"/>
    <cellStyle name="Normal 63" xfId="1107"/>
    <cellStyle name="Normal 63 2" xfId="1417"/>
    <cellStyle name="Normal 64" xfId="1094"/>
    <cellStyle name="Normal 64 2" xfId="1412"/>
    <cellStyle name="Normal 65" xfId="1100"/>
    <cellStyle name="Normal 65 2" xfId="1415"/>
    <cellStyle name="Normal 66" xfId="1423"/>
    <cellStyle name="Normal 67" xfId="1428"/>
    <cellStyle name="Normal 68" xfId="1429"/>
    <cellStyle name="Normal 7" xfId="12"/>
    <cellStyle name="Normal 7 2" xfId="605"/>
    <cellStyle name="Normal 7 2 2" xfId="1432"/>
    <cellStyle name="Normal 7 3" xfId="675"/>
    <cellStyle name="Normal 7 3 2" xfId="866"/>
    <cellStyle name="Normal 7 3 2 2" xfId="916"/>
    <cellStyle name="Normal 7 3 2 2 2" xfId="1375"/>
    <cellStyle name="Normal 7 3 2 3" xfId="1374"/>
    <cellStyle name="Normal 7 3 3" xfId="880"/>
    <cellStyle name="Normal 7 3 3 2" xfId="1376"/>
    <cellStyle name="Normal 7 3 4" xfId="972"/>
    <cellStyle name="Normal 7 3 5" xfId="807"/>
    <cellStyle name="Normal 7 3 5 2" xfId="1377"/>
    <cellStyle name="Normal 7 4" xfId="865"/>
    <cellStyle name="Normal 7 4 2" xfId="915"/>
    <cellStyle name="Normal 7 4 2 2" xfId="1379"/>
    <cellStyle name="Normal 7 4 3" xfId="1184"/>
    <cellStyle name="Normal 7 4 3 2" xfId="1378"/>
    <cellStyle name="Normal 7 5" xfId="879"/>
    <cellStyle name="Normal 7 5 2" xfId="1380"/>
    <cellStyle name="Normal 7 6" xfId="800"/>
    <cellStyle name="Normal 7 6 2" xfId="1381"/>
    <cellStyle name="Normal 8" xfId="223"/>
    <cellStyle name="Normal 8 2" xfId="607"/>
    <cellStyle name="Normal 8 3" xfId="608"/>
    <cellStyle name="Normal 8 3 2" xfId="867"/>
    <cellStyle name="Normal 8 3 2 2" xfId="917"/>
    <cellStyle name="Normal 8 3 2 2 2" xfId="1384"/>
    <cellStyle name="Normal 8 3 2 3" xfId="1383"/>
    <cellStyle name="Normal 8 3 3" xfId="954"/>
    <cellStyle name="Normal 8 3 3 2" xfId="1385"/>
    <cellStyle name="Normal 8 3 4" xfId="897"/>
    <cellStyle name="Normal 8 3 4 2" xfId="1386"/>
    <cellStyle name="Normal 8 3 5" xfId="997"/>
    <cellStyle name="Normal 8 3 5 2" xfId="1387"/>
    <cellStyle name="Normal 8 3 6" xfId="836"/>
    <cellStyle name="Normal 8 3 6 2" xfId="1388"/>
    <cellStyle name="Normal 8 3 7" xfId="1382"/>
    <cellStyle name="Normal 8 4" xfId="606"/>
    <cellStyle name="Normal 8 5" xfId="953"/>
    <cellStyle name="Normal 9" xfId="330"/>
    <cellStyle name="Normal 9 2" xfId="610"/>
    <cellStyle name="Normal 9 2 2" xfId="611"/>
    <cellStyle name="Normal 9 3" xfId="609"/>
    <cellStyle name="Normal 9 3 2" xfId="956"/>
    <cellStyle name="Normal 9 3 3" xfId="868"/>
    <cellStyle name="Normal 9 4" xfId="955"/>
    <cellStyle name="Normal 9 5" xfId="802"/>
    <cellStyle name="Normal 9 6" xfId="1004"/>
    <cellStyle name="Normal 9 6 2" xfId="1389"/>
    <cellStyle name="Normal_RAM_Prog_07" xfId="5"/>
    <cellStyle name="Note" xfId="1059" builtinId="10" customBuiltin="1"/>
    <cellStyle name="Note 10" xfId="612"/>
    <cellStyle name="Note 10 2" xfId="613"/>
    <cellStyle name="Note 10 3" xfId="869"/>
    <cellStyle name="Note 10 4" xfId="804"/>
    <cellStyle name="Note 11" xfId="614"/>
    <cellStyle name="Note 11 2" xfId="615"/>
    <cellStyle name="Note 12" xfId="616"/>
    <cellStyle name="Note 13" xfId="1152"/>
    <cellStyle name="Note 2" xfId="225"/>
    <cellStyle name="Note 2 2" xfId="448"/>
    <cellStyle name="Note 2 2 2" xfId="617"/>
    <cellStyle name="Note 2 3" xfId="618"/>
    <cellStyle name="Note 2 3 2" xfId="870"/>
    <cellStyle name="Note 2_I_Secondary" xfId="732"/>
    <cellStyle name="Note 3" xfId="226"/>
    <cellStyle name="Note 3 2" xfId="619"/>
    <cellStyle name="Note 4" xfId="227"/>
    <cellStyle name="Note 4 2" xfId="620"/>
    <cellStyle name="Note 5" xfId="228"/>
    <cellStyle name="Note 5 2" xfId="621"/>
    <cellStyle name="Note 6" xfId="229"/>
    <cellStyle name="Note 6 2" xfId="622"/>
    <cellStyle name="Note 7" xfId="224"/>
    <cellStyle name="Note 7 2" xfId="623"/>
    <cellStyle name="Note 7 3" xfId="680"/>
    <cellStyle name="Note 8" xfId="624"/>
    <cellStyle name="Note 8 2" xfId="625"/>
    <cellStyle name="Note 9" xfId="626"/>
    <cellStyle name="Note 9 2" xfId="627"/>
    <cellStyle name="Note 9 3" xfId="871"/>
    <cellStyle name="Note 9 4" xfId="808"/>
    <cellStyle name="Output" xfId="1054" builtinId="21" customBuiltin="1"/>
    <cellStyle name="Output 2" xfId="231"/>
    <cellStyle name="Output 2 2" xfId="393"/>
    <cellStyle name="Output 2 2 2" xfId="449"/>
    <cellStyle name="Output 2 2 3" xfId="1218"/>
    <cellStyle name="Output 2 3" xfId="628"/>
    <cellStyle name="Output 3" xfId="232"/>
    <cellStyle name="Output 3 2" xfId="629"/>
    <cellStyle name="Output 3 2 2" xfId="630"/>
    <cellStyle name="Output 3 3" xfId="631"/>
    <cellStyle name="Output 4" xfId="233"/>
    <cellStyle name="Output 4 2" xfId="632"/>
    <cellStyle name="Output 4 2 2" xfId="633"/>
    <cellStyle name="Output 4 3" xfId="634"/>
    <cellStyle name="Output 5" xfId="230"/>
    <cellStyle name="Output 5 2" xfId="635"/>
    <cellStyle name="Output 5 2 2" xfId="636"/>
    <cellStyle name="Output 5 3" xfId="637"/>
    <cellStyle name="Output 6" xfId="638"/>
    <cellStyle name="Output 6 2" xfId="639"/>
    <cellStyle name="Output 7" xfId="1147"/>
    <cellStyle name="Page Number" xfId="234"/>
    <cellStyle name="Percent" xfId="3" builtinId="5"/>
    <cellStyle name="Percent [2]" xfId="394"/>
    <cellStyle name="Percent [2] 2" xfId="395"/>
    <cellStyle name="Percent [2] 2 2" xfId="640"/>
    <cellStyle name="Percent [2] 3" xfId="733"/>
    <cellStyle name="Percent [2] 3 2" xfId="872"/>
    <cellStyle name="Percent 10" xfId="236"/>
    <cellStyle name="Percent 11" xfId="235"/>
    <cellStyle name="Percent 11 2" xfId="641"/>
    <cellStyle name="Percent 11 2 2" xfId="1433"/>
    <cellStyle name="Percent 11 3" xfId="681"/>
    <cellStyle name="Percent 12" xfId="327"/>
    <cellStyle name="Percent 13" xfId="408"/>
    <cellStyle name="Percent 13 2" xfId="643"/>
    <cellStyle name="Percent 13 3" xfId="642"/>
    <cellStyle name="Percent 14" xfId="324"/>
    <cellStyle name="Percent 14 2" xfId="645"/>
    <cellStyle name="Percent 14 3" xfId="644"/>
    <cellStyle name="Percent 15" xfId="326"/>
    <cellStyle name="Percent 15 2" xfId="646"/>
    <cellStyle name="Percent 16" xfId="450"/>
    <cellStyle name="Percent 16 2" xfId="957"/>
    <cellStyle name="Percent 16 3" xfId="813"/>
    <cellStyle name="Percent 17" xfId="647"/>
    <cellStyle name="Percent 17 2" xfId="958"/>
    <cellStyle name="Percent 17 3" xfId="814"/>
    <cellStyle name="Percent 18" xfId="648"/>
    <cellStyle name="Percent 19" xfId="677"/>
    <cellStyle name="Percent 19 2" xfId="974"/>
    <cellStyle name="Percent 19 2 2" xfId="1391"/>
    <cellStyle name="Percent 19 3" xfId="965"/>
    <cellStyle name="Percent 19 4" xfId="1390"/>
    <cellStyle name="Percent 2" xfId="237"/>
    <cellStyle name="Percent 2 2" xfId="396"/>
    <cellStyle name="Percent 2 2 2" xfId="873"/>
    <cellStyle name="Percent 20" xfId="686"/>
    <cellStyle name="Percent 20 2" xfId="978"/>
    <cellStyle name="Percent 20 2 2" xfId="1393"/>
    <cellStyle name="Percent 20 3" xfId="1392"/>
    <cellStyle name="Percent 21" xfId="670"/>
    <cellStyle name="Percent 22" xfId="671"/>
    <cellStyle name="Percent 22 2" xfId="801"/>
    <cellStyle name="Percent 23" xfId="673"/>
    <cellStyle name="Percent 24" xfId="793"/>
    <cellStyle name="Percent 24 2" xfId="1117"/>
    <cellStyle name="Percent 25" xfId="788"/>
    <cellStyle name="Percent 25 2" xfId="1115"/>
    <cellStyle name="Percent 26" xfId="796"/>
    <cellStyle name="Percent 26 2" xfId="1116"/>
    <cellStyle name="Percent 27" xfId="790"/>
    <cellStyle name="Percent 27 2" xfId="1121"/>
    <cellStyle name="Percent 28" xfId="794"/>
    <cellStyle name="Percent 28 2" xfId="1134"/>
    <cellStyle name="Percent 29" xfId="1008"/>
    <cellStyle name="Percent 29 2" xfId="1130"/>
    <cellStyle name="Percent 3" xfId="238"/>
    <cellStyle name="Percent 3 2" xfId="451"/>
    <cellStyle name="Percent 30" xfId="786"/>
    <cellStyle name="Percent 30 2" xfId="1181"/>
    <cellStyle name="Percent 31" xfId="783"/>
    <cellStyle name="Percent 32" xfId="1021"/>
    <cellStyle name="Percent 33" xfId="1024"/>
    <cellStyle name="Percent 34" xfId="1038"/>
    <cellStyle name="Percent 35" xfId="1041"/>
    <cellStyle name="Percent 36" xfId="1037"/>
    <cellStyle name="Percent 37" xfId="1031"/>
    <cellStyle name="Percent 38" xfId="1022"/>
    <cellStyle name="Percent 39" xfId="1029"/>
    <cellStyle name="Percent 4" xfId="239"/>
    <cellStyle name="Percent 4 2" xfId="240"/>
    <cellStyle name="Percent 4 2 2" xfId="649"/>
    <cellStyle name="Percent 4 3" xfId="241"/>
    <cellStyle name="Percent 40" xfId="1010"/>
    <cellStyle name="Percent 41" xfId="1020"/>
    <cellStyle name="Percent 42" xfId="1221"/>
    <cellStyle name="Percent 43" xfId="1111"/>
    <cellStyle name="Percent 44" xfId="1086"/>
    <cellStyle name="Percent 45" xfId="1091"/>
    <cellStyle name="Percent 46" xfId="1103"/>
    <cellStyle name="Percent 47" xfId="1097"/>
    <cellStyle name="Percent 48" xfId="1395"/>
    <cellStyle name="Percent 49" xfId="1101"/>
    <cellStyle name="Percent 5" xfId="242"/>
    <cellStyle name="Percent 5 2" xfId="243"/>
    <cellStyle name="Percent 5 2 2" xfId="650"/>
    <cellStyle name="Percent 5 3" xfId="651"/>
    <cellStyle name="Percent 50" xfId="1398"/>
    <cellStyle name="Percent 51" xfId="1088"/>
    <cellStyle name="Percent 52" xfId="1396"/>
    <cellStyle name="Percent 53" xfId="1104"/>
    <cellStyle name="Percent 54" xfId="1095"/>
    <cellStyle name="Percent 55" xfId="1425"/>
    <cellStyle name="Percent 56" xfId="1426"/>
    <cellStyle name="Percent 57" xfId="1431"/>
    <cellStyle name="Percent 6" xfId="244"/>
    <cellStyle name="Percent 6 2" xfId="245"/>
    <cellStyle name="Percent 6 2 2" xfId="652"/>
    <cellStyle name="Percent 6 3" xfId="653"/>
    <cellStyle name="Percent 7" xfId="246"/>
    <cellStyle name="Percent 7 2" xfId="247"/>
    <cellStyle name="Percent 8" xfId="248"/>
    <cellStyle name="Percent 8 2" xfId="654"/>
    <cellStyle name="Percent 9" xfId="249"/>
    <cellStyle name="PSChar" xfId="6"/>
    <cellStyle name="PSChar 2" xfId="250"/>
    <cellStyle name="PSChar 2 2" xfId="734"/>
    <cellStyle name="PSChar 3" xfId="251"/>
    <cellStyle name="PSChar 3 2" xfId="735"/>
    <cellStyle name="PSChar 4" xfId="252"/>
    <cellStyle name="PSChar 4 2" xfId="253"/>
    <cellStyle name="PSChar 4 2 2" xfId="736"/>
    <cellStyle name="PSChar 4 3" xfId="737"/>
    <cellStyle name="PSChar 5" xfId="254"/>
    <cellStyle name="PSChar 5 2" xfId="255"/>
    <cellStyle name="PSChar 5 2 2" xfId="738"/>
    <cellStyle name="PSChar 5 3" xfId="739"/>
    <cellStyle name="PSChar 6" xfId="334"/>
    <cellStyle name="PSDate" xfId="7"/>
    <cellStyle name="PSDate 2" xfId="256"/>
    <cellStyle name="PSDate 2 2" xfId="740"/>
    <cellStyle name="PSDate 3" xfId="257"/>
    <cellStyle name="PSDate 3 2" xfId="741"/>
    <cellStyle name="PSDate 4" xfId="258"/>
    <cellStyle name="PSDate 4 2" xfId="259"/>
    <cellStyle name="PSDate 4 2 2" xfId="742"/>
    <cellStyle name="PSDate 4 3" xfId="743"/>
    <cellStyle name="PSDate 5" xfId="260"/>
    <cellStyle name="PSDate 5 2" xfId="261"/>
    <cellStyle name="PSDate 5 2 2" xfId="744"/>
    <cellStyle name="PSDate 5 3" xfId="745"/>
    <cellStyle name="PSDate 6" xfId="335"/>
    <cellStyle name="PSDec" xfId="8"/>
    <cellStyle name="PSDec 2" xfId="262"/>
    <cellStyle name="PSDec 2 2" xfId="746"/>
    <cellStyle name="PSDec 3" xfId="263"/>
    <cellStyle name="PSDec 3 2" xfId="747"/>
    <cellStyle name="PSDec 4" xfId="264"/>
    <cellStyle name="PSDec 4 2" xfId="265"/>
    <cellStyle name="PSDec 4 2 2" xfId="748"/>
    <cellStyle name="PSDec 4 3" xfId="749"/>
    <cellStyle name="PSDec 5" xfId="266"/>
    <cellStyle name="PSDec 5 2" xfId="267"/>
    <cellStyle name="PSDec 5 2 2" xfId="750"/>
    <cellStyle name="PSDec 5 3" xfId="751"/>
    <cellStyle name="PSDec 6" xfId="336"/>
    <cellStyle name="PSHeading" xfId="9"/>
    <cellStyle name="PSHeading 2" xfId="268"/>
    <cellStyle name="PSHeading 2 2" xfId="752"/>
    <cellStyle name="PSHeading 3" xfId="269"/>
    <cellStyle name="PSHeading 3 2" xfId="753"/>
    <cellStyle name="PSHeading 4" xfId="270"/>
    <cellStyle name="PSHeading 4 2" xfId="271"/>
    <cellStyle name="PSHeading 4 2 2" xfId="754"/>
    <cellStyle name="PSHeading 4 3" xfId="755"/>
    <cellStyle name="PSHeading 4_I_Secondary" xfId="756"/>
    <cellStyle name="PSHeading 5" xfId="272"/>
    <cellStyle name="PSHeading 5 2" xfId="273"/>
    <cellStyle name="PSHeading 5 2 2" xfId="757"/>
    <cellStyle name="PSHeading 5 3" xfId="758"/>
    <cellStyle name="PSHeading 5_I_Secondary" xfId="759"/>
    <cellStyle name="PSHeading 6" xfId="337"/>
    <cellStyle name="PSHeading_358_CGS_Lewis_UT_70Conserv" xfId="274"/>
    <cellStyle name="PSInt" xfId="10"/>
    <cellStyle name="PSInt 2" xfId="275"/>
    <cellStyle name="PSInt 2 2" xfId="760"/>
    <cellStyle name="PSInt 3" xfId="276"/>
    <cellStyle name="PSInt 3 2" xfId="761"/>
    <cellStyle name="PSInt 4" xfId="277"/>
    <cellStyle name="PSInt 4 2" xfId="278"/>
    <cellStyle name="PSInt 4 2 2" xfId="762"/>
    <cellStyle name="PSInt 4 3" xfId="763"/>
    <cellStyle name="PSInt 5" xfId="279"/>
    <cellStyle name="PSInt 5 2" xfId="280"/>
    <cellStyle name="PSInt 5 2 2" xfId="764"/>
    <cellStyle name="PSInt 5 3" xfId="765"/>
    <cellStyle name="PSInt 6" xfId="338"/>
    <cellStyle name="PSSpacer" xfId="11"/>
    <cellStyle name="PSSpacer 2" xfId="281"/>
    <cellStyle name="PSSpacer 2 2" xfId="766"/>
    <cellStyle name="PSSpacer 3" xfId="282"/>
    <cellStyle name="PSSpacer 3 2" xfId="767"/>
    <cellStyle name="PSSpacer 4" xfId="283"/>
    <cellStyle name="PSSpacer 4 2" xfId="284"/>
    <cellStyle name="PSSpacer 4 2 2" xfId="768"/>
    <cellStyle name="PSSpacer 4 3" xfId="769"/>
    <cellStyle name="PSSpacer 5" xfId="285"/>
    <cellStyle name="PSSpacer 5 2" xfId="286"/>
    <cellStyle name="PSSpacer 5 2 2" xfId="770"/>
    <cellStyle name="PSSpacer 5 3" xfId="771"/>
    <cellStyle name="PSSpacer 6" xfId="339"/>
    <cellStyle name="Rate" xfId="287"/>
    <cellStyle name="Rate 2" xfId="288"/>
    <cellStyle name="Rate 3" xfId="289"/>
    <cellStyle name="Rate 4" xfId="290"/>
    <cellStyle name="Rate 4 2" xfId="291"/>
    <cellStyle name="Rate 5" xfId="292"/>
    <cellStyle name="Rate 5 2" xfId="293"/>
    <cellStyle name="Rate 6" xfId="294"/>
    <cellStyle name="Reference" xfId="295"/>
    <cellStyle name="SectionBreak" xfId="296"/>
    <cellStyle name="SectionBreak 2" xfId="297"/>
    <cellStyle name="SectionBreak 3" xfId="298"/>
    <cellStyle name="SectionBreak 4" xfId="299"/>
    <cellStyle name="SectionBreak 4 2" xfId="300"/>
    <cellStyle name="SectionBreak 5" xfId="301"/>
    <cellStyle name="SectionBreak 5 2" xfId="302"/>
    <cellStyle name="Style 27" xfId="397"/>
    <cellStyle name="Style 27 2" xfId="398"/>
    <cellStyle name="Style 27 2 2" xfId="655"/>
    <cellStyle name="Style 27 3" xfId="772"/>
    <cellStyle name="Style 27 3 2" xfId="874"/>
    <cellStyle name="Style 28" xfId="399"/>
    <cellStyle name="Style 28 2" xfId="400"/>
    <cellStyle name="Style 28 2 2" xfId="656"/>
    <cellStyle name="Style 28 3" xfId="773"/>
    <cellStyle name="Style 28 3 2" xfId="875"/>
    <cellStyle name="Table Head" xfId="303"/>
    <cellStyle name="Table Head Aligned" xfId="304"/>
    <cellStyle name="Table Head Blue" xfId="305"/>
    <cellStyle name="Table Head Green" xfId="306"/>
    <cellStyle name="Table Heading" xfId="307"/>
    <cellStyle name="Table Heading 2" xfId="308"/>
    <cellStyle name="Table Title" xfId="309"/>
    <cellStyle name="Table Units" xfId="310"/>
    <cellStyle name="Table Units 2" xfId="311"/>
    <cellStyle name="Table Units 2 2" xfId="774"/>
    <cellStyle name="Table Units 3" xfId="775"/>
    <cellStyle name="Table Units_I_Secondary" xfId="776"/>
    <cellStyle name="Title" xfId="1045" builtinId="15" customBuiltin="1"/>
    <cellStyle name="Title 2" xfId="313"/>
    <cellStyle name="Title 3" xfId="312"/>
    <cellStyle name="Title 4" xfId="657"/>
    <cellStyle name="Title 5" xfId="1138"/>
    <cellStyle name="Total" xfId="1061" builtinId="25" customBuiltin="1"/>
    <cellStyle name="Total 2" xfId="315"/>
    <cellStyle name="Total 2 2" xfId="401"/>
    <cellStyle name="Total 2 2 2" xfId="452"/>
    <cellStyle name="Total 2 2 3" xfId="1219"/>
    <cellStyle name="Total 3" xfId="316"/>
    <cellStyle name="Total 3 2" xfId="659"/>
    <cellStyle name="Total 4" xfId="317"/>
    <cellStyle name="Total 4 2" xfId="660"/>
    <cellStyle name="Total 5" xfId="314"/>
    <cellStyle name="Total 5 2" xfId="661"/>
    <cellStyle name="Total 6" xfId="662"/>
    <cellStyle name="Total 7" xfId="1154"/>
    <cellStyle name="Unprot" xfId="402"/>
    <cellStyle name="Unprot 2" xfId="663"/>
    <cellStyle name="Unprot$" xfId="403"/>
    <cellStyle name="Unprot$ 2" xfId="664"/>
    <cellStyle name="Unprot$ 2 2" xfId="665"/>
    <cellStyle name="Unprot_Current Summary" xfId="404"/>
    <cellStyle name="Unprotect" xfId="405"/>
    <cellStyle name="v" xfId="406"/>
    <cellStyle name="Warning Text" xfId="1058" builtinId="11" customBuiltin="1"/>
    <cellStyle name="Warning Text 2" xfId="319"/>
    <cellStyle name="Warning Text 2 2" xfId="407"/>
    <cellStyle name="Warning Text 2 2 2" xfId="453"/>
    <cellStyle name="Warning Text 2 2 3" xfId="959"/>
    <cellStyle name="Warning Text 2 3" xfId="777"/>
    <cellStyle name="Warning Text 3" xfId="320"/>
    <cellStyle name="Warning Text 4" xfId="321"/>
    <cellStyle name="Warning Text 5" xfId="318"/>
    <cellStyle name="Warning Text 6" xfId="666"/>
    <cellStyle name="Warning Text 7" xfId="1151"/>
  </cellStyles>
  <dxfs count="10"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hartsheet" Target="chart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chartsheet" Target="chartsheets/sheet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Non-Slice Customer Rate Change BP-22 to BP-24 by Customer Type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1621211541286143"/>
          <c:y val="1.21268661170108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8441711481764652E-2"/>
          <c:y val="9.6422749555228879E-2"/>
          <c:w val="0.94679837233416042"/>
          <c:h val="0.73449689523680917"/>
        </c:manualLayout>
      </c:layout>
      <c:barChart>
        <c:barDir val="col"/>
        <c:grouping val="stacked"/>
        <c:varyColors val="0"/>
        <c:ser>
          <c:idx val="0"/>
          <c:order val="0"/>
          <c:tx>
            <c:v>Load Following</c:v>
          </c:tx>
          <c:spPr>
            <a:ln>
              <a:solidFill>
                <a:schemeClr val="tx1"/>
              </a:solidFill>
            </a:ln>
          </c:spPr>
          <c:invertIfNegative val="0"/>
          <c:dPt>
            <c:idx val="67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ln>
                <a:solidFill>
                  <a:schemeClr val="accent3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1-5705-4162-86F7-2998EFB823DD}"/>
              </c:ext>
            </c:extLst>
          </c:dPt>
          <c:dPt>
            <c:idx val="6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05-4162-86F7-2998EFB823DD}"/>
              </c:ext>
            </c:extLst>
          </c:dPt>
          <c:dPt>
            <c:idx val="85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ln>
                <a:solidFill>
                  <a:schemeClr val="accent3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4-5705-4162-86F7-2998EFB823DD}"/>
              </c:ext>
            </c:extLst>
          </c:dPt>
          <c:dPt>
            <c:idx val="116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ln>
                <a:solidFill>
                  <a:schemeClr val="accent3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6-5705-4162-86F7-2998EFB823DD}"/>
              </c:ext>
            </c:extLst>
          </c:dPt>
          <c:cat>
            <c:strRef>
              <c:f>Restatement!$B$4:$B$122</c:f>
              <c:strCache>
                <c:ptCount val="119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Alder Mutual</c:v>
                </c:pt>
                <c:pt idx="7">
                  <c:v>Asotin County PUD #1</c:v>
                </c:pt>
                <c:pt idx="8">
                  <c:v>U.S. Naval Station, Everett (Jim Creek)</c:v>
                </c:pt>
                <c:pt idx="9">
                  <c:v>Drain, City of</c:v>
                </c:pt>
                <c:pt idx="10">
                  <c:v>Coulee Dam, City of</c:v>
                </c:pt>
                <c:pt idx="11">
                  <c:v>Troy, City of</c:v>
                </c:pt>
                <c:pt idx="12">
                  <c:v>Riverside Elec Coop</c:v>
                </c:pt>
                <c:pt idx="13">
                  <c:v>Cascade Locks, City of</c:v>
                </c:pt>
                <c:pt idx="14">
                  <c:v>Energy Northwest</c:v>
                </c:pt>
                <c:pt idx="15">
                  <c:v>Chewelah, City of</c:v>
                </c:pt>
                <c:pt idx="16">
                  <c:v>East End Mutual Electric</c:v>
                </c:pt>
                <c:pt idx="17">
                  <c:v>Umpqua Indian Utility Cooperative</c:v>
                </c:pt>
                <c:pt idx="18">
                  <c:v>Kalispel Tribe Utility</c:v>
                </c:pt>
                <c:pt idx="19">
                  <c:v>Soda Springs, City of</c:v>
                </c:pt>
                <c:pt idx="20">
                  <c:v>Columbia Power Coop</c:v>
                </c:pt>
                <c:pt idx="21">
                  <c:v>Eatonville, City of</c:v>
                </c:pt>
                <c:pt idx="22">
                  <c:v>Sumas, Town of</c:v>
                </c:pt>
                <c:pt idx="23">
                  <c:v>McCleary, City of</c:v>
                </c:pt>
                <c:pt idx="24">
                  <c:v>Plummer, City of</c:v>
                </c:pt>
                <c:pt idx="25">
                  <c:v>Steilacoom, Town of</c:v>
                </c:pt>
                <c:pt idx="26">
                  <c:v>Heyburn, City of</c:v>
                </c:pt>
                <c:pt idx="27">
                  <c:v>Wahkiakum County PUD #1</c:v>
                </c:pt>
                <c:pt idx="28">
                  <c:v>Bonners Ferry, City of</c:v>
                </c:pt>
                <c:pt idx="29">
                  <c:v>Grant County PUD #2</c:v>
                </c:pt>
                <c:pt idx="30">
                  <c:v>U.S. Airforce Base, Fairchild</c:v>
                </c:pt>
                <c:pt idx="31">
                  <c:v>Nespelem Valley Elec Coop</c:v>
                </c:pt>
                <c:pt idx="32">
                  <c:v>Idaho County L &amp; P</c:v>
                </c:pt>
                <c:pt idx="33">
                  <c:v>Weiser, City of</c:v>
                </c:pt>
                <c:pt idx="34">
                  <c:v>Southside Elec Lines</c:v>
                </c:pt>
                <c:pt idx="35">
                  <c:v>Milton, Town of</c:v>
                </c:pt>
                <c:pt idx="36">
                  <c:v>Bandon, City of</c:v>
                </c:pt>
                <c:pt idx="37">
                  <c:v>Monmouth, City of</c:v>
                </c:pt>
                <c:pt idx="38">
                  <c:v>Blaine, City of</c:v>
                </c:pt>
                <c:pt idx="39">
                  <c:v>Mason County PUD #1</c:v>
                </c:pt>
                <c:pt idx="40">
                  <c:v>Ferry County PUD #1</c:v>
                </c:pt>
                <c:pt idx="41">
                  <c:v>Rupert, City of</c:v>
                </c:pt>
                <c:pt idx="42">
                  <c:v>Lost River Elec Coop</c:v>
                </c:pt>
                <c:pt idx="43">
                  <c:v>Kittitas County PUD #1</c:v>
                </c:pt>
                <c:pt idx="44">
                  <c:v>Ohop Mutual Light Company</c:v>
                </c:pt>
                <c:pt idx="45">
                  <c:v>Milton-Freewater, City of</c:v>
                </c:pt>
                <c:pt idx="46">
                  <c:v>Tanner Elec Coop</c:v>
                </c:pt>
                <c:pt idx="47">
                  <c:v>Columbia Basin Elec Coop</c:v>
                </c:pt>
                <c:pt idx="48">
                  <c:v>Salmon River Elec Coop</c:v>
                </c:pt>
                <c:pt idx="49">
                  <c:v>Hermiston, City of</c:v>
                </c:pt>
                <c:pt idx="50">
                  <c:v>Wasco Elec Coop</c:v>
                </c:pt>
                <c:pt idx="51">
                  <c:v>Hood River Elec Coop</c:v>
                </c:pt>
                <c:pt idx="52">
                  <c:v>Parkland L &amp; W</c:v>
                </c:pt>
                <c:pt idx="53">
                  <c:v>Burley, City of</c:v>
                </c:pt>
                <c:pt idx="54">
                  <c:v>Skamania County PUD #1</c:v>
                </c:pt>
                <c:pt idx="55">
                  <c:v>Cheney, City of</c:v>
                </c:pt>
                <c:pt idx="56">
                  <c:v>Surprise Valley Elec Coop</c:v>
                </c:pt>
                <c:pt idx="57">
                  <c:v>Port of Seattle - SETAC In'tl. Airport</c:v>
                </c:pt>
                <c:pt idx="58">
                  <c:v>Glacier Elec  Coop</c:v>
                </c:pt>
                <c:pt idx="59">
                  <c:v>Yakama Power</c:v>
                </c:pt>
                <c:pt idx="60">
                  <c:v>Vigilante Elec Coop</c:v>
                </c:pt>
                <c:pt idx="61">
                  <c:v>U.S. Naval Submarine Base, Bangor</c:v>
                </c:pt>
                <c:pt idx="62">
                  <c:v>Ashland, City of</c:v>
                </c:pt>
                <c:pt idx="63">
                  <c:v>Canby, City of</c:v>
                </c:pt>
                <c:pt idx="64">
                  <c:v>Harney Elec Coop</c:v>
                </c:pt>
                <c:pt idx="65">
                  <c:v>Ellensburg, City of</c:v>
                </c:pt>
                <c:pt idx="66">
                  <c:v>Centralia, City of</c:v>
                </c:pt>
                <c:pt idx="67">
                  <c:v>Pend Oreille County PUD  #1</c:v>
                </c:pt>
                <c:pt idx="68">
                  <c:v>Modern Elec Coop</c:v>
                </c:pt>
                <c:pt idx="69">
                  <c:v>Whatcom County PUD #1</c:v>
                </c:pt>
                <c:pt idx="70">
                  <c:v>Forest Grove, City of</c:v>
                </c:pt>
                <c:pt idx="71">
                  <c:v>Missoula Elec Coop</c:v>
                </c:pt>
                <c:pt idx="72">
                  <c:v>Vera Irrigation District</c:v>
                </c:pt>
                <c:pt idx="73">
                  <c:v>U.S. Naval Base,  Bremerton</c:v>
                </c:pt>
                <c:pt idx="74">
                  <c:v>United Electric Coop</c:v>
                </c:pt>
                <c:pt idx="75">
                  <c:v>U.S. DOE Richland Operations Office</c:v>
                </c:pt>
                <c:pt idx="76">
                  <c:v>Port Angeles, City of</c:v>
                </c:pt>
                <c:pt idx="77">
                  <c:v>Lakeview L &amp; P (WA)</c:v>
                </c:pt>
                <c:pt idx="78">
                  <c:v>Elmhurst Mutual P &amp; L</c:v>
                </c:pt>
                <c:pt idx="79">
                  <c:v>Pacific County PUD #2</c:v>
                </c:pt>
                <c:pt idx="80">
                  <c:v>Klickitat County PUD #1</c:v>
                </c:pt>
                <c:pt idx="81">
                  <c:v>Columbia REA</c:v>
                </c:pt>
                <c:pt idx="82">
                  <c:v>Mission Valley</c:v>
                </c:pt>
                <c:pt idx="83">
                  <c:v>Salem Elec Coop</c:v>
                </c:pt>
                <c:pt idx="84">
                  <c:v>Jefferson County PUD #1</c:v>
                </c:pt>
                <c:pt idx="85">
                  <c:v>Okanogan County PUD #1</c:v>
                </c:pt>
                <c:pt idx="86">
                  <c:v>Midstate Elec Coop</c:v>
                </c:pt>
                <c:pt idx="87">
                  <c:v>Emerald PUD</c:v>
                </c:pt>
                <c:pt idx="88">
                  <c:v>Kootenai Electric Coop</c:v>
                </c:pt>
                <c:pt idx="89">
                  <c:v>Columbia River PUD</c:v>
                </c:pt>
                <c:pt idx="90">
                  <c:v>Tillamook PUD #1</c:v>
                </c:pt>
                <c:pt idx="91">
                  <c:v>Benton REA</c:v>
                </c:pt>
                <c:pt idx="92">
                  <c:v>Big Bend Elec Coop</c:v>
                </c:pt>
                <c:pt idx="93">
                  <c:v>Idaho Falls Power</c:v>
                </c:pt>
                <c:pt idx="94">
                  <c:v>Northern Wasco County PUD</c:v>
                </c:pt>
                <c:pt idx="95">
                  <c:v>Peninsula Light Company</c:v>
                </c:pt>
                <c:pt idx="96">
                  <c:v>Clallam County PUD #1</c:v>
                </c:pt>
                <c:pt idx="97">
                  <c:v>Oregon Trail Coop</c:v>
                </c:pt>
                <c:pt idx="98">
                  <c:v>Mason County PUD #3</c:v>
                </c:pt>
                <c:pt idx="99">
                  <c:v>Lower Valley Energy</c:v>
                </c:pt>
                <c:pt idx="100">
                  <c:v>McMinnville, City of</c:v>
                </c:pt>
                <c:pt idx="101">
                  <c:v>Clatskanie PUD</c:v>
                </c:pt>
                <c:pt idx="102">
                  <c:v>Wells Rural Elec Coop</c:v>
                </c:pt>
                <c:pt idx="103">
                  <c:v>Springfield Utility Board</c:v>
                </c:pt>
                <c:pt idx="104">
                  <c:v>Richland, City of</c:v>
                </c:pt>
                <c:pt idx="105">
                  <c:v>Inland P &amp; L</c:v>
                </c:pt>
                <c:pt idx="106">
                  <c:v>Umatilla Elec Coop</c:v>
                </c:pt>
                <c:pt idx="107">
                  <c:v>Lewis County PUD #1</c:v>
                </c:pt>
                <c:pt idx="108">
                  <c:v>Franklin County PUD #1</c:v>
                </c:pt>
                <c:pt idx="109">
                  <c:v>Grays Harbor PUD #1</c:v>
                </c:pt>
                <c:pt idx="110">
                  <c:v>Central Lincoln PUD</c:v>
                </c:pt>
                <c:pt idx="111">
                  <c:v>Benton County PUD #1</c:v>
                </c:pt>
                <c:pt idx="112">
                  <c:v>Eugene Water &amp; Electric Board</c:v>
                </c:pt>
                <c:pt idx="113">
                  <c:v>Clark County PUD #1</c:v>
                </c:pt>
                <c:pt idx="114">
                  <c:v>Tacoma Public Utilities</c:v>
                </c:pt>
                <c:pt idx="115">
                  <c:v>Cowlitz County PUD #1</c:v>
                </c:pt>
                <c:pt idx="116">
                  <c:v>Seattle City Light</c:v>
                </c:pt>
                <c:pt idx="117">
                  <c:v>PNGC Aggregate</c:v>
                </c:pt>
                <c:pt idx="118">
                  <c:v>Snohomish County PUD #1</c:v>
                </c:pt>
              </c:strCache>
            </c:strRef>
          </c:cat>
          <c:val>
            <c:numRef>
              <c:f>Restatement!$G$4:$G$122</c:f>
              <c:numCache>
                <c:formatCode>0%</c:formatCode>
                <c:ptCount val="119"/>
                <c:pt idx="0">
                  <c:v>-1.6227087582567003E-2</c:v>
                </c:pt>
                <c:pt idx="1">
                  <c:v>-3.1037544630148951E-2</c:v>
                </c:pt>
                <c:pt idx="2">
                  <c:v>-4.7369000476206883E-3</c:v>
                </c:pt>
                <c:pt idx="3">
                  <c:v>-7.053133980018984E-3</c:v>
                </c:pt>
                <c:pt idx="4">
                  <c:v>-2.1731663021142742E-2</c:v>
                </c:pt>
                <c:pt idx="5">
                  <c:v>-7.9412448334121102E-3</c:v>
                </c:pt>
                <c:pt idx="6">
                  <c:v>-2.113232826007316E-2</c:v>
                </c:pt>
                <c:pt idx="7">
                  <c:v>2.7103790361687339E-2</c:v>
                </c:pt>
                <c:pt idx="8">
                  <c:v>-3.6761203276653609E-2</c:v>
                </c:pt>
                <c:pt idx="9">
                  <c:v>-1.1354731435082985E-2</c:v>
                </c:pt>
                <c:pt idx="10">
                  <c:v>-6.8977316379223372E-3</c:v>
                </c:pt>
                <c:pt idx="11">
                  <c:v>-1.589879544691709E-2</c:v>
                </c:pt>
                <c:pt idx="12">
                  <c:v>1.1719082694760667E-4</c:v>
                </c:pt>
                <c:pt idx="13">
                  <c:v>-2.8802653919041903E-2</c:v>
                </c:pt>
                <c:pt idx="14">
                  <c:v>-1.2973364599785788E-2</c:v>
                </c:pt>
                <c:pt idx="15">
                  <c:v>-1.3008933849017208E-3</c:v>
                </c:pt>
                <c:pt idx="16">
                  <c:v>9.6687902686182475E-3</c:v>
                </c:pt>
                <c:pt idx="17">
                  <c:v>-1.5613208651817529E-2</c:v>
                </c:pt>
                <c:pt idx="18">
                  <c:v>9.963470782908383E-4</c:v>
                </c:pt>
                <c:pt idx="19">
                  <c:v>-1.122679776115581E-2</c:v>
                </c:pt>
                <c:pt idx="20">
                  <c:v>2.9136198846851547E-3</c:v>
                </c:pt>
                <c:pt idx="21">
                  <c:v>-1.2818167712595639E-2</c:v>
                </c:pt>
                <c:pt idx="22">
                  <c:v>-1.2534803761649456E-2</c:v>
                </c:pt>
                <c:pt idx="23">
                  <c:v>-9.4554475727519557E-3</c:v>
                </c:pt>
                <c:pt idx="24">
                  <c:v>-1.5626257653158108E-2</c:v>
                </c:pt>
                <c:pt idx="25">
                  <c:v>-8.9667673116848243E-3</c:v>
                </c:pt>
                <c:pt idx="26">
                  <c:v>-1.2881409605445373E-2</c:v>
                </c:pt>
                <c:pt idx="27">
                  <c:v>-2.2710784652438448E-2</c:v>
                </c:pt>
                <c:pt idx="28">
                  <c:v>3.7186625929798607E-2</c:v>
                </c:pt>
                <c:pt idx="29">
                  <c:v>-5.3962364267870202E-3</c:v>
                </c:pt>
                <c:pt idx="30">
                  <c:v>-4.6790016472095276E-3</c:v>
                </c:pt>
                <c:pt idx="31">
                  <c:v>2.5663435303699016E-2</c:v>
                </c:pt>
                <c:pt idx="32">
                  <c:v>-6.002085338470518E-3</c:v>
                </c:pt>
                <c:pt idx="33">
                  <c:v>4.0455522363388782E-3</c:v>
                </c:pt>
                <c:pt idx="34">
                  <c:v>9.2486187861178341E-3</c:v>
                </c:pt>
                <c:pt idx="35">
                  <c:v>-7.0764685034462533E-3</c:v>
                </c:pt>
                <c:pt idx="36">
                  <c:v>-1.9948441433207648E-2</c:v>
                </c:pt>
                <c:pt idx="37">
                  <c:v>-6.5924106592074585E-3</c:v>
                </c:pt>
                <c:pt idx="38">
                  <c:v>-1.2086716759728024E-2</c:v>
                </c:pt>
                <c:pt idx="39">
                  <c:v>4.5174850817704566E-2</c:v>
                </c:pt>
                <c:pt idx="40">
                  <c:v>-4.5215097512202734E-3</c:v>
                </c:pt>
                <c:pt idx="41">
                  <c:v>-6.4217139420882302E-3</c:v>
                </c:pt>
                <c:pt idx="42">
                  <c:v>2.4607505878224505E-2</c:v>
                </c:pt>
                <c:pt idx="43">
                  <c:v>-2.0895547179647579E-3</c:v>
                </c:pt>
                <c:pt idx="44">
                  <c:v>-2.1630656178482154E-2</c:v>
                </c:pt>
                <c:pt idx="45">
                  <c:v>1.3584631247788087E-2</c:v>
                </c:pt>
                <c:pt idx="46">
                  <c:v>-5.9389220983164957E-3</c:v>
                </c:pt>
                <c:pt idx="47">
                  <c:v>-2.5506108232611839E-2</c:v>
                </c:pt>
                <c:pt idx="48">
                  <c:v>-1.7639892922830157E-2</c:v>
                </c:pt>
                <c:pt idx="49">
                  <c:v>9.8824879651933564E-3</c:v>
                </c:pt>
                <c:pt idx="50">
                  <c:v>-6.4677467419847073E-4</c:v>
                </c:pt>
                <c:pt idx="51">
                  <c:v>8.8188546249670288E-3</c:v>
                </c:pt>
                <c:pt idx="52">
                  <c:v>-1.1328230266540281E-2</c:v>
                </c:pt>
                <c:pt idx="53">
                  <c:v>8.8224352334341277E-4</c:v>
                </c:pt>
                <c:pt idx="54">
                  <c:v>-1.43102352925044E-2</c:v>
                </c:pt>
                <c:pt idx="55">
                  <c:v>-1.2000527104068195E-2</c:v>
                </c:pt>
                <c:pt idx="56">
                  <c:v>3.3955600460308669E-2</c:v>
                </c:pt>
                <c:pt idx="57">
                  <c:v>-1.2141218096343076E-2</c:v>
                </c:pt>
                <c:pt idx="58">
                  <c:v>-1.0832469620949409E-2</c:v>
                </c:pt>
                <c:pt idx="59">
                  <c:v>2.1329632801397165E-2</c:v>
                </c:pt>
                <c:pt idx="60">
                  <c:v>-1.8995364381766487E-3</c:v>
                </c:pt>
                <c:pt idx="61">
                  <c:v>-2.2213092096358321E-2</c:v>
                </c:pt>
                <c:pt idx="62">
                  <c:v>6.375115534127904E-3</c:v>
                </c:pt>
                <c:pt idx="63">
                  <c:v>1.7972770678558892E-3</c:v>
                </c:pt>
                <c:pt idx="64">
                  <c:v>3.4916537218306842E-2</c:v>
                </c:pt>
                <c:pt idx="65">
                  <c:v>-5.1296497190052312E-3</c:v>
                </c:pt>
                <c:pt idx="66">
                  <c:v>-1.6449468158858119E-2</c:v>
                </c:pt>
                <c:pt idx="67">
                  <c:v>3.2498030618611125E-2</c:v>
                </c:pt>
                <c:pt idx="68">
                  <c:v>-9.3081076591579014E-3</c:v>
                </c:pt>
                <c:pt idx="69">
                  <c:v>-3.2374269719435224E-2</c:v>
                </c:pt>
                <c:pt idx="70">
                  <c:v>-4.4840506629214112E-3</c:v>
                </c:pt>
                <c:pt idx="71">
                  <c:v>-1.5643233793546527E-2</c:v>
                </c:pt>
                <c:pt idx="72">
                  <c:v>1.699091574236187E-3</c:v>
                </c:pt>
                <c:pt idx="73">
                  <c:v>-1.3305881268875226E-2</c:v>
                </c:pt>
                <c:pt idx="74">
                  <c:v>-1.299006225940524E-2</c:v>
                </c:pt>
                <c:pt idx="75">
                  <c:v>-2.4975999758787105E-2</c:v>
                </c:pt>
                <c:pt idx="76">
                  <c:v>-1.7673231789849551E-2</c:v>
                </c:pt>
                <c:pt idx="77">
                  <c:v>-6.9670305141558047E-3</c:v>
                </c:pt>
                <c:pt idx="78">
                  <c:v>-1.1881611633181089E-2</c:v>
                </c:pt>
                <c:pt idx="79">
                  <c:v>-2.5506381811002943E-2</c:v>
                </c:pt>
                <c:pt idx="80">
                  <c:v>-7.7940425936081038E-3</c:v>
                </c:pt>
                <c:pt idx="81">
                  <c:v>1.2955970233482142E-2</c:v>
                </c:pt>
                <c:pt idx="82">
                  <c:v>5.4723000563538793E-3</c:v>
                </c:pt>
                <c:pt idx="83">
                  <c:v>3.3686307035711402E-3</c:v>
                </c:pt>
                <c:pt idx="84">
                  <c:v>-2.0113958889076022E-2</c:v>
                </c:pt>
                <c:pt idx="85">
                  <c:v>5.6214283552992756E-3</c:v>
                </c:pt>
                <c:pt idx="86">
                  <c:v>-3.2193140688476875E-2</c:v>
                </c:pt>
                <c:pt idx="87">
                  <c:v>0</c:v>
                </c:pt>
                <c:pt idx="88">
                  <c:v>-5.2280111660948453E-5</c:v>
                </c:pt>
                <c:pt idx="89">
                  <c:v>-9.0333424493000882E-3</c:v>
                </c:pt>
                <c:pt idx="90">
                  <c:v>-2.0686718416068464E-2</c:v>
                </c:pt>
                <c:pt idx="91">
                  <c:v>3.4379595876436642E-3</c:v>
                </c:pt>
                <c:pt idx="92">
                  <c:v>3.1933337822398675E-3</c:v>
                </c:pt>
                <c:pt idx="93">
                  <c:v>0</c:v>
                </c:pt>
                <c:pt idx="94">
                  <c:v>-5.1018554138385014E-3</c:v>
                </c:pt>
                <c:pt idx="95">
                  <c:v>-6.5661746820897156E-3</c:v>
                </c:pt>
                <c:pt idx="96">
                  <c:v>-1.8371301711168714E-2</c:v>
                </c:pt>
                <c:pt idx="97">
                  <c:v>-7.8722650940116646E-3</c:v>
                </c:pt>
                <c:pt idx="98">
                  <c:v>3.7988956686781761E-2</c:v>
                </c:pt>
                <c:pt idx="99">
                  <c:v>-1.4546395759960043E-2</c:v>
                </c:pt>
                <c:pt idx="100">
                  <c:v>-7.8843246660244594E-3</c:v>
                </c:pt>
                <c:pt idx="101">
                  <c:v>0</c:v>
                </c:pt>
                <c:pt idx="102">
                  <c:v>-1.4898332458805065E-2</c:v>
                </c:pt>
                <c:pt idx="103">
                  <c:v>-6.4980987138317384E-3</c:v>
                </c:pt>
                <c:pt idx="104">
                  <c:v>4.3748553905531432E-3</c:v>
                </c:pt>
                <c:pt idx="105">
                  <c:v>-1.0529069170865504E-2</c:v>
                </c:pt>
                <c:pt idx="106">
                  <c:v>5.0525817335114728E-2</c:v>
                </c:pt>
                <c:pt idx="107">
                  <c:v>0</c:v>
                </c:pt>
                <c:pt idx="108">
                  <c:v>0</c:v>
                </c:pt>
                <c:pt idx="109">
                  <c:v>-1.9270112604988756E-2</c:v>
                </c:pt>
                <c:pt idx="110">
                  <c:v>-1.9192562946683846E-2</c:v>
                </c:pt>
                <c:pt idx="111">
                  <c:v>-9.5813993963878505E-3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2.9086796760131223E-2</c:v>
                </c:pt>
                <c:pt idx="117">
                  <c:v>-5.8444175994853825E-3</c:v>
                </c:pt>
                <c:pt idx="1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705-4162-86F7-2998EFB823DD}"/>
            </c:ext>
          </c:extLst>
        </c:ser>
        <c:ser>
          <c:idx val="1"/>
          <c:order val="1"/>
          <c:tx>
            <c:v>Block of Slice Block</c:v>
          </c:tx>
          <c:invertIfNegative val="0"/>
          <c:cat>
            <c:strRef>
              <c:f>Restatement!$B$4:$B$122</c:f>
              <c:strCache>
                <c:ptCount val="119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Alder Mutual</c:v>
                </c:pt>
                <c:pt idx="7">
                  <c:v>Asotin County PUD #1</c:v>
                </c:pt>
                <c:pt idx="8">
                  <c:v>U.S. Naval Station, Everett (Jim Creek)</c:v>
                </c:pt>
                <c:pt idx="9">
                  <c:v>Drain, City of</c:v>
                </c:pt>
                <c:pt idx="10">
                  <c:v>Coulee Dam, City of</c:v>
                </c:pt>
                <c:pt idx="11">
                  <c:v>Troy, City of</c:v>
                </c:pt>
                <c:pt idx="12">
                  <c:v>Riverside Elec Coop</c:v>
                </c:pt>
                <c:pt idx="13">
                  <c:v>Cascade Locks, City of</c:v>
                </c:pt>
                <c:pt idx="14">
                  <c:v>Energy Northwest</c:v>
                </c:pt>
                <c:pt idx="15">
                  <c:v>Chewelah, City of</c:v>
                </c:pt>
                <c:pt idx="16">
                  <c:v>East End Mutual Electric</c:v>
                </c:pt>
                <c:pt idx="17">
                  <c:v>Umpqua Indian Utility Cooperative</c:v>
                </c:pt>
                <c:pt idx="18">
                  <c:v>Kalispel Tribe Utility</c:v>
                </c:pt>
                <c:pt idx="19">
                  <c:v>Soda Springs, City of</c:v>
                </c:pt>
                <c:pt idx="20">
                  <c:v>Columbia Power Coop</c:v>
                </c:pt>
                <c:pt idx="21">
                  <c:v>Eatonville, City of</c:v>
                </c:pt>
                <c:pt idx="22">
                  <c:v>Sumas, Town of</c:v>
                </c:pt>
                <c:pt idx="23">
                  <c:v>McCleary, City of</c:v>
                </c:pt>
                <c:pt idx="24">
                  <c:v>Plummer, City of</c:v>
                </c:pt>
                <c:pt idx="25">
                  <c:v>Steilacoom, Town of</c:v>
                </c:pt>
                <c:pt idx="26">
                  <c:v>Heyburn, City of</c:v>
                </c:pt>
                <c:pt idx="27">
                  <c:v>Wahkiakum County PUD #1</c:v>
                </c:pt>
                <c:pt idx="28">
                  <c:v>Bonners Ferry, City of</c:v>
                </c:pt>
                <c:pt idx="29">
                  <c:v>Grant County PUD #2</c:v>
                </c:pt>
                <c:pt idx="30">
                  <c:v>U.S. Airforce Base, Fairchild</c:v>
                </c:pt>
                <c:pt idx="31">
                  <c:v>Nespelem Valley Elec Coop</c:v>
                </c:pt>
                <c:pt idx="32">
                  <c:v>Idaho County L &amp; P</c:v>
                </c:pt>
                <c:pt idx="33">
                  <c:v>Weiser, City of</c:v>
                </c:pt>
                <c:pt idx="34">
                  <c:v>Southside Elec Lines</c:v>
                </c:pt>
                <c:pt idx="35">
                  <c:v>Milton, Town of</c:v>
                </c:pt>
                <c:pt idx="36">
                  <c:v>Bandon, City of</c:v>
                </c:pt>
                <c:pt idx="37">
                  <c:v>Monmouth, City of</c:v>
                </c:pt>
                <c:pt idx="38">
                  <c:v>Blaine, City of</c:v>
                </c:pt>
                <c:pt idx="39">
                  <c:v>Mason County PUD #1</c:v>
                </c:pt>
                <c:pt idx="40">
                  <c:v>Ferry County PUD #1</c:v>
                </c:pt>
                <c:pt idx="41">
                  <c:v>Rupert, City of</c:v>
                </c:pt>
                <c:pt idx="42">
                  <c:v>Lost River Elec Coop</c:v>
                </c:pt>
                <c:pt idx="43">
                  <c:v>Kittitas County PUD #1</c:v>
                </c:pt>
                <c:pt idx="44">
                  <c:v>Ohop Mutual Light Company</c:v>
                </c:pt>
                <c:pt idx="45">
                  <c:v>Milton-Freewater, City of</c:v>
                </c:pt>
                <c:pt idx="46">
                  <c:v>Tanner Elec Coop</c:v>
                </c:pt>
                <c:pt idx="47">
                  <c:v>Columbia Basin Elec Coop</c:v>
                </c:pt>
                <c:pt idx="48">
                  <c:v>Salmon River Elec Coop</c:v>
                </c:pt>
                <c:pt idx="49">
                  <c:v>Hermiston, City of</c:v>
                </c:pt>
                <c:pt idx="50">
                  <c:v>Wasco Elec Coop</c:v>
                </c:pt>
                <c:pt idx="51">
                  <c:v>Hood River Elec Coop</c:v>
                </c:pt>
                <c:pt idx="52">
                  <c:v>Parkland L &amp; W</c:v>
                </c:pt>
                <c:pt idx="53">
                  <c:v>Burley, City of</c:v>
                </c:pt>
                <c:pt idx="54">
                  <c:v>Skamania County PUD #1</c:v>
                </c:pt>
                <c:pt idx="55">
                  <c:v>Cheney, City of</c:v>
                </c:pt>
                <c:pt idx="56">
                  <c:v>Surprise Valley Elec Coop</c:v>
                </c:pt>
                <c:pt idx="57">
                  <c:v>Port of Seattle - SETAC In'tl. Airport</c:v>
                </c:pt>
                <c:pt idx="58">
                  <c:v>Glacier Elec  Coop</c:v>
                </c:pt>
                <c:pt idx="59">
                  <c:v>Yakama Power</c:v>
                </c:pt>
                <c:pt idx="60">
                  <c:v>Vigilante Elec Coop</c:v>
                </c:pt>
                <c:pt idx="61">
                  <c:v>U.S. Naval Submarine Base, Bangor</c:v>
                </c:pt>
                <c:pt idx="62">
                  <c:v>Ashland, City of</c:v>
                </c:pt>
                <c:pt idx="63">
                  <c:v>Canby, City of</c:v>
                </c:pt>
                <c:pt idx="64">
                  <c:v>Harney Elec Coop</c:v>
                </c:pt>
                <c:pt idx="65">
                  <c:v>Ellensburg, City of</c:v>
                </c:pt>
                <c:pt idx="66">
                  <c:v>Centralia, City of</c:v>
                </c:pt>
                <c:pt idx="67">
                  <c:v>Pend Oreille County PUD  #1</c:v>
                </c:pt>
                <c:pt idx="68">
                  <c:v>Modern Elec Coop</c:v>
                </c:pt>
                <c:pt idx="69">
                  <c:v>Whatcom County PUD #1</c:v>
                </c:pt>
                <c:pt idx="70">
                  <c:v>Forest Grove, City of</c:v>
                </c:pt>
                <c:pt idx="71">
                  <c:v>Missoula Elec Coop</c:v>
                </c:pt>
                <c:pt idx="72">
                  <c:v>Vera Irrigation District</c:v>
                </c:pt>
                <c:pt idx="73">
                  <c:v>U.S. Naval Base,  Bremerton</c:v>
                </c:pt>
                <c:pt idx="74">
                  <c:v>United Electric Coop</c:v>
                </c:pt>
                <c:pt idx="75">
                  <c:v>U.S. DOE Richland Operations Office</c:v>
                </c:pt>
                <c:pt idx="76">
                  <c:v>Port Angeles, City of</c:v>
                </c:pt>
                <c:pt idx="77">
                  <c:v>Lakeview L &amp; P (WA)</c:v>
                </c:pt>
                <c:pt idx="78">
                  <c:v>Elmhurst Mutual P &amp; L</c:v>
                </c:pt>
                <c:pt idx="79">
                  <c:v>Pacific County PUD #2</c:v>
                </c:pt>
                <c:pt idx="80">
                  <c:v>Klickitat County PUD #1</c:v>
                </c:pt>
                <c:pt idx="81">
                  <c:v>Columbia REA</c:v>
                </c:pt>
                <c:pt idx="82">
                  <c:v>Mission Valley</c:v>
                </c:pt>
                <c:pt idx="83">
                  <c:v>Salem Elec Coop</c:v>
                </c:pt>
                <c:pt idx="84">
                  <c:v>Jefferson County PUD #1</c:v>
                </c:pt>
                <c:pt idx="85">
                  <c:v>Okanogan County PUD #1</c:v>
                </c:pt>
                <c:pt idx="86">
                  <c:v>Midstate Elec Coop</c:v>
                </c:pt>
                <c:pt idx="87">
                  <c:v>Emerald PUD</c:v>
                </c:pt>
                <c:pt idx="88">
                  <c:v>Kootenai Electric Coop</c:v>
                </c:pt>
                <c:pt idx="89">
                  <c:v>Columbia River PUD</c:v>
                </c:pt>
                <c:pt idx="90">
                  <c:v>Tillamook PUD #1</c:v>
                </c:pt>
                <c:pt idx="91">
                  <c:v>Benton REA</c:v>
                </c:pt>
                <c:pt idx="92">
                  <c:v>Big Bend Elec Coop</c:v>
                </c:pt>
                <c:pt idx="93">
                  <c:v>Idaho Falls Power</c:v>
                </c:pt>
                <c:pt idx="94">
                  <c:v>Northern Wasco County PUD</c:v>
                </c:pt>
                <c:pt idx="95">
                  <c:v>Peninsula Light Company</c:v>
                </c:pt>
                <c:pt idx="96">
                  <c:v>Clallam County PUD #1</c:v>
                </c:pt>
                <c:pt idx="97">
                  <c:v>Oregon Trail Coop</c:v>
                </c:pt>
                <c:pt idx="98">
                  <c:v>Mason County PUD #3</c:v>
                </c:pt>
                <c:pt idx="99">
                  <c:v>Lower Valley Energy</c:v>
                </c:pt>
                <c:pt idx="100">
                  <c:v>McMinnville, City of</c:v>
                </c:pt>
                <c:pt idx="101">
                  <c:v>Clatskanie PUD</c:v>
                </c:pt>
                <c:pt idx="102">
                  <c:v>Wells Rural Elec Coop</c:v>
                </c:pt>
                <c:pt idx="103">
                  <c:v>Springfield Utility Board</c:v>
                </c:pt>
                <c:pt idx="104">
                  <c:v>Richland, City of</c:v>
                </c:pt>
                <c:pt idx="105">
                  <c:v>Inland P &amp; L</c:v>
                </c:pt>
                <c:pt idx="106">
                  <c:v>Umatilla Elec Coop</c:v>
                </c:pt>
                <c:pt idx="107">
                  <c:v>Lewis County PUD #1</c:v>
                </c:pt>
                <c:pt idx="108">
                  <c:v>Franklin County PUD #1</c:v>
                </c:pt>
                <c:pt idx="109">
                  <c:v>Grays Harbor PUD #1</c:v>
                </c:pt>
                <c:pt idx="110">
                  <c:v>Central Lincoln PUD</c:v>
                </c:pt>
                <c:pt idx="111">
                  <c:v>Benton County PUD #1</c:v>
                </c:pt>
                <c:pt idx="112">
                  <c:v>Eugene Water &amp; Electric Board</c:v>
                </c:pt>
                <c:pt idx="113">
                  <c:v>Clark County PUD #1</c:v>
                </c:pt>
                <c:pt idx="114">
                  <c:v>Tacoma Public Utilities</c:v>
                </c:pt>
                <c:pt idx="115">
                  <c:v>Cowlitz County PUD #1</c:v>
                </c:pt>
                <c:pt idx="116">
                  <c:v>Seattle City Light</c:v>
                </c:pt>
                <c:pt idx="117">
                  <c:v>PNGC Aggregate</c:v>
                </c:pt>
                <c:pt idx="118">
                  <c:v>Snohomish County PUD #1</c:v>
                </c:pt>
              </c:strCache>
            </c:strRef>
          </c:cat>
          <c:val>
            <c:numRef>
              <c:f>Restatement!$F$4:$F$122</c:f>
              <c:numCache>
                <c:formatCode>0%</c:formatCode>
                <c:ptCount val="1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-1.0613265541155546E-2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-1.2170746463460572E-2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-1.9579953272227259E-2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-2.0954119527620319E-2</c:v>
                </c:pt>
                <c:pt idx="108">
                  <c:v>2.926202342446972E-3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-6.0276442904302046E-3</c:v>
                </c:pt>
                <c:pt idx="113">
                  <c:v>-1.8605996157240418E-2</c:v>
                </c:pt>
                <c:pt idx="114">
                  <c:v>-2.278731552316474E-2</c:v>
                </c:pt>
                <c:pt idx="115">
                  <c:v>-1.9270453298219286E-2</c:v>
                </c:pt>
                <c:pt idx="116">
                  <c:v>0</c:v>
                </c:pt>
                <c:pt idx="117">
                  <c:v>0</c:v>
                </c:pt>
                <c:pt idx="118">
                  <c:v>-1.9142995110553451E-2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705-4162-86F7-2998EFB823DD}"/>
            </c:ext>
          </c:extLst>
        </c:ser>
        <c:ser>
          <c:idx val="2"/>
          <c:order val="2"/>
          <c:tx>
            <c:v>Block</c:v>
          </c:tx>
          <c:invertIfNegative val="0"/>
          <c:cat>
            <c:strRef>
              <c:f>Restatement!$B$4:$B$122</c:f>
              <c:strCache>
                <c:ptCount val="119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Alder Mutual</c:v>
                </c:pt>
                <c:pt idx="7">
                  <c:v>Asotin County PUD #1</c:v>
                </c:pt>
                <c:pt idx="8">
                  <c:v>U.S. Naval Station, Everett (Jim Creek)</c:v>
                </c:pt>
                <c:pt idx="9">
                  <c:v>Drain, City of</c:v>
                </c:pt>
                <c:pt idx="10">
                  <c:v>Coulee Dam, City of</c:v>
                </c:pt>
                <c:pt idx="11">
                  <c:v>Troy, City of</c:v>
                </c:pt>
                <c:pt idx="12">
                  <c:v>Riverside Elec Coop</c:v>
                </c:pt>
                <c:pt idx="13">
                  <c:v>Cascade Locks, City of</c:v>
                </c:pt>
                <c:pt idx="14">
                  <c:v>Energy Northwest</c:v>
                </c:pt>
                <c:pt idx="15">
                  <c:v>Chewelah, City of</c:v>
                </c:pt>
                <c:pt idx="16">
                  <c:v>East End Mutual Electric</c:v>
                </c:pt>
                <c:pt idx="17">
                  <c:v>Umpqua Indian Utility Cooperative</c:v>
                </c:pt>
                <c:pt idx="18">
                  <c:v>Kalispel Tribe Utility</c:v>
                </c:pt>
                <c:pt idx="19">
                  <c:v>Soda Springs, City of</c:v>
                </c:pt>
                <c:pt idx="20">
                  <c:v>Columbia Power Coop</c:v>
                </c:pt>
                <c:pt idx="21">
                  <c:v>Eatonville, City of</c:v>
                </c:pt>
                <c:pt idx="22">
                  <c:v>Sumas, Town of</c:v>
                </c:pt>
                <c:pt idx="23">
                  <c:v>McCleary, City of</c:v>
                </c:pt>
                <c:pt idx="24">
                  <c:v>Plummer, City of</c:v>
                </c:pt>
                <c:pt idx="25">
                  <c:v>Steilacoom, Town of</c:v>
                </c:pt>
                <c:pt idx="26">
                  <c:v>Heyburn, City of</c:v>
                </c:pt>
                <c:pt idx="27">
                  <c:v>Wahkiakum County PUD #1</c:v>
                </c:pt>
                <c:pt idx="28">
                  <c:v>Bonners Ferry, City of</c:v>
                </c:pt>
                <c:pt idx="29">
                  <c:v>Grant County PUD #2</c:v>
                </c:pt>
                <c:pt idx="30">
                  <c:v>U.S. Airforce Base, Fairchild</c:v>
                </c:pt>
                <c:pt idx="31">
                  <c:v>Nespelem Valley Elec Coop</c:v>
                </c:pt>
                <c:pt idx="32">
                  <c:v>Idaho County L &amp; P</c:v>
                </c:pt>
                <c:pt idx="33">
                  <c:v>Weiser, City of</c:v>
                </c:pt>
                <c:pt idx="34">
                  <c:v>Southside Elec Lines</c:v>
                </c:pt>
                <c:pt idx="35">
                  <c:v>Milton, Town of</c:v>
                </c:pt>
                <c:pt idx="36">
                  <c:v>Bandon, City of</c:v>
                </c:pt>
                <c:pt idx="37">
                  <c:v>Monmouth, City of</c:v>
                </c:pt>
                <c:pt idx="38">
                  <c:v>Blaine, City of</c:v>
                </c:pt>
                <c:pt idx="39">
                  <c:v>Mason County PUD #1</c:v>
                </c:pt>
                <c:pt idx="40">
                  <c:v>Ferry County PUD #1</c:v>
                </c:pt>
                <c:pt idx="41">
                  <c:v>Rupert, City of</c:v>
                </c:pt>
                <c:pt idx="42">
                  <c:v>Lost River Elec Coop</c:v>
                </c:pt>
                <c:pt idx="43">
                  <c:v>Kittitas County PUD #1</c:v>
                </c:pt>
                <c:pt idx="44">
                  <c:v>Ohop Mutual Light Company</c:v>
                </c:pt>
                <c:pt idx="45">
                  <c:v>Milton-Freewater, City of</c:v>
                </c:pt>
                <c:pt idx="46">
                  <c:v>Tanner Elec Coop</c:v>
                </c:pt>
                <c:pt idx="47">
                  <c:v>Columbia Basin Elec Coop</c:v>
                </c:pt>
                <c:pt idx="48">
                  <c:v>Salmon River Elec Coop</c:v>
                </c:pt>
                <c:pt idx="49">
                  <c:v>Hermiston, City of</c:v>
                </c:pt>
                <c:pt idx="50">
                  <c:v>Wasco Elec Coop</c:v>
                </c:pt>
                <c:pt idx="51">
                  <c:v>Hood River Elec Coop</c:v>
                </c:pt>
                <c:pt idx="52">
                  <c:v>Parkland L &amp; W</c:v>
                </c:pt>
                <c:pt idx="53">
                  <c:v>Burley, City of</c:v>
                </c:pt>
                <c:pt idx="54">
                  <c:v>Skamania County PUD #1</c:v>
                </c:pt>
                <c:pt idx="55">
                  <c:v>Cheney, City of</c:v>
                </c:pt>
                <c:pt idx="56">
                  <c:v>Surprise Valley Elec Coop</c:v>
                </c:pt>
                <c:pt idx="57">
                  <c:v>Port of Seattle - SETAC In'tl. Airport</c:v>
                </c:pt>
                <c:pt idx="58">
                  <c:v>Glacier Elec  Coop</c:v>
                </c:pt>
                <c:pt idx="59">
                  <c:v>Yakama Power</c:v>
                </c:pt>
                <c:pt idx="60">
                  <c:v>Vigilante Elec Coop</c:v>
                </c:pt>
                <c:pt idx="61">
                  <c:v>U.S. Naval Submarine Base, Bangor</c:v>
                </c:pt>
                <c:pt idx="62">
                  <c:v>Ashland, City of</c:v>
                </c:pt>
                <c:pt idx="63">
                  <c:v>Canby, City of</c:v>
                </c:pt>
                <c:pt idx="64">
                  <c:v>Harney Elec Coop</c:v>
                </c:pt>
                <c:pt idx="65">
                  <c:v>Ellensburg, City of</c:v>
                </c:pt>
                <c:pt idx="66">
                  <c:v>Centralia, City of</c:v>
                </c:pt>
                <c:pt idx="67">
                  <c:v>Pend Oreille County PUD  #1</c:v>
                </c:pt>
                <c:pt idx="68">
                  <c:v>Modern Elec Coop</c:v>
                </c:pt>
                <c:pt idx="69">
                  <c:v>Whatcom County PUD #1</c:v>
                </c:pt>
                <c:pt idx="70">
                  <c:v>Forest Grove, City of</c:v>
                </c:pt>
                <c:pt idx="71">
                  <c:v>Missoula Elec Coop</c:v>
                </c:pt>
                <c:pt idx="72">
                  <c:v>Vera Irrigation District</c:v>
                </c:pt>
                <c:pt idx="73">
                  <c:v>U.S. Naval Base,  Bremerton</c:v>
                </c:pt>
                <c:pt idx="74">
                  <c:v>United Electric Coop</c:v>
                </c:pt>
                <c:pt idx="75">
                  <c:v>U.S. DOE Richland Operations Office</c:v>
                </c:pt>
                <c:pt idx="76">
                  <c:v>Port Angeles, City of</c:v>
                </c:pt>
                <c:pt idx="77">
                  <c:v>Lakeview L &amp; P (WA)</c:v>
                </c:pt>
                <c:pt idx="78">
                  <c:v>Elmhurst Mutual P &amp; L</c:v>
                </c:pt>
                <c:pt idx="79">
                  <c:v>Pacific County PUD #2</c:v>
                </c:pt>
                <c:pt idx="80">
                  <c:v>Klickitat County PUD #1</c:v>
                </c:pt>
                <c:pt idx="81">
                  <c:v>Columbia REA</c:v>
                </c:pt>
                <c:pt idx="82">
                  <c:v>Mission Valley</c:v>
                </c:pt>
                <c:pt idx="83">
                  <c:v>Salem Elec Coop</c:v>
                </c:pt>
                <c:pt idx="84">
                  <c:v>Jefferson County PUD #1</c:v>
                </c:pt>
                <c:pt idx="85">
                  <c:v>Okanogan County PUD #1</c:v>
                </c:pt>
                <c:pt idx="86">
                  <c:v>Midstate Elec Coop</c:v>
                </c:pt>
                <c:pt idx="87">
                  <c:v>Emerald PUD</c:v>
                </c:pt>
                <c:pt idx="88">
                  <c:v>Kootenai Electric Coop</c:v>
                </c:pt>
                <c:pt idx="89">
                  <c:v>Columbia River PUD</c:v>
                </c:pt>
                <c:pt idx="90">
                  <c:v>Tillamook PUD #1</c:v>
                </c:pt>
                <c:pt idx="91">
                  <c:v>Benton REA</c:v>
                </c:pt>
                <c:pt idx="92">
                  <c:v>Big Bend Elec Coop</c:v>
                </c:pt>
                <c:pt idx="93">
                  <c:v>Idaho Falls Power</c:v>
                </c:pt>
                <c:pt idx="94">
                  <c:v>Northern Wasco County PUD</c:v>
                </c:pt>
                <c:pt idx="95">
                  <c:v>Peninsula Light Company</c:v>
                </c:pt>
                <c:pt idx="96">
                  <c:v>Clallam County PUD #1</c:v>
                </c:pt>
                <c:pt idx="97">
                  <c:v>Oregon Trail Coop</c:v>
                </c:pt>
                <c:pt idx="98">
                  <c:v>Mason County PUD #3</c:v>
                </c:pt>
                <c:pt idx="99">
                  <c:v>Lower Valley Energy</c:v>
                </c:pt>
                <c:pt idx="100">
                  <c:v>McMinnville, City of</c:v>
                </c:pt>
                <c:pt idx="101">
                  <c:v>Clatskanie PUD</c:v>
                </c:pt>
                <c:pt idx="102">
                  <c:v>Wells Rural Elec Coop</c:v>
                </c:pt>
                <c:pt idx="103">
                  <c:v>Springfield Utility Board</c:v>
                </c:pt>
                <c:pt idx="104">
                  <c:v>Richland, City of</c:v>
                </c:pt>
                <c:pt idx="105">
                  <c:v>Inland P &amp; L</c:v>
                </c:pt>
                <c:pt idx="106">
                  <c:v>Umatilla Elec Coop</c:v>
                </c:pt>
                <c:pt idx="107">
                  <c:v>Lewis County PUD #1</c:v>
                </c:pt>
                <c:pt idx="108">
                  <c:v>Franklin County PUD #1</c:v>
                </c:pt>
                <c:pt idx="109">
                  <c:v>Grays Harbor PUD #1</c:v>
                </c:pt>
                <c:pt idx="110">
                  <c:v>Central Lincoln PUD</c:v>
                </c:pt>
                <c:pt idx="111">
                  <c:v>Benton County PUD #1</c:v>
                </c:pt>
                <c:pt idx="112">
                  <c:v>Eugene Water &amp; Electric Board</c:v>
                </c:pt>
                <c:pt idx="113">
                  <c:v>Clark County PUD #1</c:v>
                </c:pt>
                <c:pt idx="114">
                  <c:v>Tacoma Public Utilities</c:v>
                </c:pt>
                <c:pt idx="115">
                  <c:v>Cowlitz County PUD #1</c:v>
                </c:pt>
                <c:pt idx="116">
                  <c:v>Seattle City Light</c:v>
                </c:pt>
                <c:pt idx="117">
                  <c:v>PNGC Aggregate</c:v>
                </c:pt>
                <c:pt idx="118">
                  <c:v>Snohomish County PUD #1</c:v>
                </c:pt>
              </c:strCache>
            </c:strRef>
          </c:cat>
          <c:val>
            <c:numRef>
              <c:f>Restatement!$E$4:$E$122</c:f>
              <c:numCache>
                <c:formatCode>0%</c:formatCode>
                <c:ptCount val="119"/>
              </c:numCache>
            </c:numRef>
          </c:val>
          <c:extLst>
            <c:ext xmlns:c16="http://schemas.microsoft.com/office/drawing/2014/chart" uri="{C3380CC4-5D6E-409C-BE32-E72D297353CC}">
              <c16:uniqueId val="{00000009-5705-4162-86F7-2998EFB82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25750272"/>
        <c:axId val="125752448"/>
      </c:barChart>
      <c:lineChart>
        <c:grouping val="standard"/>
        <c:varyColors val="0"/>
        <c:ser>
          <c:idx val="3"/>
          <c:order val="3"/>
          <c:tx>
            <c:v>w/o Load Shaping Charges</c:v>
          </c:tx>
          <c:spPr>
            <a:ln w="44450">
              <a:noFill/>
            </a:ln>
          </c:spPr>
          <c:marker>
            <c:symbol val="dash"/>
            <c:size val="3"/>
            <c:spPr>
              <a:ln>
                <a:solidFill>
                  <a:schemeClr val="tx1"/>
                </a:solidFill>
              </a:ln>
            </c:spPr>
          </c:marker>
          <c:cat>
            <c:strRef>
              <c:f>Restatement!$B$4:$B$122</c:f>
              <c:strCache>
                <c:ptCount val="119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Alder Mutual</c:v>
                </c:pt>
                <c:pt idx="7">
                  <c:v>Asotin County PUD #1</c:v>
                </c:pt>
                <c:pt idx="8">
                  <c:v>U.S. Naval Station, Everett (Jim Creek)</c:v>
                </c:pt>
                <c:pt idx="9">
                  <c:v>Drain, City of</c:v>
                </c:pt>
                <c:pt idx="10">
                  <c:v>Coulee Dam, City of</c:v>
                </c:pt>
                <c:pt idx="11">
                  <c:v>Troy, City of</c:v>
                </c:pt>
                <c:pt idx="12">
                  <c:v>Riverside Elec Coop</c:v>
                </c:pt>
                <c:pt idx="13">
                  <c:v>Cascade Locks, City of</c:v>
                </c:pt>
                <c:pt idx="14">
                  <c:v>Energy Northwest</c:v>
                </c:pt>
                <c:pt idx="15">
                  <c:v>Chewelah, City of</c:v>
                </c:pt>
                <c:pt idx="16">
                  <c:v>East End Mutual Electric</c:v>
                </c:pt>
                <c:pt idx="17">
                  <c:v>Umpqua Indian Utility Cooperative</c:v>
                </c:pt>
                <c:pt idx="18">
                  <c:v>Kalispel Tribe Utility</c:v>
                </c:pt>
                <c:pt idx="19">
                  <c:v>Soda Springs, City of</c:v>
                </c:pt>
                <c:pt idx="20">
                  <c:v>Columbia Power Coop</c:v>
                </c:pt>
                <c:pt idx="21">
                  <c:v>Eatonville, City of</c:v>
                </c:pt>
                <c:pt idx="22">
                  <c:v>Sumas, Town of</c:v>
                </c:pt>
                <c:pt idx="23">
                  <c:v>McCleary, City of</c:v>
                </c:pt>
                <c:pt idx="24">
                  <c:v>Plummer, City of</c:v>
                </c:pt>
                <c:pt idx="25">
                  <c:v>Steilacoom, Town of</c:v>
                </c:pt>
                <c:pt idx="26">
                  <c:v>Heyburn, City of</c:v>
                </c:pt>
                <c:pt idx="27">
                  <c:v>Wahkiakum County PUD #1</c:v>
                </c:pt>
                <c:pt idx="28">
                  <c:v>Bonners Ferry, City of</c:v>
                </c:pt>
                <c:pt idx="29">
                  <c:v>Grant County PUD #2</c:v>
                </c:pt>
                <c:pt idx="30">
                  <c:v>U.S. Airforce Base, Fairchild</c:v>
                </c:pt>
                <c:pt idx="31">
                  <c:v>Nespelem Valley Elec Coop</c:v>
                </c:pt>
                <c:pt idx="32">
                  <c:v>Idaho County L &amp; P</c:v>
                </c:pt>
                <c:pt idx="33">
                  <c:v>Weiser, City of</c:v>
                </c:pt>
                <c:pt idx="34">
                  <c:v>Southside Elec Lines</c:v>
                </c:pt>
                <c:pt idx="35">
                  <c:v>Milton, Town of</c:v>
                </c:pt>
                <c:pt idx="36">
                  <c:v>Bandon, City of</c:v>
                </c:pt>
                <c:pt idx="37">
                  <c:v>Monmouth, City of</c:v>
                </c:pt>
                <c:pt idx="38">
                  <c:v>Blaine, City of</c:v>
                </c:pt>
                <c:pt idx="39">
                  <c:v>Mason County PUD #1</c:v>
                </c:pt>
                <c:pt idx="40">
                  <c:v>Ferry County PUD #1</c:v>
                </c:pt>
                <c:pt idx="41">
                  <c:v>Rupert, City of</c:v>
                </c:pt>
                <c:pt idx="42">
                  <c:v>Lost River Elec Coop</c:v>
                </c:pt>
                <c:pt idx="43">
                  <c:v>Kittitas County PUD #1</c:v>
                </c:pt>
                <c:pt idx="44">
                  <c:v>Ohop Mutual Light Company</c:v>
                </c:pt>
                <c:pt idx="45">
                  <c:v>Milton-Freewater, City of</c:v>
                </c:pt>
                <c:pt idx="46">
                  <c:v>Tanner Elec Coop</c:v>
                </c:pt>
                <c:pt idx="47">
                  <c:v>Columbia Basin Elec Coop</c:v>
                </c:pt>
                <c:pt idx="48">
                  <c:v>Salmon River Elec Coop</c:v>
                </c:pt>
                <c:pt idx="49">
                  <c:v>Hermiston, City of</c:v>
                </c:pt>
                <c:pt idx="50">
                  <c:v>Wasco Elec Coop</c:v>
                </c:pt>
                <c:pt idx="51">
                  <c:v>Hood River Elec Coop</c:v>
                </c:pt>
                <c:pt idx="52">
                  <c:v>Parkland L &amp; W</c:v>
                </c:pt>
                <c:pt idx="53">
                  <c:v>Burley, City of</c:v>
                </c:pt>
                <c:pt idx="54">
                  <c:v>Skamania County PUD #1</c:v>
                </c:pt>
                <c:pt idx="55">
                  <c:v>Cheney, City of</c:v>
                </c:pt>
                <c:pt idx="56">
                  <c:v>Surprise Valley Elec Coop</c:v>
                </c:pt>
                <c:pt idx="57">
                  <c:v>Port of Seattle - SETAC In'tl. Airport</c:v>
                </c:pt>
                <c:pt idx="58">
                  <c:v>Glacier Elec  Coop</c:v>
                </c:pt>
                <c:pt idx="59">
                  <c:v>Yakama Power</c:v>
                </c:pt>
                <c:pt idx="60">
                  <c:v>Vigilante Elec Coop</c:v>
                </c:pt>
                <c:pt idx="61">
                  <c:v>U.S. Naval Submarine Base, Bangor</c:v>
                </c:pt>
                <c:pt idx="62">
                  <c:v>Ashland, City of</c:v>
                </c:pt>
                <c:pt idx="63">
                  <c:v>Canby, City of</c:v>
                </c:pt>
                <c:pt idx="64">
                  <c:v>Harney Elec Coop</c:v>
                </c:pt>
                <c:pt idx="65">
                  <c:v>Ellensburg, City of</c:v>
                </c:pt>
                <c:pt idx="66">
                  <c:v>Centralia, City of</c:v>
                </c:pt>
                <c:pt idx="67">
                  <c:v>Pend Oreille County PUD  #1</c:v>
                </c:pt>
                <c:pt idx="68">
                  <c:v>Modern Elec Coop</c:v>
                </c:pt>
                <c:pt idx="69">
                  <c:v>Whatcom County PUD #1</c:v>
                </c:pt>
                <c:pt idx="70">
                  <c:v>Forest Grove, City of</c:v>
                </c:pt>
                <c:pt idx="71">
                  <c:v>Missoula Elec Coop</c:v>
                </c:pt>
                <c:pt idx="72">
                  <c:v>Vera Irrigation District</c:v>
                </c:pt>
                <c:pt idx="73">
                  <c:v>U.S. Naval Base,  Bremerton</c:v>
                </c:pt>
                <c:pt idx="74">
                  <c:v>United Electric Coop</c:v>
                </c:pt>
                <c:pt idx="75">
                  <c:v>U.S. DOE Richland Operations Office</c:v>
                </c:pt>
                <c:pt idx="76">
                  <c:v>Port Angeles, City of</c:v>
                </c:pt>
                <c:pt idx="77">
                  <c:v>Lakeview L &amp; P (WA)</c:v>
                </c:pt>
                <c:pt idx="78">
                  <c:v>Elmhurst Mutual P &amp; L</c:v>
                </c:pt>
                <c:pt idx="79">
                  <c:v>Pacific County PUD #2</c:v>
                </c:pt>
                <c:pt idx="80">
                  <c:v>Klickitat County PUD #1</c:v>
                </c:pt>
                <c:pt idx="81">
                  <c:v>Columbia REA</c:v>
                </c:pt>
                <c:pt idx="82">
                  <c:v>Mission Valley</c:v>
                </c:pt>
                <c:pt idx="83">
                  <c:v>Salem Elec Coop</c:v>
                </c:pt>
                <c:pt idx="84">
                  <c:v>Jefferson County PUD #1</c:v>
                </c:pt>
                <c:pt idx="85">
                  <c:v>Okanogan County PUD #1</c:v>
                </c:pt>
                <c:pt idx="86">
                  <c:v>Midstate Elec Coop</c:v>
                </c:pt>
                <c:pt idx="87">
                  <c:v>Emerald PUD</c:v>
                </c:pt>
                <c:pt idx="88">
                  <c:v>Kootenai Electric Coop</c:v>
                </c:pt>
                <c:pt idx="89">
                  <c:v>Columbia River PUD</c:v>
                </c:pt>
                <c:pt idx="90">
                  <c:v>Tillamook PUD #1</c:v>
                </c:pt>
                <c:pt idx="91">
                  <c:v>Benton REA</c:v>
                </c:pt>
                <c:pt idx="92">
                  <c:v>Big Bend Elec Coop</c:v>
                </c:pt>
                <c:pt idx="93">
                  <c:v>Idaho Falls Power</c:v>
                </c:pt>
                <c:pt idx="94">
                  <c:v>Northern Wasco County PUD</c:v>
                </c:pt>
                <c:pt idx="95">
                  <c:v>Peninsula Light Company</c:v>
                </c:pt>
                <c:pt idx="96">
                  <c:v>Clallam County PUD #1</c:v>
                </c:pt>
                <c:pt idx="97">
                  <c:v>Oregon Trail Coop</c:v>
                </c:pt>
                <c:pt idx="98">
                  <c:v>Mason County PUD #3</c:v>
                </c:pt>
                <c:pt idx="99">
                  <c:v>Lower Valley Energy</c:v>
                </c:pt>
                <c:pt idx="100">
                  <c:v>McMinnville, City of</c:v>
                </c:pt>
                <c:pt idx="101">
                  <c:v>Clatskanie PUD</c:v>
                </c:pt>
                <c:pt idx="102">
                  <c:v>Wells Rural Elec Coop</c:v>
                </c:pt>
                <c:pt idx="103">
                  <c:v>Springfield Utility Board</c:v>
                </c:pt>
                <c:pt idx="104">
                  <c:v>Richland, City of</c:v>
                </c:pt>
                <c:pt idx="105">
                  <c:v>Inland P &amp; L</c:v>
                </c:pt>
                <c:pt idx="106">
                  <c:v>Umatilla Elec Coop</c:v>
                </c:pt>
                <c:pt idx="107">
                  <c:v>Lewis County PUD #1</c:v>
                </c:pt>
                <c:pt idx="108">
                  <c:v>Franklin County PUD #1</c:v>
                </c:pt>
                <c:pt idx="109">
                  <c:v>Grays Harbor PUD #1</c:v>
                </c:pt>
                <c:pt idx="110">
                  <c:v>Central Lincoln PUD</c:v>
                </c:pt>
                <c:pt idx="111">
                  <c:v>Benton County PUD #1</c:v>
                </c:pt>
                <c:pt idx="112">
                  <c:v>Eugene Water &amp; Electric Board</c:v>
                </c:pt>
                <c:pt idx="113">
                  <c:v>Clark County PUD #1</c:v>
                </c:pt>
                <c:pt idx="114">
                  <c:v>Tacoma Public Utilities</c:v>
                </c:pt>
                <c:pt idx="115">
                  <c:v>Cowlitz County PUD #1</c:v>
                </c:pt>
                <c:pt idx="116">
                  <c:v>Seattle City Light</c:v>
                </c:pt>
                <c:pt idx="117">
                  <c:v>PNGC Aggregate</c:v>
                </c:pt>
                <c:pt idx="118">
                  <c:v>Snohomish County PUD #1</c:v>
                </c:pt>
              </c:strCache>
            </c:strRef>
          </c:cat>
          <c:val>
            <c:numRef>
              <c:f>Restatement!$J$4:$J$122</c:f>
              <c:numCache>
                <c:formatCode>_(* #,##0.00_);_(* \(#,##0.00\);_(* "-"??_);_(@_)</c:formatCode>
                <c:ptCount val="119"/>
                <c:pt idx="0">
                  <c:v>-2.4679701799058214E-2</c:v>
                </c:pt>
                <c:pt idx="1">
                  <c:v>-2.4590048984465991E-2</c:v>
                </c:pt>
                <c:pt idx="2">
                  <c:v>-2.3468417259275707E-2</c:v>
                </c:pt>
                <c:pt idx="3">
                  <c:v>-2.2861426133165184E-2</c:v>
                </c:pt>
                <c:pt idx="4">
                  <c:v>-3.0982292376545862E-2</c:v>
                </c:pt>
                <c:pt idx="5">
                  <c:v>-2.3479804079625691E-2</c:v>
                </c:pt>
                <c:pt idx="6">
                  <c:v>-2.0275885414524054E-2</c:v>
                </c:pt>
                <c:pt idx="7">
                  <c:v>-2.6822268018479249E-2</c:v>
                </c:pt>
                <c:pt idx="8">
                  <c:v>-2.5844814718999465E-2</c:v>
                </c:pt>
                <c:pt idx="9">
                  <c:v>-2.5566057558415803E-2</c:v>
                </c:pt>
                <c:pt idx="10">
                  <c:v>-2.9840211420275202E-2</c:v>
                </c:pt>
                <c:pt idx="11">
                  <c:v>-2.5684682088304954E-2</c:v>
                </c:pt>
                <c:pt idx="12">
                  <c:v>-2.1456088680222876E-2</c:v>
                </c:pt>
                <c:pt idx="13">
                  <c:v>-2.5121293218982155E-2</c:v>
                </c:pt>
                <c:pt idx="14">
                  <c:v>-2.1075738237945292E-2</c:v>
                </c:pt>
                <c:pt idx="15">
                  <c:v>-2.0393340287849896E-2</c:v>
                </c:pt>
                <c:pt idx="16">
                  <c:v>-2.82627678262381E-2</c:v>
                </c:pt>
                <c:pt idx="17">
                  <c:v>-2.1445175214215548E-2</c:v>
                </c:pt>
                <c:pt idx="18">
                  <c:v>-2.0314655663026114E-2</c:v>
                </c:pt>
                <c:pt idx="19">
                  <c:v>-2.6110716807432547E-2</c:v>
                </c:pt>
                <c:pt idx="20">
                  <c:v>-2.7806298168924066E-2</c:v>
                </c:pt>
                <c:pt idx="21">
                  <c:v>-2.4659821767965249E-2</c:v>
                </c:pt>
                <c:pt idx="22">
                  <c:v>-2.5189012621107048E-2</c:v>
                </c:pt>
                <c:pt idx="23">
                  <c:v>-2.8547345868872989E-2</c:v>
                </c:pt>
                <c:pt idx="24">
                  <c:v>-2.5912251984062783E-2</c:v>
                </c:pt>
                <c:pt idx="25">
                  <c:v>-2.1238748819940818E-2</c:v>
                </c:pt>
                <c:pt idx="26">
                  <c:v>-2.5901725141840332E-2</c:v>
                </c:pt>
                <c:pt idx="27">
                  <c:v>-2.9202233301566637E-2</c:v>
                </c:pt>
                <c:pt idx="28">
                  <c:v>-2.5357413361640487E-2</c:v>
                </c:pt>
                <c:pt idx="29">
                  <c:v>-2.8180246631747955E-2</c:v>
                </c:pt>
                <c:pt idx="30">
                  <c:v>-2.1471334345676579E-2</c:v>
                </c:pt>
                <c:pt idx="31">
                  <c:v>-1.1707511643406237E-2</c:v>
                </c:pt>
                <c:pt idx="32">
                  <c:v>-2.549940147714868E-2</c:v>
                </c:pt>
                <c:pt idx="33">
                  <c:v>-2.841911304091449E-2</c:v>
                </c:pt>
                <c:pt idx="34">
                  <c:v>-2.8930311631172819E-2</c:v>
                </c:pt>
                <c:pt idx="35">
                  <c:v>-1.8321719860019479E-2</c:v>
                </c:pt>
                <c:pt idx="36">
                  <c:v>-2.729082659326958E-2</c:v>
                </c:pt>
                <c:pt idx="37">
                  <c:v>-2.3511112359691805E-2</c:v>
                </c:pt>
                <c:pt idx="38">
                  <c:v>-2.4426997669903559E-2</c:v>
                </c:pt>
                <c:pt idx="39">
                  <c:v>3.4563906588515325E-2</c:v>
                </c:pt>
                <c:pt idx="40">
                  <c:v>-1.9380444103267364E-2</c:v>
                </c:pt>
                <c:pt idx="41">
                  <c:v>-2.3047159875616324E-2</c:v>
                </c:pt>
                <c:pt idx="42">
                  <c:v>-3.991712165808952E-2</c:v>
                </c:pt>
                <c:pt idx="43">
                  <c:v>-2.370493614550942E-2</c:v>
                </c:pt>
                <c:pt idx="44">
                  <c:v>-2.9287751272976247E-2</c:v>
                </c:pt>
                <c:pt idx="45">
                  <c:v>-2.2756516542468651E-2</c:v>
                </c:pt>
                <c:pt idx="46">
                  <c:v>-2.1026801559020519E-2</c:v>
                </c:pt>
                <c:pt idx="47">
                  <c:v>-3.2899333171270292E-2</c:v>
                </c:pt>
                <c:pt idx="48">
                  <c:v>-2.7740603439910274E-2</c:v>
                </c:pt>
                <c:pt idx="49">
                  <c:v>-2.2381339690726972E-2</c:v>
                </c:pt>
                <c:pt idx="50">
                  <c:v>-2.4060840575103139E-2</c:v>
                </c:pt>
                <c:pt idx="51">
                  <c:v>-2.6693099532919672E-2</c:v>
                </c:pt>
                <c:pt idx="52">
                  <c:v>-2.0719074186492516E-2</c:v>
                </c:pt>
                <c:pt idx="53">
                  <c:v>-2.4628757956962514E-2</c:v>
                </c:pt>
                <c:pt idx="54">
                  <c:v>-2.699188897841593E-2</c:v>
                </c:pt>
                <c:pt idx="55">
                  <c:v>-2.7733774307839732E-2</c:v>
                </c:pt>
                <c:pt idx="56">
                  <c:v>-2.8860692271050672E-2</c:v>
                </c:pt>
                <c:pt idx="57">
                  <c:v>-2.4079782925671932E-2</c:v>
                </c:pt>
                <c:pt idx="58">
                  <c:v>-2.243882639309247E-2</c:v>
                </c:pt>
                <c:pt idx="59">
                  <c:v>-2.4464281690088449E-2</c:v>
                </c:pt>
                <c:pt idx="60">
                  <c:v>-3.3953468793846447E-2</c:v>
                </c:pt>
                <c:pt idx="61">
                  <c:v>-2.75056531325098E-2</c:v>
                </c:pt>
                <c:pt idx="62">
                  <c:v>-2.500436627190614E-2</c:v>
                </c:pt>
                <c:pt idx="63">
                  <c:v>-2.3543129080161769E-2</c:v>
                </c:pt>
                <c:pt idx="64">
                  <c:v>-3.1752337984837738E-2</c:v>
                </c:pt>
                <c:pt idx="65">
                  <c:v>-2.3223066222655724E-2</c:v>
                </c:pt>
                <c:pt idx="66">
                  <c:v>-2.4995844789557041E-2</c:v>
                </c:pt>
                <c:pt idx="67">
                  <c:v>-2.45900489798048E-2</c:v>
                </c:pt>
                <c:pt idx="68">
                  <c:v>-2.66581232040747E-2</c:v>
                </c:pt>
                <c:pt idx="69">
                  <c:v>-2.5332000378345008E-2</c:v>
                </c:pt>
                <c:pt idx="70">
                  <c:v>-2.3779087687751662E-2</c:v>
                </c:pt>
                <c:pt idx="71">
                  <c:v>-3.4094496486713206E-2</c:v>
                </c:pt>
                <c:pt idx="72">
                  <c:v>-2.1063912881077253E-2</c:v>
                </c:pt>
                <c:pt idx="73">
                  <c:v>-2.3189482644705346E-2</c:v>
                </c:pt>
                <c:pt idx="74">
                  <c:v>-3.0087642631830638E-2</c:v>
                </c:pt>
                <c:pt idx="75">
                  <c:v>-6.9777524159501697E-2</c:v>
                </c:pt>
                <c:pt idx="76">
                  <c:v>-2.5933132990517697E-2</c:v>
                </c:pt>
                <c:pt idx="77">
                  <c:v>-2.2182364895645731E-2</c:v>
                </c:pt>
                <c:pt idx="78">
                  <c:v>-2.3153383170428758E-2</c:v>
                </c:pt>
                <c:pt idx="79">
                  <c:v>-2.9096527949915151E-2</c:v>
                </c:pt>
                <c:pt idx="80">
                  <c:v>-4.5640890098940033E-2</c:v>
                </c:pt>
                <c:pt idx="81">
                  <c:v>-2.626699800036086E-2</c:v>
                </c:pt>
                <c:pt idx="82">
                  <c:v>-2.5332509700109238E-2</c:v>
                </c:pt>
                <c:pt idx="83">
                  <c:v>-2.1478564354637436E-2</c:v>
                </c:pt>
                <c:pt idx="84">
                  <c:v>-2.629337518998159E-2</c:v>
                </c:pt>
                <c:pt idx="85">
                  <c:v>-2.6262226546035997E-2</c:v>
                </c:pt>
                <c:pt idx="86">
                  <c:v>-4.2396361482904085E-2</c:v>
                </c:pt>
                <c:pt idx="87">
                  <c:v>-2.2742751666343156E-2</c:v>
                </c:pt>
                <c:pt idx="88">
                  <c:v>-2.5825663477527801E-2</c:v>
                </c:pt>
                <c:pt idx="89">
                  <c:v>-2.580925860175292E-2</c:v>
                </c:pt>
                <c:pt idx="90">
                  <c:v>-2.7835217704928285E-2</c:v>
                </c:pt>
                <c:pt idx="91">
                  <c:v>-1.7821388950539439E-2</c:v>
                </c:pt>
                <c:pt idx="92">
                  <c:v>-2.6878994697683661E-2</c:v>
                </c:pt>
                <c:pt idx="93">
                  <c:v>-2.4590048980713819E-2</c:v>
                </c:pt>
                <c:pt idx="94">
                  <c:v>-2.4590048982500549E-2</c:v>
                </c:pt>
                <c:pt idx="95">
                  <c:v>-2.2332916263142023E-2</c:v>
                </c:pt>
                <c:pt idx="96">
                  <c:v>-2.5218386757870626E-2</c:v>
                </c:pt>
                <c:pt idx="97">
                  <c:v>-2.0738946013228676E-2</c:v>
                </c:pt>
                <c:pt idx="98">
                  <c:v>2.8508164148162336E-2</c:v>
                </c:pt>
                <c:pt idx="99">
                  <c:v>-2.624078660945656E-2</c:v>
                </c:pt>
                <c:pt idx="100">
                  <c:v>-2.5082408903881616E-2</c:v>
                </c:pt>
                <c:pt idx="101">
                  <c:v>-2.4590048986033907E-2</c:v>
                </c:pt>
                <c:pt idx="102">
                  <c:v>-1.3947824452733598E-2</c:v>
                </c:pt>
                <c:pt idx="103">
                  <c:v>-2.43248911088975E-2</c:v>
                </c:pt>
                <c:pt idx="104">
                  <c:v>-2.4669134857168921E-2</c:v>
                </c:pt>
                <c:pt idx="105">
                  <c:v>-3.1721794330483818E-2</c:v>
                </c:pt>
                <c:pt idx="106">
                  <c:v>-1.1635588238100798E-2</c:v>
                </c:pt>
                <c:pt idx="107">
                  <c:v>-2.3164544027355977E-2</c:v>
                </c:pt>
                <c:pt idx="108">
                  <c:v>-2.6715285308534412E-2</c:v>
                </c:pt>
                <c:pt idx="109">
                  <c:v>-2.1898563026615046E-2</c:v>
                </c:pt>
                <c:pt idx="110">
                  <c:v>-2.6711583932671097E-2</c:v>
                </c:pt>
                <c:pt idx="111">
                  <c:v>-2.7912180259352423E-2</c:v>
                </c:pt>
                <c:pt idx="112">
                  <c:v>-2.4590048978782999E-2</c:v>
                </c:pt>
                <c:pt idx="113">
                  <c:v>-2.4590048984939748E-2</c:v>
                </c:pt>
                <c:pt idx="114">
                  <c:v>-2.4590048983316019E-2</c:v>
                </c:pt>
                <c:pt idx="115">
                  <c:v>-2.459004898138091E-2</c:v>
                </c:pt>
                <c:pt idx="116">
                  <c:v>-2.4590048979550468E-2</c:v>
                </c:pt>
                <c:pt idx="117">
                  <c:v>-2.5138087065043325E-2</c:v>
                </c:pt>
                <c:pt idx="118">
                  <c:v>-2.4590048982294485E-2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705-4162-86F7-2998EFB82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80352"/>
        <c:axId val="125753984"/>
      </c:lineChart>
      <c:catAx>
        <c:axId val="1257502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txPr>
          <a:bodyPr rot="-5400000"/>
          <a:lstStyle/>
          <a:p>
            <a:pPr>
              <a:defRPr sz="400"/>
            </a:pPr>
            <a:endParaRPr lang="en-US"/>
          </a:p>
        </c:txPr>
        <c:crossAx val="125752448"/>
        <c:crosses val="autoZero"/>
        <c:auto val="1"/>
        <c:lblAlgn val="ctr"/>
        <c:lblOffset val="100"/>
        <c:noMultiLvlLbl val="0"/>
      </c:catAx>
      <c:valAx>
        <c:axId val="125752448"/>
        <c:scaling>
          <c:orientation val="minMax"/>
          <c:max val="9.0000000000000024E-2"/>
          <c:min val="-5.000000000000001E-2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5400000"/>
          <a:lstStyle/>
          <a:p>
            <a:pPr>
              <a:defRPr sz="700"/>
            </a:pPr>
            <a:endParaRPr lang="en-US"/>
          </a:p>
        </c:txPr>
        <c:crossAx val="125750272"/>
        <c:crossesAt val="1"/>
        <c:crossBetween val="between"/>
      </c:valAx>
      <c:valAx>
        <c:axId val="125753984"/>
        <c:scaling>
          <c:orientation val="minMax"/>
          <c:max val="0.16000000000000003"/>
          <c:min val="0"/>
        </c:scaling>
        <c:delete val="1"/>
        <c:axPos val="r"/>
        <c:numFmt formatCode="_(* #,##0.00_);_(* \(#,##0.00\);_(* &quot;-&quot;??_);_(@_)" sourceLinked="1"/>
        <c:majorTickMark val="out"/>
        <c:minorTickMark val="none"/>
        <c:tickLblPos val="nextTo"/>
        <c:crossAx val="125780352"/>
        <c:crosses val="max"/>
        <c:crossBetween val="between"/>
      </c:valAx>
      <c:catAx>
        <c:axId val="1257803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25753984"/>
        <c:crosses val="autoZero"/>
        <c:auto val="1"/>
        <c:lblAlgn val="ctr"/>
        <c:lblOffset val="100"/>
        <c:noMultiLvlLbl val="0"/>
      </c:catAx>
      <c:spPr>
        <a:effectLst/>
      </c:spPr>
    </c:plotArea>
    <c:legend>
      <c:legendPos val="b"/>
      <c:layout/>
      <c:overlay val="0"/>
    </c:legend>
    <c:plotVisOnly val="1"/>
    <c:dispBlanksAs val="gap"/>
    <c:showDLblsOverMax val="0"/>
  </c:chart>
  <c:spPr>
    <a:noFill/>
  </c:sp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Non-Slice Customer Estimated Rate Impacts - Ordered from Highest to Lowest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Rate Increase</c:v>
          </c:tx>
          <c:spPr>
            <a:solidFill>
              <a:schemeClr val="accent1">
                <a:alpha val="68000"/>
              </a:schemeClr>
            </a:solidFill>
          </c:spPr>
          <c:invertIfNegative val="0"/>
          <c:cat>
            <c:strRef>
              <c:f>Outputs!$H$5:$H$124</c:f>
              <c:strCache>
                <c:ptCount val="119"/>
                <c:pt idx="0">
                  <c:v>Umatilla Elec Coop</c:v>
                </c:pt>
                <c:pt idx="1">
                  <c:v>Mason County PUD #1</c:v>
                </c:pt>
                <c:pt idx="2">
                  <c:v>Mason County PUD #3</c:v>
                </c:pt>
                <c:pt idx="3">
                  <c:v>Bonners Ferry, City of</c:v>
                </c:pt>
                <c:pt idx="4">
                  <c:v>Harney Elec Coop</c:v>
                </c:pt>
                <c:pt idx="5">
                  <c:v>Surprise Valley Elec Coop</c:v>
                </c:pt>
                <c:pt idx="6">
                  <c:v>Pend Oreille County PUD  #1</c:v>
                </c:pt>
                <c:pt idx="7">
                  <c:v>Seattle City Light</c:v>
                </c:pt>
                <c:pt idx="8">
                  <c:v>Asotin County PUD #1</c:v>
                </c:pt>
                <c:pt idx="9">
                  <c:v>Nespelem Valley Elec Coop</c:v>
                </c:pt>
                <c:pt idx="10">
                  <c:v>Lost River Elec Coop</c:v>
                </c:pt>
                <c:pt idx="11">
                  <c:v>Yakama Power</c:v>
                </c:pt>
                <c:pt idx="12">
                  <c:v>Milton-Freewater, City of</c:v>
                </c:pt>
                <c:pt idx="13">
                  <c:v>Columbia REA</c:v>
                </c:pt>
                <c:pt idx="14">
                  <c:v>Hermiston, City of</c:v>
                </c:pt>
                <c:pt idx="15">
                  <c:v>East End Mutual Electric</c:v>
                </c:pt>
                <c:pt idx="16">
                  <c:v>Southside Elec Lines</c:v>
                </c:pt>
                <c:pt idx="17">
                  <c:v>Hood River Elec Coop</c:v>
                </c:pt>
                <c:pt idx="18">
                  <c:v>Ashland, City of</c:v>
                </c:pt>
                <c:pt idx="19">
                  <c:v>Okanogan County PUD #1</c:v>
                </c:pt>
                <c:pt idx="20">
                  <c:v>Mission Valley</c:v>
                </c:pt>
                <c:pt idx="21">
                  <c:v>Richland, City of</c:v>
                </c:pt>
                <c:pt idx="22">
                  <c:v>Weiser, City of</c:v>
                </c:pt>
                <c:pt idx="23">
                  <c:v>Benton REA</c:v>
                </c:pt>
                <c:pt idx="24">
                  <c:v>Salem Elec Coop</c:v>
                </c:pt>
                <c:pt idx="25">
                  <c:v>Big Bend Elec Coop</c:v>
                </c:pt>
                <c:pt idx="26">
                  <c:v>Franklin County PUD #1</c:v>
                </c:pt>
                <c:pt idx="27">
                  <c:v>Columbia Power Coop</c:v>
                </c:pt>
                <c:pt idx="28">
                  <c:v>Canby, City of</c:v>
                </c:pt>
                <c:pt idx="29">
                  <c:v>Vera Irrigation District</c:v>
                </c:pt>
                <c:pt idx="30">
                  <c:v>Kalispel Tribe Utility</c:v>
                </c:pt>
                <c:pt idx="31">
                  <c:v>Burley, City of</c:v>
                </c:pt>
                <c:pt idx="32">
                  <c:v>Riverside Elec Coop</c:v>
                </c:pt>
                <c:pt idx="33">
                  <c:v>Kootenai Electric Coop</c:v>
                </c:pt>
                <c:pt idx="34">
                  <c:v>Wasco Elec Coop</c:v>
                </c:pt>
                <c:pt idx="35">
                  <c:v>Chewelah, City of</c:v>
                </c:pt>
                <c:pt idx="36">
                  <c:v>Vigilante Elec Coop</c:v>
                </c:pt>
                <c:pt idx="37">
                  <c:v>Kittitas County PUD #1</c:v>
                </c:pt>
                <c:pt idx="38">
                  <c:v>Forest Grove, City of</c:v>
                </c:pt>
                <c:pt idx="39">
                  <c:v>Ferry County PUD #1</c:v>
                </c:pt>
                <c:pt idx="40">
                  <c:v>U.S. Airforce Base, Fairchild</c:v>
                </c:pt>
                <c:pt idx="41">
                  <c:v>Declo, City of</c:v>
                </c:pt>
                <c:pt idx="42">
                  <c:v>Northern Wasco County PUD</c:v>
                </c:pt>
                <c:pt idx="43">
                  <c:v>Ellensburg, City of</c:v>
                </c:pt>
                <c:pt idx="44">
                  <c:v>Grant County PUD #2</c:v>
                </c:pt>
                <c:pt idx="45">
                  <c:v>PNGC Aggregate</c:v>
                </c:pt>
                <c:pt idx="46">
                  <c:v>Tanner Elec Coop</c:v>
                </c:pt>
                <c:pt idx="47">
                  <c:v>Idaho County L &amp; P</c:v>
                </c:pt>
                <c:pt idx="48">
                  <c:v>Eugene Water &amp; Electric Board</c:v>
                </c:pt>
                <c:pt idx="49">
                  <c:v>Rupert, City of</c:v>
                </c:pt>
                <c:pt idx="50">
                  <c:v>Springfield Utility Board</c:v>
                </c:pt>
                <c:pt idx="51">
                  <c:v>Peninsula Light Company</c:v>
                </c:pt>
                <c:pt idx="52">
                  <c:v>Monmouth, City of</c:v>
                </c:pt>
                <c:pt idx="53">
                  <c:v>Coulee Dam, City of</c:v>
                </c:pt>
                <c:pt idx="54">
                  <c:v>Lakeview L &amp; P (WA)</c:v>
                </c:pt>
                <c:pt idx="55">
                  <c:v>Albion, City of</c:v>
                </c:pt>
                <c:pt idx="56">
                  <c:v>Milton, Town of</c:v>
                </c:pt>
                <c:pt idx="57">
                  <c:v>Klickitat County PUD #1</c:v>
                </c:pt>
                <c:pt idx="58">
                  <c:v>Oregon Trail Coop</c:v>
                </c:pt>
                <c:pt idx="59">
                  <c:v>McMinnville, City of</c:v>
                </c:pt>
                <c:pt idx="60">
                  <c:v>Farmers Elec Coop</c:v>
                </c:pt>
                <c:pt idx="61">
                  <c:v>Steilacoom, Town of</c:v>
                </c:pt>
                <c:pt idx="62">
                  <c:v>Columbia River PUD</c:v>
                </c:pt>
                <c:pt idx="63">
                  <c:v>Modern Elec Coop</c:v>
                </c:pt>
                <c:pt idx="64">
                  <c:v>McCleary, City of</c:v>
                </c:pt>
                <c:pt idx="65">
                  <c:v>Benton County PUD #1</c:v>
                </c:pt>
                <c:pt idx="66">
                  <c:v>Inland P &amp; L</c:v>
                </c:pt>
                <c:pt idx="67">
                  <c:v>Emerald PUD</c:v>
                </c:pt>
                <c:pt idx="68">
                  <c:v>Glacier Elec  Coop</c:v>
                </c:pt>
                <c:pt idx="69">
                  <c:v>Soda Springs, City of</c:v>
                </c:pt>
                <c:pt idx="70">
                  <c:v>Parkland L &amp; W</c:v>
                </c:pt>
                <c:pt idx="71">
                  <c:v>Drain, City of</c:v>
                </c:pt>
                <c:pt idx="72">
                  <c:v>Elmhurst Mutual P &amp; L</c:v>
                </c:pt>
                <c:pt idx="73">
                  <c:v>Cheney, City of</c:v>
                </c:pt>
                <c:pt idx="74">
                  <c:v>Blaine, City of</c:v>
                </c:pt>
                <c:pt idx="75">
                  <c:v>Port of Seattle - SETAC In'tl. Airport</c:v>
                </c:pt>
                <c:pt idx="76">
                  <c:v>Idaho Falls Power</c:v>
                </c:pt>
                <c:pt idx="77">
                  <c:v>Sumas, Town of</c:v>
                </c:pt>
                <c:pt idx="78">
                  <c:v>Eatonville, City of</c:v>
                </c:pt>
                <c:pt idx="79">
                  <c:v>Heyburn, City of</c:v>
                </c:pt>
                <c:pt idx="80">
                  <c:v>Energy Northwest</c:v>
                </c:pt>
                <c:pt idx="81">
                  <c:v>United Electric Coop</c:v>
                </c:pt>
                <c:pt idx="82">
                  <c:v>U.S. Naval Base,  Bremerton</c:v>
                </c:pt>
                <c:pt idx="83">
                  <c:v>Skamania County PUD #1</c:v>
                </c:pt>
                <c:pt idx="84">
                  <c:v>Lower Valley Energy</c:v>
                </c:pt>
                <c:pt idx="85">
                  <c:v>Wells Rural Elec Coop</c:v>
                </c:pt>
                <c:pt idx="86">
                  <c:v>Umpqua Indian Utility Cooperative</c:v>
                </c:pt>
                <c:pt idx="87">
                  <c:v>Plummer, City of</c:v>
                </c:pt>
                <c:pt idx="88">
                  <c:v>Missoula Elec Coop</c:v>
                </c:pt>
                <c:pt idx="89">
                  <c:v>Troy, City of</c:v>
                </c:pt>
                <c:pt idx="90">
                  <c:v>Minidoka, City of</c:v>
                </c:pt>
                <c:pt idx="91">
                  <c:v>Centralia, City of</c:v>
                </c:pt>
                <c:pt idx="92">
                  <c:v>Salmon River Elec Coop</c:v>
                </c:pt>
                <c:pt idx="93">
                  <c:v>Port Angeles, City of</c:v>
                </c:pt>
                <c:pt idx="94">
                  <c:v>Clallam County PUD #1</c:v>
                </c:pt>
                <c:pt idx="95">
                  <c:v>Clark County PUD #1</c:v>
                </c:pt>
                <c:pt idx="96">
                  <c:v>Snohomish County PUD #1</c:v>
                </c:pt>
                <c:pt idx="97">
                  <c:v>Central Lincoln PUD</c:v>
                </c:pt>
                <c:pt idx="98">
                  <c:v>Grays Harbor PUD #1</c:v>
                </c:pt>
                <c:pt idx="99">
                  <c:v>Cowlitz County PUD #1</c:v>
                </c:pt>
                <c:pt idx="100">
                  <c:v>Clatskanie PUD</c:v>
                </c:pt>
                <c:pt idx="101">
                  <c:v>Bandon, City of</c:v>
                </c:pt>
                <c:pt idx="102">
                  <c:v>Jefferson County PUD #1</c:v>
                </c:pt>
                <c:pt idx="103">
                  <c:v>Tillamook PUD #1</c:v>
                </c:pt>
                <c:pt idx="104">
                  <c:v>Lewis County PUD #1</c:v>
                </c:pt>
                <c:pt idx="105">
                  <c:v>Alder Mutual</c:v>
                </c:pt>
                <c:pt idx="106">
                  <c:v>Ohop Mutual Light Company</c:v>
                </c:pt>
                <c:pt idx="107">
                  <c:v>U.S. DOE Albany Research Center</c:v>
                </c:pt>
                <c:pt idx="108">
                  <c:v>U.S. Naval Submarine Base, Bangor</c:v>
                </c:pt>
                <c:pt idx="109">
                  <c:v>Wahkiakum County PUD #1</c:v>
                </c:pt>
                <c:pt idx="110">
                  <c:v>Tacoma Public Utilities</c:v>
                </c:pt>
                <c:pt idx="111">
                  <c:v>U.S. DOE Richland Operations Office</c:v>
                </c:pt>
                <c:pt idx="112">
                  <c:v>Columbia Basin Elec Coop</c:v>
                </c:pt>
                <c:pt idx="113">
                  <c:v>Pacific County PUD #2</c:v>
                </c:pt>
                <c:pt idx="114">
                  <c:v>Cascade Locks, City of</c:v>
                </c:pt>
                <c:pt idx="115">
                  <c:v>Consolidated Irrigation District #19</c:v>
                </c:pt>
                <c:pt idx="116">
                  <c:v>Midstate Elec Coop</c:v>
                </c:pt>
                <c:pt idx="117">
                  <c:v>Whatcom County PUD #1</c:v>
                </c:pt>
                <c:pt idx="118">
                  <c:v>U.S. Naval Station, Everett (Jim Creek)</c:v>
                </c:pt>
              </c:strCache>
            </c:strRef>
          </c:cat>
          <c:val>
            <c:numRef>
              <c:f>Outputs!$I$5:$I$124</c:f>
              <c:numCache>
                <c:formatCode>0%</c:formatCode>
                <c:ptCount val="120"/>
                <c:pt idx="0">
                  <c:v>5.0525817335114728E-2</c:v>
                </c:pt>
                <c:pt idx="1">
                  <c:v>4.5174850817704566E-2</c:v>
                </c:pt>
                <c:pt idx="2">
                  <c:v>3.7988956686781761E-2</c:v>
                </c:pt>
                <c:pt idx="3">
                  <c:v>3.7186625929798607E-2</c:v>
                </c:pt>
                <c:pt idx="4">
                  <c:v>3.4916537218306842E-2</c:v>
                </c:pt>
                <c:pt idx="5">
                  <c:v>3.3955600460308669E-2</c:v>
                </c:pt>
                <c:pt idx="6">
                  <c:v>3.2498030618611125E-2</c:v>
                </c:pt>
                <c:pt idx="7">
                  <c:v>2.9086796760131223E-2</c:v>
                </c:pt>
                <c:pt idx="8">
                  <c:v>2.7103790361687339E-2</c:v>
                </c:pt>
                <c:pt idx="9">
                  <c:v>2.5663435303699016E-2</c:v>
                </c:pt>
                <c:pt idx="10">
                  <c:v>2.4607505878224505E-2</c:v>
                </c:pt>
                <c:pt idx="11">
                  <c:v>2.1329632801397165E-2</c:v>
                </c:pt>
                <c:pt idx="12">
                  <c:v>1.3584631247788087E-2</c:v>
                </c:pt>
                <c:pt idx="13">
                  <c:v>1.2955970233482142E-2</c:v>
                </c:pt>
                <c:pt idx="14">
                  <c:v>9.8824879651933564E-3</c:v>
                </c:pt>
                <c:pt idx="15">
                  <c:v>9.6687902686182475E-3</c:v>
                </c:pt>
                <c:pt idx="16">
                  <c:v>9.2486187861178341E-3</c:v>
                </c:pt>
                <c:pt idx="17">
                  <c:v>8.8188546249670288E-3</c:v>
                </c:pt>
                <c:pt idx="18">
                  <c:v>6.375115534127904E-3</c:v>
                </c:pt>
                <c:pt idx="19">
                  <c:v>5.6214283552992756E-3</c:v>
                </c:pt>
                <c:pt idx="20">
                  <c:v>5.4723000563538793E-3</c:v>
                </c:pt>
                <c:pt idx="21">
                  <c:v>4.3748553905531432E-3</c:v>
                </c:pt>
                <c:pt idx="22">
                  <c:v>4.0455522363388782E-3</c:v>
                </c:pt>
                <c:pt idx="23">
                  <c:v>3.4379595876436642E-3</c:v>
                </c:pt>
                <c:pt idx="24">
                  <c:v>3.3686307035711402E-3</c:v>
                </c:pt>
                <c:pt idx="25">
                  <c:v>3.1933337822398675E-3</c:v>
                </c:pt>
                <c:pt idx="26">
                  <c:v>2.926202342446972E-3</c:v>
                </c:pt>
                <c:pt idx="27">
                  <c:v>2.9136198846851547E-3</c:v>
                </c:pt>
                <c:pt idx="28">
                  <c:v>1.7972770678558892E-3</c:v>
                </c:pt>
                <c:pt idx="29">
                  <c:v>1.699091574236187E-3</c:v>
                </c:pt>
                <c:pt idx="30">
                  <c:v>9.963470782908383E-4</c:v>
                </c:pt>
                <c:pt idx="31">
                  <c:v>8.8224352334341277E-4</c:v>
                </c:pt>
                <c:pt idx="32">
                  <c:v>1.1719082694760667E-4</c:v>
                </c:pt>
                <c:pt idx="33">
                  <c:v>-5.2280111660948453E-5</c:v>
                </c:pt>
                <c:pt idx="34">
                  <c:v>-6.4677467419847073E-4</c:v>
                </c:pt>
                <c:pt idx="35">
                  <c:v>-1.3008933849017208E-3</c:v>
                </c:pt>
                <c:pt idx="36">
                  <c:v>-1.8995364381766487E-3</c:v>
                </c:pt>
                <c:pt idx="37">
                  <c:v>-2.0895547179647579E-3</c:v>
                </c:pt>
                <c:pt idx="38">
                  <c:v>-4.4840506629214112E-3</c:v>
                </c:pt>
                <c:pt idx="39">
                  <c:v>-4.5215097512202734E-3</c:v>
                </c:pt>
                <c:pt idx="40">
                  <c:v>-4.6790016472095276E-3</c:v>
                </c:pt>
                <c:pt idx="41">
                  <c:v>-4.7369000476206883E-3</c:v>
                </c:pt>
                <c:pt idx="42">
                  <c:v>-5.1018554138385014E-3</c:v>
                </c:pt>
                <c:pt idx="43">
                  <c:v>-5.1296497190052312E-3</c:v>
                </c:pt>
                <c:pt idx="44">
                  <c:v>-5.3962364267870202E-3</c:v>
                </c:pt>
                <c:pt idx="45">
                  <c:v>-5.8444175994853825E-3</c:v>
                </c:pt>
                <c:pt idx="46">
                  <c:v>-5.9389220983164957E-3</c:v>
                </c:pt>
                <c:pt idx="47">
                  <c:v>-6.002085338470518E-3</c:v>
                </c:pt>
                <c:pt idx="48">
                  <c:v>-6.0276442904302046E-3</c:v>
                </c:pt>
                <c:pt idx="49">
                  <c:v>-6.4217139420882302E-3</c:v>
                </c:pt>
                <c:pt idx="50">
                  <c:v>-6.4980987138317384E-3</c:v>
                </c:pt>
                <c:pt idx="51">
                  <c:v>-6.5661746820897156E-3</c:v>
                </c:pt>
                <c:pt idx="52">
                  <c:v>-6.5924106592074585E-3</c:v>
                </c:pt>
                <c:pt idx="53">
                  <c:v>-6.8977316379223372E-3</c:v>
                </c:pt>
                <c:pt idx="54">
                  <c:v>-6.9670305141558047E-3</c:v>
                </c:pt>
                <c:pt idx="55">
                  <c:v>-7.053133980018984E-3</c:v>
                </c:pt>
                <c:pt idx="56">
                  <c:v>-7.0764685034462533E-3</c:v>
                </c:pt>
                <c:pt idx="57">
                  <c:v>-7.7940425936081038E-3</c:v>
                </c:pt>
                <c:pt idx="58">
                  <c:v>-7.8722650940116646E-3</c:v>
                </c:pt>
                <c:pt idx="59">
                  <c:v>-7.8843246660244594E-3</c:v>
                </c:pt>
                <c:pt idx="60">
                  <c:v>-7.9412448334121102E-3</c:v>
                </c:pt>
                <c:pt idx="61">
                  <c:v>-8.9667673116848243E-3</c:v>
                </c:pt>
                <c:pt idx="62">
                  <c:v>-9.0333424493000882E-3</c:v>
                </c:pt>
                <c:pt idx="63">
                  <c:v>-9.3081076591579014E-3</c:v>
                </c:pt>
                <c:pt idx="64">
                  <c:v>-9.4554475727519557E-3</c:v>
                </c:pt>
                <c:pt idx="65">
                  <c:v>-9.5813993963878505E-3</c:v>
                </c:pt>
                <c:pt idx="66">
                  <c:v>-1.0529069170865504E-2</c:v>
                </c:pt>
                <c:pt idx="67">
                  <c:v>-1.0613265541155546E-2</c:v>
                </c:pt>
                <c:pt idx="68">
                  <c:v>-1.0832469620949409E-2</c:v>
                </c:pt>
                <c:pt idx="69">
                  <c:v>-1.122679776115581E-2</c:v>
                </c:pt>
                <c:pt idx="70">
                  <c:v>-1.1328230266540281E-2</c:v>
                </c:pt>
                <c:pt idx="71">
                  <c:v>-1.1354731435082985E-2</c:v>
                </c:pt>
                <c:pt idx="72">
                  <c:v>-1.1881611633181089E-2</c:v>
                </c:pt>
                <c:pt idx="73">
                  <c:v>-1.2000527104068195E-2</c:v>
                </c:pt>
                <c:pt idx="74">
                  <c:v>-1.2086716759728024E-2</c:v>
                </c:pt>
                <c:pt idx="75">
                  <c:v>-1.2141218096343076E-2</c:v>
                </c:pt>
                <c:pt idx="76">
                  <c:v>-1.2170746463460572E-2</c:v>
                </c:pt>
                <c:pt idx="77">
                  <c:v>-1.2534803761649456E-2</c:v>
                </c:pt>
                <c:pt idx="78">
                  <c:v>-1.2818167712595639E-2</c:v>
                </c:pt>
                <c:pt idx="79">
                  <c:v>-1.2881409605445373E-2</c:v>
                </c:pt>
                <c:pt idx="80">
                  <c:v>-1.2973364599785788E-2</c:v>
                </c:pt>
                <c:pt idx="81">
                  <c:v>-1.299006225940524E-2</c:v>
                </c:pt>
                <c:pt idx="82">
                  <c:v>-1.3305881268875226E-2</c:v>
                </c:pt>
                <c:pt idx="83">
                  <c:v>-1.43102352925044E-2</c:v>
                </c:pt>
                <c:pt idx="84">
                  <c:v>-1.4546395759960043E-2</c:v>
                </c:pt>
                <c:pt idx="85">
                  <c:v>-1.4898332458805065E-2</c:v>
                </c:pt>
                <c:pt idx="86">
                  <c:v>-1.5613208651817529E-2</c:v>
                </c:pt>
                <c:pt idx="87">
                  <c:v>-1.5626257653158108E-2</c:v>
                </c:pt>
                <c:pt idx="88">
                  <c:v>-1.5643233793546527E-2</c:v>
                </c:pt>
                <c:pt idx="89">
                  <c:v>-1.589879544691709E-2</c:v>
                </c:pt>
                <c:pt idx="90">
                  <c:v>-1.6227087582567003E-2</c:v>
                </c:pt>
                <c:pt idx="91">
                  <c:v>-1.6449468158858119E-2</c:v>
                </c:pt>
                <c:pt idx="92">
                  <c:v>-1.7639892922830157E-2</c:v>
                </c:pt>
                <c:pt idx="93">
                  <c:v>-1.7673231789849551E-2</c:v>
                </c:pt>
                <c:pt idx="94">
                  <c:v>-1.8371301711168714E-2</c:v>
                </c:pt>
                <c:pt idx="95">
                  <c:v>-1.8605996157240418E-2</c:v>
                </c:pt>
                <c:pt idx="96">
                  <c:v>-1.9142995110553451E-2</c:v>
                </c:pt>
                <c:pt idx="97">
                  <c:v>-1.9192562946683846E-2</c:v>
                </c:pt>
                <c:pt idx="98">
                  <c:v>-1.9270112604988756E-2</c:v>
                </c:pt>
                <c:pt idx="99">
                  <c:v>-1.9270453298219286E-2</c:v>
                </c:pt>
                <c:pt idx="100">
                  <c:v>-1.9579953272227259E-2</c:v>
                </c:pt>
                <c:pt idx="101">
                  <c:v>-1.9948441433207648E-2</c:v>
                </c:pt>
                <c:pt idx="102">
                  <c:v>-2.0113958889076022E-2</c:v>
                </c:pt>
                <c:pt idx="103">
                  <c:v>-2.0686718416068464E-2</c:v>
                </c:pt>
                <c:pt idx="104">
                  <c:v>-2.0954119527620319E-2</c:v>
                </c:pt>
                <c:pt idx="105">
                  <c:v>-2.113232826007316E-2</c:v>
                </c:pt>
                <c:pt idx="106">
                  <c:v>-2.1630656178482154E-2</c:v>
                </c:pt>
                <c:pt idx="107">
                  <c:v>-2.1731663021142742E-2</c:v>
                </c:pt>
                <c:pt idx="108">
                  <c:v>-2.2213092096358321E-2</c:v>
                </c:pt>
                <c:pt idx="109">
                  <c:v>-2.2710784652438448E-2</c:v>
                </c:pt>
                <c:pt idx="110">
                  <c:v>-2.278731552316474E-2</c:v>
                </c:pt>
                <c:pt idx="111">
                  <c:v>-2.4975999758787105E-2</c:v>
                </c:pt>
                <c:pt idx="112">
                  <c:v>-2.5506108232611839E-2</c:v>
                </c:pt>
                <c:pt idx="113">
                  <c:v>-2.5506381811002943E-2</c:v>
                </c:pt>
                <c:pt idx="114">
                  <c:v>-2.8802653919041903E-2</c:v>
                </c:pt>
                <c:pt idx="115">
                  <c:v>-3.1037544630148951E-2</c:v>
                </c:pt>
                <c:pt idx="116">
                  <c:v>-3.2193140688476875E-2</c:v>
                </c:pt>
                <c:pt idx="117">
                  <c:v>-3.2374269719435224E-2</c:v>
                </c:pt>
                <c:pt idx="118">
                  <c:v>-3.6761203276653609E-2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32-488C-B506-2F5774154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25862656"/>
        <c:axId val="125864192"/>
      </c:barChart>
      <c:lineChart>
        <c:grouping val="standard"/>
        <c:varyColors val="0"/>
        <c:ser>
          <c:idx val="1"/>
          <c:order val="1"/>
          <c:tx>
            <c:v>Cumulative GWhs</c:v>
          </c:tx>
          <c:marker>
            <c:symbol val="square"/>
            <c:size val="3"/>
          </c:marker>
          <c:val>
            <c:numRef>
              <c:f>Outputs!$L$5:$L$124</c:f>
              <c:numCache>
                <c:formatCode>_(* #,##0_);_(* \(#,##0\);_(* "-"??_);_(@_)</c:formatCode>
                <c:ptCount val="120"/>
                <c:pt idx="0">
                  <c:v>994.5508319999999</c:v>
                </c:pt>
                <c:pt idx="1">
                  <c:v>1073.4926399999999</c:v>
                </c:pt>
                <c:pt idx="2">
                  <c:v>1775.588976</c:v>
                </c:pt>
                <c:pt idx="3">
                  <c:v>1822.3164362142102</c:v>
                </c:pt>
                <c:pt idx="4">
                  <c:v>2022.1785221303478</c:v>
                </c:pt>
                <c:pt idx="5">
                  <c:v>2166.5169397919758</c:v>
                </c:pt>
                <c:pt idx="6">
                  <c:v>2392.8718368295522</c:v>
                </c:pt>
                <c:pt idx="7">
                  <c:v>6443.2533113956961</c:v>
                </c:pt>
                <c:pt idx="8">
                  <c:v>6448.2865433956958</c:v>
                </c:pt>
                <c:pt idx="9">
                  <c:v>6499.9452473956962</c:v>
                </c:pt>
                <c:pt idx="10">
                  <c:v>6583.6216313956966</c:v>
                </c:pt>
                <c:pt idx="11">
                  <c:v>6747.1367731452046</c:v>
                </c:pt>
                <c:pt idx="12">
                  <c:v>6827.1859335121371</c:v>
                </c:pt>
                <c:pt idx="13">
                  <c:v>7158.2812455121375</c:v>
                </c:pt>
                <c:pt idx="14">
                  <c:v>7266.4553230079891</c:v>
                </c:pt>
                <c:pt idx="15">
                  <c:v>7290.0579310079893</c:v>
                </c:pt>
                <c:pt idx="16">
                  <c:v>7349.481691007989</c:v>
                </c:pt>
                <c:pt idx="17">
                  <c:v>7464.5407085354091</c:v>
                </c:pt>
                <c:pt idx="18">
                  <c:v>7640.1676893404601</c:v>
                </c:pt>
                <c:pt idx="19">
                  <c:v>8043.4499151890313</c:v>
                </c:pt>
                <c:pt idx="20">
                  <c:v>8376.8197197171412</c:v>
                </c:pt>
                <c:pt idx="21">
                  <c:v>9292.2240509131789</c:v>
                </c:pt>
                <c:pt idx="22">
                  <c:v>9347.8179869131782</c:v>
                </c:pt>
                <c:pt idx="23">
                  <c:v>9867.4702323153051</c:v>
                </c:pt>
                <c:pt idx="24">
                  <c:v>10203.17019685408</c:v>
                </c:pt>
                <c:pt idx="25">
                  <c:v>10740.69829285408</c:v>
                </c:pt>
                <c:pt idx="26">
                  <c:v>11288.312352522158</c:v>
                </c:pt>
                <c:pt idx="27">
                  <c:v>11315.86675564846</c:v>
                </c:pt>
                <c:pt idx="28">
                  <c:v>11494.258976466195</c:v>
                </c:pt>
                <c:pt idx="29">
                  <c:v>11732.806064466195</c:v>
                </c:pt>
                <c:pt idx="30">
                  <c:v>11764.132946609789</c:v>
                </c:pt>
                <c:pt idx="31">
                  <c:v>11887.671122609789</c:v>
                </c:pt>
                <c:pt idx="32">
                  <c:v>11908.515554609789</c:v>
                </c:pt>
                <c:pt idx="33">
                  <c:v>12356.490770609789</c:v>
                </c:pt>
                <c:pt idx="34">
                  <c:v>12467.031936116504</c:v>
                </c:pt>
                <c:pt idx="35">
                  <c:v>12489.184681218063</c:v>
                </c:pt>
                <c:pt idx="36">
                  <c:v>12657.412193989214</c:v>
                </c:pt>
                <c:pt idx="37">
                  <c:v>12742.630603379866</c:v>
                </c:pt>
                <c:pt idx="38">
                  <c:v>12976.999393454187</c:v>
                </c:pt>
                <c:pt idx="39">
                  <c:v>13053.043427802748</c:v>
                </c:pt>
                <c:pt idx="40">
                  <c:v>13099.359864015052</c:v>
                </c:pt>
                <c:pt idx="41">
                  <c:v>13102.513320015052</c:v>
                </c:pt>
                <c:pt idx="42">
                  <c:v>13671.406708097149</c:v>
                </c:pt>
                <c:pt idx="43">
                  <c:v>13882.064596097149</c:v>
                </c:pt>
                <c:pt idx="44">
                  <c:v>13927.671124097149</c:v>
                </c:pt>
                <c:pt idx="45">
                  <c:v>19182.200044179914</c:v>
                </c:pt>
                <c:pt idx="46">
                  <c:v>19279.105132179913</c:v>
                </c:pt>
                <c:pt idx="47">
                  <c:v>19333.680124179915</c:v>
                </c:pt>
                <c:pt idx="48">
                  <c:v>20244.732013928915</c:v>
                </c:pt>
                <c:pt idx="49">
                  <c:v>20324.09577029269</c:v>
                </c:pt>
                <c:pt idx="50">
                  <c:v>21123.87822595875</c:v>
                </c:pt>
                <c:pt idx="51">
                  <c:v>21727.030371723486</c:v>
                </c:pt>
                <c:pt idx="52">
                  <c:v>21800.490963723485</c:v>
                </c:pt>
                <c:pt idx="53">
                  <c:v>21818.243427723486</c:v>
                </c:pt>
                <c:pt idx="54">
                  <c:v>22083.840272940917</c:v>
                </c:pt>
                <c:pt idx="55">
                  <c:v>22087.271160956672</c:v>
                </c:pt>
                <c:pt idx="56">
                  <c:v>22145.319499222729</c:v>
                </c:pt>
                <c:pt idx="57">
                  <c:v>22467.332155222728</c:v>
                </c:pt>
                <c:pt idx="58">
                  <c:v>23154.097607370724</c:v>
                </c:pt>
                <c:pt idx="59">
                  <c:v>23872.38968966325</c:v>
                </c:pt>
                <c:pt idx="60">
                  <c:v>23876.744539683215</c:v>
                </c:pt>
                <c:pt idx="61">
                  <c:v>23917.060763868019</c:v>
                </c:pt>
                <c:pt idx="62">
                  <c:v>24428.728763868021</c:v>
                </c:pt>
                <c:pt idx="63">
                  <c:v>24659.61620386802</c:v>
                </c:pt>
                <c:pt idx="64">
                  <c:v>24692.275115868018</c:v>
                </c:pt>
                <c:pt idx="65">
                  <c:v>26404.183006958003</c:v>
                </c:pt>
                <c:pt idx="66">
                  <c:v>27325.532760181315</c:v>
                </c:pt>
                <c:pt idx="67">
                  <c:v>27534.972543091331</c:v>
                </c:pt>
                <c:pt idx="68">
                  <c:v>27689.984638801878</c:v>
                </c:pt>
                <c:pt idx="69">
                  <c:v>27716.62486992397</c:v>
                </c:pt>
                <c:pt idx="70">
                  <c:v>27834.453700464073</c:v>
                </c:pt>
                <c:pt idx="71">
                  <c:v>27850.833436539157</c:v>
                </c:pt>
                <c:pt idx="72">
                  <c:v>28134.012028539157</c:v>
                </c:pt>
                <c:pt idx="73">
                  <c:v>28272.945482176012</c:v>
                </c:pt>
                <c:pt idx="74">
                  <c:v>28349.779130176012</c:v>
                </c:pt>
                <c:pt idx="75">
                  <c:v>28496.933315850551</c:v>
                </c:pt>
                <c:pt idx="76">
                  <c:v>28855.246265003923</c:v>
                </c:pt>
                <c:pt idx="77">
                  <c:v>28887.246377003925</c:v>
                </c:pt>
                <c:pt idx="78">
                  <c:v>28915.853473135063</c:v>
                </c:pt>
                <c:pt idx="79">
                  <c:v>28958.166001135061</c:v>
                </c:pt>
                <c:pt idx="80">
                  <c:v>28978.09684622641</c:v>
                </c:pt>
                <c:pt idx="81">
                  <c:v>29241.414814226409</c:v>
                </c:pt>
                <c:pt idx="82">
                  <c:v>29508.975454226409</c:v>
                </c:pt>
                <c:pt idx="83">
                  <c:v>29648.510850865998</c:v>
                </c:pt>
                <c:pt idx="84">
                  <c:v>30404.268642865998</c:v>
                </c:pt>
                <c:pt idx="85">
                  <c:v>31245.520078722122</c:v>
                </c:pt>
                <c:pt idx="86">
                  <c:v>31269.899710833863</c:v>
                </c:pt>
                <c:pt idx="87">
                  <c:v>31303.885166989658</c:v>
                </c:pt>
                <c:pt idx="88">
                  <c:v>31540.921406989659</c:v>
                </c:pt>
                <c:pt idx="89">
                  <c:v>31558.46458107006</c:v>
                </c:pt>
                <c:pt idx="90">
                  <c:v>31559.338574074041</c:v>
                </c:pt>
                <c:pt idx="91">
                  <c:v>31773.41343807404</c:v>
                </c:pt>
                <c:pt idx="92">
                  <c:v>31878.460655555558</c:v>
                </c:pt>
                <c:pt idx="93">
                  <c:v>32289.476269439565</c:v>
                </c:pt>
                <c:pt idx="94">
                  <c:v>32957.306221439561</c:v>
                </c:pt>
                <c:pt idx="95">
                  <c:v>34401.336738961116</c:v>
                </c:pt>
                <c:pt idx="96">
                  <c:v>37524.714216474647</c:v>
                </c:pt>
                <c:pt idx="97">
                  <c:v>38862.627318607389</c:v>
                </c:pt>
                <c:pt idx="98">
                  <c:v>40007.546190457884</c:v>
                </c:pt>
                <c:pt idx="99">
                  <c:v>42208.23502795706</c:v>
                </c:pt>
                <c:pt idx="100">
                  <c:v>42495.103650647659</c:v>
                </c:pt>
                <c:pt idx="101">
                  <c:v>42561.900271953818</c:v>
                </c:pt>
                <c:pt idx="102">
                  <c:v>42958.69990395382</c:v>
                </c:pt>
                <c:pt idx="103">
                  <c:v>43450.227188209763</c:v>
                </c:pt>
                <c:pt idx="104">
                  <c:v>43853.447215788881</c:v>
                </c:pt>
                <c:pt idx="105">
                  <c:v>43858.260847788879</c:v>
                </c:pt>
                <c:pt idx="106">
                  <c:v>43947.488719788882</c:v>
                </c:pt>
                <c:pt idx="107">
                  <c:v>43951.511791788886</c:v>
                </c:pt>
                <c:pt idx="108">
                  <c:v>44130.889855788882</c:v>
                </c:pt>
                <c:pt idx="109">
                  <c:v>44174.853775788884</c:v>
                </c:pt>
                <c:pt idx="110">
                  <c:v>45577.819607293459</c:v>
                </c:pt>
                <c:pt idx="111">
                  <c:v>45856.236683569674</c:v>
                </c:pt>
                <c:pt idx="112">
                  <c:v>45962.680636057594</c:v>
                </c:pt>
                <c:pt idx="113">
                  <c:v>46281.777004057592</c:v>
                </c:pt>
                <c:pt idx="114">
                  <c:v>46302.665356057594</c:v>
                </c:pt>
                <c:pt idx="115">
                  <c:v>46304.668108057595</c:v>
                </c:pt>
                <c:pt idx="116">
                  <c:v>46715.284972057598</c:v>
                </c:pt>
                <c:pt idx="117">
                  <c:v>46945.796486114203</c:v>
                </c:pt>
                <c:pt idx="118">
                  <c:v>46959.209654114202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32-488C-B506-2F5774154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875712"/>
        <c:axId val="125874176"/>
      </c:lineChart>
      <c:catAx>
        <c:axId val="125862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high"/>
        <c:txPr>
          <a:bodyPr/>
          <a:lstStyle/>
          <a:p>
            <a:pPr>
              <a:defRPr sz="400" b="1" i="0" baseline="0"/>
            </a:pPr>
            <a:endParaRPr lang="en-US"/>
          </a:p>
        </c:txPr>
        <c:crossAx val="125864192"/>
        <c:crosses val="autoZero"/>
        <c:auto val="1"/>
        <c:lblAlgn val="ctr"/>
        <c:lblOffset val="100"/>
        <c:noMultiLvlLbl val="0"/>
      </c:catAx>
      <c:valAx>
        <c:axId val="125864192"/>
        <c:scaling>
          <c:orientation val="minMax"/>
          <c:max val="8.0000000000000016E-2"/>
          <c:min val="-8.0000000000000016E-2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5400000"/>
          <a:lstStyle/>
          <a:p>
            <a:pPr>
              <a:defRPr sz="800"/>
            </a:pPr>
            <a:endParaRPr lang="en-US"/>
          </a:p>
        </c:txPr>
        <c:crossAx val="125862656"/>
        <c:crosses val="autoZero"/>
        <c:crossBetween val="between"/>
      </c:valAx>
      <c:valAx>
        <c:axId val="125874176"/>
        <c:scaling>
          <c:orientation val="minMax"/>
        </c:scaling>
        <c:delete val="0"/>
        <c:axPos val="r"/>
        <c:numFmt formatCode="_(* #,##0_);_(* \(#,##0\);_(* &quot;-&quot;??_);_(@_)" sourceLinked="1"/>
        <c:majorTickMark val="out"/>
        <c:minorTickMark val="none"/>
        <c:tickLblPos val="nextTo"/>
        <c:txPr>
          <a:bodyPr rot="-5340000" vert="horz" anchor="t" anchorCtr="1"/>
          <a:lstStyle/>
          <a:p>
            <a:pPr>
              <a:defRPr sz="800"/>
            </a:pPr>
            <a:endParaRPr lang="en-US"/>
          </a:p>
        </c:txPr>
        <c:crossAx val="125875712"/>
        <c:crosses val="max"/>
        <c:crossBetween val="between"/>
      </c:valAx>
      <c:catAx>
        <c:axId val="125875712"/>
        <c:scaling>
          <c:orientation val="minMax"/>
        </c:scaling>
        <c:delete val="1"/>
        <c:axPos val="b"/>
        <c:majorTickMark val="out"/>
        <c:minorTickMark val="none"/>
        <c:tickLblPos val="nextTo"/>
        <c:crossAx val="125874176"/>
        <c:crosses val="autoZero"/>
        <c:auto val="1"/>
        <c:lblAlgn val="ctr"/>
        <c:lblOffset val="100"/>
        <c:noMultiLvlLbl val="0"/>
      </c:catAx>
    </c:plotArea>
    <c:legend>
      <c:legendPos val="b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9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0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21">
    <tabColor rgb="FFFFFF99"/>
  </sheetPr>
  <sheetViews>
    <sheetView tabSelected="1" workbookViewId="0"/>
  </sheetViews>
  <pageMargins left="0.25" right="0.25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22">
    <tabColor rgb="FFFFFF99"/>
  </sheetPr>
  <sheetViews>
    <sheetView workbookViewId="0"/>
  </sheetViews>
  <pageMargins left="0.25" right="0.25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456420" cy="627126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0.29175</cdr:x>
      <cdr:y>0.10926</cdr:y>
    </cdr:from>
    <cdr:to>
      <cdr:x>0.70624</cdr:x>
      <cdr:y>0.14264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762250" y="685800"/>
          <a:ext cx="3924300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456420" cy="627126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bs8701\Desktop\PublicRateImpacts_BP1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tes_TRM_12"/>
      <sheetName val="Rates_TRM_14"/>
      <sheetName val="Billing Determinants_TRM"/>
      <sheetName val="TRM-12_Charges"/>
      <sheetName val="Charges_TRM&amp;Impacts"/>
      <sheetName val="PastedResults&amp;Sorted"/>
      <sheetName val="Live"/>
      <sheetName val="NoSliceEffectiveRate"/>
      <sheetName val="ByGroupRateImpact2"/>
      <sheetName val="Impact&amp;Impact5"/>
      <sheetName val="NoSliceRateImpact1"/>
    </sheetNames>
    <sheetDataSet>
      <sheetData sheetId="0"/>
      <sheetData sheetId="1"/>
      <sheetData sheetId="2"/>
      <sheetData sheetId="3"/>
      <sheetData sheetId="4"/>
      <sheetData sheetId="5">
        <row r="2">
          <cell r="W2" t="str">
            <v>Load Following IRD Customer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B0F0"/>
  </sheetPr>
  <dimension ref="B1:AT400"/>
  <sheetViews>
    <sheetView workbookViewId="0">
      <selection activeCell="R6" sqref="R6"/>
    </sheetView>
  </sheetViews>
  <sheetFormatPr defaultColWidth="8.88671875" defaultRowHeight="14.4"/>
  <cols>
    <col min="1" max="1" width="14.6640625" style="252" bestFit="1" customWidth="1"/>
    <col min="2" max="2" width="10.88671875" style="252" customWidth="1"/>
    <col min="3" max="3" width="7.88671875" style="252" bestFit="1" customWidth="1"/>
    <col min="4" max="4" width="4.33203125" style="252" bestFit="1" customWidth="1"/>
    <col min="5" max="5" width="4" style="252" bestFit="1" customWidth="1"/>
    <col min="6" max="6" width="5.6640625" style="252" customWidth="1"/>
    <col min="7" max="7" width="6.5546875" style="252" customWidth="1"/>
    <col min="8" max="8" width="6.33203125" style="252" customWidth="1"/>
    <col min="9" max="9" width="5" style="252" customWidth="1"/>
    <col min="10" max="10" width="5" style="332" bestFit="1" customWidth="1"/>
    <col min="11" max="11" width="5.109375" style="332" bestFit="1" customWidth="1"/>
    <col min="12" max="12" width="5.5546875" style="332" bestFit="1" customWidth="1"/>
    <col min="13" max="13" width="6.33203125" style="327" customWidth="1"/>
    <col min="14" max="14" width="5" style="327" customWidth="1"/>
    <col min="15" max="15" width="8.88671875" style="252"/>
    <col min="16" max="16" width="15.33203125" style="252" customWidth="1"/>
    <col min="17" max="17" width="6.5546875" style="252" customWidth="1"/>
    <col min="18" max="16384" width="8.88671875" style="252"/>
  </cols>
  <sheetData>
    <row r="1" spans="2:46">
      <c r="J1" s="319"/>
      <c r="K1" s="320"/>
      <c r="L1" s="320"/>
      <c r="M1" s="320"/>
      <c r="N1" s="320"/>
      <c r="O1" s="243"/>
    </row>
    <row r="2" spans="2:46">
      <c r="J2" s="319"/>
      <c r="K2" s="320"/>
      <c r="L2" s="320"/>
      <c r="M2" s="320"/>
      <c r="N2" s="320"/>
      <c r="O2" s="243"/>
    </row>
    <row r="3" spans="2:46">
      <c r="B3" s="58" t="s">
        <v>272</v>
      </c>
      <c r="J3" s="321"/>
      <c r="K3" s="58" t="s">
        <v>151</v>
      </c>
      <c r="L3" s="322"/>
      <c r="M3" s="322"/>
      <c r="N3" s="321"/>
      <c r="O3" s="243"/>
      <c r="P3" s="303" t="s">
        <v>220</v>
      </c>
      <c r="Q3" s="304"/>
      <c r="R3" s="293">
        <f>IF(R6=2024, 2022, IF(R6=2025, 2023, "ERROR"))</f>
        <v>2022</v>
      </c>
      <c r="AS3" s="252">
        <v>2024</v>
      </c>
      <c r="AT3" s="252" t="s">
        <v>262</v>
      </c>
    </row>
    <row r="4" spans="2:46">
      <c r="B4" s="305" t="s">
        <v>273</v>
      </c>
      <c r="C4" s="305" t="s">
        <v>274</v>
      </c>
      <c r="D4" s="305" t="s">
        <v>143</v>
      </c>
      <c r="E4" s="305" t="s">
        <v>144</v>
      </c>
      <c r="F4" s="305" t="s">
        <v>179</v>
      </c>
      <c r="G4" s="305" t="s">
        <v>154</v>
      </c>
      <c r="H4" s="305" t="s">
        <v>275</v>
      </c>
      <c r="J4" s="323"/>
      <c r="K4" s="324" t="s">
        <v>155</v>
      </c>
      <c r="L4" s="325" t="s">
        <v>152</v>
      </c>
      <c r="M4" s="326" t="s">
        <v>153</v>
      </c>
      <c r="N4" s="323"/>
      <c r="O4" s="243"/>
      <c r="AS4" s="252">
        <v>2025</v>
      </c>
      <c r="AT4" s="252" t="s">
        <v>270</v>
      </c>
    </row>
    <row r="5" spans="2:46">
      <c r="B5" s="306" t="s">
        <v>276</v>
      </c>
      <c r="C5" s="307">
        <v>41913</v>
      </c>
      <c r="D5" s="308">
        <v>432</v>
      </c>
      <c r="E5" s="308">
        <v>312</v>
      </c>
      <c r="F5" s="308">
        <v>744</v>
      </c>
      <c r="G5" s="308">
        <v>0.58064516129032262</v>
      </c>
      <c r="H5" s="309">
        <v>0.41935483870967744</v>
      </c>
      <c r="J5" s="327"/>
      <c r="K5" s="328">
        <v>2009</v>
      </c>
      <c r="L5" s="329">
        <v>365</v>
      </c>
      <c r="M5" s="330">
        <v>8760</v>
      </c>
      <c r="P5" s="58" t="s">
        <v>271</v>
      </c>
    </row>
    <row r="6" spans="2:46">
      <c r="B6" s="310" t="s">
        <v>277</v>
      </c>
      <c r="C6" s="311">
        <v>41944</v>
      </c>
      <c r="D6" s="258">
        <v>384</v>
      </c>
      <c r="E6" s="258">
        <v>337</v>
      </c>
      <c r="F6" s="258">
        <v>721</v>
      </c>
      <c r="G6" s="258">
        <v>0.53259361997226073</v>
      </c>
      <c r="H6" s="312">
        <v>0.46740638002773927</v>
      </c>
      <c r="J6" s="327"/>
      <c r="K6" s="331">
        <v>2010</v>
      </c>
      <c r="L6" s="332">
        <v>365</v>
      </c>
      <c r="M6" s="333">
        <v>8760</v>
      </c>
      <c r="R6" s="54">
        <v>2024</v>
      </c>
    </row>
    <row r="7" spans="2:46">
      <c r="B7" s="310" t="s">
        <v>278</v>
      </c>
      <c r="C7" s="311">
        <v>41974</v>
      </c>
      <c r="D7" s="258">
        <v>416</v>
      </c>
      <c r="E7" s="258">
        <v>328</v>
      </c>
      <c r="F7" s="258">
        <v>744</v>
      </c>
      <c r="G7" s="258">
        <v>0.55913978494623651</v>
      </c>
      <c r="H7" s="312">
        <v>0.44086021505376344</v>
      </c>
      <c r="J7" s="327"/>
      <c r="K7" s="331">
        <v>2011</v>
      </c>
      <c r="L7" s="332">
        <v>365</v>
      </c>
      <c r="M7" s="333">
        <v>8760</v>
      </c>
      <c r="P7" s="52"/>
    </row>
    <row r="8" spans="2:46">
      <c r="B8" s="310" t="s">
        <v>279</v>
      </c>
      <c r="C8" s="311">
        <v>42005</v>
      </c>
      <c r="D8" s="258">
        <v>416</v>
      </c>
      <c r="E8" s="258">
        <v>328</v>
      </c>
      <c r="F8" s="258">
        <v>744</v>
      </c>
      <c r="G8" s="258">
        <v>0.55913978494623651</v>
      </c>
      <c r="H8" s="312">
        <v>0.44086021505376344</v>
      </c>
      <c r="J8" s="327"/>
      <c r="K8" s="331">
        <v>2012</v>
      </c>
      <c r="L8" s="332">
        <v>366</v>
      </c>
      <c r="M8" s="333">
        <v>8784</v>
      </c>
      <c r="P8" s="58" t="s">
        <v>603</v>
      </c>
    </row>
    <row r="9" spans="2:46">
      <c r="B9" s="310" t="s">
        <v>280</v>
      </c>
      <c r="C9" s="311">
        <v>42036</v>
      </c>
      <c r="D9" s="258">
        <v>384</v>
      </c>
      <c r="E9" s="258">
        <v>288</v>
      </c>
      <c r="F9" s="258">
        <v>672</v>
      </c>
      <c r="G9" s="258">
        <v>0.5714285714285714</v>
      </c>
      <c r="H9" s="312">
        <v>0.42857142857142855</v>
      </c>
      <c r="J9" s="327"/>
      <c r="K9" s="331">
        <v>2013</v>
      </c>
      <c r="L9" s="332">
        <v>365</v>
      </c>
      <c r="M9" s="333">
        <v>8760</v>
      </c>
      <c r="R9" s="54" t="s">
        <v>262</v>
      </c>
    </row>
    <row r="10" spans="2:46">
      <c r="B10" s="310" t="s">
        <v>281</v>
      </c>
      <c r="C10" s="311">
        <v>42064</v>
      </c>
      <c r="D10" s="258">
        <v>416</v>
      </c>
      <c r="E10" s="258">
        <v>327</v>
      </c>
      <c r="F10" s="258">
        <v>743</v>
      </c>
      <c r="G10" s="258">
        <v>0.55989232839838488</v>
      </c>
      <c r="H10" s="312">
        <v>0.44010767160161507</v>
      </c>
      <c r="J10" s="327"/>
      <c r="K10" s="331">
        <v>2014</v>
      </c>
      <c r="L10" s="332">
        <v>365</v>
      </c>
      <c r="M10" s="333">
        <v>8760</v>
      </c>
    </row>
    <row r="11" spans="2:46">
      <c r="B11" s="310" t="s">
        <v>282</v>
      </c>
      <c r="C11" s="311">
        <v>42095</v>
      </c>
      <c r="D11" s="258">
        <v>416</v>
      </c>
      <c r="E11" s="258">
        <v>304</v>
      </c>
      <c r="F11" s="258">
        <v>720</v>
      </c>
      <c r="G11" s="258">
        <v>0.57777777777777772</v>
      </c>
      <c r="H11" s="312">
        <v>0.42222222222222222</v>
      </c>
      <c r="J11" s="327"/>
      <c r="K11" s="331">
        <v>2015</v>
      </c>
      <c r="L11" s="332">
        <v>365</v>
      </c>
      <c r="M11" s="333">
        <v>8760</v>
      </c>
      <c r="P11" s="58" t="s">
        <v>260</v>
      </c>
    </row>
    <row r="12" spans="2:46">
      <c r="B12" s="310" t="s">
        <v>283</v>
      </c>
      <c r="C12" s="311">
        <v>42125</v>
      </c>
      <c r="D12" s="258">
        <v>400</v>
      </c>
      <c r="E12" s="258">
        <v>344</v>
      </c>
      <c r="F12" s="258">
        <v>744</v>
      </c>
      <c r="G12" s="258">
        <v>0.5376344086021505</v>
      </c>
      <c r="H12" s="312">
        <v>0.46236559139784944</v>
      </c>
      <c r="J12" s="327"/>
      <c r="K12" s="331">
        <v>2016</v>
      </c>
      <c r="L12" s="332">
        <v>366</v>
      </c>
      <c r="M12" s="333">
        <v>8784</v>
      </c>
      <c r="R12" s="54" t="s">
        <v>270</v>
      </c>
    </row>
    <row r="13" spans="2:46">
      <c r="B13" s="310" t="s">
        <v>284</v>
      </c>
      <c r="C13" s="311">
        <v>42156</v>
      </c>
      <c r="D13" s="258">
        <v>416</v>
      </c>
      <c r="E13" s="258">
        <v>304</v>
      </c>
      <c r="F13" s="258">
        <v>720</v>
      </c>
      <c r="G13" s="258">
        <v>0.57777777777777772</v>
      </c>
      <c r="H13" s="312">
        <v>0.42222222222222222</v>
      </c>
      <c r="J13" s="327"/>
      <c r="K13" s="331">
        <v>2017</v>
      </c>
      <c r="L13" s="332">
        <v>365</v>
      </c>
      <c r="M13" s="333">
        <v>8760</v>
      </c>
    </row>
    <row r="14" spans="2:46">
      <c r="B14" s="310" t="s">
        <v>285</v>
      </c>
      <c r="C14" s="311">
        <v>42186</v>
      </c>
      <c r="D14" s="258">
        <v>416</v>
      </c>
      <c r="E14" s="258">
        <v>328</v>
      </c>
      <c r="F14" s="258">
        <v>744</v>
      </c>
      <c r="G14" s="258">
        <v>0.55913978494623651</v>
      </c>
      <c r="H14" s="312">
        <v>0.44086021505376344</v>
      </c>
      <c r="J14" s="327"/>
      <c r="K14" s="331">
        <v>2018</v>
      </c>
      <c r="L14" s="332">
        <v>365</v>
      </c>
      <c r="M14" s="333">
        <v>8760</v>
      </c>
      <c r="P14"/>
      <c r="Q14"/>
      <c r="R14"/>
      <c r="S14"/>
      <c r="T14"/>
      <c r="U14"/>
      <c r="V14"/>
    </row>
    <row r="15" spans="2:46">
      <c r="B15" s="310" t="s">
        <v>286</v>
      </c>
      <c r="C15" s="311">
        <v>42217</v>
      </c>
      <c r="D15" s="258">
        <v>416</v>
      </c>
      <c r="E15" s="258">
        <v>328</v>
      </c>
      <c r="F15" s="258">
        <v>744</v>
      </c>
      <c r="G15" s="258">
        <v>0.55913978494623651</v>
      </c>
      <c r="H15" s="312">
        <v>0.44086021505376344</v>
      </c>
      <c r="J15" s="327"/>
      <c r="K15" s="331">
        <v>2019</v>
      </c>
      <c r="L15" s="332">
        <v>365</v>
      </c>
      <c r="M15" s="333">
        <v>8760</v>
      </c>
      <c r="P15"/>
      <c r="Q15"/>
      <c r="R15"/>
      <c r="S15"/>
      <c r="T15"/>
      <c r="U15"/>
      <c r="V15"/>
    </row>
    <row r="16" spans="2:46">
      <c r="B16" s="310" t="s">
        <v>287</v>
      </c>
      <c r="C16" s="311">
        <v>42248</v>
      </c>
      <c r="D16" s="258">
        <v>400</v>
      </c>
      <c r="E16" s="258">
        <v>320</v>
      </c>
      <c r="F16" s="258">
        <v>720</v>
      </c>
      <c r="G16" s="258">
        <v>0.55555555555555558</v>
      </c>
      <c r="H16" s="312">
        <v>0.44444444444444442</v>
      </c>
      <c r="J16" s="327"/>
      <c r="K16" s="331">
        <v>2020</v>
      </c>
      <c r="L16" s="332">
        <v>366</v>
      </c>
      <c r="M16" s="333">
        <v>8784</v>
      </c>
      <c r="P16"/>
      <c r="Q16"/>
      <c r="R16"/>
      <c r="S16"/>
      <c r="T16"/>
      <c r="U16"/>
      <c r="V16"/>
    </row>
    <row r="17" spans="2:13">
      <c r="B17" s="310" t="s">
        <v>288</v>
      </c>
      <c r="C17" s="311">
        <v>42278</v>
      </c>
      <c r="D17" s="258">
        <v>432</v>
      </c>
      <c r="E17" s="258">
        <v>312</v>
      </c>
      <c r="F17" s="258">
        <v>744</v>
      </c>
      <c r="G17" s="258">
        <v>0.58064516129032262</v>
      </c>
      <c r="H17" s="312">
        <v>0.41935483870967744</v>
      </c>
      <c r="J17" s="327"/>
      <c r="K17" s="331">
        <v>2021</v>
      </c>
      <c r="L17" s="332">
        <v>365</v>
      </c>
      <c r="M17" s="333">
        <v>8760</v>
      </c>
    </row>
    <row r="18" spans="2:13">
      <c r="B18" s="310" t="s">
        <v>289</v>
      </c>
      <c r="C18" s="311">
        <v>42309</v>
      </c>
      <c r="D18" s="258">
        <v>384</v>
      </c>
      <c r="E18" s="258">
        <v>337</v>
      </c>
      <c r="F18" s="258">
        <v>721</v>
      </c>
      <c r="G18" s="258">
        <v>0.53259361997226073</v>
      </c>
      <c r="H18" s="312">
        <v>0.46740638002773927</v>
      </c>
      <c r="J18" s="327"/>
      <c r="K18" s="331">
        <v>2022</v>
      </c>
      <c r="L18" s="332">
        <v>365</v>
      </c>
      <c r="M18" s="333">
        <v>8760</v>
      </c>
    </row>
    <row r="19" spans="2:13">
      <c r="B19" s="310" t="s">
        <v>290</v>
      </c>
      <c r="C19" s="311">
        <v>42339</v>
      </c>
      <c r="D19" s="258">
        <v>416</v>
      </c>
      <c r="E19" s="258">
        <v>328</v>
      </c>
      <c r="F19" s="258">
        <v>744</v>
      </c>
      <c r="G19" s="258">
        <v>0.55913978494623651</v>
      </c>
      <c r="H19" s="312">
        <v>0.44086021505376344</v>
      </c>
      <c r="J19" s="327"/>
      <c r="K19" s="331">
        <v>2023</v>
      </c>
      <c r="L19" s="332">
        <v>365</v>
      </c>
      <c r="M19" s="333">
        <v>8760</v>
      </c>
    </row>
    <row r="20" spans="2:13">
      <c r="B20" s="310" t="s">
        <v>291</v>
      </c>
      <c r="C20" s="311">
        <v>42370</v>
      </c>
      <c r="D20" s="258">
        <v>400</v>
      </c>
      <c r="E20" s="258">
        <v>344</v>
      </c>
      <c r="F20" s="258">
        <v>744</v>
      </c>
      <c r="G20" s="258">
        <v>0.5376344086021505</v>
      </c>
      <c r="H20" s="312">
        <v>0.46236559139784944</v>
      </c>
      <c r="J20" s="327"/>
      <c r="K20" s="331">
        <v>2024</v>
      </c>
      <c r="L20" s="332">
        <v>366</v>
      </c>
      <c r="M20" s="333">
        <v>8784</v>
      </c>
    </row>
    <row r="21" spans="2:13">
      <c r="B21" s="310" t="s">
        <v>292</v>
      </c>
      <c r="C21" s="311">
        <v>42401</v>
      </c>
      <c r="D21" s="258">
        <v>400</v>
      </c>
      <c r="E21" s="258">
        <v>296</v>
      </c>
      <c r="F21" s="258">
        <v>696</v>
      </c>
      <c r="G21" s="258">
        <v>0.57471264367816088</v>
      </c>
      <c r="H21" s="312">
        <v>0.42528735632183906</v>
      </c>
      <c r="J21" s="327"/>
      <c r="K21" s="331">
        <v>2025</v>
      </c>
      <c r="L21" s="332">
        <v>365</v>
      </c>
      <c r="M21" s="333">
        <v>8760</v>
      </c>
    </row>
    <row r="22" spans="2:13">
      <c r="B22" s="310" t="s">
        <v>293</v>
      </c>
      <c r="C22" s="311">
        <v>42430</v>
      </c>
      <c r="D22" s="258">
        <v>432</v>
      </c>
      <c r="E22" s="258">
        <v>311</v>
      </c>
      <c r="F22" s="258">
        <v>743</v>
      </c>
      <c r="G22" s="258">
        <v>0.58142664872139971</v>
      </c>
      <c r="H22" s="312">
        <v>0.41857335127860029</v>
      </c>
      <c r="J22" s="327"/>
      <c r="K22" s="331">
        <v>2026</v>
      </c>
      <c r="L22" s="332">
        <v>365</v>
      </c>
      <c r="M22" s="333">
        <v>8760</v>
      </c>
    </row>
    <row r="23" spans="2:13">
      <c r="B23" s="310" t="s">
        <v>294</v>
      </c>
      <c r="C23" s="311">
        <v>42461</v>
      </c>
      <c r="D23" s="258">
        <v>416</v>
      </c>
      <c r="E23" s="258">
        <v>304</v>
      </c>
      <c r="F23" s="258">
        <v>720</v>
      </c>
      <c r="G23" s="258">
        <v>0.57777777777777772</v>
      </c>
      <c r="H23" s="312">
        <v>0.42222222222222222</v>
      </c>
      <c r="J23" s="327"/>
      <c r="K23" s="331">
        <v>2027</v>
      </c>
      <c r="L23" s="332">
        <v>365</v>
      </c>
      <c r="M23" s="333">
        <v>8760</v>
      </c>
    </row>
    <row r="24" spans="2:13">
      <c r="B24" s="310" t="s">
        <v>295</v>
      </c>
      <c r="C24" s="311">
        <v>42491</v>
      </c>
      <c r="D24" s="258">
        <v>400</v>
      </c>
      <c r="E24" s="258">
        <v>344</v>
      </c>
      <c r="F24" s="258">
        <v>744</v>
      </c>
      <c r="G24" s="258">
        <v>0.5376344086021505</v>
      </c>
      <c r="H24" s="312">
        <v>0.46236559139784944</v>
      </c>
      <c r="J24" s="327"/>
      <c r="K24" s="331">
        <v>2028</v>
      </c>
      <c r="L24" s="332">
        <v>366</v>
      </c>
      <c r="M24" s="333">
        <v>8784</v>
      </c>
    </row>
    <row r="25" spans="2:13">
      <c r="B25" s="310" t="s">
        <v>296</v>
      </c>
      <c r="C25" s="311">
        <v>42522</v>
      </c>
      <c r="D25" s="258">
        <v>416</v>
      </c>
      <c r="E25" s="258">
        <v>304</v>
      </c>
      <c r="F25" s="258">
        <v>720</v>
      </c>
      <c r="G25" s="258">
        <v>0.57777777777777772</v>
      </c>
      <c r="H25" s="312">
        <v>0.42222222222222222</v>
      </c>
      <c r="J25" s="327"/>
      <c r="K25" s="331">
        <v>2029</v>
      </c>
      <c r="L25" s="332">
        <v>365</v>
      </c>
      <c r="M25" s="333">
        <v>8760</v>
      </c>
    </row>
    <row r="26" spans="2:13">
      <c r="B26" s="310" t="s">
        <v>297</v>
      </c>
      <c r="C26" s="311">
        <v>42552</v>
      </c>
      <c r="D26" s="258">
        <v>400</v>
      </c>
      <c r="E26" s="258">
        <v>344</v>
      </c>
      <c r="F26" s="258">
        <v>744</v>
      </c>
      <c r="G26" s="258">
        <v>0.5376344086021505</v>
      </c>
      <c r="H26" s="312">
        <v>0.46236559139784944</v>
      </c>
      <c r="J26" s="327"/>
      <c r="K26" s="331">
        <v>2030</v>
      </c>
      <c r="L26" s="332">
        <v>365</v>
      </c>
      <c r="M26" s="333">
        <v>8760</v>
      </c>
    </row>
    <row r="27" spans="2:13">
      <c r="B27" s="310" t="s">
        <v>298</v>
      </c>
      <c r="C27" s="311">
        <v>42583</v>
      </c>
      <c r="D27" s="258">
        <v>432</v>
      </c>
      <c r="E27" s="258">
        <v>312</v>
      </c>
      <c r="F27" s="258">
        <v>744</v>
      </c>
      <c r="G27" s="258">
        <v>0.58064516129032262</v>
      </c>
      <c r="H27" s="312">
        <v>0.41935483870967744</v>
      </c>
      <c r="J27" s="327"/>
      <c r="K27" s="331">
        <v>2031</v>
      </c>
      <c r="L27" s="332">
        <v>365</v>
      </c>
      <c r="M27" s="333">
        <v>8760</v>
      </c>
    </row>
    <row r="28" spans="2:13">
      <c r="B28" s="310" t="s">
        <v>299</v>
      </c>
      <c r="C28" s="311">
        <v>42614</v>
      </c>
      <c r="D28" s="258">
        <v>400</v>
      </c>
      <c r="E28" s="258">
        <v>320</v>
      </c>
      <c r="F28" s="258">
        <v>720</v>
      </c>
      <c r="G28" s="258">
        <v>0.55555555555555558</v>
      </c>
      <c r="H28" s="312">
        <v>0.44444444444444442</v>
      </c>
      <c r="J28" s="327"/>
      <c r="K28" s="331">
        <v>2032</v>
      </c>
      <c r="L28" s="332">
        <v>366</v>
      </c>
      <c r="M28" s="333">
        <v>8784</v>
      </c>
    </row>
    <row r="29" spans="2:13">
      <c r="B29" s="310" t="s">
        <v>300</v>
      </c>
      <c r="C29" s="311">
        <v>42644</v>
      </c>
      <c r="D29" s="258">
        <v>416</v>
      </c>
      <c r="E29" s="258">
        <v>328</v>
      </c>
      <c r="F29" s="258">
        <v>744</v>
      </c>
      <c r="G29" s="258">
        <v>0.55913978494623651</v>
      </c>
      <c r="H29" s="312">
        <v>0.44086021505376344</v>
      </c>
      <c r="J29" s="327"/>
      <c r="K29" s="331">
        <v>2033</v>
      </c>
      <c r="L29" s="332">
        <v>365</v>
      </c>
      <c r="M29" s="333">
        <v>8760</v>
      </c>
    </row>
    <row r="30" spans="2:13">
      <c r="B30" s="310" t="s">
        <v>301</v>
      </c>
      <c r="C30" s="311">
        <v>42675</v>
      </c>
      <c r="D30" s="258">
        <v>400</v>
      </c>
      <c r="E30" s="258">
        <v>321</v>
      </c>
      <c r="F30" s="258">
        <v>721</v>
      </c>
      <c r="G30" s="258">
        <v>0.55478502080443826</v>
      </c>
      <c r="H30" s="312">
        <v>0.44521497919556174</v>
      </c>
      <c r="J30" s="327"/>
      <c r="K30" s="331">
        <v>2034</v>
      </c>
      <c r="L30" s="332">
        <v>365</v>
      </c>
      <c r="M30" s="333">
        <v>8760</v>
      </c>
    </row>
    <row r="31" spans="2:13">
      <c r="B31" s="310" t="s">
        <v>302</v>
      </c>
      <c r="C31" s="311">
        <v>42705</v>
      </c>
      <c r="D31" s="258">
        <v>416</v>
      </c>
      <c r="E31" s="258">
        <v>328</v>
      </c>
      <c r="F31" s="258">
        <v>744</v>
      </c>
      <c r="G31" s="258">
        <v>0.55913978494623651</v>
      </c>
      <c r="H31" s="312">
        <v>0.44086021505376344</v>
      </c>
      <c r="J31" s="327"/>
      <c r="K31" s="331">
        <v>2035</v>
      </c>
      <c r="L31" s="332">
        <v>365</v>
      </c>
      <c r="M31" s="333">
        <v>8760</v>
      </c>
    </row>
    <row r="32" spans="2:13">
      <c r="B32" s="310" t="s">
        <v>303</v>
      </c>
      <c r="C32" s="311">
        <v>42736</v>
      </c>
      <c r="D32" s="258">
        <v>400</v>
      </c>
      <c r="E32" s="258">
        <v>344</v>
      </c>
      <c r="F32" s="258">
        <v>744</v>
      </c>
      <c r="G32" s="258">
        <v>0.5376344086021505</v>
      </c>
      <c r="H32" s="312">
        <v>0.46236559139784944</v>
      </c>
      <c r="J32" s="327"/>
      <c r="K32" s="331">
        <v>2036</v>
      </c>
      <c r="L32" s="332">
        <v>366</v>
      </c>
      <c r="M32" s="333">
        <v>8784</v>
      </c>
    </row>
    <row r="33" spans="2:13">
      <c r="B33" s="310" t="s">
        <v>304</v>
      </c>
      <c r="C33" s="311">
        <v>42767</v>
      </c>
      <c r="D33" s="258">
        <v>384</v>
      </c>
      <c r="E33" s="258">
        <v>288</v>
      </c>
      <c r="F33" s="258">
        <v>672</v>
      </c>
      <c r="G33" s="258">
        <v>0.5714285714285714</v>
      </c>
      <c r="H33" s="312">
        <v>0.42857142857142855</v>
      </c>
      <c r="J33" s="327"/>
      <c r="K33" s="331">
        <v>2037</v>
      </c>
      <c r="L33" s="332">
        <v>365</v>
      </c>
      <c r="M33" s="333">
        <v>8760</v>
      </c>
    </row>
    <row r="34" spans="2:13">
      <c r="B34" s="310" t="s">
        <v>305</v>
      </c>
      <c r="C34" s="311">
        <v>42795</v>
      </c>
      <c r="D34" s="258">
        <v>432</v>
      </c>
      <c r="E34" s="258">
        <v>311</v>
      </c>
      <c r="F34" s="258">
        <v>743</v>
      </c>
      <c r="G34" s="258">
        <v>0.58142664872139971</v>
      </c>
      <c r="H34" s="312">
        <v>0.41857335127860029</v>
      </c>
      <c r="J34" s="327"/>
      <c r="K34" s="331">
        <v>2038</v>
      </c>
      <c r="L34" s="332">
        <v>365</v>
      </c>
      <c r="M34" s="333">
        <v>8760</v>
      </c>
    </row>
    <row r="35" spans="2:13">
      <c r="B35" s="310" t="s">
        <v>306</v>
      </c>
      <c r="C35" s="311">
        <v>42826</v>
      </c>
      <c r="D35" s="258">
        <v>400</v>
      </c>
      <c r="E35" s="258">
        <v>320</v>
      </c>
      <c r="F35" s="258">
        <v>720</v>
      </c>
      <c r="G35" s="258">
        <v>0.55555555555555558</v>
      </c>
      <c r="H35" s="312">
        <v>0.44444444444444442</v>
      </c>
      <c r="J35" s="327"/>
      <c r="K35" s="331">
        <v>2039</v>
      </c>
      <c r="L35" s="332">
        <v>365</v>
      </c>
      <c r="M35" s="333">
        <v>8760</v>
      </c>
    </row>
    <row r="36" spans="2:13">
      <c r="B36" s="310" t="s">
        <v>307</v>
      </c>
      <c r="C36" s="311">
        <v>42856</v>
      </c>
      <c r="D36" s="258">
        <v>416</v>
      </c>
      <c r="E36" s="258">
        <v>328</v>
      </c>
      <c r="F36" s="258">
        <v>744</v>
      </c>
      <c r="G36" s="258">
        <v>0.55913978494623651</v>
      </c>
      <c r="H36" s="312">
        <v>0.44086021505376344</v>
      </c>
      <c r="J36" s="327"/>
      <c r="K36" s="331">
        <v>2040</v>
      </c>
      <c r="L36" s="332">
        <v>366</v>
      </c>
      <c r="M36" s="333">
        <v>8784</v>
      </c>
    </row>
    <row r="37" spans="2:13">
      <c r="B37" s="310" t="s">
        <v>308</v>
      </c>
      <c r="C37" s="311">
        <v>42887</v>
      </c>
      <c r="D37" s="258">
        <v>416</v>
      </c>
      <c r="E37" s="258">
        <v>304</v>
      </c>
      <c r="F37" s="258">
        <v>720</v>
      </c>
      <c r="G37" s="258">
        <v>0.57777777777777772</v>
      </c>
      <c r="H37" s="312">
        <v>0.42222222222222222</v>
      </c>
      <c r="J37" s="327"/>
      <c r="K37" s="331">
        <v>2041</v>
      </c>
      <c r="L37" s="332">
        <v>365</v>
      </c>
      <c r="M37" s="333">
        <v>8760</v>
      </c>
    </row>
    <row r="38" spans="2:13">
      <c r="B38" s="310" t="s">
        <v>309</v>
      </c>
      <c r="C38" s="311">
        <v>42917</v>
      </c>
      <c r="D38" s="258">
        <v>400</v>
      </c>
      <c r="E38" s="258">
        <v>344</v>
      </c>
      <c r="F38" s="258">
        <v>744</v>
      </c>
      <c r="G38" s="258">
        <v>0.5376344086021505</v>
      </c>
      <c r="H38" s="312">
        <v>0.46236559139784944</v>
      </c>
      <c r="J38" s="327"/>
      <c r="K38" s="331">
        <v>2042</v>
      </c>
      <c r="L38" s="332">
        <v>365</v>
      </c>
      <c r="M38" s="333">
        <v>8760</v>
      </c>
    </row>
    <row r="39" spans="2:13">
      <c r="B39" s="310" t="s">
        <v>310</v>
      </c>
      <c r="C39" s="311">
        <v>42948</v>
      </c>
      <c r="D39" s="258">
        <v>432</v>
      </c>
      <c r="E39" s="258">
        <v>312</v>
      </c>
      <c r="F39" s="258">
        <v>744</v>
      </c>
      <c r="G39" s="258">
        <v>0.58064516129032262</v>
      </c>
      <c r="H39" s="312">
        <v>0.41935483870967744</v>
      </c>
      <c r="J39" s="327"/>
      <c r="K39" s="331">
        <v>2043</v>
      </c>
      <c r="L39" s="332">
        <v>365</v>
      </c>
      <c r="M39" s="333">
        <v>8760</v>
      </c>
    </row>
    <row r="40" spans="2:13">
      <c r="B40" s="310" t="s">
        <v>311</v>
      </c>
      <c r="C40" s="311">
        <v>42979</v>
      </c>
      <c r="D40" s="258">
        <v>400</v>
      </c>
      <c r="E40" s="258">
        <v>320</v>
      </c>
      <c r="F40" s="258">
        <v>720</v>
      </c>
      <c r="G40" s="258">
        <v>0.55555555555555558</v>
      </c>
      <c r="H40" s="312">
        <v>0.44444444444444442</v>
      </c>
      <c r="J40" s="327"/>
      <c r="K40" s="334">
        <v>2044</v>
      </c>
      <c r="L40" s="335">
        <v>366</v>
      </c>
      <c r="M40" s="336">
        <v>8784</v>
      </c>
    </row>
    <row r="41" spans="2:13">
      <c r="B41" s="310" t="s">
        <v>312</v>
      </c>
      <c r="C41" s="311">
        <v>43009</v>
      </c>
      <c r="D41" s="258">
        <v>416</v>
      </c>
      <c r="E41" s="258">
        <v>328</v>
      </c>
      <c r="F41" s="258">
        <v>744</v>
      </c>
      <c r="G41" s="258">
        <v>0.55913978494623651</v>
      </c>
      <c r="H41" s="312">
        <v>0.44086021505376344</v>
      </c>
      <c r="J41" s="327"/>
      <c r="M41" s="332"/>
    </row>
    <row r="42" spans="2:13">
      <c r="B42" s="310" t="s">
        <v>313</v>
      </c>
      <c r="C42" s="311">
        <v>43040</v>
      </c>
      <c r="D42" s="258">
        <v>400</v>
      </c>
      <c r="E42" s="258">
        <v>321</v>
      </c>
      <c r="F42" s="258">
        <v>721</v>
      </c>
      <c r="G42" s="258">
        <v>0.55478502080443826</v>
      </c>
      <c r="H42" s="312">
        <v>0.44521497919556174</v>
      </c>
      <c r="J42" s="327"/>
      <c r="M42" s="332"/>
    </row>
    <row r="43" spans="2:13">
      <c r="B43" s="310" t="s">
        <v>314</v>
      </c>
      <c r="C43" s="311">
        <v>43070</v>
      </c>
      <c r="D43" s="258">
        <v>400</v>
      </c>
      <c r="E43" s="258">
        <v>344</v>
      </c>
      <c r="F43" s="258">
        <v>744</v>
      </c>
      <c r="G43" s="258">
        <v>0.5376344086021505</v>
      </c>
      <c r="H43" s="312">
        <v>0.46236559139784944</v>
      </c>
      <c r="J43" s="327"/>
      <c r="M43" s="332"/>
    </row>
    <row r="44" spans="2:13">
      <c r="B44" s="310" t="s">
        <v>315</v>
      </c>
      <c r="C44" s="311">
        <v>43101</v>
      </c>
      <c r="D44" s="258">
        <v>416</v>
      </c>
      <c r="E44" s="258">
        <v>328</v>
      </c>
      <c r="F44" s="258">
        <v>744</v>
      </c>
      <c r="G44" s="258">
        <v>0.55913978494623651</v>
      </c>
      <c r="H44" s="312">
        <v>0.44086021505376344</v>
      </c>
      <c r="J44" s="327"/>
      <c r="M44" s="332"/>
    </row>
    <row r="45" spans="2:13">
      <c r="B45" s="310" t="s">
        <v>316</v>
      </c>
      <c r="C45" s="311">
        <v>43132</v>
      </c>
      <c r="D45" s="258">
        <v>384</v>
      </c>
      <c r="E45" s="258">
        <v>288</v>
      </c>
      <c r="F45" s="258">
        <v>672</v>
      </c>
      <c r="G45" s="258">
        <v>0.5714285714285714</v>
      </c>
      <c r="H45" s="312">
        <v>0.42857142857142855</v>
      </c>
      <c r="J45" s="327"/>
      <c r="M45" s="332"/>
    </row>
    <row r="46" spans="2:13">
      <c r="B46" s="310" t="s">
        <v>317</v>
      </c>
      <c r="C46" s="311">
        <v>43160</v>
      </c>
      <c r="D46" s="258">
        <v>432</v>
      </c>
      <c r="E46" s="258">
        <v>311</v>
      </c>
      <c r="F46" s="258">
        <v>743</v>
      </c>
      <c r="G46" s="258">
        <v>0.58142664872139971</v>
      </c>
      <c r="H46" s="312">
        <v>0.41857335127860029</v>
      </c>
      <c r="J46" s="327"/>
      <c r="M46" s="332"/>
    </row>
    <row r="47" spans="2:13">
      <c r="B47" s="310" t="s">
        <v>318</v>
      </c>
      <c r="C47" s="311">
        <v>43191</v>
      </c>
      <c r="D47" s="258">
        <v>400</v>
      </c>
      <c r="E47" s="258">
        <v>320</v>
      </c>
      <c r="F47" s="258">
        <v>720</v>
      </c>
      <c r="G47" s="258">
        <v>0.55555555555555558</v>
      </c>
      <c r="H47" s="312">
        <v>0.44444444444444442</v>
      </c>
      <c r="J47" s="327"/>
      <c r="M47" s="332"/>
    </row>
    <row r="48" spans="2:13">
      <c r="B48" s="310" t="s">
        <v>319</v>
      </c>
      <c r="C48" s="311">
        <v>43221</v>
      </c>
      <c r="D48" s="258">
        <v>416</v>
      </c>
      <c r="E48" s="258">
        <v>328</v>
      </c>
      <c r="F48" s="258">
        <v>744</v>
      </c>
      <c r="G48" s="258">
        <v>0.55913978494623651</v>
      </c>
      <c r="H48" s="312">
        <v>0.44086021505376344</v>
      </c>
      <c r="J48" s="327"/>
      <c r="M48" s="332"/>
    </row>
    <row r="49" spans="2:13">
      <c r="B49" s="310" t="s">
        <v>320</v>
      </c>
      <c r="C49" s="311">
        <v>43252</v>
      </c>
      <c r="D49" s="258">
        <v>416</v>
      </c>
      <c r="E49" s="258">
        <v>304</v>
      </c>
      <c r="F49" s="258">
        <v>720</v>
      </c>
      <c r="G49" s="258">
        <v>0.57777777777777772</v>
      </c>
      <c r="H49" s="312">
        <v>0.42222222222222222</v>
      </c>
      <c r="J49" s="327"/>
      <c r="M49" s="332"/>
    </row>
    <row r="50" spans="2:13">
      <c r="B50" s="310" t="s">
        <v>321</v>
      </c>
      <c r="C50" s="311">
        <v>43282</v>
      </c>
      <c r="D50" s="258">
        <v>400</v>
      </c>
      <c r="E50" s="258">
        <v>344</v>
      </c>
      <c r="F50" s="258">
        <v>744</v>
      </c>
      <c r="G50" s="258">
        <v>0.5376344086021505</v>
      </c>
      <c r="H50" s="312">
        <v>0.46236559139784944</v>
      </c>
      <c r="J50" s="327"/>
      <c r="M50" s="332"/>
    </row>
    <row r="51" spans="2:13">
      <c r="B51" s="310" t="s">
        <v>322</v>
      </c>
      <c r="C51" s="311">
        <v>43313</v>
      </c>
      <c r="D51" s="258">
        <v>432</v>
      </c>
      <c r="E51" s="258">
        <v>312</v>
      </c>
      <c r="F51" s="258">
        <v>744</v>
      </c>
      <c r="G51" s="258">
        <v>0.58064516129032262</v>
      </c>
      <c r="H51" s="312">
        <v>0.41935483870967744</v>
      </c>
      <c r="J51" s="327"/>
      <c r="M51" s="332"/>
    </row>
    <row r="52" spans="2:13">
      <c r="B52" s="310" t="s">
        <v>323</v>
      </c>
      <c r="C52" s="311">
        <v>43344</v>
      </c>
      <c r="D52" s="258">
        <v>384</v>
      </c>
      <c r="E52" s="258">
        <v>336</v>
      </c>
      <c r="F52" s="258">
        <v>720</v>
      </c>
      <c r="G52" s="258">
        <v>0.53333333333333333</v>
      </c>
      <c r="H52" s="312">
        <v>0.46666666666666667</v>
      </c>
      <c r="J52" s="327"/>
      <c r="M52" s="332"/>
    </row>
    <row r="53" spans="2:13">
      <c r="B53" s="310" t="s">
        <v>324</v>
      </c>
      <c r="C53" s="311">
        <v>43374</v>
      </c>
      <c r="D53" s="258">
        <v>432</v>
      </c>
      <c r="E53" s="258">
        <v>312</v>
      </c>
      <c r="F53" s="258">
        <v>744</v>
      </c>
      <c r="G53" s="258">
        <v>0.58064516129032262</v>
      </c>
      <c r="H53" s="312">
        <v>0.41935483870967744</v>
      </c>
      <c r="J53" s="327"/>
      <c r="M53" s="332"/>
    </row>
    <row r="54" spans="2:13">
      <c r="B54" s="310" t="s">
        <v>325</v>
      </c>
      <c r="C54" s="311">
        <v>43405</v>
      </c>
      <c r="D54" s="258">
        <v>400</v>
      </c>
      <c r="E54" s="258">
        <v>321</v>
      </c>
      <c r="F54" s="258">
        <v>721</v>
      </c>
      <c r="G54" s="258">
        <v>0.55478502080443826</v>
      </c>
      <c r="H54" s="312">
        <v>0.44521497919556174</v>
      </c>
      <c r="J54" s="327"/>
      <c r="M54" s="332"/>
    </row>
    <row r="55" spans="2:13">
      <c r="B55" s="310" t="s">
        <v>326</v>
      </c>
      <c r="C55" s="311">
        <v>43435</v>
      </c>
      <c r="D55" s="258">
        <v>400</v>
      </c>
      <c r="E55" s="258">
        <v>344</v>
      </c>
      <c r="F55" s="258">
        <v>744</v>
      </c>
      <c r="G55" s="258">
        <v>0.5376344086021505</v>
      </c>
      <c r="H55" s="312">
        <v>0.46236559139784944</v>
      </c>
      <c r="J55" s="327"/>
      <c r="M55" s="332"/>
    </row>
    <row r="56" spans="2:13">
      <c r="B56" s="310" t="s">
        <v>327</v>
      </c>
      <c r="C56" s="311">
        <v>43466</v>
      </c>
      <c r="D56" s="258">
        <v>416</v>
      </c>
      <c r="E56" s="258">
        <v>328</v>
      </c>
      <c r="F56" s="258">
        <v>744</v>
      </c>
      <c r="G56" s="258">
        <v>0.55913978494623651</v>
      </c>
      <c r="H56" s="312">
        <v>0.44086021505376344</v>
      </c>
      <c r="J56" s="327"/>
      <c r="M56" s="332"/>
    </row>
    <row r="57" spans="2:13">
      <c r="B57" s="310" t="s">
        <v>328</v>
      </c>
      <c r="C57" s="311">
        <v>43497</v>
      </c>
      <c r="D57" s="258">
        <v>384</v>
      </c>
      <c r="E57" s="258">
        <v>288</v>
      </c>
      <c r="F57" s="258">
        <v>672</v>
      </c>
      <c r="G57" s="258">
        <v>0.5714285714285714</v>
      </c>
      <c r="H57" s="312">
        <v>0.42857142857142855</v>
      </c>
      <c r="J57" s="327"/>
      <c r="M57" s="332"/>
    </row>
    <row r="58" spans="2:13">
      <c r="B58" s="310" t="s">
        <v>329</v>
      </c>
      <c r="C58" s="311">
        <v>43525</v>
      </c>
      <c r="D58" s="258">
        <v>416</v>
      </c>
      <c r="E58" s="258">
        <v>327</v>
      </c>
      <c r="F58" s="258">
        <v>743</v>
      </c>
      <c r="G58" s="258">
        <v>0.55989232839838488</v>
      </c>
      <c r="H58" s="312">
        <v>0.44010767160161507</v>
      </c>
      <c r="J58" s="327"/>
      <c r="M58" s="332"/>
    </row>
    <row r="59" spans="2:13">
      <c r="B59" s="310" t="s">
        <v>330</v>
      </c>
      <c r="C59" s="311">
        <v>43556</v>
      </c>
      <c r="D59" s="258">
        <v>416</v>
      </c>
      <c r="E59" s="258">
        <v>304</v>
      </c>
      <c r="F59" s="258">
        <v>720</v>
      </c>
      <c r="G59" s="258">
        <v>0.57777777777777772</v>
      </c>
      <c r="H59" s="312">
        <v>0.42222222222222222</v>
      </c>
      <c r="J59" s="327"/>
      <c r="M59" s="332"/>
    </row>
    <row r="60" spans="2:13">
      <c r="B60" s="310" t="s">
        <v>331</v>
      </c>
      <c r="C60" s="311">
        <v>43586</v>
      </c>
      <c r="D60" s="258">
        <v>416</v>
      </c>
      <c r="E60" s="258">
        <v>328</v>
      </c>
      <c r="F60" s="258">
        <v>744</v>
      </c>
      <c r="G60" s="258">
        <v>0.55913978494623651</v>
      </c>
      <c r="H60" s="312">
        <v>0.44086021505376344</v>
      </c>
      <c r="J60" s="327"/>
      <c r="M60" s="332"/>
    </row>
    <row r="61" spans="2:13">
      <c r="B61" s="310" t="s">
        <v>332</v>
      </c>
      <c r="C61" s="311">
        <v>43617</v>
      </c>
      <c r="D61" s="258">
        <v>400</v>
      </c>
      <c r="E61" s="258">
        <v>320</v>
      </c>
      <c r="F61" s="258">
        <v>720</v>
      </c>
      <c r="G61" s="258">
        <v>0.55555555555555558</v>
      </c>
      <c r="H61" s="312">
        <v>0.44444444444444442</v>
      </c>
      <c r="J61" s="327"/>
      <c r="M61" s="332"/>
    </row>
    <row r="62" spans="2:13">
      <c r="B62" s="310" t="s">
        <v>333</v>
      </c>
      <c r="C62" s="311">
        <v>43647</v>
      </c>
      <c r="D62" s="258">
        <v>416</v>
      </c>
      <c r="E62" s="258">
        <v>328</v>
      </c>
      <c r="F62" s="258">
        <v>744</v>
      </c>
      <c r="G62" s="258">
        <v>0.55913978494623651</v>
      </c>
      <c r="H62" s="312">
        <v>0.44086021505376344</v>
      </c>
      <c r="J62" s="327"/>
      <c r="M62" s="332"/>
    </row>
    <row r="63" spans="2:13">
      <c r="B63" s="310" t="s">
        <v>334</v>
      </c>
      <c r="C63" s="311">
        <v>43678</v>
      </c>
      <c r="D63" s="258">
        <v>432</v>
      </c>
      <c r="E63" s="258">
        <v>312</v>
      </c>
      <c r="F63" s="258">
        <v>744</v>
      </c>
      <c r="G63" s="258">
        <v>0.58064516129032262</v>
      </c>
      <c r="H63" s="312">
        <v>0.41935483870967744</v>
      </c>
      <c r="J63" s="327"/>
      <c r="M63" s="332"/>
    </row>
    <row r="64" spans="2:13">
      <c r="B64" s="310" t="s">
        <v>335</v>
      </c>
      <c r="C64" s="311">
        <v>43709</v>
      </c>
      <c r="D64" s="258">
        <v>384</v>
      </c>
      <c r="E64" s="258">
        <v>336</v>
      </c>
      <c r="F64" s="258">
        <v>720</v>
      </c>
      <c r="G64" s="258">
        <v>0.53333333333333333</v>
      </c>
      <c r="H64" s="312">
        <v>0.46666666666666667</v>
      </c>
      <c r="J64" s="327"/>
      <c r="M64" s="332"/>
    </row>
    <row r="65" spans="2:13">
      <c r="B65" s="310" t="s">
        <v>336</v>
      </c>
      <c r="C65" s="311">
        <v>43739</v>
      </c>
      <c r="D65" s="258">
        <v>432</v>
      </c>
      <c r="E65" s="258">
        <v>312</v>
      </c>
      <c r="F65" s="258">
        <v>744</v>
      </c>
      <c r="G65" s="313">
        <v>0.58064516129032262</v>
      </c>
      <c r="H65" s="314">
        <v>0.41935483870967744</v>
      </c>
      <c r="J65" s="327"/>
      <c r="M65" s="332"/>
    </row>
    <row r="66" spans="2:13">
      <c r="B66" s="310" t="s">
        <v>337</v>
      </c>
      <c r="C66" s="311">
        <v>43770</v>
      </c>
      <c r="D66" s="258">
        <v>400</v>
      </c>
      <c r="E66" s="258">
        <v>321</v>
      </c>
      <c r="F66" s="258">
        <v>721</v>
      </c>
      <c r="G66" s="313">
        <v>0.55478502080443826</v>
      </c>
      <c r="H66" s="314">
        <v>0.44521497919556174</v>
      </c>
      <c r="J66" s="327"/>
      <c r="M66" s="332"/>
    </row>
    <row r="67" spans="2:13">
      <c r="B67" s="310" t="s">
        <v>338</v>
      </c>
      <c r="C67" s="311">
        <v>43800</v>
      </c>
      <c r="D67" s="258">
        <v>400</v>
      </c>
      <c r="E67" s="258">
        <v>344</v>
      </c>
      <c r="F67" s="258">
        <v>744</v>
      </c>
      <c r="G67" s="313">
        <v>0.5376344086021505</v>
      </c>
      <c r="H67" s="314">
        <v>0.46236559139784944</v>
      </c>
      <c r="J67" s="327"/>
      <c r="M67" s="332"/>
    </row>
    <row r="68" spans="2:13">
      <c r="B68" s="310" t="s">
        <v>339</v>
      </c>
      <c r="C68" s="311">
        <v>43831</v>
      </c>
      <c r="D68" s="258">
        <v>416</v>
      </c>
      <c r="E68" s="258">
        <v>328</v>
      </c>
      <c r="F68" s="258">
        <v>744</v>
      </c>
      <c r="G68" s="313">
        <v>0.55913978494623651</v>
      </c>
      <c r="H68" s="314">
        <v>0.44086021505376344</v>
      </c>
      <c r="J68" s="327"/>
      <c r="M68" s="332"/>
    </row>
    <row r="69" spans="2:13">
      <c r="B69" s="310" t="s">
        <v>340</v>
      </c>
      <c r="C69" s="311">
        <v>43862</v>
      </c>
      <c r="D69" s="258">
        <v>400</v>
      </c>
      <c r="E69" s="258">
        <v>296</v>
      </c>
      <c r="F69" s="258">
        <v>696</v>
      </c>
      <c r="G69" s="313">
        <v>0.57471264367816088</v>
      </c>
      <c r="H69" s="314">
        <v>0.42528735632183906</v>
      </c>
      <c r="J69" s="327"/>
      <c r="M69" s="332"/>
    </row>
    <row r="70" spans="2:13">
      <c r="B70" s="310" t="s">
        <v>341</v>
      </c>
      <c r="C70" s="311">
        <v>43891</v>
      </c>
      <c r="D70" s="258">
        <v>416</v>
      </c>
      <c r="E70" s="258">
        <v>327</v>
      </c>
      <c r="F70" s="258">
        <v>743</v>
      </c>
      <c r="G70" s="313">
        <v>0.55989232839838488</v>
      </c>
      <c r="H70" s="314">
        <v>0.44010767160161507</v>
      </c>
      <c r="J70" s="327"/>
      <c r="M70" s="332"/>
    </row>
    <row r="71" spans="2:13">
      <c r="B71" s="310" t="s">
        <v>342</v>
      </c>
      <c r="C71" s="311">
        <v>43922</v>
      </c>
      <c r="D71" s="258">
        <v>416</v>
      </c>
      <c r="E71" s="258">
        <v>304</v>
      </c>
      <c r="F71" s="258">
        <v>720</v>
      </c>
      <c r="G71" s="313">
        <v>0.57777777777777772</v>
      </c>
      <c r="H71" s="314">
        <v>0.42222222222222222</v>
      </c>
      <c r="J71" s="327"/>
      <c r="M71" s="332"/>
    </row>
    <row r="72" spans="2:13">
      <c r="B72" s="310" t="s">
        <v>343</v>
      </c>
      <c r="C72" s="311">
        <v>43952</v>
      </c>
      <c r="D72" s="258">
        <v>400</v>
      </c>
      <c r="E72" s="258">
        <v>344</v>
      </c>
      <c r="F72" s="258">
        <v>744</v>
      </c>
      <c r="G72" s="313">
        <v>0.5376344086021505</v>
      </c>
      <c r="H72" s="314">
        <v>0.46236559139784944</v>
      </c>
      <c r="J72" s="327"/>
      <c r="M72" s="332"/>
    </row>
    <row r="73" spans="2:13">
      <c r="B73" s="310" t="s">
        <v>344</v>
      </c>
      <c r="C73" s="311">
        <v>43983</v>
      </c>
      <c r="D73" s="258">
        <v>416</v>
      </c>
      <c r="E73" s="258">
        <v>304</v>
      </c>
      <c r="F73" s="258">
        <v>720</v>
      </c>
      <c r="G73" s="313">
        <v>0.57777777777777772</v>
      </c>
      <c r="H73" s="314">
        <v>0.42222222222222222</v>
      </c>
      <c r="J73" s="327"/>
      <c r="M73" s="332"/>
    </row>
    <row r="74" spans="2:13">
      <c r="B74" s="310" t="s">
        <v>345</v>
      </c>
      <c r="C74" s="311">
        <v>44013</v>
      </c>
      <c r="D74" s="258">
        <v>416</v>
      </c>
      <c r="E74" s="258">
        <v>328</v>
      </c>
      <c r="F74" s="258">
        <v>744</v>
      </c>
      <c r="G74" s="313">
        <v>0.55913978494623651</v>
      </c>
      <c r="H74" s="314">
        <v>0.44086021505376344</v>
      </c>
      <c r="J74" s="327"/>
      <c r="M74" s="332"/>
    </row>
    <row r="75" spans="2:13">
      <c r="B75" s="310" t="s">
        <v>346</v>
      </c>
      <c r="C75" s="311">
        <v>44044</v>
      </c>
      <c r="D75" s="258">
        <v>416</v>
      </c>
      <c r="E75" s="258">
        <v>328</v>
      </c>
      <c r="F75" s="258">
        <v>744</v>
      </c>
      <c r="G75" s="313">
        <v>0.55913978494623651</v>
      </c>
      <c r="H75" s="314">
        <v>0.44086021505376344</v>
      </c>
      <c r="J75" s="327"/>
      <c r="M75" s="332"/>
    </row>
    <row r="76" spans="2:13">
      <c r="B76" s="310" t="s">
        <v>347</v>
      </c>
      <c r="C76" s="311">
        <v>44075</v>
      </c>
      <c r="D76" s="258">
        <v>400</v>
      </c>
      <c r="E76" s="258">
        <v>320</v>
      </c>
      <c r="F76" s="258">
        <v>720</v>
      </c>
      <c r="G76" s="313">
        <v>0.55555555555555558</v>
      </c>
      <c r="H76" s="314">
        <v>0.44444444444444442</v>
      </c>
      <c r="J76" s="327"/>
      <c r="M76" s="332"/>
    </row>
    <row r="77" spans="2:13">
      <c r="B77" s="310" t="s">
        <v>348</v>
      </c>
      <c r="C77" s="311">
        <v>44105</v>
      </c>
      <c r="D77" s="258">
        <v>432</v>
      </c>
      <c r="E77" s="258">
        <v>312</v>
      </c>
      <c r="F77" s="258">
        <v>744</v>
      </c>
      <c r="G77" s="313">
        <v>0.58064516129032262</v>
      </c>
      <c r="H77" s="314">
        <v>0.41935483870967744</v>
      </c>
      <c r="J77" s="327"/>
      <c r="M77" s="332"/>
    </row>
    <row r="78" spans="2:13">
      <c r="B78" s="310" t="s">
        <v>349</v>
      </c>
      <c r="C78" s="311">
        <v>44136</v>
      </c>
      <c r="D78" s="258">
        <v>384</v>
      </c>
      <c r="E78" s="258">
        <v>337</v>
      </c>
      <c r="F78" s="258">
        <v>721</v>
      </c>
      <c r="G78" s="313">
        <v>0.53259361997226073</v>
      </c>
      <c r="H78" s="314">
        <v>0.46740638002773927</v>
      </c>
      <c r="J78" s="327"/>
      <c r="M78" s="332"/>
    </row>
    <row r="79" spans="2:13">
      <c r="B79" s="310" t="s">
        <v>350</v>
      </c>
      <c r="C79" s="311">
        <v>44166</v>
      </c>
      <c r="D79" s="258">
        <v>416</v>
      </c>
      <c r="E79" s="258">
        <v>328</v>
      </c>
      <c r="F79" s="258">
        <v>744</v>
      </c>
      <c r="G79" s="313">
        <v>0.55913978494623651</v>
      </c>
      <c r="H79" s="314">
        <v>0.44086021505376344</v>
      </c>
      <c r="J79" s="327"/>
      <c r="M79" s="332"/>
    </row>
    <row r="80" spans="2:13">
      <c r="B80" s="310" t="s">
        <v>351</v>
      </c>
      <c r="C80" s="311">
        <v>44197</v>
      </c>
      <c r="D80" s="258">
        <v>400</v>
      </c>
      <c r="E80" s="258">
        <v>344</v>
      </c>
      <c r="F80" s="258">
        <v>744</v>
      </c>
      <c r="G80" s="313">
        <v>0.5376344086021505</v>
      </c>
      <c r="H80" s="314">
        <v>0.46236559139784944</v>
      </c>
      <c r="J80" s="327"/>
      <c r="M80" s="332"/>
    </row>
    <row r="81" spans="2:13">
      <c r="B81" s="310" t="s">
        <v>352</v>
      </c>
      <c r="C81" s="311">
        <v>44228</v>
      </c>
      <c r="D81" s="258">
        <v>384</v>
      </c>
      <c r="E81" s="258">
        <v>288</v>
      </c>
      <c r="F81" s="258">
        <v>672</v>
      </c>
      <c r="G81" s="313">
        <v>0.5714285714285714</v>
      </c>
      <c r="H81" s="314">
        <v>0.42857142857142855</v>
      </c>
      <c r="J81" s="327"/>
      <c r="M81" s="332"/>
    </row>
    <row r="82" spans="2:13">
      <c r="B82" s="310" t="s">
        <v>353</v>
      </c>
      <c r="C82" s="311">
        <v>44256</v>
      </c>
      <c r="D82" s="258">
        <v>432</v>
      </c>
      <c r="E82" s="258">
        <v>311</v>
      </c>
      <c r="F82" s="258">
        <v>743</v>
      </c>
      <c r="G82" s="313">
        <v>0.58142664872139971</v>
      </c>
      <c r="H82" s="314">
        <v>0.41857335127860029</v>
      </c>
      <c r="J82" s="327"/>
      <c r="M82" s="332"/>
    </row>
    <row r="83" spans="2:13">
      <c r="B83" s="310" t="s">
        <v>354</v>
      </c>
      <c r="C83" s="311">
        <v>44287</v>
      </c>
      <c r="D83" s="258">
        <v>416</v>
      </c>
      <c r="E83" s="258">
        <v>304</v>
      </c>
      <c r="F83" s="258">
        <v>720</v>
      </c>
      <c r="G83" s="313">
        <v>0.57777777777777772</v>
      </c>
      <c r="H83" s="314">
        <v>0.42222222222222222</v>
      </c>
      <c r="J83" s="327"/>
      <c r="M83" s="332"/>
    </row>
    <row r="84" spans="2:13">
      <c r="B84" s="310" t="s">
        <v>355</v>
      </c>
      <c r="C84" s="311">
        <v>44317</v>
      </c>
      <c r="D84" s="258">
        <v>400</v>
      </c>
      <c r="E84" s="258">
        <v>344</v>
      </c>
      <c r="F84" s="258">
        <v>744</v>
      </c>
      <c r="G84" s="313">
        <v>0.5376344086021505</v>
      </c>
      <c r="H84" s="314">
        <v>0.46236559139784944</v>
      </c>
      <c r="J84" s="327"/>
      <c r="M84" s="332"/>
    </row>
    <row r="85" spans="2:13">
      <c r="B85" s="310" t="s">
        <v>356</v>
      </c>
      <c r="C85" s="311">
        <v>44348</v>
      </c>
      <c r="D85" s="258">
        <v>416</v>
      </c>
      <c r="E85" s="258">
        <v>304</v>
      </c>
      <c r="F85" s="258">
        <v>720</v>
      </c>
      <c r="G85" s="313">
        <v>0.57777777777777772</v>
      </c>
      <c r="H85" s="314">
        <v>0.42222222222222222</v>
      </c>
      <c r="J85" s="327"/>
      <c r="M85" s="332"/>
    </row>
    <row r="86" spans="2:13">
      <c r="B86" s="310" t="s">
        <v>357</v>
      </c>
      <c r="C86" s="311">
        <v>44378</v>
      </c>
      <c r="D86" s="258">
        <v>416</v>
      </c>
      <c r="E86" s="258">
        <v>328</v>
      </c>
      <c r="F86" s="258">
        <v>744</v>
      </c>
      <c r="G86" s="313">
        <v>0.55913978494623651</v>
      </c>
      <c r="H86" s="314">
        <v>0.44086021505376344</v>
      </c>
      <c r="J86" s="327"/>
      <c r="M86" s="332"/>
    </row>
    <row r="87" spans="2:13">
      <c r="B87" s="310" t="s">
        <v>358</v>
      </c>
      <c r="C87" s="311">
        <v>44409</v>
      </c>
      <c r="D87" s="258">
        <v>416</v>
      </c>
      <c r="E87" s="258">
        <v>328</v>
      </c>
      <c r="F87" s="258">
        <v>744</v>
      </c>
      <c r="G87" s="313">
        <v>0.55913978494623651</v>
      </c>
      <c r="H87" s="314">
        <v>0.44086021505376344</v>
      </c>
      <c r="J87" s="327"/>
      <c r="M87" s="332"/>
    </row>
    <row r="88" spans="2:13">
      <c r="B88" s="310" t="s">
        <v>359</v>
      </c>
      <c r="C88" s="311">
        <v>44440</v>
      </c>
      <c r="D88" s="258">
        <v>400</v>
      </c>
      <c r="E88" s="258">
        <v>320</v>
      </c>
      <c r="F88" s="258">
        <v>720</v>
      </c>
      <c r="G88" s="313">
        <v>0.55555555555555558</v>
      </c>
      <c r="H88" s="314">
        <v>0.44444444444444442</v>
      </c>
      <c r="J88" s="327"/>
      <c r="M88" s="332"/>
    </row>
    <row r="89" spans="2:13">
      <c r="B89" s="310" t="s">
        <v>360</v>
      </c>
      <c r="C89" s="311">
        <v>44470</v>
      </c>
      <c r="D89" s="258">
        <v>416</v>
      </c>
      <c r="E89" s="258">
        <v>328</v>
      </c>
      <c r="F89" s="258">
        <v>744</v>
      </c>
      <c r="G89" s="258">
        <v>0.55913978494623651</v>
      </c>
      <c r="H89" s="312">
        <v>0.44086021505376344</v>
      </c>
      <c r="J89" s="327"/>
      <c r="M89" s="332"/>
    </row>
    <row r="90" spans="2:13">
      <c r="B90" s="310" t="s">
        <v>361</v>
      </c>
      <c r="C90" s="311">
        <v>44501</v>
      </c>
      <c r="D90" s="258">
        <v>400</v>
      </c>
      <c r="E90" s="258">
        <v>321</v>
      </c>
      <c r="F90" s="258">
        <v>721</v>
      </c>
      <c r="G90" s="258">
        <v>0.55478502080443826</v>
      </c>
      <c r="H90" s="312">
        <v>0.44521497919556174</v>
      </c>
      <c r="J90" s="327"/>
      <c r="M90" s="332"/>
    </row>
    <row r="91" spans="2:13">
      <c r="B91" s="310" t="s">
        <v>362</v>
      </c>
      <c r="C91" s="311">
        <v>44531</v>
      </c>
      <c r="D91" s="258">
        <v>416</v>
      </c>
      <c r="E91" s="258">
        <v>328</v>
      </c>
      <c r="F91" s="258">
        <v>744</v>
      </c>
      <c r="G91" s="258">
        <v>0.55913978494623651</v>
      </c>
      <c r="H91" s="312">
        <v>0.44086021505376344</v>
      </c>
      <c r="J91" s="327"/>
      <c r="M91" s="332"/>
    </row>
    <row r="92" spans="2:13">
      <c r="B92" s="310" t="s">
        <v>363</v>
      </c>
      <c r="C92" s="311">
        <v>44562</v>
      </c>
      <c r="D92" s="258">
        <v>400</v>
      </c>
      <c r="E92" s="258">
        <v>344</v>
      </c>
      <c r="F92" s="258">
        <v>744</v>
      </c>
      <c r="G92" s="258">
        <v>0.5376344086021505</v>
      </c>
      <c r="H92" s="312">
        <v>0.46236559139784944</v>
      </c>
      <c r="J92" s="327"/>
      <c r="M92" s="332"/>
    </row>
    <row r="93" spans="2:13">
      <c r="B93" s="310" t="s">
        <v>364</v>
      </c>
      <c r="C93" s="311">
        <v>44593</v>
      </c>
      <c r="D93" s="258">
        <v>384</v>
      </c>
      <c r="E93" s="258">
        <v>288</v>
      </c>
      <c r="F93" s="258">
        <v>672</v>
      </c>
      <c r="G93" s="258">
        <v>0.5714285714285714</v>
      </c>
      <c r="H93" s="312">
        <v>0.42857142857142855</v>
      </c>
      <c r="J93" s="327"/>
      <c r="M93" s="332"/>
    </row>
    <row r="94" spans="2:13">
      <c r="B94" s="310" t="s">
        <v>365</v>
      </c>
      <c r="C94" s="311">
        <v>44621</v>
      </c>
      <c r="D94" s="258">
        <v>432</v>
      </c>
      <c r="E94" s="258">
        <v>311</v>
      </c>
      <c r="F94" s="258">
        <v>743</v>
      </c>
      <c r="G94" s="258">
        <v>0.58142664872139971</v>
      </c>
      <c r="H94" s="312">
        <v>0.41857335127860029</v>
      </c>
      <c r="J94" s="327"/>
      <c r="M94" s="332"/>
    </row>
    <row r="95" spans="2:13">
      <c r="B95" s="310" t="s">
        <v>366</v>
      </c>
      <c r="C95" s="311">
        <v>44652</v>
      </c>
      <c r="D95" s="258">
        <v>416</v>
      </c>
      <c r="E95" s="258">
        <v>304</v>
      </c>
      <c r="F95" s="258">
        <v>720</v>
      </c>
      <c r="G95" s="258">
        <v>0.57777777777777772</v>
      </c>
      <c r="H95" s="312">
        <v>0.42222222222222222</v>
      </c>
      <c r="J95" s="327"/>
      <c r="M95" s="332"/>
    </row>
    <row r="96" spans="2:13">
      <c r="B96" s="310" t="s">
        <v>367</v>
      </c>
      <c r="C96" s="311">
        <v>44682</v>
      </c>
      <c r="D96" s="258">
        <v>400</v>
      </c>
      <c r="E96" s="258">
        <v>344</v>
      </c>
      <c r="F96" s="258">
        <v>744</v>
      </c>
      <c r="G96" s="258">
        <v>0.5376344086021505</v>
      </c>
      <c r="H96" s="312">
        <v>0.46236559139784944</v>
      </c>
      <c r="J96" s="327"/>
      <c r="M96" s="332"/>
    </row>
    <row r="97" spans="2:13">
      <c r="B97" s="310" t="s">
        <v>368</v>
      </c>
      <c r="C97" s="311">
        <v>44713</v>
      </c>
      <c r="D97" s="258">
        <v>416</v>
      </c>
      <c r="E97" s="258">
        <v>304</v>
      </c>
      <c r="F97" s="258">
        <v>720</v>
      </c>
      <c r="G97" s="258">
        <v>0.57777777777777772</v>
      </c>
      <c r="H97" s="312">
        <v>0.42222222222222222</v>
      </c>
      <c r="J97" s="327"/>
      <c r="M97" s="332"/>
    </row>
    <row r="98" spans="2:13">
      <c r="B98" s="310" t="s">
        <v>369</v>
      </c>
      <c r="C98" s="311">
        <v>44743</v>
      </c>
      <c r="D98" s="258">
        <v>400</v>
      </c>
      <c r="E98" s="258">
        <v>344</v>
      </c>
      <c r="F98" s="258">
        <v>744</v>
      </c>
      <c r="G98" s="258">
        <v>0.5376344086021505</v>
      </c>
      <c r="H98" s="312">
        <v>0.46236559139784944</v>
      </c>
      <c r="J98" s="327"/>
      <c r="M98" s="332"/>
    </row>
    <row r="99" spans="2:13">
      <c r="B99" s="310" t="s">
        <v>370</v>
      </c>
      <c r="C99" s="311">
        <v>44774</v>
      </c>
      <c r="D99" s="258">
        <v>432</v>
      </c>
      <c r="E99" s="258">
        <v>312</v>
      </c>
      <c r="F99" s="258">
        <v>744</v>
      </c>
      <c r="G99" s="258">
        <v>0.58064516129032262</v>
      </c>
      <c r="H99" s="312">
        <v>0.41935483870967744</v>
      </c>
      <c r="J99" s="327"/>
      <c r="M99" s="332"/>
    </row>
    <row r="100" spans="2:13">
      <c r="B100" s="310" t="s">
        <v>371</v>
      </c>
      <c r="C100" s="311">
        <v>44805</v>
      </c>
      <c r="D100" s="258">
        <v>400</v>
      </c>
      <c r="E100" s="258">
        <v>320</v>
      </c>
      <c r="F100" s="258">
        <v>720</v>
      </c>
      <c r="G100" s="258">
        <v>0.55555555555555558</v>
      </c>
      <c r="H100" s="312">
        <v>0.44444444444444442</v>
      </c>
      <c r="J100" s="327"/>
      <c r="M100" s="332"/>
    </row>
    <row r="101" spans="2:13">
      <c r="B101" s="310" t="s">
        <v>372</v>
      </c>
      <c r="C101" s="311">
        <v>44835</v>
      </c>
      <c r="D101" s="258">
        <v>416</v>
      </c>
      <c r="E101" s="258">
        <v>328</v>
      </c>
      <c r="F101" s="258">
        <v>744</v>
      </c>
      <c r="G101" s="258">
        <v>0.55913978494623651</v>
      </c>
      <c r="H101" s="312">
        <v>0.44086021505376344</v>
      </c>
      <c r="J101" s="327"/>
      <c r="M101" s="332"/>
    </row>
    <row r="102" spans="2:13">
      <c r="B102" s="310" t="s">
        <v>373</v>
      </c>
      <c r="C102" s="311">
        <v>44866</v>
      </c>
      <c r="D102" s="258">
        <v>400</v>
      </c>
      <c r="E102" s="258">
        <v>321</v>
      </c>
      <c r="F102" s="258">
        <v>721</v>
      </c>
      <c r="G102" s="258">
        <v>0.55478502080443826</v>
      </c>
      <c r="H102" s="312">
        <v>0.44521497919556174</v>
      </c>
      <c r="J102" s="327"/>
      <c r="M102" s="332"/>
    </row>
    <row r="103" spans="2:13">
      <c r="B103" s="310" t="s">
        <v>374</v>
      </c>
      <c r="C103" s="311">
        <v>44896</v>
      </c>
      <c r="D103" s="258">
        <v>416</v>
      </c>
      <c r="E103" s="258">
        <v>328</v>
      </c>
      <c r="F103" s="258">
        <v>744</v>
      </c>
      <c r="G103" s="258">
        <v>0.55913978494623651</v>
      </c>
      <c r="H103" s="312">
        <v>0.44086021505376344</v>
      </c>
      <c r="J103" s="327"/>
      <c r="M103" s="332"/>
    </row>
    <row r="104" spans="2:13">
      <c r="B104" s="310" t="s">
        <v>375</v>
      </c>
      <c r="C104" s="311">
        <v>44927</v>
      </c>
      <c r="D104" s="258">
        <v>400</v>
      </c>
      <c r="E104" s="258">
        <v>344</v>
      </c>
      <c r="F104" s="258">
        <v>744</v>
      </c>
      <c r="G104" s="258">
        <v>0.5376344086021505</v>
      </c>
      <c r="H104" s="312">
        <v>0.46236559139784944</v>
      </c>
      <c r="J104" s="327"/>
      <c r="M104" s="332"/>
    </row>
    <row r="105" spans="2:13">
      <c r="B105" s="310" t="s">
        <v>376</v>
      </c>
      <c r="C105" s="311">
        <v>44958</v>
      </c>
      <c r="D105" s="258">
        <v>384</v>
      </c>
      <c r="E105" s="258">
        <v>288</v>
      </c>
      <c r="F105" s="258">
        <v>672</v>
      </c>
      <c r="G105" s="258">
        <v>0.5714285714285714</v>
      </c>
      <c r="H105" s="312">
        <v>0.42857142857142855</v>
      </c>
      <c r="J105" s="327"/>
      <c r="M105" s="332"/>
    </row>
    <row r="106" spans="2:13">
      <c r="B106" s="310" t="s">
        <v>377</v>
      </c>
      <c r="C106" s="311">
        <v>44986</v>
      </c>
      <c r="D106" s="258">
        <v>432</v>
      </c>
      <c r="E106" s="258">
        <v>311</v>
      </c>
      <c r="F106" s="258">
        <v>743</v>
      </c>
      <c r="G106" s="258">
        <v>0.58142664872139971</v>
      </c>
      <c r="H106" s="312">
        <v>0.41857335127860029</v>
      </c>
      <c r="J106" s="327"/>
      <c r="M106" s="332"/>
    </row>
    <row r="107" spans="2:13">
      <c r="B107" s="310" t="s">
        <v>378</v>
      </c>
      <c r="C107" s="311">
        <v>45017</v>
      </c>
      <c r="D107" s="258">
        <v>400</v>
      </c>
      <c r="E107" s="258">
        <v>320</v>
      </c>
      <c r="F107" s="258">
        <v>720</v>
      </c>
      <c r="G107" s="258">
        <v>0.55555555555555558</v>
      </c>
      <c r="H107" s="312">
        <v>0.44444444444444442</v>
      </c>
      <c r="J107" s="327"/>
      <c r="M107" s="332"/>
    </row>
    <row r="108" spans="2:13">
      <c r="B108" s="310" t="s">
        <v>379</v>
      </c>
      <c r="C108" s="311">
        <v>45047</v>
      </c>
      <c r="D108" s="258">
        <v>416</v>
      </c>
      <c r="E108" s="258">
        <v>328</v>
      </c>
      <c r="F108" s="258">
        <v>744</v>
      </c>
      <c r="G108" s="258">
        <v>0.55913978494623651</v>
      </c>
      <c r="H108" s="312">
        <v>0.44086021505376344</v>
      </c>
      <c r="J108" s="327"/>
      <c r="M108" s="332"/>
    </row>
    <row r="109" spans="2:13">
      <c r="B109" s="310" t="s">
        <v>380</v>
      </c>
      <c r="C109" s="311">
        <v>45078</v>
      </c>
      <c r="D109" s="258">
        <v>416</v>
      </c>
      <c r="E109" s="258">
        <v>304</v>
      </c>
      <c r="F109" s="258">
        <v>720</v>
      </c>
      <c r="G109" s="258">
        <v>0.57777777777777772</v>
      </c>
      <c r="H109" s="312">
        <v>0.42222222222222222</v>
      </c>
      <c r="J109" s="327"/>
      <c r="M109" s="332"/>
    </row>
    <row r="110" spans="2:13">
      <c r="B110" s="310" t="s">
        <v>381</v>
      </c>
      <c r="C110" s="311">
        <v>45108</v>
      </c>
      <c r="D110" s="258">
        <v>400</v>
      </c>
      <c r="E110" s="258">
        <v>344</v>
      </c>
      <c r="F110" s="258">
        <v>744</v>
      </c>
      <c r="G110" s="258">
        <v>0.5376344086021505</v>
      </c>
      <c r="H110" s="312">
        <v>0.46236559139784944</v>
      </c>
      <c r="J110" s="327"/>
      <c r="M110" s="332"/>
    </row>
    <row r="111" spans="2:13">
      <c r="B111" s="310" t="s">
        <v>382</v>
      </c>
      <c r="C111" s="311">
        <v>45139</v>
      </c>
      <c r="D111" s="258">
        <v>432</v>
      </c>
      <c r="E111" s="258">
        <v>312</v>
      </c>
      <c r="F111" s="258">
        <v>744</v>
      </c>
      <c r="G111" s="258">
        <v>0.58064516129032262</v>
      </c>
      <c r="H111" s="312">
        <v>0.41935483870967744</v>
      </c>
      <c r="J111" s="327"/>
      <c r="M111" s="332"/>
    </row>
    <row r="112" spans="2:13">
      <c r="B112" s="310" t="s">
        <v>383</v>
      </c>
      <c r="C112" s="311">
        <v>45170</v>
      </c>
      <c r="D112" s="258">
        <v>400</v>
      </c>
      <c r="E112" s="258">
        <v>320</v>
      </c>
      <c r="F112" s="258">
        <v>720</v>
      </c>
      <c r="G112" s="258">
        <v>0.55555555555555558</v>
      </c>
      <c r="H112" s="312">
        <v>0.44444444444444442</v>
      </c>
      <c r="J112" s="327"/>
      <c r="M112" s="332"/>
    </row>
    <row r="113" spans="2:13">
      <c r="B113" s="310" t="s">
        <v>384</v>
      </c>
      <c r="C113" s="311">
        <v>45200</v>
      </c>
      <c r="D113" s="258">
        <v>416</v>
      </c>
      <c r="E113" s="258">
        <v>328</v>
      </c>
      <c r="F113" s="258">
        <v>744</v>
      </c>
      <c r="G113" s="258">
        <v>0.55913978494623651</v>
      </c>
      <c r="H113" s="312">
        <v>0.44086021505376344</v>
      </c>
      <c r="J113" s="327"/>
      <c r="M113" s="332"/>
    </row>
    <row r="114" spans="2:13">
      <c r="B114" s="310" t="s">
        <v>385</v>
      </c>
      <c r="C114" s="311">
        <v>45231</v>
      </c>
      <c r="D114" s="258">
        <v>400</v>
      </c>
      <c r="E114" s="258">
        <v>321</v>
      </c>
      <c r="F114" s="258">
        <v>721</v>
      </c>
      <c r="G114" s="258">
        <v>0.55478502080443826</v>
      </c>
      <c r="H114" s="312">
        <v>0.44521497919556174</v>
      </c>
      <c r="J114" s="327"/>
      <c r="M114" s="332"/>
    </row>
    <row r="115" spans="2:13">
      <c r="B115" s="310" t="s">
        <v>386</v>
      </c>
      <c r="C115" s="311">
        <v>45261</v>
      </c>
      <c r="D115" s="258">
        <v>400</v>
      </c>
      <c r="E115" s="258">
        <v>344</v>
      </c>
      <c r="F115" s="258">
        <v>744</v>
      </c>
      <c r="G115" s="258">
        <v>0.5376344086021505</v>
      </c>
      <c r="H115" s="312">
        <v>0.46236559139784944</v>
      </c>
      <c r="J115" s="327"/>
      <c r="M115" s="332"/>
    </row>
    <row r="116" spans="2:13">
      <c r="B116" s="310" t="s">
        <v>387</v>
      </c>
      <c r="C116" s="311">
        <v>45292</v>
      </c>
      <c r="D116" s="258">
        <v>416</v>
      </c>
      <c r="E116" s="258">
        <v>328</v>
      </c>
      <c r="F116" s="258">
        <v>744</v>
      </c>
      <c r="G116" s="258">
        <v>0.55913978494623651</v>
      </c>
      <c r="H116" s="312">
        <v>0.44086021505376344</v>
      </c>
      <c r="J116" s="327"/>
      <c r="M116" s="332"/>
    </row>
    <row r="117" spans="2:13">
      <c r="B117" s="310" t="s">
        <v>388</v>
      </c>
      <c r="C117" s="311">
        <v>45323</v>
      </c>
      <c r="D117" s="258">
        <v>400</v>
      </c>
      <c r="E117" s="258">
        <v>296</v>
      </c>
      <c r="F117" s="258">
        <v>696</v>
      </c>
      <c r="G117" s="258">
        <v>0.57471264367816088</v>
      </c>
      <c r="H117" s="312">
        <v>0.42528735632183906</v>
      </c>
      <c r="J117" s="327"/>
      <c r="M117" s="332"/>
    </row>
    <row r="118" spans="2:13">
      <c r="B118" s="310" t="s">
        <v>389</v>
      </c>
      <c r="C118" s="311">
        <v>45352</v>
      </c>
      <c r="D118" s="258">
        <v>416</v>
      </c>
      <c r="E118" s="258">
        <v>327</v>
      </c>
      <c r="F118" s="258">
        <v>743</v>
      </c>
      <c r="G118" s="258">
        <v>0.55989232839838488</v>
      </c>
      <c r="H118" s="312">
        <v>0.44010767160161507</v>
      </c>
      <c r="J118" s="327"/>
      <c r="M118" s="332"/>
    </row>
    <row r="119" spans="2:13">
      <c r="B119" s="310" t="s">
        <v>390</v>
      </c>
      <c r="C119" s="311">
        <v>45383</v>
      </c>
      <c r="D119" s="258">
        <v>416</v>
      </c>
      <c r="E119" s="258">
        <v>304</v>
      </c>
      <c r="F119" s="258">
        <v>720</v>
      </c>
      <c r="G119" s="258">
        <v>0.57777777777777772</v>
      </c>
      <c r="H119" s="312">
        <v>0.42222222222222222</v>
      </c>
      <c r="J119" s="327"/>
      <c r="M119" s="332"/>
    </row>
    <row r="120" spans="2:13">
      <c r="B120" s="310" t="s">
        <v>391</v>
      </c>
      <c r="C120" s="311">
        <v>45413</v>
      </c>
      <c r="D120" s="258">
        <v>416</v>
      </c>
      <c r="E120" s="258">
        <v>328</v>
      </c>
      <c r="F120" s="258">
        <v>744</v>
      </c>
      <c r="G120" s="258">
        <v>0.55913978494623651</v>
      </c>
      <c r="H120" s="312">
        <v>0.44086021505376344</v>
      </c>
      <c r="J120" s="327"/>
      <c r="M120" s="332"/>
    </row>
    <row r="121" spans="2:13">
      <c r="B121" s="310" t="s">
        <v>392</v>
      </c>
      <c r="C121" s="311">
        <v>45444</v>
      </c>
      <c r="D121" s="258">
        <v>400</v>
      </c>
      <c r="E121" s="258">
        <v>320</v>
      </c>
      <c r="F121" s="258">
        <v>720</v>
      </c>
      <c r="G121" s="258">
        <v>0.55555555555555558</v>
      </c>
      <c r="H121" s="312">
        <v>0.44444444444444442</v>
      </c>
      <c r="J121" s="327"/>
      <c r="M121" s="332"/>
    </row>
    <row r="122" spans="2:13">
      <c r="B122" s="310" t="s">
        <v>393</v>
      </c>
      <c r="C122" s="311">
        <v>45474</v>
      </c>
      <c r="D122" s="258">
        <v>416</v>
      </c>
      <c r="E122" s="258">
        <v>328</v>
      </c>
      <c r="F122" s="258">
        <v>744</v>
      </c>
      <c r="G122" s="258">
        <v>0.55913978494623651</v>
      </c>
      <c r="H122" s="312">
        <v>0.44086021505376344</v>
      </c>
      <c r="J122" s="327"/>
      <c r="M122" s="332"/>
    </row>
    <row r="123" spans="2:13">
      <c r="B123" s="310" t="s">
        <v>394</v>
      </c>
      <c r="C123" s="311">
        <v>45505</v>
      </c>
      <c r="D123" s="258">
        <v>432</v>
      </c>
      <c r="E123" s="258">
        <v>312</v>
      </c>
      <c r="F123" s="258">
        <v>744</v>
      </c>
      <c r="G123" s="258">
        <v>0.58064516129032262</v>
      </c>
      <c r="H123" s="312">
        <v>0.41935483870967744</v>
      </c>
      <c r="J123" s="327"/>
      <c r="M123" s="332"/>
    </row>
    <row r="124" spans="2:13">
      <c r="B124" s="310" t="s">
        <v>395</v>
      </c>
      <c r="C124" s="311">
        <v>45536</v>
      </c>
      <c r="D124" s="258">
        <v>384</v>
      </c>
      <c r="E124" s="258">
        <v>336</v>
      </c>
      <c r="F124" s="258">
        <v>720</v>
      </c>
      <c r="G124" s="258">
        <v>0.53333333333333333</v>
      </c>
      <c r="H124" s="312">
        <v>0.46666666666666667</v>
      </c>
      <c r="J124" s="327"/>
      <c r="M124" s="332"/>
    </row>
    <row r="125" spans="2:13">
      <c r="B125" s="310" t="s">
        <v>396</v>
      </c>
      <c r="C125" s="311">
        <v>45566</v>
      </c>
      <c r="D125" s="258">
        <v>432</v>
      </c>
      <c r="E125" s="258">
        <v>312</v>
      </c>
      <c r="F125" s="258">
        <v>744</v>
      </c>
      <c r="G125" s="258">
        <v>0.58064516129032262</v>
      </c>
      <c r="H125" s="312">
        <v>0.41935483870967744</v>
      </c>
      <c r="J125" s="327"/>
      <c r="M125" s="332"/>
    </row>
    <row r="126" spans="2:13">
      <c r="B126" s="310" t="s">
        <v>397</v>
      </c>
      <c r="C126" s="311">
        <v>45597</v>
      </c>
      <c r="D126" s="258">
        <v>400</v>
      </c>
      <c r="E126" s="258">
        <v>321</v>
      </c>
      <c r="F126" s="258">
        <v>721</v>
      </c>
      <c r="G126" s="258">
        <v>0.55478502080443826</v>
      </c>
      <c r="H126" s="312">
        <v>0.44521497919556174</v>
      </c>
      <c r="J126" s="327"/>
      <c r="M126" s="332"/>
    </row>
    <row r="127" spans="2:13">
      <c r="B127" s="310" t="s">
        <v>398</v>
      </c>
      <c r="C127" s="311">
        <v>45627</v>
      </c>
      <c r="D127" s="258">
        <v>400</v>
      </c>
      <c r="E127" s="258">
        <v>344</v>
      </c>
      <c r="F127" s="258">
        <v>744</v>
      </c>
      <c r="G127" s="258">
        <v>0.5376344086021505</v>
      </c>
      <c r="H127" s="312">
        <v>0.46236559139784944</v>
      </c>
      <c r="J127" s="327"/>
      <c r="M127" s="332"/>
    </row>
    <row r="128" spans="2:13">
      <c r="B128" s="310" t="s">
        <v>399</v>
      </c>
      <c r="C128" s="311">
        <v>45658</v>
      </c>
      <c r="D128" s="258">
        <v>416</v>
      </c>
      <c r="E128" s="258">
        <v>328</v>
      </c>
      <c r="F128" s="258">
        <v>744</v>
      </c>
      <c r="G128" s="258">
        <v>0.55913978494623651</v>
      </c>
      <c r="H128" s="312">
        <v>0.44086021505376344</v>
      </c>
      <c r="J128" s="327"/>
      <c r="M128" s="332"/>
    </row>
    <row r="129" spans="2:13">
      <c r="B129" s="310" t="s">
        <v>400</v>
      </c>
      <c r="C129" s="311">
        <v>45689</v>
      </c>
      <c r="D129" s="258">
        <v>384</v>
      </c>
      <c r="E129" s="258">
        <v>288</v>
      </c>
      <c r="F129" s="258">
        <v>672</v>
      </c>
      <c r="G129" s="258">
        <v>0.5714285714285714</v>
      </c>
      <c r="H129" s="312">
        <v>0.42857142857142855</v>
      </c>
      <c r="J129" s="327"/>
      <c r="M129" s="332"/>
    </row>
    <row r="130" spans="2:13">
      <c r="B130" s="310" t="s">
        <v>401</v>
      </c>
      <c r="C130" s="311">
        <v>45717</v>
      </c>
      <c r="D130" s="258">
        <v>416</v>
      </c>
      <c r="E130" s="258">
        <v>327</v>
      </c>
      <c r="F130" s="258">
        <v>743</v>
      </c>
      <c r="G130" s="258">
        <v>0.55989232839838488</v>
      </c>
      <c r="H130" s="312">
        <v>0.44010767160161507</v>
      </c>
      <c r="J130" s="327"/>
      <c r="M130" s="332"/>
    </row>
    <row r="131" spans="2:13">
      <c r="B131" s="310" t="s">
        <v>402</v>
      </c>
      <c r="C131" s="311">
        <v>45748</v>
      </c>
      <c r="D131" s="258">
        <v>416</v>
      </c>
      <c r="E131" s="258">
        <v>304</v>
      </c>
      <c r="F131" s="258">
        <v>720</v>
      </c>
      <c r="G131" s="258">
        <v>0.57777777777777772</v>
      </c>
      <c r="H131" s="312">
        <v>0.42222222222222222</v>
      </c>
      <c r="J131" s="327"/>
      <c r="M131" s="332"/>
    </row>
    <row r="132" spans="2:13">
      <c r="B132" s="310" t="s">
        <v>403</v>
      </c>
      <c r="C132" s="311">
        <v>45778</v>
      </c>
      <c r="D132" s="258">
        <v>416</v>
      </c>
      <c r="E132" s="258">
        <v>328</v>
      </c>
      <c r="F132" s="258">
        <v>744</v>
      </c>
      <c r="G132" s="258">
        <v>0.55913978494623651</v>
      </c>
      <c r="H132" s="312">
        <v>0.44086021505376344</v>
      </c>
      <c r="J132" s="327"/>
      <c r="M132" s="332"/>
    </row>
    <row r="133" spans="2:13">
      <c r="B133" s="310" t="s">
        <v>404</v>
      </c>
      <c r="C133" s="311">
        <v>45809</v>
      </c>
      <c r="D133" s="258">
        <v>400</v>
      </c>
      <c r="E133" s="258">
        <v>320</v>
      </c>
      <c r="F133" s="258">
        <v>720</v>
      </c>
      <c r="G133" s="258">
        <v>0.55555555555555558</v>
      </c>
      <c r="H133" s="312">
        <v>0.44444444444444442</v>
      </c>
      <c r="J133" s="327"/>
      <c r="M133" s="332"/>
    </row>
    <row r="134" spans="2:13">
      <c r="B134" s="310" t="s">
        <v>405</v>
      </c>
      <c r="C134" s="311">
        <v>45839</v>
      </c>
      <c r="D134" s="258">
        <v>416</v>
      </c>
      <c r="E134" s="258">
        <v>328</v>
      </c>
      <c r="F134" s="258">
        <v>744</v>
      </c>
      <c r="G134" s="258">
        <v>0.55913978494623651</v>
      </c>
      <c r="H134" s="312">
        <v>0.44086021505376344</v>
      </c>
      <c r="J134" s="327"/>
      <c r="M134" s="332"/>
    </row>
    <row r="135" spans="2:13">
      <c r="B135" s="310" t="s">
        <v>406</v>
      </c>
      <c r="C135" s="311">
        <v>45870</v>
      </c>
      <c r="D135" s="258">
        <v>416</v>
      </c>
      <c r="E135" s="258">
        <v>328</v>
      </c>
      <c r="F135" s="258">
        <v>744</v>
      </c>
      <c r="G135" s="258">
        <v>0.55913978494623651</v>
      </c>
      <c r="H135" s="312">
        <v>0.44086021505376344</v>
      </c>
      <c r="J135" s="327"/>
      <c r="M135" s="332"/>
    </row>
    <row r="136" spans="2:13">
      <c r="B136" s="310" t="s">
        <v>407</v>
      </c>
      <c r="C136" s="311">
        <v>45901</v>
      </c>
      <c r="D136" s="258">
        <v>400</v>
      </c>
      <c r="E136" s="258">
        <v>320</v>
      </c>
      <c r="F136" s="258">
        <v>720</v>
      </c>
      <c r="G136" s="258">
        <v>0.55555555555555558</v>
      </c>
      <c r="H136" s="312">
        <v>0.44444444444444442</v>
      </c>
      <c r="J136" s="327"/>
      <c r="M136" s="332"/>
    </row>
    <row r="137" spans="2:13">
      <c r="B137" s="310" t="s">
        <v>408</v>
      </c>
      <c r="C137" s="311">
        <v>45931</v>
      </c>
      <c r="D137" s="258">
        <v>432</v>
      </c>
      <c r="E137" s="258">
        <v>312</v>
      </c>
      <c r="F137" s="258">
        <v>744</v>
      </c>
      <c r="G137" s="258">
        <v>0.58064516129032262</v>
      </c>
      <c r="H137" s="312">
        <v>0.41935483870967744</v>
      </c>
      <c r="J137" s="327"/>
      <c r="M137" s="332"/>
    </row>
    <row r="138" spans="2:13">
      <c r="B138" s="310" t="s">
        <v>409</v>
      </c>
      <c r="C138" s="311">
        <v>45962</v>
      </c>
      <c r="D138" s="258">
        <v>384</v>
      </c>
      <c r="E138" s="258">
        <v>337</v>
      </c>
      <c r="F138" s="258">
        <v>721</v>
      </c>
      <c r="G138" s="258">
        <v>0.53259361997226073</v>
      </c>
      <c r="H138" s="312">
        <v>0.46740638002773927</v>
      </c>
      <c r="J138" s="327"/>
      <c r="M138" s="332"/>
    </row>
    <row r="139" spans="2:13">
      <c r="B139" s="310" t="s">
        <v>410</v>
      </c>
      <c r="C139" s="311">
        <v>45992</v>
      </c>
      <c r="D139" s="258">
        <v>416</v>
      </c>
      <c r="E139" s="258">
        <v>328</v>
      </c>
      <c r="F139" s="258">
        <v>744</v>
      </c>
      <c r="G139" s="258">
        <v>0.55913978494623651</v>
      </c>
      <c r="H139" s="312">
        <v>0.44086021505376344</v>
      </c>
      <c r="J139" s="327"/>
      <c r="M139" s="332"/>
    </row>
    <row r="140" spans="2:13">
      <c r="B140" s="310" t="s">
        <v>411</v>
      </c>
      <c r="C140" s="311">
        <v>46023</v>
      </c>
      <c r="D140" s="258">
        <v>416</v>
      </c>
      <c r="E140" s="258">
        <v>328</v>
      </c>
      <c r="F140" s="258">
        <v>744</v>
      </c>
      <c r="G140" s="258">
        <v>0.55913978494623651</v>
      </c>
      <c r="H140" s="312">
        <v>0.44086021505376344</v>
      </c>
      <c r="J140" s="327"/>
      <c r="M140" s="332"/>
    </row>
    <row r="141" spans="2:13">
      <c r="B141" s="310" t="s">
        <v>412</v>
      </c>
      <c r="C141" s="311">
        <v>46054</v>
      </c>
      <c r="D141" s="258">
        <v>384</v>
      </c>
      <c r="E141" s="258">
        <v>288</v>
      </c>
      <c r="F141" s="258">
        <v>672</v>
      </c>
      <c r="G141" s="258">
        <v>0.5714285714285714</v>
      </c>
      <c r="H141" s="312">
        <v>0.42857142857142855</v>
      </c>
      <c r="J141" s="327"/>
      <c r="M141" s="332"/>
    </row>
    <row r="142" spans="2:13">
      <c r="B142" s="310" t="s">
        <v>413</v>
      </c>
      <c r="C142" s="311">
        <v>46082</v>
      </c>
      <c r="D142" s="258">
        <v>416</v>
      </c>
      <c r="E142" s="258">
        <v>327</v>
      </c>
      <c r="F142" s="258">
        <v>743</v>
      </c>
      <c r="G142" s="258">
        <v>0.55989232839838488</v>
      </c>
      <c r="H142" s="312">
        <v>0.44010767160161507</v>
      </c>
      <c r="J142" s="327"/>
      <c r="M142" s="332"/>
    </row>
    <row r="143" spans="2:13">
      <c r="B143" s="310" t="s">
        <v>414</v>
      </c>
      <c r="C143" s="311">
        <v>46113</v>
      </c>
      <c r="D143" s="258">
        <v>416</v>
      </c>
      <c r="E143" s="258">
        <v>304</v>
      </c>
      <c r="F143" s="258">
        <v>720</v>
      </c>
      <c r="G143" s="258">
        <v>0.57777777777777772</v>
      </c>
      <c r="H143" s="312">
        <v>0.42222222222222222</v>
      </c>
      <c r="J143" s="327"/>
      <c r="M143" s="332"/>
    </row>
    <row r="144" spans="2:13">
      <c r="B144" s="310" t="s">
        <v>415</v>
      </c>
      <c r="C144" s="311">
        <v>46143</v>
      </c>
      <c r="D144" s="258">
        <v>400</v>
      </c>
      <c r="E144" s="258">
        <v>344</v>
      </c>
      <c r="F144" s="258">
        <v>744</v>
      </c>
      <c r="G144" s="258">
        <v>0.5376344086021505</v>
      </c>
      <c r="H144" s="312">
        <v>0.46236559139784944</v>
      </c>
      <c r="J144" s="327"/>
      <c r="M144" s="332"/>
    </row>
    <row r="145" spans="2:13">
      <c r="B145" s="310" t="s">
        <v>416</v>
      </c>
      <c r="C145" s="311">
        <v>46174</v>
      </c>
      <c r="D145" s="258">
        <v>416</v>
      </c>
      <c r="E145" s="258">
        <v>304</v>
      </c>
      <c r="F145" s="258">
        <v>720</v>
      </c>
      <c r="G145" s="258">
        <v>0.57777777777777772</v>
      </c>
      <c r="H145" s="312">
        <v>0.42222222222222222</v>
      </c>
      <c r="J145" s="327"/>
      <c r="M145" s="332"/>
    </row>
    <row r="146" spans="2:13">
      <c r="B146" s="310" t="s">
        <v>417</v>
      </c>
      <c r="C146" s="311">
        <v>46204</v>
      </c>
      <c r="D146" s="258">
        <v>416</v>
      </c>
      <c r="E146" s="258">
        <v>328</v>
      </c>
      <c r="F146" s="258">
        <v>744</v>
      </c>
      <c r="G146" s="258">
        <v>0.55913978494623651</v>
      </c>
      <c r="H146" s="312">
        <v>0.44086021505376344</v>
      </c>
      <c r="J146" s="327"/>
      <c r="M146" s="332"/>
    </row>
    <row r="147" spans="2:13">
      <c r="B147" s="310" t="s">
        <v>418</v>
      </c>
      <c r="C147" s="311">
        <v>46235</v>
      </c>
      <c r="D147" s="258">
        <v>416</v>
      </c>
      <c r="E147" s="258">
        <v>328</v>
      </c>
      <c r="F147" s="258">
        <v>744</v>
      </c>
      <c r="G147" s="258">
        <v>0.55913978494623651</v>
      </c>
      <c r="H147" s="312">
        <v>0.44086021505376344</v>
      </c>
      <c r="J147" s="327"/>
      <c r="M147" s="332"/>
    </row>
    <row r="148" spans="2:13">
      <c r="B148" s="310" t="s">
        <v>419</v>
      </c>
      <c r="C148" s="311">
        <v>46266</v>
      </c>
      <c r="D148" s="258">
        <v>400</v>
      </c>
      <c r="E148" s="258">
        <v>320</v>
      </c>
      <c r="F148" s="258">
        <v>720</v>
      </c>
      <c r="G148" s="258">
        <v>0.55555555555555558</v>
      </c>
      <c r="H148" s="312">
        <v>0.44444444444444442</v>
      </c>
      <c r="J148" s="327"/>
      <c r="M148" s="332"/>
    </row>
    <row r="149" spans="2:13">
      <c r="B149" s="310" t="s">
        <v>420</v>
      </c>
      <c r="C149" s="311">
        <v>46296</v>
      </c>
      <c r="D149" s="258">
        <v>432</v>
      </c>
      <c r="E149" s="258">
        <v>312</v>
      </c>
      <c r="F149" s="258">
        <v>744</v>
      </c>
      <c r="G149" s="258">
        <v>0.58064516129032262</v>
      </c>
      <c r="H149" s="312">
        <v>0.41935483870967744</v>
      </c>
      <c r="J149" s="327"/>
      <c r="M149" s="332"/>
    </row>
    <row r="150" spans="2:13">
      <c r="B150" s="310" t="s">
        <v>421</v>
      </c>
      <c r="C150" s="311">
        <v>46327</v>
      </c>
      <c r="D150" s="258">
        <v>384</v>
      </c>
      <c r="E150" s="258">
        <v>337</v>
      </c>
      <c r="F150" s="258">
        <v>721</v>
      </c>
      <c r="G150" s="258">
        <v>0.53259361997226073</v>
      </c>
      <c r="H150" s="312">
        <v>0.46740638002773927</v>
      </c>
      <c r="J150" s="327"/>
      <c r="M150" s="332"/>
    </row>
    <row r="151" spans="2:13">
      <c r="B151" s="310" t="s">
        <v>422</v>
      </c>
      <c r="C151" s="311">
        <v>46357</v>
      </c>
      <c r="D151" s="258">
        <v>416</v>
      </c>
      <c r="E151" s="258">
        <v>328</v>
      </c>
      <c r="F151" s="258">
        <v>744</v>
      </c>
      <c r="G151" s="258">
        <v>0.55913978494623651</v>
      </c>
      <c r="H151" s="312">
        <v>0.44086021505376344</v>
      </c>
      <c r="J151" s="327"/>
      <c r="M151" s="332"/>
    </row>
    <row r="152" spans="2:13">
      <c r="B152" s="310" t="s">
        <v>423</v>
      </c>
      <c r="C152" s="311">
        <v>46388</v>
      </c>
      <c r="D152" s="258">
        <v>400</v>
      </c>
      <c r="E152" s="258">
        <v>344</v>
      </c>
      <c r="F152" s="258">
        <v>744</v>
      </c>
      <c r="G152" s="258">
        <v>0.5376344086021505</v>
      </c>
      <c r="H152" s="312">
        <v>0.46236559139784944</v>
      </c>
      <c r="J152" s="327"/>
      <c r="M152" s="332"/>
    </row>
    <row r="153" spans="2:13">
      <c r="B153" s="310" t="s">
        <v>424</v>
      </c>
      <c r="C153" s="311">
        <v>46419</v>
      </c>
      <c r="D153" s="258">
        <v>384</v>
      </c>
      <c r="E153" s="258">
        <v>288</v>
      </c>
      <c r="F153" s="258">
        <v>672</v>
      </c>
      <c r="G153" s="258">
        <v>0.5714285714285714</v>
      </c>
      <c r="H153" s="312">
        <v>0.42857142857142855</v>
      </c>
      <c r="J153" s="327"/>
      <c r="M153" s="332"/>
    </row>
    <row r="154" spans="2:13">
      <c r="B154" s="310" t="s">
        <v>425</v>
      </c>
      <c r="C154" s="311">
        <v>46447</v>
      </c>
      <c r="D154" s="258">
        <v>432</v>
      </c>
      <c r="E154" s="258">
        <v>311</v>
      </c>
      <c r="F154" s="258">
        <v>743</v>
      </c>
      <c r="G154" s="258">
        <v>0.58142664872139971</v>
      </c>
      <c r="H154" s="312">
        <v>0.41857335127860029</v>
      </c>
      <c r="J154" s="327"/>
      <c r="M154" s="332"/>
    </row>
    <row r="155" spans="2:13">
      <c r="B155" s="310" t="s">
        <v>426</v>
      </c>
      <c r="C155" s="311">
        <v>46478</v>
      </c>
      <c r="D155" s="258">
        <v>416</v>
      </c>
      <c r="E155" s="258">
        <v>304</v>
      </c>
      <c r="F155" s="258">
        <v>720</v>
      </c>
      <c r="G155" s="258">
        <v>0.57777777777777772</v>
      </c>
      <c r="H155" s="312">
        <v>0.42222222222222222</v>
      </c>
      <c r="J155" s="327"/>
      <c r="M155" s="332"/>
    </row>
    <row r="156" spans="2:13">
      <c r="B156" s="310" t="s">
        <v>427</v>
      </c>
      <c r="C156" s="311">
        <v>46508</v>
      </c>
      <c r="D156" s="258">
        <v>400</v>
      </c>
      <c r="E156" s="258">
        <v>344</v>
      </c>
      <c r="F156" s="258">
        <v>744</v>
      </c>
      <c r="G156" s="258">
        <v>0.5376344086021505</v>
      </c>
      <c r="H156" s="312">
        <v>0.46236559139784944</v>
      </c>
      <c r="J156" s="327"/>
      <c r="M156" s="332"/>
    </row>
    <row r="157" spans="2:13">
      <c r="B157" s="310" t="s">
        <v>428</v>
      </c>
      <c r="C157" s="311">
        <v>46539</v>
      </c>
      <c r="D157" s="258">
        <v>416</v>
      </c>
      <c r="E157" s="258">
        <v>304</v>
      </c>
      <c r="F157" s="258">
        <v>720</v>
      </c>
      <c r="G157" s="258">
        <v>0.57777777777777772</v>
      </c>
      <c r="H157" s="312">
        <v>0.42222222222222222</v>
      </c>
      <c r="J157" s="327"/>
      <c r="M157" s="332"/>
    </row>
    <row r="158" spans="2:13">
      <c r="B158" s="310" t="s">
        <v>429</v>
      </c>
      <c r="C158" s="311">
        <v>46569</v>
      </c>
      <c r="D158" s="258">
        <v>416</v>
      </c>
      <c r="E158" s="258">
        <v>328</v>
      </c>
      <c r="F158" s="258">
        <v>744</v>
      </c>
      <c r="G158" s="258">
        <v>0.55913978494623651</v>
      </c>
      <c r="H158" s="312">
        <v>0.44086021505376344</v>
      </c>
      <c r="J158" s="327"/>
      <c r="M158" s="332"/>
    </row>
    <row r="159" spans="2:13">
      <c r="B159" s="310" t="s">
        <v>430</v>
      </c>
      <c r="C159" s="311">
        <v>46600</v>
      </c>
      <c r="D159" s="258">
        <v>416</v>
      </c>
      <c r="E159" s="258">
        <v>328</v>
      </c>
      <c r="F159" s="258">
        <v>744</v>
      </c>
      <c r="G159" s="258">
        <v>0.55913978494623651</v>
      </c>
      <c r="H159" s="312">
        <v>0.44086021505376344</v>
      </c>
      <c r="J159" s="327"/>
      <c r="M159" s="332"/>
    </row>
    <row r="160" spans="2:13">
      <c r="B160" s="310" t="s">
        <v>431</v>
      </c>
      <c r="C160" s="311">
        <v>46631</v>
      </c>
      <c r="D160" s="258">
        <v>400</v>
      </c>
      <c r="E160" s="258">
        <v>320</v>
      </c>
      <c r="F160" s="258">
        <v>720</v>
      </c>
      <c r="G160" s="258">
        <v>0.55555555555555558</v>
      </c>
      <c r="H160" s="312">
        <v>0.44444444444444442</v>
      </c>
      <c r="J160" s="327"/>
      <c r="M160" s="332"/>
    </row>
    <row r="161" spans="2:13">
      <c r="B161" s="310" t="s">
        <v>432</v>
      </c>
      <c r="C161" s="311">
        <v>46661</v>
      </c>
      <c r="D161" s="258">
        <v>416</v>
      </c>
      <c r="E161" s="258">
        <v>328</v>
      </c>
      <c r="F161" s="258">
        <v>744</v>
      </c>
      <c r="G161" s="258">
        <v>0.55913978494623651</v>
      </c>
      <c r="H161" s="312">
        <v>0.44086021505376344</v>
      </c>
      <c r="J161" s="327"/>
      <c r="M161" s="332"/>
    </row>
    <row r="162" spans="2:13">
      <c r="B162" s="310" t="s">
        <v>433</v>
      </c>
      <c r="C162" s="311">
        <v>46692</v>
      </c>
      <c r="D162" s="258">
        <v>400</v>
      </c>
      <c r="E162" s="258">
        <v>321</v>
      </c>
      <c r="F162" s="258">
        <v>721</v>
      </c>
      <c r="G162" s="258">
        <v>0.55478502080443826</v>
      </c>
      <c r="H162" s="312">
        <v>0.44521497919556174</v>
      </c>
      <c r="J162" s="327"/>
      <c r="M162" s="332"/>
    </row>
    <row r="163" spans="2:13">
      <c r="B163" s="310" t="s">
        <v>434</v>
      </c>
      <c r="C163" s="311">
        <v>46722</v>
      </c>
      <c r="D163" s="258">
        <v>416</v>
      </c>
      <c r="E163" s="258">
        <v>328</v>
      </c>
      <c r="F163" s="258">
        <v>744</v>
      </c>
      <c r="G163" s="258">
        <v>0.55913978494623651</v>
      </c>
      <c r="H163" s="312">
        <v>0.44086021505376344</v>
      </c>
      <c r="J163" s="327"/>
      <c r="M163" s="332"/>
    </row>
    <row r="164" spans="2:13">
      <c r="B164" s="310" t="s">
        <v>435</v>
      </c>
      <c r="C164" s="311">
        <v>46753</v>
      </c>
      <c r="D164" s="258">
        <v>400</v>
      </c>
      <c r="E164" s="258">
        <v>344</v>
      </c>
      <c r="F164" s="258">
        <v>744</v>
      </c>
      <c r="G164" s="258">
        <v>0.5376344086021505</v>
      </c>
      <c r="H164" s="312">
        <v>0.46236559139784944</v>
      </c>
      <c r="J164" s="327"/>
      <c r="M164" s="332"/>
    </row>
    <row r="165" spans="2:13">
      <c r="B165" s="310" t="s">
        <v>436</v>
      </c>
      <c r="C165" s="311">
        <v>46784</v>
      </c>
      <c r="D165" s="258">
        <v>400</v>
      </c>
      <c r="E165" s="258">
        <v>296</v>
      </c>
      <c r="F165" s="258">
        <v>696</v>
      </c>
      <c r="G165" s="258">
        <v>0.57471264367816088</v>
      </c>
      <c r="H165" s="312">
        <v>0.42528735632183906</v>
      </c>
      <c r="J165" s="327"/>
      <c r="M165" s="332"/>
    </row>
    <row r="166" spans="2:13">
      <c r="B166" s="310" t="s">
        <v>437</v>
      </c>
      <c r="C166" s="311">
        <v>46813</v>
      </c>
      <c r="D166" s="258">
        <v>432</v>
      </c>
      <c r="E166" s="258">
        <v>311</v>
      </c>
      <c r="F166" s="258">
        <v>743</v>
      </c>
      <c r="G166" s="258">
        <v>0.58142664872139971</v>
      </c>
      <c r="H166" s="312">
        <v>0.41857335127860029</v>
      </c>
      <c r="J166" s="327"/>
      <c r="M166" s="332"/>
    </row>
    <row r="167" spans="2:13">
      <c r="B167" s="310" t="s">
        <v>438</v>
      </c>
      <c r="C167" s="311">
        <v>46844</v>
      </c>
      <c r="D167" s="258">
        <v>400</v>
      </c>
      <c r="E167" s="258">
        <v>320</v>
      </c>
      <c r="F167" s="258">
        <v>720</v>
      </c>
      <c r="G167" s="258">
        <v>0.55555555555555558</v>
      </c>
      <c r="H167" s="312">
        <v>0.44444444444444442</v>
      </c>
      <c r="J167" s="327"/>
      <c r="M167" s="332"/>
    </row>
    <row r="168" spans="2:13">
      <c r="B168" s="310" t="s">
        <v>439</v>
      </c>
      <c r="C168" s="311">
        <v>46874</v>
      </c>
      <c r="D168" s="258">
        <v>416</v>
      </c>
      <c r="E168" s="258">
        <v>328</v>
      </c>
      <c r="F168" s="258">
        <v>744</v>
      </c>
      <c r="G168" s="258">
        <v>0.55913978494623651</v>
      </c>
      <c r="H168" s="312">
        <v>0.44086021505376344</v>
      </c>
      <c r="J168" s="327"/>
      <c r="M168" s="332"/>
    </row>
    <row r="169" spans="2:13">
      <c r="B169" s="310" t="s">
        <v>440</v>
      </c>
      <c r="C169" s="311">
        <v>46905</v>
      </c>
      <c r="D169" s="258">
        <v>416</v>
      </c>
      <c r="E169" s="258">
        <v>304</v>
      </c>
      <c r="F169" s="258">
        <v>720</v>
      </c>
      <c r="G169" s="258">
        <v>0.57777777777777772</v>
      </c>
      <c r="H169" s="312">
        <v>0.42222222222222222</v>
      </c>
      <c r="J169" s="327"/>
      <c r="M169" s="332"/>
    </row>
    <row r="170" spans="2:13">
      <c r="B170" s="310" t="s">
        <v>441</v>
      </c>
      <c r="C170" s="311">
        <v>46935</v>
      </c>
      <c r="D170" s="258">
        <v>400</v>
      </c>
      <c r="E170" s="258">
        <v>344</v>
      </c>
      <c r="F170" s="258">
        <v>744</v>
      </c>
      <c r="G170" s="258">
        <v>0.5376344086021505</v>
      </c>
      <c r="H170" s="312">
        <v>0.46236559139784944</v>
      </c>
      <c r="J170" s="327"/>
      <c r="M170" s="332"/>
    </row>
    <row r="171" spans="2:13">
      <c r="B171" s="310" t="s">
        <v>442</v>
      </c>
      <c r="C171" s="311">
        <v>46966</v>
      </c>
      <c r="D171" s="258">
        <v>432</v>
      </c>
      <c r="E171" s="258">
        <v>312</v>
      </c>
      <c r="F171" s="258">
        <v>744</v>
      </c>
      <c r="G171" s="258">
        <v>0.58064516129032262</v>
      </c>
      <c r="H171" s="312">
        <v>0.41935483870967744</v>
      </c>
      <c r="J171" s="327"/>
      <c r="M171" s="332"/>
    </row>
    <row r="172" spans="2:13">
      <c r="B172" s="310" t="s">
        <v>443</v>
      </c>
      <c r="C172" s="311">
        <v>46997</v>
      </c>
      <c r="D172" s="258">
        <v>400</v>
      </c>
      <c r="E172" s="258">
        <v>320</v>
      </c>
      <c r="F172" s="258">
        <v>720</v>
      </c>
      <c r="G172" s="258">
        <v>0.55555555555555558</v>
      </c>
      <c r="H172" s="312">
        <v>0.44444444444444442</v>
      </c>
      <c r="J172" s="327"/>
      <c r="M172" s="332"/>
    </row>
    <row r="173" spans="2:13">
      <c r="B173" s="310" t="s">
        <v>444</v>
      </c>
      <c r="C173" s="311">
        <v>47027</v>
      </c>
      <c r="D173" s="258">
        <v>416</v>
      </c>
      <c r="E173" s="258">
        <v>328</v>
      </c>
      <c r="F173" s="258">
        <v>744</v>
      </c>
      <c r="G173" s="258">
        <v>0.55913978494623651</v>
      </c>
      <c r="H173" s="312">
        <v>0.44086021505376344</v>
      </c>
      <c r="J173" s="327"/>
      <c r="M173" s="332"/>
    </row>
    <row r="174" spans="2:13">
      <c r="B174" s="310" t="s">
        <v>445</v>
      </c>
      <c r="C174" s="311">
        <v>47058</v>
      </c>
      <c r="D174" s="258">
        <v>400</v>
      </c>
      <c r="E174" s="258">
        <v>321</v>
      </c>
      <c r="F174" s="258">
        <v>721</v>
      </c>
      <c r="G174" s="258">
        <v>0.55478502080443826</v>
      </c>
      <c r="H174" s="312">
        <v>0.44521497919556174</v>
      </c>
      <c r="J174" s="327"/>
      <c r="M174" s="332"/>
    </row>
    <row r="175" spans="2:13">
      <c r="B175" s="310" t="s">
        <v>446</v>
      </c>
      <c r="C175" s="311">
        <v>47088</v>
      </c>
      <c r="D175" s="258">
        <v>400</v>
      </c>
      <c r="E175" s="258">
        <v>344</v>
      </c>
      <c r="F175" s="258">
        <v>744</v>
      </c>
      <c r="G175" s="258">
        <v>0.5376344086021505</v>
      </c>
      <c r="H175" s="312">
        <v>0.46236559139784944</v>
      </c>
      <c r="J175" s="327"/>
      <c r="M175" s="332"/>
    </row>
    <row r="176" spans="2:13">
      <c r="B176" s="310" t="s">
        <v>447</v>
      </c>
      <c r="C176" s="311">
        <v>47119</v>
      </c>
      <c r="D176" s="258">
        <v>416</v>
      </c>
      <c r="E176" s="258">
        <v>328</v>
      </c>
      <c r="F176" s="258">
        <v>744</v>
      </c>
      <c r="G176" s="258">
        <v>0.55913978494623651</v>
      </c>
      <c r="H176" s="312">
        <v>0.44086021505376344</v>
      </c>
      <c r="J176" s="327"/>
      <c r="M176" s="332"/>
    </row>
    <row r="177" spans="2:13">
      <c r="B177" s="310" t="s">
        <v>448</v>
      </c>
      <c r="C177" s="311">
        <v>47150</v>
      </c>
      <c r="D177" s="258">
        <v>384</v>
      </c>
      <c r="E177" s="258">
        <v>288</v>
      </c>
      <c r="F177" s="258">
        <v>672</v>
      </c>
      <c r="G177" s="258">
        <v>0.5714285714285714</v>
      </c>
      <c r="H177" s="312">
        <v>0.42857142857142855</v>
      </c>
      <c r="J177" s="327"/>
      <c r="M177" s="332"/>
    </row>
    <row r="178" spans="2:13">
      <c r="B178" s="310" t="s">
        <v>449</v>
      </c>
      <c r="C178" s="311">
        <v>47178</v>
      </c>
      <c r="D178" s="258">
        <v>432</v>
      </c>
      <c r="E178" s="258">
        <v>311</v>
      </c>
      <c r="F178" s="258">
        <v>743</v>
      </c>
      <c r="G178" s="258">
        <v>0.58142664872139971</v>
      </c>
      <c r="H178" s="312">
        <v>0.41857335127860029</v>
      </c>
      <c r="J178" s="327"/>
      <c r="M178" s="332"/>
    </row>
    <row r="179" spans="2:13">
      <c r="B179" s="310" t="s">
        <v>450</v>
      </c>
      <c r="C179" s="311">
        <v>47209</v>
      </c>
      <c r="D179" s="258">
        <v>400</v>
      </c>
      <c r="E179" s="258">
        <v>320</v>
      </c>
      <c r="F179" s="258">
        <v>720</v>
      </c>
      <c r="G179" s="258">
        <v>0.55555555555555558</v>
      </c>
      <c r="H179" s="312">
        <v>0.44444444444444442</v>
      </c>
      <c r="J179" s="327"/>
      <c r="M179" s="332"/>
    </row>
    <row r="180" spans="2:13">
      <c r="B180" s="310" t="s">
        <v>451</v>
      </c>
      <c r="C180" s="311">
        <v>47239</v>
      </c>
      <c r="D180" s="258">
        <v>416</v>
      </c>
      <c r="E180" s="258">
        <v>328</v>
      </c>
      <c r="F180" s="258">
        <v>744</v>
      </c>
      <c r="G180" s="258">
        <v>0.55913978494623651</v>
      </c>
      <c r="H180" s="312">
        <v>0.44086021505376344</v>
      </c>
      <c r="J180" s="327"/>
      <c r="M180" s="332"/>
    </row>
    <row r="181" spans="2:13">
      <c r="B181" s="310" t="s">
        <v>452</v>
      </c>
      <c r="C181" s="311">
        <v>47270</v>
      </c>
      <c r="D181" s="258">
        <v>416</v>
      </c>
      <c r="E181" s="258">
        <v>304</v>
      </c>
      <c r="F181" s="258">
        <v>720</v>
      </c>
      <c r="G181" s="258">
        <v>0.57777777777777772</v>
      </c>
      <c r="H181" s="312">
        <v>0.42222222222222222</v>
      </c>
      <c r="J181" s="327"/>
      <c r="M181" s="332"/>
    </row>
    <row r="182" spans="2:13">
      <c r="B182" s="310" t="s">
        <v>453</v>
      </c>
      <c r="C182" s="311">
        <v>47300</v>
      </c>
      <c r="D182" s="258">
        <v>400</v>
      </c>
      <c r="E182" s="258">
        <v>344</v>
      </c>
      <c r="F182" s="258">
        <v>744</v>
      </c>
      <c r="G182" s="258">
        <v>0.5376344086021505</v>
      </c>
      <c r="H182" s="312">
        <v>0.46236559139784944</v>
      </c>
      <c r="J182" s="327"/>
      <c r="M182" s="332"/>
    </row>
    <row r="183" spans="2:13">
      <c r="B183" s="310" t="s">
        <v>454</v>
      </c>
      <c r="C183" s="311">
        <v>47331</v>
      </c>
      <c r="D183" s="258">
        <v>432</v>
      </c>
      <c r="E183" s="258">
        <v>312</v>
      </c>
      <c r="F183" s="258">
        <v>744</v>
      </c>
      <c r="G183" s="258">
        <v>0.58064516129032262</v>
      </c>
      <c r="H183" s="312">
        <v>0.41935483870967744</v>
      </c>
      <c r="J183" s="327"/>
      <c r="M183" s="332"/>
    </row>
    <row r="184" spans="2:13">
      <c r="B184" s="310" t="s">
        <v>455</v>
      </c>
      <c r="C184" s="311">
        <v>47362</v>
      </c>
      <c r="D184" s="258">
        <v>384</v>
      </c>
      <c r="E184" s="258">
        <v>336</v>
      </c>
      <c r="F184" s="258">
        <v>720</v>
      </c>
      <c r="G184" s="258">
        <v>0.53333333333333333</v>
      </c>
      <c r="H184" s="312">
        <v>0.46666666666666667</v>
      </c>
      <c r="J184" s="327"/>
      <c r="M184" s="332"/>
    </row>
    <row r="185" spans="2:13">
      <c r="B185" s="310" t="s">
        <v>456</v>
      </c>
      <c r="C185" s="311">
        <v>47392</v>
      </c>
      <c r="D185" s="258">
        <v>432</v>
      </c>
      <c r="E185" s="258">
        <v>312</v>
      </c>
      <c r="F185" s="258">
        <v>744</v>
      </c>
      <c r="G185" s="258">
        <v>0.58064516129032262</v>
      </c>
      <c r="H185" s="312">
        <v>0.41935483870967744</v>
      </c>
      <c r="J185" s="327"/>
      <c r="M185" s="332"/>
    </row>
    <row r="186" spans="2:13">
      <c r="B186" s="310" t="s">
        <v>457</v>
      </c>
      <c r="C186" s="311">
        <v>47423</v>
      </c>
      <c r="D186" s="258">
        <v>400</v>
      </c>
      <c r="E186" s="258">
        <v>321</v>
      </c>
      <c r="F186" s="258">
        <v>721</v>
      </c>
      <c r="G186" s="258">
        <v>0.55478502080443826</v>
      </c>
      <c r="H186" s="312">
        <v>0.44521497919556174</v>
      </c>
      <c r="J186" s="327"/>
      <c r="M186" s="332"/>
    </row>
    <row r="187" spans="2:13">
      <c r="B187" s="310" t="s">
        <v>458</v>
      </c>
      <c r="C187" s="311">
        <v>47453</v>
      </c>
      <c r="D187" s="258">
        <v>400</v>
      </c>
      <c r="E187" s="258">
        <v>344</v>
      </c>
      <c r="F187" s="258">
        <v>744</v>
      </c>
      <c r="G187" s="258">
        <v>0.5376344086021505</v>
      </c>
      <c r="H187" s="312">
        <v>0.46236559139784944</v>
      </c>
      <c r="J187" s="327"/>
      <c r="M187" s="332"/>
    </row>
    <row r="188" spans="2:13">
      <c r="B188" s="310" t="s">
        <v>459</v>
      </c>
      <c r="C188" s="311">
        <v>47484</v>
      </c>
      <c r="D188" s="258">
        <v>416</v>
      </c>
      <c r="E188" s="258">
        <v>328</v>
      </c>
      <c r="F188" s="258">
        <v>744</v>
      </c>
      <c r="G188" s="258">
        <v>0.55913978494623651</v>
      </c>
      <c r="H188" s="312">
        <v>0.44086021505376344</v>
      </c>
      <c r="J188" s="327"/>
      <c r="M188" s="332"/>
    </row>
    <row r="189" spans="2:13">
      <c r="B189" s="310" t="s">
        <v>460</v>
      </c>
      <c r="C189" s="311">
        <v>47515</v>
      </c>
      <c r="D189" s="258">
        <v>384</v>
      </c>
      <c r="E189" s="258">
        <v>288</v>
      </c>
      <c r="F189" s="258">
        <v>672</v>
      </c>
      <c r="G189" s="258">
        <v>0.5714285714285714</v>
      </c>
      <c r="H189" s="312">
        <v>0.42857142857142855</v>
      </c>
      <c r="J189" s="327"/>
      <c r="M189" s="332"/>
    </row>
    <row r="190" spans="2:13">
      <c r="B190" s="310" t="s">
        <v>461</v>
      </c>
      <c r="C190" s="311">
        <v>47543</v>
      </c>
      <c r="D190" s="258">
        <v>416</v>
      </c>
      <c r="E190" s="258">
        <v>327</v>
      </c>
      <c r="F190" s="258">
        <v>743</v>
      </c>
      <c r="G190" s="258">
        <v>0.55989232839838488</v>
      </c>
      <c r="H190" s="312">
        <v>0.44010767160161507</v>
      </c>
      <c r="J190" s="327"/>
      <c r="M190" s="332"/>
    </row>
    <row r="191" spans="2:13">
      <c r="B191" s="310" t="s">
        <v>462</v>
      </c>
      <c r="C191" s="311">
        <v>47574</v>
      </c>
      <c r="D191" s="258">
        <v>416</v>
      </c>
      <c r="E191" s="258">
        <v>304</v>
      </c>
      <c r="F191" s="258">
        <v>720</v>
      </c>
      <c r="G191" s="258">
        <v>0.57777777777777772</v>
      </c>
      <c r="H191" s="312">
        <v>0.42222222222222222</v>
      </c>
      <c r="J191" s="327"/>
      <c r="M191" s="332"/>
    </row>
    <row r="192" spans="2:13">
      <c r="B192" s="310" t="s">
        <v>463</v>
      </c>
      <c r="C192" s="311">
        <v>47604</v>
      </c>
      <c r="D192" s="258">
        <v>416</v>
      </c>
      <c r="E192" s="258">
        <v>328</v>
      </c>
      <c r="F192" s="258">
        <v>744</v>
      </c>
      <c r="G192" s="258">
        <v>0.55913978494623651</v>
      </c>
      <c r="H192" s="312">
        <v>0.44086021505376344</v>
      </c>
      <c r="J192" s="327"/>
      <c r="M192" s="332"/>
    </row>
    <row r="193" spans="2:13">
      <c r="B193" s="310" t="s">
        <v>464</v>
      </c>
      <c r="C193" s="311">
        <v>47635</v>
      </c>
      <c r="D193" s="258">
        <v>400</v>
      </c>
      <c r="E193" s="258">
        <v>320</v>
      </c>
      <c r="F193" s="258">
        <v>720</v>
      </c>
      <c r="G193" s="258">
        <v>0.55555555555555558</v>
      </c>
      <c r="H193" s="312">
        <v>0.44444444444444442</v>
      </c>
      <c r="J193" s="327"/>
      <c r="M193" s="332"/>
    </row>
    <row r="194" spans="2:13">
      <c r="B194" s="310" t="s">
        <v>465</v>
      </c>
      <c r="C194" s="311">
        <v>47665</v>
      </c>
      <c r="D194" s="258">
        <v>416</v>
      </c>
      <c r="E194" s="258">
        <v>328</v>
      </c>
      <c r="F194" s="258">
        <v>744</v>
      </c>
      <c r="G194" s="258">
        <v>0.55913978494623651</v>
      </c>
      <c r="H194" s="312">
        <v>0.44086021505376344</v>
      </c>
      <c r="J194" s="327"/>
      <c r="M194" s="332"/>
    </row>
    <row r="195" spans="2:13">
      <c r="B195" s="310" t="s">
        <v>466</v>
      </c>
      <c r="C195" s="311">
        <v>47696</v>
      </c>
      <c r="D195" s="258">
        <v>432</v>
      </c>
      <c r="E195" s="258">
        <v>312</v>
      </c>
      <c r="F195" s="258">
        <v>744</v>
      </c>
      <c r="G195" s="258">
        <v>0.58064516129032262</v>
      </c>
      <c r="H195" s="312">
        <v>0.41935483870967744</v>
      </c>
      <c r="J195" s="327"/>
      <c r="M195" s="332"/>
    </row>
    <row r="196" spans="2:13">
      <c r="B196" s="310" t="s">
        <v>467</v>
      </c>
      <c r="C196" s="311">
        <v>47727</v>
      </c>
      <c r="D196" s="258">
        <v>384</v>
      </c>
      <c r="E196" s="258">
        <v>336</v>
      </c>
      <c r="F196" s="258">
        <v>720</v>
      </c>
      <c r="G196" s="258">
        <v>0.53333333333333333</v>
      </c>
      <c r="H196" s="312">
        <v>0.46666666666666667</v>
      </c>
      <c r="J196" s="327"/>
      <c r="M196" s="332"/>
    </row>
    <row r="197" spans="2:13">
      <c r="B197" s="310" t="s">
        <v>468</v>
      </c>
      <c r="C197" s="311">
        <v>47757</v>
      </c>
      <c r="D197" s="258">
        <v>432</v>
      </c>
      <c r="E197" s="258">
        <v>312</v>
      </c>
      <c r="F197" s="258">
        <v>744</v>
      </c>
      <c r="G197" s="258">
        <v>0.58064516129032262</v>
      </c>
      <c r="H197" s="312">
        <v>0.41935483870967744</v>
      </c>
      <c r="J197" s="327"/>
      <c r="M197" s="332"/>
    </row>
    <row r="198" spans="2:13">
      <c r="B198" s="310" t="s">
        <v>469</v>
      </c>
      <c r="C198" s="311">
        <v>47788</v>
      </c>
      <c r="D198" s="258">
        <v>400</v>
      </c>
      <c r="E198" s="258">
        <v>321</v>
      </c>
      <c r="F198" s="258">
        <v>721</v>
      </c>
      <c r="G198" s="258">
        <v>0.55478502080443826</v>
      </c>
      <c r="H198" s="312">
        <v>0.44521497919556174</v>
      </c>
      <c r="J198" s="327"/>
      <c r="M198" s="332"/>
    </row>
    <row r="199" spans="2:13">
      <c r="B199" s="310" t="s">
        <v>470</v>
      </c>
      <c r="C199" s="311">
        <v>47818</v>
      </c>
      <c r="D199" s="258">
        <v>400</v>
      </c>
      <c r="E199" s="258">
        <v>344</v>
      </c>
      <c r="F199" s="258">
        <v>744</v>
      </c>
      <c r="G199" s="258">
        <v>0.5376344086021505</v>
      </c>
      <c r="H199" s="312">
        <v>0.46236559139784944</v>
      </c>
      <c r="J199" s="327"/>
      <c r="M199" s="332"/>
    </row>
    <row r="200" spans="2:13">
      <c r="B200" s="310" t="s">
        <v>471</v>
      </c>
      <c r="C200" s="311">
        <v>47849</v>
      </c>
      <c r="D200" s="258">
        <v>416</v>
      </c>
      <c r="E200" s="258">
        <v>328</v>
      </c>
      <c r="F200" s="258">
        <v>744</v>
      </c>
      <c r="G200" s="258">
        <v>0.55913978494623651</v>
      </c>
      <c r="H200" s="312">
        <v>0.44086021505376344</v>
      </c>
      <c r="J200" s="327"/>
      <c r="M200" s="332"/>
    </row>
    <row r="201" spans="2:13">
      <c r="B201" s="310" t="s">
        <v>472</v>
      </c>
      <c r="C201" s="311">
        <v>47880</v>
      </c>
      <c r="D201" s="258">
        <v>384</v>
      </c>
      <c r="E201" s="258">
        <v>288</v>
      </c>
      <c r="F201" s="258">
        <v>672</v>
      </c>
      <c r="G201" s="258">
        <v>0.5714285714285714</v>
      </c>
      <c r="H201" s="312">
        <v>0.42857142857142855</v>
      </c>
      <c r="J201" s="327"/>
      <c r="M201" s="332"/>
    </row>
    <row r="202" spans="2:13">
      <c r="B202" s="310" t="s">
        <v>473</v>
      </c>
      <c r="C202" s="311">
        <v>47908</v>
      </c>
      <c r="D202" s="258">
        <v>416</v>
      </c>
      <c r="E202" s="258">
        <v>327</v>
      </c>
      <c r="F202" s="258">
        <v>743</v>
      </c>
      <c r="G202" s="258">
        <v>0.55989232839838488</v>
      </c>
      <c r="H202" s="312">
        <v>0.44010767160161507</v>
      </c>
      <c r="J202" s="327"/>
      <c r="M202" s="332"/>
    </row>
    <row r="203" spans="2:13">
      <c r="B203" s="310" t="s">
        <v>474</v>
      </c>
      <c r="C203" s="311">
        <v>47939</v>
      </c>
      <c r="D203" s="258">
        <v>416</v>
      </c>
      <c r="E203" s="258">
        <v>304</v>
      </c>
      <c r="F203" s="258">
        <v>720</v>
      </c>
      <c r="G203" s="258">
        <v>0.57777777777777772</v>
      </c>
      <c r="H203" s="312">
        <v>0.42222222222222222</v>
      </c>
      <c r="J203" s="327"/>
      <c r="M203" s="332"/>
    </row>
    <row r="204" spans="2:13">
      <c r="B204" s="310" t="s">
        <v>475</v>
      </c>
      <c r="C204" s="311">
        <v>47969</v>
      </c>
      <c r="D204" s="258">
        <v>416</v>
      </c>
      <c r="E204" s="258">
        <v>328</v>
      </c>
      <c r="F204" s="258">
        <v>744</v>
      </c>
      <c r="G204" s="258">
        <v>0.55913978494623651</v>
      </c>
      <c r="H204" s="312">
        <v>0.44086021505376344</v>
      </c>
      <c r="J204" s="327"/>
      <c r="M204" s="332"/>
    </row>
    <row r="205" spans="2:13">
      <c r="B205" s="310" t="s">
        <v>476</v>
      </c>
      <c r="C205" s="311">
        <v>48000</v>
      </c>
      <c r="D205" s="258">
        <v>400</v>
      </c>
      <c r="E205" s="258">
        <v>320</v>
      </c>
      <c r="F205" s="258">
        <v>720</v>
      </c>
      <c r="G205" s="258">
        <v>0.55555555555555558</v>
      </c>
      <c r="H205" s="312">
        <v>0.44444444444444442</v>
      </c>
      <c r="J205" s="327"/>
      <c r="M205" s="332"/>
    </row>
    <row r="206" spans="2:13">
      <c r="B206" s="310" t="s">
        <v>477</v>
      </c>
      <c r="C206" s="311">
        <v>48030</v>
      </c>
      <c r="D206" s="258">
        <v>416</v>
      </c>
      <c r="E206" s="258">
        <v>328</v>
      </c>
      <c r="F206" s="258">
        <v>744</v>
      </c>
      <c r="G206" s="258">
        <v>0.55913978494623651</v>
      </c>
      <c r="H206" s="312">
        <v>0.44086021505376344</v>
      </c>
      <c r="J206" s="327"/>
      <c r="M206" s="332"/>
    </row>
    <row r="207" spans="2:13">
      <c r="B207" s="310" t="s">
        <v>478</v>
      </c>
      <c r="C207" s="311">
        <v>48061</v>
      </c>
      <c r="D207" s="258">
        <v>416</v>
      </c>
      <c r="E207" s="258">
        <v>328</v>
      </c>
      <c r="F207" s="258">
        <v>744</v>
      </c>
      <c r="G207" s="258">
        <v>0.55913978494623651</v>
      </c>
      <c r="H207" s="312">
        <v>0.44086021505376344</v>
      </c>
      <c r="J207" s="327"/>
      <c r="M207" s="332"/>
    </row>
    <row r="208" spans="2:13">
      <c r="B208" s="310" t="s">
        <v>479</v>
      </c>
      <c r="C208" s="311">
        <v>48092</v>
      </c>
      <c r="D208" s="258">
        <v>400</v>
      </c>
      <c r="E208" s="258">
        <v>320</v>
      </c>
      <c r="F208" s="258">
        <v>720</v>
      </c>
      <c r="G208" s="258">
        <v>0.55555555555555558</v>
      </c>
      <c r="H208" s="312">
        <v>0.44444444444444442</v>
      </c>
      <c r="J208" s="327"/>
      <c r="M208" s="332"/>
    </row>
    <row r="209" spans="2:13">
      <c r="B209" s="310" t="s">
        <v>480</v>
      </c>
      <c r="C209" s="311">
        <v>48122</v>
      </c>
      <c r="D209" s="258">
        <v>432</v>
      </c>
      <c r="E209" s="258">
        <v>312</v>
      </c>
      <c r="F209" s="258">
        <v>744</v>
      </c>
      <c r="G209" s="258">
        <v>0.58064516129032262</v>
      </c>
      <c r="H209" s="312">
        <v>0.41935483870967744</v>
      </c>
      <c r="J209" s="327"/>
      <c r="M209" s="332"/>
    </row>
    <row r="210" spans="2:13">
      <c r="B210" s="310" t="s">
        <v>481</v>
      </c>
      <c r="C210" s="311">
        <v>48153</v>
      </c>
      <c r="D210" s="258">
        <v>384</v>
      </c>
      <c r="E210" s="258">
        <v>337</v>
      </c>
      <c r="F210" s="258">
        <v>721</v>
      </c>
      <c r="G210" s="258">
        <v>0.53259361997226073</v>
      </c>
      <c r="H210" s="312">
        <v>0.46740638002773927</v>
      </c>
      <c r="J210" s="327"/>
      <c r="M210" s="332"/>
    </row>
    <row r="211" spans="2:13">
      <c r="B211" s="310" t="s">
        <v>482</v>
      </c>
      <c r="C211" s="311">
        <v>48183</v>
      </c>
      <c r="D211" s="258">
        <v>416</v>
      </c>
      <c r="E211" s="258">
        <v>328</v>
      </c>
      <c r="F211" s="258">
        <v>744</v>
      </c>
      <c r="G211" s="258">
        <v>0.55913978494623651</v>
      </c>
      <c r="H211" s="312">
        <v>0.44086021505376344</v>
      </c>
      <c r="J211" s="327"/>
      <c r="M211" s="332"/>
    </row>
    <row r="212" spans="2:13">
      <c r="B212" s="310" t="s">
        <v>483</v>
      </c>
      <c r="C212" s="311">
        <v>48214</v>
      </c>
      <c r="D212" s="258">
        <v>416</v>
      </c>
      <c r="E212" s="258">
        <v>328</v>
      </c>
      <c r="F212" s="258">
        <v>744</v>
      </c>
      <c r="G212" s="258">
        <v>0.55913978494623651</v>
      </c>
      <c r="H212" s="312">
        <v>0.44086021505376344</v>
      </c>
      <c r="J212" s="327"/>
      <c r="M212" s="332"/>
    </row>
    <row r="213" spans="2:13">
      <c r="B213" s="310" t="s">
        <v>484</v>
      </c>
      <c r="C213" s="311">
        <v>48245</v>
      </c>
      <c r="D213" s="258">
        <v>384</v>
      </c>
      <c r="E213" s="258">
        <v>312</v>
      </c>
      <c r="F213" s="258">
        <v>696</v>
      </c>
      <c r="G213" s="258">
        <v>0.55172413793103448</v>
      </c>
      <c r="H213" s="312">
        <v>0.44827586206896552</v>
      </c>
      <c r="J213" s="327"/>
      <c r="M213" s="332"/>
    </row>
    <row r="214" spans="2:13">
      <c r="B214" s="310" t="s">
        <v>485</v>
      </c>
      <c r="C214" s="311">
        <v>48274</v>
      </c>
      <c r="D214" s="258">
        <v>432</v>
      </c>
      <c r="E214" s="258">
        <v>311</v>
      </c>
      <c r="F214" s="258">
        <v>743</v>
      </c>
      <c r="G214" s="258">
        <v>0.58142664872139971</v>
      </c>
      <c r="H214" s="312">
        <v>0.41857335127860029</v>
      </c>
      <c r="J214" s="327"/>
      <c r="M214" s="332"/>
    </row>
    <row r="215" spans="2:13">
      <c r="B215" s="310" t="s">
        <v>486</v>
      </c>
      <c r="C215" s="311">
        <v>48305</v>
      </c>
      <c r="D215" s="258">
        <v>416</v>
      </c>
      <c r="E215" s="258">
        <v>304</v>
      </c>
      <c r="F215" s="258">
        <v>720</v>
      </c>
      <c r="G215" s="258">
        <v>0.57777777777777772</v>
      </c>
      <c r="H215" s="312">
        <v>0.42222222222222222</v>
      </c>
      <c r="J215" s="327"/>
      <c r="M215" s="332"/>
    </row>
    <row r="216" spans="2:13">
      <c r="B216" s="310" t="s">
        <v>487</v>
      </c>
      <c r="C216" s="311">
        <v>48335</v>
      </c>
      <c r="D216" s="258">
        <v>400</v>
      </c>
      <c r="E216" s="258">
        <v>344</v>
      </c>
      <c r="F216" s="258">
        <v>744</v>
      </c>
      <c r="G216" s="258">
        <v>0.5376344086021505</v>
      </c>
      <c r="H216" s="312">
        <v>0.46236559139784944</v>
      </c>
      <c r="J216" s="327"/>
      <c r="M216" s="332"/>
    </row>
    <row r="217" spans="2:13">
      <c r="B217" s="310" t="s">
        <v>488</v>
      </c>
      <c r="C217" s="311">
        <v>48366</v>
      </c>
      <c r="D217" s="258">
        <v>416</v>
      </c>
      <c r="E217" s="258">
        <v>304</v>
      </c>
      <c r="F217" s="258">
        <v>720</v>
      </c>
      <c r="G217" s="258">
        <v>0.57777777777777772</v>
      </c>
      <c r="H217" s="312">
        <v>0.42222222222222222</v>
      </c>
      <c r="J217" s="327"/>
      <c r="M217" s="332"/>
    </row>
    <row r="218" spans="2:13">
      <c r="B218" s="310" t="s">
        <v>489</v>
      </c>
      <c r="C218" s="311">
        <v>48396</v>
      </c>
      <c r="D218" s="258">
        <v>416</v>
      </c>
      <c r="E218" s="258">
        <v>328</v>
      </c>
      <c r="F218" s="258">
        <v>744</v>
      </c>
      <c r="G218" s="258">
        <v>0.55913978494623651</v>
      </c>
      <c r="H218" s="312">
        <v>0.44086021505376344</v>
      </c>
      <c r="J218" s="327"/>
      <c r="M218" s="332"/>
    </row>
    <row r="219" spans="2:13">
      <c r="B219" s="310" t="s">
        <v>490</v>
      </c>
      <c r="C219" s="311">
        <v>48427</v>
      </c>
      <c r="D219" s="258">
        <v>416</v>
      </c>
      <c r="E219" s="258">
        <v>328</v>
      </c>
      <c r="F219" s="258">
        <v>744</v>
      </c>
      <c r="G219" s="258">
        <v>0.55913978494623651</v>
      </c>
      <c r="H219" s="312">
        <v>0.44086021505376344</v>
      </c>
      <c r="J219" s="327"/>
      <c r="M219" s="332"/>
    </row>
    <row r="220" spans="2:13">
      <c r="B220" s="310" t="s">
        <v>491</v>
      </c>
      <c r="C220" s="311">
        <v>48458</v>
      </c>
      <c r="D220" s="258">
        <v>400</v>
      </c>
      <c r="E220" s="258">
        <v>320</v>
      </c>
      <c r="F220" s="258">
        <v>720</v>
      </c>
      <c r="G220" s="258">
        <v>0.55555555555555558</v>
      </c>
      <c r="H220" s="312">
        <v>0.44444444444444442</v>
      </c>
      <c r="J220" s="327"/>
      <c r="M220" s="332"/>
    </row>
    <row r="221" spans="2:13">
      <c r="B221" s="310" t="s">
        <v>492</v>
      </c>
      <c r="C221" s="311">
        <v>48488</v>
      </c>
      <c r="D221" s="258">
        <v>416</v>
      </c>
      <c r="E221" s="258">
        <v>328</v>
      </c>
      <c r="F221" s="258">
        <v>744</v>
      </c>
      <c r="G221" s="258">
        <v>0.55913978494623651</v>
      </c>
      <c r="H221" s="312">
        <v>0.44086021505376344</v>
      </c>
      <c r="J221" s="327"/>
      <c r="M221" s="332"/>
    </row>
    <row r="222" spans="2:13">
      <c r="B222" s="310" t="s">
        <v>493</v>
      </c>
      <c r="C222" s="311">
        <v>48519</v>
      </c>
      <c r="D222" s="258">
        <v>400</v>
      </c>
      <c r="E222" s="258">
        <v>321</v>
      </c>
      <c r="F222" s="258">
        <v>721</v>
      </c>
      <c r="G222" s="258">
        <v>0.55478502080443826</v>
      </c>
      <c r="H222" s="312">
        <v>0.44521497919556174</v>
      </c>
      <c r="J222" s="327"/>
      <c r="M222" s="332"/>
    </row>
    <row r="223" spans="2:13">
      <c r="B223" s="310" t="s">
        <v>494</v>
      </c>
      <c r="C223" s="311">
        <v>48549</v>
      </c>
      <c r="D223" s="258">
        <v>416</v>
      </c>
      <c r="E223" s="258">
        <v>328</v>
      </c>
      <c r="F223" s="258">
        <v>744</v>
      </c>
      <c r="G223" s="258">
        <v>0.55913978494623651</v>
      </c>
      <c r="H223" s="312">
        <v>0.44086021505376344</v>
      </c>
      <c r="J223" s="327"/>
      <c r="M223" s="332"/>
    </row>
    <row r="224" spans="2:13">
      <c r="B224" s="310" t="s">
        <v>495</v>
      </c>
      <c r="C224" s="311">
        <v>48580</v>
      </c>
      <c r="D224" s="258">
        <v>400</v>
      </c>
      <c r="E224" s="258">
        <v>344</v>
      </c>
      <c r="F224" s="258">
        <v>744</v>
      </c>
      <c r="G224" s="258">
        <v>0.5376344086021505</v>
      </c>
      <c r="H224" s="312">
        <v>0.46236559139784944</v>
      </c>
      <c r="J224" s="327"/>
      <c r="M224" s="332"/>
    </row>
    <row r="225" spans="2:13">
      <c r="B225" s="310" t="s">
        <v>496</v>
      </c>
      <c r="C225" s="311">
        <v>48611</v>
      </c>
      <c r="D225" s="258">
        <v>384</v>
      </c>
      <c r="E225" s="258">
        <v>288</v>
      </c>
      <c r="F225" s="258">
        <v>672</v>
      </c>
      <c r="G225" s="258">
        <v>0.5714285714285714</v>
      </c>
      <c r="H225" s="312">
        <v>0.42857142857142855</v>
      </c>
      <c r="J225" s="327"/>
      <c r="M225" s="332"/>
    </row>
    <row r="226" spans="2:13">
      <c r="B226" s="310" t="s">
        <v>497</v>
      </c>
      <c r="C226" s="311">
        <v>48639</v>
      </c>
      <c r="D226" s="258">
        <v>432</v>
      </c>
      <c r="E226" s="258">
        <v>311</v>
      </c>
      <c r="F226" s="258">
        <v>743</v>
      </c>
      <c r="G226" s="258">
        <v>0.58142664872139971</v>
      </c>
      <c r="H226" s="312">
        <v>0.41857335127860029</v>
      </c>
      <c r="J226" s="327"/>
      <c r="M226" s="332"/>
    </row>
    <row r="227" spans="2:13">
      <c r="B227" s="310" t="s">
        <v>498</v>
      </c>
      <c r="C227" s="311">
        <v>48670</v>
      </c>
      <c r="D227" s="258">
        <v>416</v>
      </c>
      <c r="E227" s="258">
        <v>304</v>
      </c>
      <c r="F227" s="258">
        <v>720</v>
      </c>
      <c r="G227" s="258">
        <v>0.57777777777777772</v>
      </c>
      <c r="H227" s="312">
        <v>0.42222222222222222</v>
      </c>
      <c r="J227" s="327"/>
      <c r="M227" s="332"/>
    </row>
    <row r="228" spans="2:13">
      <c r="B228" s="310" t="s">
        <v>499</v>
      </c>
      <c r="C228" s="311">
        <v>48700</v>
      </c>
      <c r="D228" s="258">
        <v>400</v>
      </c>
      <c r="E228" s="258">
        <v>344</v>
      </c>
      <c r="F228" s="258">
        <v>744</v>
      </c>
      <c r="G228" s="258">
        <v>0.5376344086021505</v>
      </c>
      <c r="H228" s="312">
        <v>0.46236559139784944</v>
      </c>
      <c r="J228" s="327"/>
      <c r="M228" s="332"/>
    </row>
    <row r="229" spans="2:13">
      <c r="B229" s="310" t="s">
        <v>500</v>
      </c>
      <c r="C229" s="311">
        <v>48731</v>
      </c>
      <c r="D229" s="258">
        <v>416</v>
      </c>
      <c r="E229" s="258">
        <v>304</v>
      </c>
      <c r="F229" s="258">
        <v>720</v>
      </c>
      <c r="G229" s="258">
        <v>0.57777777777777772</v>
      </c>
      <c r="H229" s="312">
        <v>0.42222222222222222</v>
      </c>
      <c r="J229" s="327"/>
      <c r="M229" s="332"/>
    </row>
    <row r="230" spans="2:13">
      <c r="B230" s="310" t="s">
        <v>501</v>
      </c>
      <c r="C230" s="311">
        <v>48761</v>
      </c>
      <c r="D230" s="258">
        <v>400</v>
      </c>
      <c r="E230" s="258">
        <v>344</v>
      </c>
      <c r="F230" s="258">
        <v>744</v>
      </c>
      <c r="G230" s="258">
        <v>0.5376344086021505</v>
      </c>
      <c r="H230" s="312">
        <v>0.46236559139784944</v>
      </c>
      <c r="J230" s="327"/>
      <c r="M230" s="332"/>
    </row>
    <row r="231" spans="2:13">
      <c r="B231" s="310" t="s">
        <v>502</v>
      </c>
      <c r="C231" s="311">
        <v>48792</v>
      </c>
      <c r="D231" s="258">
        <v>432</v>
      </c>
      <c r="E231" s="258">
        <v>312</v>
      </c>
      <c r="F231" s="258">
        <v>744</v>
      </c>
      <c r="G231" s="258">
        <v>0.58064516129032262</v>
      </c>
      <c r="H231" s="312">
        <v>0.41935483870967744</v>
      </c>
      <c r="J231" s="327"/>
      <c r="M231" s="332"/>
    </row>
    <row r="232" spans="2:13">
      <c r="B232" s="315" t="s">
        <v>503</v>
      </c>
      <c r="C232" s="316">
        <v>48823</v>
      </c>
      <c r="D232" s="317">
        <v>400</v>
      </c>
      <c r="E232" s="317">
        <v>320</v>
      </c>
      <c r="F232" s="317">
        <v>720</v>
      </c>
      <c r="G232" s="317">
        <v>0.55555555555555558</v>
      </c>
      <c r="H232" s="318">
        <v>0.44444444444444442</v>
      </c>
      <c r="J232" s="327"/>
      <c r="M232" s="332"/>
    </row>
    <row r="233" spans="2:13">
      <c r="J233" s="327"/>
      <c r="M233" s="332"/>
    </row>
    <row r="234" spans="2:13">
      <c r="J234" s="327"/>
      <c r="M234" s="332"/>
    </row>
    <row r="235" spans="2:13">
      <c r="J235" s="327"/>
      <c r="M235" s="332"/>
    </row>
    <row r="236" spans="2:13">
      <c r="J236" s="327"/>
      <c r="M236" s="332"/>
    </row>
    <row r="237" spans="2:13">
      <c r="J237" s="327"/>
      <c r="M237" s="332"/>
    </row>
    <row r="238" spans="2:13">
      <c r="J238" s="327"/>
      <c r="M238" s="332"/>
    </row>
    <row r="239" spans="2:13">
      <c r="J239" s="327"/>
      <c r="M239" s="332"/>
    </row>
    <row r="240" spans="2:13">
      <c r="J240" s="327"/>
      <c r="M240" s="332"/>
    </row>
    <row r="241" spans="10:13">
      <c r="J241" s="327"/>
      <c r="M241" s="332"/>
    </row>
    <row r="242" spans="10:13">
      <c r="J242" s="327"/>
      <c r="M242" s="332"/>
    </row>
    <row r="243" spans="10:13">
      <c r="J243" s="327"/>
      <c r="M243" s="332"/>
    </row>
    <row r="244" spans="10:13">
      <c r="J244" s="327"/>
      <c r="M244" s="332"/>
    </row>
    <row r="245" spans="10:13">
      <c r="J245" s="327"/>
      <c r="M245" s="332"/>
    </row>
    <row r="246" spans="10:13">
      <c r="J246" s="327"/>
      <c r="M246" s="332"/>
    </row>
    <row r="247" spans="10:13">
      <c r="J247" s="327"/>
      <c r="M247" s="332"/>
    </row>
    <row r="248" spans="10:13">
      <c r="J248" s="327"/>
      <c r="M248" s="332"/>
    </row>
    <row r="249" spans="10:13">
      <c r="J249" s="327"/>
      <c r="M249" s="332"/>
    </row>
    <row r="250" spans="10:13">
      <c r="J250" s="327"/>
      <c r="M250" s="332"/>
    </row>
    <row r="251" spans="10:13">
      <c r="J251" s="327"/>
      <c r="M251" s="332"/>
    </row>
    <row r="252" spans="10:13">
      <c r="J252" s="327"/>
      <c r="M252" s="332"/>
    </row>
    <row r="253" spans="10:13">
      <c r="J253" s="327"/>
      <c r="M253" s="332"/>
    </row>
    <row r="254" spans="10:13">
      <c r="J254" s="327"/>
      <c r="M254" s="332"/>
    </row>
    <row r="255" spans="10:13">
      <c r="J255" s="327"/>
      <c r="M255" s="332"/>
    </row>
    <row r="256" spans="10:13">
      <c r="J256" s="327"/>
      <c r="M256" s="332"/>
    </row>
    <row r="257" spans="10:13">
      <c r="J257" s="327"/>
      <c r="M257" s="332"/>
    </row>
    <row r="258" spans="10:13">
      <c r="J258" s="327"/>
      <c r="M258" s="332"/>
    </row>
    <row r="259" spans="10:13">
      <c r="J259" s="327"/>
      <c r="M259" s="332"/>
    </row>
    <row r="260" spans="10:13">
      <c r="J260" s="327"/>
      <c r="M260" s="332"/>
    </row>
    <row r="261" spans="10:13">
      <c r="J261" s="327"/>
      <c r="M261" s="332"/>
    </row>
    <row r="262" spans="10:13">
      <c r="J262" s="327"/>
      <c r="M262" s="332"/>
    </row>
    <row r="263" spans="10:13">
      <c r="J263" s="327"/>
      <c r="M263" s="332"/>
    </row>
    <row r="264" spans="10:13">
      <c r="J264" s="327"/>
      <c r="M264" s="332"/>
    </row>
    <row r="265" spans="10:13">
      <c r="J265" s="327"/>
      <c r="M265" s="332"/>
    </row>
    <row r="266" spans="10:13">
      <c r="J266" s="327"/>
      <c r="M266" s="332"/>
    </row>
    <row r="267" spans="10:13">
      <c r="J267" s="327"/>
      <c r="M267" s="332"/>
    </row>
    <row r="268" spans="10:13">
      <c r="J268" s="327"/>
      <c r="M268" s="332"/>
    </row>
    <row r="269" spans="10:13">
      <c r="J269" s="327"/>
      <c r="M269" s="332"/>
    </row>
    <row r="270" spans="10:13">
      <c r="J270" s="327"/>
      <c r="M270" s="332"/>
    </row>
    <row r="271" spans="10:13">
      <c r="J271" s="327"/>
      <c r="M271" s="332"/>
    </row>
    <row r="272" spans="10:13">
      <c r="J272" s="327"/>
      <c r="M272" s="332"/>
    </row>
    <row r="273" spans="10:13">
      <c r="J273" s="327"/>
      <c r="M273" s="332"/>
    </row>
    <row r="274" spans="10:13">
      <c r="J274" s="327"/>
      <c r="M274" s="332"/>
    </row>
    <row r="275" spans="10:13">
      <c r="J275" s="327"/>
      <c r="M275" s="332"/>
    </row>
    <row r="276" spans="10:13">
      <c r="J276" s="327"/>
      <c r="M276" s="332"/>
    </row>
    <row r="277" spans="10:13">
      <c r="J277" s="327"/>
      <c r="M277" s="332"/>
    </row>
    <row r="278" spans="10:13">
      <c r="J278" s="327"/>
      <c r="M278" s="332"/>
    </row>
    <row r="279" spans="10:13">
      <c r="J279" s="327"/>
      <c r="M279" s="332"/>
    </row>
    <row r="280" spans="10:13">
      <c r="J280" s="327"/>
      <c r="M280" s="332"/>
    </row>
    <row r="281" spans="10:13">
      <c r="J281" s="327"/>
      <c r="M281" s="332"/>
    </row>
    <row r="282" spans="10:13">
      <c r="J282" s="327"/>
      <c r="M282" s="332"/>
    </row>
    <row r="283" spans="10:13">
      <c r="J283" s="327"/>
      <c r="M283" s="332"/>
    </row>
    <row r="284" spans="10:13">
      <c r="J284" s="327"/>
      <c r="M284" s="332"/>
    </row>
    <row r="285" spans="10:13">
      <c r="J285" s="327"/>
      <c r="M285" s="332"/>
    </row>
    <row r="286" spans="10:13">
      <c r="J286" s="327"/>
      <c r="M286" s="332"/>
    </row>
    <row r="287" spans="10:13">
      <c r="J287" s="327"/>
      <c r="M287" s="332"/>
    </row>
    <row r="288" spans="10:13">
      <c r="J288" s="327"/>
      <c r="M288" s="332"/>
    </row>
    <row r="289" spans="10:13">
      <c r="J289" s="327"/>
      <c r="M289" s="332"/>
    </row>
    <row r="290" spans="10:13">
      <c r="J290" s="327"/>
      <c r="M290" s="332"/>
    </row>
    <row r="291" spans="10:13">
      <c r="J291" s="327"/>
      <c r="M291" s="332"/>
    </row>
    <row r="292" spans="10:13">
      <c r="J292" s="327"/>
      <c r="M292" s="332"/>
    </row>
    <row r="293" spans="10:13">
      <c r="J293" s="327"/>
      <c r="M293" s="332"/>
    </row>
    <row r="294" spans="10:13">
      <c r="J294" s="327"/>
      <c r="M294" s="332"/>
    </row>
    <row r="295" spans="10:13">
      <c r="J295" s="327"/>
      <c r="M295" s="332"/>
    </row>
    <row r="296" spans="10:13">
      <c r="J296" s="327"/>
      <c r="M296" s="332"/>
    </row>
    <row r="297" spans="10:13">
      <c r="J297" s="327"/>
      <c r="M297" s="332"/>
    </row>
    <row r="298" spans="10:13">
      <c r="J298" s="327"/>
      <c r="M298" s="332"/>
    </row>
    <row r="299" spans="10:13">
      <c r="J299" s="327"/>
      <c r="M299" s="332"/>
    </row>
    <row r="300" spans="10:13">
      <c r="J300" s="327"/>
      <c r="M300" s="332"/>
    </row>
    <row r="301" spans="10:13">
      <c r="J301" s="327"/>
      <c r="M301" s="332"/>
    </row>
    <row r="302" spans="10:13">
      <c r="J302" s="327"/>
      <c r="M302" s="332"/>
    </row>
    <row r="303" spans="10:13">
      <c r="J303" s="327"/>
      <c r="M303" s="332"/>
    </row>
    <row r="304" spans="10:13">
      <c r="J304" s="327"/>
      <c r="M304" s="332"/>
    </row>
    <row r="305" spans="10:13">
      <c r="J305" s="327"/>
      <c r="M305" s="332"/>
    </row>
    <row r="306" spans="10:13">
      <c r="J306" s="327"/>
      <c r="M306" s="332"/>
    </row>
    <row r="307" spans="10:13">
      <c r="J307" s="327"/>
      <c r="M307" s="332"/>
    </row>
    <row r="308" spans="10:13">
      <c r="J308" s="327"/>
      <c r="M308" s="332"/>
    </row>
    <row r="309" spans="10:13">
      <c r="J309" s="327"/>
      <c r="M309" s="332"/>
    </row>
    <row r="310" spans="10:13">
      <c r="J310" s="327"/>
      <c r="M310" s="332"/>
    </row>
    <row r="311" spans="10:13">
      <c r="J311" s="327"/>
      <c r="M311" s="332"/>
    </row>
    <row r="312" spans="10:13">
      <c r="J312" s="327"/>
      <c r="M312" s="332"/>
    </row>
    <row r="313" spans="10:13">
      <c r="J313" s="327"/>
      <c r="M313" s="332"/>
    </row>
    <row r="314" spans="10:13">
      <c r="J314" s="327"/>
      <c r="M314" s="332"/>
    </row>
    <row r="315" spans="10:13">
      <c r="J315" s="327"/>
      <c r="M315" s="332"/>
    </row>
    <row r="316" spans="10:13">
      <c r="J316" s="327"/>
      <c r="M316" s="332"/>
    </row>
    <row r="317" spans="10:13">
      <c r="J317" s="327"/>
      <c r="M317" s="332"/>
    </row>
    <row r="318" spans="10:13">
      <c r="J318" s="327"/>
      <c r="M318" s="332"/>
    </row>
    <row r="319" spans="10:13">
      <c r="J319" s="327"/>
      <c r="M319" s="332"/>
    </row>
    <row r="320" spans="10:13">
      <c r="J320" s="327"/>
      <c r="M320" s="332"/>
    </row>
    <row r="321" spans="10:13">
      <c r="J321" s="327"/>
      <c r="M321" s="332"/>
    </row>
    <row r="322" spans="10:13">
      <c r="J322" s="327"/>
      <c r="M322" s="332"/>
    </row>
    <row r="323" spans="10:13">
      <c r="J323" s="327"/>
      <c r="M323" s="332"/>
    </row>
    <row r="324" spans="10:13">
      <c r="J324" s="327"/>
      <c r="M324" s="332"/>
    </row>
    <row r="325" spans="10:13">
      <c r="J325" s="327"/>
      <c r="M325" s="332"/>
    </row>
    <row r="326" spans="10:13">
      <c r="J326" s="327"/>
      <c r="M326" s="332"/>
    </row>
    <row r="327" spans="10:13">
      <c r="J327" s="327"/>
      <c r="M327" s="332"/>
    </row>
    <row r="328" spans="10:13">
      <c r="J328" s="327"/>
      <c r="M328" s="332"/>
    </row>
    <row r="329" spans="10:13">
      <c r="J329" s="327"/>
      <c r="M329" s="332"/>
    </row>
    <row r="330" spans="10:13">
      <c r="J330" s="327"/>
      <c r="M330" s="332"/>
    </row>
    <row r="331" spans="10:13">
      <c r="J331" s="327"/>
      <c r="M331" s="332"/>
    </row>
    <row r="332" spans="10:13">
      <c r="J332" s="327"/>
      <c r="M332" s="332"/>
    </row>
    <row r="333" spans="10:13">
      <c r="J333" s="327"/>
      <c r="M333" s="332"/>
    </row>
    <row r="334" spans="10:13">
      <c r="J334" s="327"/>
      <c r="M334" s="332"/>
    </row>
    <row r="335" spans="10:13">
      <c r="J335" s="327"/>
      <c r="M335" s="332"/>
    </row>
    <row r="336" spans="10:13">
      <c r="J336" s="327"/>
      <c r="M336" s="332"/>
    </row>
    <row r="337" spans="10:13">
      <c r="J337" s="327"/>
      <c r="M337" s="332"/>
    </row>
    <row r="338" spans="10:13">
      <c r="J338" s="327"/>
      <c r="M338" s="332"/>
    </row>
    <row r="339" spans="10:13">
      <c r="J339" s="327"/>
      <c r="M339" s="332"/>
    </row>
    <row r="340" spans="10:13">
      <c r="J340" s="327"/>
      <c r="M340" s="332"/>
    </row>
    <row r="341" spans="10:13">
      <c r="J341" s="327"/>
      <c r="M341" s="332"/>
    </row>
    <row r="342" spans="10:13">
      <c r="J342" s="327"/>
      <c r="M342" s="332"/>
    </row>
    <row r="343" spans="10:13">
      <c r="J343" s="327"/>
      <c r="M343" s="332"/>
    </row>
    <row r="344" spans="10:13">
      <c r="J344" s="327"/>
      <c r="M344" s="332"/>
    </row>
    <row r="345" spans="10:13">
      <c r="J345" s="327"/>
      <c r="M345" s="332"/>
    </row>
    <row r="346" spans="10:13">
      <c r="J346" s="327"/>
      <c r="M346" s="332"/>
    </row>
    <row r="347" spans="10:13">
      <c r="J347" s="327"/>
      <c r="M347" s="332"/>
    </row>
    <row r="348" spans="10:13">
      <c r="J348" s="327"/>
      <c r="M348" s="332"/>
    </row>
    <row r="349" spans="10:13">
      <c r="J349" s="327"/>
      <c r="M349" s="332"/>
    </row>
    <row r="350" spans="10:13">
      <c r="J350" s="327"/>
      <c r="M350" s="332"/>
    </row>
    <row r="351" spans="10:13">
      <c r="J351" s="327"/>
      <c r="M351" s="332"/>
    </row>
    <row r="352" spans="10:13">
      <c r="J352" s="327"/>
      <c r="M352" s="332"/>
    </row>
    <row r="353" spans="10:13">
      <c r="J353" s="327"/>
      <c r="M353" s="332"/>
    </row>
    <row r="354" spans="10:13">
      <c r="J354" s="327"/>
      <c r="M354" s="332"/>
    </row>
    <row r="355" spans="10:13">
      <c r="J355" s="327"/>
      <c r="M355" s="332"/>
    </row>
    <row r="356" spans="10:13">
      <c r="J356" s="327"/>
      <c r="M356" s="332"/>
    </row>
    <row r="357" spans="10:13">
      <c r="J357" s="327"/>
      <c r="M357" s="332"/>
    </row>
    <row r="358" spans="10:13">
      <c r="J358" s="327"/>
      <c r="M358" s="332"/>
    </row>
    <row r="359" spans="10:13">
      <c r="J359" s="327"/>
      <c r="M359" s="332"/>
    </row>
    <row r="360" spans="10:13">
      <c r="J360" s="327"/>
      <c r="M360" s="332"/>
    </row>
    <row r="361" spans="10:13">
      <c r="J361" s="327"/>
      <c r="M361" s="332"/>
    </row>
    <row r="362" spans="10:13">
      <c r="J362" s="327"/>
      <c r="M362" s="332"/>
    </row>
    <row r="363" spans="10:13">
      <c r="J363" s="327"/>
      <c r="M363" s="332"/>
    </row>
    <row r="364" spans="10:13">
      <c r="J364" s="327"/>
      <c r="M364" s="332"/>
    </row>
    <row r="365" spans="10:13">
      <c r="J365" s="327"/>
      <c r="M365" s="332"/>
    </row>
    <row r="366" spans="10:13">
      <c r="J366" s="327"/>
      <c r="M366" s="332"/>
    </row>
    <row r="367" spans="10:13">
      <c r="J367" s="327"/>
      <c r="M367" s="332"/>
    </row>
    <row r="368" spans="10:13">
      <c r="J368" s="327"/>
      <c r="M368" s="332"/>
    </row>
    <row r="369" spans="10:13">
      <c r="J369" s="327"/>
      <c r="M369" s="332"/>
    </row>
    <row r="370" spans="10:13">
      <c r="J370" s="327"/>
      <c r="M370" s="332"/>
    </row>
    <row r="371" spans="10:13">
      <c r="J371" s="327"/>
      <c r="M371" s="332"/>
    </row>
    <row r="372" spans="10:13">
      <c r="J372" s="327"/>
      <c r="M372" s="332"/>
    </row>
    <row r="373" spans="10:13">
      <c r="J373" s="327"/>
      <c r="M373" s="332"/>
    </row>
    <row r="374" spans="10:13">
      <c r="J374" s="327"/>
      <c r="M374" s="332"/>
    </row>
    <row r="375" spans="10:13">
      <c r="J375" s="327"/>
      <c r="M375" s="332"/>
    </row>
    <row r="376" spans="10:13">
      <c r="J376" s="327"/>
      <c r="M376" s="332"/>
    </row>
    <row r="377" spans="10:13">
      <c r="J377" s="327"/>
      <c r="M377" s="332"/>
    </row>
    <row r="378" spans="10:13">
      <c r="J378" s="327"/>
      <c r="M378" s="332"/>
    </row>
    <row r="379" spans="10:13">
      <c r="J379" s="327"/>
      <c r="M379" s="332"/>
    </row>
    <row r="380" spans="10:13">
      <c r="J380" s="327"/>
      <c r="M380" s="332"/>
    </row>
    <row r="381" spans="10:13">
      <c r="J381" s="327"/>
      <c r="M381" s="332"/>
    </row>
    <row r="382" spans="10:13">
      <c r="J382" s="327"/>
      <c r="M382" s="332"/>
    </row>
    <row r="383" spans="10:13">
      <c r="J383" s="327"/>
      <c r="M383" s="332"/>
    </row>
    <row r="384" spans="10:13">
      <c r="J384" s="327"/>
      <c r="M384" s="332"/>
    </row>
    <row r="385" spans="10:13">
      <c r="J385" s="327"/>
      <c r="M385" s="332"/>
    </row>
    <row r="386" spans="10:13">
      <c r="J386" s="327"/>
      <c r="M386" s="332"/>
    </row>
    <row r="387" spans="10:13">
      <c r="J387" s="327"/>
      <c r="M387" s="332"/>
    </row>
    <row r="388" spans="10:13">
      <c r="J388" s="327"/>
      <c r="M388" s="332"/>
    </row>
    <row r="389" spans="10:13">
      <c r="J389" s="327"/>
      <c r="M389" s="332"/>
    </row>
    <row r="390" spans="10:13">
      <c r="J390" s="327"/>
      <c r="M390" s="332"/>
    </row>
    <row r="391" spans="10:13">
      <c r="J391" s="327"/>
      <c r="M391" s="332"/>
    </row>
    <row r="392" spans="10:13">
      <c r="J392" s="327"/>
      <c r="M392" s="332"/>
    </row>
    <row r="393" spans="10:13">
      <c r="J393" s="327"/>
      <c r="M393" s="332"/>
    </row>
    <row r="394" spans="10:13">
      <c r="J394" s="327"/>
      <c r="M394" s="332"/>
    </row>
    <row r="395" spans="10:13">
      <c r="J395" s="327"/>
      <c r="M395" s="332"/>
    </row>
    <row r="396" spans="10:13">
      <c r="J396" s="327"/>
      <c r="M396" s="332"/>
    </row>
    <row r="397" spans="10:13">
      <c r="J397" s="327"/>
      <c r="M397" s="332"/>
    </row>
    <row r="398" spans="10:13">
      <c r="J398" s="327"/>
      <c r="M398" s="332"/>
    </row>
    <row r="399" spans="10:13">
      <c r="J399" s="327"/>
      <c r="M399" s="332"/>
    </row>
    <row r="400" spans="10:13">
      <c r="J400" s="327"/>
      <c r="M400" s="332"/>
    </row>
  </sheetData>
  <dataValidations count="2">
    <dataValidation type="list" allowBlank="1" showInputMessage="1" showErrorMessage="1" sqref="R6">
      <formula1>CurrentYear</formula1>
    </dataValidation>
    <dataValidation type="list" allowBlank="1" showInputMessage="1" showErrorMessage="1" sqref="R9 R12">
      <formula1>YesNo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B0F0"/>
  </sheetPr>
  <dimension ref="A1:BQ407"/>
  <sheetViews>
    <sheetView zoomScale="85" zoomScaleNormal="85" workbookViewId="0"/>
  </sheetViews>
  <sheetFormatPr defaultRowHeight="14.4"/>
  <cols>
    <col min="1" max="1" width="8.6640625" style="141" customWidth="1"/>
    <col min="2" max="2" width="35.33203125" style="141" bestFit="1" customWidth="1"/>
    <col min="3" max="3" width="8" style="141" bestFit="1" customWidth="1"/>
    <col min="4" max="4" width="4.109375" style="141" bestFit="1" customWidth="1"/>
    <col min="5" max="5" width="11.44140625" style="122" customWidth="1"/>
    <col min="6" max="7" width="10.5546875" style="122" bestFit="1" customWidth="1"/>
    <col min="8" max="9" width="9.5546875" style="122" bestFit="1" customWidth="1"/>
    <col min="10" max="10" width="18.6640625" style="122" customWidth="1"/>
    <col min="11" max="12" width="18.6640625" style="134" customWidth="1"/>
    <col min="13" max="13" width="18.6640625" style="122" customWidth="1"/>
    <col min="14" max="15" width="10.88671875" style="122" bestFit="1" customWidth="1"/>
    <col min="16" max="16" width="14.33203125" style="122" bestFit="1" customWidth="1"/>
    <col min="17" max="17" width="14.33203125" style="133" bestFit="1" customWidth="1"/>
    <col min="18" max="18" width="11.44140625" style="122" bestFit="1" customWidth="1"/>
    <col min="19" max="19" width="14.33203125" style="122" bestFit="1" customWidth="1"/>
    <col min="20" max="20" width="16.5546875" style="135" customWidth="1" collapsed="1"/>
    <col min="21" max="21" width="16.5546875" style="135" customWidth="1"/>
    <col min="22" max="23" width="16.5546875" style="154" customWidth="1"/>
    <col min="24" max="25" width="13.33203125" style="154" customWidth="1"/>
    <col min="26" max="26" width="13.33203125" style="122" customWidth="1"/>
    <col min="27" max="27" width="11.6640625" style="122" bestFit="1" customWidth="1" collapsed="1"/>
    <col min="28" max="29" width="11.6640625" style="122" bestFit="1" customWidth="1"/>
    <col min="30" max="30" width="11" style="141" bestFit="1" customWidth="1"/>
    <col min="31" max="33" width="11" style="141" customWidth="1"/>
    <col min="34" max="35" width="14.33203125" style="141" bestFit="1" customWidth="1"/>
    <col min="36" max="41" width="11" style="122" customWidth="1"/>
    <col min="42" max="42" width="11" style="122" customWidth="1" collapsed="1"/>
    <col min="43" max="46" width="8.109375" style="122" bestFit="1" customWidth="1"/>
    <col min="47" max="48" width="9" style="122" bestFit="1" customWidth="1"/>
    <col min="49" max="49" width="10" style="122" bestFit="1" customWidth="1"/>
    <col min="50" max="50" width="9.109375" style="122"/>
    <col min="51" max="59" width="13.6640625" style="122" customWidth="1"/>
    <col min="60" max="255" width="9.109375" style="122"/>
    <col min="256" max="256" width="0" style="122" hidden="1" customWidth="1"/>
    <col min="257" max="257" width="9.109375" style="122"/>
    <col min="258" max="258" width="28.109375" style="122" customWidth="1"/>
    <col min="259" max="260" width="0" style="122" hidden="1" customWidth="1"/>
    <col min="261" max="267" width="11" style="122" customWidth="1"/>
    <col min="268" max="269" width="0" style="122" hidden="1" customWidth="1"/>
    <col min="270" max="271" width="11" style="122" customWidth="1"/>
    <col min="272" max="273" width="0" style="122" hidden="1" customWidth="1"/>
    <col min="274" max="274" width="11" style="122" customWidth="1"/>
    <col min="275" max="275" width="16.5546875" style="122" customWidth="1"/>
    <col min="276" max="279" width="11" style="122" customWidth="1"/>
    <col min="280" max="281" width="11.109375" style="122" customWidth="1"/>
    <col min="282" max="305" width="11" style="122" customWidth="1"/>
    <col min="306" max="511" width="9.109375" style="122"/>
    <col min="512" max="512" width="0" style="122" hidden="1" customWidth="1"/>
    <col min="513" max="513" width="9.109375" style="122"/>
    <col min="514" max="514" width="28.109375" style="122" customWidth="1"/>
    <col min="515" max="516" width="0" style="122" hidden="1" customWidth="1"/>
    <col min="517" max="523" width="11" style="122" customWidth="1"/>
    <col min="524" max="525" width="0" style="122" hidden="1" customWidth="1"/>
    <col min="526" max="527" width="11" style="122" customWidth="1"/>
    <col min="528" max="529" width="0" style="122" hidden="1" customWidth="1"/>
    <col min="530" max="530" width="11" style="122" customWidth="1"/>
    <col min="531" max="531" width="16.5546875" style="122" customWidth="1"/>
    <col min="532" max="535" width="11" style="122" customWidth="1"/>
    <col min="536" max="537" width="11.109375" style="122" customWidth="1"/>
    <col min="538" max="561" width="11" style="122" customWidth="1"/>
    <col min="562" max="767" width="9.109375" style="122"/>
    <col min="768" max="768" width="0" style="122" hidden="1" customWidth="1"/>
    <col min="769" max="769" width="9.109375" style="122"/>
    <col min="770" max="770" width="28.109375" style="122" customWidth="1"/>
    <col min="771" max="772" width="0" style="122" hidden="1" customWidth="1"/>
    <col min="773" max="779" width="11" style="122" customWidth="1"/>
    <col min="780" max="781" width="0" style="122" hidden="1" customWidth="1"/>
    <col min="782" max="783" width="11" style="122" customWidth="1"/>
    <col min="784" max="785" width="0" style="122" hidden="1" customWidth="1"/>
    <col min="786" max="786" width="11" style="122" customWidth="1"/>
    <col min="787" max="787" width="16.5546875" style="122" customWidth="1"/>
    <col min="788" max="791" width="11" style="122" customWidth="1"/>
    <col min="792" max="793" width="11.109375" style="122" customWidth="1"/>
    <col min="794" max="817" width="11" style="122" customWidth="1"/>
    <col min="818" max="1023" width="9.109375" style="122"/>
    <col min="1024" max="1024" width="0" style="122" hidden="1" customWidth="1"/>
    <col min="1025" max="1025" width="9.109375" style="122"/>
    <col min="1026" max="1026" width="28.109375" style="122" customWidth="1"/>
    <col min="1027" max="1028" width="0" style="122" hidden="1" customWidth="1"/>
    <col min="1029" max="1035" width="11" style="122" customWidth="1"/>
    <col min="1036" max="1037" width="0" style="122" hidden="1" customWidth="1"/>
    <col min="1038" max="1039" width="11" style="122" customWidth="1"/>
    <col min="1040" max="1041" width="0" style="122" hidden="1" customWidth="1"/>
    <col min="1042" max="1042" width="11" style="122" customWidth="1"/>
    <col min="1043" max="1043" width="16.5546875" style="122" customWidth="1"/>
    <col min="1044" max="1047" width="11" style="122" customWidth="1"/>
    <col min="1048" max="1049" width="11.109375" style="122" customWidth="1"/>
    <col min="1050" max="1073" width="11" style="122" customWidth="1"/>
    <col min="1074" max="1279" width="9.109375" style="122"/>
    <col min="1280" max="1280" width="0" style="122" hidden="1" customWidth="1"/>
    <col min="1281" max="1281" width="9.109375" style="122"/>
    <col min="1282" max="1282" width="28.109375" style="122" customWidth="1"/>
    <col min="1283" max="1284" width="0" style="122" hidden="1" customWidth="1"/>
    <col min="1285" max="1291" width="11" style="122" customWidth="1"/>
    <col min="1292" max="1293" width="0" style="122" hidden="1" customWidth="1"/>
    <col min="1294" max="1295" width="11" style="122" customWidth="1"/>
    <col min="1296" max="1297" width="0" style="122" hidden="1" customWidth="1"/>
    <col min="1298" max="1298" width="11" style="122" customWidth="1"/>
    <col min="1299" max="1299" width="16.5546875" style="122" customWidth="1"/>
    <col min="1300" max="1303" width="11" style="122" customWidth="1"/>
    <col min="1304" max="1305" width="11.109375" style="122" customWidth="1"/>
    <col min="1306" max="1329" width="11" style="122" customWidth="1"/>
    <col min="1330" max="1535" width="9.109375" style="122"/>
    <col min="1536" max="1536" width="0" style="122" hidden="1" customWidth="1"/>
    <col min="1537" max="1537" width="9.109375" style="122"/>
    <col min="1538" max="1538" width="28.109375" style="122" customWidth="1"/>
    <col min="1539" max="1540" width="0" style="122" hidden="1" customWidth="1"/>
    <col min="1541" max="1547" width="11" style="122" customWidth="1"/>
    <col min="1548" max="1549" width="0" style="122" hidden="1" customWidth="1"/>
    <col min="1550" max="1551" width="11" style="122" customWidth="1"/>
    <col min="1552" max="1553" width="0" style="122" hidden="1" customWidth="1"/>
    <col min="1554" max="1554" width="11" style="122" customWidth="1"/>
    <col min="1555" max="1555" width="16.5546875" style="122" customWidth="1"/>
    <col min="1556" max="1559" width="11" style="122" customWidth="1"/>
    <col min="1560" max="1561" width="11.109375" style="122" customWidth="1"/>
    <col min="1562" max="1585" width="11" style="122" customWidth="1"/>
    <col min="1586" max="1791" width="9.109375" style="122"/>
    <col min="1792" max="1792" width="0" style="122" hidden="1" customWidth="1"/>
    <col min="1793" max="1793" width="9.109375" style="122"/>
    <col min="1794" max="1794" width="28.109375" style="122" customWidth="1"/>
    <col min="1795" max="1796" width="0" style="122" hidden="1" customWidth="1"/>
    <col min="1797" max="1803" width="11" style="122" customWidth="1"/>
    <col min="1804" max="1805" width="0" style="122" hidden="1" customWidth="1"/>
    <col min="1806" max="1807" width="11" style="122" customWidth="1"/>
    <col min="1808" max="1809" width="0" style="122" hidden="1" customWidth="1"/>
    <col min="1810" max="1810" width="11" style="122" customWidth="1"/>
    <col min="1811" max="1811" width="16.5546875" style="122" customWidth="1"/>
    <col min="1812" max="1815" width="11" style="122" customWidth="1"/>
    <col min="1816" max="1817" width="11.109375" style="122" customWidth="1"/>
    <col min="1818" max="1841" width="11" style="122" customWidth="1"/>
    <col min="1842" max="2047" width="9.109375" style="122"/>
    <col min="2048" max="2048" width="0" style="122" hidden="1" customWidth="1"/>
    <col min="2049" max="2049" width="9.109375" style="122"/>
    <col min="2050" max="2050" width="28.109375" style="122" customWidth="1"/>
    <col min="2051" max="2052" width="0" style="122" hidden="1" customWidth="1"/>
    <col min="2053" max="2059" width="11" style="122" customWidth="1"/>
    <col min="2060" max="2061" width="0" style="122" hidden="1" customWidth="1"/>
    <col min="2062" max="2063" width="11" style="122" customWidth="1"/>
    <col min="2064" max="2065" width="0" style="122" hidden="1" customWidth="1"/>
    <col min="2066" max="2066" width="11" style="122" customWidth="1"/>
    <col min="2067" max="2067" width="16.5546875" style="122" customWidth="1"/>
    <col min="2068" max="2071" width="11" style="122" customWidth="1"/>
    <col min="2072" max="2073" width="11.109375" style="122" customWidth="1"/>
    <col min="2074" max="2097" width="11" style="122" customWidth="1"/>
    <col min="2098" max="2303" width="9.109375" style="122"/>
    <col min="2304" max="2304" width="0" style="122" hidden="1" customWidth="1"/>
    <col min="2305" max="2305" width="9.109375" style="122"/>
    <col min="2306" max="2306" width="28.109375" style="122" customWidth="1"/>
    <col min="2307" max="2308" width="0" style="122" hidden="1" customWidth="1"/>
    <col min="2309" max="2315" width="11" style="122" customWidth="1"/>
    <col min="2316" max="2317" width="0" style="122" hidden="1" customWidth="1"/>
    <col min="2318" max="2319" width="11" style="122" customWidth="1"/>
    <col min="2320" max="2321" width="0" style="122" hidden="1" customWidth="1"/>
    <col min="2322" max="2322" width="11" style="122" customWidth="1"/>
    <col min="2323" max="2323" width="16.5546875" style="122" customWidth="1"/>
    <col min="2324" max="2327" width="11" style="122" customWidth="1"/>
    <col min="2328" max="2329" width="11.109375" style="122" customWidth="1"/>
    <col min="2330" max="2353" width="11" style="122" customWidth="1"/>
    <col min="2354" max="2559" width="9.109375" style="122"/>
    <col min="2560" max="2560" width="0" style="122" hidden="1" customWidth="1"/>
    <col min="2561" max="2561" width="9.109375" style="122"/>
    <col min="2562" max="2562" width="28.109375" style="122" customWidth="1"/>
    <col min="2563" max="2564" width="0" style="122" hidden="1" customWidth="1"/>
    <col min="2565" max="2571" width="11" style="122" customWidth="1"/>
    <col min="2572" max="2573" width="0" style="122" hidden="1" customWidth="1"/>
    <col min="2574" max="2575" width="11" style="122" customWidth="1"/>
    <col min="2576" max="2577" width="0" style="122" hidden="1" customWidth="1"/>
    <col min="2578" max="2578" width="11" style="122" customWidth="1"/>
    <col min="2579" max="2579" width="16.5546875" style="122" customWidth="1"/>
    <col min="2580" max="2583" width="11" style="122" customWidth="1"/>
    <col min="2584" max="2585" width="11.109375" style="122" customWidth="1"/>
    <col min="2586" max="2609" width="11" style="122" customWidth="1"/>
    <col min="2610" max="2815" width="9.109375" style="122"/>
    <col min="2816" max="2816" width="0" style="122" hidden="1" customWidth="1"/>
    <col min="2817" max="2817" width="9.109375" style="122"/>
    <col min="2818" max="2818" width="28.109375" style="122" customWidth="1"/>
    <col min="2819" max="2820" width="0" style="122" hidden="1" customWidth="1"/>
    <col min="2821" max="2827" width="11" style="122" customWidth="1"/>
    <col min="2828" max="2829" width="0" style="122" hidden="1" customWidth="1"/>
    <col min="2830" max="2831" width="11" style="122" customWidth="1"/>
    <col min="2832" max="2833" width="0" style="122" hidden="1" customWidth="1"/>
    <col min="2834" max="2834" width="11" style="122" customWidth="1"/>
    <col min="2835" max="2835" width="16.5546875" style="122" customWidth="1"/>
    <col min="2836" max="2839" width="11" style="122" customWidth="1"/>
    <col min="2840" max="2841" width="11.109375" style="122" customWidth="1"/>
    <col min="2842" max="2865" width="11" style="122" customWidth="1"/>
    <col min="2866" max="3071" width="9.109375" style="122"/>
    <col min="3072" max="3072" width="0" style="122" hidden="1" customWidth="1"/>
    <col min="3073" max="3073" width="9.109375" style="122"/>
    <col min="3074" max="3074" width="28.109375" style="122" customWidth="1"/>
    <col min="3075" max="3076" width="0" style="122" hidden="1" customWidth="1"/>
    <col min="3077" max="3083" width="11" style="122" customWidth="1"/>
    <col min="3084" max="3085" width="0" style="122" hidden="1" customWidth="1"/>
    <col min="3086" max="3087" width="11" style="122" customWidth="1"/>
    <col min="3088" max="3089" width="0" style="122" hidden="1" customWidth="1"/>
    <col min="3090" max="3090" width="11" style="122" customWidth="1"/>
    <col min="3091" max="3091" width="16.5546875" style="122" customWidth="1"/>
    <col min="3092" max="3095" width="11" style="122" customWidth="1"/>
    <col min="3096" max="3097" width="11.109375" style="122" customWidth="1"/>
    <col min="3098" max="3121" width="11" style="122" customWidth="1"/>
    <col min="3122" max="3327" width="9.109375" style="122"/>
    <col min="3328" max="3328" width="0" style="122" hidden="1" customWidth="1"/>
    <col min="3329" max="3329" width="9.109375" style="122"/>
    <col min="3330" max="3330" width="28.109375" style="122" customWidth="1"/>
    <col min="3331" max="3332" width="0" style="122" hidden="1" customWidth="1"/>
    <col min="3333" max="3339" width="11" style="122" customWidth="1"/>
    <col min="3340" max="3341" width="0" style="122" hidden="1" customWidth="1"/>
    <col min="3342" max="3343" width="11" style="122" customWidth="1"/>
    <col min="3344" max="3345" width="0" style="122" hidden="1" customWidth="1"/>
    <col min="3346" max="3346" width="11" style="122" customWidth="1"/>
    <col min="3347" max="3347" width="16.5546875" style="122" customWidth="1"/>
    <col min="3348" max="3351" width="11" style="122" customWidth="1"/>
    <col min="3352" max="3353" width="11.109375" style="122" customWidth="1"/>
    <col min="3354" max="3377" width="11" style="122" customWidth="1"/>
    <col min="3378" max="3583" width="9.109375" style="122"/>
    <col min="3584" max="3584" width="0" style="122" hidden="1" customWidth="1"/>
    <col min="3585" max="3585" width="9.109375" style="122"/>
    <col min="3586" max="3586" width="28.109375" style="122" customWidth="1"/>
    <col min="3587" max="3588" width="0" style="122" hidden="1" customWidth="1"/>
    <col min="3589" max="3595" width="11" style="122" customWidth="1"/>
    <col min="3596" max="3597" width="0" style="122" hidden="1" customWidth="1"/>
    <col min="3598" max="3599" width="11" style="122" customWidth="1"/>
    <col min="3600" max="3601" width="0" style="122" hidden="1" customWidth="1"/>
    <col min="3602" max="3602" width="11" style="122" customWidth="1"/>
    <col min="3603" max="3603" width="16.5546875" style="122" customWidth="1"/>
    <col min="3604" max="3607" width="11" style="122" customWidth="1"/>
    <col min="3608" max="3609" width="11.109375" style="122" customWidth="1"/>
    <col min="3610" max="3633" width="11" style="122" customWidth="1"/>
    <col min="3634" max="3839" width="9.109375" style="122"/>
    <col min="3840" max="3840" width="0" style="122" hidden="1" customWidth="1"/>
    <col min="3841" max="3841" width="9.109375" style="122"/>
    <col min="3842" max="3842" width="28.109375" style="122" customWidth="1"/>
    <col min="3843" max="3844" width="0" style="122" hidden="1" customWidth="1"/>
    <col min="3845" max="3851" width="11" style="122" customWidth="1"/>
    <col min="3852" max="3853" width="0" style="122" hidden="1" customWidth="1"/>
    <col min="3854" max="3855" width="11" style="122" customWidth="1"/>
    <col min="3856" max="3857" width="0" style="122" hidden="1" customWidth="1"/>
    <col min="3858" max="3858" width="11" style="122" customWidth="1"/>
    <col min="3859" max="3859" width="16.5546875" style="122" customWidth="1"/>
    <col min="3860" max="3863" width="11" style="122" customWidth="1"/>
    <col min="3864" max="3865" width="11.109375" style="122" customWidth="1"/>
    <col min="3866" max="3889" width="11" style="122" customWidth="1"/>
    <col min="3890" max="4095" width="9.109375" style="122"/>
    <col min="4096" max="4096" width="0" style="122" hidden="1" customWidth="1"/>
    <col min="4097" max="4097" width="9.109375" style="122"/>
    <col min="4098" max="4098" width="28.109375" style="122" customWidth="1"/>
    <col min="4099" max="4100" width="0" style="122" hidden="1" customWidth="1"/>
    <col min="4101" max="4107" width="11" style="122" customWidth="1"/>
    <col min="4108" max="4109" width="0" style="122" hidden="1" customWidth="1"/>
    <col min="4110" max="4111" width="11" style="122" customWidth="1"/>
    <col min="4112" max="4113" width="0" style="122" hidden="1" customWidth="1"/>
    <col min="4114" max="4114" width="11" style="122" customWidth="1"/>
    <col min="4115" max="4115" width="16.5546875" style="122" customWidth="1"/>
    <col min="4116" max="4119" width="11" style="122" customWidth="1"/>
    <col min="4120" max="4121" width="11.109375" style="122" customWidth="1"/>
    <col min="4122" max="4145" width="11" style="122" customWidth="1"/>
    <col min="4146" max="4351" width="9.109375" style="122"/>
    <col min="4352" max="4352" width="0" style="122" hidden="1" customWidth="1"/>
    <col min="4353" max="4353" width="9.109375" style="122"/>
    <col min="4354" max="4354" width="28.109375" style="122" customWidth="1"/>
    <col min="4355" max="4356" width="0" style="122" hidden="1" customWidth="1"/>
    <col min="4357" max="4363" width="11" style="122" customWidth="1"/>
    <col min="4364" max="4365" width="0" style="122" hidden="1" customWidth="1"/>
    <col min="4366" max="4367" width="11" style="122" customWidth="1"/>
    <col min="4368" max="4369" width="0" style="122" hidden="1" customWidth="1"/>
    <col min="4370" max="4370" width="11" style="122" customWidth="1"/>
    <col min="4371" max="4371" width="16.5546875" style="122" customWidth="1"/>
    <col min="4372" max="4375" width="11" style="122" customWidth="1"/>
    <col min="4376" max="4377" width="11.109375" style="122" customWidth="1"/>
    <col min="4378" max="4401" width="11" style="122" customWidth="1"/>
    <col min="4402" max="4607" width="9.109375" style="122"/>
    <col min="4608" max="4608" width="0" style="122" hidden="1" customWidth="1"/>
    <col min="4609" max="4609" width="9.109375" style="122"/>
    <col min="4610" max="4610" width="28.109375" style="122" customWidth="1"/>
    <col min="4611" max="4612" width="0" style="122" hidden="1" customWidth="1"/>
    <col min="4613" max="4619" width="11" style="122" customWidth="1"/>
    <col min="4620" max="4621" width="0" style="122" hidden="1" customWidth="1"/>
    <col min="4622" max="4623" width="11" style="122" customWidth="1"/>
    <col min="4624" max="4625" width="0" style="122" hidden="1" customWidth="1"/>
    <col min="4626" max="4626" width="11" style="122" customWidth="1"/>
    <col min="4627" max="4627" width="16.5546875" style="122" customWidth="1"/>
    <col min="4628" max="4631" width="11" style="122" customWidth="1"/>
    <col min="4632" max="4633" width="11.109375" style="122" customWidth="1"/>
    <col min="4634" max="4657" width="11" style="122" customWidth="1"/>
    <col min="4658" max="4863" width="9.109375" style="122"/>
    <col min="4864" max="4864" width="0" style="122" hidden="1" customWidth="1"/>
    <col min="4865" max="4865" width="9.109375" style="122"/>
    <col min="4866" max="4866" width="28.109375" style="122" customWidth="1"/>
    <col min="4867" max="4868" width="0" style="122" hidden="1" customWidth="1"/>
    <col min="4869" max="4875" width="11" style="122" customWidth="1"/>
    <col min="4876" max="4877" width="0" style="122" hidden="1" customWidth="1"/>
    <col min="4878" max="4879" width="11" style="122" customWidth="1"/>
    <col min="4880" max="4881" width="0" style="122" hidden="1" customWidth="1"/>
    <col min="4882" max="4882" width="11" style="122" customWidth="1"/>
    <col min="4883" max="4883" width="16.5546875" style="122" customWidth="1"/>
    <col min="4884" max="4887" width="11" style="122" customWidth="1"/>
    <col min="4888" max="4889" width="11.109375" style="122" customWidth="1"/>
    <col min="4890" max="4913" width="11" style="122" customWidth="1"/>
    <col min="4914" max="5119" width="9.109375" style="122"/>
    <col min="5120" max="5120" width="0" style="122" hidden="1" customWidth="1"/>
    <col min="5121" max="5121" width="9.109375" style="122"/>
    <col min="5122" max="5122" width="28.109375" style="122" customWidth="1"/>
    <col min="5123" max="5124" width="0" style="122" hidden="1" customWidth="1"/>
    <col min="5125" max="5131" width="11" style="122" customWidth="1"/>
    <col min="5132" max="5133" width="0" style="122" hidden="1" customWidth="1"/>
    <col min="5134" max="5135" width="11" style="122" customWidth="1"/>
    <col min="5136" max="5137" width="0" style="122" hidden="1" customWidth="1"/>
    <col min="5138" max="5138" width="11" style="122" customWidth="1"/>
    <col min="5139" max="5139" width="16.5546875" style="122" customWidth="1"/>
    <col min="5140" max="5143" width="11" style="122" customWidth="1"/>
    <col min="5144" max="5145" width="11.109375" style="122" customWidth="1"/>
    <col min="5146" max="5169" width="11" style="122" customWidth="1"/>
    <col min="5170" max="5375" width="9.109375" style="122"/>
    <col min="5376" max="5376" width="0" style="122" hidden="1" customWidth="1"/>
    <col min="5377" max="5377" width="9.109375" style="122"/>
    <col min="5378" max="5378" width="28.109375" style="122" customWidth="1"/>
    <col min="5379" max="5380" width="0" style="122" hidden="1" customWidth="1"/>
    <col min="5381" max="5387" width="11" style="122" customWidth="1"/>
    <col min="5388" max="5389" width="0" style="122" hidden="1" customWidth="1"/>
    <col min="5390" max="5391" width="11" style="122" customWidth="1"/>
    <col min="5392" max="5393" width="0" style="122" hidden="1" customWidth="1"/>
    <col min="5394" max="5394" width="11" style="122" customWidth="1"/>
    <col min="5395" max="5395" width="16.5546875" style="122" customWidth="1"/>
    <col min="5396" max="5399" width="11" style="122" customWidth="1"/>
    <col min="5400" max="5401" width="11.109375" style="122" customWidth="1"/>
    <col min="5402" max="5425" width="11" style="122" customWidth="1"/>
    <col min="5426" max="5631" width="9.109375" style="122"/>
    <col min="5632" max="5632" width="0" style="122" hidden="1" customWidth="1"/>
    <col min="5633" max="5633" width="9.109375" style="122"/>
    <col min="5634" max="5634" width="28.109375" style="122" customWidth="1"/>
    <col min="5635" max="5636" width="0" style="122" hidden="1" customWidth="1"/>
    <col min="5637" max="5643" width="11" style="122" customWidth="1"/>
    <col min="5644" max="5645" width="0" style="122" hidden="1" customWidth="1"/>
    <col min="5646" max="5647" width="11" style="122" customWidth="1"/>
    <col min="5648" max="5649" width="0" style="122" hidden="1" customWidth="1"/>
    <col min="5650" max="5650" width="11" style="122" customWidth="1"/>
    <col min="5651" max="5651" width="16.5546875" style="122" customWidth="1"/>
    <col min="5652" max="5655" width="11" style="122" customWidth="1"/>
    <col min="5656" max="5657" width="11.109375" style="122" customWidth="1"/>
    <col min="5658" max="5681" width="11" style="122" customWidth="1"/>
    <col min="5682" max="5887" width="9.109375" style="122"/>
    <col min="5888" max="5888" width="0" style="122" hidden="1" customWidth="1"/>
    <col min="5889" max="5889" width="9.109375" style="122"/>
    <col min="5890" max="5890" width="28.109375" style="122" customWidth="1"/>
    <col min="5891" max="5892" width="0" style="122" hidden="1" customWidth="1"/>
    <col min="5893" max="5899" width="11" style="122" customWidth="1"/>
    <col min="5900" max="5901" width="0" style="122" hidden="1" customWidth="1"/>
    <col min="5902" max="5903" width="11" style="122" customWidth="1"/>
    <col min="5904" max="5905" width="0" style="122" hidden="1" customWidth="1"/>
    <col min="5906" max="5906" width="11" style="122" customWidth="1"/>
    <col min="5907" max="5907" width="16.5546875" style="122" customWidth="1"/>
    <col min="5908" max="5911" width="11" style="122" customWidth="1"/>
    <col min="5912" max="5913" width="11.109375" style="122" customWidth="1"/>
    <col min="5914" max="5937" width="11" style="122" customWidth="1"/>
    <col min="5938" max="6143" width="9.109375" style="122"/>
    <col min="6144" max="6144" width="0" style="122" hidden="1" customWidth="1"/>
    <col min="6145" max="6145" width="9.109375" style="122"/>
    <col min="6146" max="6146" width="28.109375" style="122" customWidth="1"/>
    <col min="6147" max="6148" width="0" style="122" hidden="1" customWidth="1"/>
    <col min="6149" max="6155" width="11" style="122" customWidth="1"/>
    <col min="6156" max="6157" width="0" style="122" hidden="1" customWidth="1"/>
    <col min="6158" max="6159" width="11" style="122" customWidth="1"/>
    <col min="6160" max="6161" width="0" style="122" hidden="1" customWidth="1"/>
    <col min="6162" max="6162" width="11" style="122" customWidth="1"/>
    <col min="6163" max="6163" width="16.5546875" style="122" customWidth="1"/>
    <col min="6164" max="6167" width="11" style="122" customWidth="1"/>
    <col min="6168" max="6169" width="11.109375" style="122" customWidth="1"/>
    <col min="6170" max="6193" width="11" style="122" customWidth="1"/>
    <col min="6194" max="6399" width="9.109375" style="122"/>
    <col min="6400" max="6400" width="0" style="122" hidden="1" customWidth="1"/>
    <col min="6401" max="6401" width="9.109375" style="122"/>
    <col min="6402" max="6402" width="28.109375" style="122" customWidth="1"/>
    <col min="6403" max="6404" width="0" style="122" hidden="1" customWidth="1"/>
    <col min="6405" max="6411" width="11" style="122" customWidth="1"/>
    <col min="6412" max="6413" width="0" style="122" hidden="1" customWidth="1"/>
    <col min="6414" max="6415" width="11" style="122" customWidth="1"/>
    <col min="6416" max="6417" width="0" style="122" hidden="1" customWidth="1"/>
    <col min="6418" max="6418" width="11" style="122" customWidth="1"/>
    <col min="6419" max="6419" width="16.5546875" style="122" customWidth="1"/>
    <col min="6420" max="6423" width="11" style="122" customWidth="1"/>
    <col min="6424" max="6425" width="11.109375" style="122" customWidth="1"/>
    <col min="6426" max="6449" width="11" style="122" customWidth="1"/>
    <col min="6450" max="6655" width="9.109375" style="122"/>
    <col min="6656" max="6656" width="0" style="122" hidden="1" customWidth="1"/>
    <col min="6657" max="6657" width="9.109375" style="122"/>
    <col min="6658" max="6658" width="28.109375" style="122" customWidth="1"/>
    <col min="6659" max="6660" width="0" style="122" hidden="1" customWidth="1"/>
    <col min="6661" max="6667" width="11" style="122" customWidth="1"/>
    <col min="6668" max="6669" width="0" style="122" hidden="1" customWidth="1"/>
    <col min="6670" max="6671" width="11" style="122" customWidth="1"/>
    <col min="6672" max="6673" width="0" style="122" hidden="1" customWidth="1"/>
    <col min="6674" max="6674" width="11" style="122" customWidth="1"/>
    <col min="6675" max="6675" width="16.5546875" style="122" customWidth="1"/>
    <col min="6676" max="6679" width="11" style="122" customWidth="1"/>
    <col min="6680" max="6681" width="11.109375" style="122" customWidth="1"/>
    <col min="6682" max="6705" width="11" style="122" customWidth="1"/>
    <col min="6706" max="6911" width="9.109375" style="122"/>
    <col min="6912" max="6912" width="0" style="122" hidden="1" customWidth="1"/>
    <col min="6913" max="6913" width="9.109375" style="122"/>
    <col min="6914" max="6914" width="28.109375" style="122" customWidth="1"/>
    <col min="6915" max="6916" width="0" style="122" hidden="1" customWidth="1"/>
    <col min="6917" max="6923" width="11" style="122" customWidth="1"/>
    <col min="6924" max="6925" width="0" style="122" hidden="1" customWidth="1"/>
    <col min="6926" max="6927" width="11" style="122" customWidth="1"/>
    <col min="6928" max="6929" width="0" style="122" hidden="1" customWidth="1"/>
    <col min="6930" max="6930" width="11" style="122" customWidth="1"/>
    <col min="6931" max="6931" width="16.5546875" style="122" customWidth="1"/>
    <col min="6932" max="6935" width="11" style="122" customWidth="1"/>
    <col min="6936" max="6937" width="11.109375" style="122" customWidth="1"/>
    <col min="6938" max="6961" width="11" style="122" customWidth="1"/>
    <col min="6962" max="7167" width="9.109375" style="122"/>
    <col min="7168" max="7168" width="0" style="122" hidden="1" customWidth="1"/>
    <col min="7169" max="7169" width="9.109375" style="122"/>
    <col min="7170" max="7170" width="28.109375" style="122" customWidth="1"/>
    <col min="7171" max="7172" width="0" style="122" hidden="1" customWidth="1"/>
    <col min="7173" max="7179" width="11" style="122" customWidth="1"/>
    <col min="7180" max="7181" width="0" style="122" hidden="1" customWidth="1"/>
    <col min="7182" max="7183" width="11" style="122" customWidth="1"/>
    <col min="7184" max="7185" width="0" style="122" hidden="1" customWidth="1"/>
    <col min="7186" max="7186" width="11" style="122" customWidth="1"/>
    <col min="7187" max="7187" width="16.5546875" style="122" customWidth="1"/>
    <col min="7188" max="7191" width="11" style="122" customWidth="1"/>
    <col min="7192" max="7193" width="11.109375" style="122" customWidth="1"/>
    <col min="7194" max="7217" width="11" style="122" customWidth="1"/>
    <col min="7218" max="7423" width="9.109375" style="122"/>
    <col min="7424" max="7424" width="0" style="122" hidden="1" customWidth="1"/>
    <col min="7425" max="7425" width="9.109375" style="122"/>
    <col min="7426" max="7426" width="28.109375" style="122" customWidth="1"/>
    <col min="7427" max="7428" width="0" style="122" hidden="1" customWidth="1"/>
    <col min="7429" max="7435" width="11" style="122" customWidth="1"/>
    <col min="7436" max="7437" width="0" style="122" hidden="1" customWidth="1"/>
    <col min="7438" max="7439" width="11" style="122" customWidth="1"/>
    <col min="7440" max="7441" width="0" style="122" hidden="1" customWidth="1"/>
    <col min="7442" max="7442" width="11" style="122" customWidth="1"/>
    <col min="7443" max="7443" width="16.5546875" style="122" customWidth="1"/>
    <col min="7444" max="7447" width="11" style="122" customWidth="1"/>
    <col min="7448" max="7449" width="11.109375" style="122" customWidth="1"/>
    <col min="7450" max="7473" width="11" style="122" customWidth="1"/>
    <col min="7474" max="7679" width="9.109375" style="122"/>
    <col min="7680" max="7680" width="0" style="122" hidden="1" customWidth="1"/>
    <col min="7681" max="7681" width="9.109375" style="122"/>
    <col min="7682" max="7682" width="28.109375" style="122" customWidth="1"/>
    <col min="7683" max="7684" width="0" style="122" hidden="1" customWidth="1"/>
    <col min="7685" max="7691" width="11" style="122" customWidth="1"/>
    <col min="7692" max="7693" width="0" style="122" hidden="1" customWidth="1"/>
    <col min="7694" max="7695" width="11" style="122" customWidth="1"/>
    <col min="7696" max="7697" width="0" style="122" hidden="1" customWidth="1"/>
    <col min="7698" max="7698" width="11" style="122" customWidth="1"/>
    <col min="7699" max="7699" width="16.5546875" style="122" customWidth="1"/>
    <col min="7700" max="7703" width="11" style="122" customWidth="1"/>
    <col min="7704" max="7705" width="11.109375" style="122" customWidth="1"/>
    <col min="7706" max="7729" width="11" style="122" customWidth="1"/>
    <col min="7730" max="7935" width="9.109375" style="122"/>
    <col min="7936" max="7936" width="0" style="122" hidden="1" customWidth="1"/>
    <col min="7937" max="7937" width="9.109375" style="122"/>
    <col min="7938" max="7938" width="28.109375" style="122" customWidth="1"/>
    <col min="7939" max="7940" width="0" style="122" hidden="1" customWidth="1"/>
    <col min="7941" max="7947" width="11" style="122" customWidth="1"/>
    <col min="7948" max="7949" width="0" style="122" hidden="1" customWidth="1"/>
    <col min="7950" max="7951" width="11" style="122" customWidth="1"/>
    <col min="7952" max="7953" width="0" style="122" hidden="1" customWidth="1"/>
    <col min="7954" max="7954" width="11" style="122" customWidth="1"/>
    <col min="7955" max="7955" width="16.5546875" style="122" customWidth="1"/>
    <col min="7956" max="7959" width="11" style="122" customWidth="1"/>
    <col min="7960" max="7961" width="11.109375" style="122" customWidth="1"/>
    <col min="7962" max="7985" width="11" style="122" customWidth="1"/>
    <col min="7986" max="8191" width="9.109375" style="122"/>
    <col min="8192" max="8192" width="0" style="122" hidden="1" customWidth="1"/>
    <col min="8193" max="8193" width="9.109375" style="122"/>
    <col min="8194" max="8194" width="28.109375" style="122" customWidth="1"/>
    <col min="8195" max="8196" width="0" style="122" hidden="1" customWidth="1"/>
    <col min="8197" max="8203" width="11" style="122" customWidth="1"/>
    <col min="8204" max="8205" width="0" style="122" hidden="1" customWidth="1"/>
    <col min="8206" max="8207" width="11" style="122" customWidth="1"/>
    <col min="8208" max="8209" width="0" style="122" hidden="1" customWidth="1"/>
    <col min="8210" max="8210" width="11" style="122" customWidth="1"/>
    <col min="8211" max="8211" width="16.5546875" style="122" customWidth="1"/>
    <col min="8212" max="8215" width="11" style="122" customWidth="1"/>
    <col min="8216" max="8217" width="11.109375" style="122" customWidth="1"/>
    <col min="8218" max="8241" width="11" style="122" customWidth="1"/>
    <col min="8242" max="8447" width="9.109375" style="122"/>
    <col min="8448" max="8448" width="0" style="122" hidden="1" customWidth="1"/>
    <col min="8449" max="8449" width="9.109375" style="122"/>
    <col min="8450" max="8450" width="28.109375" style="122" customWidth="1"/>
    <col min="8451" max="8452" width="0" style="122" hidden="1" customWidth="1"/>
    <col min="8453" max="8459" width="11" style="122" customWidth="1"/>
    <col min="8460" max="8461" width="0" style="122" hidden="1" customWidth="1"/>
    <col min="8462" max="8463" width="11" style="122" customWidth="1"/>
    <col min="8464" max="8465" width="0" style="122" hidden="1" customWidth="1"/>
    <col min="8466" max="8466" width="11" style="122" customWidth="1"/>
    <col min="8467" max="8467" width="16.5546875" style="122" customWidth="1"/>
    <col min="8468" max="8471" width="11" style="122" customWidth="1"/>
    <col min="8472" max="8473" width="11.109375" style="122" customWidth="1"/>
    <col min="8474" max="8497" width="11" style="122" customWidth="1"/>
    <col min="8498" max="8703" width="9.109375" style="122"/>
    <col min="8704" max="8704" width="0" style="122" hidden="1" customWidth="1"/>
    <col min="8705" max="8705" width="9.109375" style="122"/>
    <col min="8706" max="8706" width="28.109375" style="122" customWidth="1"/>
    <col min="8707" max="8708" width="0" style="122" hidden="1" customWidth="1"/>
    <col min="8709" max="8715" width="11" style="122" customWidth="1"/>
    <col min="8716" max="8717" width="0" style="122" hidden="1" customWidth="1"/>
    <col min="8718" max="8719" width="11" style="122" customWidth="1"/>
    <col min="8720" max="8721" width="0" style="122" hidden="1" customWidth="1"/>
    <col min="8722" max="8722" width="11" style="122" customWidth="1"/>
    <col min="8723" max="8723" width="16.5546875" style="122" customWidth="1"/>
    <col min="8724" max="8727" width="11" style="122" customWidth="1"/>
    <col min="8728" max="8729" width="11.109375" style="122" customWidth="1"/>
    <col min="8730" max="8753" width="11" style="122" customWidth="1"/>
    <col min="8754" max="8959" width="9.109375" style="122"/>
    <col min="8960" max="8960" width="0" style="122" hidden="1" customWidth="1"/>
    <col min="8961" max="8961" width="9.109375" style="122"/>
    <col min="8962" max="8962" width="28.109375" style="122" customWidth="1"/>
    <col min="8963" max="8964" width="0" style="122" hidden="1" customWidth="1"/>
    <col min="8965" max="8971" width="11" style="122" customWidth="1"/>
    <col min="8972" max="8973" width="0" style="122" hidden="1" customWidth="1"/>
    <col min="8974" max="8975" width="11" style="122" customWidth="1"/>
    <col min="8976" max="8977" width="0" style="122" hidden="1" customWidth="1"/>
    <col min="8978" max="8978" width="11" style="122" customWidth="1"/>
    <col min="8979" max="8979" width="16.5546875" style="122" customWidth="1"/>
    <col min="8980" max="8983" width="11" style="122" customWidth="1"/>
    <col min="8984" max="8985" width="11.109375" style="122" customWidth="1"/>
    <col min="8986" max="9009" width="11" style="122" customWidth="1"/>
    <col min="9010" max="9215" width="9.109375" style="122"/>
    <col min="9216" max="9216" width="0" style="122" hidden="1" customWidth="1"/>
    <col min="9217" max="9217" width="9.109375" style="122"/>
    <col min="9218" max="9218" width="28.109375" style="122" customWidth="1"/>
    <col min="9219" max="9220" width="0" style="122" hidden="1" customWidth="1"/>
    <col min="9221" max="9227" width="11" style="122" customWidth="1"/>
    <col min="9228" max="9229" width="0" style="122" hidden="1" customWidth="1"/>
    <col min="9230" max="9231" width="11" style="122" customWidth="1"/>
    <col min="9232" max="9233" width="0" style="122" hidden="1" customWidth="1"/>
    <col min="9234" max="9234" width="11" style="122" customWidth="1"/>
    <col min="9235" max="9235" width="16.5546875" style="122" customWidth="1"/>
    <col min="9236" max="9239" width="11" style="122" customWidth="1"/>
    <col min="9240" max="9241" width="11.109375" style="122" customWidth="1"/>
    <col min="9242" max="9265" width="11" style="122" customWidth="1"/>
    <col min="9266" max="9471" width="9.109375" style="122"/>
    <col min="9472" max="9472" width="0" style="122" hidden="1" customWidth="1"/>
    <col min="9473" max="9473" width="9.109375" style="122"/>
    <col min="9474" max="9474" width="28.109375" style="122" customWidth="1"/>
    <col min="9475" max="9476" width="0" style="122" hidden="1" customWidth="1"/>
    <col min="9477" max="9483" width="11" style="122" customWidth="1"/>
    <col min="9484" max="9485" width="0" style="122" hidden="1" customWidth="1"/>
    <col min="9486" max="9487" width="11" style="122" customWidth="1"/>
    <col min="9488" max="9489" width="0" style="122" hidden="1" customWidth="1"/>
    <col min="9490" max="9490" width="11" style="122" customWidth="1"/>
    <col min="9491" max="9491" width="16.5546875" style="122" customWidth="1"/>
    <col min="9492" max="9495" width="11" style="122" customWidth="1"/>
    <col min="9496" max="9497" width="11.109375" style="122" customWidth="1"/>
    <col min="9498" max="9521" width="11" style="122" customWidth="1"/>
    <col min="9522" max="9727" width="9.109375" style="122"/>
    <col min="9728" max="9728" width="0" style="122" hidden="1" customWidth="1"/>
    <col min="9729" max="9729" width="9.109375" style="122"/>
    <col min="9730" max="9730" width="28.109375" style="122" customWidth="1"/>
    <col min="9731" max="9732" width="0" style="122" hidden="1" customWidth="1"/>
    <col min="9733" max="9739" width="11" style="122" customWidth="1"/>
    <col min="9740" max="9741" width="0" style="122" hidden="1" customWidth="1"/>
    <col min="9742" max="9743" width="11" style="122" customWidth="1"/>
    <col min="9744" max="9745" width="0" style="122" hidden="1" customWidth="1"/>
    <col min="9746" max="9746" width="11" style="122" customWidth="1"/>
    <col min="9747" max="9747" width="16.5546875" style="122" customWidth="1"/>
    <col min="9748" max="9751" width="11" style="122" customWidth="1"/>
    <col min="9752" max="9753" width="11.109375" style="122" customWidth="1"/>
    <col min="9754" max="9777" width="11" style="122" customWidth="1"/>
    <col min="9778" max="9983" width="9.109375" style="122"/>
    <col min="9984" max="9984" width="0" style="122" hidden="1" customWidth="1"/>
    <col min="9985" max="9985" width="9.109375" style="122"/>
    <col min="9986" max="9986" width="28.109375" style="122" customWidth="1"/>
    <col min="9987" max="9988" width="0" style="122" hidden="1" customWidth="1"/>
    <col min="9989" max="9995" width="11" style="122" customWidth="1"/>
    <col min="9996" max="9997" width="0" style="122" hidden="1" customWidth="1"/>
    <col min="9998" max="9999" width="11" style="122" customWidth="1"/>
    <col min="10000" max="10001" width="0" style="122" hidden="1" customWidth="1"/>
    <col min="10002" max="10002" width="11" style="122" customWidth="1"/>
    <col min="10003" max="10003" width="16.5546875" style="122" customWidth="1"/>
    <col min="10004" max="10007" width="11" style="122" customWidth="1"/>
    <col min="10008" max="10009" width="11.109375" style="122" customWidth="1"/>
    <col min="10010" max="10033" width="11" style="122" customWidth="1"/>
    <col min="10034" max="10239" width="9.109375" style="122"/>
    <col min="10240" max="10240" width="0" style="122" hidden="1" customWidth="1"/>
    <col min="10241" max="10241" width="9.109375" style="122"/>
    <col min="10242" max="10242" width="28.109375" style="122" customWidth="1"/>
    <col min="10243" max="10244" width="0" style="122" hidden="1" customWidth="1"/>
    <col min="10245" max="10251" width="11" style="122" customWidth="1"/>
    <col min="10252" max="10253" width="0" style="122" hidden="1" customWidth="1"/>
    <col min="10254" max="10255" width="11" style="122" customWidth="1"/>
    <col min="10256" max="10257" width="0" style="122" hidden="1" customWidth="1"/>
    <col min="10258" max="10258" width="11" style="122" customWidth="1"/>
    <col min="10259" max="10259" width="16.5546875" style="122" customWidth="1"/>
    <col min="10260" max="10263" width="11" style="122" customWidth="1"/>
    <col min="10264" max="10265" width="11.109375" style="122" customWidth="1"/>
    <col min="10266" max="10289" width="11" style="122" customWidth="1"/>
    <col min="10290" max="10495" width="9.109375" style="122"/>
    <col min="10496" max="10496" width="0" style="122" hidden="1" customWidth="1"/>
    <col min="10497" max="10497" width="9.109375" style="122"/>
    <col min="10498" max="10498" width="28.109375" style="122" customWidth="1"/>
    <col min="10499" max="10500" width="0" style="122" hidden="1" customWidth="1"/>
    <col min="10501" max="10507" width="11" style="122" customWidth="1"/>
    <col min="10508" max="10509" width="0" style="122" hidden="1" customWidth="1"/>
    <col min="10510" max="10511" width="11" style="122" customWidth="1"/>
    <col min="10512" max="10513" width="0" style="122" hidden="1" customWidth="1"/>
    <col min="10514" max="10514" width="11" style="122" customWidth="1"/>
    <col min="10515" max="10515" width="16.5546875" style="122" customWidth="1"/>
    <col min="10516" max="10519" width="11" style="122" customWidth="1"/>
    <col min="10520" max="10521" width="11.109375" style="122" customWidth="1"/>
    <col min="10522" max="10545" width="11" style="122" customWidth="1"/>
    <col min="10546" max="10751" width="9.109375" style="122"/>
    <col min="10752" max="10752" width="0" style="122" hidden="1" customWidth="1"/>
    <col min="10753" max="10753" width="9.109375" style="122"/>
    <col min="10754" max="10754" width="28.109375" style="122" customWidth="1"/>
    <col min="10755" max="10756" width="0" style="122" hidden="1" customWidth="1"/>
    <col min="10757" max="10763" width="11" style="122" customWidth="1"/>
    <col min="10764" max="10765" width="0" style="122" hidden="1" customWidth="1"/>
    <col min="10766" max="10767" width="11" style="122" customWidth="1"/>
    <col min="10768" max="10769" width="0" style="122" hidden="1" customWidth="1"/>
    <col min="10770" max="10770" width="11" style="122" customWidth="1"/>
    <col min="10771" max="10771" width="16.5546875" style="122" customWidth="1"/>
    <col min="10772" max="10775" width="11" style="122" customWidth="1"/>
    <col min="10776" max="10777" width="11.109375" style="122" customWidth="1"/>
    <col min="10778" max="10801" width="11" style="122" customWidth="1"/>
    <col min="10802" max="11007" width="9.109375" style="122"/>
    <col min="11008" max="11008" width="0" style="122" hidden="1" customWidth="1"/>
    <col min="11009" max="11009" width="9.109375" style="122"/>
    <col min="11010" max="11010" width="28.109375" style="122" customWidth="1"/>
    <col min="11011" max="11012" width="0" style="122" hidden="1" customWidth="1"/>
    <col min="11013" max="11019" width="11" style="122" customWidth="1"/>
    <col min="11020" max="11021" width="0" style="122" hidden="1" customWidth="1"/>
    <col min="11022" max="11023" width="11" style="122" customWidth="1"/>
    <col min="11024" max="11025" width="0" style="122" hidden="1" customWidth="1"/>
    <col min="11026" max="11026" width="11" style="122" customWidth="1"/>
    <col min="11027" max="11027" width="16.5546875" style="122" customWidth="1"/>
    <col min="11028" max="11031" width="11" style="122" customWidth="1"/>
    <col min="11032" max="11033" width="11.109375" style="122" customWidth="1"/>
    <col min="11034" max="11057" width="11" style="122" customWidth="1"/>
    <col min="11058" max="11263" width="9.109375" style="122"/>
    <col min="11264" max="11264" width="0" style="122" hidden="1" customWidth="1"/>
    <col min="11265" max="11265" width="9.109375" style="122"/>
    <col min="11266" max="11266" width="28.109375" style="122" customWidth="1"/>
    <col min="11267" max="11268" width="0" style="122" hidden="1" customWidth="1"/>
    <col min="11269" max="11275" width="11" style="122" customWidth="1"/>
    <col min="11276" max="11277" width="0" style="122" hidden="1" customWidth="1"/>
    <col min="11278" max="11279" width="11" style="122" customWidth="1"/>
    <col min="11280" max="11281" width="0" style="122" hidden="1" customWidth="1"/>
    <col min="11282" max="11282" width="11" style="122" customWidth="1"/>
    <col min="11283" max="11283" width="16.5546875" style="122" customWidth="1"/>
    <col min="11284" max="11287" width="11" style="122" customWidth="1"/>
    <col min="11288" max="11289" width="11.109375" style="122" customWidth="1"/>
    <col min="11290" max="11313" width="11" style="122" customWidth="1"/>
    <col min="11314" max="11519" width="9.109375" style="122"/>
    <col min="11520" max="11520" width="0" style="122" hidden="1" customWidth="1"/>
    <col min="11521" max="11521" width="9.109375" style="122"/>
    <col min="11522" max="11522" width="28.109375" style="122" customWidth="1"/>
    <col min="11523" max="11524" width="0" style="122" hidden="1" customWidth="1"/>
    <col min="11525" max="11531" width="11" style="122" customWidth="1"/>
    <col min="11532" max="11533" width="0" style="122" hidden="1" customWidth="1"/>
    <col min="11534" max="11535" width="11" style="122" customWidth="1"/>
    <col min="11536" max="11537" width="0" style="122" hidden="1" customWidth="1"/>
    <col min="11538" max="11538" width="11" style="122" customWidth="1"/>
    <col min="11539" max="11539" width="16.5546875" style="122" customWidth="1"/>
    <col min="11540" max="11543" width="11" style="122" customWidth="1"/>
    <col min="11544" max="11545" width="11.109375" style="122" customWidth="1"/>
    <col min="11546" max="11569" width="11" style="122" customWidth="1"/>
    <col min="11570" max="11775" width="9.109375" style="122"/>
    <col min="11776" max="11776" width="0" style="122" hidden="1" customWidth="1"/>
    <col min="11777" max="11777" width="9.109375" style="122"/>
    <col min="11778" max="11778" width="28.109375" style="122" customWidth="1"/>
    <col min="11779" max="11780" width="0" style="122" hidden="1" customWidth="1"/>
    <col min="11781" max="11787" width="11" style="122" customWidth="1"/>
    <col min="11788" max="11789" width="0" style="122" hidden="1" customWidth="1"/>
    <col min="11790" max="11791" width="11" style="122" customWidth="1"/>
    <col min="11792" max="11793" width="0" style="122" hidden="1" customWidth="1"/>
    <col min="11794" max="11794" width="11" style="122" customWidth="1"/>
    <col min="11795" max="11795" width="16.5546875" style="122" customWidth="1"/>
    <col min="11796" max="11799" width="11" style="122" customWidth="1"/>
    <col min="11800" max="11801" width="11.109375" style="122" customWidth="1"/>
    <col min="11802" max="11825" width="11" style="122" customWidth="1"/>
    <col min="11826" max="12031" width="9.109375" style="122"/>
    <col min="12032" max="12032" width="0" style="122" hidden="1" customWidth="1"/>
    <col min="12033" max="12033" width="9.109375" style="122"/>
    <col min="12034" max="12034" width="28.109375" style="122" customWidth="1"/>
    <col min="12035" max="12036" width="0" style="122" hidden="1" customWidth="1"/>
    <col min="12037" max="12043" width="11" style="122" customWidth="1"/>
    <col min="12044" max="12045" width="0" style="122" hidden="1" customWidth="1"/>
    <col min="12046" max="12047" width="11" style="122" customWidth="1"/>
    <col min="12048" max="12049" width="0" style="122" hidden="1" customWidth="1"/>
    <col min="12050" max="12050" width="11" style="122" customWidth="1"/>
    <col min="12051" max="12051" width="16.5546875" style="122" customWidth="1"/>
    <col min="12052" max="12055" width="11" style="122" customWidth="1"/>
    <col min="12056" max="12057" width="11.109375" style="122" customWidth="1"/>
    <col min="12058" max="12081" width="11" style="122" customWidth="1"/>
    <col min="12082" max="12287" width="9.109375" style="122"/>
    <col min="12288" max="12288" width="0" style="122" hidden="1" customWidth="1"/>
    <col min="12289" max="12289" width="9.109375" style="122"/>
    <col min="12290" max="12290" width="28.109375" style="122" customWidth="1"/>
    <col min="12291" max="12292" width="0" style="122" hidden="1" customWidth="1"/>
    <col min="12293" max="12299" width="11" style="122" customWidth="1"/>
    <col min="12300" max="12301" width="0" style="122" hidden="1" customWidth="1"/>
    <col min="12302" max="12303" width="11" style="122" customWidth="1"/>
    <col min="12304" max="12305" width="0" style="122" hidden="1" customWidth="1"/>
    <col min="12306" max="12306" width="11" style="122" customWidth="1"/>
    <col min="12307" max="12307" width="16.5546875" style="122" customWidth="1"/>
    <col min="12308" max="12311" width="11" style="122" customWidth="1"/>
    <col min="12312" max="12313" width="11.109375" style="122" customWidth="1"/>
    <col min="12314" max="12337" width="11" style="122" customWidth="1"/>
    <col min="12338" max="12543" width="9.109375" style="122"/>
    <col min="12544" max="12544" width="0" style="122" hidden="1" customWidth="1"/>
    <col min="12545" max="12545" width="9.109375" style="122"/>
    <col min="12546" max="12546" width="28.109375" style="122" customWidth="1"/>
    <col min="12547" max="12548" width="0" style="122" hidden="1" customWidth="1"/>
    <col min="12549" max="12555" width="11" style="122" customWidth="1"/>
    <col min="12556" max="12557" width="0" style="122" hidden="1" customWidth="1"/>
    <col min="12558" max="12559" width="11" style="122" customWidth="1"/>
    <col min="12560" max="12561" width="0" style="122" hidden="1" customWidth="1"/>
    <col min="12562" max="12562" width="11" style="122" customWidth="1"/>
    <col min="12563" max="12563" width="16.5546875" style="122" customWidth="1"/>
    <col min="12564" max="12567" width="11" style="122" customWidth="1"/>
    <col min="12568" max="12569" width="11.109375" style="122" customWidth="1"/>
    <col min="12570" max="12593" width="11" style="122" customWidth="1"/>
    <col min="12594" max="12799" width="9.109375" style="122"/>
    <col min="12800" max="12800" width="0" style="122" hidden="1" customWidth="1"/>
    <col min="12801" max="12801" width="9.109375" style="122"/>
    <col min="12802" max="12802" width="28.109375" style="122" customWidth="1"/>
    <col min="12803" max="12804" width="0" style="122" hidden="1" customWidth="1"/>
    <col min="12805" max="12811" width="11" style="122" customWidth="1"/>
    <col min="12812" max="12813" width="0" style="122" hidden="1" customWidth="1"/>
    <col min="12814" max="12815" width="11" style="122" customWidth="1"/>
    <col min="12816" max="12817" width="0" style="122" hidden="1" customWidth="1"/>
    <col min="12818" max="12818" width="11" style="122" customWidth="1"/>
    <col min="12819" max="12819" width="16.5546875" style="122" customWidth="1"/>
    <col min="12820" max="12823" width="11" style="122" customWidth="1"/>
    <col min="12824" max="12825" width="11.109375" style="122" customWidth="1"/>
    <col min="12826" max="12849" width="11" style="122" customWidth="1"/>
    <col min="12850" max="13055" width="9.109375" style="122"/>
    <col min="13056" max="13056" width="0" style="122" hidden="1" customWidth="1"/>
    <col min="13057" max="13057" width="9.109375" style="122"/>
    <col min="13058" max="13058" width="28.109375" style="122" customWidth="1"/>
    <col min="13059" max="13060" width="0" style="122" hidden="1" customWidth="1"/>
    <col min="13061" max="13067" width="11" style="122" customWidth="1"/>
    <col min="13068" max="13069" width="0" style="122" hidden="1" customWidth="1"/>
    <col min="13070" max="13071" width="11" style="122" customWidth="1"/>
    <col min="13072" max="13073" width="0" style="122" hidden="1" customWidth="1"/>
    <col min="13074" max="13074" width="11" style="122" customWidth="1"/>
    <col min="13075" max="13075" width="16.5546875" style="122" customWidth="1"/>
    <col min="13076" max="13079" width="11" style="122" customWidth="1"/>
    <col min="13080" max="13081" width="11.109375" style="122" customWidth="1"/>
    <col min="13082" max="13105" width="11" style="122" customWidth="1"/>
    <col min="13106" max="13311" width="9.109375" style="122"/>
    <col min="13312" max="13312" width="0" style="122" hidden="1" customWidth="1"/>
    <col min="13313" max="13313" width="9.109375" style="122"/>
    <col min="13314" max="13314" width="28.109375" style="122" customWidth="1"/>
    <col min="13315" max="13316" width="0" style="122" hidden="1" customWidth="1"/>
    <col min="13317" max="13323" width="11" style="122" customWidth="1"/>
    <col min="13324" max="13325" width="0" style="122" hidden="1" customWidth="1"/>
    <col min="13326" max="13327" width="11" style="122" customWidth="1"/>
    <col min="13328" max="13329" width="0" style="122" hidden="1" customWidth="1"/>
    <col min="13330" max="13330" width="11" style="122" customWidth="1"/>
    <col min="13331" max="13331" width="16.5546875" style="122" customWidth="1"/>
    <col min="13332" max="13335" width="11" style="122" customWidth="1"/>
    <col min="13336" max="13337" width="11.109375" style="122" customWidth="1"/>
    <col min="13338" max="13361" width="11" style="122" customWidth="1"/>
    <col min="13362" max="13567" width="9.109375" style="122"/>
    <col min="13568" max="13568" width="0" style="122" hidden="1" customWidth="1"/>
    <col min="13569" max="13569" width="9.109375" style="122"/>
    <col min="13570" max="13570" width="28.109375" style="122" customWidth="1"/>
    <col min="13571" max="13572" width="0" style="122" hidden="1" customWidth="1"/>
    <col min="13573" max="13579" width="11" style="122" customWidth="1"/>
    <col min="13580" max="13581" width="0" style="122" hidden="1" customWidth="1"/>
    <col min="13582" max="13583" width="11" style="122" customWidth="1"/>
    <col min="13584" max="13585" width="0" style="122" hidden="1" customWidth="1"/>
    <col min="13586" max="13586" width="11" style="122" customWidth="1"/>
    <col min="13587" max="13587" width="16.5546875" style="122" customWidth="1"/>
    <col min="13588" max="13591" width="11" style="122" customWidth="1"/>
    <col min="13592" max="13593" width="11.109375" style="122" customWidth="1"/>
    <col min="13594" max="13617" width="11" style="122" customWidth="1"/>
    <col min="13618" max="13823" width="9.109375" style="122"/>
    <col min="13824" max="13824" width="0" style="122" hidden="1" customWidth="1"/>
    <col min="13825" max="13825" width="9.109375" style="122"/>
    <col min="13826" max="13826" width="28.109375" style="122" customWidth="1"/>
    <col min="13827" max="13828" width="0" style="122" hidden="1" customWidth="1"/>
    <col min="13829" max="13835" width="11" style="122" customWidth="1"/>
    <col min="13836" max="13837" width="0" style="122" hidden="1" customWidth="1"/>
    <col min="13838" max="13839" width="11" style="122" customWidth="1"/>
    <col min="13840" max="13841" width="0" style="122" hidden="1" customWidth="1"/>
    <col min="13842" max="13842" width="11" style="122" customWidth="1"/>
    <col min="13843" max="13843" width="16.5546875" style="122" customWidth="1"/>
    <col min="13844" max="13847" width="11" style="122" customWidth="1"/>
    <col min="13848" max="13849" width="11.109375" style="122" customWidth="1"/>
    <col min="13850" max="13873" width="11" style="122" customWidth="1"/>
    <col min="13874" max="14079" width="9.109375" style="122"/>
    <col min="14080" max="14080" width="0" style="122" hidden="1" customWidth="1"/>
    <col min="14081" max="14081" width="9.109375" style="122"/>
    <col min="14082" max="14082" width="28.109375" style="122" customWidth="1"/>
    <col min="14083" max="14084" width="0" style="122" hidden="1" customWidth="1"/>
    <col min="14085" max="14091" width="11" style="122" customWidth="1"/>
    <col min="14092" max="14093" width="0" style="122" hidden="1" customWidth="1"/>
    <col min="14094" max="14095" width="11" style="122" customWidth="1"/>
    <col min="14096" max="14097" width="0" style="122" hidden="1" customWidth="1"/>
    <col min="14098" max="14098" width="11" style="122" customWidth="1"/>
    <col min="14099" max="14099" width="16.5546875" style="122" customWidth="1"/>
    <col min="14100" max="14103" width="11" style="122" customWidth="1"/>
    <col min="14104" max="14105" width="11.109375" style="122" customWidth="1"/>
    <col min="14106" max="14129" width="11" style="122" customWidth="1"/>
    <col min="14130" max="14335" width="9.109375" style="122"/>
    <col min="14336" max="14336" width="0" style="122" hidden="1" customWidth="1"/>
    <col min="14337" max="14337" width="9.109375" style="122"/>
    <col min="14338" max="14338" width="28.109375" style="122" customWidth="1"/>
    <col min="14339" max="14340" width="0" style="122" hidden="1" customWidth="1"/>
    <col min="14341" max="14347" width="11" style="122" customWidth="1"/>
    <col min="14348" max="14349" width="0" style="122" hidden="1" customWidth="1"/>
    <col min="14350" max="14351" width="11" style="122" customWidth="1"/>
    <col min="14352" max="14353" width="0" style="122" hidden="1" customWidth="1"/>
    <col min="14354" max="14354" width="11" style="122" customWidth="1"/>
    <col min="14355" max="14355" width="16.5546875" style="122" customWidth="1"/>
    <col min="14356" max="14359" width="11" style="122" customWidth="1"/>
    <col min="14360" max="14361" width="11.109375" style="122" customWidth="1"/>
    <col min="14362" max="14385" width="11" style="122" customWidth="1"/>
    <col min="14386" max="14591" width="9.109375" style="122"/>
    <col min="14592" max="14592" width="0" style="122" hidden="1" customWidth="1"/>
    <col min="14593" max="14593" width="9.109375" style="122"/>
    <col min="14594" max="14594" width="28.109375" style="122" customWidth="1"/>
    <col min="14595" max="14596" width="0" style="122" hidden="1" customWidth="1"/>
    <col min="14597" max="14603" width="11" style="122" customWidth="1"/>
    <col min="14604" max="14605" width="0" style="122" hidden="1" customWidth="1"/>
    <col min="14606" max="14607" width="11" style="122" customWidth="1"/>
    <col min="14608" max="14609" width="0" style="122" hidden="1" customWidth="1"/>
    <col min="14610" max="14610" width="11" style="122" customWidth="1"/>
    <col min="14611" max="14611" width="16.5546875" style="122" customWidth="1"/>
    <col min="14612" max="14615" width="11" style="122" customWidth="1"/>
    <col min="14616" max="14617" width="11.109375" style="122" customWidth="1"/>
    <col min="14618" max="14641" width="11" style="122" customWidth="1"/>
    <col min="14642" max="14847" width="9.109375" style="122"/>
    <col min="14848" max="14848" width="0" style="122" hidden="1" customWidth="1"/>
    <col min="14849" max="14849" width="9.109375" style="122"/>
    <col min="14850" max="14850" width="28.109375" style="122" customWidth="1"/>
    <col min="14851" max="14852" width="0" style="122" hidden="1" customWidth="1"/>
    <col min="14853" max="14859" width="11" style="122" customWidth="1"/>
    <col min="14860" max="14861" width="0" style="122" hidden="1" customWidth="1"/>
    <col min="14862" max="14863" width="11" style="122" customWidth="1"/>
    <col min="14864" max="14865" width="0" style="122" hidden="1" customWidth="1"/>
    <col min="14866" max="14866" width="11" style="122" customWidth="1"/>
    <col min="14867" max="14867" width="16.5546875" style="122" customWidth="1"/>
    <col min="14868" max="14871" width="11" style="122" customWidth="1"/>
    <col min="14872" max="14873" width="11.109375" style="122" customWidth="1"/>
    <col min="14874" max="14897" width="11" style="122" customWidth="1"/>
    <col min="14898" max="15103" width="9.109375" style="122"/>
    <col min="15104" max="15104" width="0" style="122" hidden="1" customWidth="1"/>
    <col min="15105" max="15105" width="9.109375" style="122"/>
    <col min="15106" max="15106" width="28.109375" style="122" customWidth="1"/>
    <col min="15107" max="15108" width="0" style="122" hidden="1" customWidth="1"/>
    <col min="15109" max="15115" width="11" style="122" customWidth="1"/>
    <col min="15116" max="15117" width="0" style="122" hidden="1" customWidth="1"/>
    <col min="15118" max="15119" width="11" style="122" customWidth="1"/>
    <col min="15120" max="15121" width="0" style="122" hidden="1" customWidth="1"/>
    <col min="15122" max="15122" width="11" style="122" customWidth="1"/>
    <col min="15123" max="15123" width="16.5546875" style="122" customWidth="1"/>
    <col min="15124" max="15127" width="11" style="122" customWidth="1"/>
    <col min="15128" max="15129" width="11.109375" style="122" customWidth="1"/>
    <col min="15130" max="15153" width="11" style="122" customWidth="1"/>
    <col min="15154" max="15359" width="9.109375" style="122"/>
    <col min="15360" max="15360" width="0" style="122" hidden="1" customWidth="1"/>
    <col min="15361" max="15361" width="9.109375" style="122"/>
    <col min="15362" max="15362" width="28.109375" style="122" customWidth="1"/>
    <col min="15363" max="15364" width="0" style="122" hidden="1" customWidth="1"/>
    <col min="15365" max="15371" width="11" style="122" customWidth="1"/>
    <col min="15372" max="15373" width="0" style="122" hidden="1" customWidth="1"/>
    <col min="15374" max="15375" width="11" style="122" customWidth="1"/>
    <col min="15376" max="15377" width="0" style="122" hidden="1" customWidth="1"/>
    <col min="15378" max="15378" width="11" style="122" customWidth="1"/>
    <col min="15379" max="15379" width="16.5546875" style="122" customWidth="1"/>
    <col min="15380" max="15383" width="11" style="122" customWidth="1"/>
    <col min="15384" max="15385" width="11.109375" style="122" customWidth="1"/>
    <col min="15386" max="15409" width="11" style="122" customWidth="1"/>
    <col min="15410" max="15615" width="9.109375" style="122"/>
    <col min="15616" max="15616" width="0" style="122" hidden="1" customWidth="1"/>
    <col min="15617" max="15617" width="9.109375" style="122"/>
    <col min="15618" max="15618" width="28.109375" style="122" customWidth="1"/>
    <col min="15619" max="15620" width="0" style="122" hidden="1" customWidth="1"/>
    <col min="15621" max="15627" width="11" style="122" customWidth="1"/>
    <col min="15628" max="15629" width="0" style="122" hidden="1" customWidth="1"/>
    <col min="15630" max="15631" width="11" style="122" customWidth="1"/>
    <col min="15632" max="15633" width="0" style="122" hidden="1" customWidth="1"/>
    <col min="15634" max="15634" width="11" style="122" customWidth="1"/>
    <col min="15635" max="15635" width="16.5546875" style="122" customWidth="1"/>
    <col min="15636" max="15639" width="11" style="122" customWidth="1"/>
    <col min="15640" max="15641" width="11.109375" style="122" customWidth="1"/>
    <col min="15642" max="15665" width="11" style="122" customWidth="1"/>
    <col min="15666" max="15871" width="9.109375" style="122"/>
    <col min="15872" max="15872" width="0" style="122" hidden="1" customWidth="1"/>
    <col min="15873" max="15873" width="9.109375" style="122"/>
    <col min="15874" max="15874" width="28.109375" style="122" customWidth="1"/>
    <col min="15875" max="15876" width="0" style="122" hidden="1" customWidth="1"/>
    <col min="15877" max="15883" width="11" style="122" customWidth="1"/>
    <col min="15884" max="15885" width="0" style="122" hidden="1" customWidth="1"/>
    <col min="15886" max="15887" width="11" style="122" customWidth="1"/>
    <col min="15888" max="15889" width="0" style="122" hidden="1" customWidth="1"/>
    <col min="15890" max="15890" width="11" style="122" customWidth="1"/>
    <col min="15891" max="15891" width="16.5546875" style="122" customWidth="1"/>
    <col min="15892" max="15895" width="11" style="122" customWidth="1"/>
    <col min="15896" max="15897" width="11.109375" style="122" customWidth="1"/>
    <col min="15898" max="15921" width="11" style="122" customWidth="1"/>
    <col min="15922" max="16127" width="9.109375" style="122"/>
    <col min="16128" max="16128" width="0" style="122" hidden="1" customWidth="1"/>
    <col min="16129" max="16129" width="9.109375" style="122"/>
    <col min="16130" max="16130" width="28.109375" style="122" customWidth="1"/>
    <col min="16131" max="16132" width="0" style="122" hidden="1" customWidth="1"/>
    <col min="16133" max="16139" width="11" style="122" customWidth="1"/>
    <col min="16140" max="16141" width="0" style="122" hidden="1" customWidth="1"/>
    <col min="16142" max="16143" width="11" style="122" customWidth="1"/>
    <col min="16144" max="16145" width="0" style="122" hidden="1" customWidth="1"/>
    <col min="16146" max="16146" width="11" style="122" customWidth="1"/>
    <col min="16147" max="16147" width="16.5546875" style="122" customWidth="1"/>
    <col min="16148" max="16151" width="11" style="122" customWidth="1"/>
    <col min="16152" max="16153" width="11.109375" style="122" customWidth="1"/>
    <col min="16154" max="16177" width="11" style="122" customWidth="1"/>
    <col min="16178" max="16384" width="9.109375" style="122"/>
  </cols>
  <sheetData>
    <row r="1" spans="1:69" s="121" customFormat="1" ht="15.6">
      <c r="A1" s="114" t="s">
        <v>142</v>
      </c>
      <c r="B1" s="120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</row>
    <row r="2" spans="1:69" ht="57.6">
      <c r="A2" s="155" t="s">
        <v>2</v>
      </c>
      <c r="B2" s="155" t="s">
        <v>3</v>
      </c>
      <c r="C2" s="155" t="s">
        <v>4</v>
      </c>
      <c r="D2" s="155" t="s">
        <v>5</v>
      </c>
      <c r="E2" s="155" t="s">
        <v>504</v>
      </c>
      <c r="F2" s="155" t="s">
        <v>505</v>
      </c>
      <c r="G2" s="155" t="s">
        <v>506</v>
      </c>
      <c r="H2" s="155" t="s">
        <v>507</v>
      </c>
      <c r="I2" s="155" t="s">
        <v>508</v>
      </c>
      <c r="J2" s="155" t="s">
        <v>509</v>
      </c>
      <c r="K2" s="155" t="s">
        <v>510</v>
      </c>
      <c r="L2" s="155" t="s">
        <v>511</v>
      </c>
      <c r="M2" s="155" t="s">
        <v>512</v>
      </c>
      <c r="N2" s="155" t="s">
        <v>513</v>
      </c>
      <c r="O2" s="155" t="s">
        <v>514</v>
      </c>
      <c r="P2" s="155" t="s">
        <v>515</v>
      </c>
      <c r="Q2" s="155" t="s">
        <v>516</v>
      </c>
      <c r="R2" s="155" t="s">
        <v>517</v>
      </c>
      <c r="S2" s="155" t="s">
        <v>518</v>
      </c>
      <c r="T2" s="155" t="s">
        <v>519</v>
      </c>
      <c r="U2" s="155" t="s">
        <v>520</v>
      </c>
      <c r="V2" s="155" t="s">
        <v>521</v>
      </c>
      <c r="W2" s="155" t="s">
        <v>522</v>
      </c>
      <c r="X2" s="155" t="s">
        <v>523</v>
      </c>
      <c r="Y2" s="155" t="s">
        <v>524</v>
      </c>
      <c r="Z2" s="155" t="s">
        <v>525</v>
      </c>
      <c r="AA2" s="155" t="s">
        <v>526</v>
      </c>
      <c r="AB2" s="155" t="s">
        <v>527</v>
      </c>
      <c r="AC2" s="155" t="s">
        <v>6</v>
      </c>
      <c r="AD2" s="155" t="s">
        <v>528</v>
      </c>
      <c r="AE2" s="155" t="s">
        <v>529</v>
      </c>
      <c r="AF2" s="155" t="s">
        <v>530</v>
      </c>
      <c r="AG2" s="155" t="s">
        <v>531</v>
      </c>
      <c r="AH2" s="155" t="s">
        <v>532</v>
      </c>
      <c r="AI2" s="155" t="s">
        <v>533</v>
      </c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</row>
    <row r="3" spans="1:69">
      <c r="A3" s="120">
        <v>10005</v>
      </c>
      <c r="B3" s="120" t="s">
        <v>7</v>
      </c>
      <c r="C3" s="207">
        <v>1</v>
      </c>
      <c r="D3" s="232">
        <v>0</v>
      </c>
      <c r="E3" s="232">
        <v>0.55600000000000005</v>
      </c>
      <c r="F3" s="232">
        <v>0.68200000000000005</v>
      </c>
      <c r="G3" s="232">
        <v>0.68899999999999995</v>
      </c>
      <c r="H3" s="232">
        <v>0</v>
      </c>
      <c r="I3" s="232">
        <v>0</v>
      </c>
      <c r="J3" s="232">
        <v>0</v>
      </c>
      <c r="K3" s="232">
        <v>0</v>
      </c>
      <c r="L3" s="232">
        <v>0</v>
      </c>
      <c r="M3" s="232">
        <v>0</v>
      </c>
      <c r="N3" s="232">
        <v>0.623</v>
      </c>
      <c r="O3" s="232">
        <v>0.63100000000000001</v>
      </c>
      <c r="P3" s="232">
        <v>5457.48</v>
      </c>
      <c r="Q3" s="232">
        <v>5527.56</v>
      </c>
      <c r="R3" s="232">
        <v>0.52300000000000002</v>
      </c>
      <c r="S3" s="232">
        <v>4581.4800000000005</v>
      </c>
      <c r="T3" s="232">
        <v>0.1</v>
      </c>
      <c r="U3" s="232">
        <v>0.108</v>
      </c>
      <c r="V3" s="232">
        <v>0</v>
      </c>
      <c r="W3" s="232">
        <v>0</v>
      </c>
      <c r="X3" s="232">
        <v>7.7600000000000002E-5</v>
      </c>
      <c r="Y3" s="232">
        <v>7.7600000000000002E-5</v>
      </c>
      <c r="Z3" s="232">
        <v>0</v>
      </c>
      <c r="AA3" s="232">
        <v>7.7600000000000002E-5</v>
      </c>
      <c r="AB3" s="232">
        <v>7.7600000000000002E-5</v>
      </c>
      <c r="AC3" s="232">
        <v>7.7600000000000002E-5</v>
      </c>
      <c r="AD3" s="232">
        <v>0.83907136179775299</v>
      </c>
      <c r="AE3" s="232">
        <v>0.82843337305863718</v>
      </c>
      <c r="AF3" s="232">
        <v>1.1912045889101337</v>
      </c>
      <c r="AG3" s="232">
        <v>1.2065009560229445</v>
      </c>
      <c r="AH3" s="232">
        <v>2.3820000000000001E-2</v>
      </c>
      <c r="AI3" s="232">
        <v>1.8100000000000002E-2</v>
      </c>
      <c r="AJ3" s="111"/>
      <c r="AK3" s="111"/>
      <c r="AL3" s="111"/>
      <c r="AM3" s="111"/>
      <c r="AN3" s="111"/>
      <c r="AO3" s="111"/>
      <c r="AP3" s="111"/>
      <c r="AQ3" s="120"/>
      <c r="AR3" s="120"/>
      <c r="AS3" s="149"/>
      <c r="AT3" s="149"/>
      <c r="AU3" s="149"/>
      <c r="AV3" s="149"/>
      <c r="AW3" s="149"/>
      <c r="AX3" s="149"/>
      <c r="AY3" s="149"/>
      <c r="AZ3" s="149"/>
      <c r="BA3" s="149"/>
      <c r="BB3" s="149"/>
      <c r="BC3" s="149"/>
      <c r="BD3" s="149"/>
      <c r="BE3" s="149"/>
      <c r="BF3" s="149"/>
      <c r="BG3" s="120"/>
      <c r="BH3" s="120"/>
      <c r="BI3" s="120"/>
      <c r="BJ3" s="120"/>
      <c r="BK3" s="120"/>
      <c r="BL3" s="120"/>
      <c r="BM3" s="120"/>
      <c r="BN3" s="120"/>
    </row>
    <row r="4" spans="1:69">
      <c r="A4" s="120">
        <v>10015</v>
      </c>
      <c r="B4" s="120" t="s">
        <v>8</v>
      </c>
      <c r="C4" s="232">
        <v>1</v>
      </c>
      <c r="D4" s="232">
        <v>0</v>
      </c>
      <c r="E4" s="232">
        <v>0.58199999999999996</v>
      </c>
      <c r="F4" s="232">
        <v>0.58399999999999996</v>
      </c>
      <c r="G4" s="232">
        <v>0.58299999999999996</v>
      </c>
      <c r="H4" s="232">
        <v>0</v>
      </c>
      <c r="I4" s="232">
        <v>0</v>
      </c>
      <c r="J4" s="232">
        <v>0</v>
      </c>
      <c r="K4" s="232">
        <v>0</v>
      </c>
      <c r="L4" s="232">
        <v>0</v>
      </c>
      <c r="M4" s="232">
        <v>0</v>
      </c>
      <c r="N4" s="232">
        <v>0.63</v>
      </c>
      <c r="O4" s="232">
        <v>0.63400000000000001</v>
      </c>
      <c r="P4" s="232">
        <v>5518.8</v>
      </c>
      <c r="Q4" s="232">
        <v>5553.84</v>
      </c>
      <c r="R4" s="232">
        <v>0.54700000000000004</v>
      </c>
      <c r="S4" s="232">
        <v>4791.72</v>
      </c>
      <c r="T4" s="232">
        <v>8.3000000000000004E-2</v>
      </c>
      <c r="U4" s="232">
        <v>8.6999999999999994E-2</v>
      </c>
      <c r="V4" s="232">
        <v>0</v>
      </c>
      <c r="W4" s="232">
        <v>0</v>
      </c>
      <c r="X4" s="232">
        <v>8.1199999999999995E-5</v>
      </c>
      <c r="Y4" s="232">
        <v>8.1199999999999995E-5</v>
      </c>
      <c r="Z4" s="232">
        <v>0</v>
      </c>
      <c r="AA4" s="232">
        <v>8.1199999999999995E-5</v>
      </c>
      <c r="AB4" s="232">
        <v>8.1199999999999995E-5</v>
      </c>
      <c r="AC4" s="232">
        <v>8.1199999999999995E-5</v>
      </c>
      <c r="AD4" s="232">
        <v>0.86824182666666661</v>
      </c>
      <c r="AE4" s="232">
        <v>0.8627639602523659</v>
      </c>
      <c r="AF4" s="232">
        <v>1.1517367458866543</v>
      </c>
      <c r="AG4" s="232">
        <v>1.1590493601462522</v>
      </c>
      <c r="AH4" s="232">
        <v>0</v>
      </c>
      <c r="AI4" s="232">
        <v>0</v>
      </c>
      <c r="AJ4" s="111"/>
      <c r="AK4" s="111"/>
      <c r="AL4" s="111"/>
      <c r="AM4" s="111"/>
      <c r="AN4" s="111"/>
      <c r="AO4" s="111"/>
      <c r="AP4" s="111"/>
      <c r="AQ4" s="120"/>
      <c r="AR4" s="120"/>
      <c r="AS4" s="149"/>
      <c r="AT4" s="149"/>
      <c r="AU4" s="149"/>
      <c r="AV4" s="149"/>
      <c r="AW4" s="149"/>
      <c r="AX4" s="149"/>
      <c r="AY4" s="149"/>
      <c r="AZ4" s="149"/>
      <c r="BA4" s="149"/>
      <c r="BB4" s="149"/>
      <c r="BC4" s="149"/>
      <c r="BD4" s="149"/>
      <c r="BE4" s="149"/>
      <c r="BF4" s="149"/>
      <c r="BG4" s="120"/>
      <c r="BH4" s="120"/>
      <c r="BI4" s="120"/>
      <c r="BJ4" s="120"/>
      <c r="BK4" s="120"/>
      <c r="BL4" s="120"/>
      <c r="BM4" s="120"/>
      <c r="BN4" s="120"/>
    </row>
    <row r="5" spans="1:69">
      <c r="A5" s="120">
        <v>10024</v>
      </c>
      <c r="B5" s="120" t="s">
        <v>9</v>
      </c>
      <c r="C5" s="232">
        <v>1</v>
      </c>
      <c r="D5" s="232">
        <v>0</v>
      </c>
      <c r="E5" s="232">
        <v>204.28200000000001</v>
      </c>
      <c r="F5" s="232">
        <v>206.61600000000001</v>
      </c>
      <c r="G5" s="232">
        <v>206.886</v>
      </c>
      <c r="H5" s="232">
        <v>0</v>
      </c>
      <c r="I5" s="232">
        <v>0</v>
      </c>
      <c r="J5" s="232">
        <v>0.92100000000000004</v>
      </c>
      <c r="K5" s="232">
        <v>0.91900000000000004</v>
      </c>
      <c r="L5" s="232">
        <v>8067.96</v>
      </c>
      <c r="M5" s="232">
        <v>8050.4400000000005</v>
      </c>
      <c r="N5" s="232">
        <v>209.048</v>
      </c>
      <c r="O5" s="232">
        <v>209.06299999999999</v>
      </c>
      <c r="P5" s="232">
        <v>1831260.48</v>
      </c>
      <c r="Q5" s="232">
        <v>1831391.88</v>
      </c>
      <c r="R5" s="232">
        <v>192.001</v>
      </c>
      <c r="S5" s="232">
        <v>1681928.76</v>
      </c>
      <c r="T5" s="232">
        <v>17.047000000000001</v>
      </c>
      <c r="U5" s="232">
        <v>17.062000000000001</v>
      </c>
      <c r="V5" s="232">
        <v>17.047000000000001</v>
      </c>
      <c r="W5" s="232">
        <v>17.062000000000001</v>
      </c>
      <c r="X5" s="232">
        <v>2.8502199999999998E-2</v>
      </c>
      <c r="Y5" s="232">
        <v>2.8502199999999998E-2</v>
      </c>
      <c r="Z5" s="232">
        <v>0</v>
      </c>
      <c r="AA5" s="232">
        <v>2.8502199999999998E-2</v>
      </c>
      <c r="AB5" s="232">
        <v>2.8502199999999998E-2</v>
      </c>
      <c r="AC5" s="232">
        <v>2.8502199999999998E-2</v>
      </c>
      <c r="AD5" s="232">
        <v>0.91719110793743786</v>
      </c>
      <c r="AE5" s="232">
        <v>0.91712558867093386</v>
      </c>
      <c r="AF5" s="232">
        <v>1.0887859959062713</v>
      </c>
      <c r="AG5" s="232">
        <v>1.0888641204993723</v>
      </c>
      <c r="AH5" s="232">
        <v>0</v>
      </c>
      <c r="AI5" s="232">
        <v>0</v>
      </c>
      <c r="AJ5" s="111"/>
      <c r="AK5" s="111"/>
      <c r="AL5" s="111"/>
      <c r="AM5" s="111"/>
      <c r="AN5" s="111"/>
      <c r="AO5" s="111"/>
      <c r="AP5" s="111"/>
      <c r="AQ5" s="120"/>
      <c r="AR5" s="120"/>
      <c r="AS5" s="149"/>
      <c r="AT5" s="149"/>
      <c r="AU5" s="149"/>
      <c r="AV5" s="149"/>
      <c r="AW5" s="149"/>
      <c r="AX5" s="149"/>
      <c r="AY5" s="149"/>
      <c r="AZ5" s="149"/>
      <c r="BA5" s="149"/>
      <c r="BB5" s="149"/>
      <c r="BC5" s="149"/>
      <c r="BD5" s="149"/>
      <c r="BE5" s="149"/>
      <c r="BF5" s="149"/>
      <c r="BG5" s="120"/>
      <c r="BH5" s="120"/>
      <c r="BI5" s="120"/>
      <c r="BJ5" s="120"/>
      <c r="BK5" s="120"/>
      <c r="BL5" s="120"/>
      <c r="BM5" s="120"/>
      <c r="BN5" s="120"/>
    </row>
    <row r="6" spans="1:69">
      <c r="A6" s="120">
        <v>10025</v>
      </c>
      <c r="B6" s="120" t="s">
        <v>10</v>
      </c>
      <c r="C6" s="232">
        <v>1</v>
      </c>
      <c r="D6" s="232">
        <v>0</v>
      </c>
      <c r="E6" s="232">
        <v>60.548999999999999</v>
      </c>
      <c r="F6" s="232">
        <v>64.5</v>
      </c>
      <c r="G6" s="232">
        <v>64.537000000000006</v>
      </c>
      <c r="H6" s="232">
        <v>0</v>
      </c>
      <c r="I6" s="232">
        <v>0</v>
      </c>
      <c r="J6" s="232">
        <v>0</v>
      </c>
      <c r="K6" s="232">
        <v>0</v>
      </c>
      <c r="L6" s="232">
        <v>0</v>
      </c>
      <c r="M6" s="232">
        <v>0</v>
      </c>
      <c r="N6" s="232">
        <v>66.665999999999997</v>
      </c>
      <c r="O6" s="232">
        <v>67.355000000000004</v>
      </c>
      <c r="P6" s="232">
        <v>583994.15999999992</v>
      </c>
      <c r="Q6" s="232">
        <v>590029.80000000005</v>
      </c>
      <c r="R6" s="232">
        <v>56.908999999999999</v>
      </c>
      <c r="S6" s="232">
        <v>498522.83999999997</v>
      </c>
      <c r="T6" s="232">
        <v>9.7569999999999997</v>
      </c>
      <c r="U6" s="232">
        <v>10.446</v>
      </c>
      <c r="V6" s="232">
        <v>9.7569999999999997</v>
      </c>
      <c r="W6" s="232">
        <v>10.446</v>
      </c>
      <c r="X6" s="232">
        <v>8.4480000000000006E-3</v>
      </c>
      <c r="Y6" s="232">
        <v>8.4480000000000006E-3</v>
      </c>
      <c r="Z6" s="232">
        <v>0</v>
      </c>
      <c r="AA6" s="232">
        <v>8.4480000000000006E-3</v>
      </c>
      <c r="AB6" s="232">
        <v>8.4480000000000006E-3</v>
      </c>
      <c r="AC6" s="232">
        <v>8.4480000000000006E-3</v>
      </c>
      <c r="AD6" s="232">
        <v>0.85363994887948891</v>
      </c>
      <c r="AE6" s="232">
        <v>0.84490774006384084</v>
      </c>
      <c r="AF6" s="232">
        <v>1.1714491556695776</v>
      </c>
      <c r="AG6" s="232">
        <v>1.1835562037639038</v>
      </c>
      <c r="AH6" s="232">
        <v>6.4430000000000001E-2</v>
      </c>
      <c r="AI6" s="232">
        <v>6.5100000000000005E-2</v>
      </c>
      <c r="AJ6" s="111"/>
      <c r="AK6" s="111"/>
      <c r="AL6" s="111"/>
      <c r="AM6" s="111"/>
      <c r="AN6" s="111"/>
      <c r="AO6" s="111"/>
      <c r="AP6" s="111"/>
      <c r="AQ6" s="120"/>
      <c r="AR6" s="120"/>
      <c r="AS6" s="149"/>
      <c r="AT6" s="149"/>
      <c r="AU6" s="149"/>
      <c r="AV6" s="149"/>
      <c r="AW6" s="149"/>
      <c r="AX6" s="149"/>
      <c r="AY6" s="149"/>
      <c r="AZ6" s="149"/>
      <c r="BA6" s="149"/>
      <c r="BB6" s="149"/>
      <c r="BC6" s="149"/>
      <c r="BD6" s="149"/>
      <c r="BE6" s="149"/>
      <c r="BF6" s="149"/>
      <c r="BG6" s="120"/>
      <c r="BH6" s="120"/>
      <c r="BI6" s="120"/>
      <c r="BJ6" s="120"/>
      <c r="BK6" s="120"/>
      <c r="BL6" s="120"/>
      <c r="BM6" s="120"/>
      <c r="BN6" s="120"/>
    </row>
    <row r="7" spans="1:69">
      <c r="A7" s="122">
        <v>10027</v>
      </c>
      <c r="B7" s="122" t="s">
        <v>11</v>
      </c>
      <c r="C7" s="232">
        <v>1</v>
      </c>
      <c r="D7" s="232">
        <v>0</v>
      </c>
      <c r="E7" s="232">
        <v>62.106999999999999</v>
      </c>
      <c r="F7" s="232">
        <v>67.977000000000004</v>
      </c>
      <c r="G7" s="232">
        <v>68.215999999999994</v>
      </c>
      <c r="H7" s="232">
        <v>0</v>
      </c>
      <c r="I7" s="232">
        <v>0</v>
      </c>
      <c r="J7" s="232">
        <v>0</v>
      </c>
      <c r="K7" s="232">
        <v>0</v>
      </c>
      <c r="L7" s="232">
        <v>0</v>
      </c>
      <c r="M7" s="232">
        <v>0</v>
      </c>
      <c r="N7" s="232">
        <v>66.27</v>
      </c>
      <c r="O7" s="232">
        <v>66.585999999999999</v>
      </c>
      <c r="P7" s="232">
        <v>580525.19999999995</v>
      </c>
      <c r="Q7" s="232">
        <v>583293.36</v>
      </c>
      <c r="R7" s="232">
        <v>58.372999999999998</v>
      </c>
      <c r="S7" s="232">
        <v>511347.48</v>
      </c>
      <c r="T7" s="232">
        <v>7.8970000000000002</v>
      </c>
      <c r="U7" s="232">
        <v>8.2129999999999992</v>
      </c>
      <c r="V7" s="232">
        <v>7.8970000000000002</v>
      </c>
      <c r="W7" s="232">
        <v>8.2129999999999992</v>
      </c>
      <c r="X7" s="232">
        <v>8.6654000000000002E-3</v>
      </c>
      <c r="Y7" s="232">
        <v>8.6654000000000002E-3</v>
      </c>
      <c r="Z7" s="232">
        <v>0</v>
      </c>
      <c r="AA7" s="232">
        <v>8.6654000000000002E-3</v>
      </c>
      <c r="AB7" s="232">
        <v>8.6654000000000002E-3</v>
      </c>
      <c r="AC7" s="232">
        <v>8.6654000000000002E-3</v>
      </c>
      <c r="AD7" s="232">
        <v>0.88083967524671802</v>
      </c>
      <c r="AE7" s="232">
        <v>0.87665943709788852</v>
      </c>
      <c r="AF7" s="232">
        <v>1.1352851489558529</v>
      </c>
      <c r="AG7" s="232">
        <v>1.1406986106590375</v>
      </c>
      <c r="AH7" s="232">
        <v>7.9469999999999999E-2</v>
      </c>
      <c r="AI7" s="232">
        <v>7.9850000000000004E-2</v>
      </c>
      <c r="AJ7" s="118"/>
      <c r="AK7" s="118"/>
      <c r="AL7" s="118"/>
      <c r="AM7" s="118"/>
      <c r="AN7" s="118"/>
      <c r="AO7" s="118"/>
      <c r="AP7" s="118"/>
      <c r="AS7" s="117"/>
      <c r="AT7" s="117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17"/>
      <c r="BF7" s="117"/>
      <c r="BG7" s="120"/>
      <c r="BM7" s="120"/>
      <c r="BN7" s="120"/>
    </row>
    <row r="8" spans="1:69">
      <c r="A8" s="120">
        <v>10029</v>
      </c>
      <c r="B8" s="120" t="s">
        <v>12</v>
      </c>
      <c r="C8" s="232">
        <v>0</v>
      </c>
      <c r="D8" s="232">
        <v>1</v>
      </c>
      <c r="E8" s="232">
        <v>17.879000000000001</v>
      </c>
      <c r="F8" s="232">
        <v>21.738</v>
      </c>
      <c r="G8" s="232">
        <v>21.673999999999999</v>
      </c>
      <c r="H8" s="232">
        <v>0</v>
      </c>
      <c r="I8" s="232">
        <v>0</v>
      </c>
      <c r="J8" s="232">
        <v>0</v>
      </c>
      <c r="K8" s="232">
        <v>0</v>
      </c>
      <c r="L8" s="232">
        <v>0</v>
      </c>
      <c r="M8" s="232">
        <v>0</v>
      </c>
      <c r="N8" s="232">
        <v>21.914000000000001</v>
      </c>
      <c r="O8" s="232">
        <v>22.349</v>
      </c>
      <c r="P8" s="232">
        <v>191966.64</v>
      </c>
      <c r="Q8" s="232">
        <v>195777.24</v>
      </c>
      <c r="R8" s="232">
        <v>16.803999999999998</v>
      </c>
      <c r="S8" s="232">
        <v>147203.03999999998</v>
      </c>
      <c r="T8" s="232">
        <v>5.1100000000000003</v>
      </c>
      <c r="U8" s="232">
        <v>5.5449999999999999</v>
      </c>
      <c r="V8" s="232">
        <v>5.1100000000000003</v>
      </c>
      <c r="W8" s="232">
        <v>5.5449999999999999</v>
      </c>
      <c r="X8" s="232">
        <v>2.4945000000000002E-3</v>
      </c>
      <c r="Y8" s="232">
        <v>2.4945000000000002E-3</v>
      </c>
      <c r="Z8" s="232">
        <v>0</v>
      </c>
      <c r="AA8" s="232">
        <v>2.4945000000000002E-3</v>
      </c>
      <c r="AB8" s="232">
        <v>2.4945000000000002E-3</v>
      </c>
      <c r="AC8" s="232">
        <v>2.4945000000000002E-3</v>
      </c>
      <c r="AD8" s="232">
        <v>0.76680877637583289</v>
      </c>
      <c r="AE8" s="232">
        <v>0.75188364246722461</v>
      </c>
      <c r="AF8" s="232">
        <v>1.30409426327065</v>
      </c>
      <c r="AG8" s="232">
        <v>1.3299809569150203</v>
      </c>
      <c r="AH8" s="232">
        <v>8.4769999999999998E-2</v>
      </c>
      <c r="AI8" s="232">
        <v>8.6449999999999999E-2</v>
      </c>
      <c r="AJ8" s="111"/>
      <c r="AK8" s="111"/>
      <c r="AL8" s="111"/>
      <c r="AM8" s="111"/>
      <c r="AN8" s="111"/>
      <c r="AO8" s="111"/>
      <c r="AP8" s="111"/>
      <c r="AQ8" s="120"/>
      <c r="AR8" s="120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20"/>
      <c r="BH8" s="120"/>
      <c r="BI8" s="120"/>
      <c r="BJ8" s="120"/>
      <c r="BK8" s="120"/>
      <c r="BL8" s="120"/>
      <c r="BM8" s="120"/>
      <c r="BN8" s="120"/>
    </row>
    <row r="9" spans="1:69">
      <c r="A9" s="120">
        <v>10044</v>
      </c>
      <c r="B9" s="120" t="s">
        <v>13</v>
      </c>
      <c r="C9" s="232">
        <v>1</v>
      </c>
      <c r="D9" s="232">
        <v>0</v>
      </c>
      <c r="E9" s="232">
        <v>20.611999999999998</v>
      </c>
      <c r="F9" s="232">
        <v>23.916</v>
      </c>
      <c r="G9" s="232">
        <v>24.05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  <c r="N9" s="232">
        <v>21.998000000000001</v>
      </c>
      <c r="O9" s="232">
        <v>22.09</v>
      </c>
      <c r="P9" s="232">
        <v>192702.48</v>
      </c>
      <c r="Q9" s="232">
        <v>193508.4</v>
      </c>
      <c r="R9" s="232">
        <v>19.373000000000001</v>
      </c>
      <c r="S9" s="232">
        <v>169707.48</v>
      </c>
      <c r="T9" s="232">
        <v>2.625</v>
      </c>
      <c r="U9" s="232">
        <v>2.7170000000000001</v>
      </c>
      <c r="V9" s="232">
        <v>2.625</v>
      </c>
      <c r="W9" s="232">
        <v>2.7170000000000001</v>
      </c>
      <c r="X9" s="232">
        <v>2.8758999999999998E-3</v>
      </c>
      <c r="Y9" s="232">
        <v>2.8758999999999998E-3</v>
      </c>
      <c r="Z9" s="232">
        <v>0</v>
      </c>
      <c r="AA9" s="232">
        <v>2.8758999999999998E-3</v>
      </c>
      <c r="AB9" s="232">
        <v>2.8758999999999998E-3</v>
      </c>
      <c r="AC9" s="232">
        <v>2.8758999999999998E-3</v>
      </c>
      <c r="AD9" s="232">
        <v>0.88067528175743237</v>
      </c>
      <c r="AE9" s="232">
        <v>0.87700746256677231</v>
      </c>
      <c r="AF9" s="232">
        <v>1.1354978578433903</v>
      </c>
      <c r="AG9" s="232">
        <v>1.1402467351468537</v>
      </c>
      <c r="AH9" s="232">
        <v>0</v>
      </c>
      <c r="AI9" s="232">
        <v>0</v>
      </c>
      <c r="AJ9" s="111"/>
      <c r="AK9" s="111"/>
      <c r="AL9" s="111"/>
      <c r="AM9" s="111"/>
      <c r="AN9" s="111"/>
      <c r="AO9" s="111"/>
      <c r="AP9" s="111"/>
      <c r="AQ9" s="120"/>
      <c r="AR9" s="120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20"/>
      <c r="BH9" s="120"/>
      <c r="BI9" s="120"/>
      <c r="BJ9" s="120"/>
      <c r="BK9" s="120"/>
      <c r="BL9" s="120"/>
      <c r="BM9" s="120"/>
      <c r="BN9" s="120"/>
    </row>
    <row r="10" spans="1:69">
      <c r="A10" s="120">
        <v>10046</v>
      </c>
      <c r="B10" s="120" t="s">
        <v>14</v>
      </c>
      <c r="C10" s="232">
        <v>0</v>
      </c>
      <c r="D10" s="232">
        <v>1</v>
      </c>
      <c r="E10" s="232">
        <v>83.072000000000003</v>
      </c>
      <c r="F10" s="232">
        <v>97.138000000000005</v>
      </c>
      <c r="G10" s="232">
        <v>98.18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  <c r="N10" s="232">
        <v>95.831999999999994</v>
      </c>
      <c r="O10" s="232">
        <v>97.424000000000007</v>
      </c>
      <c r="P10" s="232">
        <v>839488.32</v>
      </c>
      <c r="Q10" s="232">
        <v>853434.24000000011</v>
      </c>
      <c r="R10" s="232">
        <v>78.078000000000003</v>
      </c>
      <c r="S10" s="232">
        <v>683963.28</v>
      </c>
      <c r="T10" s="232">
        <v>17.754000000000001</v>
      </c>
      <c r="U10" s="232">
        <v>19.346</v>
      </c>
      <c r="V10" s="232">
        <v>17.754000000000001</v>
      </c>
      <c r="W10" s="232">
        <v>19.346</v>
      </c>
      <c r="X10" s="232">
        <v>1.15905E-2</v>
      </c>
      <c r="Y10" s="232">
        <v>1.15905E-2</v>
      </c>
      <c r="Z10" s="232">
        <v>0</v>
      </c>
      <c r="AA10" s="232">
        <v>1.15905E-2</v>
      </c>
      <c r="AB10" s="232">
        <v>1.15905E-2</v>
      </c>
      <c r="AC10" s="232">
        <v>1.15905E-2</v>
      </c>
      <c r="AD10" s="232">
        <v>0.81473588143313302</v>
      </c>
      <c r="AE10" s="232">
        <v>0.80142232909242073</v>
      </c>
      <c r="AF10" s="232">
        <v>1.2273879966187657</v>
      </c>
      <c r="AG10" s="232">
        <v>1.2477778631624785</v>
      </c>
      <c r="AH10" s="232">
        <v>7.9780000000000004E-2</v>
      </c>
      <c r="AI10" s="232">
        <v>8.1110000000000002E-2</v>
      </c>
      <c r="AJ10" s="111"/>
      <c r="AK10" s="111"/>
      <c r="AL10" s="111"/>
      <c r="AM10" s="111"/>
      <c r="AN10" s="111"/>
      <c r="AO10" s="111"/>
      <c r="AP10" s="111"/>
      <c r="AQ10" s="120"/>
      <c r="AR10" s="120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20"/>
      <c r="BH10" s="120"/>
      <c r="BI10" s="120"/>
      <c r="BJ10" s="120"/>
      <c r="BK10" s="120"/>
      <c r="BL10" s="120"/>
      <c r="BM10" s="120"/>
      <c r="BN10" s="120"/>
    </row>
    <row r="11" spans="1:69">
      <c r="A11" s="120">
        <v>10047</v>
      </c>
      <c r="B11" s="120" t="s">
        <v>15</v>
      </c>
      <c r="C11" s="232">
        <v>1</v>
      </c>
      <c r="D11" s="232">
        <v>0</v>
      </c>
      <c r="E11" s="232">
        <v>159.01</v>
      </c>
      <c r="F11" s="232">
        <v>152.72999999999999</v>
      </c>
      <c r="G11" s="232">
        <v>152.465</v>
      </c>
      <c r="H11" s="232">
        <v>0</v>
      </c>
      <c r="I11" s="232">
        <v>0</v>
      </c>
      <c r="J11" s="232">
        <v>0</v>
      </c>
      <c r="K11" s="232">
        <v>0</v>
      </c>
      <c r="L11" s="232">
        <v>0</v>
      </c>
      <c r="M11" s="232">
        <v>0</v>
      </c>
      <c r="N11" s="232">
        <v>153.65600000000001</v>
      </c>
      <c r="O11" s="232">
        <v>154.036</v>
      </c>
      <c r="P11" s="232">
        <v>1346026.56</v>
      </c>
      <c r="Q11" s="232">
        <v>1349355.36</v>
      </c>
      <c r="R11" s="232">
        <v>149.44999999999999</v>
      </c>
      <c r="S11" s="232">
        <v>1309182</v>
      </c>
      <c r="T11" s="232">
        <v>4.2060000000000004</v>
      </c>
      <c r="U11" s="232">
        <v>4.5860000000000003</v>
      </c>
      <c r="V11" s="232">
        <v>4.2060000000000004</v>
      </c>
      <c r="W11" s="232">
        <v>4.5860000000000003</v>
      </c>
      <c r="X11" s="232">
        <v>2.21856E-2</v>
      </c>
      <c r="Y11" s="232">
        <v>2.21856E-2</v>
      </c>
      <c r="Z11" s="232">
        <v>0</v>
      </c>
      <c r="AA11" s="232">
        <v>2.21856E-2</v>
      </c>
      <c r="AB11" s="232">
        <v>2.21856E-2</v>
      </c>
      <c r="AC11" s="232">
        <v>2.21856E-2</v>
      </c>
      <c r="AD11" s="232">
        <v>0.97262824901338063</v>
      </c>
      <c r="AE11" s="232">
        <v>0.97022881813602024</v>
      </c>
      <c r="AF11" s="232">
        <v>1.0281431917029107</v>
      </c>
      <c r="AG11" s="232">
        <v>1.0306858481097358</v>
      </c>
      <c r="AH11" s="232">
        <v>0</v>
      </c>
      <c r="AI11" s="232">
        <v>0</v>
      </c>
      <c r="AJ11" s="111"/>
      <c r="AK11" s="111"/>
      <c r="AL11" s="111"/>
      <c r="AM11" s="111"/>
      <c r="AN11" s="111"/>
      <c r="AO11" s="111"/>
      <c r="AP11" s="111"/>
      <c r="AQ11" s="120"/>
      <c r="AR11" s="120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20"/>
      <c r="BH11" s="120"/>
      <c r="BI11" s="120"/>
      <c r="BJ11" s="120"/>
      <c r="BK11" s="120"/>
      <c r="BL11" s="120"/>
      <c r="BM11" s="120"/>
      <c r="BN11" s="120"/>
    </row>
    <row r="12" spans="1:69">
      <c r="A12" s="120">
        <v>10055</v>
      </c>
      <c r="B12" s="120" t="s">
        <v>16</v>
      </c>
      <c r="C12" s="232">
        <v>1</v>
      </c>
      <c r="D12" s="232">
        <v>0</v>
      </c>
      <c r="E12" s="232">
        <v>0.40400000000000003</v>
      </c>
      <c r="F12" s="232">
        <v>0.39200000000000002</v>
      </c>
      <c r="G12" s="232">
        <v>0.39</v>
      </c>
      <c r="H12" s="232">
        <v>0</v>
      </c>
      <c r="I12" s="232">
        <v>0</v>
      </c>
      <c r="J12" s="232">
        <v>0</v>
      </c>
      <c r="K12" s="232">
        <v>0</v>
      </c>
      <c r="L12" s="232">
        <v>0</v>
      </c>
      <c r="M12" s="232">
        <v>0</v>
      </c>
      <c r="N12" s="232">
        <v>0.38600000000000001</v>
      </c>
      <c r="O12" s="232">
        <v>0.38600000000000001</v>
      </c>
      <c r="P12" s="232">
        <v>3381.36</v>
      </c>
      <c r="Q12" s="232">
        <v>3381.36</v>
      </c>
      <c r="R12" s="232">
        <v>0.38</v>
      </c>
      <c r="S12" s="232">
        <v>3328.8</v>
      </c>
      <c r="T12" s="232">
        <v>6.0000000000000001E-3</v>
      </c>
      <c r="U12" s="232">
        <v>6.0000000000000001E-3</v>
      </c>
      <c r="V12" s="232">
        <v>0</v>
      </c>
      <c r="W12" s="232">
        <v>0</v>
      </c>
      <c r="X12" s="232">
        <v>5.6400000000000002E-5</v>
      </c>
      <c r="Y12" s="232">
        <v>5.6400000000000002E-5</v>
      </c>
      <c r="Z12" s="232">
        <v>0</v>
      </c>
      <c r="AA12" s="232">
        <v>5.6400000000000002E-5</v>
      </c>
      <c r="AB12" s="232">
        <v>5.6400000000000002E-5</v>
      </c>
      <c r="AC12" s="232">
        <v>5.6400000000000002E-5</v>
      </c>
      <c r="AD12" s="232">
        <v>0.98427628911917109</v>
      </c>
      <c r="AE12" s="232">
        <v>0.98427628911917109</v>
      </c>
      <c r="AF12" s="232">
        <v>1.0157894736842106</v>
      </c>
      <c r="AG12" s="232">
        <v>1.0157894736842106</v>
      </c>
      <c r="AH12" s="232">
        <v>0</v>
      </c>
      <c r="AI12" s="232">
        <v>0</v>
      </c>
      <c r="AJ12" s="111"/>
      <c r="AK12" s="111"/>
      <c r="AL12" s="111"/>
      <c r="AM12" s="111"/>
      <c r="AN12" s="111"/>
      <c r="AO12" s="111"/>
      <c r="AP12" s="111"/>
      <c r="AQ12" s="120"/>
      <c r="AR12" s="120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20"/>
      <c r="BH12" s="120"/>
      <c r="BI12" s="120"/>
      <c r="BJ12" s="120"/>
      <c r="BK12" s="120"/>
      <c r="BL12" s="120"/>
      <c r="BM12" s="120"/>
      <c r="BN12" s="120"/>
    </row>
    <row r="13" spans="1:69">
      <c r="A13" s="120">
        <v>10057</v>
      </c>
      <c r="B13" s="120" t="s">
        <v>17</v>
      </c>
      <c r="C13" s="232">
        <v>1</v>
      </c>
      <c r="D13" s="232">
        <v>0</v>
      </c>
      <c r="E13" s="232">
        <v>21.382999999999999</v>
      </c>
      <c r="F13" s="232">
        <v>20.207000000000001</v>
      </c>
      <c r="G13" s="232">
        <v>20.148</v>
      </c>
      <c r="H13" s="232">
        <v>0</v>
      </c>
      <c r="I13" s="232">
        <v>0</v>
      </c>
      <c r="J13" s="232">
        <v>0.159</v>
      </c>
      <c r="K13" s="232">
        <v>0.158</v>
      </c>
      <c r="L13" s="232">
        <v>1392.84</v>
      </c>
      <c r="M13" s="232">
        <v>1384.08</v>
      </c>
      <c r="N13" s="232">
        <v>19.975999999999999</v>
      </c>
      <c r="O13" s="232">
        <v>19.975999999999999</v>
      </c>
      <c r="P13" s="232">
        <v>174989.75999999998</v>
      </c>
      <c r="Q13" s="232">
        <v>174989.75999999998</v>
      </c>
      <c r="R13" s="232">
        <v>20.097000000000001</v>
      </c>
      <c r="S13" s="232">
        <v>176049.72</v>
      </c>
      <c r="T13" s="232">
        <v>0</v>
      </c>
      <c r="U13" s="232">
        <v>0</v>
      </c>
      <c r="V13" s="232">
        <v>0</v>
      </c>
      <c r="W13" s="232">
        <v>0</v>
      </c>
      <c r="X13" s="232">
        <v>2.9654E-3</v>
      </c>
      <c r="Y13" s="232">
        <v>2.9654E-3</v>
      </c>
      <c r="Z13" s="232">
        <v>0</v>
      </c>
      <c r="AA13" s="232">
        <v>2.9654E-3</v>
      </c>
      <c r="AB13" s="232">
        <v>2.9654E-3</v>
      </c>
      <c r="AC13" s="232">
        <v>2.9654E-3</v>
      </c>
      <c r="AD13" s="232">
        <v>0.99999994926989177</v>
      </c>
      <c r="AE13" s="232">
        <v>0.99999994926989177</v>
      </c>
      <c r="AF13" s="232">
        <v>1</v>
      </c>
      <c r="AG13" s="232">
        <v>1</v>
      </c>
      <c r="AH13" s="232">
        <v>0</v>
      </c>
      <c r="AI13" s="232">
        <v>0</v>
      </c>
      <c r="AJ13" s="111"/>
      <c r="AK13" s="111"/>
      <c r="AL13" s="111"/>
      <c r="AM13" s="111"/>
      <c r="AN13" s="111"/>
      <c r="AO13" s="111"/>
      <c r="AP13" s="111"/>
      <c r="AQ13" s="120"/>
      <c r="AR13" s="120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20"/>
      <c r="BH13" s="120"/>
      <c r="BI13" s="120"/>
      <c r="BJ13" s="120"/>
      <c r="BK13" s="120"/>
      <c r="BL13" s="120"/>
      <c r="BM13" s="120"/>
      <c r="BN13" s="120"/>
    </row>
    <row r="14" spans="1:69">
      <c r="A14" s="120">
        <v>10059</v>
      </c>
      <c r="B14" s="120" t="s">
        <v>18</v>
      </c>
      <c r="C14" s="232">
        <v>1</v>
      </c>
      <c r="D14" s="232">
        <v>0</v>
      </c>
      <c r="E14" s="232">
        <v>7.7530000000000001</v>
      </c>
      <c r="F14" s="232">
        <v>7.625</v>
      </c>
      <c r="G14" s="232">
        <v>7.5990000000000002</v>
      </c>
      <c r="H14" s="232">
        <v>0</v>
      </c>
      <c r="I14" s="232">
        <v>0</v>
      </c>
      <c r="J14" s="232">
        <v>0</v>
      </c>
      <c r="K14" s="232">
        <v>0</v>
      </c>
      <c r="L14" s="232">
        <v>0</v>
      </c>
      <c r="M14" s="232">
        <v>0</v>
      </c>
      <c r="N14" s="232">
        <v>7.649</v>
      </c>
      <c r="O14" s="232">
        <v>7.6680000000000001</v>
      </c>
      <c r="P14" s="232">
        <v>67005.240000000005</v>
      </c>
      <c r="Q14" s="232">
        <v>67171.680000000008</v>
      </c>
      <c r="R14" s="232">
        <v>7.2869999999999999</v>
      </c>
      <c r="S14" s="232">
        <v>63834.12</v>
      </c>
      <c r="T14" s="232">
        <v>0.36199999999999999</v>
      </c>
      <c r="U14" s="232">
        <v>0.38100000000000001</v>
      </c>
      <c r="V14" s="232">
        <v>0</v>
      </c>
      <c r="W14" s="232">
        <v>0</v>
      </c>
      <c r="X14" s="232">
        <v>1.0816999999999999E-3</v>
      </c>
      <c r="Y14" s="232">
        <v>1.0816999999999999E-3</v>
      </c>
      <c r="Z14" s="232">
        <v>0</v>
      </c>
      <c r="AA14" s="232">
        <v>1.0816999999999999E-3</v>
      </c>
      <c r="AB14" s="232">
        <v>1.0816999999999999E-3</v>
      </c>
      <c r="AC14" s="232">
        <v>1.0816999999999999E-3</v>
      </c>
      <c r="AD14" s="232">
        <v>0.95263688459929408</v>
      </c>
      <c r="AE14" s="232">
        <v>0.95027641240219096</v>
      </c>
      <c r="AF14" s="232">
        <v>1.0496775078907643</v>
      </c>
      <c r="AG14" s="232">
        <v>1.0522848909016056</v>
      </c>
      <c r="AH14" s="232">
        <v>0</v>
      </c>
      <c r="AI14" s="232">
        <v>0</v>
      </c>
      <c r="AJ14" s="111"/>
      <c r="AK14" s="111"/>
      <c r="AL14" s="111"/>
      <c r="AM14" s="111"/>
      <c r="AN14" s="111"/>
      <c r="AO14" s="111"/>
      <c r="AP14" s="111"/>
      <c r="AQ14" s="120"/>
      <c r="AR14" s="120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20"/>
      <c r="BH14" s="120"/>
      <c r="BI14" s="120"/>
      <c r="BJ14" s="120"/>
      <c r="BK14" s="120"/>
      <c r="BL14" s="120"/>
      <c r="BM14" s="120"/>
      <c r="BN14" s="120"/>
    </row>
    <row r="15" spans="1:69">
      <c r="A15" s="120">
        <v>10061</v>
      </c>
      <c r="B15" s="120" t="s">
        <v>19</v>
      </c>
      <c r="C15" s="232">
        <v>1</v>
      </c>
      <c r="D15" s="232">
        <v>0</v>
      </c>
      <c r="E15" s="232">
        <v>8.8770000000000007</v>
      </c>
      <c r="F15" s="232">
        <v>9.7409999999999997</v>
      </c>
      <c r="G15" s="232">
        <v>9.8019999999999996</v>
      </c>
      <c r="H15" s="232">
        <v>0</v>
      </c>
      <c r="I15" s="232">
        <v>0</v>
      </c>
      <c r="J15" s="232">
        <v>0</v>
      </c>
      <c r="K15" s="232">
        <v>0</v>
      </c>
      <c r="L15" s="232">
        <v>0</v>
      </c>
      <c r="M15" s="232">
        <v>0</v>
      </c>
      <c r="N15" s="232">
        <v>9.4329999999999998</v>
      </c>
      <c r="O15" s="232">
        <v>9.4440000000000008</v>
      </c>
      <c r="P15" s="232">
        <v>82633.08</v>
      </c>
      <c r="Q15" s="232">
        <v>82729.440000000002</v>
      </c>
      <c r="R15" s="232">
        <v>8.343</v>
      </c>
      <c r="S15" s="232">
        <v>73084.679999999993</v>
      </c>
      <c r="T15" s="232">
        <v>1.0900000000000001</v>
      </c>
      <c r="U15" s="232">
        <v>1.101</v>
      </c>
      <c r="V15" s="232">
        <v>1.0900000000000001</v>
      </c>
      <c r="W15" s="232">
        <v>1.101</v>
      </c>
      <c r="X15" s="232">
        <v>1.2385E-3</v>
      </c>
      <c r="Y15" s="232">
        <v>1.2385E-3</v>
      </c>
      <c r="Z15" s="232">
        <v>0</v>
      </c>
      <c r="AA15" s="232">
        <v>1.2385E-3</v>
      </c>
      <c r="AB15" s="232">
        <v>1.2385E-3</v>
      </c>
      <c r="AC15" s="232">
        <v>1.2385E-3</v>
      </c>
      <c r="AD15" s="232">
        <v>0.88444615938725757</v>
      </c>
      <c r="AE15" s="232">
        <v>0.88341599126429482</v>
      </c>
      <c r="AF15" s="232">
        <v>1.1306484478005514</v>
      </c>
      <c r="AG15" s="232">
        <v>1.1319669183746854</v>
      </c>
      <c r="AH15" s="232">
        <v>0</v>
      </c>
      <c r="AI15" s="232">
        <v>0</v>
      </c>
      <c r="AJ15" s="111"/>
      <c r="AK15" s="111"/>
      <c r="AL15" s="111"/>
      <c r="AM15" s="111"/>
      <c r="AN15" s="111"/>
      <c r="AO15" s="111"/>
      <c r="AP15" s="111"/>
      <c r="AQ15" s="120"/>
      <c r="AR15" s="120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20"/>
      <c r="BH15" s="120"/>
      <c r="BI15" s="120"/>
      <c r="BJ15" s="120"/>
      <c r="BK15" s="120"/>
      <c r="BL15" s="120"/>
      <c r="BM15" s="120"/>
      <c r="BN15" s="120"/>
    </row>
    <row r="16" spans="1:69">
      <c r="A16" s="120">
        <v>10062</v>
      </c>
      <c r="B16" s="120" t="s">
        <v>20</v>
      </c>
      <c r="C16" s="232">
        <v>1</v>
      </c>
      <c r="D16" s="232">
        <v>0</v>
      </c>
      <c r="E16" s="232">
        <v>5.399</v>
      </c>
      <c r="F16" s="232">
        <v>9.0280000000000005</v>
      </c>
      <c r="G16" s="232">
        <v>9.09</v>
      </c>
      <c r="H16" s="232">
        <v>0</v>
      </c>
      <c r="I16" s="232">
        <v>0</v>
      </c>
      <c r="J16" s="232">
        <v>1.883</v>
      </c>
      <c r="K16" s="232">
        <v>1.881</v>
      </c>
      <c r="L16" s="232">
        <v>16495.080000000002</v>
      </c>
      <c r="M16" s="232">
        <v>16477.560000000001</v>
      </c>
      <c r="N16" s="232">
        <v>7.17</v>
      </c>
      <c r="O16" s="232">
        <v>7.266</v>
      </c>
      <c r="P16" s="232">
        <v>62809.2</v>
      </c>
      <c r="Q16" s="232">
        <v>63650.16</v>
      </c>
      <c r="R16" s="232">
        <v>5.0739999999999998</v>
      </c>
      <c r="S16" s="232">
        <v>44448.24</v>
      </c>
      <c r="T16" s="232">
        <v>2.0960000000000001</v>
      </c>
      <c r="U16" s="232">
        <v>2.1920000000000002</v>
      </c>
      <c r="V16" s="232">
        <v>2.0960000000000001</v>
      </c>
      <c r="W16" s="232">
        <v>2.1920000000000002</v>
      </c>
      <c r="X16" s="232">
        <v>7.5319999999999998E-4</v>
      </c>
      <c r="Y16" s="232">
        <v>7.5319999999999998E-4</v>
      </c>
      <c r="Z16" s="232">
        <v>0</v>
      </c>
      <c r="AA16" s="232">
        <v>7.5319999999999998E-4</v>
      </c>
      <c r="AB16" s="232">
        <v>7.5319999999999998E-4</v>
      </c>
      <c r="AC16" s="232">
        <v>7.5319999999999998E-4</v>
      </c>
      <c r="AD16" s="232">
        <v>0.76840410991050712</v>
      </c>
      <c r="AE16" s="232">
        <v>0.76033952102328628</v>
      </c>
      <c r="AF16" s="232">
        <v>1.4130863224280648</v>
      </c>
      <c r="AG16" s="232">
        <v>1.4320063066614113</v>
      </c>
      <c r="AH16" s="232">
        <v>0</v>
      </c>
      <c r="AI16" s="232">
        <v>0</v>
      </c>
      <c r="AJ16" s="111"/>
      <c r="AK16" s="111"/>
      <c r="AL16" s="111"/>
      <c r="AM16" s="111"/>
      <c r="AN16" s="111"/>
      <c r="AO16" s="111"/>
      <c r="AP16" s="111"/>
      <c r="AQ16" s="120"/>
      <c r="AR16" s="120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20"/>
      <c r="BH16" s="120"/>
      <c r="BI16" s="120"/>
      <c r="BJ16" s="120"/>
      <c r="BK16" s="120"/>
      <c r="BL16" s="120"/>
      <c r="BM16" s="120"/>
      <c r="BN16" s="120"/>
    </row>
    <row r="17" spans="1:66">
      <c r="A17" s="120">
        <v>10064</v>
      </c>
      <c r="B17" s="120" t="s">
        <v>21</v>
      </c>
      <c r="C17" s="232">
        <v>1</v>
      </c>
      <c r="D17" s="232">
        <v>0</v>
      </c>
      <c r="E17" s="232">
        <v>14.273999999999999</v>
      </c>
      <c r="F17" s="232">
        <v>16.64</v>
      </c>
      <c r="G17" s="232">
        <v>17.510999999999999</v>
      </c>
      <c r="H17" s="232">
        <v>0</v>
      </c>
      <c r="I17" s="232">
        <v>0</v>
      </c>
      <c r="J17" s="232">
        <v>0</v>
      </c>
      <c r="K17" s="232">
        <v>0</v>
      </c>
      <c r="L17" s="232">
        <v>0</v>
      </c>
      <c r="M17" s="232">
        <v>0</v>
      </c>
      <c r="N17" s="232">
        <v>13.851000000000001</v>
      </c>
      <c r="O17" s="232">
        <v>13.878</v>
      </c>
      <c r="P17" s="232">
        <v>121334.76000000001</v>
      </c>
      <c r="Q17" s="232">
        <v>121571.28</v>
      </c>
      <c r="R17" s="232">
        <v>13.416</v>
      </c>
      <c r="S17" s="232">
        <v>117524.16</v>
      </c>
      <c r="T17" s="232">
        <v>0.435</v>
      </c>
      <c r="U17" s="232">
        <v>0.46200000000000002</v>
      </c>
      <c r="V17" s="232">
        <v>0</v>
      </c>
      <c r="W17" s="232">
        <v>0</v>
      </c>
      <c r="X17" s="232">
        <v>1.9916000000000001E-3</v>
      </c>
      <c r="Y17" s="232">
        <v>1.9916000000000001E-3</v>
      </c>
      <c r="Z17" s="232">
        <v>0</v>
      </c>
      <c r="AA17" s="232">
        <v>1.9916000000000001E-3</v>
      </c>
      <c r="AB17" s="232">
        <v>1.9916000000000001E-3</v>
      </c>
      <c r="AC17" s="232">
        <v>1.9916000000000001E-3</v>
      </c>
      <c r="AD17" s="232">
        <v>0.96860389750920517</v>
      </c>
      <c r="AE17" s="232">
        <v>0.96671945412883709</v>
      </c>
      <c r="AF17" s="232">
        <v>1.0324239713774599</v>
      </c>
      <c r="AG17" s="232">
        <v>1.0344364937388193</v>
      </c>
      <c r="AH17" s="232">
        <v>0</v>
      </c>
      <c r="AI17" s="232">
        <v>0</v>
      </c>
      <c r="AJ17" s="111"/>
      <c r="AK17" s="111"/>
      <c r="AL17" s="111"/>
      <c r="AM17" s="111"/>
      <c r="AN17" s="111"/>
      <c r="AO17" s="111"/>
      <c r="AP17" s="111"/>
      <c r="AQ17" s="120"/>
      <c r="AR17" s="120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20"/>
      <c r="BH17" s="120"/>
      <c r="BI17" s="120"/>
      <c r="BJ17" s="120"/>
      <c r="BK17" s="120"/>
      <c r="BL17" s="120"/>
      <c r="BM17" s="120"/>
      <c r="BN17" s="120"/>
    </row>
    <row r="18" spans="1:66">
      <c r="A18" s="120">
        <v>10065</v>
      </c>
      <c r="B18" s="120" t="s">
        <v>22</v>
      </c>
      <c r="C18" s="232">
        <v>1</v>
      </c>
      <c r="D18" s="232">
        <v>0</v>
      </c>
      <c r="E18" s="232">
        <v>2.4129999999999998</v>
      </c>
      <c r="F18" s="232">
        <v>4.5209999999999999</v>
      </c>
      <c r="G18" s="232">
        <v>4.5270000000000001</v>
      </c>
      <c r="H18" s="232">
        <v>0</v>
      </c>
      <c r="I18" s="232">
        <v>0</v>
      </c>
      <c r="J18" s="232">
        <v>0</v>
      </c>
      <c r="K18" s="232">
        <v>0</v>
      </c>
      <c r="L18" s="232">
        <v>0</v>
      </c>
      <c r="M18" s="232">
        <v>0</v>
      </c>
      <c r="N18" s="232">
        <v>4.3639999999999999</v>
      </c>
      <c r="O18" s="232">
        <v>4.3879999999999999</v>
      </c>
      <c r="P18" s="232">
        <v>38228.639999999999</v>
      </c>
      <c r="Q18" s="232">
        <v>38438.879999999997</v>
      </c>
      <c r="R18" s="232">
        <v>2.2679999999999998</v>
      </c>
      <c r="S18" s="232">
        <v>19867.679999999997</v>
      </c>
      <c r="T18" s="232">
        <v>2.0960000000000001</v>
      </c>
      <c r="U18" s="232">
        <v>2.12</v>
      </c>
      <c r="V18" s="232">
        <v>2.0960000000000001</v>
      </c>
      <c r="W18" s="232">
        <v>2.12</v>
      </c>
      <c r="X18" s="232">
        <v>3.367E-4</v>
      </c>
      <c r="Y18" s="232">
        <v>3.367E-4</v>
      </c>
      <c r="Z18" s="232">
        <v>0</v>
      </c>
      <c r="AA18" s="232">
        <v>3.367E-4</v>
      </c>
      <c r="AB18" s="232">
        <v>3.367E-4</v>
      </c>
      <c r="AC18" s="232">
        <v>3.367E-4</v>
      </c>
      <c r="AD18" s="232">
        <v>0.51973695584326307</v>
      </c>
      <c r="AE18" s="232">
        <v>0.51689427422515954</v>
      </c>
      <c r="AF18" s="232">
        <v>1.924162257495591</v>
      </c>
      <c r="AG18" s="232">
        <v>1.9347442680776015</v>
      </c>
      <c r="AH18" s="232">
        <v>7.6969999999999997E-2</v>
      </c>
      <c r="AI18" s="232">
        <v>7.739E-2</v>
      </c>
      <c r="AJ18" s="111"/>
      <c r="AK18" s="111"/>
      <c r="AL18" s="111"/>
      <c r="AM18" s="111"/>
      <c r="AN18" s="111"/>
      <c r="AO18" s="111"/>
      <c r="AP18" s="111"/>
      <c r="AQ18" s="120"/>
      <c r="AR18" s="120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20"/>
      <c r="BH18" s="120"/>
      <c r="BI18" s="120"/>
      <c r="BJ18" s="120"/>
      <c r="BK18" s="120"/>
      <c r="BL18" s="120"/>
      <c r="BM18" s="120"/>
      <c r="BN18" s="120"/>
    </row>
    <row r="19" spans="1:66">
      <c r="A19" s="120">
        <v>10066</v>
      </c>
      <c r="B19" s="120" t="s">
        <v>23</v>
      </c>
      <c r="C19" s="232">
        <v>1</v>
      </c>
      <c r="D19" s="232">
        <v>0</v>
      </c>
      <c r="E19" s="232">
        <v>24.734999999999999</v>
      </c>
      <c r="F19" s="232">
        <v>32.372999999999998</v>
      </c>
      <c r="G19" s="232">
        <v>32.43</v>
      </c>
      <c r="H19" s="232">
        <v>0</v>
      </c>
      <c r="I19" s="232">
        <v>0</v>
      </c>
      <c r="J19" s="232">
        <v>7.1289999999999996</v>
      </c>
      <c r="K19" s="232">
        <v>7.1139999999999999</v>
      </c>
      <c r="L19" s="232">
        <v>62450.039999999994</v>
      </c>
      <c r="M19" s="232">
        <v>62318.64</v>
      </c>
      <c r="N19" s="232">
        <v>25.625</v>
      </c>
      <c r="O19" s="232">
        <v>25.625</v>
      </c>
      <c r="P19" s="232">
        <v>224475</v>
      </c>
      <c r="Q19" s="232">
        <v>224475</v>
      </c>
      <c r="R19" s="232">
        <v>23.248000000000001</v>
      </c>
      <c r="S19" s="232">
        <v>203652.48000000001</v>
      </c>
      <c r="T19" s="232">
        <v>2.3769999999999998</v>
      </c>
      <c r="U19" s="232">
        <v>2.3769999999999998</v>
      </c>
      <c r="V19" s="232">
        <v>2.3769999999999998</v>
      </c>
      <c r="W19" s="232">
        <v>2.3769999999999998</v>
      </c>
      <c r="X19" s="232">
        <v>3.4510999999999999E-3</v>
      </c>
      <c r="Y19" s="232">
        <v>3.4510999999999999E-3</v>
      </c>
      <c r="Z19" s="232">
        <v>0</v>
      </c>
      <c r="AA19" s="232">
        <v>3.4510999999999999E-3</v>
      </c>
      <c r="AB19" s="232">
        <v>3.4510999999999999E-3</v>
      </c>
      <c r="AC19" s="232">
        <v>3.4510999999999999E-3</v>
      </c>
      <c r="AD19" s="232">
        <v>0.92739083493387109</v>
      </c>
      <c r="AE19" s="232">
        <v>0.92739083493387109</v>
      </c>
      <c r="AF19" s="232">
        <v>1.1022453544390916</v>
      </c>
      <c r="AG19" s="232">
        <v>1.1022453544390916</v>
      </c>
      <c r="AH19" s="232">
        <v>0</v>
      </c>
      <c r="AI19" s="232">
        <v>0</v>
      </c>
      <c r="AJ19" s="111"/>
      <c r="AK19" s="111"/>
      <c r="AL19" s="111"/>
      <c r="AM19" s="111"/>
      <c r="AN19" s="111"/>
      <c r="AO19" s="111"/>
      <c r="AP19" s="111"/>
      <c r="AQ19" s="120"/>
      <c r="AR19" s="120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20"/>
      <c r="BH19" s="120"/>
      <c r="BI19" s="120"/>
      <c r="BJ19" s="120"/>
      <c r="BK19" s="120"/>
      <c r="BL19" s="120"/>
      <c r="BM19" s="120"/>
      <c r="BN19" s="120"/>
    </row>
    <row r="20" spans="1:66">
      <c r="A20" s="120">
        <v>10067</v>
      </c>
      <c r="B20" s="120" t="s">
        <v>24</v>
      </c>
      <c r="C20" s="232">
        <v>1</v>
      </c>
      <c r="D20" s="232">
        <v>0</v>
      </c>
      <c r="E20" s="232">
        <v>16.053000000000001</v>
      </c>
      <c r="F20" s="232">
        <v>17.495000000000001</v>
      </c>
      <c r="G20" s="232">
        <v>17.911000000000001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  <c r="N20" s="232">
        <v>17.373000000000001</v>
      </c>
      <c r="O20" s="232">
        <v>17.510000000000002</v>
      </c>
      <c r="P20" s="232">
        <v>152187.48000000001</v>
      </c>
      <c r="Q20" s="232">
        <v>153387.6</v>
      </c>
      <c r="R20" s="232">
        <v>15.087999999999999</v>
      </c>
      <c r="S20" s="232">
        <v>132170.88</v>
      </c>
      <c r="T20" s="232">
        <v>2.2850000000000001</v>
      </c>
      <c r="U20" s="232">
        <v>2.4220000000000002</v>
      </c>
      <c r="V20" s="232">
        <v>2.2850000000000001</v>
      </c>
      <c r="W20" s="232">
        <v>2.4220000000000002</v>
      </c>
      <c r="X20" s="232">
        <v>2.2398000000000001E-3</v>
      </c>
      <c r="Y20" s="232">
        <v>2.2398000000000001E-3</v>
      </c>
      <c r="Z20" s="232">
        <v>0</v>
      </c>
      <c r="AA20" s="232">
        <v>2.2398000000000001E-3</v>
      </c>
      <c r="AB20" s="232">
        <v>2.2398000000000001E-3</v>
      </c>
      <c r="AC20" s="232">
        <v>2.2398000000000001E-3</v>
      </c>
      <c r="AD20" s="232">
        <v>0.86847964589880844</v>
      </c>
      <c r="AE20" s="232">
        <v>0.86168457385494002</v>
      </c>
      <c r="AF20" s="232">
        <v>1.151444856839873</v>
      </c>
      <c r="AG20" s="232">
        <v>1.1605249204665962</v>
      </c>
      <c r="AH20" s="232">
        <v>0</v>
      </c>
      <c r="AI20" s="232">
        <v>0</v>
      </c>
      <c r="AJ20" s="111"/>
      <c r="AK20" s="111"/>
      <c r="AL20" s="111"/>
      <c r="AM20" s="111"/>
      <c r="AN20" s="111"/>
      <c r="AO20" s="111"/>
      <c r="AP20" s="111"/>
      <c r="AQ20" s="120"/>
      <c r="AR20" s="120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20"/>
      <c r="BH20" s="120"/>
      <c r="BI20" s="120"/>
      <c r="BJ20" s="120"/>
      <c r="BK20" s="120"/>
      <c r="BL20" s="120"/>
      <c r="BM20" s="120"/>
      <c r="BN20" s="120"/>
    </row>
    <row r="21" spans="1:66">
      <c r="A21" s="120">
        <v>10068</v>
      </c>
      <c r="B21" s="120" t="s">
        <v>25</v>
      </c>
      <c r="C21" s="232">
        <v>1</v>
      </c>
      <c r="D21" s="232">
        <v>0</v>
      </c>
      <c r="E21" s="232">
        <v>2.8109999999999999</v>
      </c>
      <c r="F21" s="232">
        <v>2.5289999999999999</v>
      </c>
      <c r="G21" s="232">
        <v>2.52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  <c r="N21" s="232">
        <v>2.589</v>
      </c>
      <c r="O21" s="232">
        <v>2.5939999999999999</v>
      </c>
      <c r="P21" s="232">
        <v>22679.64</v>
      </c>
      <c r="Q21" s="232">
        <v>22723.439999999999</v>
      </c>
      <c r="R21" s="232">
        <v>2.6419999999999999</v>
      </c>
      <c r="S21" s="232">
        <v>23143.919999999998</v>
      </c>
      <c r="T21" s="232">
        <v>0</v>
      </c>
      <c r="U21" s="232">
        <v>0</v>
      </c>
      <c r="V21" s="232">
        <v>0</v>
      </c>
      <c r="W21" s="232">
        <v>0</v>
      </c>
      <c r="X21" s="232">
        <v>3.8430000000000002E-4</v>
      </c>
      <c r="Y21" s="232">
        <v>3.8509999999999998E-4</v>
      </c>
      <c r="Z21" s="232">
        <v>0</v>
      </c>
      <c r="AA21" s="232">
        <v>3.8430000000000002E-4</v>
      </c>
      <c r="AB21" s="232">
        <v>3.8509999999999998E-4</v>
      </c>
      <c r="AC21" s="232">
        <v>3.8469999999999997E-4</v>
      </c>
      <c r="AD21" s="232">
        <v>0.99991609258400937</v>
      </c>
      <c r="AE21" s="232">
        <v>1</v>
      </c>
      <c r="AF21" s="232">
        <v>1</v>
      </c>
      <c r="AG21" s="232">
        <v>1</v>
      </c>
      <c r="AH21" s="232">
        <v>0</v>
      </c>
      <c r="AI21" s="232">
        <v>0</v>
      </c>
      <c r="AJ21" s="111"/>
      <c r="AK21" s="111"/>
      <c r="AL21" s="111"/>
      <c r="AM21" s="111"/>
      <c r="AN21" s="111"/>
      <c r="AO21" s="111"/>
      <c r="AP21" s="111"/>
      <c r="AQ21" s="120"/>
      <c r="AR21" s="120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20"/>
      <c r="BH21" s="120"/>
      <c r="BI21" s="120"/>
      <c r="BJ21" s="120"/>
      <c r="BK21" s="120"/>
      <c r="BL21" s="120"/>
      <c r="BM21" s="120"/>
      <c r="BN21" s="120"/>
    </row>
    <row r="22" spans="1:66">
      <c r="A22" s="120">
        <v>10070</v>
      </c>
      <c r="B22" s="120" t="s">
        <v>26</v>
      </c>
      <c r="C22" s="232">
        <v>1</v>
      </c>
      <c r="D22" s="232">
        <v>0</v>
      </c>
      <c r="E22" s="232">
        <v>0.36399999999999999</v>
      </c>
      <c r="F22" s="232">
        <v>0.39</v>
      </c>
      <c r="G22" s="232">
        <v>0.38900000000000001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  <c r="N22" s="232">
        <v>0.377</v>
      </c>
      <c r="O22" s="232">
        <v>0.377</v>
      </c>
      <c r="P22" s="232">
        <v>3302.52</v>
      </c>
      <c r="Q22" s="232">
        <v>3302.52</v>
      </c>
      <c r="R22" s="232">
        <v>0.34200000000000003</v>
      </c>
      <c r="S22" s="232">
        <v>2995.92</v>
      </c>
      <c r="T22" s="232">
        <v>3.5000000000000003E-2</v>
      </c>
      <c r="U22" s="232">
        <v>3.5000000000000003E-2</v>
      </c>
      <c r="V22" s="232">
        <v>0</v>
      </c>
      <c r="W22" s="232">
        <v>0</v>
      </c>
      <c r="X22" s="232">
        <v>5.0800000000000002E-5</v>
      </c>
      <c r="Y22" s="232">
        <v>5.0800000000000002E-5</v>
      </c>
      <c r="Z22" s="232">
        <v>0</v>
      </c>
      <c r="AA22" s="232">
        <v>5.0800000000000002E-5</v>
      </c>
      <c r="AB22" s="232">
        <v>5.0800000000000002E-5</v>
      </c>
      <c r="AC22" s="232">
        <v>5.0800000000000002E-5</v>
      </c>
      <c r="AD22" s="232">
        <v>0.90771097400530509</v>
      </c>
      <c r="AE22" s="232">
        <v>0.90771097400530509</v>
      </c>
      <c r="AF22" s="232">
        <v>1.1023391812865497</v>
      </c>
      <c r="AG22" s="232">
        <v>1.1023391812865497</v>
      </c>
      <c r="AH22" s="232">
        <v>0</v>
      </c>
      <c r="AI22" s="232">
        <v>0</v>
      </c>
      <c r="AJ22" s="111"/>
      <c r="AK22" s="111"/>
      <c r="AL22" s="111"/>
      <c r="AM22" s="111"/>
      <c r="AN22" s="111"/>
      <c r="AO22" s="111"/>
      <c r="AP22" s="111"/>
      <c r="AQ22" s="120"/>
      <c r="AR22" s="120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20"/>
      <c r="BH22" s="120"/>
      <c r="BI22" s="120"/>
      <c r="BJ22" s="120"/>
      <c r="BK22" s="120"/>
      <c r="BL22" s="120"/>
      <c r="BM22" s="120"/>
      <c r="BN22" s="120"/>
    </row>
    <row r="23" spans="1:66">
      <c r="A23" s="120">
        <v>10071</v>
      </c>
      <c r="B23" s="120" t="s">
        <v>27</v>
      </c>
      <c r="C23" s="232">
        <v>1</v>
      </c>
      <c r="D23" s="232">
        <v>0</v>
      </c>
      <c r="E23" s="232">
        <v>1.9430000000000001</v>
      </c>
      <c r="F23" s="232">
        <v>1.87</v>
      </c>
      <c r="G23" s="232">
        <v>1.8640000000000001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  <c r="N23" s="232">
        <v>1.8779999999999999</v>
      </c>
      <c r="O23" s="232">
        <v>1.8779999999999999</v>
      </c>
      <c r="P23" s="232">
        <v>16451.28</v>
      </c>
      <c r="Q23" s="232">
        <v>16451.28</v>
      </c>
      <c r="R23" s="232">
        <v>1.8260000000000001</v>
      </c>
      <c r="S23" s="232">
        <v>15995.76</v>
      </c>
      <c r="T23" s="232">
        <v>5.1999999999999998E-2</v>
      </c>
      <c r="U23" s="232">
        <v>5.1999999999999998E-2</v>
      </c>
      <c r="V23" s="232">
        <v>0</v>
      </c>
      <c r="W23" s="232">
        <v>0</v>
      </c>
      <c r="X23" s="232">
        <v>2.7109999999999998E-4</v>
      </c>
      <c r="Y23" s="232">
        <v>2.7109999999999998E-4</v>
      </c>
      <c r="Z23" s="232">
        <v>0</v>
      </c>
      <c r="AA23" s="232">
        <v>2.7109999999999998E-4</v>
      </c>
      <c r="AB23" s="232">
        <v>2.7109999999999998E-4</v>
      </c>
      <c r="AC23" s="232">
        <v>2.7109999999999998E-4</v>
      </c>
      <c r="AD23" s="232">
        <v>0.97243180239616622</v>
      </c>
      <c r="AE23" s="232">
        <v>0.97243180239616622</v>
      </c>
      <c r="AF23" s="232">
        <v>1.0284775465498357</v>
      </c>
      <c r="AG23" s="232">
        <v>1.0284775465498357</v>
      </c>
      <c r="AH23" s="232">
        <v>0</v>
      </c>
      <c r="AI23" s="232">
        <v>0</v>
      </c>
      <c r="AJ23" s="111"/>
      <c r="AK23" s="111"/>
      <c r="AL23" s="111"/>
      <c r="AM23" s="111"/>
      <c r="AN23" s="111"/>
      <c r="AO23" s="111"/>
      <c r="AP23" s="111"/>
      <c r="AQ23" s="120"/>
      <c r="AR23" s="120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20"/>
      <c r="BH23" s="120"/>
      <c r="BI23" s="120"/>
      <c r="BJ23" s="120"/>
      <c r="BK23" s="120"/>
      <c r="BL23" s="120"/>
      <c r="BM23" s="120"/>
      <c r="BN23" s="120"/>
    </row>
    <row r="24" spans="1:66">
      <c r="A24" s="122">
        <v>10072</v>
      </c>
      <c r="B24" s="122" t="s">
        <v>28</v>
      </c>
      <c r="C24" s="232">
        <v>1</v>
      </c>
      <c r="D24" s="232">
        <v>0</v>
      </c>
      <c r="E24" s="232">
        <v>24.34</v>
      </c>
      <c r="F24" s="232">
        <v>25.579000000000001</v>
      </c>
      <c r="G24" s="232">
        <v>25.696999999999999</v>
      </c>
      <c r="H24" s="232">
        <v>0</v>
      </c>
      <c r="I24" s="232">
        <v>0</v>
      </c>
      <c r="J24" s="232">
        <v>0</v>
      </c>
      <c r="K24" s="232">
        <v>0</v>
      </c>
      <c r="L24" s="232">
        <v>0</v>
      </c>
      <c r="M24" s="232">
        <v>0</v>
      </c>
      <c r="N24" s="232">
        <v>24.574999999999999</v>
      </c>
      <c r="O24" s="232">
        <v>24.65</v>
      </c>
      <c r="P24" s="232">
        <v>215277</v>
      </c>
      <c r="Q24" s="232">
        <v>215934</v>
      </c>
      <c r="R24" s="232">
        <v>22.876999999999999</v>
      </c>
      <c r="S24" s="232">
        <v>200402.52</v>
      </c>
      <c r="T24" s="232">
        <v>1.698</v>
      </c>
      <c r="U24" s="232">
        <v>1.7729999999999999</v>
      </c>
      <c r="V24" s="232">
        <v>1.698</v>
      </c>
      <c r="W24" s="232">
        <v>1.7729999999999999</v>
      </c>
      <c r="X24" s="232">
        <v>3.3960000000000001E-3</v>
      </c>
      <c r="Y24" s="232">
        <v>3.3960000000000001E-3</v>
      </c>
      <c r="Z24" s="232">
        <v>0</v>
      </c>
      <c r="AA24" s="232">
        <v>3.3960000000000001E-3</v>
      </c>
      <c r="AB24" s="232">
        <v>3.3960000000000001E-3</v>
      </c>
      <c r="AC24" s="232">
        <v>3.3960000000000001E-3</v>
      </c>
      <c r="AD24" s="232">
        <v>0.93089217350966436</v>
      </c>
      <c r="AE24" s="232">
        <v>0.92805984438133882</v>
      </c>
      <c r="AF24" s="232">
        <v>1.0742230187524588</v>
      </c>
      <c r="AG24" s="232">
        <v>1.0775014206408182</v>
      </c>
      <c r="AH24" s="232">
        <v>0</v>
      </c>
      <c r="AI24" s="232">
        <v>0</v>
      </c>
      <c r="AJ24" s="118"/>
      <c r="AK24" s="118"/>
      <c r="AL24" s="118"/>
      <c r="AM24" s="118"/>
      <c r="AN24" s="118"/>
      <c r="AO24" s="118"/>
      <c r="AP24" s="118"/>
      <c r="AS24" s="117"/>
      <c r="AT24" s="117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17"/>
      <c r="BF24" s="117"/>
      <c r="BG24" s="120"/>
      <c r="BM24" s="120"/>
      <c r="BN24" s="120"/>
    </row>
    <row r="25" spans="1:66">
      <c r="A25" s="120">
        <v>10074</v>
      </c>
      <c r="B25" s="120" t="s">
        <v>29</v>
      </c>
      <c r="C25" s="232">
        <v>1</v>
      </c>
      <c r="D25" s="232">
        <v>0</v>
      </c>
      <c r="E25" s="232">
        <v>27.08</v>
      </c>
      <c r="F25" s="232">
        <v>32.360999999999997</v>
      </c>
      <c r="G25" s="232">
        <v>32.518999999999998</v>
      </c>
      <c r="H25" s="232">
        <v>0</v>
      </c>
      <c r="I25" s="232">
        <v>0</v>
      </c>
      <c r="J25" s="232">
        <v>2.9510000000000001</v>
      </c>
      <c r="K25" s="232">
        <v>2.94</v>
      </c>
      <c r="L25" s="232">
        <v>25850.760000000002</v>
      </c>
      <c r="M25" s="232">
        <v>25754.399999999998</v>
      </c>
      <c r="N25" s="232">
        <v>27.280999999999999</v>
      </c>
      <c r="O25" s="232">
        <v>27.356999999999999</v>
      </c>
      <c r="P25" s="232">
        <v>238981.56</v>
      </c>
      <c r="Q25" s="232">
        <v>239647.32</v>
      </c>
      <c r="R25" s="232">
        <v>25.452000000000002</v>
      </c>
      <c r="S25" s="232">
        <v>222959.52000000002</v>
      </c>
      <c r="T25" s="232">
        <v>1.829</v>
      </c>
      <c r="U25" s="232">
        <v>1.905</v>
      </c>
      <c r="V25" s="232">
        <v>1.829</v>
      </c>
      <c r="W25" s="232">
        <v>1.905</v>
      </c>
      <c r="X25" s="232">
        <v>3.7783000000000001E-3</v>
      </c>
      <c r="Y25" s="232">
        <v>3.7783000000000001E-3</v>
      </c>
      <c r="Z25" s="232">
        <v>0</v>
      </c>
      <c r="AA25" s="232">
        <v>3.7783000000000001E-3</v>
      </c>
      <c r="AB25" s="232">
        <v>3.7783000000000001E-3</v>
      </c>
      <c r="AC25" s="232">
        <v>3.7783000000000001E-3</v>
      </c>
      <c r="AD25" s="232">
        <v>0.93948268569301541</v>
      </c>
      <c r="AE25" s="232">
        <v>0.93712407451646984</v>
      </c>
      <c r="AF25" s="232">
        <v>1.0718607575043217</v>
      </c>
      <c r="AG25" s="232">
        <v>1.0748467703913247</v>
      </c>
      <c r="AH25" s="232">
        <v>0</v>
      </c>
      <c r="AI25" s="232">
        <v>0</v>
      </c>
      <c r="AJ25" s="111"/>
      <c r="AK25" s="111"/>
      <c r="AL25" s="111"/>
      <c r="AM25" s="111"/>
      <c r="AN25" s="111"/>
      <c r="AO25" s="111"/>
      <c r="AP25" s="111"/>
      <c r="AQ25" s="120"/>
      <c r="AR25" s="120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20"/>
      <c r="BH25" s="120"/>
      <c r="BI25" s="120"/>
      <c r="BJ25" s="120"/>
      <c r="BK25" s="120"/>
      <c r="BL25" s="120"/>
      <c r="BM25" s="120"/>
      <c r="BN25" s="120"/>
    </row>
    <row r="26" spans="1:66">
      <c r="A26" s="120">
        <v>10076</v>
      </c>
      <c r="B26" s="120" t="s">
        <v>30</v>
      </c>
      <c r="C26" s="232">
        <v>1</v>
      </c>
      <c r="D26" s="232">
        <v>0</v>
      </c>
      <c r="E26" s="232">
        <v>4.8890000000000002</v>
      </c>
      <c r="F26" s="232">
        <v>8.0579999999999998</v>
      </c>
      <c r="G26" s="232">
        <v>8.1319999999999997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  <c r="N26" s="232">
        <v>7.8310000000000004</v>
      </c>
      <c r="O26" s="232">
        <v>7.8639999999999999</v>
      </c>
      <c r="P26" s="232">
        <v>68599.56</v>
      </c>
      <c r="Q26" s="232">
        <v>68888.639999999999</v>
      </c>
      <c r="R26" s="232">
        <v>4.5949999999999998</v>
      </c>
      <c r="S26" s="232">
        <v>40252.199999999997</v>
      </c>
      <c r="T26" s="232">
        <v>3.2360000000000002</v>
      </c>
      <c r="U26" s="232">
        <v>3.2690000000000001</v>
      </c>
      <c r="V26" s="232">
        <v>3.2360000000000002</v>
      </c>
      <c r="W26" s="232">
        <v>3.2690000000000001</v>
      </c>
      <c r="X26" s="232">
        <v>6.8210000000000005E-4</v>
      </c>
      <c r="Y26" s="232">
        <v>6.8210000000000005E-4</v>
      </c>
      <c r="Z26" s="232">
        <v>0</v>
      </c>
      <c r="AA26" s="232">
        <v>6.8210000000000005E-4</v>
      </c>
      <c r="AB26" s="232">
        <v>6.8210000000000005E-4</v>
      </c>
      <c r="AC26" s="232">
        <v>6.8210000000000005E-4</v>
      </c>
      <c r="AD26" s="232">
        <v>0.58675398721746908</v>
      </c>
      <c r="AE26" s="232">
        <v>0.58429176931586979</v>
      </c>
      <c r="AF26" s="232">
        <v>1.7042437431991297</v>
      </c>
      <c r="AG26" s="232">
        <v>1.7114254624591949</v>
      </c>
      <c r="AH26" s="232">
        <v>0</v>
      </c>
      <c r="AI26" s="232">
        <v>0</v>
      </c>
      <c r="AJ26" s="111"/>
      <c r="AK26" s="111"/>
      <c r="AL26" s="111"/>
      <c r="AM26" s="111"/>
      <c r="AN26" s="111"/>
      <c r="AO26" s="111"/>
      <c r="AP26" s="111"/>
      <c r="AQ26" s="120"/>
      <c r="AR26" s="120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20"/>
      <c r="BH26" s="120"/>
      <c r="BI26" s="120"/>
      <c r="BJ26" s="120"/>
      <c r="BK26" s="120"/>
      <c r="BL26" s="120"/>
      <c r="BM26" s="120"/>
      <c r="BN26" s="120"/>
    </row>
    <row r="27" spans="1:66">
      <c r="A27" s="120">
        <v>10078</v>
      </c>
      <c r="B27" s="120" t="s">
        <v>31</v>
      </c>
      <c r="C27" s="232">
        <v>1</v>
      </c>
      <c r="D27" s="232">
        <v>0</v>
      </c>
      <c r="E27" s="232">
        <v>3.7729999999999997</v>
      </c>
      <c r="F27" s="232">
        <v>4.3620000000000001</v>
      </c>
      <c r="G27" s="232">
        <v>4.8090000000000002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  <c r="N27" s="232">
        <v>3.883</v>
      </c>
      <c r="O27" s="232">
        <v>3.9209999999999998</v>
      </c>
      <c r="P27" s="232">
        <v>34015.08</v>
      </c>
      <c r="Q27" s="232">
        <v>34347.96</v>
      </c>
      <c r="R27" s="232">
        <v>3.5459999999999998</v>
      </c>
      <c r="S27" s="232">
        <v>31062.959999999999</v>
      </c>
      <c r="T27" s="232">
        <v>0.33700000000000002</v>
      </c>
      <c r="U27" s="232">
        <v>0.375</v>
      </c>
      <c r="V27" s="232">
        <v>0</v>
      </c>
      <c r="W27" s="232">
        <v>0</v>
      </c>
      <c r="X27" s="232">
        <v>5.264E-4</v>
      </c>
      <c r="Y27" s="232">
        <v>5.264E-4</v>
      </c>
      <c r="Z27" s="232">
        <v>0</v>
      </c>
      <c r="AA27" s="232">
        <v>5.264E-4</v>
      </c>
      <c r="AB27" s="232">
        <v>5.264E-4</v>
      </c>
      <c r="AC27" s="232">
        <v>5.264E-4</v>
      </c>
      <c r="AD27" s="232">
        <v>0.91321642482616538</v>
      </c>
      <c r="AE27" s="232">
        <v>0.90436607436878358</v>
      </c>
      <c r="AF27" s="232">
        <v>1.0950366610265088</v>
      </c>
      <c r="AG27" s="232">
        <v>1.1057529610829104</v>
      </c>
      <c r="AH27" s="232">
        <v>0</v>
      </c>
      <c r="AI27" s="232">
        <v>0</v>
      </c>
      <c r="AJ27" s="111"/>
      <c r="AK27" s="111"/>
      <c r="AL27" s="111"/>
      <c r="AM27" s="111"/>
      <c r="AN27" s="111"/>
      <c r="AO27" s="111"/>
      <c r="AP27" s="111"/>
      <c r="AQ27" s="120"/>
      <c r="AR27" s="120"/>
      <c r="AS27" s="149"/>
      <c r="AT27" s="149"/>
      <c r="AU27" s="149"/>
      <c r="AV27" s="149"/>
      <c r="AW27" s="149"/>
      <c r="AX27" s="149"/>
      <c r="AY27" s="149"/>
      <c r="AZ27" s="149"/>
      <c r="BA27" s="149"/>
      <c r="BB27" s="149"/>
      <c r="BC27" s="149"/>
      <c r="BD27" s="149"/>
      <c r="BE27" s="149"/>
      <c r="BF27" s="149"/>
      <c r="BG27" s="120"/>
      <c r="BH27" s="120"/>
      <c r="BI27" s="120"/>
      <c r="BJ27" s="120"/>
      <c r="BK27" s="120"/>
      <c r="BL27" s="120"/>
      <c r="BM27" s="120"/>
      <c r="BN27" s="120"/>
    </row>
    <row r="28" spans="1:66">
      <c r="A28" s="120">
        <v>10079</v>
      </c>
      <c r="B28" s="120" t="s">
        <v>32</v>
      </c>
      <c r="C28" s="232">
        <v>1</v>
      </c>
      <c r="D28" s="232">
        <v>0</v>
      </c>
      <c r="E28" s="232">
        <v>89.494</v>
      </c>
      <c r="F28" s="232">
        <v>84.947999999999993</v>
      </c>
      <c r="G28" s="232">
        <v>85.516999999999996</v>
      </c>
      <c r="H28" s="232">
        <v>0</v>
      </c>
      <c r="I28" s="232">
        <v>0</v>
      </c>
      <c r="J28" s="232">
        <v>2.9510000000000001</v>
      </c>
      <c r="K28" s="232">
        <v>2.94</v>
      </c>
      <c r="L28" s="232">
        <v>25850.760000000002</v>
      </c>
      <c r="M28" s="232">
        <v>25754.399999999998</v>
      </c>
      <c r="N28" s="232">
        <v>81.203999999999994</v>
      </c>
      <c r="O28" s="232">
        <v>81.414000000000001</v>
      </c>
      <c r="P28" s="232">
        <v>711347.03999999992</v>
      </c>
      <c r="Q28" s="232">
        <v>713186.64</v>
      </c>
      <c r="R28" s="232">
        <v>84.114000000000004</v>
      </c>
      <c r="S28" s="232">
        <v>736838.64</v>
      </c>
      <c r="T28" s="232">
        <v>0</v>
      </c>
      <c r="U28" s="232">
        <v>0</v>
      </c>
      <c r="V28" s="232">
        <v>0</v>
      </c>
      <c r="W28" s="232">
        <v>0</v>
      </c>
      <c r="X28" s="232">
        <v>1.20546E-2</v>
      </c>
      <c r="Y28" s="232">
        <v>1.2085800000000001E-2</v>
      </c>
      <c r="Z28" s="232">
        <v>0</v>
      </c>
      <c r="AA28" s="232">
        <v>1.20546E-2</v>
      </c>
      <c r="AB28" s="232">
        <v>1.2085800000000001E-2</v>
      </c>
      <c r="AC28" s="232">
        <v>1.20702E-2</v>
      </c>
      <c r="AD28" s="232">
        <v>1</v>
      </c>
      <c r="AE28" s="232">
        <v>1</v>
      </c>
      <c r="AF28" s="232">
        <v>1</v>
      </c>
      <c r="AG28" s="232">
        <v>1</v>
      </c>
      <c r="AH28" s="232">
        <v>0</v>
      </c>
      <c r="AI28" s="232">
        <v>0</v>
      </c>
      <c r="AJ28" s="111"/>
      <c r="AK28" s="111"/>
      <c r="AL28" s="111"/>
      <c r="AM28" s="111"/>
      <c r="AN28" s="111"/>
      <c r="AO28" s="111"/>
      <c r="AP28" s="111"/>
      <c r="AQ28" s="120"/>
      <c r="AR28" s="120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20"/>
      <c r="BH28" s="120"/>
      <c r="BI28" s="120"/>
      <c r="BJ28" s="120"/>
      <c r="BK28" s="120"/>
      <c r="BL28" s="120"/>
      <c r="BM28" s="120"/>
      <c r="BN28" s="120"/>
    </row>
    <row r="29" spans="1:66">
      <c r="A29" s="120">
        <v>10080</v>
      </c>
      <c r="B29" s="120" t="s">
        <v>33</v>
      </c>
      <c r="C29" s="232">
        <v>1</v>
      </c>
      <c r="D29" s="232">
        <v>0</v>
      </c>
      <c r="E29" s="232">
        <v>7.548</v>
      </c>
      <c r="F29" s="232">
        <v>6.6269999999999998</v>
      </c>
      <c r="G29" s="232">
        <v>6.61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  <c r="N29" s="232">
        <v>6.86</v>
      </c>
      <c r="O29" s="232">
        <v>6.8630000000000004</v>
      </c>
      <c r="P29" s="232">
        <v>60093.600000000006</v>
      </c>
      <c r="Q29" s="232">
        <v>60119.880000000005</v>
      </c>
      <c r="R29" s="232">
        <v>7.0940000000000003</v>
      </c>
      <c r="S29" s="232">
        <v>62143.44</v>
      </c>
      <c r="T29" s="232">
        <v>0</v>
      </c>
      <c r="U29" s="232">
        <v>0</v>
      </c>
      <c r="V29" s="232">
        <v>0</v>
      </c>
      <c r="W29" s="232">
        <v>0</v>
      </c>
      <c r="X29" s="232">
        <v>1.0184E-3</v>
      </c>
      <c r="Y29" s="232">
        <v>1.0188E-3</v>
      </c>
      <c r="Z29" s="232">
        <v>0</v>
      </c>
      <c r="AA29" s="232">
        <v>1.0184E-3</v>
      </c>
      <c r="AB29" s="232">
        <v>1.0188E-3</v>
      </c>
      <c r="AC29" s="232">
        <v>1.0186000000000001E-3</v>
      </c>
      <c r="AD29" s="232">
        <v>1</v>
      </c>
      <c r="AE29" s="232">
        <v>1</v>
      </c>
      <c r="AF29" s="232">
        <v>1</v>
      </c>
      <c r="AG29" s="232">
        <v>1</v>
      </c>
      <c r="AH29" s="232">
        <v>0</v>
      </c>
      <c r="AI29" s="232">
        <v>0</v>
      </c>
      <c r="AJ29" s="111"/>
      <c r="AK29" s="111"/>
      <c r="AL29" s="111"/>
      <c r="AM29" s="111"/>
      <c r="AN29" s="111"/>
      <c r="AO29" s="111"/>
      <c r="AP29" s="111"/>
      <c r="AQ29" s="120"/>
      <c r="AR29" s="120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20"/>
      <c r="BH29" s="120"/>
      <c r="BI29" s="120"/>
      <c r="BJ29" s="120"/>
      <c r="BK29" s="120"/>
      <c r="BL29" s="120"/>
      <c r="BM29" s="120"/>
      <c r="BN29" s="120"/>
    </row>
    <row r="30" spans="1:66">
      <c r="A30" s="120">
        <v>10081</v>
      </c>
      <c r="B30" s="120" t="s">
        <v>34</v>
      </c>
      <c r="C30" s="232">
        <v>1</v>
      </c>
      <c r="D30" s="232">
        <v>0</v>
      </c>
      <c r="E30" s="232">
        <v>10.611000000000001</v>
      </c>
      <c r="F30" s="232">
        <v>12.089</v>
      </c>
      <c r="G30" s="232">
        <v>12.051</v>
      </c>
      <c r="H30" s="232">
        <v>0</v>
      </c>
      <c r="I30" s="232">
        <v>0</v>
      </c>
      <c r="J30" s="232">
        <v>2.9510000000000001</v>
      </c>
      <c r="K30" s="232">
        <v>2.94</v>
      </c>
      <c r="L30" s="232">
        <v>25850.760000000002</v>
      </c>
      <c r="M30" s="232">
        <v>25754.399999999998</v>
      </c>
      <c r="N30" s="232">
        <v>9.2230000000000008</v>
      </c>
      <c r="O30" s="232">
        <v>9.2240000000000002</v>
      </c>
      <c r="P30" s="232">
        <v>80793.48000000001</v>
      </c>
      <c r="Q30" s="232">
        <v>80802.240000000005</v>
      </c>
      <c r="R30" s="232">
        <v>9.9730000000000008</v>
      </c>
      <c r="S30" s="232">
        <v>87363.48000000001</v>
      </c>
      <c r="T30" s="232">
        <v>0</v>
      </c>
      <c r="U30" s="232">
        <v>0</v>
      </c>
      <c r="V30" s="232">
        <v>0</v>
      </c>
      <c r="W30" s="232">
        <v>0</v>
      </c>
      <c r="X30" s="232">
        <v>1.3691E-3</v>
      </c>
      <c r="Y30" s="232">
        <v>1.3692999999999999E-3</v>
      </c>
      <c r="Z30" s="232">
        <v>0</v>
      </c>
      <c r="AA30" s="232">
        <v>1.3691E-3</v>
      </c>
      <c r="AB30" s="232">
        <v>1.3692999999999999E-3</v>
      </c>
      <c r="AC30" s="232">
        <v>1.3692000000000001E-3</v>
      </c>
      <c r="AD30" s="232">
        <v>0.99997937582408558</v>
      </c>
      <c r="AE30" s="232">
        <v>1</v>
      </c>
      <c r="AF30" s="232">
        <v>1</v>
      </c>
      <c r="AG30" s="232">
        <v>1</v>
      </c>
      <c r="AH30" s="232">
        <v>0</v>
      </c>
      <c r="AI30" s="232">
        <v>0</v>
      </c>
      <c r="AJ30" s="111"/>
      <c r="AK30" s="111"/>
      <c r="AL30" s="111"/>
      <c r="AM30" s="111"/>
      <c r="AN30" s="111"/>
      <c r="AO30" s="111"/>
      <c r="AP30" s="111"/>
      <c r="AQ30" s="120"/>
      <c r="AR30" s="120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20"/>
      <c r="BH30" s="120"/>
      <c r="BI30" s="120"/>
      <c r="BJ30" s="120"/>
      <c r="BK30" s="120"/>
      <c r="BL30" s="120"/>
      <c r="BM30" s="120"/>
      <c r="BN30" s="120"/>
    </row>
    <row r="31" spans="1:66">
      <c r="A31" s="120">
        <v>10082</v>
      </c>
      <c r="B31" s="120" t="s">
        <v>35</v>
      </c>
      <c r="C31" s="232">
        <v>1</v>
      </c>
      <c r="D31" s="232">
        <v>0</v>
      </c>
      <c r="E31" s="232">
        <v>0.12</v>
      </c>
      <c r="F31" s="232">
        <v>0.1</v>
      </c>
      <c r="G31" s="232">
        <v>9.9000000000000005E-2</v>
      </c>
      <c r="H31" s="232">
        <v>0</v>
      </c>
      <c r="I31" s="232">
        <v>0</v>
      </c>
      <c r="J31" s="232">
        <v>0</v>
      </c>
      <c r="K31" s="232">
        <v>0</v>
      </c>
      <c r="L31" s="232">
        <v>0</v>
      </c>
      <c r="M31" s="232">
        <v>0</v>
      </c>
      <c r="N31" s="232">
        <v>9.5000000000000001E-2</v>
      </c>
      <c r="O31" s="232">
        <v>9.5000000000000001E-2</v>
      </c>
      <c r="P31" s="232">
        <v>832.2</v>
      </c>
      <c r="Q31" s="232">
        <v>832.2</v>
      </c>
      <c r="R31" s="232">
        <v>0.113</v>
      </c>
      <c r="S31" s="232">
        <v>989.88</v>
      </c>
      <c r="T31" s="232">
        <v>0</v>
      </c>
      <c r="U31" s="232">
        <v>0</v>
      </c>
      <c r="V31" s="232">
        <v>0</v>
      </c>
      <c r="W31" s="232">
        <v>0</v>
      </c>
      <c r="X31" s="232">
        <v>1.4100000000000001E-5</v>
      </c>
      <c r="Y31" s="232">
        <v>1.4100000000000001E-5</v>
      </c>
      <c r="Z31" s="232">
        <v>0</v>
      </c>
      <c r="AA31" s="232">
        <v>1.4100000000000001E-5</v>
      </c>
      <c r="AB31" s="232">
        <v>1.4100000000000001E-5</v>
      </c>
      <c r="AC31" s="232">
        <v>1.4100000000000001E-5</v>
      </c>
      <c r="AD31" s="232">
        <v>0.99981749368421069</v>
      </c>
      <c r="AE31" s="232">
        <v>0.99981749368421069</v>
      </c>
      <c r="AF31" s="232">
        <v>1</v>
      </c>
      <c r="AG31" s="232">
        <v>1</v>
      </c>
      <c r="AH31" s="232">
        <v>0</v>
      </c>
      <c r="AI31" s="232">
        <v>0</v>
      </c>
      <c r="AJ31" s="111"/>
      <c r="AK31" s="111"/>
      <c r="AL31" s="111"/>
      <c r="AM31" s="111"/>
      <c r="AN31" s="111"/>
      <c r="AO31" s="111"/>
      <c r="AP31" s="111"/>
      <c r="AQ31" s="120"/>
      <c r="AR31" s="120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20"/>
      <c r="BH31" s="120"/>
      <c r="BI31" s="120"/>
      <c r="BJ31" s="120"/>
      <c r="BK31" s="120"/>
      <c r="BL31" s="120"/>
      <c r="BM31" s="120"/>
      <c r="BN31" s="120"/>
    </row>
    <row r="32" spans="1:66">
      <c r="A32" s="120">
        <v>10083</v>
      </c>
      <c r="B32" s="120" t="s">
        <v>36</v>
      </c>
      <c r="C32" s="232">
        <v>1</v>
      </c>
      <c r="D32" s="232">
        <v>0</v>
      </c>
      <c r="E32" s="232">
        <v>8.4879999999999995</v>
      </c>
      <c r="F32" s="232">
        <v>8.7230000000000008</v>
      </c>
      <c r="G32" s="232">
        <v>8.7420000000000009</v>
      </c>
      <c r="H32" s="232">
        <v>0</v>
      </c>
      <c r="I32" s="232">
        <v>0</v>
      </c>
      <c r="J32" s="232">
        <v>0</v>
      </c>
      <c r="K32" s="232">
        <v>0</v>
      </c>
      <c r="L32" s="232">
        <v>0</v>
      </c>
      <c r="M32" s="232">
        <v>0</v>
      </c>
      <c r="N32" s="232">
        <v>8.8409999999999993</v>
      </c>
      <c r="O32" s="232">
        <v>8.9039999999999999</v>
      </c>
      <c r="P32" s="232">
        <v>77447.159999999989</v>
      </c>
      <c r="Q32" s="232">
        <v>77999.039999999994</v>
      </c>
      <c r="R32" s="232">
        <v>7.9779999999999998</v>
      </c>
      <c r="S32" s="232">
        <v>69887.28</v>
      </c>
      <c r="T32" s="232">
        <v>0.86299999999999999</v>
      </c>
      <c r="U32" s="232">
        <v>0.92600000000000005</v>
      </c>
      <c r="V32" s="232">
        <v>0</v>
      </c>
      <c r="W32" s="232">
        <v>0</v>
      </c>
      <c r="X32" s="232">
        <v>1.1842999999999999E-3</v>
      </c>
      <c r="Y32" s="232">
        <v>1.1842999999999999E-3</v>
      </c>
      <c r="Z32" s="232">
        <v>0</v>
      </c>
      <c r="AA32" s="232">
        <v>1.1842999999999999E-3</v>
      </c>
      <c r="AB32" s="232">
        <v>1.1842999999999999E-3</v>
      </c>
      <c r="AC32" s="232">
        <v>1.1842999999999999E-3</v>
      </c>
      <c r="AD32" s="232">
        <v>0.90237189952494068</v>
      </c>
      <c r="AE32" s="232">
        <v>0.89598719268867921</v>
      </c>
      <c r="AF32" s="232">
        <v>1.1081724743043369</v>
      </c>
      <c r="AG32" s="232">
        <v>1.1160691902732514</v>
      </c>
      <c r="AH32" s="232">
        <v>0</v>
      </c>
      <c r="AI32" s="232">
        <v>0</v>
      </c>
      <c r="AJ32" s="111"/>
      <c r="AK32" s="111"/>
      <c r="AL32" s="111"/>
      <c r="AM32" s="111"/>
      <c r="AN32" s="111"/>
      <c r="AO32" s="111"/>
      <c r="AP32" s="111"/>
      <c r="AQ32" s="120"/>
      <c r="AR32" s="120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20"/>
      <c r="BH32" s="120"/>
      <c r="BI32" s="120"/>
      <c r="BJ32" s="120"/>
      <c r="BK32" s="120"/>
      <c r="BL32" s="120"/>
      <c r="BM32" s="120"/>
      <c r="BN32" s="120"/>
    </row>
    <row r="33" spans="1:66">
      <c r="A33" s="120">
        <v>10086</v>
      </c>
      <c r="B33" s="120" t="s">
        <v>37</v>
      </c>
      <c r="C33" s="232">
        <v>1</v>
      </c>
      <c r="D33" s="232">
        <v>0</v>
      </c>
      <c r="E33" s="232">
        <v>4.0039999999999996</v>
      </c>
      <c r="F33" s="232">
        <v>3.88</v>
      </c>
      <c r="G33" s="232">
        <v>3.8740000000000001</v>
      </c>
      <c r="H33" s="232">
        <v>0</v>
      </c>
      <c r="I33" s="232">
        <v>0</v>
      </c>
      <c r="J33" s="232">
        <v>0</v>
      </c>
      <c r="K33" s="232">
        <v>0</v>
      </c>
      <c r="L33" s="232">
        <v>0</v>
      </c>
      <c r="M33" s="232">
        <v>0</v>
      </c>
      <c r="N33" s="232">
        <v>3.88</v>
      </c>
      <c r="O33" s="232">
        <v>3.887</v>
      </c>
      <c r="P33" s="232">
        <v>33988.799999999996</v>
      </c>
      <c r="Q33" s="232">
        <v>34050.120000000003</v>
      </c>
      <c r="R33" s="232">
        <v>3.7629999999999999</v>
      </c>
      <c r="S33" s="232">
        <v>32963.879999999997</v>
      </c>
      <c r="T33" s="232">
        <v>0.11700000000000001</v>
      </c>
      <c r="U33" s="232">
        <v>0.124</v>
      </c>
      <c r="V33" s="232">
        <v>0</v>
      </c>
      <c r="W33" s="232">
        <v>0</v>
      </c>
      <c r="X33" s="232">
        <v>5.5860000000000003E-4</v>
      </c>
      <c r="Y33" s="232">
        <v>5.5860000000000003E-4</v>
      </c>
      <c r="Z33" s="232">
        <v>0</v>
      </c>
      <c r="AA33" s="232">
        <v>5.5860000000000003E-4</v>
      </c>
      <c r="AB33" s="232">
        <v>5.5860000000000003E-4</v>
      </c>
      <c r="AC33" s="232">
        <v>5.5860000000000003E-4</v>
      </c>
      <c r="AD33" s="232">
        <v>0.96982735500000017</v>
      </c>
      <c r="AE33" s="232">
        <v>0.96808081744275809</v>
      </c>
      <c r="AF33" s="232">
        <v>1.0310922136593144</v>
      </c>
      <c r="AG33" s="232">
        <v>1.0329524315705554</v>
      </c>
      <c r="AH33" s="232">
        <v>0</v>
      </c>
      <c r="AI33" s="232">
        <v>0</v>
      </c>
      <c r="AJ33" s="111"/>
      <c r="AK33" s="111"/>
      <c r="AL33" s="111"/>
      <c r="AM33" s="111"/>
      <c r="AN33" s="111"/>
      <c r="AO33" s="111"/>
      <c r="AP33" s="111"/>
      <c r="AQ33" s="120"/>
      <c r="AR33" s="120"/>
      <c r="AS33" s="149"/>
      <c r="AT33" s="149"/>
      <c r="AU33" s="149"/>
      <c r="AV33" s="149"/>
      <c r="AW33" s="149"/>
      <c r="AX33" s="149"/>
      <c r="AY33" s="149"/>
      <c r="AZ33" s="149"/>
      <c r="BA33" s="149"/>
      <c r="BB33" s="149"/>
      <c r="BC33" s="149"/>
      <c r="BD33" s="149"/>
      <c r="BE33" s="149"/>
      <c r="BF33" s="149"/>
      <c r="BG33" s="120"/>
      <c r="BH33" s="120"/>
      <c r="BI33" s="120"/>
      <c r="BJ33" s="120"/>
      <c r="BK33" s="120"/>
      <c r="BL33" s="120"/>
      <c r="BM33" s="120"/>
      <c r="BN33" s="120"/>
    </row>
    <row r="34" spans="1:66">
      <c r="A34" s="120">
        <v>10087</v>
      </c>
      <c r="B34" s="120" t="s">
        <v>38</v>
      </c>
      <c r="C34" s="232">
        <v>1</v>
      </c>
      <c r="D34" s="232">
        <v>0</v>
      </c>
      <c r="E34" s="232">
        <v>86.754999999999995</v>
      </c>
      <c r="F34" s="232">
        <v>46.92</v>
      </c>
      <c r="G34" s="232">
        <v>46.761000000000003</v>
      </c>
      <c r="H34" s="232">
        <v>0</v>
      </c>
      <c r="I34" s="232">
        <v>0</v>
      </c>
      <c r="J34" s="232">
        <v>0</v>
      </c>
      <c r="K34" s="232">
        <v>0</v>
      </c>
      <c r="L34" s="232">
        <v>0</v>
      </c>
      <c r="M34" s="232">
        <v>0</v>
      </c>
      <c r="N34" s="232">
        <v>56.267000000000003</v>
      </c>
      <c r="O34" s="232">
        <v>56.267000000000003</v>
      </c>
      <c r="P34" s="232">
        <v>492898.92000000004</v>
      </c>
      <c r="Q34" s="232">
        <v>492898.92000000004</v>
      </c>
      <c r="R34" s="232">
        <v>81.539000000000001</v>
      </c>
      <c r="S34" s="232">
        <v>714281.64</v>
      </c>
      <c r="T34" s="232">
        <v>0</v>
      </c>
      <c r="U34" s="232">
        <v>0</v>
      </c>
      <c r="V34" s="232">
        <v>0</v>
      </c>
      <c r="W34" s="232">
        <v>0</v>
      </c>
      <c r="X34" s="232">
        <v>8.3526999999999994E-3</v>
      </c>
      <c r="Y34" s="232">
        <v>8.3526999999999994E-3</v>
      </c>
      <c r="Z34" s="232">
        <v>0</v>
      </c>
      <c r="AA34" s="232">
        <v>8.3526999999999994E-3</v>
      </c>
      <c r="AB34" s="232">
        <v>8.3526999999999994E-3</v>
      </c>
      <c r="AC34" s="232">
        <v>8.3526999999999994E-3</v>
      </c>
      <c r="AD34" s="232">
        <v>0.99999619349352187</v>
      </c>
      <c r="AE34" s="232">
        <v>0.99999619349352187</v>
      </c>
      <c r="AF34" s="232">
        <v>1</v>
      </c>
      <c r="AG34" s="232">
        <v>1</v>
      </c>
      <c r="AH34" s="232">
        <v>0</v>
      </c>
      <c r="AI34" s="232">
        <v>0</v>
      </c>
      <c r="AJ34" s="111"/>
      <c r="AK34" s="111"/>
      <c r="AL34" s="111"/>
      <c r="AM34" s="111"/>
      <c r="AN34" s="111"/>
      <c r="AO34" s="111"/>
      <c r="AP34" s="111"/>
      <c r="AQ34" s="120"/>
      <c r="AR34" s="120"/>
      <c r="AS34" s="149"/>
      <c r="AT34" s="149"/>
      <c r="AU34" s="149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  <c r="BF34" s="149"/>
      <c r="BG34" s="120"/>
      <c r="BH34" s="120"/>
      <c r="BI34" s="120"/>
      <c r="BJ34" s="120"/>
      <c r="BK34" s="120"/>
      <c r="BL34" s="120"/>
      <c r="BM34" s="120"/>
      <c r="BN34" s="120"/>
    </row>
    <row r="35" spans="1:66">
      <c r="A35" s="120">
        <v>10089</v>
      </c>
      <c r="B35" s="120" t="s">
        <v>39</v>
      </c>
      <c r="C35" s="232">
        <v>1</v>
      </c>
      <c r="D35" s="232">
        <v>0</v>
      </c>
      <c r="E35" s="232">
        <v>105.40600000000001</v>
      </c>
      <c r="F35" s="232">
        <v>111.75700000000001</v>
      </c>
      <c r="G35" s="232">
        <v>112.295</v>
      </c>
      <c r="H35" s="232">
        <v>0</v>
      </c>
      <c r="I35" s="232">
        <v>0</v>
      </c>
      <c r="J35" s="232">
        <v>0</v>
      </c>
      <c r="K35" s="232">
        <v>0</v>
      </c>
      <c r="L35" s="232">
        <v>0</v>
      </c>
      <c r="M35" s="232">
        <v>0</v>
      </c>
      <c r="N35" s="232">
        <v>110.571</v>
      </c>
      <c r="O35" s="232">
        <v>111.4</v>
      </c>
      <c r="P35" s="232">
        <v>968601.96</v>
      </c>
      <c r="Q35" s="232">
        <v>975864</v>
      </c>
      <c r="R35" s="232">
        <v>99.069000000000003</v>
      </c>
      <c r="S35" s="232">
        <v>867844.44000000006</v>
      </c>
      <c r="T35" s="232">
        <v>11.502000000000001</v>
      </c>
      <c r="U35" s="232">
        <v>12.331</v>
      </c>
      <c r="V35" s="232">
        <v>11.502000000000001</v>
      </c>
      <c r="W35" s="232">
        <v>12.331</v>
      </c>
      <c r="X35" s="232">
        <v>1.47066E-2</v>
      </c>
      <c r="Y35" s="232">
        <v>1.47066E-2</v>
      </c>
      <c r="Z35" s="232">
        <v>0</v>
      </c>
      <c r="AA35" s="232">
        <v>1.47066E-2</v>
      </c>
      <c r="AB35" s="232">
        <v>1.47066E-2</v>
      </c>
      <c r="AC35" s="232">
        <v>1.47066E-2</v>
      </c>
      <c r="AD35" s="232">
        <v>0.89905240432753619</v>
      </c>
      <c r="AE35" s="232">
        <v>0.89236196946947932</v>
      </c>
      <c r="AF35" s="232">
        <v>1.116100899373164</v>
      </c>
      <c r="AG35" s="232">
        <v>1.1244688045705518</v>
      </c>
      <c r="AH35" s="232">
        <v>0</v>
      </c>
      <c r="AI35" s="232">
        <v>0</v>
      </c>
      <c r="AJ35" s="111"/>
      <c r="AK35" s="111"/>
      <c r="AL35" s="111"/>
      <c r="AM35" s="111"/>
      <c r="AN35" s="111"/>
      <c r="AO35" s="111"/>
      <c r="AP35" s="111"/>
      <c r="AQ35" s="120"/>
      <c r="AR35" s="120"/>
      <c r="AS35" s="149"/>
      <c r="AT35" s="149"/>
      <c r="AU35" s="149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  <c r="BF35" s="149"/>
      <c r="BG35" s="120"/>
      <c r="BH35" s="120"/>
      <c r="BI35" s="120"/>
      <c r="BJ35" s="120"/>
      <c r="BK35" s="120"/>
      <c r="BL35" s="120"/>
      <c r="BM35" s="120"/>
      <c r="BN35" s="120"/>
    </row>
    <row r="36" spans="1:66">
      <c r="A36" s="120">
        <v>10091</v>
      </c>
      <c r="B36" s="120" t="s">
        <v>40</v>
      </c>
      <c r="C36" s="232">
        <v>1</v>
      </c>
      <c r="D36" s="232">
        <v>0</v>
      </c>
      <c r="E36" s="232">
        <v>9.5630000000000006</v>
      </c>
      <c r="F36" s="232">
        <v>9.06</v>
      </c>
      <c r="G36" s="232">
        <v>9.0289999999999999</v>
      </c>
      <c r="H36" s="232">
        <v>0</v>
      </c>
      <c r="I36" s="232">
        <v>0</v>
      </c>
      <c r="J36" s="232">
        <v>0</v>
      </c>
      <c r="K36" s="232">
        <v>0</v>
      </c>
      <c r="L36" s="232">
        <v>0</v>
      </c>
      <c r="M36" s="232">
        <v>0</v>
      </c>
      <c r="N36" s="232">
        <v>9.3960000000000008</v>
      </c>
      <c r="O36" s="232">
        <v>9.4450000000000003</v>
      </c>
      <c r="P36" s="232">
        <v>82308.960000000006</v>
      </c>
      <c r="Q36" s="232">
        <v>82738.2</v>
      </c>
      <c r="R36" s="232">
        <v>8.9879999999999995</v>
      </c>
      <c r="S36" s="232">
        <v>78734.87999999999</v>
      </c>
      <c r="T36" s="232">
        <v>0.40799999999999997</v>
      </c>
      <c r="U36" s="232">
        <v>0.45700000000000002</v>
      </c>
      <c r="V36" s="232">
        <v>0</v>
      </c>
      <c r="W36" s="232">
        <v>0</v>
      </c>
      <c r="X36" s="232">
        <v>1.3343000000000001E-3</v>
      </c>
      <c r="Y36" s="232">
        <v>1.3343000000000001E-3</v>
      </c>
      <c r="Z36" s="232">
        <v>0</v>
      </c>
      <c r="AA36" s="232">
        <v>1.3343000000000001E-3</v>
      </c>
      <c r="AB36" s="232">
        <v>1.3343000000000001E-3</v>
      </c>
      <c r="AC36" s="232">
        <v>1.3343000000000001E-3</v>
      </c>
      <c r="AD36" s="232">
        <v>0.95661172985312903</v>
      </c>
      <c r="AE36" s="232">
        <v>0.95164889504499739</v>
      </c>
      <c r="AF36" s="232">
        <v>1.0453938584779707</v>
      </c>
      <c r="AG36" s="232">
        <v>1.0508455718736094</v>
      </c>
      <c r="AH36" s="232">
        <v>0</v>
      </c>
      <c r="AI36" s="232">
        <v>0</v>
      </c>
      <c r="AJ36" s="111"/>
      <c r="AK36" s="111"/>
      <c r="AL36" s="111"/>
      <c r="AM36" s="111"/>
      <c r="AN36" s="111"/>
      <c r="AO36" s="111"/>
      <c r="AP36" s="111"/>
      <c r="AQ36" s="120"/>
      <c r="AR36" s="120"/>
      <c r="AS36" s="149"/>
      <c r="AT36" s="149"/>
      <c r="AU36" s="149"/>
      <c r="AV36" s="149"/>
      <c r="AW36" s="149"/>
      <c r="AX36" s="149"/>
      <c r="AY36" s="149"/>
      <c r="AZ36" s="149"/>
      <c r="BA36" s="149"/>
      <c r="BB36" s="149"/>
      <c r="BC36" s="149"/>
      <c r="BD36" s="149"/>
      <c r="BE36" s="149"/>
      <c r="BF36" s="149"/>
      <c r="BG36" s="120"/>
      <c r="BH36" s="120"/>
      <c r="BI36" s="120"/>
      <c r="BJ36" s="120"/>
      <c r="BK36" s="120"/>
      <c r="BL36" s="120"/>
      <c r="BM36" s="120"/>
      <c r="BN36" s="120"/>
    </row>
    <row r="37" spans="1:66">
      <c r="A37" s="120">
        <v>10094</v>
      </c>
      <c r="B37" s="120" t="s">
        <v>41</v>
      </c>
      <c r="C37" s="232">
        <v>1</v>
      </c>
      <c r="D37" s="232">
        <v>0</v>
      </c>
      <c r="E37" s="232">
        <v>3.0820000000000003</v>
      </c>
      <c r="F37" s="232">
        <v>3.1539999999999999</v>
      </c>
      <c r="G37" s="232">
        <v>3.1440000000000001</v>
      </c>
      <c r="H37" s="232">
        <v>0</v>
      </c>
      <c r="I37" s="232">
        <v>0</v>
      </c>
      <c r="J37" s="232">
        <v>0.113</v>
      </c>
      <c r="K37" s="232">
        <v>0.113</v>
      </c>
      <c r="L37" s="232">
        <v>989.88</v>
      </c>
      <c r="M37" s="232">
        <v>989.88</v>
      </c>
      <c r="N37" s="232">
        <v>3.032</v>
      </c>
      <c r="O37" s="232">
        <v>3.032</v>
      </c>
      <c r="P37" s="232">
        <v>26560.32</v>
      </c>
      <c r="Q37" s="232">
        <v>26560.32</v>
      </c>
      <c r="R37" s="232">
        <v>2.8969999999999998</v>
      </c>
      <c r="S37" s="232">
        <v>25377.719999999998</v>
      </c>
      <c r="T37" s="232">
        <v>0.13500000000000001</v>
      </c>
      <c r="U37" s="232">
        <v>0.13500000000000001</v>
      </c>
      <c r="V37" s="232">
        <v>0</v>
      </c>
      <c r="W37" s="232">
        <v>0</v>
      </c>
      <c r="X37" s="232">
        <v>4.3009999999999999E-4</v>
      </c>
      <c r="Y37" s="232">
        <v>4.3009999999999999E-4</v>
      </c>
      <c r="Z37" s="232">
        <v>0</v>
      </c>
      <c r="AA37" s="232">
        <v>4.3009999999999999E-4</v>
      </c>
      <c r="AB37" s="232">
        <v>4.3009999999999999E-4</v>
      </c>
      <c r="AC37" s="232">
        <v>4.3009999999999999E-4</v>
      </c>
      <c r="AD37" s="232">
        <v>0.95715903495547083</v>
      </c>
      <c r="AE37" s="232">
        <v>0.95715903495547083</v>
      </c>
      <c r="AF37" s="232">
        <v>1.0465999309630654</v>
      </c>
      <c r="AG37" s="232">
        <v>1.0465999309630654</v>
      </c>
      <c r="AH37" s="232">
        <v>0</v>
      </c>
      <c r="AI37" s="232">
        <v>0</v>
      </c>
      <c r="AJ37" s="111"/>
      <c r="AK37" s="111"/>
      <c r="AL37" s="111"/>
      <c r="AM37" s="111"/>
      <c r="AN37" s="111"/>
      <c r="AO37" s="111"/>
      <c r="AP37" s="111"/>
      <c r="AQ37" s="120"/>
      <c r="AR37" s="120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20"/>
      <c r="BH37" s="120"/>
      <c r="BI37" s="120"/>
      <c r="BJ37" s="120"/>
      <c r="BK37" s="120"/>
      <c r="BL37" s="120"/>
      <c r="BM37" s="120"/>
      <c r="BN37" s="120"/>
    </row>
    <row r="38" spans="1:66">
      <c r="A38" s="120">
        <v>10095</v>
      </c>
      <c r="B38" s="120" t="s">
        <v>42</v>
      </c>
      <c r="C38" s="232">
        <v>1</v>
      </c>
      <c r="D38" s="232">
        <v>0</v>
      </c>
      <c r="E38" s="232">
        <v>3.6970000000000001</v>
      </c>
      <c r="F38" s="232">
        <v>3.84</v>
      </c>
      <c r="G38" s="232">
        <v>3.8279999999999998</v>
      </c>
      <c r="H38" s="232">
        <v>0</v>
      </c>
      <c r="I38" s="232">
        <v>0</v>
      </c>
      <c r="J38" s="232">
        <v>0</v>
      </c>
      <c r="K38" s="232">
        <v>0</v>
      </c>
      <c r="L38" s="232">
        <v>0</v>
      </c>
      <c r="M38" s="232">
        <v>0</v>
      </c>
      <c r="N38" s="232">
        <v>3.9990000000000001</v>
      </c>
      <c r="O38" s="232">
        <v>3.9790000000000001</v>
      </c>
      <c r="P38" s="232">
        <v>35031.24</v>
      </c>
      <c r="Q38" s="232">
        <v>34856.04</v>
      </c>
      <c r="R38" s="232">
        <v>3.4750000000000001</v>
      </c>
      <c r="S38" s="232">
        <v>30441</v>
      </c>
      <c r="T38" s="232">
        <v>0.52400000000000002</v>
      </c>
      <c r="U38" s="232">
        <v>0.504</v>
      </c>
      <c r="V38" s="232">
        <v>0</v>
      </c>
      <c r="W38" s="232">
        <v>0</v>
      </c>
      <c r="X38" s="232">
        <v>5.1590000000000002E-4</v>
      </c>
      <c r="Y38" s="232">
        <v>5.1590000000000002E-4</v>
      </c>
      <c r="Z38" s="232">
        <v>0</v>
      </c>
      <c r="AA38" s="232">
        <v>5.1590000000000002E-4</v>
      </c>
      <c r="AB38" s="232">
        <v>5.1590000000000002E-4</v>
      </c>
      <c r="AC38" s="232">
        <v>5.1590000000000002E-4</v>
      </c>
      <c r="AD38" s="232">
        <v>0.86903916181545393</v>
      </c>
      <c r="AE38" s="232">
        <v>0.87340729029907016</v>
      </c>
      <c r="AF38" s="232">
        <v>1.1507913669064749</v>
      </c>
      <c r="AG38" s="232">
        <v>1.1450359712230216</v>
      </c>
      <c r="AH38" s="232">
        <v>0</v>
      </c>
      <c r="AI38" s="232">
        <v>0</v>
      </c>
      <c r="AJ38" s="111"/>
      <c r="AK38" s="111"/>
      <c r="AL38" s="111"/>
      <c r="AM38" s="111"/>
      <c r="AN38" s="111"/>
      <c r="AO38" s="111"/>
      <c r="AP38" s="111"/>
      <c r="AQ38" s="120"/>
      <c r="AR38" s="120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  <c r="BF38" s="149"/>
      <c r="BG38" s="120"/>
      <c r="BH38" s="120"/>
      <c r="BI38" s="120"/>
      <c r="BJ38" s="120"/>
      <c r="BK38" s="120"/>
      <c r="BL38" s="120"/>
      <c r="BM38" s="120"/>
      <c r="BN38" s="120"/>
    </row>
    <row r="39" spans="1:66">
      <c r="A39" s="120">
        <v>10097</v>
      </c>
      <c r="B39" s="120" t="s">
        <v>43</v>
      </c>
      <c r="C39" s="232">
        <v>1</v>
      </c>
      <c r="D39" s="232">
        <v>0</v>
      </c>
      <c r="E39" s="232">
        <v>2.0680000000000001</v>
      </c>
      <c r="F39" s="232">
        <v>2.0030000000000001</v>
      </c>
      <c r="G39" s="232">
        <v>2</v>
      </c>
      <c r="H39" s="232">
        <v>0</v>
      </c>
      <c r="I39" s="232">
        <v>0</v>
      </c>
      <c r="J39" s="232">
        <v>0</v>
      </c>
      <c r="K39" s="232">
        <v>0</v>
      </c>
      <c r="L39" s="232">
        <v>0</v>
      </c>
      <c r="M39" s="232">
        <v>0</v>
      </c>
      <c r="N39" s="232">
        <v>2.0259999999999998</v>
      </c>
      <c r="O39" s="232">
        <v>2.0310000000000001</v>
      </c>
      <c r="P39" s="232">
        <v>17747.759999999998</v>
      </c>
      <c r="Q39" s="232">
        <v>17791.560000000001</v>
      </c>
      <c r="R39" s="232">
        <v>1.944</v>
      </c>
      <c r="S39" s="232">
        <v>17029.439999999999</v>
      </c>
      <c r="T39" s="232">
        <v>8.2000000000000003E-2</v>
      </c>
      <c r="U39" s="232">
        <v>8.6999999999999994E-2</v>
      </c>
      <c r="V39" s="232">
        <v>0</v>
      </c>
      <c r="W39" s="232">
        <v>0</v>
      </c>
      <c r="X39" s="232">
        <v>2.8860000000000002E-4</v>
      </c>
      <c r="Y39" s="232">
        <v>2.8860000000000002E-4</v>
      </c>
      <c r="Z39" s="232">
        <v>0</v>
      </c>
      <c r="AA39" s="232">
        <v>2.8860000000000002E-4</v>
      </c>
      <c r="AB39" s="232">
        <v>2.8860000000000002E-4</v>
      </c>
      <c r="AC39" s="232">
        <v>2.8860000000000002E-4</v>
      </c>
      <c r="AD39" s="232">
        <v>0.95958203721618973</v>
      </c>
      <c r="AE39" s="232">
        <v>0.95721969837518472</v>
      </c>
      <c r="AF39" s="232">
        <v>1.0421810699588476</v>
      </c>
      <c r="AG39" s="232">
        <v>1.0447530864197532</v>
      </c>
      <c r="AH39" s="232">
        <v>0</v>
      </c>
      <c r="AI39" s="232">
        <v>0</v>
      </c>
      <c r="AJ39" s="111"/>
      <c r="AK39" s="111"/>
      <c r="AL39" s="111"/>
      <c r="AM39" s="111"/>
      <c r="AN39" s="111"/>
      <c r="AO39" s="111"/>
      <c r="AP39" s="111"/>
      <c r="AQ39" s="120"/>
      <c r="AR39" s="120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  <c r="BF39" s="149"/>
      <c r="BG39" s="120"/>
      <c r="BH39" s="120"/>
      <c r="BI39" s="120"/>
      <c r="BJ39" s="120"/>
      <c r="BK39" s="120"/>
      <c r="BL39" s="120"/>
      <c r="BM39" s="120"/>
      <c r="BN39" s="120"/>
    </row>
    <row r="40" spans="1:66">
      <c r="A40" s="120">
        <v>10101</v>
      </c>
      <c r="B40" s="120" t="s">
        <v>44</v>
      </c>
      <c r="C40" s="232">
        <v>1</v>
      </c>
      <c r="D40" s="232">
        <v>0</v>
      </c>
      <c r="E40" s="232">
        <v>77.162000000000006</v>
      </c>
      <c r="F40" s="232">
        <v>77.691000000000003</v>
      </c>
      <c r="G40" s="232">
        <v>77.471999999999994</v>
      </c>
      <c r="H40" s="232">
        <v>0</v>
      </c>
      <c r="I40" s="232">
        <v>0</v>
      </c>
      <c r="J40" s="232">
        <v>0</v>
      </c>
      <c r="K40" s="232">
        <v>0</v>
      </c>
      <c r="L40" s="232">
        <v>0</v>
      </c>
      <c r="M40" s="232">
        <v>0</v>
      </c>
      <c r="N40" s="232">
        <v>76.775000000000006</v>
      </c>
      <c r="O40" s="232">
        <v>76.927999999999997</v>
      </c>
      <c r="P40" s="232">
        <v>672549</v>
      </c>
      <c r="Q40" s="232">
        <v>673889.28000000003</v>
      </c>
      <c r="R40" s="232">
        <v>72.522999999999996</v>
      </c>
      <c r="S40" s="232">
        <v>635301.48</v>
      </c>
      <c r="T40" s="232">
        <v>4.2519999999999998</v>
      </c>
      <c r="U40" s="232">
        <v>4.4050000000000002</v>
      </c>
      <c r="V40" s="232">
        <v>4.2519999999999998</v>
      </c>
      <c r="W40" s="232">
        <v>4.4050000000000002</v>
      </c>
      <c r="X40" s="232">
        <v>1.07659E-2</v>
      </c>
      <c r="Y40" s="232">
        <v>1.07659E-2</v>
      </c>
      <c r="Z40" s="232">
        <v>0</v>
      </c>
      <c r="AA40" s="232">
        <v>1.07659E-2</v>
      </c>
      <c r="AB40" s="232">
        <v>1.07659E-2</v>
      </c>
      <c r="AC40" s="232">
        <v>1.07659E-2</v>
      </c>
      <c r="AD40" s="232">
        <v>0.94461696330967115</v>
      </c>
      <c r="AE40" s="232">
        <v>0.94273824040791399</v>
      </c>
      <c r="AF40" s="232">
        <v>1.0586296761027538</v>
      </c>
      <c r="AG40" s="232">
        <v>1.0607393516539581</v>
      </c>
      <c r="AH40" s="232">
        <v>5.2929999999999998E-2</v>
      </c>
      <c r="AI40" s="232">
        <v>5.3039999999999997E-2</v>
      </c>
      <c r="AJ40" s="111"/>
      <c r="AK40" s="111"/>
      <c r="AL40" s="111"/>
      <c r="AM40" s="111"/>
      <c r="AN40" s="111"/>
      <c r="AO40" s="111"/>
      <c r="AP40" s="111"/>
      <c r="AQ40" s="120"/>
      <c r="AR40" s="120"/>
      <c r="AS40" s="149"/>
      <c r="AT40" s="149"/>
      <c r="AU40" s="149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  <c r="BF40" s="149"/>
      <c r="BG40" s="120"/>
      <c r="BH40" s="120"/>
      <c r="BI40" s="120"/>
      <c r="BJ40" s="120"/>
      <c r="BK40" s="120"/>
      <c r="BL40" s="120"/>
      <c r="BM40" s="120"/>
      <c r="BN40" s="120"/>
    </row>
    <row r="41" spans="1:66">
      <c r="A41" s="120">
        <v>10103</v>
      </c>
      <c r="B41" s="120" t="s">
        <v>45</v>
      </c>
      <c r="C41" s="232">
        <v>1</v>
      </c>
      <c r="D41" s="232">
        <v>0</v>
      </c>
      <c r="E41" s="232">
        <v>323.245</v>
      </c>
      <c r="F41" s="232">
        <v>551.25900000000001</v>
      </c>
      <c r="G41" s="232">
        <v>557.43399999999997</v>
      </c>
      <c r="H41" s="232">
        <v>0</v>
      </c>
      <c r="I41" s="232">
        <v>0</v>
      </c>
      <c r="J41" s="232">
        <v>226.608</v>
      </c>
      <c r="K41" s="232">
        <v>225.94900000000001</v>
      </c>
      <c r="L41" s="232">
        <v>1985086.08</v>
      </c>
      <c r="M41" s="232">
        <v>1979313.2400000002</v>
      </c>
      <c r="N41" s="232">
        <v>324.65100000000001</v>
      </c>
      <c r="O41" s="232">
        <v>331.48500000000001</v>
      </c>
      <c r="P41" s="232">
        <v>2843942.7600000002</v>
      </c>
      <c r="Q41" s="232">
        <v>2903808.6</v>
      </c>
      <c r="R41" s="232">
        <v>303.81200000000001</v>
      </c>
      <c r="S41" s="232">
        <v>2661393.12</v>
      </c>
      <c r="T41" s="232">
        <v>0</v>
      </c>
      <c r="U41" s="232">
        <v>0</v>
      </c>
      <c r="V41" s="232">
        <v>0</v>
      </c>
      <c r="W41" s="232">
        <v>0</v>
      </c>
      <c r="X41" s="232">
        <v>4.5100300000000003E-2</v>
      </c>
      <c r="Y41" s="232">
        <v>4.5100300000000003E-2</v>
      </c>
      <c r="Z41" s="232">
        <v>2.1821500000000001E-2</v>
      </c>
      <c r="AA41" s="232">
        <v>2.3278800000000002E-2</v>
      </c>
      <c r="AB41" s="232">
        <v>2.3278800000000002E-2</v>
      </c>
      <c r="AC41" s="232">
        <v>2.3278800000000002E-2</v>
      </c>
      <c r="AD41" s="232">
        <v>0.99999959025473317</v>
      </c>
      <c r="AE41" s="232">
        <v>0.99999959025473317</v>
      </c>
      <c r="AF41" s="232">
        <v>1.0685917606941135</v>
      </c>
      <c r="AG41" s="232">
        <v>1.091085934722789</v>
      </c>
      <c r="AH41" s="232">
        <v>0</v>
      </c>
      <c r="AI41" s="232">
        <v>0</v>
      </c>
      <c r="AJ41" s="111"/>
      <c r="AK41" s="111"/>
      <c r="AL41" s="111"/>
      <c r="AM41" s="111"/>
      <c r="AN41" s="111"/>
      <c r="AO41" s="111"/>
      <c r="AP41" s="111"/>
      <c r="AQ41" s="120"/>
      <c r="AR41" s="120"/>
      <c r="AS41" s="149"/>
      <c r="AT41" s="149"/>
      <c r="AU41" s="149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  <c r="BF41" s="149"/>
      <c r="BG41" s="120"/>
      <c r="BH41" s="120"/>
      <c r="BI41" s="120"/>
      <c r="BJ41" s="120"/>
      <c r="BK41" s="120"/>
      <c r="BL41" s="120"/>
      <c r="BM41" s="120"/>
      <c r="BN41" s="120"/>
    </row>
    <row r="42" spans="1:66">
      <c r="A42" s="120">
        <v>10105</v>
      </c>
      <c r="B42" s="120" t="s">
        <v>46</v>
      </c>
      <c r="C42" s="232">
        <v>1</v>
      </c>
      <c r="D42" s="232">
        <v>0</v>
      </c>
      <c r="E42" s="232">
        <v>94.222999999999999</v>
      </c>
      <c r="F42" s="232">
        <v>84.11</v>
      </c>
      <c r="G42" s="232">
        <v>82.632000000000005</v>
      </c>
      <c r="H42" s="232">
        <v>0</v>
      </c>
      <c r="I42" s="232">
        <v>0</v>
      </c>
      <c r="J42" s="232">
        <v>0</v>
      </c>
      <c r="K42" s="232">
        <v>0</v>
      </c>
      <c r="L42" s="232">
        <v>0</v>
      </c>
      <c r="M42" s="232">
        <v>0</v>
      </c>
      <c r="N42" s="232">
        <v>84.11</v>
      </c>
      <c r="O42" s="232">
        <v>82.632000000000005</v>
      </c>
      <c r="P42" s="232">
        <v>736803.6</v>
      </c>
      <c r="Q42" s="232">
        <v>723856.32000000007</v>
      </c>
      <c r="R42" s="232">
        <v>88.558000000000007</v>
      </c>
      <c r="S42" s="232">
        <v>775768.08000000007</v>
      </c>
      <c r="T42" s="232">
        <v>6.032</v>
      </c>
      <c r="U42" s="232">
        <v>6.4420000000000002</v>
      </c>
      <c r="V42" s="232">
        <v>6.032</v>
      </c>
      <c r="W42" s="232">
        <v>6.4420000000000002</v>
      </c>
      <c r="X42" s="232">
        <v>1.2486000000000001E-2</v>
      </c>
      <c r="Y42" s="232">
        <v>1.2266600000000001E-2</v>
      </c>
      <c r="Z42" s="232">
        <v>7.2534000000000001E-3</v>
      </c>
      <c r="AA42" s="232">
        <v>5.2326000000000004E-3</v>
      </c>
      <c r="AB42" s="232">
        <v>5.0132000000000006E-3</v>
      </c>
      <c r="AC42" s="232">
        <v>5.1229000000000005E-3</v>
      </c>
      <c r="AD42" s="232">
        <v>0.93623212096098962</v>
      </c>
      <c r="AE42" s="232">
        <v>0.9321915402284211</v>
      </c>
      <c r="AF42" s="232">
        <v>1</v>
      </c>
      <c r="AG42" s="232">
        <v>1</v>
      </c>
      <c r="AH42" s="232">
        <v>0</v>
      </c>
      <c r="AI42" s="232">
        <v>0</v>
      </c>
      <c r="AJ42" s="111"/>
      <c r="AK42" s="111"/>
      <c r="AL42" s="111"/>
      <c r="AM42" s="111"/>
      <c r="AN42" s="111"/>
      <c r="AO42" s="111"/>
      <c r="AP42" s="111"/>
      <c r="AQ42" s="120"/>
      <c r="AR42" s="120"/>
      <c r="AS42" s="149"/>
      <c r="AT42" s="149"/>
      <c r="AU42" s="149"/>
      <c r="AV42" s="149"/>
      <c r="AW42" s="149"/>
      <c r="AX42" s="149"/>
      <c r="AY42" s="149"/>
      <c r="AZ42" s="149"/>
      <c r="BA42" s="149"/>
      <c r="BB42" s="149"/>
      <c r="BC42" s="149"/>
      <c r="BD42" s="149"/>
      <c r="BE42" s="149"/>
      <c r="BF42" s="149"/>
      <c r="BG42" s="120"/>
      <c r="BH42" s="120"/>
      <c r="BI42" s="120"/>
      <c r="BJ42" s="120"/>
      <c r="BK42" s="120"/>
      <c r="BL42" s="120"/>
      <c r="BM42" s="120"/>
      <c r="BN42" s="120"/>
    </row>
    <row r="43" spans="1:66">
      <c r="A43" s="120">
        <v>10106</v>
      </c>
      <c r="B43" s="120" t="s">
        <v>47</v>
      </c>
      <c r="C43" s="232">
        <v>0</v>
      </c>
      <c r="D43" s="232">
        <v>1</v>
      </c>
      <c r="E43" s="232">
        <v>24.234999999999999</v>
      </c>
      <c r="F43" s="232">
        <v>24.196000000000002</v>
      </c>
      <c r="G43" s="232">
        <v>24.234999999999999</v>
      </c>
      <c r="H43" s="232">
        <v>0</v>
      </c>
      <c r="I43" s="232">
        <v>0</v>
      </c>
      <c r="J43" s="232">
        <v>0</v>
      </c>
      <c r="K43" s="232">
        <v>0</v>
      </c>
      <c r="L43" s="232">
        <v>0</v>
      </c>
      <c r="M43" s="232">
        <v>0</v>
      </c>
      <c r="N43" s="232">
        <v>23.687000000000001</v>
      </c>
      <c r="O43" s="232">
        <v>23.795000000000002</v>
      </c>
      <c r="P43" s="232">
        <v>207498.12000000002</v>
      </c>
      <c r="Q43" s="232">
        <v>208444.2</v>
      </c>
      <c r="R43" s="232">
        <v>22.777999999999999</v>
      </c>
      <c r="S43" s="232">
        <v>199535.28</v>
      </c>
      <c r="T43" s="232">
        <v>0.90900000000000003</v>
      </c>
      <c r="U43" s="232">
        <v>1.0169999999999999</v>
      </c>
      <c r="V43" s="232">
        <v>0.90900000000000003</v>
      </c>
      <c r="W43" s="232">
        <v>1.0169999999999999</v>
      </c>
      <c r="X43" s="232">
        <v>3.3814000000000001E-3</v>
      </c>
      <c r="Y43" s="232">
        <v>3.3814000000000001E-3</v>
      </c>
      <c r="Z43" s="232">
        <v>0</v>
      </c>
      <c r="AA43" s="232">
        <v>3.3814000000000001E-3</v>
      </c>
      <c r="AB43" s="232">
        <v>3.3814000000000001E-3</v>
      </c>
      <c r="AC43" s="232">
        <v>3.3814000000000001E-3</v>
      </c>
      <c r="AD43" s="232">
        <v>0.96163821178705633</v>
      </c>
      <c r="AE43" s="232">
        <v>0.95727355841983619</v>
      </c>
      <c r="AF43" s="232">
        <v>1.0399069277372905</v>
      </c>
      <c r="AG43" s="232">
        <v>1.0446483448941963</v>
      </c>
      <c r="AH43" s="232">
        <v>7.2789999999999994E-2</v>
      </c>
      <c r="AI43" s="232">
        <v>7.3130000000000001E-2</v>
      </c>
      <c r="AJ43" s="111"/>
      <c r="AK43" s="111"/>
      <c r="AL43" s="111"/>
      <c r="AM43" s="111"/>
      <c r="AN43" s="111"/>
      <c r="AO43" s="111"/>
      <c r="AP43" s="111"/>
      <c r="AQ43" s="120"/>
      <c r="AR43" s="120"/>
      <c r="AS43" s="149"/>
      <c r="AT43" s="149"/>
      <c r="AU43" s="149"/>
      <c r="AV43" s="149"/>
      <c r="AW43" s="149"/>
      <c r="AX43" s="149"/>
      <c r="AY43" s="149"/>
      <c r="AZ43" s="149"/>
      <c r="BA43" s="149"/>
      <c r="BB43" s="149"/>
      <c r="BC43" s="149"/>
      <c r="BD43" s="149"/>
      <c r="BE43" s="149"/>
      <c r="BF43" s="149"/>
      <c r="BG43" s="120"/>
      <c r="BH43" s="120"/>
      <c r="BI43" s="120"/>
      <c r="BJ43" s="120"/>
      <c r="BK43" s="120"/>
      <c r="BL43" s="120"/>
      <c r="BM43" s="120"/>
      <c r="BN43" s="120"/>
    </row>
    <row r="44" spans="1:66">
      <c r="A44" s="120">
        <v>10109</v>
      </c>
      <c r="B44" s="120" t="s">
        <v>48</v>
      </c>
      <c r="C44" s="232">
        <v>1</v>
      </c>
      <c r="D44" s="232">
        <v>0</v>
      </c>
      <c r="E44" s="232">
        <v>12.298999999999999</v>
      </c>
      <c r="F44" s="232">
        <v>14.875</v>
      </c>
      <c r="G44" s="232">
        <v>15.006</v>
      </c>
      <c r="H44" s="232">
        <v>0</v>
      </c>
      <c r="I44" s="232">
        <v>0</v>
      </c>
      <c r="J44" s="232">
        <v>0</v>
      </c>
      <c r="K44" s="232">
        <v>0</v>
      </c>
      <c r="L44" s="232">
        <v>0</v>
      </c>
      <c r="M44" s="232">
        <v>0</v>
      </c>
      <c r="N44" s="232">
        <v>13.628</v>
      </c>
      <c r="O44" s="232">
        <v>13.673</v>
      </c>
      <c r="P44" s="232">
        <v>119381.28</v>
      </c>
      <c r="Q44" s="232">
        <v>119775.48</v>
      </c>
      <c r="R44" s="232">
        <v>11.56</v>
      </c>
      <c r="S44" s="232">
        <v>101265.60000000001</v>
      </c>
      <c r="T44" s="232">
        <v>2.0680000000000001</v>
      </c>
      <c r="U44" s="232">
        <v>2.113</v>
      </c>
      <c r="V44" s="232">
        <v>2.0680000000000001</v>
      </c>
      <c r="W44" s="232">
        <v>2.113</v>
      </c>
      <c r="X44" s="232">
        <v>1.7160999999999999E-3</v>
      </c>
      <c r="Y44" s="232">
        <v>1.7160999999999999E-3</v>
      </c>
      <c r="Z44" s="232">
        <v>0</v>
      </c>
      <c r="AA44" s="232">
        <v>1.7160999999999999E-3</v>
      </c>
      <c r="AB44" s="232">
        <v>1.7160999999999999E-3</v>
      </c>
      <c r="AC44" s="232">
        <v>1.7160999999999999E-3</v>
      </c>
      <c r="AD44" s="232">
        <v>0.84827309068828882</v>
      </c>
      <c r="AE44" s="232">
        <v>0.84548129012652673</v>
      </c>
      <c r="AF44" s="232">
        <v>1.1788927335640138</v>
      </c>
      <c r="AG44" s="232">
        <v>1.1827854671280276</v>
      </c>
      <c r="AH44" s="232">
        <v>8.2519999999999996E-2</v>
      </c>
      <c r="AI44" s="232">
        <v>8.2790000000000002E-2</v>
      </c>
      <c r="AJ44" s="111"/>
      <c r="AK44" s="111"/>
      <c r="AL44" s="111"/>
      <c r="AM44" s="111"/>
      <c r="AN44" s="111"/>
      <c r="AO44" s="111"/>
      <c r="AP44" s="111"/>
      <c r="AQ44" s="120"/>
      <c r="AR44" s="120"/>
      <c r="AS44" s="149"/>
      <c r="AT44" s="149"/>
      <c r="AU44" s="149"/>
      <c r="AV44" s="149"/>
      <c r="AW44" s="149"/>
      <c r="AX44" s="149"/>
      <c r="AY44" s="149"/>
      <c r="AZ44" s="149"/>
      <c r="BA44" s="149"/>
      <c r="BB44" s="149"/>
      <c r="BC44" s="149"/>
      <c r="BD44" s="149"/>
      <c r="BE44" s="149"/>
      <c r="BF44" s="149"/>
      <c r="BG44" s="120"/>
      <c r="BH44" s="120"/>
      <c r="BI44" s="120"/>
      <c r="BJ44" s="120"/>
      <c r="BK44" s="120"/>
      <c r="BL44" s="120"/>
      <c r="BM44" s="120"/>
      <c r="BN44" s="120"/>
    </row>
    <row r="45" spans="1:66">
      <c r="A45" s="120">
        <v>10111</v>
      </c>
      <c r="B45" s="120" t="s">
        <v>49</v>
      </c>
      <c r="C45" s="232">
        <v>1</v>
      </c>
      <c r="D45" s="232">
        <v>0</v>
      </c>
      <c r="E45" s="232">
        <v>3.2829999999999999</v>
      </c>
      <c r="F45" s="232">
        <v>3.145</v>
      </c>
      <c r="G45" s="232">
        <v>3.14</v>
      </c>
      <c r="H45" s="232">
        <v>0</v>
      </c>
      <c r="I45" s="232">
        <v>0</v>
      </c>
      <c r="J45" s="232">
        <v>0</v>
      </c>
      <c r="K45" s="232">
        <v>0</v>
      </c>
      <c r="L45" s="232">
        <v>0</v>
      </c>
      <c r="M45" s="232">
        <v>0</v>
      </c>
      <c r="N45" s="232">
        <v>3.05</v>
      </c>
      <c r="O45" s="232">
        <v>3.048</v>
      </c>
      <c r="P45" s="232">
        <v>26718</v>
      </c>
      <c r="Q45" s="232">
        <v>26700.48</v>
      </c>
      <c r="R45" s="232">
        <v>3.0859999999999999</v>
      </c>
      <c r="S45" s="232">
        <v>27033.359999999997</v>
      </c>
      <c r="T45" s="232">
        <v>0</v>
      </c>
      <c r="U45" s="232">
        <v>0</v>
      </c>
      <c r="V45" s="232">
        <v>0</v>
      </c>
      <c r="W45" s="232">
        <v>0</v>
      </c>
      <c r="X45" s="232">
        <v>4.528E-4</v>
      </c>
      <c r="Y45" s="232">
        <v>4.5249999999999999E-4</v>
      </c>
      <c r="Z45" s="232">
        <v>0</v>
      </c>
      <c r="AA45" s="232">
        <v>4.528E-4</v>
      </c>
      <c r="AB45" s="232">
        <v>4.5249999999999999E-4</v>
      </c>
      <c r="AC45" s="232">
        <v>4.5264999999999997E-4</v>
      </c>
      <c r="AD45" s="232">
        <v>1</v>
      </c>
      <c r="AE45" s="232">
        <v>1</v>
      </c>
      <c r="AF45" s="232">
        <v>1</v>
      </c>
      <c r="AG45" s="232">
        <v>1</v>
      </c>
      <c r="AH45" s="232">
        <v>7.0000000000000007E-2</v>
      </c>
      <c r="AI45" s="232">
        <v>7.0000000000000007E-2</v>
      </c>
      <c r="AJ45" s="111"/>
      <c r="AK45" s="111"/>
      <c r="AL45" s="111"/>
      <c r="AM45" s="111"/>
      <c r="AN45" s="111"/>
      <c r="AO45" s="111"/>
      <c r="AP45" s="111"/>
      <c r="AQ45" s="120"/>
      <c r="AR45" s="120"/>
      <c r="AS45" s="149"/>
      <c r="AT45" s="149"/>
      <c r="AU45" s="149"/>
      <c r="AV45" s="149"/>
      <c r="AW45" s="149"/>
      <c r="AX45" s="149"/>
      <c r="AY45" s="149"/>
      <c r="AZ45" s="149"/>
      <c r="BA45" s="149"/>
      <c r="BB45" s="149"/>
      <c r="BC45" s="149"/>
      <c r="BD45" s="149"/>
      <c r="BE45" s="149"/>
      <c r="BF45" s="149"/>
      <c r="BG45" s="120"/>
      <c r="BH45" s="120"/>
      <c r="BI45" s="120"/>
      <c r="BJ45" s="120"/>
      <c r="BK45" s="120"/>
      <c r="BL45" s="120"/>
      <c r="BM45" s="120"/>
      <c r="BN45" s="120"/>
    </row>
    <row r="46" spans="1:66">
      <c r="A46" s="120">
        <v>10112</v>
      </c>
      <c r="B46" s="120" t="s">
        <v>50</v>
      </c>
      <c r="C46" s="232">
        <v>1</v>
      </c>
      <c r="D46" s="232">
        <v>0</v>
      </c>
      <c r="E46" s="232">
        <v>59.119</v>
      </c>
      <c r="F46" s="232">
        <v>59.023000000000003</v>
      </c>
      <c r="G46" s="232">
        <v>59.244999999999997</v>
      </c>
      <c r="H46" s="232">
        <v>0</v>
      </c>
      <c r="I46" s="232">
        <v>0</v>
      </c>
      <c r="J46" s="232">
        <v>0</v>
      </c>
      <c r="K46" s="232">
        <v>0</v>
      </c>
      <c r="L46" s="232">
        <v>0</v>
      </c>
      <c r="M46" s="232">
        <v>0</v>
      </c>
      <c r="N46" s="232">
        <v>55.076999999999998</v>
      </c>
      <c r="O46" s="232">
        <v>55.183999999999997</v>
      </c>
      <c r="P46" s="232">
        <v>482474.51999999996</v>
      </c>
      <c r="Q46" s="232">
        <v>483411.83999999997</v>
      </c>
      <c r="R46" s="232">
        <v>55.564999999999998</v>
      </c>
      <c r="S46" s="232">
        <v>486749.39999999997</v>
      </c>
      <c r="T46" s="232">
        <v>0</v>
      </c>
      <c r="U46" s="232">
        <v>0</v>
      </c>
      <c r="V46" s="232">
        <v>0</v>
      </c>
      <c r="W46" s="232">
        <v>0</v>
      </c>
      <c r="X46" s="232">
        <v>8.1761000000000004E-3</v>
      </c>
      <c r="Y46" s="232">
        <v>8.1919999999999996E-3</v>
      </c>
      <c r="Z46" s="232">
        <v>0</v>
      </c>
      <c r="AA46" s="232">
        <v>8.1761000000000004E-3</v>
      </c>
      <c r="AB46" s="232">
        <v>8.1919999999999996E-3</v>
      </c>
      <c r="AC46" s="232">
        <v>8.18405E-3</v>
      </c>
      <c r="AD46" s="232">
        <v>1</v>
      </c>
      <c r="AE46" s="232">
        <v>1</v>
      </c>
      <c r="AF46" s="232">
        <v>1</v>
      </c>
      <c r="AG46" s="232">
        <v>1</v>
      </c>
      <c r="AH46" s="232">
        <v>0</v>
      </c>
      <c r="AI46" s="232">
        <v>0</v>
      </c>
      <c r="AJ46" s="111"/>
      <c r="AK46" s="111"/>
      <c r="AL46" s="111"/>
      <c r="AM46" s="111"/>
      <c r="AN46" s="111"/>
      <c r="AO46" s="111"/>
      <c r="AP46" s="111"/>
      <c r="AQ46" s="120"/>
      <c r="AR46" s="120"/>
      <c r="AS46" s="149"/>
      <c r="AT46" s="149"/>
      <c r="AU46" s="149"/>
      <c r="AV46" s="149"/>
      <c r="AW46" s="149"/>
      <c r="AX46" s="149"/>
      <c r="AY46" s="149"/>
      <c r="AZ46" s="149"/>
      <c r="BA46" s="149"/>
      <c r="BB46" s="149"/>
      <c r="BC46" s="149"/>
      <c r="BD46" s="149"/>
      <c r="BE46" s="149"/>
      <c r="BF46" s="149"/>
      <c r="BG46" s="120"/>
      <c r="BH46" s="120"/>
      <c r="BI46" s="120"/>
      <c r="BJ46" s="120"/>
      <c r="BK46" s="120"/>
      <c r="BL46" s="120"/>
      <c r="BM46" s="120"/>
      <c r="BN46" s="120"/>
    </row>
    <row r="47" spans="1:66">
      <c r="A47" s="120">
        <v>10113</v>
      </c>
      <c r="B47" s="120" t="s">
        <v>51</v>
      </c>
      <c r="C47" s="232">
        <v>1</v>
      </c>
      <c r="D47" s="232">
        <v>0</v>
      </c>
      <c r="E47" s="232">
        <v>38.255000000000003</v>
      </c>
      <c r="F47" s="232">
        <v>43.646999999999998</v>
      </c>
      <c r="G47" s="232">
        <v>44.036999999999999</v>
      </c>
      <c r="H47" s="232">
        <v>0</v>
      </c>
      <c r="I47" s="232">
        <v>0</v>
      </c>
      <c r="J47" s="232">
        <v>0</v>
      </c>
      <c r="K47" s="232">
        <v>0</v>
      </c>
      <c r="L47" s="232">
        <v>0</v>
      </c>
      <c r="M47" s="232">
        <v>0</v>
      </c>
      <c r="N47" s="232">
        <v>42.468000000000004</v>
      </c>
      <c r="O47" s="232">
        <v>42.881999999999998</v>
      </c>
      <c r="P47" s="232">
        <v>372019.68000000005</v>
      </c>
      <c r="Q47" s="232">
        <v>375646.32</v>
      </c>
      <c r="R47" s="232">
        <v>35.954999999999998</v>
      </c>
      <c r="S47" s="232">
        <v>314965.8</v>
      </c>
      <c r="T47" s="232">
        <v>6.5129999999999999</v>
      </c>
      <c r="U47" s="232">
        <v>6.9269999999999996</v>
      </c>
      <c r="V47" s="232">
        <v>6.5129999999999999</v>
      </c>
      <c r="W47" s="232">
        <v>6.9269999999999996</v>
      </c>
      <c r="X47" s="232">
        <v>5.3375000000000002E-3</v>
      </c>
      <c r="Y47" s="232">
        <v>5.3375000000000002E-3</v>
      </c>
      <c r="Z47" s="232">
        <v>0</v>
      </c>
      <c r="AA47" s="232">
        <v>5.3375000000000002E-3</v>
      </c>
      <c r="AB47" s="232">
        <v>5.3375000000000002E-3</v>
      </c>
      <c r="AC47" s="232">
        <v>5.3375000000000002E-3</v>
      </c>
      <c r="AD47" s="232">
        <v>0.84664491293444477</v>
      </c>
      <c r="AE47" s="232">
        <v>0.83847106390793358</v>
      </c>
      <c r="AF47" s="232">
        <v>1.1811430955360869</v>
      </c>
      <c r="AG47" s="232">
        <v>1.1926574885273258</v>
      </c>
      <c r="AH47" s="232">
        <v>8.2680000000000003E-2</v>
      </c>
      <c r="AI47" s="232">
        <v>8.3489999999999995E-2</v>
      </c>
      <c r="AJ47" s="111"/>
      <c r="AK47" s="111"/>
      <c r="AL47" s="111"/>
      <c r="AM47" s="111"/>
      <c r="AN47" s="111"/>
      <c r="AO47" s="111"/>
      <c r="AP47" s="111"/>
      <c r="AQ47" s="120"/>
      <c r="AR47" s="120"/>
      <c r="AS47" s="149"/>
      <c r="AT47" s="149"/>
      <c r="AU47" s="149"/>
      <c r="AV47" s="149"/>
      <c r="AW47" s="149"/>
      <c r="AX47" s="149"/>
      <c r="AY47" s="149"/>
      <c r="AZ47" s="149"/>
      <c r="BA47" s="149"/>
      <c r="BB47" s="149"/>
      <c r="BC47" s="149"/>
      <c r="BD47" s="149"/>
      <c r="BE47" s="149"/>
      <c r="BF47" s="149"/>
      <c r="BG47" s="120"/>
      <c r="BH47" s="120"/>
      <c r="BI47" s="120"/>
      <c r="BJ47" s="120"/>
      <c r="BK47" s="120"/>
      <c r="BL47" s="120"/>
      <c r="BM47" s="120"/>
      <c r="BN47" s="120"/>
    </row>
    <row r="48" spans="1:66">
      <c r="A48" s="120">
        <v>10116</v>
      </c>
      <c r="B48" s="120" t="s">
        <v>52</v>
      </c>
      <c r="C48" s="232">
        <v>1</v>
      </c>
      <c r="D48" s="232">
        <v>0</v>
      </c>
      <c r="E48" s="232">
        <v>0.23100000000000001</v>
      </c>
      <c r="F48" s="232">
        <v>0.23300000000000001</v>
      </c>
      <c r="G48" s="232">
        <v>0.23200000000000001</v>
      </c>
      <c r="H48" s="232">
        <v>0</v>
      </c>
      <c r="I48" s="232">
        <v>0</v>
      </c>
      <c r="J48" s="232">
        <v>0</v>
      </c>
      <c r="K48" s="232">
        <v>0</v>
      </c>
      <c r="L48" s="232">
        <v>0</v>
      </c>
      <c r="M48" s="232">
        <v>0</v>
      </c>
      <c r="N48" s="232">
        <v>0.23100000000000001</v>
      </c>
      <c r="O48" s="232">
        <v>0.23300000000000001</v>
      </c>
      <c r="P48" s="232">
        <v>2023.5600000000002</v>
      </c>
      <c r="Q48" s="232">
        <v>2041.0800000000002</v>
      </c>
      <c r="R48" s="232">
        <v>0.217</v>
      </c>
      <c r="S48" s="232">
        <v>1900.92</v>
      </c>
      <c r="T48" s="232">
        <v>1.4E-2</v>
      </c>
      <c r="U48" s="232">
        <v>1.6E-2</v>
      </c>
      <c r="V48" s="232">
        <v>0</v>
      </c>
      <c r="W48" s="232">
        <v>0</v>
      </c>
      <c r="X48" s="232">
        <v>3.2199999999999997E-5</v>
      </c>
      <c r="Y48" s="232">
        <v>3.2199999999999997E-5</v>
      </c>
      <c r="Z48" s="232">
        <v>0</v>
      </c>
      <c r="AA48" s="232">
        <v>3.2199999999999997E-5</v>
      </c>
      <c r="AB48" s="232">
        <v>3.2199999999999997E-5</v>
      </c>
      <c r="AC48" s="232">
        <v>3.2199999999999997E-5</v>
      </c>
      <c r="AD48" s="232">
        <v>0.9390076181818181</v>
      </c>
      <c r="AE48" s="232">
        <v>0.93094746695278963</v>
      </c>
      <c r="AF48" s="232">
        <v>1.0645161290322582</v>
      </c>
      <c r="AG48" s="232">
        <v>1.0737327188940093</v>
      </c>
      <c r="AH48" s="232">
        <v>0</v>
      </c>
      <c r="AI48" s="232">
        <v>0</v>
      </c>
      <c r="AJ48" s="111"/>
      <c r="AK48" s="111"/>
      <c r="AL48" s="111"/>
      <c r="AM48" s="111"/>
      <c r="AN48" s="111"/>
      <c r="AO48" s="111"/>
      <c r="AP48" s="111"/>
      <c r="AQ48" s="120"/>
      <c r="AR48" s="120"/>
      <c r="AS48" s="149"/>
      <c r="AT48" s="149"/>
      <c r="AU48" s="149"/>
      <c r="AV48" s="149"/>
      <c r="AW48" s="149"/>
      <c r="AX48" s="149"/>
      <c r="AY48" s="149"/>
      <c r="AZ48" s="149"/>
      <c r="BA48" s="149"/>
      <c r="BB48" s="149"/>
      <c r="BC48" s="149"/>
      <c r="BD48" s="149"/>
      <c r="BE48" s="149"/>
      <c r="BF48" s="149"/>
      <c r="BG48" s="120"/>
      <c r="BH48" s="120"/>
      <c r="BI48" s="120"/>
      <c r="BJ48" s="120"/>
      <c r="BK48" s="120"/>
      <c r="BL48" s="120"/>
      <c r="BM48" s="120"/>
      <c r="BN48" s="120"/>
    </row>
    <row r="49" spans="1:66">
      <c r="A49" s="122">
        <v>10118</v>
      </c>
      <c r="B49" s="122" t="s">
        <v>53</v>
      </c>
      <c r="C49" s="232">
        <v>0</v>
      </c>
      <c r="D49" s="232">
        <v>1</v>
      </c>
      <c r="E49" s="232">
        <v>46.354999999999997</v>
      </c>
      <c r="F49" s="232">
        <v>51.720999999999997</v>
      </c>
      <c r="G49" s="232">
        <v>51.968000000000004</v>
      </c>
      <c r="H49" s="232">
        <v>0</v>
      </c>
      <c r="I49" s="232">
        <v>0</v>
      </c>
      <c r="J49" s="232">
        <v>2.37</v>
      </c>
      <c r="K49" s="232">
        <v>2.363</v>
      </c>
      <c r="L49" s="232">
        <v>20761.2</v>
      </c>
      <c r="M49" s="232">
        <v>20699.88</v>
      </c>
      <c r="N49" s="232">
        <v>49.689</v>
      </c>
      <c r="O49" s="232">
        <v>50.073</v>
      </c>
      <c r="P49" s="232">
        <v>435275.64</v>
      </c>
      <c r="Q49" s="232">
        <v>438639.48</v>
      </c>
      <c r="R49" s="232">
        <v>43.567999999999998</v>
      </c>
      <c r="S49" s="232">
        <v>381655.68</v>
      </c>
      <c r="T49" s="232">
        <v>6.1210000000000004</v>
      </c>
      <c r="U49" s="232">
        <v>6.5049999999999999</v>
      </c>
      <c r="V49" s="232">
        <v>6.1210000000000004</v>
      </c>
      <c r="W49" s="232">
        <v>6.5049999999999999</v>
      </c>
      <c r="X49" s="232">
        <v>6.4676000000000004E-3</v>
      </c>
      <c r="Y49" s="232">
        <v>6.4676000000000004E-3</v>
      </c>
      <c r="Z49" s="232">
        <v>0</v>
      </c>
      <c r="AA49" s="232">
        <v>6.4676000000000004E-3</v>
      </c>
      <c r="AB49" s="232">
        <v>6.4676000000000004E-3</v>
      </c>
      <c r="AC49" s="232">
        <v>6.4676000000000004E-3</v>
      </c>
      <c r="AD49" s="232">
        <v>0.88240750534849777</v>
      </c>
      <c r="AE49" s="232">
        <v>0.87594544718132583</v>
      </c>
      <c r="AF49" s="232">
        <v>1.1404930224017629</v>
      </c>
      <c r="AG49" s="232">
        <v>1.1493068307014322</v>
      </c>
      <c r="AH49" s="232">
        <v>7.4130000000000001E-2</v>
      </c>
      <c r="AI49" s="232">
        <v>7.4700000000000003E-2</v>
      </c>
      <c r="AJ49" s="118"/>
      <c r="AK49" s="118"/>
      <c r="AL49" s="118"/>
      <c r="AM49" s="118"/>
      <c r="AN49" s="118"/>
      <c r="AO49" s="118"/>
      <c r="AP49" s="118"/>
      <c r="AS49" s="117"/>
      <c r="AT49" s="117"/>
      <c r="AU49" s="149"/>
      <c r="AV49" s="149"/>
      <c r="AW49" s="149"/>
      <c r="AX49" s="149"/>
      <c r="AY49" s="149"/>
      <c r="AZ49" s="149"/>
      <c r="BA49" s="149"/>
      <c r="BB49" s="149"/>
      <c r="BC49" s="149"/>
      <c r="BD49" s="149"/>
      <c r="BE49" s="117"/>
      <c r="BF49" s="117"/>
      <c r="BG49" s="120"/>
      <c r="BM49" s="120"/>
      <c r="BN49" s="120"/>
    </row>
    <row r="50" spans="1:66">
      <c r="A50" s="120">
        <v>10121</v>
      </c>
      <c r="B50" s="120" t="s">
        <v>54</v>
      </c>
      <c r="C50" s="232">
        <v>0</v>
      </c>
      <c r="D50" s="232">
        <v>1</v>
      </c>
      <c r="E50" s="232">
        <v>41.484999999999999</v>
      </c>
      <c r="F50" s="232">
        <v>39.601999999999997</v>
      </c>
      <c r="G50" s="232">
        <v>39.47</v>
      </c>
      <c r="H50" s="232">
        <v>0</v>
      </c>
      <c r="I50" s="232">
        <v>0</v>
      </c>
      <c r="J50" s="232">
        <v>0</v>
      </c>
      <c r="K50" s="232">
        <v>0</v>
      </c>
      <c r="L50" s="232">
        <v>0</v>
      </c>
      <c r="M50" s="232">
        <v>0</v>
      </c>
      <c r="N50" s="232">
        <v>38.908000000000001</v>
      </c>
      <c r="O50" s="232">
        <v>38.908000000000001</v>
      </c>
      <c r="P50" s="232">
        <v>340834.08</v>
      </c>
      <c r="Q50" s="232">
        <v>340834.08</v>
      </c>
      <c r="R50" s="232">
        <v>38.991</v>
      </c>
      <c r="S50" s="232">
        <v>341561.16</v>
      </c>
      <c r="T50" s="232">
        <v>0</v>
      </c>
      <c r="U50" s="232">
        <v>0</v>
      </c>
      <c r="V50" s="232">
        <v>0</v>
      </c>
      <c r="W50" s="232">
        <v>0</v>
      </c>
      <c r="X50" s="232">
        <v>5.7758000000000002E-3</v>
      </c>
      <c r="Y50" s="232">
        <v>5.7758000000000002E-3</v>
      </c>
      <c r="Z50" s="232">
        <v>0</v>
      </c>
      <c r="AA50" s="232">
        <v>5.7758000000000002E-3</v>
      </c>
      <c r="AB50" s="232">
        <v>5.7758000000000002E-3</v>
      </c>
      <c r="AC50" s="232">
        <v>5.7758000000000002E-3</v>
      </c>
      <c r="AD50" s="232">
        <v>0.99999646119564101</v>
      </c>
      <c r="AE50" s="232">
        <v>0.99999646119564101</v>
      </c>
      <c r="AF50" s="232">
        <v>1</v>
      </c>
      <c r="AG50" s="232">
        <v>1</v>
      </c>
      <c r="AH50" s="232">
        <v>0.06</v>
      </c>
      <c r="AI50" s="232">
        <v>0.06</v>
      </c>
      <c r="AJ50" s="111"/>
      <c r="AK50" s="111"/>
      <c r="AL50" s="111"/>
      <c r="AM50" s="111"/>
      <c r="AN50" s="111"/>
      <c r="AO50" s="111"/>
      <c r="AP50" s="111"/>
      <c r="AQ50" s="120"/>
      <c r="AR50" s="120"/>
      <c r="AS50" s="149"/>
      <c r="AT50" s="149"/>
      <c r="AU50" s="149"/>
      <c r="AV50" s="149"/>
      <c r="AW50" s="149"/>
      <c r="AX50" s="149"/>
      <c r="AY50" s="149"/>
      <c r="AZ50" s="149"/>
      <c r="BA50" s="149"/>
      <c r="BB50" s="149"/>
      <c r="BC50" s="149"/>
      <c r="BD50" s="149"/>
      <c r="BE50" s="149"/>
      <c r="BF50" s="149"/>
      <c r="BG50" s="120"/>
      <c r="BH50" s="120"/>
      <c r="BI50" s="120"/>
      <c r="BJ50" s="120"/>
      <c r="BK50" s="120"/>
      <c r="BL50" s="120"/>
      <c r="BM50" s="120"/>
      <c r="BN50" s="120"/>
    </row>
    <row r="51" spans="1:66">
      <c r="A51" s="120">
        <v>10123</v>
      </c>
      <c r="B51" s="120" t="s">
        <v>55</v>
      </c>
      <c r="C51" s="232">
        <v>1</v>
      </c>
      <c r="D51" s="232">
        <v>0</v>
      </c>
      <c r="E51" s="232">
        <v>557.39200000000005</v>
      </c>
      <c r="F51" s="232">
        <v>575.50599999999997</v>
      </c>
      <c r="G51" s="232">
        <v>591.97400000000005</v>
      </c>
      <c r="H51" s="232">
        <v>26.071000000000002</v>
      </c>
      <c r="I51" s="232">
        <v>26</v>
      </c>
      <c r="J51" s="232">
        <v>15.787000000000001</v>
      </c>
      <c r="K51" s="232">
        <v>15.723000000000001</v>
      </c>
      <c r="L51" s="232">
        <v>138294.12</v>
      </c>
      <c r="M51" s="232">
        <v>137733.48000000001</v>
      </c>
      <c r="N51" s="232">
        <v>533.64800000000002</v>
      </c>
      <c r="O51" s="232">
        <v>550.25099999999998</v>
      </c>
      <c r="P51" s="232">
        <v>4674756.4800000004</v>
      </c>
      <c r="Q51" s="232">
        <v>4820198.76</v>
      </c>
      <c r="R51" s="232">
        <v>523.88199999999995</v>
      </c>
      <c r="S51" s="232">
        <v>4589206.3199999994</v>
      </c>
      <c r="T51" s="232">
        <v>0</v>
      </c>
      <c r="U51" s="232">
        <v>0</v>
      </c>
      <c r="V51" s="232">
        <v>0</v>
      </c>
      <c r="W51" s="232">
        <v>0</v>
      </c>
      <c r="X51" s="232">
        <v>7.77693E-2</v>
      </c>
      <c r="Y51" s="232">
        <v>7.77693E-2</v>
      </c>
      <c r="Z51" s="232">
        <v>3.9884000000000003E-2</v>
      </c>
      <c r="AA51" s="232">
        <v>3.7885299999999997E-2</v>
      </c>
      <c r="AB51" s="232">
        <v>3.7885299999999997E-2</v>
      </c>
      <c r="AC51" s="232">
        <v>3.7885299999999997E-2</v>
      </c>
      <c r="AD51" s="232">
        <v>1</v>
      </c>
      <c r="AE51" s="232">
        <v>0.99999978415179669</v>
      </c>
      <c r="AF51" s="232">
        <v>1.0186416024982727</v>
      </c>
      <c r="AG51" s="232">
        <v>1.0503338538067732</v>
      </c>
      <c r="AH51" s="232">
        <v>0</v>
      </c>
      <c r="AI51" s="232">
        <v>0</v>
      </c>
      <c r="AJ51" s="111"/>
      <c r="AK51" s="111"/>
      <c r="AL51" s="111"/>
      <c r="AM51" s="111"/>
      <c r="AN51" s="111"/>
      <c r="AO51" s="111"/>
      <c r="AP51" s="111"/>
      <c r="AQ51" s="120"/>
      <c r="AR51" s="120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20"/>
      <c r="BH51" s="120"/>
      <c r="BI51" s="120"/>
      <c r="BJ51" s="120"/>
      <c r="BK51" s="120"/>
      <c r="BL51" s="120"/>
      <c r="BM51" s="120"/>
      <c r="BN51" s="120"/>
    </row>
    <row r="52" spans="1:66">
      <c r="A52" s="120">
        <v>10136</v>
      </c>
      <c r="B52" s="120" t="s">
        <v>56</v>
      </c>
      <c r="C52" s="232">
        <v>0</v>
      </c>
      <c r="D52" s="232">
        <v>1</v>
      </c>
      <c r="E52" s="232">
        <v>18.814</v>
      </c>
      <c r="F52" s="232">
        <v>18.446000000000002</v>
      </c>
      <c r="G52" s="232">
        <v>18.434000000000001</v>
      </c>
      <c r="H52" s="232">
        <v>0</v>
      </c>
      <c r="I52" s="232">
        <v>0</v>
      </c>
      <c r="J52" s="232">
        <v>0</v>
      </c>
      <c r="K52" s="232">
        <v>0</v>
      </c>
      <c r="L52" s="232">
        <v>0</v>
      </c>
      <c r="M52" s="232">
        <v>0</v>
      </c>
      <c r="N52" s="232">
        <v>18.257000000000001</v>
      </c>
      <c r="O52" s="232">
        <v>18.302</v>
      </c>
      <c r="P52" s="232">
        <v>159931.32</v>
      </c>
      <c r="Q52" s="232">
        <v>160325.51999999999</v>
      </c>
      <c r="R52" s="232">
        <v>17.683</v>
      </c>
      <c r="S52" s="232">
        <v>154903.07999999999</v>
      </c>
      <c r="T52" s="232">
        <v>0.57399999999999995</v>
      </c>
      <c r="U52" s="232">
        <v>0.61899999999999999</v>
      </c>
      <c r="V52" s="232">
        <v>0.57399999999999995</v>
      </c>
      <c r="W52" s="232">
        <v>0.61899999999999999</v>
      </c>
      <c r="X52" s="232">
        <v>2.6250000000000002E-3</v>
      </c>
      <c r="Y52" s="232">
        <v>2.6250000000000002E-3</v>
      </c>
      <c r="Z52" s="232">
        <v>0</v>
      </c>
      <c r="AA52" s="232">
        <v>2.6250000000000002E-3</v>
      </c>
      <c r="AB52" s="232">
        <v>2.6250000000000002E-3</v>
      </c>
      <c r="AC52" s="232">
        <v>2.6250000000000002E-3</v>
      </c>
      <c r="AD52" s="232">
        <v>0.96855684805827913</v>
      </c>
      <c r="AE52" s="232">
        <v>0.96617541115725081</v>
      </c>
      <c r="AF52" s="232">
        <v>1.0324605553356332</v>
      </c>
      <c r="AG52" s="232">
        <v>1.0350053723915624</v>
      </c>
      <c r="AH52" s="232">
        <v>7.2270000000000001E-2</v>
      </c>
      <c r="AI52" s="232">
        <v>7.2450000000000001E-2</v>
      </c>
      <c r="AJ52" s="111"/>
      <c r="AK52" s="111"/>
      <c r="AL52" s="111"/>
      <c r="AM52" s="111"/>
      <c r="AN52" s="111"/>
      <c r="AO52" s="111"/>
      <c r="AP52" s="111"/>
      <c r="AQ52" s="120"/>
      <c r="AR52" s="120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20"/>
      <c r="BH52" s="120"/>
      <c r="BI52" s="120"/>
      <c r="BJ52" s="120"/>
      <c r="BK52" s="120"/>
      <c r="BL52" s="120"/>
      <c r="BM52" s="120"/>
      <c r="BN52" s="120"/>
    </row>
    <row r="53" spans="1:66">
      <c r="A53" s="120">
        <v>10142</v>
      </c>
      <c r="B53" s="120" t="s">
        <v>57</v>
      </c>
      <c r="C53" s="232">
        <v>1</v>
      </c>
      <c r="D53" s="232">
        <v>0</v>
      </c>
      <c r="E53" s="232">
        <v>2.7269999999999999</v>
      </c>
      <c r="F53" s="232">
        <v>3.323</v>
      </c>
      <c r="G53" s="232">
        <v>3.347</v>
      </c>
      <c r="H53" s="232">
        <v>0</v>
      </c>
      <c r="I53" s="232">
        <v>0</v>
      </c>
      <c r="J53" s="232">
        <v>0</v>
      </c>
      <c r="K53" s="232">
        <v>0</v>
      </c>
      <c r="L53" s="232">
        <v>0</v>
      </c>
      <c r="M53" s="232">
        <v>0</v>
      </c>
      <c r="N53" s="232">
        <v>3</v>
      </c>
      <c r="O53" s="232">
        <v>3.0059999999999998</v>
      </c>
      <c r="P53" s="232">
        <v>26280</v>
      </c>
      <c r="Q53" s="232">
        <v>26332.559999999998</v>
      </c>
      <c r="R53" s="232">
        <v>2.5630000000000002</v>
      </c>
      <c r="S53" s="232">
        <v>22451.88</v>
      </c>
      <c r="T53" s="232">
        <v>0.437</v>
      </c>
      <c r="U53" s="232">
        <v>0.443</v>
      </c>
      <c r="V53" s="232">
        <v>0</v>
      </c>
      <c r="W53" s="232">
        <v>0</v>
      </c>
      <c r="X53" s="232">
        <v>3.8049999999999998E-4</v>
      </c>
      <c r="Y53" s="232">
        <v>3.8049999999999998E-4</v>
      </c>
      <c r="Z53" s="232">
        <v>0</v>
      </c>
      <c r="AA53" s="232">
        <v>3.8049999999999998E-4</v>
      </c>
      <c r="AB53" s="232">
        <v>3.8049999999999998E-4</v>
      </c>
      <c r="AC53" s="232">
        <v>3.8049999999999998E-4</v>
      </c>
      <c r="AD53" s="232">
        <v>0.85439486649999996</v>
      </c>
      <c r="AE53" s="232">
        <v>0.85268948752495011</v>
      </c>
      <c r="AF53" s="232">
        <v>1.1705033164260632</v>
      </c>
      <c r="AG53" s="232">
        <v>1.1728443230589152</v>
      </c>
      <c r="AH53" s="232">
        <v>2.9260000000000001E-2</v>
      </c>
      <c r="AI53" s="232">
        <v>2.9319999999999999E-2</v>
      </c>
      <c r="AJ53" s="111"/>
      <c r="AK53" s="111"/>
      <c r="AL53" s="111"/>
      <c r="AM53" s="111"/>
      <c r="AN53" s="111"/>
      <c r="AO53" s="111"/>
      <c r="AP53" s="111"/>
      <c r="AQ53" s="120"/>
      <c r="AR53" s="120"/>
      <c r="AS53" s="149"/>
      <c r="AT53" s="149"/>
      <c r="AU53" s="149"/>
      <c r="AV53" s="149"/>
      <c r="AW53" s="149"/>
      <c r="AX53" s="149"/>
      <c r="AY53" s="149"/>
      <c r="AZ53" s="149"/>
      <c r="BA53" s="149"/>
      <c r="BB53" s="149"/>
      <c r="BC53" s="149"/>
      <c r="BD53" s="149"/>
      <c r="BE53" s="149"/>
      <c r="BF53" s="149"/>
      <c r="BG53" s="120"/>
      <c r="BH53" s="120"/>
      <c r="BI53" s="120"/>
      <c r="BJ53" s="120"/>
      <c r="BK53" s="120"/>
      <c r="BL53" s="120"/>
      <c r="BM53" s="120"/>
      <c r="BN53" s="120"/>
    </row>
    <row r="54" spans="1:66">
      <c r="A54" s="120">
        <v>10144</v>
      </c>
      <c r="B54" s="120" t="s">
        <v>58</v>
      </c>
      <c r="C54" s="232">
        <v>1</v>
      </c>
      <c r="D54" s="232">
        <v>0</v>
      </c>
      <c r="E54" s="232">
        <v>3.4180000000000001</v>
      </c>
      <c r="F54" s="232">
        <v>3.266</v>
      </c>
      <c r="G54" s="232">
        <v>3.258</v>
      </c>
      <c r="H54" s="232">
        <v>0</v>
      </c>
      <c r="I54" s="232">
        <v>0</v>
      </c>
      <c r="J54" s="232">
        <v>0</v>
      </c>
      <c r="K54" s="232">
        <v>0</v>
      </c>
      <c r="L54" s="232">
        <v>0</v>
      </c>
      <c r="M54" s="232">
        <v>0</v>
      </c>
      <c r="N54" s="232">
        <v>3.2949999999999999</v>
      </c>
      <c r="O54" s="232">
        <v>3.2989999999999999</v>
      </c>
      <c r="P54" s="232">
        <v>28864.2</v>
      </c>
      <c r="Q54" s="232">
        <v>28899.239999999998</v>
      </c>
      <c r="R54" s="232">
        <v>3.2130000000000001</v>
      </c>
      <c r="S54" s="232">
        <v>28145.88</v>
      </c>
      <c r="T54" s="232">
        <v>8.2000000000000003E-2</v>
      </c>
      <c r="U54" s="232">
        <v>8.5999999999999993E-2</v>
      </c>
      <c r="V54" s="232">
        <v>0</v>
      </c>
      <c r="W54" s="232">
        <v>0</v>
      </c>
      <c r="X54" s="232">
        <v>4.7699999999999999E-4</v>
      </c>
      <c r="Y54" s="232">
        <v>4.7699999999999999E-4</v>
      </c>
      <c r="Z54" s="232">
        <v>0</v>
      </c>
      <c r="AA54" s="232">
        <v>4.7699999999999999E-4</v>
      </c>
      <c r="AB54" s="232">
        <v>4.7699999999999999E-4</v>
      </c>
      <c r="AC54" s="232">
        <v>4.7699999999999999E-4</v>
      </c>
      <c r="AD54" s="232">
        <v>0.9751876306525038</v>
      </c>
      <c r="AE54" s="232">
        <v>0.97400522673537437</v>
      </c>
      <c r="AF54" s="232">
        <v>1.0255213196389668</v>
      </c>
      <c r="AG54" s="232">
        <v>1.0267662620603797</v>
      </c>
      <c r="AH54" s="232">
        <v>0</v>
      </c>
      <c r="AI54" s="232">
        <v>0</v>
      </c>
      <c r="AJ54" s="111"/>
      <c r="AK54" s="111"/>
      <c r="AL54" s="111"/>
      <c r="AM54" s="111"/>
      <c r="AN54" s="111"/>
      <c r="AO54" s="111"/>
      <c r="AP54" s="111"/>
      <c r="AQ54" s="120"/>
      <c r="AR54" s="120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20"/>
      <c r="BH54" s="120"/>
      <c r="BI54" s="120"/>
      <c r="BJ54" s="120"/>
      <c r="BK54" s="120"/>
      <c r="BL54" s="120"/>
      <c r="BM54" s="120"/>
      <c r="BN54" s="120"/>
    </row>
    <row r="55" spans="1:66">
      <c r="A55" s="120">
        <v>10156</v>
      </c>
      <c r="B55" s="120" t="s">
        <v>59</v>
      </c>
      <c r="C55" s="232">
        <v>1</v>
      </c>
      <c r="D55" s="232">
        <v>0</v>
      </c>
      <c r="E55" s="232">
        <v>32.719000000000001</v>
      </c>
      <c r="F55" s="232">
        <v>32.97</v>
      </c>
      <c r="G55" s="232">
        <v>33.006</v>
      </c>
      <c r="H55" s="232">
        <v>0</v>
      </c>
      <c r="I55" s="232">
        <v>0</v>
      </c>
      <c r="J55" s="232">
        <v>0</v>
      </c>
      <c r="K55" s="232">
        <v>0</v>
      </c>
      <c r="L55" s="232">
        <v>0</v>
      </c>
      <c r="M55" s="232">
        <v>0</v>
      </c>
      <c r="N55" s="232">
        <v>32.320999999999998</v>
      </c>
      <c r="O55" s="232">
        <v>32.421999999999997</v>
      </c>
      <c r="P55" s="232">
        <v>283131.95999999996</v>
      </c>
      <c r="Q55" s="232">
        <v>284016.71999999997</v>
      </c>
      <c r="R55" s="232">
        <v>30.751999999999999</v>
      </c>
      <c r="S55" s="232">
        <v>269387.52000000002</v>
      </c>
      <c r="T55" s="232">
        <v>1.569</v>
      </c>
      <c r="U55" s="232">
        <v>1.67</v>
      </c>
      <c r="V55" s="232">
        <v>1.569</v>
      </c>
      <c r="W55" s="232">
        <v>1.67</v>
      </c>
      <c r="X55" s="232">
        <v>4.5650999999999999E-3</v>
      </c>
      <c r="Y55" s="232">
        <v>4.5650999999999999E-3</v>
      </c>
      <c r="Z55" s="232">
        <v>0</v>
      </c>
      <c r="AA55" s="232">
        <v>4.5650999999999999E-3</v>
      </c>
      <c r="AB55" s="232">
        <v>4.5650999999999999E-3</v>
      </c>
      <c r="AC55" s="232">
        <v>4.5650999999999999E-3</v>
      </c>
      <c r="AD55" s="232">
        <v>0.95146042730422953</v>
      </c>
      <c r="AE55" s="232">
        <v>0.94849646754981198</v>
      </c>
      <c r="AF55" s="232">
        <v>1.051021071800208</v>
      </c>
      <c r="AG55" s="232">
        <v>1.0543054110301768</v>
      </c>
      <c r="AH55" s="232">
        <v>0</v>
      </c>
      <c r="AI55" s="232">
        <v>0</v>
      </c>
      <c r="AJ55" s="111"/>
      <c r="AK55" s="111"/>
      <c r="AL55" s="111"/>
      <c r="AM55" s="111"/>
      <c r="AN55" s="111"/>
      <c r="AO55" s="111"/>
      <c r="AP55" s="111"/>
      <c r="AQ55" s="120"/>
      <c r="AR55" s="120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20"/>
      <c r="BH55" s="120"/>
      <c r="BI55" s="120"/>
      <c r="BJ55" s="120"/>
      <c r="BK55" s="120"/>
      <c r="BL55" s="120"/>
      <c r="BM55" s="120"/>
      <c r="BN55" s="120"/>
    </row>
    <row r="56" spans="1:66">
      <c r="A56" s="120">
        <v>10157</v>
      </c>
      <c r="B56" s="120" t="s">
        <v>60</v>
      </c>
      <c r="C56" s="232">
        <v>1</v>
      </c>
      <c r="D56" s="232">
        <v>0</v>
      </c>
      <c r="E56" s="232">
        <v>50.703000000000003</v>
      </c>
      <c r="F56" s="232">
        <v>91.995000000000005</v>
      </c>
      <c r="G56" s="232">
        <v>92.804000000000002</v>
      </c>
      <c r="H56" s="232">
        <v>34.521000000000001</v>
      </c>
      <c r="I56" s="232">
        <v>34.418999999999997</v>
      </c>
      <c r="J56" s="232">
        <v>2.5569999999999999</v>
      </c>
      <c r="K56" s="232">
        <v>2.5489999999999999</v>
      </c>
      <c r="L56" s="232">
        <v>22399.32</v>
      </c>
      <c r="M56" s="232">
        <v>22329.239999999998</v>
      </c>
      <c r="N56" s="232">
        <v>54.917000000000002</v>
      </c>
      <c r="O56" s="232">
        <v>55.835999999999999</v>
      </c>
      <c r="P56" s="232">
        <v>481072.92000000004</v>
      </c>
      <c r="Q56" s="232">
        <v>489123.36</v>
      </c>
      <c r="R56" s="232">
        <v>47.655000000000001</v>
      </c>
      <c r="S56" s="232">
        <v>417457.8</v>
      </c>
      <c r="T56" s="232">
        <v>2.4529999999999998</v>
      </c>
      <c r="U56" s="232">
        <v>2.63</v>
      </c>
      <c r="V56" s="232">
        <v>2.4529999999999998</v>
      </c>
      <c r="W56" s="232">
        <v>2.63</v>
      </c>
      <c r="X56" s="232">
        <v>7.0743000000000004E-3</v>
      </c>
      <c r="Y56" s="232">
        <v>7.0743000000000004E-3</v>
      </c>
      <c r="Z56" s="232">
        <v>3.6979999999999999E-3</v>
      </c>
      <c r="AA56" s="232">
        <v>3.3763000000000005E-3</v>
      </c>
      <c r="AB56" s="232">
        <v>3.3763000000000005E-3</v>
      </c>
      <c r="AC56" s="232">
        <v>3.3763000000000005E-3</v>
      </c>
      <c r="AD56" s="232">
        <v>0.95341596508916204</v>
      </c>
      <c r="AE56" s="232">
        <v>0.95022191152856117</v>
      </c>
      <c r="AF56" s="232">
        <v>1.15238694785437</v>
      </c>
      <c r="AG56" s="232">
        <v>1.1716713881019829</v>
      </c>
      <c r="AH56" s="232">
        <v>5.7829999999999999E-2</v>
      </c>
      <c r="AI56" s="232">
        <v>5.8040000000000001E-2</v>
      </c>
      <c r="AJ56" s="111"/>
      <c r="AK56" s="111"/>
      <c r="AL56" s="111"/>
      <c r="AM56" s="111"/>
      <c r="AN56" s="111"/>
      <c r="AO56" s="111"/>
      <c r="AP56" s="111"/>
      <c r="AQ56" s="120"/>
      <c r="AR56" s="120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20"/>
      <c r="BH56" s="120"/>
      <c r="BI56" s="120"/>
      <c r="BJ56" s="120"/>
      <c r="BK56" s="120"/>
      <c r="BL56" s="120"/>
      <c r="BM56" s="120"/>
      <c r="BN56" s="120"/>
    </row>
    <row r="57" spans="1:66">
      <c r="A57" s="120">
        <v>10158</v>
      </c>
      <c r="B57" s="120" t="s">
        <v>61</v>
      </c>
      <c r="C57" s="232">
        <v>1</v>
      </c>
      <c r="D57" s="232">
        <v>0</v>
      </c>
      <c r="E57" s="232">
        <v>2.8330000000000002</v>
      </c>
      <c r="F57" s="232">
        <v>2.2749999999999999</v>
      </c>
      <c r="G57" s="232">
        <v>2.2679999999999998</v>
      </c>
      <c r="H57" s="232">
        <v>0</v>
      </c>
      <c r="I57" s="232">
        <v>0</v>
      </c>
      <c r="J57" s="232">
        <v>0</v>
      </c>
      <c r="K57" s="232">
        <v>0</v>
      </c>
      <c r="L57" s="232">
        <v>0</v>
      </c>
      <c r="M57" s="232">
        <v>0</v>
      </c>
      <c r="N57" s="232">
        <v>2.3730000000000002</v>
      </c>
      <c r="O57" s="232">
        <v>2.3730000000000002</v>
      </c>
      <c r="P57" s="232">
        <v>20787.480000000003</v>
      </c>
      <c r="Q57" s="232">
        <v>20787.480000000003</v>
      </c>
      <c r="R57" s="232">
        <v>2.6629999999999998</v>
      </c>
      <c r="S57" s="232">
        <v>23327.879999999997</v>
      </c>
      <c r="T57" s="232">
        <v>0</v>
      </c>
      <c r="U57" s="232">
        <v>0</v>
      </c>
      <c r="V57" s="232">
        <v>0</v>
      </c>
      <c r="W57" s="232">
        <v>0</v>
      </c>
      <c r="X57" s="232">
        <v>3.523E-4</v>
      </c>
      <c r="Y57" s="232">
        <v>3.523E-4</v>
      </c>
      <c r="Z57" s="232">
        <v>0</v>
      </c>
      <c r="AA57" s="232">
        <v>3.523E-4</v>
      </c>
      <c r="AB57" s="232">
        <v>3.523E-4</v>
      </c>
      <c r="AC57" s="232">
        <v>3.523E-4</v>
      </c>
      <c r="AD57" s="232">
        <v>1</v>
      </c>
      <c r="AE57" s="232">
        <v>1</v>
      </c>
      <c r="AF57" s="232">
        <v>1</v>
      </c>
      <c r="AG57" s="232">
        <v>1</v>
      </c>
      <c r="AH57" s="232">
        <v>0</v>
      </c>
      <c r="AI57" s="232">
        <v>0</v>
      </c>
      <c r="AJ57" s="111"/>
      <c r="AK57" s="111"/>
      <c r="AL57" s="111"/>
      <c r="AM57" s="111"/>
      <c r="AN57" s="111"/>
      <c r="AO57" s="111"/>
      <c r="AP57" s="111"/>
      <c r="AQ57" s="120"/>
      <c r="AR57" s="120"/>
      <c r="AS57" s="149"/>
      <c r="AT57" s="149"/>
      <c r="AU57" s="149"/>
      <c r="AV57" s="149"/>
      <c r="AW57" s="149"/>
      <c r="AX57" s="149"/>
      <c r="AY57" s="149"/>
      <c r="AZ57" s="149"/>
      <c r="BA57" s="149"/>
      <c r="BB57" s="149"/>
      <c r="BC57" s="149"/>
      <c r="BD57" s="149"/>
      <c r="BE57" s="149"/>
      <c r="BF57" s="149"/>
      <c r="BG57" s="120"/>
      <c r="BH57" s="120"/>
      <c r="BI57" s="120"/>
      <c r="BJ57" s="120"/>
      <c r="BK57" s="120"/>
      <c r="BL57" s="120"/>
      <c r="BM57" s="120"/>
      <c r="BN57" s="120"/>
    </row>
    <row r="58" spans="1:66">
      <c r="A58" s="120">
        <v>10170</v>
      </c>
      <c r="B58" s="120" t="s">
        <v>62</v>
      </c>
      <c r="C58" s="232">
        <v>1</v>
      </c>
      <c r="D58" s="232">
        <v>0</v>
      </c>
      <c r="E58" s="232">
        <v>254.84299999999999</v>
      </c>
      <c r="F58" s="232">
        <v>274.49299999999999</v>
      </c>
      <c r="G58" s="232">
        <v>276.92599999999999</v>
      </c>
      <c r="H58" s="232">
        <v>1.0029999999999999</v>
      </c>
      <c r="I58" s="232">
        <v>1</v>
      </c>
      <c r="J58" s="232">
        <v>42.497</v>
      </c>
      <c r="K58" s="232">
        <v>42.392000000000003</v>
      </c>
      <c r="L58" s="232">
        <v>372273.72</v>
      </c>
      <c r="M58" s="232">
        <v>371353.92000000004</v>
      </c>
      <c r="N58" s="232">
        <v>230.99299999999999</v>
      </c>
      <c r="O58" s="232">
        <v>233.53399999999999</v>
      </c>
      <c r="P58" s="232">
        <v>2023498.68</v>
      </c>
      <c r="Q58" s="232">
        <v>2045757.8399999999</v>
      </c>
      <c r="R58" s="232">
        <v>239.52199999999999</v>
      </c>
      <c r="S58" s="232">
        <v>2098212.7199999997</v>
      </c>
      <c r="T58" s="232">
        <v>0.55700000000000005</v>
      </c>
      <c r="U58" s="232">
        <v>2.1680000000000001</v>
      </c>
      <c r="V58" s="232">
        <v>0</v>
      </c>
      <c r="W58" s="232">
        <v>2.1680000000000001</v>
      </c>
      <c r="X58" s="232">
        <v>3.4290500000000002E-2</v>
      </c>
      <c r="Y58" s="232">
        <v>3.4667700000000003E-2</v>
      </c>
      <c r="Z58" s="232">
        <v>1.7933600000000001E-2</v>
      </c>
      <c r="AA58" s="232">
        <v>1.6356900000000001E-2</v>
      </c>
      <c r="AB58" s="232">
        <v>1.6734100000000002E-2</v>
      </c>
      <c r="AC58" s="232">
        <v>1.6545500000000001E-2</v>
      </c>
      <c r="AD58" s="232">
        <v>0.99802818156824302</v>
      </c>
      <c r="AE58" s="232">
        <v>0.99236842586384144</v>
      </c>
      <c r="AF58" s="232">
        <v>1</v>
      </c>
      <c r="AG58" s="232">
        <v>1</v>
      </c>
      <c r="AH58" s="232">
        <v>0</v>
      </c>
      <c r="AI58" s="232">
        <v>0</v>
      </c>
      <c r="AJ58" s="111"/>
      <c r="AK58" s="111"/>
      <c r="AL58" s="111"/>
      <c r="AM58" s="111"/>
      <c r="AN58" s="111"/>
      <c r="AO58" s="111"/>
      <c r="AP58" s="111"/>
      <c r="AQ58" s="120"/>
      <c r="AR58" s="120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20"/>
      <c r="BH58" s="120"/>
      <c r="BI58" s="120"/>
      <c r="BJ58" s="120"/>
      <c r="BK58" s="120"/>
      <c r="BL58" s="120"/>
      <c r="BM58" s="120"/>
      <c r="BN58" s="120"/>
    </row>
    <row r="59" spans="1:66">
      <c r="A59" s="120">
        <v>10172</v>
      </c>
      <c r="B59" s="120" t="s">
        <v>63</v>
      </c>
      <c r="C59" s="232">
        <v>1</v>
      </c>
      <c r="D59" s="232">
        <v>0</v>
      </c>
      <c r="E59" s="232">
        <v>6.1929999999999996</v>
      </c>
      <c r="F59" s="232">
        <v>5.2869999999999999</v>
      </c>
      <c r="G59" s="232">
        <v>5.3019999999999996</v>
      </c>
      <c r="H59" s="232">
        <v>0</v>
      </c>
      <c r="I59" s="232">
        <v>0</v>
      </c>
      <c r="J59" s="232">
        <v>0</v>
      </c>
      <c r="K59" s="232">
        <v>0</v>
      </c>
      <c r="L59" s="232">
        <v>0</v>
      </c>
      <c r="M59" s="232">
        <v>0</v>
      </c>
      <c r="N59" s="232">
        <v>5.47</v>
      </c>
      <c r="O59" s="232">
        <v>5.4829999999999997</v>
      </c>
      <c r="P59" s="232">
        <v>47917.2</v>
      </c>
      <c r="Q59" s="232">
        <v>48031.079999999994</v>
      </c>
      <c r="R59" s="232">
        <v>5.8209999999999997</v>
      </c>
      <c r="S59" s="232">
        <v>50991.96</v>
      </c>
      <c r="T59" s="232">
        <v>0</v>
      </c>
      <c r="U59" s="232">
        <v>0</v>
      </c>
      <c r="V59" s="232">
        <v>0</v>
      </c>
      <c r="W59" s="232">
        <v>0</v>
      </c>
      <c r="X59" s="232">
        <v>8.12E-4</v>
      </c>
      <c r="Y59" s="232">
        <v>8.139E-4</v>
      </c>
      <c r="Z59" s="232">
        <v>0</v>
      </c>
      <c r="AA59" s="232">
        <v>8.12E-4</v>
      </c>
      <c r="AB59" s="232">
        <v>8.139E-4</v>
      </c>
      <c r="AC59" s="232">
        <v>8.1295E-4</v>
      </c>
      <c r="AD59" s="232">
        <v>0.99998601608775139</v>
      </c>
      <c r="AE59" s="232">
        <v>0.99994940545321909</v>
      </c>
      <c r="AF59" s="232">
        <v>1</v>
      </c>
      <c r="AG59" s="232">
        <v>1</v>
      </c>
      <c r="AH59" s="232">
        <v>0</v>
      </c>
      <c r="AI59" s="232">
        <v>0</v>
      </c>
      <c r="AJ59" s="111"/>
      <c r="AK59" s="111"/>
      <c r="AL59" s="111"/>
      <c r="AM59" s="111"/>
      <c r="AN59" s="111"/>
      <c r="AO59" s="111"/>
      <c r="AP59" s="111"/>
      <c r="AQ59" s="120"/>
      <c r="AR59" s="120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20"/>
      <c r="BH59" s="120"/>
      <c r="BI59" s="120"/>
      <c r="BJ59" s="120"/>
      <c r="BK59" s="120"/>
      <c r="BL59" s="120"/>
      <c r="BM59" s="120"/>
      <c r="BN59" s="120"/>
    </row>
    <row r="60" spans="1:66">
      <c r="A60" s="120">
        <v>10173</v>
      </c>
      <c r="B60" s="120" t="s">
        <v>64</v>
      </c>
      <c r="C60" s="232">
        <v>0</v>
      </c>
      <c r="D60" s="232">
        <v>1</v>
      </c>
      <c r="E60" s="232">
        <v>33.624000000000002</v>
      </c>
      <c r="F60" s="232">
        <v>42.328000000000003</v>
      </c>
      <c r="G60" s="232">
        <v>42.856999999999999</v>
      </c>
      <c r="H60" s="232">
        <v>0</v>
      </c>
      <c r="I60" s="232">
        <v>0</v>
      </c>
      <c r="J60" s="232">
        <v>2.0960000000000001</v>
      </c>
      <c r="K60" s="232">
        <v>2.0939999999999999</v>
      </c>
      <c r="L60" s="232">
        <v>18360.96</v>
      </c>
      <c r="M60" s="232">
        <v>18343.439999999999</v>
      </c>
      <c r="N60" s="232">
        <v>38.298000000000002</v>
      </c>
      <c r="O60" s="232">
        <v>38.832000000000001</v>
      </c>
      <c r="P60" s="232">
        <v>335490.48000000004</v>
      </c>
      <c r="Q60" s="232">
        <v>340168.32</v>
      </c>
      <c r="R60" s="232">
        <v>31.603000000000002</v>
      </c>
      <c r="S60" s="232">
        <v>276842.28000000003</v>
      </c>
      <c r="T60" s="232">
        <v>6.6950000000000003</v>
      </c>
      <c r="U60" s="232">
        <v>7.2290000000000001</v>
      </c>
      <c r="V60" s="232">
        <v>6.6950000000000003</v>
      </c>
      <c r="W60" s="232">
        <v>7.2290000000000001</v>
      </c>
      <c r="X60" s="232">
        <v>4.6914000000000001E-3</v>
      </c>
      <c r="Y60" s="232">
        <v>4.6914000000000001E-3</v>
      </c>
      <c r="Z60" s="232">
        <v>0</v>
      </c>
      <c r="AA60" s="232">
        <v>4.6914000000000001E-3</v>
      </c>
      <c r="AB60" s="232">
        <v>4.6914000000000001E-3</v>
      </c>
      <c r="AC60" s="232">
        <v>4.6914000000000001E-3</v>
      </c>
      <c r="AD60" s="232">
        <v>0.83424823263517534</v>
      </c>
      <c r="AE60" s="232">
        <v>0.82336301159654013</v>
      </c>
      <c r="AF60" s="232">
        <v>1.211846976552859</v>
      </c>
      <c r="AG60" s="232">
        <v>1.2287441065721609</v>
      </c>
      <c r="AH60" s="232">
        <v>8.4830000000000003E-2</v>
      </c>
      <c r="AI60" s="232">
        <v>8.6010000000000003E-2</v>
      </c>
      <c r="AJ60" s="111"/>
      <c r="AK60" s="111"/>
      <c r="AL60" s="111"/>
      <c r="AM60" s="111"/>
      <c r="AN60" s="111"/>
      <c r="AO60" s="111"/>
      <c r="AP60" s="111"/>
      <c r="AQ60" s="120"/>
      <c r="AR60" s="120"/>
      <c r="AS60" s="149"/>
      <c r="AT60" s="149"/>
      <c r="AU60" s="149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  <c r="BF60" s="149"/>
      <c r="BG60" s="120"/>
      <c r="BH60" s="120"/>
      <c r="BI60" s="120"/>
      <c r="BJ60" s="120"/>
      <c r="BK60" s="120"/>
      <c r="BL60" s="120"/>
      <c r="BM60" s="120"/>
      <c r="BN60" s="120"/>
    </row>
    <row r="61" spans="1:66">
      <c r="A61" s="120">
        <v>10174</v>
      </c>
      <c r="B61" s="120" t="s">
        <v>65</v>
      </c>
      <c r="C61" s="232">
        <v>1</v>
      </c>
      <c r="D61" s="232">
        <v>0</v>
      </c>
      <c r="E61" s="232">
        <v>0.51500000000000001</v>
      </c>
      <c r="F61" s="232">
        <v>0.497</v>
      </c>
      <c r="G61" s="232">
        <v>0.496</v>
      </c>
      <c r="H61" s="232">
        <v>0</v>
      </c>
      <c r="I61" s="232">
        <v>0</v>
      </c>
      <c r="J61" s="232">
        <v>0</v>
      </c>
      <c r="K61" s="232">
        <v>0</v>
      </c>
      <c r="L61" s="232">
        <v>0</v>
      </c>
      <c r="M61" s="232">
        <v>0</v>
      </c>
      <c r="N61" s="232">
        <v>0.497</v>
      </c>
      <c r="O61" s="232">
        <v>0.497</v>
      </c>
      <c r="P61" s="232">
        <v>4353.72</v>
      </c>
      <c r="Q61" s="232">
        <v>4353.72</v>
      </c>
      <c r="R61" s="232">
        <v>0.48399999999999999</v>
      </c>
      <c r="S61" s="232">
        <v>4239.84</v>
      </c>
      <c r="T61" s="232">
        <v>1.2999999999999999E-2</v>
      </c>
      <c r="U61" s="232">
        <v>1.2999999999999999E-2</v>
      </c>
      <c r="V61" s="232">
        <v>0</v>
      </c>
      <c r="W61" s="232">
        <v>0</v>
      </c>
      <c r="X61" s="232">
        <v>7.1799999999999997E-5</v>
      </c>
      <c r="Y61" s="232">
        <v>7.1799999999999997E-5</v>
      </c>
      <c r="Z61" s="232">
        <v>0</v>
      </c>
      <c r="AA61" s="232">
        <v>7.1799999999999997E-5</v>
      </c>
      <c r="AB61" s="232">
        <v>7.1799999999999997E-5</v>
      </c>
      <c r="AC61" s="232">
        <v>7.1799999999999997E-5</v>
      </c>
      <c r="AD61" s="232">
        <v>0.97318023380281682</v>
      </c>
      <c r="AE61" s="232">
        <v>0.97318023380281682</v>
      </c>
      <c r="AF61" s="232">
        <v>1.0268595041322315</v>
      </c>
      <c r="AG61" s="232">
        <v>1.0268595041322315</v>
      </c>
      <c r="AH61" s="232">
        <v>0</v>
      </c>
      <c r="AI61" s="232">
        <v>0</v>
      </c>
      <c r="AJ61" s="111"/>
      <c r="AK61" s="111"/>
      <c r="AL61" s="111"/>
      <c r="AM61" s="111"/>
      <c r="AN61" s="111"/>
      <c r="AO61" s="111"/>
      <c r="AP61" s="111"/>
      <c r="AQ61" s="120"/>
      <c r="AR61" s="120"/>
      <c r="AS61" s="149"/>
      <c r="AT61" s="149"/>
      <c r="AU61" s="149"/>
      <c r="AV61" s="149"/>
      <c r="AW61" s="149"/>
      <c r="AX61" s="149"/>
      <c r="AY61" s="149"/>
      <c r="AZ61" s="149"/>
      <c r="BA61" s="149"/>
      <c r="BB61" s="149"/>
      <c r="BC61" s="149"/>
      <c r="BD61" s="149"/>
      <c r="BE61" s="149"/>
      <c r="BF61" s="149"/>
      <c r="BG61" s="120"/>
      <c r="BH61" s="120"/>
      <c r="BI61" s="120"/>
      <c r="BJ61" s="120"/>
      <c r="BK61" s="120"/>
      <c r="BL61" s="120"/>
      <c r="BM61" s="120"/>
      <c r="BN61" s="120"/>
    </row>
    <row r="62" spans="1:66">
      <c r="A62" s="120">
        <v>10177</v>
      </c>
      <c r="B62" s="120" t="s">
        <v>66</v>
      </c>
      <c r="C62" s="232">
        <v>1</v>
      </c>
      <c r="D62" s="232">
        <v>0</v>
      </c>
      <c r="E62" s="232">
        <v>11.839</v>
      </c>
      <c r="F62" s="232">
        <v>8.6809999999999992</v>
      </c>
      <c r="G62" s="232">
        <v>10.083</v>
      </c>
      <c r="H62" s="232">
        <v>0</v>
      </c>
      <c r="I62" s="232">
        <v>0</v>
      </c>
      <c r="J62" s="232">
        <v>0</v>
      </c>
      <c r="K62" s="232">
        <v>0</v>
      </c>
      <c r="L62" s="232">
        <v>0</v>
      </c>
      <c r="M62" s="232">
        <v>0</v>
      </c>
      <c r="N62" s="232">
        <v>8.907</v>
      </c>
      <c r="O62" s="232">
        <v>8.9280000000000008</v>
      </c>
      <c r="P62" s="232">
        <v>78025.320000000007</v>
      </c>
      <c r="Q62" s="232">
        <v>78209.280000000013</v>
      </c>
      <c r="R62" s="232">
        <v>11.127000000000001</v>
      </c>
      <c r="S62" s="232">
        <v>97472.52</v>
      </c>
      <c r="T62" s="232">
        <v>0</v>
      </c>
      <c r="U62" s="232">
        <v>0</v>
      </c>
      <c r="V62" s="232">
        <v>0</v>
      </c>
      <c r="W62" s="232">
        <v>0</v>
      </c>
      <c r="X62" s="232">
        <v>1.3221999999999999E-3</v>
      </c>
      <c r="Y62" s="232">
        <v>1.3253E-3</v>
      </c>
      <c r="Z62" s="232">
        <v>0</v>
      </c>
      <c r="AA62" s="232">
        <v>1.3221999999999999E-3</v>
      </c>
      <c r="AB62" s="232">
        <v>1.3253E-3</v>
      </c>
      <c r="AC62" s="232">
        <v>1.3237499999999998E-3</v>
      </c>
      <c r="AD62" s="232">
        <v>0.99997910293027958</v>
      </c>
      <c r="AE62" s="232">
        <v>0.99996601508736549</v>
      </c>
      <c r="AF62" s="232">
        <v>1</v>
      </c>
      <c r="AG62" s="232">
        <v>1</v>
      </c>
      <c r="AH62" s="232">
        <v>7.0000000000000007E-2</v>
      </c>
      <c r="AI62" s="232">
        <v>7.0000000000000007E-2</v>
      </c>
      <c r="AJ62" s="111"/>
      <c r="AK62" s="111"/>
      <c r="AL62" s="111"/>
      <c r="AM62" s="111"/>
      <c r="AN62" s="111"/>
      <c r="AO62" s="111"/>
      <c r="AP62" s="111"/>
      <c r="AQ62" s="120"/>
      <c r="AR62" s="120"/>
      <c r="AS62" s="149"/>
      <c r="AT62" s="149"/>
      <c r="AU62" s="149"/>
      <c r="AV62" s="149"/>
      <c r="AW62" s="149"/>
      <c r="AX62" s="149"/>
      <c r="AY62" s="149"/>
      <c r="AZ62" s="149"/>
      <c r="BA62" s="149"/>
      <c r="BB62" s="149"/>
      <c r="BC62" s="149"/>
      <c r="BD62" s="149"/>
      <c r="BE62" s="149"/>
      <c r="BF62" s="149"/>
      <c r="BG62" s="120"/>
      <c r="BH62" s="120"/>
      <c r="BI62" s="120"/>
      <c r="BJ62" s="120"/>
      <c r="BK62" s="120"/>
      <c r="BL62" s="120"/>
      <c r="BM62" s="120"/>
      <c r="BN62" s="120"/>
    </row>
    <row r="63" spans="1:66">
      <c r="A63" s="120">
        <v>10179</v>
      </c>
      <c r="B63" s="120" t="s">
        <v>67</v>
      </c>
      <c r="C63" s="232">
        <v>0</v>
      </c>
      <c r="D63" s="232">
        <v>1</v>
      </c>
      <c r="E63" s="232">
        <v>169.31100000000001</v>
      </c>
      <c r="F63" s="232">
        <v>200.35400000000001</v>
      </c>
      <c r="G63" s="232">
        <v>202.66399999999999</v>
      </c>
      <c r="H63" s="232">
        <v>0</v>
      </c>
      <c r="I63" s="232">
        <v>0</v>
      </c>
      <c r="J63" s="232">
        <v>7.0190000000000001</v>
      </c>
      <c r="K63" s="232">
        <v>7</v>
      </c>
      <c r="L63" s="232">
        <v>61486.44</v>
      </c>
      <c r="M63" s="232">
        <v>61320</v>
      </c>
      <c r="N63" s="232">
        <v>182.45099999999999</v>
      </c>
      <c r="O63" s="232">
        <v>185.14099999999999</v>
      </c>
      <c r="P63" s="232">
        <v>1598270.76</v>
      </c>
      <c r="Q63" s="232">
        <v>1621835.16</v>
      </c>
      <c r="R63" s="232">
        <v>159.13200000000001</v>
      </c>
      <c r="S63" s="232">
        <v>1393996.32</v>
      </c>
      <c r="T63" s="232">
        <v>23.318999999999999</v>
      </c>
      <c r="U63" s="232">
        <v>26.009</v>
      </c>
      <c r="V63" s="232">
        <v>23.318999999999999</v>
      </c>
      <c r="W63" s="232">
        <v>26.009</v>
      </c>
      <c r="X63" s="232">
        <v>2.3622799999999999E-2</v>
      </c>
      <c r="Y63" s="232">
        <v>2.3622799999999999E-2</v>
      </c>
      <c r="Z63" s="232">
        <v>0</v>
      </c>
      <c r="AA63" s="232">
        <v>2.3622799999999999E-2</v>
      </c>
      <c r="AB63" s="232">
        <v>2.3622799999999999E-2</v>
      </c>
      <c r="AC63" s="232">
        <v>2.3622799999999999E-2</v>
      </c>
      <c r="AD63" s="232">
        <v>0.87882973528430619</v>
      </c>
      <c r="AE63" s="232">
        <v>0.86671515153248169</v>
      </c>
      <c r="AF63" s="232">
        <v>1.1465387225699419</v>
      </c>
      <c r="AG63" s="232">
        <v>1.1634429278837695</v>
      </c>
      <c r="AH63" s="232">
        <v>0</v>
      </c>
      <c r="AI63" s="232">
        <v>0</v>
      </c>
      <c r="AJ63" s="111"/>
      <c r="AK63" s="111"/>
      <c r="AL63" s="111"/>
      <c r="AM63" s="111"/>
      <c r="AN63" s="111"/>
      <c r="AO63" s="111"/>
      <c r="AP63" s="111"/>
      <c r="AQ63" s="120"/>
      <c r="AR63" s="120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20"/>
      <c r="BH63" s="120"/>
      <c r="BI63" s="120"/>
      <c r="BJ63" s="120"/>
      <c r="BK63" s="120"/>
      <c r="BL63" s="120"/>
      <c r="BM63" s="120"/>
      <c r="BN63" s="120"/>
    </row>
    <row r="64" spans="1:66">
      <c r="A64" s="120">
        <v>10183</v>
      </c>
      <c r="B64" s="120" t="s">
        <v>68</v>
      </c>
      <c r="C64" s="232">
        <v>1</v>
      </c>
      <c r="D64" s="232">
        <v>0</v>
      </c>
      <c r="E64" s="232">
        <v>119.102</v>
      </c>
      <c r="F64" s="232">
        <v>147.69</v>
      </c>
      <c r="G64" s="232">
        <v>149.477</v>
      </c>
      <c r="H64" s="232">
        <v>0</v>
      </c>
      <c r="I64" s="232">
        <v>0</v>
      </c>
      <c r="J64" s="232">
        <v>0.69099999999999995</v>
      </c>
      <c r="K64" s="232">
        <v>0.68899999999999995</v>
      </c>
      <c r="L64" s="232">
        <v>6053.16</v>
      </c>
      <c r="M64" s="232">
        <v>6035.6399999999994</v>
      </c>
      <c r="N64" s="232">
        <v>146.999</v>
      </c>
      <c r="O64" s="232">
        <v>148.78800000000001</v>
      </c>
      <c r="P64" s="232">
        <v>1287711.24</v>
      </c>
      <c r="Q64" s="232">
        <v>1303382.8800000001</v>
      </c>
      <c r="R64" s="232">
        <v>111.94199999999999</v>
      </c>
      <c r="S64" s="232">
        <v>980611.91999999993</v>
      </c>
      <c r="T64" s="232">
        <v>11.638</v>
      </c>
      <c r="U64" s="232">
        <v>12.13</v>
      </c>
      <c r="V64" s="232">
        <v>11.638</v>
      </c>
      <c r="W64" s="232">
        <v>12.13</v>
      </c>
      <c r="X64" s="232">
        <v>1.66176E-2</v>
      </c>
      <c r="Y64" s="232">
        <v>1.66176E-2</v>
      </c>
      <c r="Z64" s="232">
        <v>7.7895000000000004E-3</v>
      </c>
      <c r="AA64" s="232">
        <v>8.8280999999999984E-3</v>
      </c>
      <c r="AB64" s="232">
        <v>8.8280999999999984E-3</v>
      </c>
      <c r="AC64" s="232">
        <v>8.8280999999999984E-3</v>
      </c>
      <c r="AD64" s="232">
        <v>0.90634928516685576</v>
      </c>
      <c r="AE64" s="232">
        <v>0.90277506046280487</v>
      </c>
      <c r="AF64" s="232">
        <v>1.3131711064658484</v>
      </c>
      <c r="AG64" s="232">
        <v>1.3291525968805276</v>
      </c>
      <c r="AH64" s="232">
        <v>0</v>
      </c>
      <c r="AI64" s="232">
        <v>0</v>
      </c>
      <c r="AJ64" s="111"/>
      <c r="AK64" s="111"/>
      <c r="AL64" s="111"/>
      <c r="AM64" s="111"/>
      <c r="AN64" s="111"/>
      <c r="AO64" s="111"/>
      <c r="AP64" s="111"/>
      <c r="AQ64" s="120"/>
      <c r="AR64" s="120"/>
      <c r="AS64" s="149"/>
      <c r="AT64" s="149"/>
      <c r="AU64" s="149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  <c r="BF64" s="149"/>
      <c r="BG64" s="120"/>
      <c r="BH64" s="120"/>
      <c r="BI64" s="120"/>
      <c r="BJ64" s="120"/>
      <c r="BK64" s="120"/>
      <c r="BL64" s="120"/>
      <c r="BM64" s="120"/>
      <c r="BN64" s="120"/>
    </row>
    <row r="65" spans="1:66">
      <c r="A65" s="120">
        <v>10186</v>
      </c>
      <c r="B65" s="120" t="s">
        <v>69</v>
      </c>
      <c r="C65" s="232">
        <v>1</v>
      </c>
      <c r="D65" s="232">
        <v>0</v>
      </c>
      <c r="E65" s="232">
        <v>21.635000000000002</v>
      </c>
      <c r="F65" s="232">
        <v>21.023</v>
      </c>
      <c r="G65" s="232">
        <v>21.01</v>
      </c>
      <c r="H65" s="232">
        <v>0</v>
      </c>
      <c r="I65" s="232">
        <v>0</v>
      </c>
      <c r="J65" s="232">
        <v>3.327</v>
      </c>
      <c r="K65" s="232">
        <v>3.3159999999999998</v>
      </c>
      <c r="L65" s="232">
        <v>29144.52</v>
      </c>
      <c r="M65" s="232">
        <v>29048.16</v>
      </c>
      <c r="N65" s="232">
        <v>18.152000000000001</v>
      </c>
      <c r="O65" s="232">
        <v>18.260000000000002</v>
      </c>
      <c r="P65" s="232">
        <v>159011.52000000002</v>
      </c>
      <c r="Q65" s="232">
        <v>159957.6</v>
      </c>
      <c r="R65" s="232">
        <v>20.334</v>
      </c>
      <c r="S65" s="232">
        <v>178125.84</v>
      </c>
      <c r="T65" s="232">
        <v>0</v>
      </c>
      <c r="U65" s="232">
        <v>0</v>
      </c>
      <c r="V65" s="232">
        <v>0</v>
      </c>
      <c r="W65" s="232">
        <v>0</v>
      </c>
      <c r="X65" s="232">
        <v>2.6946000000000001E-3</v>
      </c>
      <c r="Y65" s="232">
        <v>2.7106999999999999E-3</v>
      </c>
      <c r="Z65" s="232">
        <v>0</v>
      </c>
      <c r="AA65" s="232">
        <v>2.6946000000000001E-3</v>
      </c>
      <c r="AB65" s="232">
        <v>2.7106999999999999E-3</v>
      </c>
      <c r="AC65" s="232">
        <v>2.70265E-3</v>
      </c>
      <c r="AD65" s="232">
        <v>0.9999903559437302</v>
      </c>
      <c r="AE65" s="232">
        <v>1</v>
      </c>
      <c r="AF65" s="232">
        <v>1</v>
      </c>
      <c r="AG65" s="232">
        <v>1</v>
      </c>
      <c r="AH65" s="232">
        <v>7.0000000000000007E-2</v>
      </c>
      <c r="AI65" s="232">
        <v>7.0000000000000007E-2</v>
      </c>
      <c r="AJ65" s="111"/>
      <c r="AK65" s="111"/>
      <c r="AL65" s="111"/>
      <c r="AM65" s="111"/>
      <c r="AN65" s="111"/>
      <c r="AO65" s="111"/>
      <c r="AP65" s="111"/>
      <c r="AQ65" s="120"/>
      <c r="AR65" s="120"/>
      <c r="AS65" s="149"/>
      <c r="AT65" s="149"/>
      <c r="AU65" s="149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  <c r="BF65" s="149"/>
      <c r="BG65" s="120"/>
      <c r="BH65" s="120"/>
      <c r="BI65" s="120"/>
      <c r="BJ65" s="120"/>
      <c r="BK65" s="120"/>
      <c r="BL65" s="120"/>
      <c r="BM65" s="120"/>
      <c r="BN65" s="120"/>
    </row>
    <row r="66" spans="1:66">
      <c r="A66" s="120">
        <v>10190</v>
      </c>
      <c r="B66" s="120" t="s">
        <v>70</v>
      </c>
      <c r="C66" s="232">
        <v>1</v>
      </c>
      <c r="D66" s="232">
        <v>0</v>
      </c>
      <c r="E66" s="232">
        <v>5.2690000000000001</v>
      </c>
      <c r="F66" s="232">
        <v>7.4420000000000002</v>
      </c>
      <c r="G66" s="232">
        <v>7.415</v>
      </c>
      <c r="H66" s="232">
        <v>0</v>
      </c>
      <c r="I66" s="232">
        <v>0</v>
      </c>
      <c r="J66" s="232">
        <v>0</v>
      </c>
      <c r="K66" s="232">
        <v>0</v>
      </c>
      <c r="L66" s="232">
        <v>0</v>
      </c>
      <c r="M66" s="232">
        <v>0</v>
      </c>
      <c r="N66" s="232">
        <v>5.3890000000000002</v>
      </c>
      <c r="O66" s="232">
        <v>5.4</v>
      </c>
      <c r="P66" s="232">
        <v>47207.64</v>
      </c>
      <c r="Q66" s="232">
        <v>47304</v>
      </c>
      <c r="R66" s="232">
        <v>4.952</v>
      </c>
      <c r="S66" s="232">
        <v>43379.519999999997</v>
      </c>
      <c r="T66" s="232">
        <v>0.437</v>
      </c>
      <c r="U66" s="232">
        <v>0.44800000000000001</v>
      </c>
      <c r="V66" s="232">
        <v>0</v>
      </c>
      <c r="W66" s="232">
        <v>0</v>
      </c>
      <c r="X66" s="232">
        <v>7.3510000000000003E-4</v>
      </c>
      <c r="Y66" s="232">
        <v>7.3510000000000003E-4</v>
      </c>
      <c r="Z66" s="232">
        <v>0</v>
      </c>
      <c r="AA66" s="232">
        <v>7.3510000000000003E-4</v>
      </c>
      <c r="AB66" s="232">
        <v>7.3510000000000003E-4</v>
      </c>
      <c r="AC66" s="232">
        <v>7.3510000000000003E-4</v>
      </c>
      <c r="AD66" s="232">
        <v>0.91888986841714604</v>
      </c>
      <c r="AE66" s="232">
        <v>0.91701805572222228</v>
      </c>
      <c r="AF66" s="232">
        <v>1.0882471728594507</v>
      </c>
      <c r="AG66" s="232">
        <v>1.0904684975767367</v>
      </c>
      <c r="AH66" s="232">
        <v>0</v>
      </c>
      <c r="AI66" s="232">
        <v>0</v>
      </c>
      <c r="AJ66" s="111"/>
      <c r="AK66" s="111"/>
      <c r="AL66" s="111"/>
      <c r="AM66" s="111"/>
      <c r="AN66" s="111"/>
      <c r="AO66" s="111"/>
      <c r="AP66" s="111"/>
      <c r="AQ66" s="120"/>
      <c r="AR66" s="120"/>
      <c r="AS66" s="149"/>
      <c r="AT66" s="149"/>
      <c r="AU66" s="149"/>
      <c r="AV66" s="149"/>
      <c r="AW66" s="149"/>
      <c r="AX66" s="149"/>
      <c r="AY66" s="149"/>
      <c r="AZ66" s="149"/>
      <c r="BA66" s="149"/>
      <c r="BB66" s="149"/>
      <c r="BC66" s="149"/>
      <c r="BD66" s="149"/>
      <c r="BE66" s="149"/>
      <c r="BF66" s="149"/>
      <c r="BG66" s="120"/>
      <c r="BH66" s="120"/>
      <c r="BI66" s="120"/>
      <c r="BJ66" s="120"/>
      <c r="BK66" s="120"/>
      <c r="BL66" s="120"/>
      <c r="BM66" s="120"/>
      <c r="BN66" s="120"/>
    </row>
    <row r="67" spans="1:66">
      <c r="A67" s="120">
        <v>10191</v>
      </c>
      <c r="B67" s="120" t="s">
        <v>71</v>
      </c>
      <c r="C67" s="232">
        <v>1</v>
      </c>
      <c r="D67" s="232">
        <v>0</v>
      </c>
      <c r="E67" s="232">
        <v>133.17400000000001</v>
      </c>
      <c r="F67" s="232">
        <v>130.69900000000001</v>
      </c>
      <c r="G67" s="232">
        <v>129.90100000000001</v>
      </c>
      <c r="H67" s="232">
        <v>0</v>
      </c>
      <c r="I67" s="232">
        <v>0</v>
      </c>
      <c r="J67" s="232">
        <v>0</v>
      </c>
      <c r="K67" s="232">
        <v>0</v>
      </c>
      <c r="L67" s="232">
        <v>0</v>
      </c>
      <c r="M67" s="232">
        <v>0</v>
      </c>
      <c r="N67" s="232">
        <v>129.17099999999999</v>
      </c>
      <c r="O67" s="232">
        <v>129.197</v>
      </c>
      <c r="P67" s="232">
        <v>1131537.96</v>
      </c>
      <c r="Q67" s="232">
        <v>1131765.72</v>
      </c>
      <c r="R67" s="232">
        <v>125.16800000000001</v>
      </c>
      <c r="S67" s="232">
        <v>1096471.6800000002</v>
      </c>
      <c r="T67" s="232">
        <v>4.0030000000000001</v>
      </c>
      <c r="U67" s="232">
        <v>4.0289999999999999</v>
      </c>
      <c r="V67" s="232">
        <v>4.0030000000000001</v>
      </c>
      <c r="W67" s="232">
        <v>4.0289999999999999</v>
      </c>
      <c r="X67" s="232">
        <v>1.8581E-2</v>
      </c>
      <c r="Y67" s="232">
        <v>1.8581E-2</v>
      </c>
      <c r="Z67" s="232">
        <v>0</v>
      </c>
      <c r="AA67" s="232">
        <v>1.8581E-2</v>
      </c>
      <c r="AB67" s="232">
        <v>1.8581E-2</v>
      </c>
      <c r="AC67" s="232">
        <v>1.8581E-2</v>
      </c>
      <c r="AD67" s="232">
        <v>0.96901229052186655</v>
      </c>
      <c r="AE67" s="232">
        <v>0.96881728352051522</v>
      </c>
      <c r="AF67" s="232">
        <v>1.0319810175124631</v>
      </c>
      <c r="AG67" s="232">
        <v>1.0321887383356769</v>
      </c>
      <c r="AH67" s="232">
        <v>0</v>
      </c>
      <c r="AI67" s="232">
        <v>0</v>
      </c>
      <c r="AJ67" s="111"/>
      <c r="AK67" s="111"/>
      <c r="AL67" s="111"/>
      <c r="AM67" s="111"/>
      <c r="AN67" s="111"/>
      <c r="AO67" s="111"/>
      <c r="AP67" s="111"/>
      <c r="AQ67" s="120"/>
      <c r="AR67" s="120"/>
      <c r="AS67" s="149"/>
      <c r="AT67" s="149"/>
      <c r="AU67" s="149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  <c r="BF67" s="149"/>
      <c r="BG67" s="120"/>
      <c r="BH67" s="120"/>
      <c r="BI67" s="120"/>
      <c r="BJ67" s="120"/>
      <c r="BK67" s="120"/>
      <c r="BL67" s="120"/>
      <c r="BM67" s="120"/>
      <c r="BN67" s="120"/>
    </row>
    <row r="68" spans="1:66">
      <c r="A68" s="120">
        <v>10197</v>
      </c>
      <c r="B68" s="120" t="s">
        <v>72</v>
      </c>
      <c r="C68" s="232">
        <v>1</v>
      </c>
      <c r="D68" s="232">
        <v>0</v>
      </c>
      <c r="E68" s="232">
        <v>23.091999999999999</v>
      </c>
      <c r="F68" s="232">
        <v>56.435000000000002</v>
      </c>
      <c r="G68" s="232">
        <v>87.802000000000007</v>
      </c>
      <c r="H68" s="232">
        <v>28.126000000000001</v>
      </c>
      <c r="I68" s="232">
        <v>59.325000000000003</v>
      </c>
      <c r="J68" s="232">
        <v>0</v>
      </c>
      <c r="K68" s="232">
        <v>0</v>
      </c>
      <c r="L68" s="232">
        <v>0</v>
      </c>
      <c r="M68" s="232">
        <v>0</v>
      </c>
      <c r="N68" s="232">
        <v>26.672000000000001</v>
      </c>
      <c r="O68" s="232">
        <v>26.640999999999998</v>
      </c>
      <c r="P68" s="232">
        <v>233646.72</v>
      </c>
      <c r="Q68" s="232">
        <v>233375.15999999997</v>
      </c>
      <c r="R68" s="232">
        <v>21.704000000000001</v>
      </c>
      <c r="S68" s="232">
        <v>190127.04</v>
      </c>
      <c r="T68" s="232">
        <v>4.968</v>
      </c>
      <c r="U68" s="232">
        <v>4.9370000000000003</v>
      </c>
      <c r="V68" s="232">
        <v>4.968</v>
      </c>
      <c r="W68" s="232">
        <v>4.9370000000000003</v>
      </c>
      <c r="X68" s="232">
        <v>3.2219000000000002E-3</v>
      </c>
      <c r="Y68" s="232">
        <v>3.2219000000000002E-3</v>
      </c>
      <c r="Z68" s="232">
        <v>0</v>
      </c>
      <c r="AA68" s="232">
        <v>3.2219000000000002E-3</v>
      </c>
      <c r="AB68" s="232">
        <v>3.2219000000000002E-3</v>
      </c>
      <c r="AC68" s="232">
        <v>3.2219000000000002E-3</v>
      </c>
      <c r="AD68" s="232">
        <v>0.81373256831508711</v>
      </c>
      <c r="AE68" s="232">
        <v>0.81467944379340129</v>
      </c>
      <c r="AF68" s="232">
        <v>1.2288978990047916</v>
      </c>
      <c r="AG68" s="232">
        <v>1.2274695908588278</v>
      </c>
      <c r="AH68" s="232">
        <v>8.6019999999999999E-2</v>
      </c>
      <c r="AI68" s="232">
        <v>8.5919999999999996E-2</v>
      </c>
      <c r="AJ68" s="111"/>
      <c r="AK68" s="111"/>
      <c r="AL68" s="111"/>
      <c r="AM68" s="111"/>
      <c r="AN68" s="111"/>
      <c r="AO68" s="111"/>
      <c r="AP68" s="111"/>
      <c r="AQ68" s="120"/>
      <c r="AR68" s="120"/>
      <c r="AS68" s="149"/>
      <c r="AT68" s="149"/>
      <c r="AU68" s="149"/>
      <c r="AV68" s="149"/>
      <c r="AW68" s="149"/>
      <c r="AX68" s="149"/>
      <c r="AY68" s="149"/>
      <c r="AZ68" s="149"/>
      <c r="BA68" s="149"/>
      <c r="BB68" s="149"/>
      <c r="BC68" s="149"/>
      <c r="BD68" s="149"/>
      <c r="BE68" s="149"/>
      <c r="BF68" s="149"/>
      <c r="BG68" s="120"/>
      <c r="BH68" s="120"/>
      <c r="BI68" s="120"/>
      <c r="BJ68" s="120"/>
      <c r="BK68" s="120"/>
      <c r="BL68" s="120"/>
      <c r="BM68" s="120"/>
      <c r="BN68" s="120"/>
    </row>
    <row r="69" spans="1:66">
      <c r="A69" s="120">
        <v>10202</v>
      </c>
      <c r="B69" s="120" t="s">
        <v>73</v>
      </c>
      <c r="C69" s="232">
        <v>1</v>
      </c>
      <c r="D69" s="232">
        <v>0</v>
      </c>
      <c r="E69" s="232">
        <v>13.294</v>
      </c>
      <c r="F69" s="232">
        <v>15.53</v>
      </c>
      <c r="G69" s="232">
        <v>15.606999999999999</v>
      </c>
      <c r="H69" s="232">
        <v>0</v>
      </c>
      <c r="I69" s="232">
        <v>0</v>
      </c>
      <c r="J69" s="232">
        <v>0</v>
      </c>
      <c r="K69" s="232">
        <v>0</v>
      </c>
      <c r="L69" s="232">
        <v>0</v>
      </c>
      <c r="M69" s="232">
        <v>0</v>
      </c>
      <c r="N69" s="232">
        <v>14.638</v>
      </c>
      <c r="O69" s="232">
        <v>14.763</v>
      </c>
      <c r="P69" s="232">
        <v>128228.88</v>
      </c>
      <c r="Q69" s="232">
        <v>129323.88</v>
      </c>
      <c r="R69" s="232">
        <v>12.494999999999999</v>
      </c>
      <c r="S69" s="232">
        <v>109456.2</v>
      </c>
      <c r="T69" s="232">
        <v>2.1429999999999998</v>
      </c>
      <c r="U69" s="232">
        <v>2.2679999999999998</v>
      </c>
      <c r="V69" s="232">
        <v>2.1429999999999998</v>
      </c>
      <c r="W69" s="232">
        <v>2.2679999999999998</v>
      </c>
      <c r="X69" s="232">
        <v>1.8549E-3</v>
      </c>
      <c r="Y69" s="232">
        <v>1.8549E-3</v>
      </c>
      <c r="Z69" s="232">
        <v>0</v>
      </c>
      <c r="AA69" s="232">
        <v>1.8549E-3</v>
      </c>
      <c r="AB69" s="232">
        <v>1.8549E-3</v>
      </c>
      <c r="AC69" s="232">
        <v>1.8549E-3</v>
      </c>
      <c r="AD69" s="232">
        <v>0.85361882149883872</v>
      </c>
      <c r="AE69" s="232">
        <v>0.84639113385490761</v>
      </c>
      <c r="AF69" s="232">
        <v>1.1715086034413766</v>
      </c>
      <c r="AG69" s="232">
        <v>1.1815126050420168</v>
      </c>
      <c r="AH69" s="232">
        <v>0</v>
      </c>
      <c r="AI69" s="232">
        <v>0</v>
      </c>
      <c r="AJ69" s="111"/>
      <c r="AK69" s="111"/>
      <c r="AL69" s="111"/>
      <c r="AM69" s="111"/>
      <c r="AN69" s="111"/>
      <c r="AO69" s="111"/>
      <c r="AP69" s="111"/>
      <c r="AQ69" s="120"/>
      <c r="AR69" s="120"/>
      <c r="AS69" s="149"/>
      <c r="AT69" s="149"/>
      <c r="AU69" s="149"/>
      <c r="AV69" s="149"/>
      <c r="AW69" s="149"/>
      <c r="AX69" s="149"/>
      <c r="AY69" s="149"/>
      <c r="AZ69" s="149"/>
      <c r="BA69" s="149"/>
      <c r="BB69" s="149"/>
      <c r="BC69" s="149"/>
      <c r="BD69" s="149"/>
      <c r="BE69" s="149"/>
      <c r="BF69" s="149"/>
      <c r="BG69" s="120"/>
      <c r="BH69" s="120"/>
      <c r="BI69" s="120"/>
      <c r="BJ69" s="120"/>
      <c r="BK69" s="120"/>
      <c r="BL69" s="120"/>
      <c r="BM69" s="120"/>
      <c r="BN69" s="120"/>
    </row>
    <row r="70" spans="1:66">
      <c r="A70" s="120">
        <v>10203</v>
      </c>
      <c r="B70" s="120" t="s">
        <v>74</v>
      </c>
      <c r="C70" s="232">
        <v>1</v>
      </c>
      <c r="D70" s="232">
        <v>0</v>
      </c>
      <c r="E70" s="232">
        <v>6.306</v>
      </c>
      <c r="F70" s="232">
        <v>6.7469999999999999</v>
      </c>
      <c r="G70" s="232">
        <v>6.7750000000000004</v>
      </c>
      <c r="H70" s="232">
        <v>0</v>
      </c>
      <c r="I70" s="232">
        <v>0</v>
      </c>
      <c r="J70" s="232">
        <v>0</v>
      </c>
      <c r="K70" s="232">
        <v>0</v>
      </c>
      <c r="L70" s="232">
        <v>0</v>
      </c>
      <c r="M70" s="232">
        <v>0</v>
      </c>
      <c r="N70" s="232">
        <v>6.4729999999999999</v>
      </c>
      <c r="O70" s="232">
        <v>6.5</v>
      </c>
      <c r="P70" s="232">
        <v>56703.479999999996</v>
      </c>
      <c r="Q70" s="232">
        <v>56940</v>
      </c>
      <c r="R70" s="232">
        <v>5.9269999999999996</v>
      </c>
      <c r="S70" s="232">
        <v>51920.52</v>
      </c>
      <c r="T70" s="232">
        <v>0.54600000000000004</v>
      </c>
      <c r="U70" s="232">
        <v>0.57299999999999995</v>
      </c>
      <c r="V70" s="232">
        <v>0</v>
      </c>
      <c r="W70" s="232">
        <v>0</v>
      </c>
      <c r="X70" s="232">
        <v>8.7989999999999997E-4</v>
      </c>
      <c r="Y70" s="232">
        <v>8.7989999999999997E-4</v>
      </c>
      <c r="Z70" s="232">
        <v>0</v>
      </c>
      <c r="AA70" s="232">
        <v>8.7989999999999997E-4</v>
      </c>
      <c r="AB70" s="232">
        <v>8.7989999999999997E-4</v>
      </c>
      <c r="AC70" s="232">
        <v>8.7989999999999997E-4</v>
      </c>
      <c r="AD70" s="232">
        <v>0.91569941048972658</v>
      </c>
      <c r="AE70" s="232">
        <v>0.91189573601538454</v>
      </c>
      <c r="AF70" s="232">
        <v>1.0921208031044374</v>
      </c>
      <c r="AG70" s="232">
        <v>1.0966762274337778</v>
      </c>
      <c r="AH70" s="232">
        <v>7.6450000000000004E-2</v>
      </c>
      <c r="AI70" s="232">
        <v>7.6770000000000005E-2</v>
      </c>
      <c r="AJ70" s="111"/>
      <c r="AK70" s="111"/>
      <c r="AL70" s="111"/>
      <c r="AM70" s="111"/>
      <c r="AN70" s="111"/>
      <c r="AO70" s="111"/>
      <c r="AP70" s="111"/>
      <c r="AQ70" s="120"/>
      <c r="AR70" s="120"/>
      <c r="AS70" s="149"/>
      <c r="AT70" s="149"/>
      <c r="AU70" s="149"/>
      <c r="AV70" s="149"/>
      <c r="AW70" s="149"/>
      <c r="AX70" s="149"/>
      <c r="AY70" s="149"/>
      <c r="AZ70" s="149"/>
      <c r="BA70" s="149"/>
      <c r="BB70" s="149"/>
      <c r="BC70" s="149"/>
      <c r="BD70" s="149"/>
      <c r="BE70" s="149"/>
      <c r="BF70" s="149"/>
      <c r="BG70" s="120"/>
      <c r="BH70" s="120"/>
      <c r="BI70" s="120"/>
      <c r="BJ70" s="120"/>
      <c r="BK70" s="120"/>
      <c r="BL70" s="120"/>
      <c r="BM70" s="120"/>
      <c r="BN70" s="120"/>
    </row>
    <row r="71" spans="1:66">
      <c r="A71" s="120">
        <v>10204</v>
      </c>
      <c r="B71" s="120" t="s">
        <v>75</v>
      </c>
      <c r="C71" s="232">
        <v>1</v>
      </c>
      <c r="D71" s="232">
        <v>0</v>
      </c>
      <c r="E71" s="232">
        <v>80.742999999999995</v>
      </c>
      <c r="F71" s="232">
        <v>100.505</v>
      </c>
      <c r="G71" s="232">
        <v>101.58799999999999</v>
      </c>
      <c r="H71" s="232">
        <v>0</v>
      </c>
      <c r="I71" s="232">
        <v>0</v>
      </c>
      <c r="J71" s="232">
        <v>17.396999999999998</v>
      </c>
      <c r="K71" s="232">
        <v>17.321999999999999</v>
      </c>
      <c r="L71" s="232">
        <v>152397.71999999997</v>
      </c>
      <c r="M71" s="232">
        <v>151740.72</v>
      </c>
      <c r="N71" s="232">
        <v>83.108000000000004</v>
      </c>
      <c r="O71" s="232">
        <v>84.266000000000005</v>
      </c>
      <c r="P71" s="232">
        <v>728026.08000000007</v>
      </c>
      <c r="Q71" s="232">
        <v>738170.16</v>
      </c>
      <c r="R71" s="232">
        <v>75.888999999999996</v>
      </c>
      <c r="S71" s="232">
        <v>664787.64</v>
      </c>
      <c r="T71" s="232">
        <v>0</v>
      </c>
      <c r="U71" s="232">
        <v>0</v>
      </c>
      <c r="V71" s="232">
        <v>0</v>
      </c>
      <c r="W71" s="232">
        <v>0</v>
      </c>
      <c r="X71" s="232">
        <v>1.1265600000000001E-2</v>
      </c>
      <c r="Y71" s="232">
        <v>1.1265600000000001E-2</v>
      </c>
      <c r="Z71" s="232">
        <v>5.4892999999999999E-3</v>
      </c>
      <c r="AA71" s="232">
        <v>5.7763000000000007E-3</v>
      </c>
      <c r="AB71" s="232">
        <v>5.7763000000000007E-3</v>
      </c>
      <c r="AC71" s="232">
        <v>5.7763000000000007E-3</v>
      </c>
      <c r="AD71" s="232">
        <v>0.99999852333123496</v>
      </c>
      <c r="AE71" s="232">
        <v>1</v>
      </c>
      <c r="AF71" s="232">
        <v>1.0951257758041351</v>
      </c>
      <c r="AG71" s="232">
        <v>1.1103849042680758</v>
      </c>
      <c r="AH71" s="232">
        <v>0</v>
      </c>
      <c r="AI71" s="232">
        <v>0</v>
      </c>
      <c r="AJ71" s="111"/>
      <c r="AK71" s="111"/>
      <c r="AL71" s="111"/>
      <c r="AM71" s="111"/>
      <c r="AN71" s="111"/>
      <c r="AO71" s="111"/>
      <c r="AP71" s="111"/>
      <c r="AQ71" s="120"/>
      <c r="AR71" s="120"/>
      <c r="AS71" s="149"/>
      <c r="AT71" s="149"/>
      <c r="AU71" s="149"/>
      <c r="AV71" s="149"/>
      <c r="AW71" s="149"/>
      <c r="AX71" s="149"/>
      <c r="AY71" s="149"/>
      <c r="AZ71" s="149"/>
      <c r="BA71" s="149"/>
      <c r="BB71" s="149"/>
      <c r="BC71" s="149"/>
      <c r="BD71" s="149"/>
      <c r="BE71" s="149"/>
      <c r="BF71" s="149"/>
      <c r="BG71" s="120"/>
      <c r="BH71" s="120"/>
      <c r="BI71" s="120"/>
      <c r="BJ71" s="120"/>
      <c r="BK71" s="120"/>
      <c r="BL71" s="120"/>
      <c r="BM71" s="120"/>
      <c r="BN71" s="120"/>
    </row>
    <row r="72" spans="1:66">
      <c r="A72" s="120">
        <v>10209</v>
      </c>
      <c r="B72" s="120" t="s">
        <v>76</v>
      </c>
      <c r="C72" s="232">
        <v>1</v>
      </c>
      <c r="D72" s="232">
        <v>0</v>
      </c>
      <c r="E72" s="232">
        <v>106.455</v>
      </c>
      <c r="F72" s="232">
        <v>128.24199999999999</v>
      </c>
      <c r="G72" s="232">
        <v>128.88300000000001</v>
      </c>
      <c r="H72" s="232">
        <v>0</v>
      </c>
      <c r="I72" s="232">
        <v>0</v>
      </c>
      <c r="J72" s="232">
        <v>0</v>
      </c>
      <c r="K72" s="232">
        <v>0</v>
      </c>
      <c r="L72" s="232">
        <v>0</v>
      </c>
      <c r="M72" s="232">
        <v>0</v>
      </c>
      <c r="N72" s="232">
        <v>117.752</v>
      </c>
      <c r="O72" s="232">
        <v>118.58199999999999</v>
      </c>
      <c r="P72" s="232">
        <v>1031507.5199999999</v>
      </c>
      <c r="Q72" s="232">
        <v>1038778.32</v>
      </c>
      <c r="R72" s="232">
        <v>100.05500000000001</v>
      </c>
      <c r="S72" s="232">
        <v>876481.8</v>
      </c>
      <c r="T72" s="232">
        <v>17.696999999999999</v>
      </c>
      <c r="U72" s="232">
        <v>18.527000000000001</v>
      </c>
      <c r="V72" s="232">
        <v>17.696999999999999</v>
      </c>
      <c r="W72" s="232">
        <v>18.527000000000001</v>
      </c>
      <c r="X72" s="232">
        <v>1.4853E-2</v>
      </c>
      <c r="Y72" s="232">
        <v>1.4853E-2</v>
      </c>
      <c r="Z72" s="232">
        <v>0</v>
      </c>
      <c r="AA72" s="232">
        <v>1.4853E-2</v>
      </c>
      <c r="AB72" s="232">
        <v>1.4853E-2</v>
      </c>
      <c r="AC72" s="232">
        <v>1.4853E-2</v>
      </c>
      <c r="AD72" s="232">
        <v>0.84971074994055318</v>
      </c>
      <c r="AE72" s="232">
        <v>0.84376330494510143</v>
      </c>
      <c r="AF72" s="232">
        <v>1.1768727200039977</v>
      </c>
      <c r="AG72" s="232">
        <v>1.1851681575133675</v>
      </c>
      <c r="AH72" s="232">
        <v>8.2379999999999995E-2</v>
      </c>
      <c r="AI72" s="232">
        <v>8.2960000000000006E-2</v>
      </c>
      <c r="AJ72" s="111"/>
      <c r="AK72" s="111"/>
      <c r="AL72" s="111"/>
      <c r="AM72" s="111"/>
      <c r="AN72" s="111"/>
      <c r="AO72" s="111"/>
      <c r="AP72" s="111"/>
      <c r="AQ72" s="120"/>
      <c r="AR72" s="120"/>
      <c r="AS72" s="149"/>
      <c r="AT72" s="149"/>
      <c r="AU72" s="149"/>
      <c r="AV72" s="149"/>
      <c r="AW72" s="149"/>
      <c r="AX72" s="149"/>
      <c r="AY72" s="149"/>
      <c r="AZ72" s="149"/>
      <c r="BA72" s="149"/>
      <c r="BB72" s="149"/>
      <c r="BC72" s="149"/>
      <c r="BD72" s="149"/>
      <c r="BE72" s="149"/>
      <c r="BF72" s="149"/>
      <c r="BG72" s="120"/>
      <c r="BH72" s="120"/>
      <c r="BI72" s="120"/>
      <c r="BJ72" s="120"/>
      <c r="BK72" s="120"/>
      <c r="BL72" s="120"/>
      <c r="BM72" s="120"/>
      <c r="BN72" s="120"/>
    </row>
    <row r="73" spans="1:66">
      <c r="A73" s="120">
        <v>10230</v>
      </c>
      <c r="B73" s="120" t="s">
        <v>77</v>
      </c>
      <c r="C73" s="232">
        <v>1</v>
      </c>
      <c r="D73" s="232">
        <v>0</v>
      </c>
      <c r="E73" s="232">
        <v>9.8469999999999995</v>
      </c>
      <c r="F73" s="232">
        <v>13.355</v>
      </c>
      <c r="G73" s="232">
        <v>13.451000000000001</v>
      </c>
      <c r="H73" s="232">
        <v>0</v>
      </c>
      <c r="I73" s="232">
        <v>0</v>
      </c>
      <c r="J73" s="232">
        <v>0.98399999999999999</v>
      </c>
      <c r="K73" s="232">
        <v>0.98</v>
      </c>
      <c r="L73" s="232">
        <v>8619.84</v>
      </c>
      <c r="M73" s="232">
        <v>8584.7999999999993</v>
      </c>
      <c r="N73" s="232">
        <v>12.29</v>
      </c>
      <c r="O73" s="232">
        <v>12.353</v>
      </c>
      <c r="P73" s="232">
        <v>107660.4</v>
      </c>
      <c r="Q73" s="232">
        <v>108212.28</v>
      </c>
      <c r="R73" s="232">
        <v>9.2550000000000008</v>
      </c>
      <c r="S73" s="232">
        <v>81073.8</v>
      </c>
      <c r="T73" s="232">
        <v>3.0350000000000001</v>
      </c>
      <c r="U73" s="232">
        <v>3.0979999999999999</v>
      </c>
      <c r="V73" s="232">
        <v>3.0350000000000001</v>
      </c>
      <c r="W73" s="232">
        <v>3.0979999999999999</v>
      </c>
      <c r="X73" s="232">
        <v>1.3738999999999999E-3</v>
      </c>
      <c r="Y73" s="232">
        <v>1.3738999999999999E-3</v>
      </c>
      <c r="Z73" s="232">
        <v>0</v>
      </c>
      <c r="AA73" s="232">
        <v>1.3738999999999999E-3</v>
      </c>
      <c r="AB73" s="232">
        <v>1.3738999999999999E-3</v>
      </c>
      <c r="AC73" s="232">
        <v>1.3738999999999999E-3</v>
      </c>
      <c r="AD73" s="232">
        <v>0.77129492314242654</v>
      </c>
      <c r="AE73" s="232">
        <v>0.76765046351908794</v>
      </c>
      <c r="AF73" s="232">
        <v>1.3279308481901673</v>
      </c>
      <c r="AG73" s="232">
        <v>1.3347379794705563</v>
      </c>
      <c r="AH73" s="232">
        <v>9.2960000000000001E-2</v>
      </c>
      <c r="AI73" s="232">
        <v>9.3429999999999999E-2</v>
      </c>
      <c r="AJ73" s="111"/>
      <c r="AK73" s="111"/>
      <c r="AL73" s="111"/>
      <c r="AM73" s="111"/>
      <c r="AN73" s="111"/>
      <c r="AO73" s="111"/>
      <c r="AP73" s="111"/>
      <c r="AQ73" s="120"/>
      <c r="AR73" s="120"/>
      <c r="AS73" s="149"/>
      <c r="AT73" s="149"/>
      <c r="AU73" s="149"/>
      <c r="AV73" s="149"/>
      <c r="AW73" s="149"/>
      <c r="AX73" s="149"/>
      <c r="AY73" s="149"/>
      <c r="AZ73" s="149"/>
      <c r="BA73" s="149"/>
      <c r="BB73" s="149"/>
      <c r="BC73" s="149"/>
      <c r="BD73" s="149"/>
      <c r="BE73" s="149"/>
      <c r="BF73" s="149"/>
      <c r="BG73" s="120"/>
      <c r="BH73" s="120"/>
      <c r="BI73" s="120"/>
      <c r="BJ73" s="120"/>
      <c r="BK73" s="120"/>
      <c r="BL73" s="120"/>
      <c r="BM73" s="120"/>
      <c r="BN73" s="120"/>
    </row>
    <row r="74" spans="1:66">
      <c r="A74" s="120">
        <v>10231</v>
      </c>
      <c r="B74" s="120" t="s">
        <v>78</v>
      </c>
      <c r="C74" s="232">
        <v>1</v>
      </c>
      <c r="D74" s="232">
        <v>0</v>
      </c>
      <c r="E74" s="232">
        <v>37.206000000000003</v>
      </c>
      <c r="F74" s="232">
        <v>61.466999999999999</v>
      </c>
      <c r="G74" s="232">
        <v>62.220999999999997</v>
      </c>
      <c r="H74" s="232">
        <v>0</v>
      </c>
      <c r="I74" s="232">
        <v>0</v>
      </c>
      <c r="J74" s="232">
        <v>4.431</v>
      </c>
      <c r="K74" s="232">
        <v>4.4189999999999996</v>
      </c>
      <c r="L74" s="232">
        <v>38815.56</v>
      </c>
      <c r="M74" s="232">
        <v>38710.439999999995</v>
      </c>
      <c r="N74" s="232">
        <v>45.048000000000002</v>
      </c>
      <c r="O74" s="232">
        <v>45.381999999999998</v>
      </c>
      <c r="P74" s="232">
        <v>394620.48000000004</v>
      </c>
      <c r="Q74" s="232">
        <v>397546.32</v>
      </c>
      <c r="R74" s="232">
        <v>34.969000000000001</v>
      </c>
      <c r="S74" s="232">
        <v>306328.44</v>
      </c>
      <c r="T74" s="232">
        <v>10.079000000000001</v>
      </c>
      <c r="U74" s="232">
        <v>10.413</v>
      </c>
      <c r="V74" s="232">
        <v>10.079000000000001</v>
      </c>
      <c r="W74" s="232">
        <v>10.413</v>
      </c>
      <c r="X74" s="232">
        <v>5.1910999999999997E-3</v>
      </c>
      <c r="Y74" s="232">
        <v>5.1910999999999997E-3</v>
      </c>
      <c r="Z74" s="232">
        <v>0</v>
      </c>
      <c r="AA74" s="232">
        <v>5.1910999999999997E-3</v>
      </c>
      <c r="AB74" s="232">
        <v>5.1910999999999997E-3</v>
      </c>
      <c r="AC74" s="232">
        <v>5.1910999999999997E-3</v>
      </c>
      <c r="AD74" s="232">
        <v>0.79625029221299037</v>
      </c>
      <c r="AE74" s="232">
        <v>0.79091008624124004</v>
      </c>
      <c r="AF74" s="232">
        <v>1.2882267150905087</v>
      </c>
      <c r="AG74" s="232">
        <v>1.2977780319711745</v>
      </c>
      <c r="AH74" s="232">
        <v>9.0179999999999996E-2</v>
      </c>
      <c r="AI74" s="232">
        <v>9.0840000000000004E-2</v>
      </c>
      <c r="AJ74" s="111"/>
      <c r="AK74" s="111"/>
      <c r="AL74" s="111"/>
      <c r="AM74" s="111"/>
      <c r="AN74" s="111"/>
      <c r="AO74" s="111"/>
      <c r="AP74" s="111"/>
      <c r="AQ74" s="120"/>
      <c r="AR74" s="120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20"/>
      <c r="BH74" s="120"/>
      <c r="BI74" s="120"/>
      <c r="BJ74" s="120"/>
      <c r="BK74" s="120"/>
      <c r="BL74" s="120"/>
      <c r="BM74" s="120"/>
      <c r="BN74" s="120"/>
    </row>
    <row r="75" spans="1:66">
      <c r="A75" s="120">
        <v>10234</v>
      </c>
      <c r="B75" s="120" t="s">
        <v>79</v>
      </c>
      <c r="C75" s="232">
        <v>1</v>
      </c>
      <c r="D75" s="232">
        <v>0</v>
      </c>
      <c r="E75" s="232">
        <v>51.76</v>
      </c>
      <c r="F75" s="232">
        <v>71.093999999999994</v>
      </c>
      <c r="G75" s="232">
        <v>73.045000000000002</v>
      </c>
      <c r="H75" s="232">
        <v>0</v>
      </c>
      <c r="I75" s="232">
        <v>0</v>
      </c>
      <c r="J75" s="232">
        <v>0</v>
      </c>
      <c r="K75" s="232">
        <v>0</v>
      </c>
      <c r="L75" s="232">
        <v>0</v>
      </c>
      <c r="M75" s="232">
        <v>0</v>
      </c>
      <c r="N75" s="232">
        <v>58.776000000000003</v>
      </c>
      <c r="O75" s="232">
        <v>59.573999999999998</v>
      </c>
      <c r="P75" s="232">
        <v>514877.76</v>
      </c>
      <c r="Q75" s="232">
        <v>521868.24</v>
      </c>
      <c r="R75" s="232">
        <v>48.648000000000003</v>
      </c>
      <c r="S75" s="232">
        <v>426156.48000000004</v>
      </c>
      <c r="T75" s="232">
        <v>10.128</v>
      </c>
      <c r="U75" s="232">
        <v>10.926</v>
      </c>
      <c r="V75" s="232">
        <v>10.128</v>
      </c>
      <c r="W75" s="232">
        <v>10.926</v>
      </c>
      <c r="X75" s="232">
        <v>7.2217000000000002E-3</v>
      </c>
      <c r="Y75" s="232">
        <v>7.2217000000000002E-3</v>
      </c>
      <c r="Z75" s="232">
        <v>0</v>
      </c>
      <c r="AA75" s="232">
        <v>7.2217000000000002E-3</v>
      </c>
      <c r="AB75" s="232">
        <v>7.2217000000000002E-3</v>
      </c>
      <c r="AC75" s="232">
        <v>7.2217000000000002E-3</v>
      </c>
      <c r="AD75" s="232">
        <v>0.8276841532309106</v>
      </c>
      <c r="AE75" s="232">
        <v>0.81659723688689712</v>
      </c>
      <c r="AF75" s="232">
        <v>1.2081894425259003</v>
      </c>
      <c r="AG75" s="232">
        <v>1.2245929945732608</v>
      </c>
      <c r="AH75" s="232">
        <v>0</v>
      </c>
      <c r="AI75" s="232">
        <v>0</v>
      </c>
      <c r="AJ75" s="111"/>
      <c r="AK75" s="111"/>
      <c r="AL75" s="111"/>
      <c r="AM75" s="111"/>
      <c r="AN75" s="111"/>
      <c r="AO75" s="111"/>
      <c r="AP75" s="111"/>
      <c r="AQ75" s="120"/>
      <c r="AR75" s="120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20"/>
      <c r="BH75" s="120"/>
      <c r="BI75" s="120"/>
      <c r="BJ75" s="120"/>
      <c r="BK75" s="120"/>
      <c r="BL75" s="120"/>
      <c r="BM75" s="120"/>
      <c r="BN75" s="120"/>
    </row>
    <row r="76" spans="1:66">
      <c r="A76" s="120">
        <v>10235</v>
      </c>
      <c r="B76" s="120" t="s">
        <v>80</v>
      </c>
      <c r="C76" s="232">
        <v>1</v>
      </c>
      <c r="D76" s="232">
        <v>0</v>
      </c>
      <c r="E76" s="232">
        <v>33.606999999999999</v>
      </c>
      <c r="F76" s="232">
        <v>30.318999999999999</v>
      </c>
      <c r="G76" s="232">
        <v>30.274999999999999</v>
      </c>
      <c r="H76" s="232">
        <v>0</v>
      </c>
      <c r="I76" s="232">
        <v>0</v>
      </c>
      <c r="J76" s="232">
        <v>0</v>
      </c>
      <c r="K76" s="232">
        <v>0</v>
      </c>
      <c r="L76" s="232">
        <v>0</v>
      </c>
      <c r="M76" s="232">
        <v>0</v>
      </c>
      <c r="N76" s="232">
        <v>30.675999999999998</v>
      </c>
      <c r="O76" s="232">
        <v>30.829000000000001</v>
      </c>
      <c r="P76" s="232">
        <v>268721.76</v>
      </c>
      <c r="Q76" s="232">
        <v>270062.03999999998</v>
      </c>
      <c r="R76" s="232">
        <v>31.587</v>
      </c>
      <c r="S76" s="232">
        <v>276702.12</v>
      </c>
      <c r="T76" s="232">
        <v>0</v>
      </c>
      <c r="U76" s="232">
        <v>0</v>
      </c>
      <c r="V76" s="232">
        <v>0</v>
      </c>
      <c r="W76" s="232">
        <v>0</v>
      </c>
      <c r="X76" s="232">
        <v>4.5538000000000002E-3</v>
      </c>
      <c r="Y76" s="232">
        <v>4.5764999999999998E-3</v>
      </c>
      <c r="Z76" s="232">
        <v>0</v>
      </c>
      <c r="AA76" s="232">
        <v>4.5538000000000002E-3</v>
      </c>
      <c r="AB76" s="232">
        <v>4.5764999999999998E-3</v>
      </c>
      <c r="AC76" s="232">
        <v>4.5651500000000005E-3</v>
      </c>
      <c r="AD76" s="232">
        <v>1</v>
      </c>
      <c r="AE76" s="232">
        <v>0.99999827965551924</v>
      </c>
      <c r="AF76" s="232">
        <v>1</v>
      </c>
      <c r="AG76" s="232">
        <v>1</v>
      </c>
      <c r="AH76" s="232">
        <v>0</v>
      </c>
      <c r="AI76" s="232">
        <v>0</v>
      </c>
      <c r="AJ76" s="111"/>
      <c r="AK76" s="111"/>
      <c r="AL76" s="111"/>
      <c r="AM76" s="111"/>
      <c r="AN76" s="111"/>
      <c r="AO76" s="111"/>
      <c r="AP76" s="111"/>
      <c r="AQ76" s="120"/>
      <c r="AR76" s="120"/>
      <c r="AS76" s="149"/>
      <c r="AT76" s="149"/>
      <c r="AU76" s="149"/>
      <c r="AV76" s="149"/>
      <c r="AW76" s="149"/>
      <c r="AX76" s="149"/>
      <c r="AY76" s="149"/>
      <c r="AZ76" s="149"/>
      <c r="BA76" s="149"/>
      <c r="BB76" s="149"/>
      <c r="BC76" s="149"/>
      <c r="BD76" s="149"/>
      <c r="BE76" s="149"/>
      <c r="BF76" s="149"/>
      <c r="BG76" s="120"/>
      <c r="BH76" s="120"/>
      <c r="BI76" s="120"/>
      <c r="BJ76" s="120"/>
      <c r="BK76" s="120"/>
      <c r="BL76" s="120"/>
      <c r="BM76" s="120"/>
      <c r="BN76" s="120"/>
    </row>
    <row r="77" spans="1:66">
      <c r="A77" s="120">
        <v>10236</v>
      </c>
      <c r="B77" s="120" t="s">
        <v>81</v>
      </c>
      <c r="C77" s="232">
        <v>0</v>
      </c>
      <c r="D77" s="232">
        <v>1</v>
      </c>
      <c r="E77" s="232">
        <v>29.536999999999999</v>
      </c>
      <c r="F77" s="232">
        <v>28.283000000000001</v>
      </c>
      <c r="G77" s="232">
        <v>28.187999999999999</v>
      </c>
      <c r="H77" s="232">
        <v>0</v>
      </c>
      <c r="I77" s="232">
        <v>0</v>
      </c>
      <c r="J77" s="232">
        <v>0.13300000000000001</v>
      </c>
      <c r="K77" s="232">
        <v>0.13200000000000001</v>
      </c>
      <c r="L77" s="232">
        <v>1165.0800000000002</v>
      </c>
      <c r="M77" s="232">
        <v>1156.3200000000002</v>
      </c>
      <c r="N77" s="232">
        <v>27.38</v>
      </c>
      <c r="O77" s="232">
        <v>27.38</v>
      </c>
      <c r="P77" s="232">
        <v>239848.8</v>
      </c>
      <c r="Q77" s="232">
        <v>239848.8</v>
      </c>
      <c r="R77" s="232">
        <v>27.760999999999999</v>
      </c>
      <c r="S77" s="232">
        <v>243186.36</v>
      </c>
      <c r="T77" s="232">
        <v>0</v>
      </c>
      <c r="U77" s="232">
        <v>0</v>
      </c>
      <c r="V77" s="232">
        <v>0</v>
      </c>
      <c r="W77" s="232">
        <v>0</v>
      </c>
      <c r="X77" s="232">
        <v>4.0645000000000004E-3</v>
      </c>
      <c r="Y77" s="232">
        <v>4.0645000000000004E-3</v>
      </c>
      <c r="Z77" s="232">
        <v>0</v>
      </c>
      <c r="AA77" s="232">
        <v>4.0645000000000004E-3</v>
      </c>
      <c r="AB77" s="232">
        <v>4.0645000000000004E-3</v>
      </c>
      <c r="AC77" s="232">
        <v>4.0645000000000004E-3</v>
      </c>
      <c r="AD77" s="232">
        <v>0.99999749765556867</v>
      </c>
      <c r="AE77" s="232">
        <v>0.99999749765556867</v>
      </c>
      <c r="AF77" s="232">
        <v>1</v>
      </c>
      <c r="AG77" s="232">
        <v>1</v>
      </c>
      <c r="AH77" s="232">
        <v>6.5000000000000002E-2</v>
      </c>
      <c r="AI77" s="232">
        <v>6.5000000000000002E-2</v>
      </c>
      <c r="AJ77" s="111"/>
      <c r="AK77" s="111"/>
      <c r="AL77" s="111"/>
      <c r="AM77" s="111"/>
      <c r="AN77" s="111"/>
      <c r="AO77" s="111"/>
      <c r="AP77" s="111"/>
      <c r="AQ77" s="120"/>
      <c r="AR77" s="120"/>
      <c r="AS77" s="149"/>
      <c r="AT77" s="149"/>
      <c r="AU77" s="149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  <c r="BF77" s="149"/>
      <c r="BG77" s="120"/>
      <c r="BH77" s="120"/>
      <c r="BI77" s="120"/>
      <c r="BJ77" s="120"/>
      <c r="BK77" s="120"/>
      <c r="BL77" s="120"/>
      <c r="BM77" s="120"/>
      <c r="BN77" s="120"/>
    </row>
    <row r="78" spans="1:66">
      <c r="A78" s="120">
        <v>10237</v>
      </c>
      <c r="B78" s="120" t="s">
        <v>82</v>
      </c>
      <c r="C78" s="232">
        <v>1</v>
      </c>
      <c r="D78" s="232">
        <v>0</v>
      </c>
      <c r="E78" s="232">
        <v>115.429</v>
      </c>
      <c r="F78" s="232">
        <v>117.96899999999999</v>
      </c>
      <c r="G78" s="232">
        <v>118.648</v>
      </c>
      <c r="H78" s="232">
        <v>0</v>
      </c>
      <c r="I78" s="232">
        <v>0</v>
      </c>
      <c r="J78" s="232">
        <v>1.1919999999999999</v>
      </c>
      <c r="K78" s="232">
        <v>1.19</v>
      </c>
      <c r="L78" s="232">
        <v>10441.92</v>
      </c>
      <c r="M78" s="232">
        <v>10424.4</v>
      </c>
      <c r="N78" s="232">
        <v>116.777</v>
      </c>
      <c r="O78" s="232">
        <v>117.458</v>
      </c>
      <c r="P78" s="232">
        <v>1022966.52</v>
      </c>
      <c r="Q78" s="232">
        <v>1028932.08</v>
      </c>
      <c r="R78" s="232">
        <v>108.49</v>
      </c>
      <c r="S78" s="232">
        <v>950372.39999999991</v>
      </c>
      <c r="T78" s="232">
        <v>3.1949999999999998</v>
      </c>
      <c r="U78" s="232">
        <v>3.282</v>
      </c>
      <c r="V78" s="232">
        <v>3.1949999999999998</v>
      </c>
      <c r="W78" s="232">
        <v>3.282</v>
      </c>
      <c r="X78" s="232">
        <v>1.6105100000000001E-2</v>
      </c>
      <c r="Y78" s="232">
        <v>1.6105100000000001E-2</v>
      </c>
      <c r="Z78" s="232">
        <v>9.6048000000000001E-3</v>
      </c>
      <c r="AA78" s="232">
        <v>6.5003000000000005E-3</v>
      </c>
      <c r="AB78" s="232">
        <v>6.5003000000000005E-3</v>
      </c>
      <c r="AC78" s="232">
        <v>6.5003000000000005E-3</v>
      </c>
      <c r="AD78" s="232">
        <v>0.97169200736124028</v>
      </c>
      <c r="AE78" s="232">
        <v>0.97094363884226553</v>
      </c>
      <c r="AF78" s="232">
        <v>1.0763849202691493</v>
      </c>
      <c r="AG78" s="232">
        <v>1.0826619964973732</v>
      </c>
      <c r="AH78" s="232">
        <v>5.1470000000000002E-2</v>
      </c>
      <c r="AI78" s="232">
        <v>5.151E-2</v>
      </c>
      <c r="AJ78" s="111"/>
      <c r="AK78" s="111"/>
      <c r="AL78" s="111"/>
      <c r="AM78" s="111"/>
      <c r="AN78" s="111"/>
      <c r="AO78" s="111"/>
      <c r="AP78" s="111"/>
      <c r="AQ78" s="120"/>
      <c r="AR78" s="120"/>
      <c r="AS78" s="149"/>
      <c r="AT78" s="149"/>
      <c r="AU78" s="149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  <c r="BF78" s="149"/>
      <c r="BG78" s="120"/>
      <c r="BH78" s="120"/>
      <c r="BI78" s="120"/>
      <c r="BJ78" s="120"/>
      <c r="BK78" s="120"/>
      <c r="BL78" s="120"/>
      <c r="BM78" s="120"/>
      <c r="BN78" s="120"/>
    </row>
    <row r="79" spans="1:66">
      <c r="A79" s="120">
        <v>10239</v>
      </c>
      <c r="B79" s="120" t="s">
        <v>83</v>
      </c>
      <c r="C79" s="232">
        <v>0</v>
      </c>
      <c r="D79" s="232">
        <v>1</v>
      </c>
      <c r="E79" s="232">
        <v>14.209</v>
      </c>
      <c r="F79" s="232">
        <v>15.131</v>
      </c>
      <c r="G79" s="232">
        <v>15.164999999999999</v>
      </c>
      <c r="H79" s="232">
        <v>0</v>
      </c>
      <c r="I79" s="232">
        <v>0</v>
      </c>
      <c r="J79" s="232">
        <v>0</v>
      </c>
      <c r="K79" s="232">
        <v>0</v>
      </c>
      <c r="L79" s="232">
        <v>0</v>
      </c>
      <c r="M79" s="232">
        <v>0</v>
      </c>
      <c r="N79" s="232">
        <v>14.657</v>
      </c>
      <c r="O79" s="232">
        <v>14.657</v>
      </c>
      <c r="P79" s="232">
        <v>128395.32</v>
      </c>
      <c r="Q79" s="232">
        <v>128395.32</v>
      </c>
      <c r="R79" s="232">
        <v>13.355</v>
      </c>
      <c r="S79" s="232">
        <v>116989.8</v>
      </c>
      <c r="T79" s="232">
        <v>1.302</v>
      </c>
      <c r="U79" s="232">
        <v>1.302</v>
      </c>
      <c r="V79" s="232">
        <v>1.302</v>
      </c>
      <c r="W79" s="232">
        <v>1.302</v>
      </c>
      <c r="X79" s="232">
        <v>1.9824999999999999E-3</v>
      </c>
      <c r="Y79" s="232">
        <v>1.9824999999999999E-3</v>
      </c>
      <c r="Z79" s="232">
        <v>0</v>
      </c>
      <c r="AA79" s="232">
        <v>1.9824999999999999E-3</v>
      </c>
      <c r="AB79" s="232">
        <v>1.9824999999999999E-3</v>
      </c>
      <c r="AC79" s="232">
        <v>1.9824999999999999E-3</v>
      </c>
      <c r="AD79" s="232">
        <v>0.91115724346728522</v>
      </c>
      <c r="AE79" s="232">
        <v>0.91115724346728522</v>
      </c>
      <c r="AF79" s="232">
        <v>1.0974915761886934</v>
      </c>
      <c r="AG79" s="232">
        <v>1.0974915761886934</v>
      </c>
      <c r="AH79" s="232">
        <v>7.6819999999999999E-2</v>
      </c>
      <c r="AI79" s="232">
        <v>7.6819999999999999E-2</v>
      </c>
      <c r="AJ79" s="111"/>
      <c r="AK79" s="111"/>
      <c r="AL79" s="111"/>
      <c r="AM79" s="111"/>
      <c r="AN79" s="111"/>
      <c r="AO79" s="111"/>
      <c r="AP79" s="111"/>
      <c r="AQ79" s="120"/>
      <c r="AR79" s="120"/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  <c r="BF79" s="149"/>
      <c r="BG79" s="120"/>
      <c r="BH79" s="120"/>
      <c r="BI79" s="120"/>
      <c r="BJ79" s="120"/>
      <c r="BK79" s="120"/>
      <c r="BL79" s="120"/>
      <c r="BM79" s="120"/>
      <c r="BN79" s="120"/>
    </row>
    <row r="80" spans="1:66">
      <c r="A80" s="120">
        <v>10242</v>
      </c>
      <c r="B80" s="120" t="s">
        <v>84</v>
      </c>
      <c r="C80" s="232">
        <v>1</v>
      </c>
      <c r="D80" s="232">
        <v>0</v>
      </c>
      <c r="E80" s="232">
        <v>9.6679999999999993</v>
      </c>
      <c r="F80" s="232">
        <v>11.334</v>
      </c>
      <c r="G80" s="232">
        <v>11.468</v>
      </c>
      <c r="H80" s="232">
        <v>0</v>
      </c>
      <c r="I80" s="232">
        <v>0</v>
      </c>
      <c r="J80" s="232">
        <v>0</v>
      </c>
      <c r="K80" s="232">
        <v>0</v>
      </c>
      <c r="L80" s="232">
        <v>0</v>
      </c>
      <c r="M80" s="232">
        <v>0</v>
      </c>
      <c r="N80" s="232">
        <v>9.6379999999999999</v>
      </c>
      <c r="O80" s="232">
        <v>9.702</v>
      </c>
      <c r="P80" s="232">
        <v>84428.88</v>
      </c>
      <c r="Q80" s="232">
        <v>84989.52</v>
      </c>
      <c r="R80" s="232">
        <v>9.0869999999999997</v>
      </c>
      <c r="S80" s="232">
        <v>79602.12</v>
      </c>
      <c r="T80" s="232">
        <v>0.55100000000000005</v>
      </c>
      <c r="U80" s="232">
        <v>0.61499999999999999</v>
      </c>
      <c r="V80" s="232">
        <v>0</v>
      </c>
      <c r="W80" s="232">
        <v>0</v>
      </c>
      <c r="X80" s="232">
        <v>1.3489000000000001E-3</v>
      </c>
      <c r="Y80" s="232">
        <v>1.3489000000000001E-3</v>
      </c>
      <c r="Z80" s="232">
        <v>0</v>
      </c>
      <c r="AA80" s="232">
        <v>1.3489000000000001E-3</v>
      </c>
      <c r="AB80" s="232">
        <v>1.3489000000000001E-3</v>
      </c>
      <c r="AC80" s="232">
        <v>1.3489000000000001E-3</v>
      </c>
      <c r="AD80" s="232">
        <v>0.94279670627723611</v>
      </c>
      <c r="AE80" s="232">
        <v>0.93657747424242432</v>
      </c>
      <c r="AF80" s="232">
        <v>1.06063607351161</v>
      </c>
      <c r="AG80" s="232">
        <v>1.0676791020138661</v>
      </c>
      <c r="AH80" s="232">
        <v>7.424E-2</v>
      </c>
      <c r="AI80" s="232">
        <v>7.4740000000000001E-2</v>
      </c>
      <c r="AJ80" s="111"/>
      <c r="AK80" s="111"/>
      <c r="AL80" s="111"/>
      <c r="AM80" s="111"/>
      <c r="AN80" s="111"/>
      <c r="AO80" s="111"/>
      <c r="AP80" s="111"/>
      <c r="AQ80" s="120"/>
      <c r="AR80" s="120"/>
      <c r="AS80" s="149"/>
      <c r="AT80" s="149"/>
      <c r="AU80" s="149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  <c r="BF80" s="149"/>
      <c r="BG80" s="120"/>
      <c r="BH80" s="120"/>
      <c r="BI80" s="120"/>
      <c r="BJ80" s="120"/>
      <c r="BK80" s="120"/>
      <c r="BL80" s="120"/>
      <c r="BM80" s="120"/>
      <c r="BN80" s="120"/>
    </row>
    <row r="81" spans="1:66">
      <c r="A81" s="120">
        <v>10244</v>
      </c>
      <c r="B81" s="120" t="s">
        <v>85</v>
      </c>
      <c r="C81" s="232">
        <v>1</v>
      </c>
      <c r="D81" s="232">
        <v>0</v>
      </c>
      <c r="E81" s="232">
        <v>87.320999999999998</v>
      </c>
      <c r="F81" s="232">
        <v>102.01900000000001</v>
      </c>
      <c r="G81" s="232">
        <v>103.129</v>
      </c>
      <c r="H81" s="232">
        <v>0</v>
      </c>
      <c r="I81" s="232">
        <v>0</v>
      </c>
      <c r="J81" s="232">
        <v>1.78</v>
      </c>
      <c r="K81" s="232">
        <v>1.778</v>
      </c>
      <c r="L81" s="232">
        <v>15592.800000000001</v>
      </c>
      <c r="M81" s="232">
        <v>15575.28</v>
      </c>
      <c r="N81" s="232">
        <v>98.138000000000005</v>
      </c>
      <c r="O81" s="232">
        <v>99.471999999999994</v>
      </c>
      <c r="P81" s="232">
        <v>859688.88</v>
      </c>
      <c r="Q81" s="232">
        <v>871374.72</v>
      </c>
      <c r="R81" s="232">
        <v>82.070999999999998</v>
      </c>
      <c r="S81" s="232">
        <v>718941.96</v>
      </c>
      <c r="T81" s="232">
        <v>16.067</v>
      </c>
      <c r="U81" s="232">
        <v>17.401</v>
      </c>
      <c r="V81" s="232">
        <v>16.067</v>
      </c>
      <c r="W81" s="232">
        <v>17.401</v>
      </c>
      <c r="X81" s="232">
        <v>1.2183299999999999E-2</v>
      </c>
      <c r="Y81" s="232">
        <v>1.2183299999999999E-2</v>
      </c>
      <c r="Z81" s="232">
        <v>0</v>
      </c>
      <c r="AA81" s="232">
        <v>1.2183299999999999E-2</v>
      </c>
      <c r="AB81" s="232">
        <v>1.2183299999999999E-2</v>
      </c>
      <c r="AC81" s="232">
        <v>1.2183299999999999E-2</v>
      </c>
      <c r="AD81" s="232">
        <v>0.83919575047740103</v>
      </c>
      <c r="AE81" s="232">
        <v>0.82813908745382714</v>
      </c>
      <c r="AF81" s="232">
        <v>1.1957695166380331</v>
      </c>
      <c r="AG81" s="232">
        <v>1.2120237355460515</v>
      </c>
      <c r="AH81" s="232">
        <v>7.1749999999999994E-2</v>
      </c>
      <c r="AI81" s="232">
        <v>7.2720000000000007E-2</v>
      </c>
      <c r="AJ81" s="111"/>
      <c r="AK81" s="111"/>
      <c r="AL81" s="111"/>
      <c r="AM81" s="111"/>
      <c r="AN81" s="111"/>
      <c r="AO81" s="111"/>
      <c r="AP81" s="111"/>
      <c r="AQ81" s="120"/>
      <c r="AR81" s="120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20"/>
      <c r="BH81" s="120"/>
      <c r="BI81" s="120"/>
      <c r="BJ81" s="120"/>
      <c r="BK81" s="120"/>
      <c r="BL81" s="120"/>
      <c r="BM81" s="120"/>
      <c r="BN81" s="120"/>
    </row>
    <row r="82" spans="1:66">
      <c r="A82" s="120">
        <v>10246</v>
      </c>
      <c r="B82" s="120" t="s">
        <v>86</v>
      </c>
      <c r="C82" s="232">
        <v>1</v>
      </c>
      <c r="D82" s="232">
        <v>0</v>
      </c>
      <c r="E82" s="232">
        <v>9.1210000000000004</v>
      </c>
      <c r="F82" s="232">
        <v>10.398</v>
      </c>
      <c r="G82" s="232">
        <v>10.404</v>
      </c>
      <c r="H82" s="232">
        <v>0</v>
      </c>
      <c r="I82" s="232">
        <v>0</v>
      </c>
      <c r="J82" s="232">
        <v>0.54200000000000004</v>
      </c>
      <c r="K82" s="232">
        <v>0.54200000000000004</v>
      </c>
      <c r="L82" s="232">
        <v>4747.92</v>
      </c>
      <c r="M82" s="232">
        <v>4747.92</v>
      </c>
      <c r="N82" s="232">
        <v>9.6560000000000006</v>
      </c>
      <c r="O82" s="232">
        <v>9.6929999999999996</v>
      </c>
      <c r="P82" s="232">
        <v>84586.560000000012</v>
      </c>
      <c r="Q82" s="232">
        <v>84910.68</v>
      </c>
      <c r="R82" s="232">
        <v>8.5730000000000004</v>
      </c>
      <c r="S82" s="232">
        <v>75099.48000000001</v>
      </c>
      <c r="T82" s="232">
        <v>1.083</v>
      </c>
      <c r="U82" s="232">
        <v>1.1200000000000001</v>
      </c>
      <c r="V82" s="232">
        <v>1.083</v>
      </c>
      <c r="W82" s="232">
        <v>1.1200000000000001</v>
      </c>
      <c r="X82" s="232">
        <v>1.2726E-3</v>
      </c>
      <c r="Y82" s="232">
        <v>1.2726E-3</v>
      </c>
      <c r="Z82" s="232">
        <v>0</v>
      </c>
      <c r="AA82" s="232">
        <v>1.2726E-3</v>
      </c>
      <c r="AB82" s="232">
        <v>1.2726E-3</v>
      </c>
      <c r="AC82" s="232">
        <v>1.2726E-3</v>
      </c>
      <c r="AD82" s="232">
        <v>0.8937723537360267</v>
      </c>
      <c r="AE82" s="232">
        <v>0.89054132519785056</v>
      </c>
      <c r="AF82" s="232">
        <v>1.1263268400793187</v>
      </c>
      <c r="AG82" s="232">
        <v>1.1306427155021579</v>
      </c>
      <c r="AH82" s="232">
        <v>6.1949999999999998E-2</v>
      </c>
      <c r="AI82" s="232">
        <v>0</v>
      </c>
      <c r="AJ82" s="111"/>
      <c r="AK82" s="111"/>
      <c r="AL82" s="111"/>
      <c r="AM82" s="111"/>
      <c r="AN82" s="111"/>
      <c r="AO82" s="111"/>
      <c r="AP82" s="111"/>
      <c r="AQ82" s="120"/>
      <c r="AR82" s="120"/>
      <c r="AS82" s="149"/>
      <c r="AT82" s="149"/>
      <c r="AU82" s="149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  <c r="BF82" s="149"/>
      <c r="BG82" s="120"/>
      <c r="BH82" s="120"/>
      <c r="BI82" s="120"/>
      <c r="BJ82" s="120"/>
      <c r="BK82" s="120"/>
      <c r="BL82" s="120"/>
      <c r="BM82" s="120"/>
      <c r="BN82" s="120"/>
    </row>
    <row r="83" spans="1:66">
      <c r="A83" s="120">
        <v>10247</v>
      </c>
      <c r="B83" s="120" t="s">
        <v>87</v>
      </c>
      <c r="C83" s="232">
        <v>1</v>
      </c>
      <c r="D83" s="232">
        <v>0</v>
      </c>
      <c r="E83" s="232">
        <v>81.120999999999995</v>
      </c>
      <c r="F83" s="232">
        <v>80.831000000000003</v>
      </c>
      <c r="G83" s="232">
        <v>81.094999999999999</v>
      </c>
      <c r="H83" s="232">
        <v>0</v>
      </c>
      <c r="I83" s="232">
        <v>0</v>
      </c>
      <c r="J83" s="232">
        <v>0.65800000000000003</v>
      </c>
      <c r="K83" s="232">
        <v>0.65600000000000003</v>
      </c>
      <c r="L83" s="232">
        <v>5764.08</v>
      </c>
      <c r="M83" s="232">
        <v>5746.56</v>
      </c>
      <c r="N83" s="232">
        <v>77.894000000000005</v>
      </c>
      <c r="O83" s="232">
        <v>78.463999999999999</v>
      </c>
      <c r="P83" s="232">
        <v>682351.44000000006</v>
      </c>
      <c r="Q83" s="232">
        <v>687344.64000000001</v>
      </c>
      <c r="R83" s="232">
        <v>76.244</v>
      </c>
      <c r="S83" s="232">
        <v>667897.43999999994</v>
      </c>
      <c r="T83" s="232">
        <v>1.65</v>
      </c>
      <c r="U83" s="232">
        <v>2.2200000000000002</v>
      </c>
      <c r="V83" s="232">
        <v>1.65</v>
      </c>
      <c r="W83" s="232">
        <v>2.2200000000000002</v>
      </c>
      <c r="X83" s="232">
        <v>1.13183E-2</v>
      </c>
      <c r="Y83" s="232">
        <v>1.13183E-2</v>
      </c>
      <c r="Z83" s="232">
        <v>0</v>
      </c>
      <c r="AA83" s="232">
        <v>1.13183E-2</v>
      </c>
      <c r="AB83" s="232">
        <v>1.13183E-2</v>
      </c>
      <c r="AC83" s="232">
        <v>1.13183E-2</v>
      </c>
      <c r="AD83" s="232">
        <v>0.97899595251050298</v>
      </c>
      <c r="AE83" s="232">
        <v>0.97194302413675437</v>
      </c>
      <c r="AF83" s="232">
        <v>1.0216410471643671</v>
      </c>
      <c r="AG83" s="232">
        <v>1.0291170452756939</v>
      </c>
      <c r="AH83" s="232">
        <v>5.108E-2</v>
      </c>
      <c r="AI83" s="232">
        <v>0</v>
      </c>
      <c r="AJ83" s="111"/>
      <c r="AK83" s="111"/>
      <c r="AL83" s="111"/>
      <c r="AM83" s="111"/>
      <c r="AN83" s="111"/>
      <c r="AO83" s="111"/>
      <c r="AP83" s="111"/>
      <c r="AQ83" s="120"/>
      <c r="AR83" s="120"/>
      <c r="AS83" s="149"/>
      <c r="AT83" s="149"/>
      <c r="AU83" s="149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  <c r="BF83" s="149"/>
      <c r="BG83" s="120"/>
      <c r="BH83" s="120"/>
      <c r="BI83" s="120"/>
      <c r="BJ83" s="120"/>
      <c r="BK83" s="120"/>
      <c r="BL83" s="120"/>
      <c r="BM83" s="120"/>
      <c r="BN83" s="120"/>
    </row>
    <row r="84" spans="1:66">
      <c r="A84" s="120">
        <v>10256</v>
      </c>
      <c r="B84" s="120" t="s">
        <v>88</v>
      </c>
      <c r="C84" s="232">
        <v>1</v>
      </c>
      <c r="D84" s="232">
        <v>0</v>
      </c>
      <c r="E84" s="232">
        <v>47.442999999999998</v>
      </c>
      <c r="F84" s="232">
        <v>58.277000000000001</v>
      </c>
      <c r="G84" s="232">
        <v>59.572000000000003</v>
      </c>
      <c r="H84" s="232">
        <v>0</v>
      </c>
      <c r="I84" s="232">
        <v>0</v>
      </c>
      <c r="J84" s="232">
        <v>0.52300000000000002</v>
      </c>
      <c r="K84" s="232">
        <v>0.52200000000000002</v>
      </c>
      <c r="L84" s="232">
        <v>4581.4800000000005</v>
      </c>
      <c r="M84" s="232">
        <v>4572.72</v>
      </c>
      <c r="N84" s="232">
        <v>51.1</v>
      </c>
      <c r="O84" s="232">
        <v>51.655999999999999</v>
      </c>
      <c r="P84" s="232">
        <v>447636</v>
      </c>
      <c r="Q84" s="232">
        <v>452506.56</v>
      </c>
      <c r="R84" s="232">
        <v>44.591000000000001</v>
      </c>
      <c r="S84" s="232">
        <v>390617.16000000003</v>
      </c>
      <c r="T84" s="232">
        <v>6.5090000000000003</v>
      </c>
      <c r="U84" s="232">
        <v>7.0650000000000004</v>
      </c>
      <c r="V84" s="232">
        <v>6.5090000000000003</v>
      </c>
      <c r="W84" s="232">
        <v>7.0650000000000004</v>
      </c>
      <c r="X84" s="232">
        <v>6.6194000000000001E-3</v>
      </c>
      <c r="Y84" s="232">
        <v>6.6194000000000001E-3</v>
      </c>
      <c r="Z84" s="232">
        <v>0</v>
      </c>
      <c r="AA84" s="232">
        <v>6.6194000000000001E-3</v>
      </c>
      <c r="AB84" s="232">
        <v>6.6194000000000001E-3</v>
      </c>
      <c r="AC84" s="232">
        <v>6.6194000000000001E-3</v>
      </c>
      <c r="AD84" s="232">
        <v>0.87390366054395419</v>
      </c>
      <c r="AE84" s="232">
        <v>0.86459148998811763</v>
      </c>
      <c r="AF84" s="232">
        <v>1.1459711600995717</v>
      </c>
      <c r="AG84" s="232">
        <v>1.1584400439550582</v>
      </c>
      <c r="AH84" s="232">
        <v>6.8760000000000002E-2</v>
      </c>
      <c r="AI84" s="232">
        <v>7.5300000000000006E-2</v>
      </c>
      <c r="AJ84" s="111"/>
      <c r="AK84" s="111"/>
      <c r="AL84" s="111"/>
      <c r="AM84" s="111"/>
      <c r="AN84" s="111"/>
      <c r="AO84" s="111"/>
      <c r="AP84" s="111"/>
      <c r="AQ84" s="120"/>
      <c r="AR84" s="120"/>
      <c r="AS84" s="149"/>
      <c r="AT84" s="149"/>
      <c r="AU84" s="149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  <c r="BF84" s="149"/>
      <c r="BG84" s="120"/>
      <c r="BH84" s="120"/>
      <c r="BI84" s="120"/>
      <c r="BJ84" s="120"/>
      <c r="BK84" s="120"/>
      <c r="BL84" s="120"/>
      <c r="BM84" s="120"/>
      <c r="BN84" s="120"/>
    </row>
    <row r="85" spans="1:66">
      <c r="A85" s="120">
        <v>10258</v>
      </c>
      <c r="B85" s="120" t="s">
        <v>89</v>
      </c>
      <c r="C85" s="232">
        <v>1</v>
      </c>
      <c r="D85" s="232">
        <v>0</v>
      </c>
      <c r="E85" s="232">
        <v>38.518000000000001</v>
      </c>
      <c r="F85" s="232">
        <v>51.095999999999997</v>
      </c>
      <c r="G85" s="232">
        <v>51.210999999999999</v>
      </c>
      <c r="H85" s="232">
        <v>0</v>
      </c>
      <c r="I85" s="232">
        <v>0</v>
      </c>
      <c r="J85" s="232">
        <v>9.7720000000000002</v>
      </c>
      <c r="K85" s="232">
        <v>9.7509999999999994</v>
      </c>
      <c r="L85" s="232">
        <v>85602.72</v>
      </c>
      <c r="M85" s="232">
        <v>85418.76</v>
      </c>
      <c r="N85" s="232">
        <v>38.816000000000003</v>
      </c>
      <c r="O85" s="232">
        <v>38.969000000000001</v>
      </c>
      <c r="P85" s="232">
        <v>340028.16000000003</v>
      </c>
      <c r="Q85" s="232">
        <v>341368.44</v>
      </c>
      <c r="R85" s="232">
        <v>36.201999999999998</v>
      </c>
      <c r="S85" s="232">
        <v>317129.51999999996</v>
      </c>
      <c r="T85" s="232">
        <v>2.6139999999999999</v>
      </c>
      <c r="U85" s="232">
        <v>2.7669999999999999</v>
      </c>
      <c r="V85" s="232">
        <v>2.6139999999999999</v>
      </c>
      <c r="W85" s="232">
        <v>2.7669999999999999</v>
      </c>
      <c r="X85" s="232">
        <v>5.3740999999999997E-3</v>
      </c>
      <c r="Y85" s="232">
        <v>5.3740999999999997E-3</v>
      </c>
      <c r="Z85" s="232">
        <v>0</v>
      </c>
      <c r="AA85" s="232">
        <v>5.3740999999999997E-3</v>
      </c>
      <c r="AB85" s="232">
        <v>5.3740999999999997E-3</v>
      </c>
      <c r="AC85" s="232">
        <v>5.3740999999999997E-3</v>
      </c>
      <c r="AD85" s="232">
        <v>0.94617470508575774</v>
      </c>
      <c r="AE85" s="232">
        <v>0.94320334363505742</v>
      </c>
      <c r="AF85" s="232">
        <v>1.0722059554720735</v>
      </c>
      <c r="AG85" s="232">
        <v>1.0764322413126348</v>
      </c>
      <c r="AH85" s="232">
        <v>5.8970000000000002E-2</v>
      </c>
      <c r="AI85" s="232">
        <v>5.382E-2</v>
      </c>
      <c r="AJ85" s="111"/>
      <c r="AK85" s="111"/>
      <c r="AL85" s="111"/>
      <c r="AM85" s="111"/>
      <c r="AN85" s="111"/>
      <c r="AO85" s="111"/>
      <c r="AP85" s="111"/>
      <c r="AQ85" s="120"/>
      <c r="AR85" s="120"/>
      <c r="AS85" s="149"/>
      <c r="AT85" s="149"/>
      <c r="AU85" s="149"/>
      <c r="AV85" s="149"/>
      <c r="AW85" s="149"/>
      <c r="AX85" s="149"/>
      <c r="AY85" s="149"/>
      <c r="AZ85" s="149"/>
      <c r="BA85" s="149"/>
      <c r="BB85" s="149"/>
      <c r="BC85" s="149"/>
      <c r="BD85" s="149"/>
      <c r="BE85" s="149"/>
      <c r="BF85" s="149"/>
      <c r="BG85" s="120"/>
      <c r="BH85" s="120"/>
      <c r="BI85" s="120"/>
      <c r="BJ85" s="120"/>
      <c r="BK85" s="120"/>
      <c r="BL85" s="120"/>
      <c r="BM85" s="120"/>
      <c r="BN85" s="120"/>
    </row>
    <row r="86" spans="1:66">
      <c r="A86" s="120">
        <v>10259</v>
      </c>
      <c r="B86" s="120" t="s">
        <v>90</v>
      </c>
      <c r="C86" s="232">
        <v>1</v>
      </c>
      <c r="D86" s="232">
        <v>0</v>
      </c>
      <c r="E86" s="232">
        <v>27.388000000000002</v>
      </c>
      <c r="F86" s="232">
        <v>33.561999999999998</v>
      </c>
      <c r="G86" s="232">
        <v>33.872</v>
      </c>
      <c r="H86" s="232">
        <v>0</v>
      </c>
      <c r="I86" s="232">
        <v>0</v>
      </c>
      <c r="J86" s="232">
        <v>0</v>
      </c>
      <c r="K86" s="232">
        <v>0</v>
      </c>
      <c r="L86" s="232">
        <v>0</v>
      </c>
      <c r="M86" s="232">
        <v>0</v>
      </c>
      <c r="N86" s="232">
        <v>29.003</v>
      </c>
      <c r="O86" s="232">
        <v>29.167999999999999</v>
      </c>
      <c r="P86" s="232">
        <v>254066.28</v>
      </c>
      <c r="Q86" s="232">
        <v>255511.67999999999</v>
      </c>
      <c r="R86" s="232">
        <v>25.741</v>
      </c>
      <c r="S86" s="232">
        <v>225491.16</v>
      </c>
      <c r="T86" s="232">
        <v>3.262</v>
      </c>
      <c r="U86" s="232">
        <v>3.427</v>
      </c>
      <c r="V86" s="232">
        <v>3.262</v>
      </c>
      <c r="W86" s="232">
        <v>3.427</v>
      </c>
      <c r="X86" s="232">
        <v>3.8211999999999999E-3</v>
      </c>
      <c r="Y86" s="232">
        <v>3.8211999999999999E-3</v>
      </c>
      <c r="Z86" s="232">
        <v>0</v>
      </c>
      <c r="AA86" s="232">
        <v>3.8211999999999999E-3</v>
      </c>
      <c r="AB86" s="232">
        <v>3.8211999999999999E-3</v>
      </c>
      <c r="AC86" s="232">
        <v>3.8211999999999999E-3</v>
      </c>
      <c r="AD86" s="232">
        <v>0.88752801471571907</v>
      </c>
      <c r="AE86" s="232">
        <v>0.88250737146187608</v>
      </c>
      <c r="AF86" s="232">
        <v>1.1267239035002525</v>
      </c>
      <c r="AG86" s="232">
        <v>1.1331339108814731</v>
      </c>
      <c r="AH86" s="232">
        <v>7.324E-2</v>
      </c>
      <c r="AI86" s="232">
        <v>7.3649999999999993E-2</v>
      </c>
      <c r="AJ86" s="111"/>
      <c r="AK86" s="111"/>
      <c r="AL86" s="111"/>
      <c r="AM86" s="111"/>
      <c r="AN86" s="111"/>
      <c r="AO86" s="111"/>
      <c r="AP86" s="111"/>
      <c r="AQ86" s="120"/>
      <c r="AR86" s="120"/>
      <c r="AS86" s="149"/>
      <c r="AT86" s="149"/>
      <c r="AU86" s="149"/>
      <c r="AV86" s="149"/>
      <c r="AW86" s="149"/>
      <c r="AX86" s="149"/>
      <c r="AY86" s="149"/>
      <c r="AZ86" s="149"/>
      <c r="BA86" s="149"/>
      <c r="BB86" s="149"/>
      <c r="BC86" s="149"/>
      <c r="BD86" s="149"/>
      <c r="BE86" s="149"/>
      <c r="BF86" s="149"/>
      <c r="BG86" s="120"/>
      <c r="BH86" s="120"/>
      <c r="BI86" s="120"/>
      <c r="BJ86" s="120"/>
      <c r="BK86" s="120"/>
      <c r="BL86" s="120"/>
      <c r="BM86" s="120"/>
      <c r="BN86" s="120"/>
    </row>
    <row r="87" spans="1:66">
      <c r="A87" s="120">
        <v>10260</v>
      </c>
      <c r="B87" s="120" t="s">
        <v>91</v>
      </c>
      <c r="C87" s="232">
        <v>1</v>
      </c>
      <c r="D87" s="232">
        <v>0</v>
      </c>
      <c r="E87" s="232">
        <v>26.677</v>
      </c>
      <c r="F87" s="232">
        <v>27.12</v>
      </c>
      <c r="G87" s="232">
        <v>27.175999999999998</v>
      </c>
      <c r="H87" s="232">
        <v>0</v>
      </c>
      <c r="I87" s="232">
        <v>0</v>
      </c>
      <c r="J87" s="232">
        <v>0</v>
      </c>
      <c r="K87" s="232">
        <v>0</v>
      </c>
      <c r="L87" s="232">
        <v>0</v>
      </c>
      <c r="M87" s="232">
        <v>0</v>
      </c>
      <c r="N87" s="232">
        <v>27.416</v>
      </c>
      <c r="O87" s="232">
        <v>27.53</v>
      </c>
      <c r="P87" s="232">
        <v>240164.16</v>
      </c>
      <c r="Q87" s="232">
        <v>241162.80000000002</v>
      </c>
      <c r="R87" s="232">
        <v>25.073</v>
      </c>
      <c r="S87" s="232">
        <v>219639.48</v>
      </c>
      <c r="T87" s="232">
        <v>2.343</v>
      </c>
      <c r="U87" s="232">
        <v>2.4569999999999999</v>
      </c>
      <c r="V87" s="232">
        <v>2.343</v>
      </c>
      <c r="W87" s="232">
        <v>2.4569999999999999</v>
      </c>
      <c r="X87" s="232">
        <v>3.722E-3</v>
      </c>
      <c r="Y87" s="232">
        <v>3.722E-3</v>
      </c>
      <c r="Z87" s="232">
        <v>0</v>
      </c>
      <c r="AA87" s="232">
        <v>3.722E-3</v>
      </c>
      <c r="AB87" s="232">
        <v>3.722E-3</v>
      </c>
      <c r="AC87" s="232">
        <v>3.722E-3</v>
      </c>
      <c r="AD87" s="232">
        <v>0.91452904136270785</v>
      </c>
      <c r="AE87" s="232">
        <v>0.91074203407192156</v>
      </c>
      <c r="AF87" s="232">
        <v>1.0934471343676464</v>
      </c>
      <c r="AG87" s="232">
        <v>1.0979938579348303</v>
      </c>
      <c r="AH87" s="232">
        <v>0</v>
      </c>
      <c r="AI87" s="232">
        <v>0</v>
      </c>
      <c r="AJ87" s="111"/>
      <c r="AK87" s="111"/>
      <c r="AL87" s="111"/>
      <c r="AM87" s="111"/>
      <c r="AN87" s="111"/>
      <c r="AO87" s="111"/>
      <c r="AP87" s="111"/>
      <c r="AQ87" s="120"/>
      <c r="AR87" s="120"/>
      <c r="AS87" s="149"/>
      <c r="AT87" s="149"/>
      <c r="AU87" s="149"/>
      <c r="AV87" s="149"/>
      <c r="AW87" s="149"/>
      <c r="AX87" s="149"/>
      <c r="AY87" s="149"/>
      <c r="AZ87" s="149"/>
      <c r="BA87" s="149"/>
      <c r="BB87" s="149"/>
      <c r="BC87" s="149"/>
      <c r="BD87" s="149"/>
      <c r="BE87" s="149"/>
      <c r="BF87" s="149"/>
      <c r="BG87" s="120"/>
      <c r="BH87" s="120"/>
      <c r="BI87" s="120"/>
      <c r="BJ87" s="120"/>
      <c r="BK87" s="120"/>
      <c r="BL87" s="120"/>
      <c r="BM87" s="120"/>
      <c r="BN87" s="120"/>
    </row>
    <row r="88" spans="1:66">
      <c r="A88" s="120">
        <v>10273</v>
      </c>
      <c r="B88" s="120" t="s">
        <v>92</v>
      </c>
      <c r="C88" s="232">
        <v>1</v>
      </c>
      <c r="D88" s="232">
        <v>0</v>
      </c>
      <c r="E88" s="232">
        <v>5.9690000000000003</v>
      </c>
      <c r="F88" s="232">
        <v>8.1069999999999993</v>
      </c>
      <c r="G88" s="232">
        <v>8.1820000000000004</v>
      </c>
      <c r="H88" s="232">
        <v>0</v>
      </c>
      <c r="I88" s="232">
        <v>0</v>
      </c>
      <c r="J88" s="232">
        <v>0</v>
      </c>
      <c r="K88" s="232">
        <v>0</v>
      </c>
      <c r="L88" s="232">
        <v>0</v>
      </c>
      <c r="M88" s="232">
        <v>0</v>
      </c>
      <c r="N88" s="232">
        <v>8.4589999999999996</v>
      </c>
      <c r="O88" s="232">
        <v>8.468</v>
      </c>
      <c r="P88" s="232">
        <v>74100.84</v>
      </c>
      <c r="Q88" s="232">
        <v>74179.679999999993</v>
      </c>
      <c r="R88" s="232">
        <v>5.61</v>
      </c>
      <c r="S88" s="232">
        <v>49143.600000000006</v>
      </c>
      <c r="T88" s="232">
        <v>2.8490000000000002</v>
      </c>
      <c r="U88" s="232">
        <v>2.8580000000000001</v>
      </c>
      <c r="V88" s="232">
        <v>2.8490000000000002</v>
      </c>
      <c r="W88" s="232">
        <v>2.8580000000000001</v>
      </c>
      <c r="X88" s="232">
        <v>8.3279999999999997E-4</v>
      </c>
      <c r="Y88" s="232">
        <v>8.3279999999999997E-4</v>
      </c>
      <c r="Z88" s="232">
        <v>0</v>
      </c>
      <c r="AA88" s="232">
        <v>8.3279999999999997E-4</v>
      </c>
      <c r="AB88" s="232">
        <v>8.3279999999999997E-4</v>
      </c>
      <c r="AC88" s="232">
        <v>8.3279999999999997E-4</v>
      </c>
      <c r="AD88" s="232">
        <v>0.6632036618039957</v>
      </c>
      <c r="AE88" s="232">
        <v>0.66249879253660837</v>
      </c>
      <c r="AF88" s="232">
        <v>1.5078431372549017</v>
      </c>
      <c r="AG88" s="232">
        <v>1.5094474153297681</v>
      </c>
      <c r="AH88" s="232">
        <v>0.10555</v>
      </c>
      <c r="AI88" s="232">
        <v>0.10566</v>
      </c>
      <c r="AJ88" s="111"/>
      <c r="AK88" s="111"/>
      <c r="AL88" s="111"/>
      <c r="AM88" s="111"/>
      <c r="AN88" s="111"/>
      <c r="AO88" s="111"/>
      <c r="AP88" s="111"/>
      <c r="AQ88" s="120"/>
      <c r="AR88" s="120"/>
      <c r="AS88" s="149"/>
      <c r="AT88" s="149"/>
      <c r="AU88" s="149"/>
      <c r="AV88" s="149"/>
      <c r="AW88" s="149"/>
      <c r="AX88" s="149"/>
      <c r="AY88" s="149"/>
      <c r="AZ88" s="149"/>
      <c r="BA88" s="149"/>
      <c r="BB88" s="149"/>
      <c r="BC88" s="149"/>
      <c r="BD88" s="149"/>
      <c r="BE88" s="149"/>
      <c r="BF88" s="149"/>
      <c r="BG88" s="120"/>
      <c r="BH88" s="120"/>
      <c r="BI88" s="120"/>
      <c r="BJ88" s="120"/>
      <c r="BK88" s="120"/>
      <c r="BL88" s="120"/>
      <c r="BM88" s="120"/>
      <c r="BN88" s="120"/>
    </row>
    <row r="89" spans="1:66">
      <c r="A89" s="120">
        <v>10278</v>
      </c>
      <c r="B89" s="120" t="s">
        <v>93</v>
      </c>
      <c r="C89" s="232">
        <v>0</v>
      </c>
      <c r="D89" s="232">
        <v>1</v>
      </c>
      <c r="E89" s="232">
        <v>36.463999999999999</v>
      </c>
      <c r="F89" s="232">
        <v>41.173000000000002</v>
      </c>
      <c r="G89" s="232">
        <v>41.637999999999998</v>
      </c>
      <c r="H89" s="232">
        <v>0</v>
      </c>
      <c r="I89" s="232">
        <v>0</v>
      </c>
      <c r="J89" s="232">
        <v>1.532</v>
      </c>
      <c r="K89" s="232">
        <v>1.53</v>
      </c>
      <c r="L89" s="232">
        <v>13420.32</v>
      </c>
      <c r="M89" s="232">
        <v>13402.800000000001</v>
      </c>
      <c r="N89" s="232">
        <v>38.459000000000003</v>
      </c>
      <c r="O89" s="232">
        <v>39.009</v>
      </c>
      <c r="P89" s="232">
        <v>336900.84</v>
      </c>
      <c r="Q89" s="232">
        <v>341718.84</v>
      </c>
      <c r="R89" s="232">
        <v>34.271999999999998</v>
      </c>
      <c r="S89" s="232">
        <v>300222.71999999997</v>
      </c>
      <c r="T89" s="232">
        <v>4.1870000000000003</v>
      </c>
      <c r="U89" s="232">
        <v>4.7370000000000001</v>
      </c>
      <c r="V89" s="232">
        <v>4.1870000000000003</v>
      </c>
      <c r="W89" s="232">
        <v>4.7370000000000001</v>
      </c>
      <c r="X89" s="232">
        <v>5.0876000000000003E-3</v>
      </c>
      <c r="Y89" s="232">
        <v>5.0876000000000003E-3</v>
      </c>
      <c r="Z89" s="232">
        <v>0</v>
      </c>
      <c r="AA89" s="232">
        <v>5.0876000000000003E-3</v>
      </c>
      <c r="AB89" s="232">
        <v>5.0876000000000003E-3</v>
      </c>
      <c r="AC89" s="232">
        <v>5.0876000000000003E-3</v>
      </c>
      <c r="AD89" s="232">
        <v>0.89529370697941957</v>
      </c>
      <c r="AE89" s="232">
        <v>0.88314709411677661</v>
      </c>
      <c r="AF89" s="232">
        <v>1.122169701213819</v>
      </c>
      <c r="AG89" s="232">
        <v>1.138217787114846</v>
      </c>
      <c r="AH89" s="232">
        <v>7.2940000000000005E-2</v>
      </c>
      <c r="AI89" s="232">
        <v>7.3980000000000004E-2</v>
      </c>
      <c r="AJ89" s="111"/>
      <c r="AK89" s="111"/>
      <c r="AL89" s="111"/>
      <c r="AM89" s="111"/>
      <c r="AN89" s="111"/>
      <c r="AO89" s="111"/>
      <c r="AP89" s="111"/>
      <c r="AQ89" s="120"/>
      <c r="AR89" s="120"/>
      <c r="AS89" s="149"/>
      <c r="AT89" s="149"/>
      <c r="AU89" s="149"/>
      <c r="AV89" s="149"/>
      <c r="AW89" s="149"/>
      <c r="AX89" s="149"/>
      <c r="AY89" s="149"/>
      <c r="AZ89" s="149"/>
      <c r="BA89" s="149"/>
      <c r="BB89" s="149"/>
      <c r="BC89" s="149"/>
      <c r="BD89" s="149"/>
      <c r="BE89" s="149"/>
      <c r="BF89" s="149"/>
      <c r="BG89" s="120"/>
      <c r="BH89" s="120"/>
      <c r="BI89" s="120"/>
      <c r="BJ89" s="120"/>
      <c r="BK89" s="120"/>
      <c r="BL89" s="120"/>
      <c r="BM89" s="120"/>
      <c r="BN89" s="120"/>
    </row>
    <row r="90" spans="1:66">
      <c r="A90" s="120">
        <v>10279</v>
      </c>
      <c r="B90" s="120" t="s">
        <v>94</v>
      </c>
      <c r="C90" s="232">
        <v>1</v>
      </c>
      <c r="D90" s="232">
        <v>0</v>
      </c>
      <c r="E90" s="232">
        <v>65.730999999999995</v>
      </c>
      <c r="F90" s="232">
        <v>160.30699999999999</v>
      </c>
      <c r="G90" s="232">
        <v>184.809</v>
      </c>
      <c r="H90" s="232">
        <v>78.051000000000002</v>
      </c>
      <c r="I90" s="232">
        <v>102.812</v>
      </c>
      <c r="J90" s="232">
        <v>4.4169999999999998</v>
      </c>
      <c r="K90" s="232">
        <v>4.4039999999999999</v>
      </c>
      <c r="L90" s="232">
        <v>38692.92</v>
      </c>
      <c r="M90" s="232">
        <v>38579.040000000001</v>
      </c>
      <c r="N90" s="232">
        <v>69.447000000000003</v>
      </c>
      <c r="O90" s="232">
        <v>70.869</v>
      </c>
      <c r="P90" s="232">
        <v>608355.72</v>
      </c>
      <c r="Q90" s="232">
        <v>620812.43999999994</v>
      </c>
      <c r="R90" s="232">
        <v>61.779000000000003</v>
      </c>
      <c r="S90" s="232">
        <v>541184.04</v>
      </c>
      <c r="T90" s="232">
        <v>7.6680000000000001</v>
      </c>
      <c r="U90" s="232">
        <v>9.09</v>
      </c>
      <c r="V90" s="232">
        <v>7.6680000000000001</v>
      </c>
      <c r="W90" s="232">
        <v>9.09</v>
      </c>
      <c r="X90" s="232">
        <v>9.1710000000000003E-3</v>
      </c>
      <c r="Y90" s="232">
        <v>9.1710000000000003E-3</v>
      </c>
      <c r="Z90" s="232">
        <v>0</v>
      </c>
      <c r="AA90" s="232">
        <v>9.1710000000000003E-3</v>
      </c>
      <c r="AB90" s="232">
        <v>9.1710000000000003E-3</v>
      </c>
      <c r="AC90" s="232">
        <v>9.1710000000000003E-3</v>
      </c>
      <c r="AD90" s="232">
        <v>0.89617132319129067</v>
      </c>
      <c r="AE90" s="232">
        <v>0.87924153931688653</v>
      </c>
      <c r="AF90" s="232">
        <v>1.1241198465497984</v>
      </c>
      <c r="AG90" s="232">
        <v>1.1471373767785169</v>
      </c>
      <c r="AH90" s="232">
        <v>0</v>
      </c>
      <c r="AI90" s="232">
        <v>0</v>
      </c>
      <c r="AJ90" s="111"/>
      <c r="AK90" s="111"/>
      <c r="AL90" s="111"/>
      <c r="AM90" s="111"/>
      <c r="AN90" s="111"/>
      <c r="AO90" s="111"/>
      <c r="AP90" s="111"/>
      <c r="AQ90" s="120"/>
      <c r="AR90" s="120"/>
      <c r="AS90" s="149"/>
      <c r="AT90" s="149"/>
      <c r="AU90" s="149"/>
      <c r="AV90" s="149"/>
      <c r="AW90" s="149"/>
      <c r="AX90" s="149"/>
      <c r="AY90" s="149"/>
      <c r="AZ90" s="149"/>
      <c r="BA90" s="149"/>
      <c r="BB90" s="149"/>
      <c r="BC90" s="149"/>
      <c r="BD90" s="149"/>
      <c r="BE90" s="149"/>
      <c r="BF90" s="149"/>
      <c r="BG90" s="120"/>
      <c r="BH90" s="120"/>
      <c r="BI90" s="120"/>
      <c r="BJ90" s="120"/>
      <c r="BK90" s="120"/>
      <c r="BL90" s="120"/>
      <c r="BM90" s="120"/>
      <c r="BN90" s="120"/>
    </row>
    <row r="91" spans="1:66">
      <c r="A91" s="120">
        <v>10284</v>
      </c>
      <c r="B91" s="120" t="s">
        <v>95</v>
      </c>
      <c r="C91" s="232">
        <v>1</v>
      </c>
      <c r="D91" s="232">
        <v>0</v>
      </c>
      <c r="E91" s="232">
        <v>10.31</v>
      </c>
      <c r="F91" s="232">
        <v>10.879</v>
      </c>
      <c r="G91" s="232">
        <v>10.997</v>
      </c>
      <c r="H91" s="232">
        <v>0</v>
      </c>
      <c r="I91" s="232">
        <v>0</v>
      </c>
      <c r="J91" s="232">
        <v>0</v>
      </c>
      <c r="K91" s="232">
        <v>0</v>
      </c>
      <c r="L91" s="232">
        <v>0</v>
      </c>
      <c r="M91" s="232">
        <v>0</v>
      </c>
      <c r="N91" s="232">
        <v>9.7829999999999995</v>
      </c>
      <c r="O91" s="232">
        <v>9.7829999999999995</v>
      </c>
      <c r="P91" s="232">
        <v>85699.08</v>
      </c>
      <c r="Q91" s="232">
        <v>85699.08</v>
      </c>
      <c r="R91" s="232">
        <v>9.69</v>
      </c>
      <c r="S91" s="232">
        <v>84884.4</v>
      </c>
      <c r="T91" s="232">
        <v>9.2999999999999999E-2</v>
      </c>
      <c r="U91" s="232">
        <v>9.2999999999999999E-2</v>
      </c>
      <c r="V91" s="232">
        <v>0</v>
      </c>
      <c r="W91" s="232">
        <v>0</v>
      </c>
      <c r="X91" s="232">
        <v>1.4385000000000001E-3</v>
      </c>
      <c r="Y91" s="232">
        <v>1.4385000000000001E-3</v>
      </c>
      <c r="Z91" s="232">
        <v>0</v>
      </c>
      <c r="AA91" s="232">
        <v>1.4385000000000001E-3</v>
      </c>
      <c r="AB91" s="232">
        <v>1.4385000000000001E-3</v>
      </c>
      <c r="AC91" s="232">
        <v>1.4385000000000001E-3</v>
      </c>
      <c r="AD91" s="232">
        <v>0.99051951563937468</v>
      </c>
      <c r="AE91" s="232">
        <v>0.99051951563937468</v>
      </c>
      <c r="AF91" s="232">
        <v>1.0095975232198142</v>
      </c>
      <c r="AG91" s="232">
        <v>1.0095975232198142</v>
      </c>
      <c r="AH91" s="232">
        <v>5.0479999999999997E-2</v>
      </c>
      <c r="AI91" s="232">
        <v>5.0479999999999997E-2</v>
      </c>
      <c r="AJ91" s="111"/>
      <c r="AK91" s="111"/>
      <c r="AL91" s="111"/>
      <c r="AM91" s="111"/>
      <c r="AN91" s="111"/>
      <c r="AO91" s="111"/>
      <c r="AP91" s="111"/>
      <c r="AQ91" s="120"/>
      <c r="AR91" s="120"/>
      <c r="AS91" s="149"/>
      <c r="AT91" s="149"/>
      <c r="AU91" s="149"/>
      <c r="AV91" s="149"/>
      <c r="AW91" s="149"/>
      <c r="AX91" s="149"/>
      <c r="AY91" s="149"/>
      <c r="AZ91" s="149"/>
      <c r="BA91" s="149"/>
      <c r="BB91" s="149"/>
      <c r="BC91" s="149"/>
      <c r="BD91" s="149"/>
      <c r="BE91" s="149"/>
      <c r="BF91" s="149"/>
      <c r="BG91" s="120"/>
      <c r="BH91" s="120"/>
      <c r="BI91" s="120"/>
      <c r="BJ91" s="120"/>
      <c r="BK91" s="120"/>
      <c r="BL91" s="120"/>
      <c r="BM91" s="120"/>
      <c r="BN91" s="120"/>
    </row>
    <row r="92" spans="1:66">
      <c r="A92" s="120">
        <v>10285</v>
      </c>
      <c r="B92" s="120" t="s">
        <v>96</v>
      </c>
      <c r="C92" s="232">
        <v>0</v>
      </c>
      <c r="D92" s="232">
        <v>1</v>
      </c>
      <c r="E92" s="232">
        <v>6.6260000000000003</v>
      </c>
      <c r="F92" s="232">
        <v>7.8040000000000003</v>
      </c>
      <c r="G92" s="232">
        <v>7.82</v>
      </c>
      <c r="H92" s="232">
        <v>0</v>
      </c>
      <c r="I92" s="232">
        <v>0</v>
      </c>
      <c r="J92" s="232">
        <v>0</v>
      </c>
      <c r="K92" s="232">
        <v>0</v>
      </c>
      <c r="L92" s="232">
        <v>0</v>
      </c>
      <c r="M92" s="232">
        <v>0</v>
      </c>
      <c r="N92" s="232">
        <v>6.93</v>
      </c>
      <c r="O92" s="232">
        <v>6.9740000000000002</v>
      </c>
      <c r="P92" s="232">
        <v>60706.799999999996</v>
      </c>
      <c r="Q92" s="232">
        <v>61092.240000000005</v>
      </c>
      <c r="R92" s="232">
        <v>6.2279999999999998</v>
      </c>
      <c r="S92" s="232">
        <v>54557.279999999999</v>
      </c>
      <c r="T92" s="232">
        <v>0.70199999999999996</v>
      </c>
      <c r="U92" s="232">
        <v>0.746</v>
      </c>
      <c r="V92" s="232">
        <v>0.70199999999999996</v>
      </c>
      <c r="W92" s="232">
        <v>0.746</v>
      </c>
      <c r="X92" s="232">
        <v>9.2449999999999997E-4</v>
      </c>
      <c r="Y92" s="232">
        <v>9.2449999999999997E-4</v>
      </c>
      <c r="Z92" s="232">
        <v>0</v>
      </c>
      <c r="AA92" s="232">
        <v>9.2449999999999997E-4</v>
      </c>
      <c r="AB92" s="232">
        <v>9.2449999999999997E-4</v>
      </c>
      <c r="AC92" s="232">
        <v>9.2449999999999997E-4</v>
      </c>
      <c r="AD92" s="232">
        <v>0.89866722878787886</v>
      </c>
      <c r="AE92" s="232">
        <v>0.89299740400057348</v>
      </c>
      <c r="AF92" s="232">
        <v>1.1127167630057804</v>
      </c>
      <c r="AG92" s="232">
        <v>1.119781631342325</v>
      </c>
      <c r="AH92" s="232">
        <v>7.2330000000000005E-2</v>
      </c>
      <c r="AI92" s="232">
        <v>7.2789999999999994E-2</v>
      </c>
      <c r="AJ92" s="111"/>
      <c r="AK92" s="111"/>
      <c r="AL92" s="111"/>
      <c r="AM92" s="111"/>
      <c r="AN92" s="111"/>
      <c r="AO92" s="111"/>
      <c r="AP92" s="111"/>
      <c r="AQ92" s="120"/>
      <c r="AR92" s="120"/>
      <c r="AS92" s="149"/>
      <c r="AT92" s="149"/>
      <c r="AU92" s="149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  <c r="BF92" s="149"/>
      <c r="BG92" s="120"/>
      <c r="BH92" s="120"/>
      <c r="BI92" s="120"/>
      <c r="BJ92" s="120"/>
      <c r="BK92" s="120"/>
      <c r="BL92" s="120"/>
      <c r="BM92" s="120"/>
      <c r="BN92" s="120"/>
    </row>
    <row r="93" spans="1:66">
      <c r="A93" s="120">
        <v>10286</v>
      </c>
      <c r="B93" s="120" t="s">
        <v>97</v>
      </c>
      <c r="C93" s="232">
        <v>1</v>
      </c>
      <c r="D93" s="232">
        <v>0</v>
      </c>
      <c r="E93" s="232">
        <v>46.595999999999997</v>
      </c>
      <c r="F93" s="232">
        <v>74.682000000000002</v>
      </c>
      <c r="G93" s="232">
        <v>74.754999999999995</v>
      </c>
      <c r="H93" s="232">
        <v>0</v>
      </c>
      <c r="I93" s="232">
        <v>0</v>
      </c>
      <c r="J93" s="232">
        <v>24.207999999999998</v>
      </c>
      <c r="K93" s="232">
        <v>24.193000000000001</v>
      </c>
      <c r="L93" s="232">
        <v>212062.07999999999</v>
      </c>
      <c r="M93" s="232">
        <v>211930.68000000002</v>
      </c>
      <c r="N93" s="232">
        <v>50.473999999999997</v>
      </c>
      <c r="O93" s="232">
        <v>50.561999999999998</v>
      </c>
      <c r="P93" s="232">
        <v>442152.24</v>
      </c>
      <c r="Q93" s="232">
        <v>442923.12</v>
      </c>
      <c r="R93" s="232">
        <v>43.795000000000002</v>
      </c>
      <c r="S93" s="232">
        <v>383644.2</v>
      </c>
      <c r="T93" s="232">
        <v>4.6539999999999999</v>
      </c>
      <c r="U93" s="232">
        <v>4.51</v>
      </c>
      <c r="V93" s="232">
        <v>4.6539999999999999</v>
      </c>
      <c r="W93" s="232">
        <v>4.51</v>
      </c>
      <c r="X93" s="232">
        <v>6.5012999999999998E-3</v>
      </c>
      <c r="Y93" s="232">
        <v>6.5012999999999998E-3</v>
      </c>
      <c r="Z93" s="232">
        <v>0</v>
      </c>
      <c r="AA93" s="232">
        <v>6.5012999999999998E-3</v>
      </c>
      <c r="AB93" s="232">
        <v>6.5012999999999998E-3</v>
      </c>
      <c r="AC93" s="232">
        <v>6.5012999999999998E-3</v>
      </c>
      <c r="AD93" s="232">
        <v>0.93587890282033614</v>
      </c>
      <c r="AE93" s="232">
        <v>0.93773939431636189</v>
      </c>
      <c r="AF93" s="232">
        <v>1.1525059938349125</v>
      </c>
      <c r="AG93" s="232">
        <v>1.1545153556342047</v>
      </c>
      <c r="AH93" s="232">
        <v>0</v>
      </c>
      <c r="AI93" s="232">
        <v>0</v>
      </c>
      <c r="AJ93" s="111"/>
      <c r="AK93" s="111"/>
      <c r="AL93" s="111"/>
      <c r="AM93" s="111"/>
      <c r="AN93" s="111"/>
      <c r="AO93" s="111"/>
      <c r="AP93" s="111"/>
      <c r="AQ93" s="120"/>
      <c r="AR93" s="120"/>
      <c r="AS93" s="149"/>
      <c r="AT93" s="149"/>
      <c r="AU93" s="149"/>
      <c r="AV93" s="149"/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20"/>
      <c r="BH93" s="120"/>
      <c r="BI93" s="120"/>
      <c r="BJ93" s="120"/>
      <c r="BK93" s="120"/>
      <c r="BL93" s="120"/>
      <c r="BM93" s="120"/>
      <c r="BN93" s="120"/>
    </row>
    <row r="94" spans="1:66">
      <c r="A94" s="120">
        <v>10288</v>
      </c>
      <c r="B94" s="120" t="s">
        <v>98</v>
      </c>
      <c r="C94" s="232">
        <v>0</v>
      </c>
      <c r="D94" s="232">
        <v>1</v>
      </c>
      <c r="E94" s="232">
        <v>25.103000000000002</v>
      </c>
      <c r="F94" s="232">
        <v>24.745999999999999</v>
      </c>
      <c r="G94" s="232">
        <v>24.721</v>
      </c>
      <c r="H94" s="232">
        <v>0</v>
      </c>
      <c r="I94" s="232">
        <v>0</v>
      </c>
      <c r="J94" s="232">
        <v>6.6000000000000003E-2</v>
      </c>
      <c r="K94" s="232">
        <v>6.6000000000000003E-2</v>
      </c>
      <c r="L94" s="232">
        <v>578.16000000000008</v>
      </c>
      <c r="M94" s="232">
        <v>578.16000000000008</v>
      </c>
      <c r="N94" s="232">
        <v>25.02</v>
      </c>
      <c r="O94" s="232">
        <v>25.096</v>
      </c>
      <c r="P94" s="232">
        <v>219175.19999999998</v>
      </c>
      <c r="Q94" s="232">
        <v>219840.96</v>
      </c>
      <c r="R94" s="232">
        <v>23.594000000000001</v>
      </c>
      <c r="S94" s="232">
        <v>206683.44</v>
      </c>
      <c r="T94" s="232">
        <v>1.4259999999999999</v>
      </c>
      <c r="U94" s="232">
        <v>1.502</v>
      </c>
      <c r="V94" s="232">
        <v>1.4259999999999999</v>
      </c>
      <c r="W94" s="232">
        <v>1.502</v>
      </c>
      <c r="X94" s="232">
        <v>3.5025E-3</v>
      </c>
      <c r="Y94" s="232">
        <v>3.5025E-3</v>
      </c>
      <c r="Z94" s="232">
        <v>0</v>
      </c>
      <c r="AA94" s="232">
        <v>3.5025E-3</v>
      </c>
      <c r="AB94" s="232">
        <v>3.5025E-3</v>
      </c>
      <c r="AC94" s="232">
        <v>3.5025E-3</v>
      </c>
      <c r="AD94" s="232">
        <v>0.94315942746950499</v>
      </c>
      <c r="AE94" s="232">
        <v>0.94031068267625784</v>
      </c>
      <c r="AF94" s="232">
        <v>1.0604390946850895</v>
      </c>
      <c r="AG94" s="232">
        <v>1.0636602526065948</v>
      </c>
      <c r="AH94" s="232">
        <v>5.8319999999999997E-2</v>
      </c>
      <c r="AI94" s="232">
        <v>6.3820000000000002E-2</v>
      </c>
      <c r="AJ94" s="111"/>
      <c r="AK94" s="111"/>
      <c r="AL94" s="111"/>
      <c r="AM94" s="111"/>
      <c r="AN94" s="111"/>
      <c r="AO94" s="111"/>
      <c r="AP94" s="111"/>
      <c r="AQ94" s="120"/>
      <c r="AR94" s="120"/>
      <c r="AS94" s="149"/>
      <c r="AT94" s="149"/>
      <c r="AU94" s="149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  <c r="BF94" s="149"/>
      <c r="BG94" s="120"/>
      <c r="BH94" s="120"/>
      <c r="BI94" s="120"/>
      <c r="BJ94" s="120"/>
      <c r="BK94" s="120"/>
      <c r="BL94" s="120"/>
      <c r="BM94" s="120"/>
      <c r="BN94" s="120"/>
    </row>
    <row r="95" spans="1:66">
      <c r="A95" s="120">
        <v>10291</v>
      </c>
      <c r="B95" s="120" t="s">
        <v>99</v>
      </c>
      <c r="C95" s="232">
        <v>1</v>
      </c>
      <c r="D95" s="232">
        <v>0</v>
      </c>
      <c r="E95" s="232">
        <v>80.363</v>
      </c>
      <c r="F95" s="232">
        <v>78.397999999999996</v>
      </c>
      <c r="G95" s="232">
        <v>78.385999999999996</v>
      </c>
      <c r="H95" s="232">
        <v>0</v>
      </c>
      <c r="I95" s="232">
        <v>0</v>
      </c>
      <c r="J95" s="232">
        <v>0</v>
      </c>
      <c r="K95" s="232">
        <v>0</v>
      </c>
      <c r="L95" s="232">
        <v>0</v>
      </c>
      <c r="M95" s="232">
        <v>0</v>
      </c>
      <c r="N95" s="232">
        <v>80.307000000000002</v>
      </c>
      <c r="O95" s="232">
        <v>78.712999999999994</v>
      </c>
      <c r="P95" s="232">
        <v>703489.32000000007</v>
      </c>
      <c r="Q95" s="232">
        <v>689525.87999999989</v>
      </c>
      <c r="R95" s="232">
        <v>75.531999999999996</v>
      </c>
      <c r="S95" s="232">
        <v>661660.31999999995</v>
      </c>
      <c r="T95" s="232">
        <v>4.7750000000000004</v>
      </c>
      <c r="U95" s="232">
        <v>3.181</v>
      </c>
      <c r="V95" s="232">
        <v>4.7750000000000004</v>
      </c>
      <c r="W95" s="232">
        <v>3.181</v>
      </c>
      <c r="X95" s="232">
        <v>1.12126E-2</v>
      </c>
      <c r="Y95" s="232">
        <v>1.12126E-2</v>
      </c>
      <c r="Z95" s="232">
        <v>0</v>
      </c>
      <c r="AA95" s="232">
        <v>1.12126E-2</v>
      </c>
      <c r="AB95" s="232">
        <v>1.12126E-2</v>
      </c>
      <c r="AC95" s="232">
        <v>1.12126E-2</v>
      </c>
      <c r="AD95" s="232">
        <v>0.94054190697448536</v>
      </c>
      <c r="AE95" s="232">
        <v>0.95958861844168064</v>
      </c>
      <c r="AF95" s="232">
        <v>1.0632182386273368</v>
      </c>
      <c r="AG95" s="232">
        <v>1.042114600434253</v>
      </c>
      <c r="AH95" s="232">
        <v>5.3159999999999999E-2</v>
      </c>
      <c r="AI95" s="232">
        <v>5.2109999999999997E-2</v>
      </c>
      <c r="AJ95" s="111"/>
      <c r="AK95" s="111"/>
      <c r="AL95" s="111"/>
      <c r="AM95" s="111"/>
      <c r="AN95" s="111"/>
      <c r="AO95" s="111"/>
      <c r="AP95" s="111"/>
      <c r="AQ95" s="120"/>
      <c r="AR95" s="120"/>
      <c r="AS95" s="149"/>
      <c r="AT95" s="149"/>
      <c r="AU95" s="149"/>
      <c r="AV95" s="149"/>
      <c r="AW95" s="149"/>
      <c r="AX95" s="149"/>
      <c r="AY95" s="149"/>
      <c r="AZ95" s="149"/>
      <c r="BA95" s="149"/>
      <c r="BB95" s="149"/>
      <c r="BC95" s="149"/>
      <c r="BD95" s="149"/>
      <c r="BE95" s="149"/>
      <c r="BF95" s="149"/>
      <c r="BG95" s="120"/>
      <c r="BH95" s="120"/>
      <c r="BI95" s="120"/>
      <c r="BJ95" s="120"/>
      <c r="BK95" s="120"/>
      <c r="BL95" s="120"/>
      <c r="BM95" s="120"/>
      <c r="BN95" s="120"/>
    </row>
    <row r="96" spans="1:66">
      <c r="A96" s="120">
        <v>10294</v>
      </c>
      <c r="B96" s="120" t="s">
        <v>100</v>
      </c>
      <c r="C96" s="232">
        <v>1</v>
      </c>
      <c r="D96" s="232">
        <v>0</v>
      </c>
      <c r="E96" s="232">
        <v>36.869</v>
      </c>
      <c r="F96" s="232">
        <v>36.887999999999998</v>
      </c>
      <c r="G96" s="232">
        <v>36.972000000000001</v>
      </c>
      <c r="H96" s="232">
        <v>0</v>
      </c>
      <c r="I96" s="232">
        <v>0</v>
      </c>
      <c r="J96" s="232">
        <v>0</v>
      </c>
      <c r="K96" s="232">
        <v>0</v>
      </c>
      <c r="L96" s="232">
        <v>0</v>
      </c>
      <c r="M96" s="232">
        <v>0</v>
      </c>
      <c r="N96" s="232">
        <v>37.128</v>
      </c>
      <c r="O96" s="232">
        <v>37.305999999999997</v>
      </c>
      <c r="P96" s="232">
        <v>325241.28000000003</v>
      </c>
      <c r="Q96" s="232">
        <v>326800.56</v>
      </c>
      <c r="R96" s="232">
        <v>34.652000000000001</v>
      </c>
      <c r="S96" s="232">
        <v>303551.52</v>
      </c>
      <c r="T96" s="232">
        <v>2.476</v>
      </c>
      <c r="U96" s="232">
        <v>2.6539999999999999</v>
      </c>
      <c r="V96" s="232">
        <v>2.476</v>
      </c>
      <c r="W96" s="232">
        <v>2.6539999999999999</v>
      </c>
      <c r="X96" s="232">
        <v>5.1440000000000001E-3</v>
      </c>
      <c r="Y96" s="232">
        <v>5.1440000000000001E-3</v>
      </c>
      <c r="Z96" s="232">
        <v>0</v>
      </c>
      <c r="AA96" s="232">
        <v>5.1440000000000001E-3</v>
      </c>
      <c r="AB96" s="232">
        <v>5.1440000000000001E-3</v>
      </c>
      <c r="AC96" s="232">
        <v>5.1440000000000001E-3</v>
      </c>
      <c r="AD96" s="232">
        <v>0.93330722624434403</v>
      </c>
      <c r="AE96" s="232">
        <v>0.92885409038760536</v>
      </c>
      <c r="AF96" s="232">
        <v>1.0714533071684174</v>
      </c>
      <c r="AG96" s="232">
        <v>1.0765900958097656</v>
      </c>
      <c r="AH96" s="232">
        <v>0</v>
      </c>
      <c r="AI96" s="232">
        <v>0</v>
      </c>
      <c r="AJ96" s="111"/>
      <c r="AK96" s="111"/>
      <c r="AL96" s="111"/>
      <c r="AM96" s="111"/>
      <c r="AN96" s="111"/>
      <c r="AO96" s="111"/>
      <c r="AP96" s="111"/>
      <c r="AQ96" s="120"/>
      <c r="AR96" s="120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20"/>
      <c r="BH96" s="120"/>
      <c r="BI96" s="120"/>
      <c r="BJ96" s="120"/>
      <c r="BK96" s="120"/>
      <c r="BL96" s="120"/>
      <c r="BM96" s="120"/>
      <c r="BN96" s="120"/>
    </row>
    <row r="97" spans="1:66">
      <c r="A97" s="120">
        <v>10304</v>
      </c>
      <c r="B97" s="120" t="s">
        <v>101</v>
      </c>
      <c r="C97" s="232">
        <v>1</v>
      </c>
      <c r="D97" s="232">
        <v>0</v>
      </c>
      <c r="E97" s="232">
        <v>14.278</v>
      </c>
      <c r="F97" s="232">
        <v>13.451000000000001</v>
      </c>
      <c r="G97" s="232">
        <v>13.445</v>
      </c>
      <c r="H97" s="232">
        <v>0</v>
      </c>
      <c r="I97" s="232">
        <v>0</v>
      </c>
      <c r="J97" s="232">
        <v>0</v>
      </c>
      <c r="K97" s="232">
        <v>0</v>
      </c>
      <c r="L97" s="232">
        <v>0</v>
      </c>
      <c r="M97" s="232">
        <v>0</v>
      </c>
      <c r="N97" s="232">
        <v>13.385999999999999</v>
      </c>
      <c r="O97" s="232">
        <v>13.417999999999999</v>
      </c>
      <c r="P97" s="232">
        <v>117261.35999999999</v>
      </c>
      <c r="Q97" s="232">
        <v>117541.68</v>
      </c>
      <c r="R97" s="232">
        <v>13.42</v>
      </c>
      <c r="S97" s="232">
        <v>117559.2</v>
      </c>
      <c r="T97" s="232">
        <v>0</v>
      </c>
      <c r="U97" s="232">
        <v>0</v>
      </c>
      <c r="V97" s="232">
        <v>0</v>
      </c>
      <c r="W97" s="232">
        <v>0</v>
      </c>
      <c r="X97" s="232">
        <v>1.9870999999999999E-3</v>
      </c>
      <c r="Y97" s="232">
        <v>1.9919E-3</v>
      </c>
      <c r="Z97" s="232">
        <v>0</v>
      </c>
      <c r="AA97" s="232">
        <v>1.9870999999999999E-3</v>
      </c>
      <c r="AB97" s="232">
        <v>1.9919E-3</v>
      </c>
      <c r="AC97" s="232">
        <v>1.9894999999999999E-3</v>
      </c>
      <c r="AD97" s="232">
        <v>0.99998647608695668</v>
      </c>
      <c r="AE97" s="232">
        <v>1</v>
      </c>
      <c r="AF97" s="232">
        <v>1</v>
      </c>
      <c r="AG97" s="232">
        <v>1</v>
      </c>
      <c r="AH97" s="232">
        <v>0</v>
      </c>
      <c r="AI97" s="232">
        <v>0</v>
      </c>
      <c r="AJ97" s="111"/>
      <c r="AK97" s="111"/>
      <c r="AL97" s="111"/>
      <c r="AM97" s="111"/>
      <c r="AN97" s="111"/>
      <c r="AO97" s="111"/>
      <c r="AP97" s="111"/>
      <c r="AQ97" s="120"/>
      <c r="AR97" s="120"/>
      <c r="AS97" s="149"/>
      <c r="AT97" s="149"/>
      <c r="AU97" s="149"/>
      <c r="AV97" s="149"/>
      <c r="AW97" s="149"/>
      <c r="AX97" s="149"/>
      <c r="AY97" s="149"/>
      <c r="AZ97" s="149"/>
      <c r="BA97" s="149"/>
      <c r="BB97" s="149"/>
      <c r="BC97" s="149"/>
      <c r="BD97" s="149"/>
      <c r="BE97" s="149"/>
      <c r="BF97" s="149"/>
      <c r="BG97" s="120"/>
      <c r="BH97" s="120"/>
      <c r="BI97" s="120"/>
      <c r="BJ97" s="120"/>
      <c r="BK97" s="120"/>
      <c r="BL97" s="120"/>
      <c r="BM97" s="120"/>
      <c r="BN97" s="120"/>
    </row>
    <row r="98" spans="1:66">
      <c r="A98" s="120">
        <v>10306</v>
      </c>
      <c r="B98" s="120" t="s">
        <v>102</v>
      </c>
      <c r="C98" s="232">
        <v>1</v>
      </c>
      <c r="D98" s="232">
        <v>0</v>
      </c>
      <c r="E98" s="232">
        <v>26.152999999999999</v>
      </c>
      <c r="F98" s="232">
        <v>137.88399999999999</v>
      </c>
      <c r="G98" s="232">
        <v>137.84800000000001</v>
      </c>
      <c r="H98" s="232">
        <v>82.016999999999996</v>
      </c>
      <c r="I98" s="232">
        <v>82.078999999999994</v>
      </c>
      <c r="J98" s="232">
        <v>30.027999999999999</v>
      </c>
      <c r="K98" s="232">
        <v>30</v>
      </c>
      <c r="L98" s="232">
        <v>263045.27999999997</v>
      </c>
      <c r="M98" s="232">
        <v>262800</v>
      </c>
      <c r="N98" s="232">
        <v>25.838999999999999</v>
      </c>
      <c r="O98" s="232">
        <v>25.768999999999998</v>
      </c>
      <c r="P98" s="232">
        <v>226349.63999999998</v>
      </c>
      <c r="Q98" s="232">
        <v>225736.43999999997</v>
      </c>
      <c r="R98" s="232">
        <v>24.581</v>
      </c>
      <c r="S98" s="232">
        <v>215329.56</v>
      </c>
      <c r="T98" s="232">
        <v>0</v>
      </c>
      <c r="U98" s="232">
        <v>0</v>
      </c>
      <c r="V98" s="232">
        <v>0</v>
      </c>
      <c r="W98" s="232">
        <v>0</v>
      </c>
      <c r="X98" s="232">
        <v>3.6489999999999999E-3</v>
      </c>
      <c r="Y98" s="232">
        <v>3.6489999999999999E-3</v>
      </c>
      <c r="Z98" s="232">
        <v>0</v>
      </c>
      <c r="AA98" s="232">
        <v>3.6489999999999999E-3</v>
      </c>
      <c r="AB98" s="232">
        <v>3.6489999999999999E-3</v>
      </c>
      <c r="AC98" s="232">
        <v>3.6489999999999999E-3</v>
      </c>
      <c r="AD98" s="232">
        <v>1</v>
      </c>
      <c r="AE98" s="232">
        <v>1</v>
      </c>
      <c r="AF98" s="232">
        <v>1.0511777389040315</v>
      </c>
      <c r="AG98" s="232">
        <v>1.0483300109840934</v>
      </c>
      <c r="AH98" s="232">
        <v>0</v>
      </c>
      <c r="AI98" s="232">
        <v>0</v>
      </c>
      <c r="AJ98" s="111"/>
      <c r="AK98" s="111"/>
      <c r="AL98" s="111"/>
      <c r="AM98" s="111"/>
      <c r="AN98" s="111"/>
      <c r="AO98" s="111"/>
      <c r="AP98" s="111"/>
      <c r="AQ98" s="120"/>
      <c r="AR98" s="120"/>
      <c r="AS98" s="149"/>
      <c r="AT98" s="149"/>
      <c r="AU98" s="149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  <c r="BF98" s="149"/>
      <c r="BG98" s="120"/>
      <c r="BH98" s="120"/>
      <c r="BI98" s="120"/>
      <c r="BJ98" s="120"/>
      <c r="BK98" s="120"/>
      <c r="BL98" s="120"/>
      <c r="BM98" s="120"/>
      <c r="BN98" s="120"/>
    </row>
    <row r="99" spans="1:66">
      <c r="A99" s="120">
        <v>10307</v>
      </c>
      <c r="B99" s="120" t="s">
        <v>103</v>
      </c>
      <c r="C99" s="232">
        <v>1</v>
      </c>
      <c r="D99" s="232">
        <v>0</v>
      </c>
      <c r="E99" s="232">
        <v>73.058999999999997</v>
      </c>
      <c r="F99" s="232">
        <v>68.852999999999994</v>
      </c>
      <c r="G99" s="232">
        <v>68.700999999999993</v>
      </c>
      <c r="H99" s="232">
        <v>0</v>
      </c>
      <c r="I99" s="232">
        <v>0</v>
      </c>
      <c r="J99" s="232">
        <v>0</v>
      </c>
      <c r="K99" s="232">
        <v>0</v>
      </c>
      <c r="L99" s="232">
        <v>0</v>
      </c>
      <c r="M99" s="232">
        <v>0</v>
      </c>
      <c r="N99" s="232">
        <v>68.131</v>
      </c>
      <c r="O99" s="232">
        <v>68.200999999999993</v>
      </c>
      <c r="P99" s="232">
        <v>596827.56000000006</v>
      </c>
      <c r="Q99" s="232">
        <v>597440.75999999989</v>
      </c>
      <c r="R99" s="232">
        <v>68.667000000000002</v>
      </c>
      <c r="S99" s="232">
        <v>601522.92000000004</v>
      </c>
      <c r="T99" s="232">
        <v>0</v>
      </c>
      <c r="U99" s="232">
        <v>0</v>
      </c>
      <c r="V99" s="232">
        <v>0</v>
      </c>
      <c r="W99" s="232">
        <v>0</v>
      </c>
      <c r="X99" s="232">
        <v>1.01139E-2</v>
      </c>
      <c r="Y99" s="232">
        <v>1.0124299999999999E-2</v>
      </c>
      <c r="Z99" s="232">
        <v>0</v>
      </c>
      <c r="AA99" s="232">
        <v>1.01139E-2</v>
      </c>
      <c r="AB99" s="232">
        <v>1.0124299999999999E-2</v>
      </c>
      <c r="AC99" s="232">
        <v>1.0119099999999999E-2</v>
      </c>
      <c r="AD99" s="232">
        <v>0.99999796407068731</v>
      </c>
      <c r="AE99" s="232">
        <v>0.99999881854664896</v>
      </c>
      <c r="AF99" s="232">
        <v>1</v>
      </c>
      <c r="AG99" s="232">
        <v>1</v>
      </c>
      <c r="AH99" s="232">
        <v>0</v>
      </c>
      <c r="AI99" s="232">
        <v>0</v>
      </c>
      <c r="AJ99" s="111"/>
      <c r="AK99" s="111"/>
      <c r="AL99" s="111"/>
      <c r="AM99" s="111"/>
      <c r="AN99" s="111"/>
      <c r="AO99" s="111"/>
      <c r="AP99" s="111"/>
      <c r="AQ99" s="120"/>
      <c r="AR99" s="120"/>
      <c r="AS99" s="149"/>
      <c r="AT99" s="149"/>
      <c r="AU99" s="149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  <c r="BF99" s="149"/>
      <c r="BG99" s="120"/>
      <c r="BH99" s="120"/>
      <c r="BI99" s="120"/>
      <c r="BJ99" s="120"/>
      <c r="BK99" s="120"/>
      <c r="BL99" s="120"/>
      <c r="BM99" s="120"/>
      <c r="BN99" s="120"/>
    </row>
    <row r="100" spans="1:66">
      <c r="A100" s="120">
        <v>10326</v>
      </c>
      <c r="B100" s="120" t="s">
        <v>104</v>
      </c>
      <c r="C100" s="232">
        <v>1</v>
      </c>
      <c r="D100" s="232">
        <v>0</v>
      </c>
      <c r="E100" s="232">
        <v>30.914000000000001</v>
      </c>
      <c r="F100" s="232">
        <v>34.386000000000003</v>
      </c>
      <c r="G100" s="232">
        <v>35.805</v>
      </c>
      <c r="H100" s="232">
        <v>0</v>
      </c>
      <c r="I100" s="232">
        <v>0</v>
      </c>
      <c r="J100" s="232">
        <v>0</v>
      </c>
      <c r="K100" s="232">
        <v>0</v>
      </c>
      <c r="L100" s="232">
        <v>0</v>
      </c>
      <c r="M100" s="232">
        <v>0</v>
      </c>
      <c r="N100" s="232">
        <v>32.127000000000002</v>
      </c>
      <c r="O100" s="232">
        <v>32.284999999999997</v>
      </c>
      <c r="P100" s="232">
        <v>281432.52</v>
      </c>
      <c r="Q100" s="232">
        <v>282816.59999999998</v>
      </c>
      <c r="R100" s="232">
        <v>29.055</v>
      </c>
      <c r="S100" s="232">
        <v>254521.8</v>
      </c>
      <c r="T100" s="232">
        <v>3.0720000000000001</v>
      </c>
      <c r="U100" s="232">
        <v>3.23</v>
      </c>
      <c r="V100" s="232">
        <v>3.0720000000000001</v>
      </c>
      <c r="W100" s="232">
        <v>3.23</v>
      </c>
      <c r="X100" s="232">
        <v>4.3131999999999997E-3</v>
      </c>
      <c r="Y100" s="232">
        <v>4.3131999999999997E-3</v>
      </c>
      <c r="Z100" s="232">
        <v>0</v>
      </c>
      <c r="AA100" s="232">
        <v>4.3131999999999997E-3</v>
      </c>
      <c r="AB100" s="232">
        <v>4.3131999999999997E-3</v>
      </c>
      <c r="AC100" s="232">
        <v>4.3131999999999997E-3</v>
      </c>
      <c r="AD100" s="232">
        <v>0.90438770002801372</v>
      </c>
      <c r="AE100" s="232">
        <v>0.89996170477930937</v>
      </c>
      <c r="AF100" s="232">
        <v>1.1057305110996387</v>
      </c>
      <c r="AG100" s="232">
        <v>1.1111684735845808</v>
      </c>
      <c r="AH100" s="232">
        <v>0</v>
      </c>
      <c r="AI100" s="232">
        <v>0</v>
      </c>
      <c r="AJ100" s="111"/>
      <c r="AK100" s="111"/>
      <c r="AL100" s="111"/>
      <c r="AM100" s="111"/>
      <c r="AN100" s="111"/>
      <c r="AO100" s="111"/>
      <c r="AP100" s="111"/>
      <c r="AQ100" s="120"/>
      <c r="AR100" s="120"/>
      <c r="AS100" s="149"/>
      <c r="AT100" s="149"/>
      <c r="AU100" s="149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  <c r="BF100" s="149"/>
      <c r="BG100" s="120"/>
      <c r="BH100" s="120"/>
      <c r="BI100" s="120"/>
      <c r="BJ100" s="120"/>
      <c r="BK100" s="120"/>
      <c r="BL100" s="120"/>
      <c r="BM100" s="120"/>
      <c r="BN100" s="120"/>
    </row>
    <row r="101" spans="1:66">
      <c r="A101" s="120">
        <v>10331</v>
      </c>
      <c r="B101" s="120" t="s">
        <v>105</v>
      </c>
      <c r="C101" s="232">
        <v>0</v>
      </c>
      <c r="D101" s="232">
        <v>1</v>
      </c>
      <c r="E101" s="232">
        <v>37.148000000000003</v>
      </c>
      <c r="F101" s="232">
        <v>35.457000000000001</v>
      </c>
      <c r="G101" s="232">
        <v>35.408000000000001</v>
      </c>
      <c r="H101" s="232">
        <v>0</v>
      </c>
      <c r="I101" s="232">
        <v>0</v>
      </c>
      <c r="J101" s="232">
        <v>0</v>
      </c>
      <c r="K101" s="232">
        <v>0</v>
      </c>
      <c r="L101" s="232">
        <v>0</v>
      </c>
      <c r="M101" s="232">
        <v>0</v>
      </c>
      <c r="N101" s="232">
        <v>35.408000000000001</v>
      </c>
      <c r="O101" s="232">
        <v>35.408000000000001</v>
      </c>
      <c r="P101" s="232">
        <v>310174.08000000002</v>
      </c>
      <c r="Q101" s="232">
        <v>310174.08000000002</v>
      </c>
      <c r="R101" s="232">
        <v>34.914999999999999</v>
      </c>
      <c r="S101" s="232">
        <v>305855.39999999997</v>
      </c>
      <c r="T101" s="232">
        <v>0.49299999999999999</v>
      </c>
      <c r="U101" s="232">
        <v>0.49299999999999999</v>
      </c>
      <c r="V101" s="232">
        <v>0.49299999999999999</v>
      </c>
      <c r="W101" s="232">
        <v>0.49299999999999999</v>
      </c>
      <c r="X101" s="232">
        <v>5.1831000000000004E-3</v>
      </c>
      <c r="Y101" s="232">
        <v>5.1831000000000004E-3</v>
      </c>
      <c r="Z101" s="232">
        <v>0</v>
      </c>
      <c r="AA101" s="232">
        <v>5.1831000000000004E-3</v>
      </c>
      <c r="AB101" s="232">
        <v>5.1831000000000004E-3</v>
      </c>
      <c r="AC101" s="232">
        <v>5.1831000000000004E-3</v>
      </c>
      <c r="AD101" s="232">
        <v>0.98608287203174438</v>
      </c>
      <c r="AE101" s="232">
        <v>0.98608287203174438</v>
      </c>
      <c r="AF101" s="232">
        <v>1.0141200057281972</v>
      </c>
      <c r="AG101" s="232">
        <v>1.0141200057281972</v>
      </c>
      <c r="AH101" s="232">
        <v>7.0989999999999998E-2</v>
      </c>
      <c r="AI101" s="232">
        <v>7.0989999999999998E-2</v>
      </c>
      <c r="AJ101" s="111"/>
      <c r="AK101" s="111"/>
      <c r="AL101" s="111"/>
      <c r="AM101" s="111"/>
      <c r="AN101" s="111"/>
      <c r="AO101" s="111"/>
      <c r="AP101" s="111"/>
      <c r="AQ101" s="120"/>
      <c r="AR101" s="120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20"/>
      <c r="BH101" s="120"/>
      <c r="BI101" s="120"/>
      <c r="BJ101" s="120"/>
      <c r="BK101" s="120"/>
      <c r="BL101" s="120"/>
      <c r="BM101" s="120"/>
      <c r="BN101" s="120"/>
    </row>
    <row r="102" spans="1:66">
      <c r="A102" s="120">
        <v>10333</v>
      </c>
      <c r="B102" s="120" t="s">
        <v>106</v>
      </c>
      <c r="C102" s="232">
        <v>0</v>
      </c>
      <c r="D102" s="232">
        <v>1</v>
      </c>
      <c r="E102" s="232">
        <v>18.791</v>
      </c>
      <c r="F102" s="232">
        <v>21.86</v>
      </c>
      <c r="G102" s="232">
        <v>21.994</v>
      </c>
      <c r="H102" s="232">
        <v>0</v>
      </c>
      <c r="I102" s="232">
        <v>0</v>
      </c>
      <c r="J102" s="232">
        <v>0</v>
      </c>
      <c r="K102" s="232">
        <v>0</v>
      </c>
      <c r="L102" s="232">
        <v>0</v>
      </c>
      <c r="M102" s="232">
        <v>0</v>
      </c>
      <c r="N102" s="232">
        <v>18.777999999999999</v>
      </c>
      <c r="O102" s="232">
        <v>18.867999999999999</v>
      </c>
      <c r="P102" s="232">
        <v>164495.28</v>
      </c>
      <c r="Q102" s="232">
        <v>165283.68</v>
      </c>
      <c r="R102" s="232">
        <v>17.661000000000001</v>
      </c>
      <c r="S102" s="232">
        <v>154710.36000000002</v>
      </c>
      <c r="T102" s="232">
        <v>1.117</v>
      </c>
      <c r="U102" s="232">
        <v>1.2070000000000001</v>
      </c>
      <c r="V102" s="232">
        <v>1.117</v>
      </c>
      <c r="W102" s="232">
        <v>1.2070000000000001</v>
      </c>
      <c r="X102" s="232">
        <v>2.6216999999999998E-3</v>
      </c>
      <c r="Y102" s="232">
        <v>2.6216999999999998E-3</v>
      </c>
      <c r="Z102" s="232">
        <v>0</v>
      </c>
      <c r="AA102" s="232">
        <v>2.6216999999999998E-3</v>
      </c>
      <c r="AB102" s="232">
        <v>2.6216999999999998E-3</v>
      </c>
      <c r="AC102" s="232">
        <v>2.6216999999999998E-3</v>
      </c>
      <c r="AD102" s="232">
        <v>0.94050018054638407</v>
      </c>
      <c r="AE102" s="232">
        <v>0.93601401262984951</v>
      </c>
      <c r="AF102" s="232">
        <v>1.0632467017722664</v>
      </c>
      <c r="AG102" s="232">
        <v>1.068342675952664</v>
      </c>
      <c r="AH102" s="232">
        <v>6.3789999999999999E-2</v>
      </c>
      <c r="AI102" s="232">
        <v>6.4100000000000004E-2</v>
      </c>
      <c r="AJ102" s="111"/>
      <c r="AK102" s="111"/>
      <c r="AL102" s="111"/>
      <c r="AM102" s="111"/>
      <c r="AN102" s="111"/>
      <c r="AO102" s="111"/>
      <c r="AP102" s="111"/>
      <c r="AQ102" s="120"/>
      <c r="AR102" s="120"/>
      <c r="AS102" s="149"/>
      <c r="AT102" s="149"/>
      <c r="AU102" s="149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  <c r="BF102" s="149"/>
      <c r="BG102" s="120"/>
      <c r="BH102" s="120"/>
      <c r="BI102" s="120"/>
      <c r="BJ102" s="120"/>
      <c r="BK102" s="120"/>
      <c r="BL102" s="120"/>
      <c r="BM102" s="120"/>
      <c r="BN102" s="120"/>
    </row>
    <row r="103" spans="1:66">
      <c r="A103" s="120">
        <v>10338</v>
      </c>
      <c r="B103" s="120" t="s">
        <v>107</v>
      </c>
      <c r="C103" s="232">
        <v>1</v>
      </c>
      <c r="D103" s="232">
        <v>0</v>
      </c>
      <c r="E103" s="232">
        <v>2.4079999999999999</v>
      </c>
      <c r="F103" s="232">
        <v>2.762</v>
      </c>
      <c r="G103" s="232">
        <v>2.7869999999999999</v>
      </c>
      <c r="H103" s="232">
        <v>0</v>
      </c>
      <c r="I103" s="232">
        <v>0</v>
      </c>
      <c r="J103" s="232">
        <v>0</v>
      </c>
      <c r="K103" s="232">
        <v>0</v>
      </c>
      <c r="L103" s="232">
        <v>0</v>
      </c>
      <c r="M103" s="232">
        <v>0</v>
      </c>
      <c r="N103" s="232">
        <v>2.5419999999999998</v>
      </c>
      <c r="O103" s="232">
        <v>2.5499999999999998</v>
      </c>
      <c r="P103" s="232">
        <v>22267.919999999998</v>
      </c>
      <c r="Q103" s="232">
        <v>22338</v>
      </c>
      <c r="R103" s="232">
        <v>2.2629999999999999</v>
      </c>
      <c r="S103" s="232">
        <v>19823.879999999997</v>
      </c>
      <c r="T103" s="232">
        <v>0.27900000000000003</v>
      </c>
      <c r="U103" s="232">
        <v>0.28699999999999998</v>
      </c>
      <c r="V103" s="232">
        <v>0</v>
      </c>
      <c r="W103" s="232">
        <v>0</v>
      </c>
      <c r="X103" s="232">
        <v>3.3589999999999998E-4</v>
      </c>
      <c r="Y103" s="232">
        <v>3.3589999999999998E-4</v>
      </c>
      <c r="Z103" s="232">
        <v>0</v>
      </c>
      <c r="AA103" s="232">
        <v>3.3589999999999998E-4</v>
      </c>
      <c r="AB103" s="232">
        <v>3.3589999999999998E-4</v>
      </c>
      <c r="AC103" s="232">
        <v>3.3589999999999998E-4</v>
      </c>
      <c r="AD103" s="232">
        <v>0.89014279626278525</v>
      </c>
      <c r="AE103" s="232">
        <v>0.88735019141176474</v>
      </c>
      <c r="AF103" s="232">
        <v>1.1232876712328768</v>
      </c>
      <c r="AG103" s="232">
        <v>1.1268228015908086</v>
      </c>
      <c r="AH103" s="232">
        <v>3.9320000000000001E-2</v>
      </c>
      <c r="AI103" s="232">
        <v>3.3799999999999997E-2</v>
      </c>
      <c r="AJ103" s="111"/>
      <c r="AK103" s="111"/>
      <c r="AL103" s="111"/>
      <c r="AM103" s="111"/>
      <c r="AN103" s="111"/>
      <c r="AO103" s="111"/>
      <c r="AP103" s="111"/>
      <c r="AQ103" s="120"/>
      <c r="AR103" s="120"/>
      <c r="AS103" s="149"/>
      <c r="AT103" s="149"/>
      <c r="AU103" s="149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20"/>
      <c r="BH103" s="120"/>
      <c r="BI103" s="120"/>
      <c r="BJ103" s="120"/>
      <c r="BK103" s="120"/>
      <c r="BL103" s="120"/>
      <c r="BM103" s="120"/>
      <c r="BN103" s="120"/>
    </row>
    <row r="104" spans="1:66">
      <c r="A104" s="120">
        <v>10342</v>
      </c>
      <c r="B104" s="120" t="s">
        <v>108</v>
      </c>
      <c r="C104" s="232">
        <v>1</v>
      </c>
      <c r="D104" s="232">
        <v>0</v>
      </c>
      <c r="E104" s="232">
        <v>39.268000000000001</v>
      </c>
      <c r="F104" s="232">
        <v>38.322000000000003</v>
      </c>
      <c r="G104" s="232">
        <v>38.332000000000001</v>
      </c>
      <c r="H104" s="232">
        <v>0</v>
      </c>
      <c r="I104" s="232">
        <v>0</v>
      </c>
      <c r="J104" s="232">
        <v>0</v>
      </c>
      <c r="K104" s="232">
        <v>0</v>
      </c>
      <c r="L104" s="232">
        <v>0</v>
      </c>
      <c r="M104" s="232">
        <v>0</v>
      </c>
      <c r="N104" s="232">
        <v>38.017000000000003</v>
      </c>
      <c r="O104" s="232">
        <v>37.936999999999998</v>
      </c>
      <c r="P104" s="232">
        <v>333028.92000000004</v>
      </c>
      <c r="Q104" s="232">
        <v>332328.12</v>
      </c>
      <c r="R104" s="232">
        <v>36.906999999999996</v>
      </c>
      <c r="S104" s="232">
        <v>323305.31999999995</v>
      </c>
      <c r="T104" s="232">
        <v>1.1100000000000001</v>
      </c>
      <c r="U104" s="232">
        <v>1.03</v>
      </c>
      <c r="V104" s="232">
        <v>1.1100000000000001</v>
      </c>
      <c r="W104" s="232">
        <v>1.03</v>
      </c>
      <c r="X104" s="232">
        <v>5.4787999999999998E-3</v>
      </c>
      <c r="Y104" s="232">
        <v>5.4787999999999998E-3</v>
      </c>
      <c r="Z104" s="232">
        <v>0</v>
      </c>
      <c r="AA104" s="232">
        <v>5.4787999999999998E-3</v>
      </c>
      <c r="AB104" s="232">
        <v>5.4787999999999998E-3</v>
      </c>
      <c r="AC104" s="232">
        <v>5.4787999999999998E-3</v>
      </c>
      <c r="AD104" s="232">
        <v>0.9708068413920089</v>
      </c>
      <c r="AE104" s="232">
        <v>0.97285403930727277</v>
      </c>
      <c r="AF104" s="232">
        <v>1.0300755954155041</v>
      </c>
      <c r="AG104" s="232">
        <v>1.0279079849351072</v>
      </c>
      <c r="AH104" s="232">
        <v>0</v>
      </c>
      <c r="AI104" s="232">
        <v>0</v>
      </c>
      <c r="AJ104" s="111"/>
      <c r="AK104" s="111"/>
      <c r="AL104" s="111"/>
      <c r="AM104" s="111"/>
      <c r="AN104" s="111"/>
      <c r="AO104" s="111"/>
      <c r="AP104" s="111"/>
      <c r="AQ104" s="120"/>
      <c r="AR104" s="120"/>
      <c r="AS104" s="149"/>
      <c r="AT104" s="149"/>
      <c r="AU104" s="149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  <c r="BF104" s="149"/>
      <c r="BG104" s="120"/>
      <c r="BH104" s="120"/>
      <c r="BI104" s="120"/>
      <c r="BJ104" s="120"/>
      <c r="BK104" s="120"/>
      <c r="BL104" s="120"/>
      <c r="BM104" s="120"/>
      <c r="BN104" s="120"/>
    </row>
    <row r="105" spans="1:66">
      <c r="A105" s="120">
        <v>10343</v>
      </c>
      <c r="B105" s="120" t="s">
        <v>109</v>
      </c>
      <c r="C105" s="232">
        <v>1</v>
      </c>
      <c r="D105" s="232">
        <v>0</v>
      </c>
      <c r="E105" s="232">
        <v>31.856999999999999</v>
      </c>
      <c r="F105" s="232">
        <v>12.131</v>
      </c>
      <c r="G105" s="232">
        <v>15.271000000000001</v>
      </c>
      <c r="H105" s="232">
        <v>0</v>
      </c>
      <c r="I105" s="232">
        <v>0</v>
      </c>
      <c r="J105" s="232">
        <v>0.14000000000000001</v>
      </c>
      <c r="K105" s="232">
        <v>0.13900000000000001</v>
      </c>
      <c r="L105" s="232">
        <v>1226.4000000000001</v>
      </c>
      <c r="M105" s="232">
        <v>1217.6400000000001</v>
      </c>
      <c r="N105" s="232">
        <v>12.016</v>
      </c>
      <c r="O105" s="232">
        <v>12.016</v>
      </c>
      <c r="P105" s="232">
        <v>105260.16</v>
      </c>
      <c r="Q105" s="232">
        <v>105260.16</v>
      </c>
      <c r="R105" s="232">
        <v>29.942</v>
      </c>
      <c r="S105" s="232">
        <v>262291.92</v>
      </c>
      <c r="T105" s="232">
        <v>0</v>
      </c>
      <c r="U105" s="232">
        <v>0</v>
      </c>
      <c r="V105" s="232">
        <v>0</v>
      </c>
      <c r="W105" s="232">
        <v>0</v>
      </c>
      <c r="X105" s="232">
        <v>1.7838000000000001E-3</v>
      </c>
      <c r="Y105" s="232">
        <v>1.7838000000000001E-3</v>
      </c>
      <c r="Z105" s="232">
        <v>0</v>
      </c>
      <c r="AA105" s="232">
        <v>1.7838000000000001E-3</v>
      </c>
      <c r="AB105" s="232">
        <v>1.7838000000000001E-3</v>
      </c>
      <c r="AC105" s="232">
        <v>1.7838000000000001E-3</v>
      </c>
      <c r="AD105" s="232">
        <v>1</v>
      </c>
      <c r="AE105" s="232">
        <v>1</v>
      </c>
      <c r="AF105" s="232">
        <v>1</v>
      </c>
      <c r="AG105" s="232">
        <v>1</v>
      </c>
      <c r="AH105" s="232">
        <v>7.0000000000000007E-2</v>
      </c>
      <c r="AI105" s="232">
        <v>7.0000000000000007E-2</v>
      </c>
      <c r="AJ105" s="111"/>
      <c r="AK105" s="111"/>
      <c r="AL105" s="111"/>
      <c r="AM105" s="111"/>
      <c r="AN105" s="111"/>
      <c r="AO105" s="111"/>
      <c r="AP105" s="111"/>
      <c r="AQ105" s="120"/>
      <c r="AR105" s="120"/>
      <c r="AS105" s="149"/>
      <c r="AT105" s="149"/>
      <c r="AU105" s="149"/>
      <c r="AV105" s="149"/>
      <c r="AW105" s="149"/>
      <c r="AX105" s="149"/>
      <c r="AY105" s="149"/>
      <c r="AZ105" s="149"/>
      <c r="BA105" s="149"/>
      <c r="BB105" s="149"/>
      <c r="BC105" s="149"/>
      <c r="BD105" s="149"/>
      <c r="BE105" s="149"/>
      <c r="BF105" s="149"/>
      <c r="BG105" s="120"/>
      <c r="BH105" s="120"/>
      <c r="BI105" s="120"/>
      <c r="BJ105" s="120"/>
      <c r="BK105" s="120"/>
      <c r="BL105" s="120"/>
      <c r="BM105" s="120"/>
      <c r="BN105" s="120"/>
    </row>
    <row r="106" spans="1:66">
      <c r="A106" s="120">
        <v>10349</v>
      </c>
      <c r="B106" s="120" t="s">
        <v>110</v>
      </c>
      <c r="C106" s="232">
        <v>1</v>
      </c>
      <c r="D106" s="232">
        <v>0</v>
      </c>
      <c r="E106" s="232">
        <v>531.72699999999998</v>
      </c>
      <c r="F106" s="232">
        <v>1059.163</v>
      </c>
      <c r="G106" s="232">
        <v>1053.2760000000001</v>
      </c>
      <c r="H106" s="232">
        <v>0</v>
      </c>
      <c r="I106" s="232">
        <v>0</v>
      </c>
      <c r="J106" s="232">
        <v>596.79</v>
      </c>
      <c r="K106" s="232">
        <v>594.23199999999997</v>
      </c>
      <c r="L106" s="232">
        <v>5227880.3999999994</v>
      </c>
      <c r="M106" s="232">
        <v>5205472.3199999994</v>
      </c>
      <c r="N106" s="232">
        <v>462.37299999999999</v>
      </c>
      <c r="O106" s="232">
        <v>459.04399999999998</v>
      </c>
      <c r="P106" s="232">
        <v>4050387.48</v>
      </c>
      <c r="Q106" s="232">
        <v>4021225.44</v>
      </c>
      <c r="R106" s="232">
        <v>499.76</v>
      </c>
      <c r="S106" s="232">
        <v>4377897.5999999996</v>
      </c>
      <c r="T106" s="232">
        <v>0</v>
      </c>
      <c r="U106" s="232">
        <v>0</v>
      </c>
      <c r="V106" s="232">
        <v>0</v>
      </c>
      <c r="W106" s="232">
        <v>0</v>
      </c>
      <c r="X106" s="232">
        <v>6.8638400000000002E-2</v>
      </c>
      <c r="Y106" s="232">
        <v>6.8144200000000002E-2</v>
      </c>
      <c r="Z106" s="232">
        <v>0</v>
      </c>
      <c r="AA106" s="232">
        <v>6.8638400000000002E-2</v>
      </c>
      <c r="AB106" s="232">
        <v>6.8144200000000002E-2</v>
      </c>
      <c r="AC106" s="232">
        <v>6.8391300000000002E-2</v>
      </c>
      <c r="AD106" s="232">
        <v>0.99999973380079621</v>
      </c>
      <c r="AE106" s="232">
        <v>0.99999995884625426</v>
      </c>
      <c r="AF106" s="232">
        <v>1</v>
      </c>
      <c r="AG106" s="232">
        <v>1</v>
      </c>
      <c r="AH106" s="232">
        <v>0</v>
      </c>
      <c r="AI106" s="232">
        <v>0</v>
      </c>
      <c r="AJ106" s="111"/>
      <c r="AK106" s="111"/>
      <c r="AL106" s="111"/>
      <c r="AM106" s="111"/>
      <c r="AN106" s="111"/>
      <c r="AO106" s="111"/>
      <c r="AP106" s="111"/>
      <c r="AQ106" s="120"/>
      <c r="AR106" s="120"/>
      <c r="AS106" s="149"/>
      <c r="AT106" s="149"/>
      <c r="AU106" s="149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  <c r="BF106" s="149"/>
      <c r="BG106" s="120"/>
      <c r="BH106" s="120"/>
      <c r="BI106" s="120"/>
      <c r="BJ106" s="120"/>
      <c r="BK106" s="120"/>
      <c r="BL106" s="120"/>
      <c r="BM106" s="120"/>
      <c r="BN106" s="120"/>
    </row>
    <row r="107" spans="1:66">
      <c r="A107" s="120">
        <v>10352</v>
      </c>
      <c r="B107" s="120" t="s">
        <v>111</v>
      </c>
      <c r="C107" s="232">
        <v>1</v>
      </c>
      <c r="D107" s="232">
        <v>0</v>
      </c>
      <c r="E107" s="232">
        <v>16.143999999999998</v>
      </c>
      <c r="F107" s="232">
        <v>15.929</v>
      </c>
      <c r="G107" s="232">
        <v>15.917</v>
      </c>
      <c r="H107" s="232">
        <v>0</v>
      </c>
      <c r="I107" s="232">
        <v>0</v>
      </c>
      <c r="J107" s="232">
        <v>0</v>
      </c>
      <c r="K107" s="232">
        <v>0</v>
      </c>
      <c r="L107" s="232">
        <v>0</v>
      </c>
      <c r="M107" s="232">
        <v>0</v>
      </c>
      <c r="N107" s="232">
        <v>15.302</v>
      </c>
      <c r="O107" s="232">
        <v>15.302</v>
      </c>
      <c r="P107" s="232">
        <v>134045.51999999999</v>
      </c>
      <c r="Q107" s="232">
        <v>134045.51999999999</v>
      </c>
      <c r="R107" s="232">
        <v>15.173</v>
      </c>
      <c r="S107" s="232">
        <v>132915.48000000001</v>
      </c>
      <c r="T107" s="232">
        <v>0.129</v>
      </c>
      <c r="U107" s="232">
        <v>0.129</v>
      </c>
      <c r="V107" s="232">
        <v>0</v>
      </c>
      <c r="W107" s="232">
        <v>0</v>
      </c>
      <c r="X107" s="232">
        <v>2.2523999999999999E-3</v>
      </c>
      <c r="Y107" s="232">
        <v>2.2523999999999999E-3</v>
      </c>
      <c r="Z107" s="232">
        <v>0</v>
      </c>
      <c r="AA107" s="232">
        <v>2.2523999999999999E-3</v>
      </c>
      <c r="AB107" s="232">
        <v>2.2523999999999999E-3</v>
      </c>
      <c r="AC107" s="232">
        <v>2.2523999999999999E-3</v>
      </c>
      <c r="AD107" s="232">
        <v>0.99156809643183896</v>
      </c>
      <c r="AE107" s="232">
        <v>0.99156809643183896</v>
      </c>
      <c r="AF107" s="232">
        <v>1.0085019442430634</v>
      </c>
      <c r="AG107" s="232">
        <v>1.0085019442430634</v>
      </c>
      <c r="AH107" s="232">
        <v>5.0430000000000003E-2</v>
      </c>
      <c r="AI107" s="232">
        <v>5.0430000000000003E-2</v>
      </c>
      <c r="AJ107" s="111"/>
      <c r="AK107" s="111"/>
      <c r="AL107" s="111"/>
      <c r="AM107" s="111"/>
      <c r="AN107" s="111"/>
      <c r="AO107" s="111"/>
      <c r="AP107" s="111"/>
      <c r="AQ107" s="120"/>
      <c r="AR107" s="120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20"/>
      <c r="BH107" s="120"/>
      <c r="BI107" s="120"/>
      <c r="BJ107" s="120"/>
      <c r="BK107" s="120"/>
      <c r="BL107" s="120"/>
      <c r="BM107" s="120"/>
      <c r="BN107" s="120"/>
    </row>
    <row r="108" spans="1:66">
      <c r="A108" s="120">
        <v>10354</v>
      </c>
      <c r="B108" s="120" t="s">
        <v>112</v>
      </c>
      <c r="C108" s="232">
        <v>1</v>
      </c>
      <c r="D108" s="232">
        <v>0</v>
      </c>
      <c r="E108" s="232">
        <v>810.99</v>
      </c>
      <c r="F108" s="232">
        <v>772.43700000000001</v>
      </c>
      <c r="G108" s="232">
        <v>770.10500000000002</v>
      </c>
      <c r="H108" s="232">
        <v>0</v>
      </c>
      <c r="I108" s="232">
        <v>0</v>
      </c>
      <c r="J108" s="232">
        <v>30.925999999999998</v>
      </c>
      <c r="K108" s="232">
        <v>30.827999999999999</v>
      </c>
      <c r="L108" s="232">
        <v>270911.76</v>
      </c>
      <c r="M108" s="232">
        <v>270053.27999999997</v>
      </c>
      <c r="N108" s="232">
        <v>741.51099999999997</v>
      </c>
      <c r="O108" s="232">
        <v>739.27700000000004</v>
      </c>
      <c r="P108" s="232">
        <v>6495636.3599999994</v>
      </c>
      <c r="Q108" s="232">
        <v>6476066.5200000005</v>
      </c>
      <c r="R108" s="232">
        <v>762.23400000000004</v>
      </c>
      <c r="S108" s="232">
        <v>6677169.8400000008</v>
      </c>
      <c r="T108" s="232">
        <v>0</v>
      </c>
      <c r="U108" s="232">
        <v>0</v>
      </c>
      <c r="V108" s="232">
        <v>0</v>
      </c>
      <c r="W108" s="232">
        <v>0</v>
      </c>
      <c r="X108" s="232">
        <v>0.1100759</v>
      </c>
      <c r="Y108" s="232">
        <v>0.1097443</v>
      </c>
      <c r="Z108" s="232">
        <v>5.4363700000000001E-2</v>
      </c>
      <c r="AA108" s="232">
        <v>5.5712200000000003E-2</v>
      </c>
      <c r="AB108" s="232">
        <v>5.5380600000000002E-2</v>
      </c>
      <c r="AC108" s="232">
        <v>5.5546400000000003E-2</v>
      </c>
      <c r="AD108" s="232">
        <v>0.99999973547467458</v>
      </c>
      <c r="AE108" s="232">
        <v>0.99999970590487286</v>
      </c>
      <c r="AF108" s="232">
        <v>1</v>
      </c>
      <c r="AG108" s="232">
        <v>1</v>
      </c>
      <c r="AH108" s="232">
        <v>0</v>
      </c>
      <c r="AI108" s="232">
        <v>0</v>
      </c>
      <c r="AJ108" s="111"/>
      <c r="AK108" s="111"/>
      <c r="AL108" s="111"/>
      <c r="AM108" s="111"/>
      <c r="AN108" s="111"/>
      <c r="AO108" s="111"/>
      <c r="AP108" s="111"/>
      <c r="AQ108" s="120"/>
      <c r="AR108" s="120"/>
      <c r="AS108" s="149"/>
      <c r="AT108" s="149"/>
      <c r="AU108" s="149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  <c r="BF108" s="149"/>
      <c r="BG108" s="120"/>
      <c r="BH108" s="120"/>
      <c r="BI108" s="120"/>
      <c r="BJ108" s="120"/>
      <c r="BK108" s="120"/>
      <c r="BL108" s="120"/>
      <c r="BM108" s="120"/>
      <c r="BN108" s="120"/>
    </row>
    <row r="109" spans="1:66">
      <c r="A109" s="120">
        <v>10360</v>
      </c>
      <c r="B109" s="120" t="s">
        <v>113</v>
      </c>
      <c r="C109" s="232">
        <v>1</v>
      </c>
      <c r="D109" s="232">
        <v>0</v>
      </c>
      <c r="E109" s="232">
        <v>6.8659999999999997</v>
      </c>
      <c r="F109" s="232">
        <v>7.6840000000000002</v>
      </c>
      <c r="G109" s="232">
        <v>7.7610000000000001</v>
      </c>
      <c r="H109" s="232">
        <v>0</v>
      </c>
      <c r="I109" s="232">
        <v>0</v>
      </c>
      <c r="J109" s="232">
        <v>0</v>
      </c>
      <c r="K109" s="232">
        <v>0</v>
      </c>
      <c r="L109" s="232">
        <v>0</v>
      </c>
      <c r="M109" s="232">
        <v>0</v>
      </c>
      <c r="N109" s="232">
        <v>7.2060000000000004</v>
      </c>
      <c r="O109" s="232">
        <v>7.2279999999999998</v>
      </c>
      <c r="P109" s="232">
        <v>63124.560000000005</v>
      </c>
      <c r="Q109" s="232">
        <v>63317.279999999999</v>
      </c>
      <c r="R109" s="232">
        <v>6.4530000000000003</v>
      </c>
      <c r="S109" s="232">
        <v>56528.280000000006</v>
      </c>
      <c r="T109" s="232">
        <v>0.753</v>
      </c>
      <c r="U109" s="232">
        <v>0.77500000000000002</v>
      </c>
      <c r="V109" s="232">
        <v>0</v>
      </c>
      <c r="W109" s="232">
        <v>0</v>
      </c>
      <c r="X109" s="232">
        <v>9.5790000000000003E-4</v>
      </c>
      <c r="Y109" s="232">
        <v>9.5790000000000003E-4</v>
      </c>
      <c r="Z109" s="232">
        <v>0</v>
      </c>
      <c r="AA109" s="232">
        <v>9.5790000000000003E-4</v>
      </c>
      <c r="AB109" s="232">
        <v>9.5790000000000003E-4</v>
      </c>
      <c r="AC109" s="232">
        <v>9.5790000000000003E-4</v>
      </c>
      <c r="AD109" s="232">
        <v>0.89547020345545381</v>
      </c>
      <c r="AE109" s="232">
        <v>0.89274464389872732</v>
      </c>
      <c r="AF109" s="232">
        <v>1.1166899116689912</v>
      </c>
      <c r="AG109" s="232">
        <v>1.1200991786765844</v>
      </c>
      <c r="AH109" s="232">
        <v>5.0250000000000003E-2</v>
      </c>
      <c r="AI109" s="232">
        <v>5.04E-2</v>
      </c>
      <c r="AJ109" s="111"/>
      <c r="AK109" s="111"/>
      <c r="AL109" s="111"/>
      <c r="AM109" s="111"/>
      <c r="AN109" s="111"/>
      <c r="AO109" s="111"/>
      <c r="AP109" s="111"/>
      <c r="AQ109" s="120"/>
      <c r="AR109" s="120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20"/>
      <c r="BH109" s="120"/>
      <c r="BI109" s="120"/>
      <c r="BJ109" s="120"/>
      <c r="BK109" s="120"/>
      <c r="BL109" s="120"/>
      <c r="BM109" s="120"/>
      <c r="BN109" s="120"/>
    </row>
    <row r="110" spans="1:66">
      <c r="A110" s="120">
        <v>10363</v>
      </c>
      <c r="B110" s="120" t="s">
        <v>114</v>
      </c>
      <c r="C110" s="232">
        <v>1</v>
      </c>
      <c r="D110" s="232">
        <v>0</v>
      </c>
      <c r="E110" s="232">
        <v>102.208</v>
      </c>
      <c r="F110" s="232">
        <v>91.299000000000007</v>
      </c>
      <c r="G110" s="232">
        <v>91.234999999999999</v>
      </c>
      <c r="H110" s="232">
        <v>0</v>
      </c>
      <c r="I110" s="232">
        <v>0</v>
      </c>
      <c r="J110" s="232">
        <v>0</v>
      </c>
      <c r="K110" s="232">
        <v>0</v>
      </c>
      <c r="L110" s="232">
        <v>0</v>
      </c>
      <c r="M110" s="232">
        <v>0</v>
      </c>
      <c r="N110" s="232">
        <v>91.117000000000004</v>
      </c>
      <c r="O110" s="232">
        <v>91.341999999999999</v>
      </c>
      <c r="P110" s="232">
        <v>798184.92</v>
      </c>
      <c r="Q110" s="232">
        <v>800155.92</v>
      </c>
      <c r="R110" s="232">
        <v>96.063000000000002</v>
      </c>
      <c r="S110" s="232">
        <v>841511.88</v>
      </c>
      <c r="T110" s="232">
        <v>0</v>
      </c>
      <c r="U110" s="232">
        <v>0</v>
      </c>
      <c r="V110" s="232">
        <v>0</v>
      </c>
      <c r="W110" s="232">
        <v>0</v>
      </c>
      <c r="X110" s="232">
        <v>1.3526099999999999E-2</v>
      </c>
      <c r="Y110" s="232">
        <v>1.35595E-2</v>
      </c>
      <c r="Z110" s="232">
        <v>0</v>
      </c>
      <c r="AA110" s="232">
        <v>1.3526099999999999E-2</v>
      </c>
      <c r="AB110" s="232">
        <v>1.35595E-2</v>
      </c>
      <c r="AC110" s="232">
        <v>1.3542800000000001E-2</v>
      </c>
      <c r="AD110" s="232">
        <v>0.99999632856547072</v>
      </c>
      <c r="AE110" s="232">
        <v>0.99999627619824405</v>
      </c>
      <c r="AF110" s="232">
        <v>1</v>
      </c>
      <c r="AG110" s="232">
        <v>1</v>
      </c>
      <c r="AH110" s="232">
        <v>0</v>
      </c>
      <c r="AI110" s="232">
        <v>0</v>
      </c>
      <c r="AJ110" s="111"/>
      <c r="AK110" s="111"/>
      <c r="AL110" s="111"/>
      <c r="AM110" s="111"/>
      <c r="AN110" s="111"/>
      <c r="AO110" s="111"/>
      <c r="AP110" s="111"/>
      <c r="AQ110" s="120"/>
      <c r="AR110" s="120"/>
      <c r="AS110" s="149"/>
      <c r="AT110" s="149"/>
      <c r="AU110" s="149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20"/>
      <c r="BH110" s="120"/>
      <c r="BI110" s="120"/>
      <c r="BJ110" s="120"/>
      <c r="BK110" s="120"/>
      <c r="BL110" s="120"/>
      <c r="BM110" s="120"/>
      <c r="BN110" s="120"/>
    </row>
    <row r="111" spans="1:66">
      <c r="A111" s="120">
        <v>10369</v>
      </c>
      <c r="B111" s="120" t="s">
        <v>115</v>
      </c>
      <c r="C111" s="232">
        <v>1</v>
      </c>
      <c r="D111" s="232">
        <v>0</v>
      </c>
      <c r="E111" s="232">
        <v>16.677</v>
      </c>
      <c r="F111" s="232">
        <v>18.427</v>
      </c>
      <c r="G111" s="232">
        <v>18.393999999999998</v>
      </c>
      <c r="H111" s="232">
        <v>0</v>
      </c>
      <c r="I111" s="232">
        <v>0</v>
      </c>
      <c r="J111" s="232">
        <v>0</v>
      </c>
      <c r="K111" s="232">
        <v>0</v>
      </c>
      <c r="L111" s="232">
        <v>0</v>
      </c>
      <c r="M111" s="232">
        <v>0</v>
      </c>
      <c r="N111" s="232">
        <v>17.149000000000001</v>
      </c>
      <c r="O111" s="232">
        <v>17.149000000000001</v>
      </c>
      <c r="P111" s="232">
        <v>150225.24000000002</v>
      </c>
      <c r="Q111" s="232">
        <v>150225.24000000002</v>
      </c>
      <c r="R111" s="232">
        <v>15.673999999999999</v>
      </c>
      <c r="S111" s="232">
        <v>137304.24</v>
      </c>
      <c r="T111" s="232">
        <v>1.4750000000000001</v>
      </c>
      <c r="U111" s="232">
        <v>1.4750000000000001</v>
      </c>
      <c r="V111" s="232">
        <v>1.4750000000000001</v>
      </c>
      <c r="W111" s="232">
        <v>1.4750000000000001</v>
      </c>
      <c r="X111" s="232">
        <v>2.3268E-3</v>
      </c>
      <c r="Y111" s="232">
        <v>2.3268E-3</v>
      </c>
      <c r="Z111" s="232">
        <v>0</v>
      </c>
      <c r="AA111" s="232">
        <v>2.3268E-3</v>
      </c>
      <c r="AB111" s="232">
        <v>2.3268E-3</v>
      </c>
      <c r="AC111" s="232">
        <v>2.3268E-3</v>
      </c>
      <c r="AD111" s="232">
        <v>0.91399849094407837</v>
      </c>
      <c r="AE111" s="232">
        <v>0.91399849094407837</v>
      </c>
      <c r="AF111" s="232">
        <v>1.0941048870741357</v>
      </c>
      <c r="AG111" s="232">
        <v>1.0941048870741357</v>
      </c>
      <c r="AH111" s="232">
        <v>7.6590000000000005E-2</v>
      </c>
      <c r="AI111" s="232">
        <v>7.6590000000000005E-2</v>
      </c>
      <c r="AJ111" s="111"/>
      <c r="AK111" s="111"/>
      <c r="AL111" s="111"/>
      <c r="AM111" s="111"/>
      <c r="AN111" s="111"/>
      <c r="AO111" s="111"/>
      <c r="AP111" s="111"/>
      <c r="AQ111" s="120"/>
      <c r="AR111" s="120"/>
      <c r="AS111" s="149"/>
      <c r="AT111" s="149"/>
      <c r="AU111" s="149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20"/>
      <c r="BH111" s="120"/>
      <c r="BI111" s="120"/>
      <c r="BJ111" s="120"/>
      <c r="BK111" s="120"/>
      <c r="BL111" s="120"/>
      <c r="BM111" s="120"/>
      <c r="BN111" s="120"/>
    </row>
    <row r="112" spans="1:66">
      <c r="A112" s="120">
        <v>10370</v>
      </c>
      <c r="B112" s="120" t="s">
        <v>116</v>
      </c>
      <c r="C112" s="232">
        <v>1</v>
      </c>
      <c r="D112" s="232">
        <v>0</v>
      </c>
      <c r="E112" s="232">
        <v>408.39299999999997</v>
      </c>
      <c r="F112" s="232">
        <v>548.80700000000002</v>
      </c>
      <c r="G112" s="232">
        <v>545.65499999999997</v>
      </c>
      <c r="H112" s="232">
        <v>0</v>
      </c>
      <c r="I112" s="232">
        <v>0</v>
      </c>
      <c r="J112" s="232">
        <v>178.96799999999999</v>
      </c>
      <c r="K112" s="232">
        <v>178.43</v>
      </c>
      <c r="L112" s="232">
        <v>1567759.68</v>
      </c>
      <c r="M112" s="232">
        <v>1563046.8</v>
      </c>
      <c r="N112" s="232">
        <v>369.839</v>
      </c>
      <c r="O112" s="232">
        <v>367.22500000000002</v>
      </c>
      <c r="P112" s="232">
        <v>3239789.64</v>
      </c>
      <c r="Q112" s="232">
        <v>3216891</v>
      </c>
      <c r="R112" s="232">
        <v>383.84100000000001</v>
      </c>
      <c r="S112" s="232">
        <v>3362447.16</v>
      </c>
      <c r="T112" s="232">
        <v>0</v>
      </c>
      <c r="U112" s="232">
        <v>0</v>
      </c>
      <c r="V112" s="232">
        <v>0</v>
      </c>
      <c r="W112" s="232">
        <v>0</v>
      </c>
      <c r="X112" s="232">
        <v>5.4901899999999997E-2</v>
      </c>
      <c r="Y112" s="232">
        <v>5.4513899999999997E-2</v>
      </c>
      <c r="Z112" s="232">
        <v>2.9611100000000001E-2</v>
      </c>
      <c r="AA112" s="232">
        <v>2.5290799999999995E-2</v>
      </c>
      <c r="AB112" s="232">
        <v>2.4902799999999996E-2</v>
      </c>
      <c r="AC112" s="232">
        <v>2.5096799999999996E-2</v>
      </c>
      <c r="AD112" s="232">
        <v>1</v>
      </c>
      <c r="AE112" s="232">
        <v>1</v>
      </c>
      <c r="AF112" s="232">
        <v>1</v>
      </c>
      <c r="AG112" s="232">
        <v>1</v>
      </c>
      <c r="AH112" s="232">
        <v>0</v>
      </c>
      <c r="AI112" s="232">
        <v>0</v>
      </c>
      <c r="AJ112" s="111"/>
      <c r="AK112" s="111"/>
      <c r="AL112" s="111"/>
      <c r="AM112" s="111"/>
      <c r="AN112" s="111"/>
      <c r="AO112" s="111"/>
      <c r="AP112" s="111"/>
      <c r="AQ112" s="120"/>
      <c r="AR112" s="120"/>
      <c r="AS112" s="149"/>
      <c r="AT112" s="149"/>
      <c r="AU112" s="149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  <c r="BF112" s="149"/>
      <c r="BG112" s="120"/>
      <c r="BH112" s="120"/>
      <c r="BI112" s="120"/>
      <c r="BJ112" s="120"/>
      <c r="BK112" s="120"/>
      <c r="BL112" s="120"/>
      <c r="BM112" s="120"/>
      <c r="BN112" s="120"/>
    </row>
    <row r="113" spans="1:66">
      <c r="A113" s="120">
        <v>10371</v>
      </c>
      <c r="B113" s="120" t="s">
        <v>117</v>
      </c>
      <c r="C113" s="232">
        <v>1</v>
      </c>
      <c r="D113" s="232">
        <v>0</v>
      </c>
      <c r="E113" s="232">
        <v>11.196999999999999</v>
      </c>
      <c r="F113" s="232">
        <v>11.567</v>
      </c>
      <c r="G113" s="232">
        <v>11.568</v>
      </c>
      <c r="H113" s="232">
        <v>0</v>
      </c>
      <c r="I113" s="232">
        <v>0</v>
      </c>
      <c r="J113" s="232">
        <v>0</v>
      </c>
      <c r="K113" s="232">
        <v>0</v>
      </c>
      <c r="L113" s="232">
        <v>0</v>
      </c>
      <c r="M113" s="232">
        <v>0</v>
      </c>
      <c r="N113" s="232">
        <v>11.212</v>
      </c>
      <c r="O113" s="232">
        <v>11.238</v>
      </c>
      <c r="P113" s="232">
        <v>98217.12</v>
      </c>
      <c r="Q113" s="232">
        <v>98444.87999999999</v>
      </c>
      <c r="R113" s="232">
        <v>10.523999999999999</v>
      </c>
      <c r="S113" s="232">
        <v>92190.239999999991</v>
      </c>
      <c r="T113" s="232">
        <v>0.68799999999999994</v>
      </c>
      <c r="U113" s="232">
        <v>0.71399999999999997</v>
      </c>
      <c r="V113" s="232">
        <v>0</v>
      </c>
      <c r="W113" s="232">
        <v>0</v>
      </c>
      <c r="X113" s="232">
        <v>1.5623E-3</v>
      </c>
      <c r="Y113" s="232">
        <v>1.5623E-3</v>
      </c>
      <c r="Z113" s="232">
        <v>0</v>
      </c>
      <c r="AA113" s="232">
        <v>1.5623E-3</v>
      </c>
      <c r="AB113" s="232">
        <v>1.5623E-3</v>
      </c>
      <c r="AC113" s="232">
        <v>1.5623E-3</v>
      </c>
      <c r="AD113" s="232">
        <v>0.93865623133250087</v>
      </c>
      <c r="AE113" s="232">
        <v>0.93648457605445812</v>
      </c>
      <c r="AF113" s="232">
        <v>1.0653743823641202</v>
      </c>
      <c r="AG113" s="232">
        <v>1.0678449258836944</v>
      </c>
      <c r="AH113" s="232">
        <v>0</v>
      </c>
      <c r="AI113" s="232">
        <v>0</v>
      </c>
      <c r="AJ113" s="111"/>
      <c r="AK113" s="111"/>
      <c r="AL113" s="111"/>
      <c r="AM113" s="111"/>
      <c r="AN113" s="111"/>
      <c r="AO113" s="111"/>
      <c r="AP113" s="111"/>
      <c r="AQ113" s="120"/>
      <c r="AR113" s="120"/>
      <c r="AS113" s="149"/>
      <c r="AT113" s="149"/>
      <c r="AU113" s="149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  <c r="BF113" s="149"/>
      <c r="BG113" s="120"/>
      <c r="BH113" s="120"/>
      <c r="BI113" s="120"/>
      <c r="BJ113" s="120"/>
      <c r="BK113" s="120"/>
      <c r="BL113" s="120"/>
      <c r="BM113" s="120"/>
      <c r="BN113" s="120"/>
    </row>
    <row r="114" spans="1:66">
      <c r="A114" s="120">
        <v>10376</v>
      </c>
      <c r="B114" s="120" t="s">
        <v>118</v>
      </c>
      <c r="C114" s="232">
        <v>1</v>
      </c>
      <c r="D114" s="232">
        <v>0</v>
      </c>
      <c r="E114" s="232">
        <v>56.865000000000002</v>
      </c>
      <c r="F114" s="232">
        <v>56.963000000000001</v>
      </c>
      <c r="G114" s="232">
        <v>56.825000000000003</v>
      </c>
      <c r="H114" s="232">
        <v>0</v>
      </c>
      <c r="I114" s="232">
        <v>0</v>
      </c>
      <c r="J114" s="232">
        <v>0.85199999999999998</v>
      </c>
      <c r="K114" s="232">
        <v>0.69699999999999995</v>
      </c>
      <c r="L114" s="232">
        <v>7463.5199999999995</v>
      </c>
      <c r="M114" s="232">
        <v>6105.7199999999993</v>
      </c>
      <c r="N114" s="232">
        <v>55.564999999999998</v>
      </c>
      <c r="O114" s="232">
        <v>55.704999999999998</v>
      </c>
      <c r="P114" s="232">
        <v>486749.39999999997</v>
      </c>
      <c r="Q114" s="232">
        <v>487975.8</v>
      </c>
      <c r="R114" s="232">
        <v>53.445999999999998</v>
      </c>
      <c r="S114" s="232">
        <v>468186.95999999996</v>
      </c>
      <c r="T114" s="232">
        <v>2.1190000000000002</v>
      </c>
      <c r="U114" s="232">
        <v>2.2589999999999999</v>
      </c>
      <c r="V114" s="232">
        <v>2.1190000000000002</v>
      </c>
      <c r="W114" s="232">
        <v>2.2589999999999999</v>
      </c>
      <c r="X114" s="232">
        <v>7.9340000000000001E-3</v>
      </c>
      <c r="Y114" s="232">
        <v>7.9340000000000001E-3</v>
      </c>
      <c r="Z114" s="232">
        <v>0</v>
      </c>
      <c r="AA114" s="232">
        <v>7.9340000000000001E-3</v>
      </c>
      <c r="AB114" s="232">
        <v>7.9340000000000001E-3</v>
      </c>
      <c r="AC114" s="232">
        <v>7.9340000000000001E-3</v>
      </c>
      <c r="AD114" s="232">
        <v>0.96234176364153434</v>
      </c>
      <c r="AE114" s="232">
        <v>0.95995305673557685</v>
      </c>
      <c r="AF114" s="232">
        <v>1.0396474946675149</v>
      </c>
      <c r="AG114" s="232">
        <v>1.0422669610447928</v>
      </c>
      <c r="AH114" s="232">
        <v>0</v>
      </c>
      <c r="AI114" s="232">
        <v>0</v>
      </c>
      <c r="AJ114" s="111"/>
      <c r="AK114" s="111"/>
      <c r="AL114" s="111"/>
      <c r="AM114" s="111"/>
      <c r="AN114" s="111"/>
      <c r="AO114" s="111"/>
      <c r="AP114" s="111"/>
      <c r="AQ114" s="120"/>
      <c r="AR114" s="120"/>
      <c r="AS114" s="149"/>
      <c r="AT114" s="149"/>
      <c r="AU114" s="149"/>
      <c r="AV114" s="149"/>
      <c r="AW114" s="149"/>
      <c r="AX114" s="149"/>
      <c r="AY114" s="149"/>
      <c r="AZ114" s="149"/>
      <c r="BA114" s="149"/>
      <c r="BB114" s="149"/>
      <c r="BC114" s="149"/>
      <c r="BD114" s="149"/>
      <c r="BE114" s="149"/>
      <c r="BF114" s="149"/>
      <c r="BG114" s="120"/>
      <c r="BH114" s="120"/>
      <c r="BI114" s="120"/>
      <c r="BJ114" s="120"/>
      <c r="BK114" s="120"/>
      <c r="BL114" s="120"/>
      <c r="BM114" s="120"/>
      <c r="BN114" s="120"/>
    </row>
    <row r="115" spans="1:66">
      <c r="A115" s="120">
        <v>10378</v>
      </c>
      <c r="B115" s="120" t="s">
        <v>119</v>
      </c>
      <c r="C115" s="232">
        <v>1</v>
      </c>
      <c r="D115" s="232">
        <v>0</v>
      </c>
      <c r="E115" s="232">
        <v>2.0510000000000002</v>
      </c>
      <c r="F115" s="232">
        <v>2.04</v>
      </c>
      <c r="G115" s="232">
        <v>2.0430000000000001</v>
      </c>
      <c r="H115" s="232">
        <v>0</v>
      </c>
      <c r="I115" s="232">
        <v>0</v>
      </c>
      <c r="J115" s="232">
        <v>0</v>
      </c>
      <c r="K115" s="232">
        <v>0</v>
      </c>
      <c r="L115" s="232">
        <v>0</v>
      </c>
      <c r="M115" s="232">
        <v>0</v>
      </c>
      <c r="N115" s="232">
        <v>1.879</v>
      </c>
      <c r="O115" s="232">
        <v>1.883</v>
      </c>
      <c r="P115" s="232">
        <v>16460.04</v>
      </c>
      <c r="Q115" s="232">
        <v>16495.080000000002</v>
      </c>
      <c r="R115" s="232">
        <v>1.9279999999999999</v>
      </c>
      <c r="S115" s="232">
        <v>16889.28</v>
      </c>
      <c r="T115" s="232">
        <v>0</v>
      </c>
      <c r="U115" s="232">
        <v>0</v>
      </c>
      <c r="V115" s="232">
        <v>0</v>
      </c>
      <c r="W115" s="232">
        <v>0</v>
      </c>
      <c r="X115" s="232">
        <v>2.789E-4</v>
      </c>
      <c r="Y115" s="232">
        <v>2.7950000000000002E-4</v>
      </c>
      <c r="Z115" s="232">
        <v>0</v>
      </c>
      <c r="AA115" s="232">
        <v>2.789E-4</v>
      </c>
      <c r="AB115" s="232">
        <v>2.7950000000000002E-4</v>
      </c>
      <c r="AC115" s="232">
        <v>2.7920000000000001E-4</v>
      </c>
      <c r="AD115" s="232">
        <v>0.99987787392229921</v>
      </c>
      <c r="AE115" s="232">
        <v>0.999900340148699</v>
      </c>
      <c r="AF115" s="232">
        <v>1</v>
      </c>
      <c r="AG115" s="232">
        <v>1</v>
      </c>
      <c r="AH115" s="232">
        <v>0</v>
      </c>
      <c r="AI115" s="232">
        <v>0</v>
      </c>
      <c r="AJ115" s="111"/>
      <c r="AK115" s="111"/>
      <c r="AL115" s="111"/>
      <c r="AM115" s="111"/>
      <c r="AN115" s="111"/>
      <c r="AO115" s="111"/>
      <c r="AP115" s="111"/>
      <c r="AQ115" s="120"/>
      <c r="AR115" s="120"/>
      <c r="AS115" s="149"/>
      <c r="AT115" s="149"/>
      <c r="AU115" s="149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  <c r="BF115" s="149"/>
      <c r="BG115" s="120"/>
      <c r="BH115" s="120"/>
      <c r="BI115" s="120"/>
      <c r="BJ115" s="120"/>
      <c r="BK115" s="120"/>
      <c r="BL115" s="120"/>
      <c r="BM115" s="120"/>
      <c r="BN115" s="120"/>
    </row>
    <row r="116" spans="1:66">
      <c r="A116" s="120">
        <v>10379</v>
      </c>
      <c r="B116" s="120" t="s">
        <v>120</v>
      </c>
      <c r="C116" s="232">
        <v>1</v>
      </c>
      <c r="D116" s="232">
        <v>0</v>
      </c>
      <c r="E116" s="232">
        <v>4.88</v>
      </c>
      <c r="F116" s="232">
        <v>4.6020000000000003</v>
      </c>
      <c r="G116" s="232">
        <v>4.6109999999999998</v>
      </c>
      <c r="H116" s="232">
        <v>0</v>
      </c>
      <c r="I116" s="232">
        <v>0</v>
      </c>
      <c r="J116" s="232">
        <v>0</v>
      </c>
      <c r="K116" s="232">
        <v>0</v>
      </c>
      <c r="L116" s="232">
        <v>0</v>
      </c>
      <c r="M116" s="232">
        <v>0</v>
      </c>
      <c r="N116" s="232">
        <v>4.5469999999999997</v>
      </c>
      <c r="O116" s="232">
        <v>4.569</v>
      </c>
      <c r="P116" s="232">
        <v>39831.719999999994</v>
      </c>
      <c r="Q116" s="232">
        <v>40024.44</v>
      </c>
      <c r="R116" s="232">
        <v>4.5869999999999997</v>
      </c>
      <c r="S116" s="232">
        <v>40182.119999999995</v>
      </c>
      <c r="T116" s="232">
        <v>0</v>
      </c>
      <c r="U116" s="232">
        <v>0</v>
      </c>
      <c r="V116" s="232">
        <v>0</v>
      </c>
      <c r="W116" s="232">
        <v>0</v>
      </c>
      <c r="X116" s="232">
        <v>6.7500000000000004E-4</v>
      </c>
      <c r="Y116" s="232">
        <v>6.7829999999999995E-4</v>
      </c>
      <c r="Z116" s="232">
        <v>0</v>
      </c>
      <c r="AA116" s="232">
        <v>6.7500000000000004E-4</v>
      </c>
      <c r="AB116" s="232">
        <v>6.7829999999999995E-4</v>
      </c>
      <c r="AC116" s="232">
        <v>6.7664999999999999E-4</v>
      </c>
      <c r="AD116" s="232">
        <v>1</v>
      </c>
      <c r="AE116" s="232">
        <v>1</v>
      </c>
      <c r="AF116" s="232">
        <v>1</v>
      </c>
      <c r="AG116" s="232">
        <v>1</v>
      </c>
      <c r="AH116" s="232">
        <v>0</v>
      </c>
      <c r="AI116" s="232">
        <v>0</v>
      </c>
      <c r="AJ116" s="111"/>
      <c r="AK116" s="111"/>
      <c r="AL116" s="111"/>
      <c r="AM116" s="111"/>
      <c r="AN116" s="111"/>
      <c r="AO116" s="111"/>
      <c r="AP116" s="111"/>
      <c r="AQ116" s="120"/>
      <c r="AR116" s="120"/>
      <c r="AS116" s="149"/>
      <c r="AT116" s="149"/>
      <c r="AU116" s="149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  <c r="BF116" s="149"/>
      <c r="BG116" s="120"/>
      <c r="BH116" s="120"/>
      <c r="BI116" s="120"/>
      <c r="BJ116" s="120"/>
      <c r="BK116" s="120"/>
      <c r="BL116" s="120"/>
      <c r="BM116" s="120"/>
      <c r="BN116" s="120"/>
    </row>
    <row r="117" spans="1:66">
      <c r="A117" s="120">
        <v>10388</v>
      </c>
      <c r="B117" s="120" t="s">
        <v>121</v>
      </c>
      <c r="C117" s="232">
        <v>1</v>
      </c>
      <c r="D117" s="232">
        <v>0</v>
      </c>
      <c r="E117" s="232">
        <v>114.91200000000001</v>
      </c>
      <c r="F117" s="232">
        <v>1259.3430000000001</v>
      </c>
      <c r="G117" s="232">
        <v>1320.837</v>
      </c>
      <c r="H117" s="232">
        <v>1033.9580000000001</v>
      </c>
      <c r="I117" s="232">
        <v>1094.819</v>
      </c>
      <c r="J117" s="232">
        <v>0.23300000000000001</v>
      </c>
      <c r="K117" s="232">
        <v>0.23200000000000001</v>
      </c>
      <c r="L117" s="232">
        <v>2041.0800000000002</v>
      </c>
      <c r="M117" s="232">
        <v>2032.3200000000002</v>
      </c>
      <c r="N117" s="232">
        <v>221.10900000000001</v>
      </c>
      <c r="O117" s="232">
        <v>222.095</v>
      </c>
      <c r="P117" s="232">
        <v>1936914.84</v>
      </c>
      <c r="Q117" s="232">
        <v>1945552.2</v>
      </c>
      <c r="R117" s="232">
        <v>108.004</v>
      </c>
      <c r="S117" s="232">
        <v>946115.04</v>
      </c>
      <c r="T117" s="232">
        <v>113.105</v>
      </c>
      <c r="U117" s="232">
        <v>114.09099999999999</v>
      </c>
      <c r="V117" s="232">
        <v>113.105</v>
      </c>
      <c r="W117" s="232">
        <v>114.09099999999999</v>
      </c>
      <c r="X117" s="232">
        <v>1.6032999999999999E-2</v>
      </c>
      <c r="Y117" s="232">
        <v>1.6032999999999999E-2</v>
      </c>
      <c r="Z117" s="232">
        <v>0</v>
      </c>
      <c r="AA117" s="232">
        <v>1.6032999999999999E-2</v>
      </c>
      <c r="AB117" s="232">
        <v>1.6032999999999999E-2</v>
      </c>
      <c r="AC117" s="232">
        <v>1.6032999999999999E-2</v>
      </c>
      <c r="AD117" s="232">
        <v>0.48900133209391849</v>
      </c>
      <c r="AE117" s="232">
        <v>0.48683265571433054</v>
      </c>
      <c r="AF117" s="232">
        <v>2.0472297322321396</v>
      </c>
      <c r="AG117" s="232">
        <v>2.0563590237398612</v>
      </c>
      <c r="AH117" s="232">
        <v>9.2130000000000004E-2</v>
      </c>
      <c r="AI117" s="232">
        <v>8.2250000000000004E-2</v>
      </c>
      <c r="AJ117" s="111"/>
      <c r="AK117" s="111"/>
      <c r="AL117" s="111"/>
      <c r="AM117" s="111"/>
      <c r="AN117" s="111"/>
      <c r="AO117" s="111"/>
      <c r="AP117" s="111"/>
      <c r="AQ117" s="120"/>
      <c r="AR117" s="120"/>
      <c r="AS117" s="149"/>
      <c r="AT117" s="149"/>
      <c r="AU117" s="149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  <c r="BF117" s="149"/>
      <c r="BG117" s="120"/>
      <c r="BH117" s="120"/>
      <c r="BI117" s="120"/>
      <c r="BJ117" s="120"/>
      <c r="BK117" s="120"/>
      <c r="BL117" s="120"/>
      <c r="BM117" s="120"/>
      <c r="BN117" s="120"/>
    </row>
    <row r="118" spans="1:66">
      <c r="A118" s="120">
        <v>10391</v>
      </c>
      <c r="B118" s="120" t="s">
        <v>122</v>
      </c>
      <c r="C118" s="232">
        <v>1</v>
      </c>
      <c r="D118" s="232">
        <v>0</v>
      </c>
      <c r="E118" s="232">
        <v>30.423999999999999</v>
      </c>
      <c r="F118" s="232">
        <v>38.158999999999999</v>
      </c>
      <c r="G118" s="232">
        <v>38.607999999999997</v>
      </c>
      <c r="H118" s="232">
        <v>0</v>
      </c>
      <c r="I118" s="232">
        <v>0</v>
      </c>
      <c r="J118" s="232">
        <v>0</v>
      </c>
      <c r="K118" s="232">
        <v>0</v>
      </c>
      <c r="L118" s="232">
        <v>0</v>
      </c>
      <c r="M118" s="232">
        <v>0</v>
      </c>
      <c r="N118" s="232">
        <v>32.520000000000003</v>
      </c>
      <c r="O118" s="232">
        <v>33.017000000000003</v>
      </c>
      <c r="P118" s="232">
        <v>284875.2</v>
      </c>
      <c r="Q118" s="232">
        <v>289228.92000000004</v>
      </c>
      <c r="R118" s="232">
        <v>28.594999999999999</v>
      </c>
      <c r="S118" s="232">
        <v>250492.19999999998</v>
      </c>
      <c r="T118" s="232">
        <v>3.9249999999999998</v>
      </c>
      <c r="U118" s="232">
        <v>4.4219999999999997</v>
      </c>
      <c r="V118" s="232">
        <v>3.9249999999999998</v>
      </c>
      <c r="W118" s="232">
        <v>4.4219999999999997</v>
      </c>
      <c r="X118" s="232">
        <v>4.2449000000000002E-3</v>
      </c>
      <c r="Y118" s="232">
        <v>4.2449000000000002E-3</v>
      </c>
      <c r="Z118" s="232">
        <v>0</v>
      </c>
      <c r="AA118" s="232">
        <v>4.2449000000000002E-3</v>
      </c>
      <c r="AB118" s="232">
        <v>4.2449000000000002E-3</v>
      </c>
      <c r="AC118" s="232">
        <v>4.2449000000000002E-3</v>
      </c>
      <c r="AD118" s="232">
        <v>0.87931028041512915</v>
      </c>
      <c r="AE118" s="232">
        <v>0.86607415328770032</v>
      </c>
      <c r="AF118" s="232">
        <v>1.137261759048785</v>
      </c>
      <c r="AG118" s="232">
        <v>1.1546424200034973</v>
      </c>
      <c r="AH118" s="232">
        <v>3.4119999999999998E-2</v>
      </c>
      <c r="AI118" s="232">
        <v>3.4639999999999997E-2</v>
      </c>
      <c r="AJ118" s="111"/>
      <c r="AK118" s="111"/>
      <c r="AL118" s="111"/>
      <c r="AM118" s="111"/>
      <c r="AN118" s="111"/>
      <c r="AO118" s="111"/>
      <c r="AP118" s="111"/>
      <c r="AQ118" s="120"/>
      <c r="AR118" s="120"/>
      <c r="AS118" s="149"/>
      <c r="AT118" s="149"/>
      <c r="AU118" s="149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  <c r="BF118" s="149"/>
      <c r="BG118" s="120"/>
      <c r="BH118" s="120"/>
      <c r="BI118" s="120"/>
      <c r="BJ118" s="120"/>
      <c r="BK118" s="120"/>
      <c r="BL118" s="120"/>
      <c r="BM118" s="120"/>
      <c r="BN118" s="120"/>
    </row>
    <row r="119" spans="1:66">
      <c r="A119" s="120">
        <v>10406</v>
      </c>
      <c r="B119" s="120" t="s">
        <v>123</v>
      </c>
      <c r="C119" s="232">
        <v>1</v>
      </c>
      <c r="D119" s="232">
        <v>0</v>
      </c>
      <c r="E119" s="232">
        <v>0.46500000000000002</v>
      </c>
      <c r="F119" s="232">
        <v>0.66500000000000004</v>
      </c>
      <c r="G119" s="232">
        <v>0.66800000000000004</v>
      </c>
      <c r="H119" s="232">
        <v>0</v>
      </c>
      <c r="I119" s="232">
        <v>0</v>
      </c>
      <c r="J119" s="232">
        <v>0</v>
      </c>
      <c r="K119" s="232">
        <v>0</v>
      </c>
      <c r="L119" s="232">
        <v>0</v>
      </c>
      <c r="M119" s="232">
        <v>0</v>
      </c>
      <c r="N119" s="232">
        <v>0.64800000000000002</v>
      </c>
      <c r="O119" s="232">
        <v>0.64800000000000002</v>
      </c>
      <c r="P119" s="232">
        <v>5676.4800000000005</v>
      </c>
      <c r="Q119" s="232">
        <v>5676.4800000000005</v>
      </c>
      <c r="R119" s="232">
        <v>0.437</v>
      </c>
      <c r="S119" s="232">
        <v>3828.12</v>
      </c>
      <c r="T119" s="232">
        <v>0.21099999999999999</v>
      </c>
      <c r="U119" s="232">
        <v>0.21099999999999999</v>
      </c>
      <c r="V119" s="232">
        <v>0</v>
      </c>
      <c r="W119" s="232">
        <v>0</v>
      </c>
      <c r="X119" s="232">
        <v>6.4900000000000005E-5</v>
      </c>
      <c r="Y119" s="232">
        <v>6.4900000000000005E-5</v>
      </c>
      <c r="Z119" s="232">
        <v>0</v>
      </c>
      <c r="AA119" s="232">
        <v>6.4900000000000005E-5</v>
      </c>
      <c r="AB119" s="232">
        <v>6.4900000000000005E-5</v>
      </c>
      <c r="AC119" s="232">
        <v>6.4900000000000005E-5</v>
      </c>
      <c r="AD119" s="232">
        <v>0.6746754615740741</v>
      </c>
      <c r="AE119" s="232">
        <v>0.6746754615740741</v>
      </c>
      <c r="AF119" s="232">
        <v>1.4828375286041191</v>
      </c>
      <c r="AG119" s="232">
        <v>1.4828375286041191</v>
      </c>
      <c r="AH119" s="232">
        <v>0</v>
      </c>
      <c r="AI119" s="232">
        <v>0</v>
      </c>
      <c r="AJ119" s="111"/>
      <c r="AK119" s="111"/>
      <c r="AL119" s="111"/>
      <c r="AM119" s="111"/>
      <c r="AN119" s="111"/>
      <c r="AO119" s="111"/>
      <c r="AP119" s="111"/>
      <c r="AQ119" s="120"/>
      <c r="AR119" s="120"/>
      <c r="AS119" s="149"/>
      <c r="AT119" s="149"/>
      <c r="AU119" s="149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  <c r="BG119" s="120"/>
      <c r="BH119" s="120"/>
      <c r="BI119" s="120"/>
      <c r="BJ119" s="120"/>
      <c r="BK119" s="120"/>
      <c r="BL119" s="120"/>
      <c r="BM119" s="120"/>
      <c r="BN119" s="120"/>
    </row>
    <row r="120" spans="1:66">
      <c r="A120" s="120">
        <v>10408</v>
      </c>
      <c r="B120" s="120" t="s">
        <v>124</v>
      </c>
      <c r="C120" s="232">
        <v>1</v>
      </c>
      <c r="D120" s="232">
        <v>0</v>
      </c>
      <c r="E120" s="232">
        <v>1.55</v>
      </c>
      <c r="F120" s="232">
        <v>1.643</v>
      </c>
      <c r="G120" s="232">
        <v>1.6379999999999999</v>
      </c>
      <c r="H120" s="232">
        <v>0</v>
      </c>
      <c r="I120" s="232">
        <v>0</v>
      </c>
      <c r="J120" s="232">
        <v>0</v>
      </c>
      <c r="K120" s="232">
        <v>0</v>
      </c>
      <c r="L120" s="232">
        <v>0</v>
      </c>
      <c r="M120" s="232">
        <v>0</v>
      </c>
      <c r="N120" s="232">
        <v>1.623</v>
      </c>
      <c r="O120" s="232">
        <v>1.623</v>
      </c>
      <c r="P120" s="232">
        <v>14217.48</v>
      </c>
      <c r="Q120" s="232">
        <v>14217.48</v>
      </c>
      <c r="R120" s="232">
        <v>1.4570000000000001</v>
      </c>
      <c r="S120" s="232">
        <v>12763.320000000002</v>
      </c>
      <c r="T120" s="232">
        <v>0.16600000000000001</v>
      </c>
      <c r="U120" s="232">
        <v>0.16600000000000001</v>
      </c>
      <c r="V120" s="232">
        <v>0</v>
      </c>
      <c r="W120" s="232">
        <v>0</v>
      </c>
      <c r="X120" s="232">
        <v>2.163E-4</v>
      </c>
      <c r="Y120" s="232">
        <v>2.163E-4</v>
      </c>
      <c r="Z120" s="232">
        <v>0</v>
      </c>
      <c r="AA120" s="232">
        <v>2.163E-4</v>
      </c>
      <c r="AB120" s="232">
        <v>2.163E-4</v>
      </c>
      <c r="AC120" s="232">
        <v>2.163E-4</v>
      </c>
      <c r="AD120" s="232">
        <v>0.89776614399260635</v>
      </c>
      <c r="AE120" s="232">
        <v>0.89776614399260635</v>
      </c>
      <c r="AF120" s="232">
        <v>1.1139327385037747</v>
      </c>
      <c r="AG120" s="232">
        <v>1.1139327385037747</v>
      </c>
      <c r="AH120" s="232">
        <v>0</v>
      </c>
      <c r="AI120" s="232">
        <v>0</v>
      </c>
      <c r="AJ120" s="111"/>
      <c r="AK120" s="111"/>
      <c r="AL120" s="111"/>
      <c r="AM120" s="111"/>
      <c r="AN120" s="111"/>
      <c r="AO120" s="111"/>
      <c r="AP120" s="111"/>
      <c r="AQ120" s="120"/>
      <c r="AR120" s="120"/>
      <c r="AS120" s="149"/>
      <c r="AT120" s="149"/>
      <c r="AU120" s="149"/>
      <c r="AV120" s="149"/>
      <c r="AW120" s="149"/>
      <c r="AX120" s="149"/>
      <c r="AY120" s="149"/>
      <c r="AZ120" s="149"/>
      <c r="BA120" s="149"/>
      <c r="BB120" s="149"/>
      <c r="BC120" s="149"/>
      <c r="BD120" s="149"/>
      <c r="BE120" s="149"/>
      <c r="BF120" s="149"/>
      <c r="BG120" s="120"/>
      <c r="BH120" s="120"/>
      <c r="BI120" s="120"/>
      <c r="BJ120" s="120"/>
      <c r="BK120" s="120"/>
      <c r="BL120" s="120"/>
      <c r="BM120" s="120"/>
      <c r="BN120" s="120"/>
    </row>
    <row r="121" spans="1:66">
      <c r="A121" s="120">
        <v>10409</v>
      </c>
      <c r="B121" s="120" t="s">
        <v>125</v>
      </c>
      <c r="C121" s="232">
        <v>1</v>
      </c>
      <c r="D121" s="232">
        <v>0</v>
      </c>
      <c r="E121" s="232">
        <v>20.725999999999999</v>
      </c>
      <c r="F121" s="232">
        <v>26.779</v>
      </c>
      <c r="G121" s="232">
        <v>26.702000000000002</v>
      </c>
      <c r="H121" s="232">
        <v>0</v>
      </c>
      <c r="I121" s="232">
        <v>0</v>
      </c>
      <c r="J121" s="232">
        <v>0</v>
      </c>
      <c r="K121" s="232">
        <v>0</v>
      </c>
      <c r="L121" s="232">
        <v>0</v>
      </c>
      <c r="M121" s="232">
        <v>0</v>
      </c>
      <c r="N121" s="232">
        <v>24.852</v>
      </c>
      <c r="O121" s="232">
        <v>24.852</v>
      </c>
      <c r="P121" s="232">
        <v>217703.52</v>
      </c>
      <c r="Q121" s="232">
        <v>217703.52</v>
      </c>
      <c r="R121" s="232">
        <v>19.48</v>
      </c>
      <c r="S121" s="232">
        <v>170644.80000000002</v>
      </c>
      <c r="T121" s="232">
        <v>5.3719999999999999</v>
      </c>
      <c r="U121" s="232">
        <v>5.3719999999999999</v>
      </c>
      <c r="V121" s="232">
        <v>5.3719999999999999</v>
      </c>
      <c r="W121" s="232">
        <v>5.3719999999999999</v>
      </c>
      <c r="X121" s="232">
        <v>2.8917999999999999E-3</v>
      </c>
      <c r="Y121" s="232">
        <v>2.8917999999999999E-3</v>
      </c>
      <c r="Z121" s="232">
        <v>0</v>
      </c>
      <c r="AA121" s="232">
        <v>2.8917999999999999E-3</v>
      </c>
      <c r="AB121" s="232">
        <v>2.8917999999999999E-3</v>
      </c>
      <c r="AC121" s="232">
        <v>2.8917999999999999E-3</v>
      </c>
      <c r="AD121" s="232">
        <v>0.78384850137614681</v>
      </c>
      <c r="AE121" s="232">
        <v>0.78384850137614681</v>
      </c>
      <c r="AF121" s="232">
        <v>1.2757700205338809</v>
      </c>
      <c r="AG121" s="232">
        <v>1.2757700205338809</v>
      </c>
      <c r="AH121" s="232">
        <v>0</v>
      </c>
      <c r="AI121" s="232">
        <v>0</v>
      </c>
      <c r="AJ121" s="111"/>
      <c r="AK121" s="111"/>
      <c r="AL121" s="111"/>
      <c r="AM121" s="111"/>
      <c r="AN121" s="111"/>
      <c r="AO121" s="111"/>
      <c r="AP121" s="111"/>
      <c r="AQ121" s="120"/>
      <c r="AR121" s="120"/>
      <c r="AS121" s="149"/>
      <c r="AT121" s="149"/>
      <c r="AU121" s="149"/>
      <c r="AV121" s="149"/>
      <c r="AW121" s="149"/>
      <c r="AX121" s="149"/>
      <c r="AY121" s="149"/>
      <c r="AZ121" s="149"/>
      <c r="BA121" s="149"/>
      <c r="BB121" s="149"/>
      <c r="BC121" s="149"/>
      <c r="BD121" s="149"/>
      <c r="BE121" s="149"/>
      <c r="BF121" s="149"/>
      <c r="BG121" s="120"/>
      <c r="BH121" s="120"/>
      <c r="BI121" s="120"/>
      <c r="BJ121" s="120"/>
      <c r="BK121" s="120"/>
      <c r="BL121" s="120"/>
      <c r="BM121" s="120"/>
      <c r="BN121" s="120"/>
    </row>
    <row r="122" spans="1:66">
      <c r="A122" s="122">
        <v>10426</v>
      </c>
      <c r="B122" s="122" t="s">
        <v>126</v>
      </c>
      <c r="C122" s="232">
        <v>1</v>
      </c>
      <c r="D122" s="232">
        <v>0</v>
      </c>
      <c r="E122" s="232">
        <v>35.594999999999999</v>
      </c>
      <c r="F122" s="232">
        <v>31.783000000000001</v>
      </c>
      <c r="G122" s="232">
        <v>37.084000000000003</v>
      </c>
      <c r="H122" s="232">
        <v>0</v>
      </c>
      <c r="I122" s="232">
        <v>0</v>
      </c>
      <c r="J122" s="232">
        <v>0</v>
      </c>
      <c r="K122" s="232">
        <v>0</v>
      </c>
      <c r="L122" s="232">
        <v>0</v>
      </c>
      <c r="M122" s="232">
        <v>0</v>
      </c>
      <c r="N122" s="232">
        <v>16.382000000000001</v>
      </c>
      <c r="O122" s="232">
        <v>16.382000000000001</v>
      </c>
      <c r="P122" s="232">
        <v>143506.32</v>
      </c>
      <c r="Q122" s="232">
        <v>143506.32</v>
      </c>
      <c r="R122" s="232">
        <v>33.454999999999998</v>
      </c>
      <c r="S122" s="232">
        <v>293065.8</v>
      </c>
      <c r="T122" s="232">
        <v>0</v>
      </c>
      <c r="U122" s="232">
        <v>0</v>
      </c>
      <c r="V122" s="232">
        <v>0</v>
      </c>
      <c r="W122" s="232">
        <v>0</v>
      </c>
      <c r="X122" s="232">
        <v>2.4318999999999999E-3</v>
      </c>
      <c r="Y122" s="232">
        <v>2.4318999999999999E-3</v>
      </c>
      <c r="Z122" s="232">
        <v>0</v>
      </c>
      <c r="AA122" s="232">
        <v>2.4318999999999999E-3</v>
      </c>
      <c r="AB122" s="232">
        <v>2.4318999999999999E-3</v>
      </c>
      <c r="AC122" s="232">
        <v>2.4318999999999999E-3</v>
      </c>
      <c r="AD122" s="232">
        <v>1</v>
      </c>
      <c r="AE122" s="232">
        <v>1</v>
      </c>
      <c r="AF122" s="232">
        <v>1</v>
      </c>
      <c r="AG122" s="232">
        <v>1</v>
      </c>
      <c r="AH122" s="232">
        <v>0</v>
      </c>
      <c r="AI122" s="232">
        <v>0</v>
      </c>
      <c r="AJ122" s="111"/>
      <c r="AK122" s="111"/>
      <c r="AL122" s="111"/>
      <c r="AM122" s="111"/>
      <c r="AN122" s="111"/>
      <c r="AO122" s="111"/>
      <c r="AP122" s="111"/>
      <c r="AQ122" s="120"/>
      <c r="AR122" s="120"/>
      <c r="AS122" s="149"/>
      <c r="AT122" s="149"/>
      <c r="AU122" s="149"/>
      <c r="AV122" s="149"/>
      <c r="AW122" s="149"/>
      <c r="AX122" s="149"/>
      <c r="AY122" s="149"/>
      <c r="AZ122" s="149"/>
      <c r="BA122" s="149"/>
      <c r="BB122" s="149"/>
      <c r="BC122" s="149"/>
      <c r="BD122" s="149"/>
      <c r="BE122" s="149"/>
      <c r="BF122" s="149"/>
      <c r="BG122" s="120"/>
      <c r="BH122" s="120"/>
      <c r="BI122" s="120"/>
      <c r="BJ122" s="120"/>
      <c r="BK122" s="120"/>
      <c r="BL122" s="120"/>
      <c r="BM122" s="120"/>
      <c r="BN122" s="120"/>
    </row>
    <row r="123" spans="1:66">
      <c r="A123" s="122">
        <v>10434</v>
      </c>
      <c r="B123" s="122" t="s">
        <v>127</v>
      </c>
      <c r="C123" s="232">
        <v>1</v>
      </c>
      <c r="D123" s="232">
        <v>0</v>
      </c>
      <c r="E123" s="232">
        <v>27.562000000000001</v>
      </c>
      <c r="F123" s="232">
        <v>27.268000000000001</v>
      </c>
      <c r="G123" s="232">
        <v>27.382999999999999</v>
      </c>
      <c r="H123" s="232">
        <v>0</v>
      </c>
      <c r="I123" s="232">
        <v>0</v>
      </c>
      <c r="J123" s="232">
        <v>0</v>
      </c>
      <c r="K123" s="232">
        <v>0</v>
      </c>
      <c r="L123" s="232">
        <v>0</v>
      </c>
      <c r="M123" s="232">
        <v>0</v>
      </c>
      <c r="N123" s="232">
        <v>27.32</v>
      </c>
      <c r="O123" s="232">
        <v>27.388999999999999</v>
      </c>
      <c r="P123" s="232">
        <v>239323.2</v>
      </c>
      <c r="Q123" s="232">
        <v>239927.63999999998</v>
      </c>
      <c r="R123" s="232">
        <v>25.905000000000001</v>
      </c>
      <c r="S123" s="232">
        <v>226927.80000000002</v>
      </c>
      <c r="T123" s="232">
        <v>1.415</v>
      </c>
      <c r="U123" s="232">
        <v>1.484</v>
      </c>
      <c r="V123" s="232">
        <v>1.415</v>
      </c>
      <c r="W123" s="232">
        <v>1.484</v>
      </c>
      <c r="X123" s="232">
        <v>3.8455E-3</v>
      </c>
      <c r="Y123" s="232">
        <v>3.8455E-3</v>
      </c>
      <c r="Z123" s="232">
        <v>0</v>
      </c>
      <c r="AA123" s="232">
        <v>3.8455E-3</v>
      </c>
      <c r="AB123" s="232">
        <v>3.8455E-3</v>
      </c>
      <c r="AC123" s="232">
        <v>3.8455E-3</v>
      </c>
      <c r="AD123" s="232">
        <v>0.94819430946193262</v>
      </c>
      <c r="AE123" s="232">
        <v>0.94580556188615872</v>
      </c>
      <c r="AF123" s="232">
        <v>1.0546226597182011</v>
      </c>
      <c r="AG123" s="232">
        <v>1.0572862381779577</v>
      </c>
      <c r="AH123" s="232">
        <v>0</v>
      </c>
      <c r="AI123" s="232">
        <v>0</v>
      </c>
      <c r="AJ123" s="111"/>
      <c r="AK123" s="111"/>
      <c r="AL123" s="111"/>
      <c r="AM123" s="111"/>
      <c r="AN123" s="111"/>
      <c r="AO123" s="111"/>
      <c r="AP123" s="111"/>
      <c r="AQ123" s="120"/>
      <c r="AR123" s="120"/>
      <c r="AS123" s="149"/>
      <c r="AT123" s="149"/>
      <c r="AU123" s="149"/>
      <c r="AV123" s="149"/>
      <c r="AW123" s="149"/>
      <c r="AX123" s="149"/>
      <c r="AY123" s="149"/>
      <c r="AZ123" s="149"/>
      <c r="BA123" s="149"/>
      <c r="BB123" s="149"/>
      <c r="BC123" s="149"/>
      <c r="BD123" s="149"/>
      <c r="BE123" s="149"/>
      <c r="BF123" s="149"/>
      <c r="BG123" s="120"/>
      <c r="BH123" s="120"/>
      <c r="BI123" s="120"/>
      <c r="BJ123" s="120"/>
      <c r="BK123" s="120"/>
      <c r="BL123" s="120"/>
      <c r="BM123" s="120"/>
      <c r="BN123" s="120"/>
    </row>
    <row r="124" spans="1:66">
      <c r="A124" s="122">
        <v>10436</v>
      </c>
      <c r="B124" s="122" t="s">
        <v>128</v>
      </c>
      <c r="C124" s="232">
        <v>1</v>
      </c>
      <c r="D124" s="232">
        <v>0</v>
      </c>
      <c r="E124" s="232">
        <v>19.437999999999999</v>
      </c>
      <c r="F124" s="232">
        <v>24.966000000000001</v>
      </c>
      <c r="G124" s="232">
        <v>25.148</v>
      </c>
      <c r="H124" s="232">
        <v>0</v>
      </c>
      <c r="I124" s="232">
        <v>0</v>
      </c>
      <c r="J124" s="232">
        <v>0</v>
      </c>
      <c r="K124" s="232">
        <v>0</v>
      </c>
      <c r="L124" s="232">
        <v>0</v>
      </c>
      <c r="M124" s="232">
        <v>0</v>
      </c>
      <c r="N124" s="232">
        <v>21.231000000000002</v>
      </c>
      <c r="O124" s="232">
        <v>21.427</v>
      </c>
      <c r="P124" s="232">
        <v>185983.56000000003</v>
      </c>
      <c r="Q124" s="232">
        <v>187700.52</v>
      </c>
      <c r="R124" s="232">
        <v>18.268999999999998</v>
      </c>
      <c r="S124" s="232">
        <v>160036.43999999997</v>
      </c>
      <c r="T124" s="232">
        <v>2.9620000000000002</v>
      </c>
      <c r="U124" s="232">
        <v>3.1579999999999999</v>
      </c>
      <c r="V124" s="232">
        <v>2.9620000000000002</v>
      </c>
      <c r="W124" s="232">
        <v>3.1579999999999999</v>
      </c>
      <c r="X124" s="232">
        <v>2.712E-3</v>
      </c>
      <c r="Y124" s="232">
        <v>2.712E-3</v>
      </c>
      <c r="Z124" s="232">
        <v>0</v>
      </c>
      <c r="AA124" s="232">
        <v>2.712E-3</v>
      </c>
      <c r="AB124" s="232">
        <v>2.712E-3</v>
      </c>
      <c r="AC124" s="232">
        <v>2.712E-3</v>
      </c>
      <c r="AD124" s="232">
        <v>0.86048728783382789</v>
      </c>
      <c r="AE124" s="232">
        <v>0.85261612022214961</v>
      </c>
      <c r="AF124" s="232">
        <v>1.1621325743062019</v>
      </c>
      <c r="AG124" s="232">
        <v>1.1728611308774428</v>
      </c>
      <c r="AH124" s="232">
        <v>8.1350000000000006E-2</v>
      </c>
      <c r="AI124" s="232">
        <v>8.2100000000000006E-2</v>
      </c>
      <c r="AJ124" s="111"/>
      <c r="AK124" s="111"/>
      <c r="AL124" s="111"/>
      <c r="AM124" s="111"/>
      <c r="AN124" s="111"/>
      <c r="AO124" s="111"/>
      <c r="AP124" s="111"/>
      <c r="AQ124" s="120"/>
      <c r="AR124" s="120"/>
      <c r="AS124" s="149"/>
      <c r="AT124" s="149"/>
      <c r="AU124" s="149"/>
      <c r="AV124" s="149"/>
      <c r="AW124" s="149"/>
      <c r="AX124" s="149"/>
      <c r="AY124" s="149"/>
      <c r="AZ124" s="149"/>
      <c r="BA124" s="149"/>
      <c r="BB124" s="149"/>
      <c r="BC124" s="149"/>
      <c r="BD124" s="149"/>
      <c r="BE124" s="149"/>
      <c r="BF124" s="149"/>
      <c r="BG124" s="120"/>
      <c r="BH124" s="120"/>
      <c r="BI124" s="120"/>
      <c r="BJ124" s="120"/>
      <c r="BK124" s="120"/>
      <c r="BL124" s="120"/>
      <c r="BM124" s="120"/>
      <c r="BN124" s="120"/>
    </row>
    <row r="125" spans="1:66">
      <c r="A125" s="122">
        <v>10440</v>
      </c>
      <c r="B125" s="122" t="s">
        <v>129</v>
      </c>
      <c r="C125" s="232">
        <v>1</v>
      </c>
      <c r="D125" s="232">
        <v>0</v>
      </c>
      <c r="E125" s="232">
        <v>5.08</v>
      </c>
      <c r="F125" s="232">
        <v>5.266</v>
      </c>
      <c r="G125" s="232">
        <v>5.2679999999999998</v>
      </c>
      <c r="H125" s="232">
        <v>0</v>
      </c>
      <c r="I125" s="232">
        <v>0</v>
      </c>
      <c r="J125" s="232">
        <v>0</v>
      </c>
      <c r="K125" s="232">
        <v>0</v>
      </c>
      <c r="L125" s="232">
        <v>0</v>
      </c>
      <c r="M125" s="232">
        <v>0</v>
      </c>
      <c r="N125" s="232">
        <v>4.9210000000000003</v>
      </c>
      <c r="O125" s="232">
        <v>4.9210000000000003</v>
      </c>
      <c r="P125" s="232">
        <v>43107.96</v>
      </c>
      <c r="Q125" s="232">
        <v>43107.96</v>
      </c>
      <c r="R125" s="232">
        <v>4.7750000000000004</v>
      </c>
      <c r="S125" s="232">
        <v>41829</v>
      </c>
      <c r="T125" s="232">
        <v>0.14599999999999999</v>
      </c>
      <c r="U125" s="232">
        <v>0.14599999999999999</v>
      </c>
      <c r="V125" s="232">
        <v>0</v>
      </c>
      <c r="W125" s="232">
        <v>0</v>
      </c>
      <c r="X125" s="232">
        <v>7.0879999999999999E-4</v>
      </c>
      <c r="Y125" s="232">
        <v>7.0879999999999999E-4</v>
      </c>
      <c r="Z125" s="232">
        <v>0</v>
      </c>
      <c r="AA125" s="232">
        <v>7.0879999999999999E-4</v>
      </c>
      <c r="AB125" s="232">
        <v>7.0879999999999999E-4</v>
      </c>
      <c r="AC125" s="232">
        <v>7.0879999999999999E-4</v>
      </c>
      <c r="AD125" s="232">
        <v>0.97027662247510671</v>
      </c>
      <c r="AE125" s="232">
        <v>0.97027662247510671</v>
      </c>
      <c r="AF125" s="232">
        <v>1.0305759162303665</v>
      </c>
      <c r="AG125" s="232">
        <v>1.0305759162303665</v>
      </c>
      <c r="AH125" s="232">
        <v>5.6680000000000001E-2</v>
      </c>
      <c r="AI125" s="232">
        <v>5.6680000000000001E-2</v>
      </c>
      <c r="AJ125" s="111"/>
      <c r="AK125" s="111"/>
      <c r="AL125" s="111"/>
      <c r="AM125" s="111"/>
      <c r="AN125" s="111"/>
      <c r="AO125" s="111"/>
      <c r="AP125" s="111"/>
      <c r="AQ125" s="120"/>
      <c r="AR125" s="120"/>
      <c r="AS125" s="149"/>
      <c r="AT125" s="149"/>
      <c r="AU125" s="149"/>
      <c r="AV125" s="149"/>
      <c r="AW125" s="149"/>
      <c r="AX125" s="149"/>
      <c r="AY125" s="149"/>
      <c r="AZ125" s="149"/>
      <c r="BA125" s="149"/>
      <c r="BB125" s="149"/>
      <c r="BC125" s="149"/>
      <c r="BD125" s="149"/>
      <c r="BE125" s="149"/>
      <c r="BF125" s="149"/>
      <c r="BG125" s="120"/>
      <c r="BH125" s="120"/>
      <c r="BI125" s="120"/>
      <c r="BJ125" s="120"/>
      <c r="BK125" s="120"/>
      <c r="BL125" s="120"/>
      <c r="BM125" s="120"/>
      <c r="BN125" s="120"/>
    </row>
    <row r="126" spans="1:66">
      <c r="A126" s="122">
        <v>10442</v>
      </c>
      <c r="B126" s="122" t="s">
        <v>130</v>
      </c>
      <c r="C126" s="232">
        <v>1</v>
      </c>
      <c r="D126" s="232">
        <v>0</v>
      </c>
      <c r="E126" s="232">
        <v>13.596</v>
      </c>
      <c r="F126" s="232">
        <v>12.619</v>
      </c>
      <c r="G126" s="232">
        <v>12.634</v>
      </c>
      <c r="H126" s="232">
        <v>0</v>
      </c>
      <c r="I126" s="232">
        <v>0</v>
      </c>
      <c r="J126" s="232">
        <v>0</v>
      </c>
      <c r="K126" s="232">
        <v>0</v>
      </c>
      <c r="L126" s="232">
        <v>0</v>
      </c>
      <c r="M126" s="232">
        <v>0</v>
      </c>
      <c r="N126" s="232">
        <v>12.721</v>
      </c>
      <c r="O126" s="232">
        <v>12.721</v>
      </c>
      <c r="P126" s="232">
        <v>111435.96</v>
      </c>
      <c r="Q126" s="232">
        <v>111435.96</v>
      </c>
      <c r="R126" s="232">
        <v>12.779</v>
      </c>
      <c r="S126" s="232">
        <v>111944.04</v>
      </c>
      <c r="T126" s="232">
        <v>0</v>
      </c>
      <c r="U126" s="232">
        <v>0</v>
      </c>
      <c r="V126" s="232">
        <v>0</v>
      </c>
      <c r="W126" s="232">
        <v>0</v>
      </c>
      <c r="X126" s="232">
        <v>1.8883999999999999E-3</v>
      </c>
      <c r="Y126" s="232">
        <v>1.8883999999999999E-3</v>
      </c>
      <c r="Z126" s="232">
        <v>0</v>
      </c>
      <c r="AA126" s="232">
        <v>1.8883999999999999E-3</v>
      </c>
      <c r="AB126" s="232">
        <v>1.8883999999999999E-3</v>
      </c>
      <c r="AC126" s="232">
        <v>1.8883999999999999E-3</v>
      </c>
      <c r="AD126" s="232">
        <v>0.9999953097712444</v>
      </c>
      <c r="AE126" s="232">
        <v>0.9999953097712444</v>
      </c>
      <c r="AF126" s="232">
        <v>1</v>
      </c>
      <c r="AG126" s="232">
        <v>1</v>
      </c>
      <c r="AH126" s="232">
        <v>7.0000000000000007E-2</v>
      </c>
      <c r="AI126" s="232">
        <v>7.0000000000000007E-2</v>
      </c>
      <c r="AJ126" s="111"/>
      <c r="AK126" s="111"/>
      <c r="AL126" s="111"/>
      <c r="AM126" s="111"/>
      <c r="AN126" s="111"/>
      <c r="AO126" s="111"/>
      <c r="AP126" s="111"/>
      <c r="AQ126" s="120"/>
      <c r="AR126" s="120"/>
      <c r="AS126" s="149"/>
      <c r="AT126" s="149"/>
      <c r="AU126" s="149"/>
      <c r="AV126" s="149"/>
      <c r="AW126" s="149"/>
      <c r="AX126" s="149"/>
      <c r="AY126" s="149"/>
      <c r="AZ126" s="149"/>
      <c r="BA126" s="149"/>
      <c r="BB126" s="149"/>
      <c r="BC126" s="149"/>
      <c r="BD126" s="149"/>
      <c r="BE126" s="149"/>
      <c r="BF126" s="149"/>
      <c r="BG126" s="120"/>
      <c r="BH126" s="120"/>
      <c r="BI126" s="120"/>
      <c r="BJ126" s="120"/>
      <c r="BK126" s="120"/>
      <c r="BL126" s="120"/>
      <c r="BM126" s="120"/>
      <c r="BN126" s="120"/>
    </row>
    <row r="127" spans="1:66">
      <c r="A127" s="122">
        <v>10446</v>
      </c>
      <c r="B127" s="122" t="s">
        <v>131</v>
      </c>
      <c r="C127" s="232">
        <v>1</v>
      </c>
      <c r="D127" s="232">
        <v>0</v>
      </c>
      <c r="E127" s="232">
        <v>97.2</v>
      </c>
      <c r="F127" s="232">
        <v>97.275000000000006</v>
      </c>
      <c r="G127" s="232">
        <v>99.700999999999993</v>
      </c>
      <c r="H127" s="232">
        <v>0</v>
      </c>
      <c r="I127" s="232">
        <v>0</v>
      </c>
      <c r="J127" s="232">
        <v>0</v>
      </c>
      <c r="K127" s="232">
        <v>0</v>
      </c>
      <c r="L127" s="232">
        <v>0</v>
      </c>
      <c r="M127" s="232">
        <v>0</v>
      </c>
      <c r="N127" s="232">
        <v>100.749</v>
      </c>
      <c r="O127" s="232">
        <v>104.98</v>
      </c>
      <c r="P127" s="232">
        <v>882561.24</v>
      </c>
      <c r="Q127" s="232">
        <v>919624.8</v>
      </c>
      <c r="R127" s="232">
        <v>91.355999999999995</v>
      </c>
      <c r="S127" s="232">
        <v>800278.55999999994</v>
      </c>
      <c r="T127" s="232">
        <v>9.3930000000000007</v>
      </c>
      <c r="U127" s="232">
        <v>13.624000000000001</v>
      </c>
      <c r="V127" s="232">
        <v>9.3930000000000007</v>
      </c>
      <c r="W127" s="232">
        <v>13.624000000000001</v>
      </c>
      <c r="X127" s="232">
        <v>1.35616E-2</v>
      </c>
      <c r="Y127" s="232">
        <v>1.35616E-2</v>
      </c>
      <c r="Z127" s="232">
        <v>0</v>
      </c>
      <c r="AA127" s="232">
        <v>1.35616E-2</v>
      </c>
      <c r="AB127" s="232">
        <v>1.35616E-2</v>
      </c>
      <c r="AC127" s="232">
        <v>1.35616E-2</v>
      </c>
      <c r="AD127" s="232">
        <v>0.90676638194324521</v>
      </c>
      <c r="AE127" s="232">
        <v>0.87022105367117553</v>
      </c>
      <c r="AF127" s="232">
        <v>1.1028175489294627</v>
      </c>
      <c r="AG127" s="232">
        <v>1.1491308726301503</v>
      </c>
      <c r="AH127" s="232">
        <v>7.7200000000000005E-2</v>
      </c>
      <c r="AI127" s="232">
        <v>7.4690000000000006E-2</v>
      </c>
      <c r="AJ127" s="111"/>
      <c r="AK127" s="111"/>
      <c r="AL127" s="111"/>
      <c r="AM127" s="111"/>
      <c r="AN127" s="111"/>
      <c r="AO127" s="111"/>
      <c r="AP127" s="111"/>
      <c r="AQ127" s="120"/>
      <c r="AR127" s="120"/>
      <c r="AS127" s="149"/>
      <c r="AT127" s="149"/>
      <c r="AU127" s="149"/>
      <c r="AV127" s="149"/>
      <c r="AW127" s="149"/>
      <c r="AX127" s="149"/>
      <c r="AY127" s="149"/>
      <c r="AZ127" s="149"/>
      <c r="BA127" s="149"/>
      <c r="BB127" s="149"/>
      <c r="BC127" s="149"/>
      <c r="BD127" s="149"/>
      <c r="BE127" s="149"/>
      <c r="BF127" s="149"/>
      <c r="BG127" s="120"/>
      <c r="BH127" s="120"/>
      <c r="BI127" s="120"/>
      <c r="BJ127" s="120"/>
      <c r="BK127" s="120"/>
      <c r="BL127" s="120"/>
      <c r="BM127" s="120"/>
      <c r="BN127" s="120"/>
    </row>
    <row r="128" spans="1:66">
      <c r="A128" s="122">
        <v>10448</v>
      </c>
      <c r="B128" s="122" t="s">
        <v>132</v>
      </c>
      <c r="C128" s="232">
        <v>0</v>
      </c>
      <c r="D128" s="232">
        <v>1</v>
      </c>
      <c r="E128" s="232">
        <v>8.6079999999999988</v>
      </c>
      <c r="F128" s="232">
        <v>8.2629999999999999</v>
      </c>
      <c r="G128" s="232">
        <v>8.2360000000000007</v>
      </c>
      <c r="H128" s="232">
        <v>0</v>
      </c>
      <c r="I128" s="232">
        <v>0</v>
      </c>
      <c r="J128" s="232">
        <v>0</v>
      </c>
      <c r="K128" s="232">
        <v>0</v>
      </c>
      <c r="L128" s="232">
        <v>0</v>
      </c>
      <c r="M128" s="232">
        <v>0</v>
      </c>
      <c r="N128" s="232">
        <v>8.2560000000000002</v>
      </c>
      <c r="O128" s="232">
        <v>8.2560000000000002</v>
      </c>
      <c r="P128" s="232">
        <v>72322.559999999998</v>
      </c>
      <c r="Q128" s="232">
        <v>72322.559999999998</v>
      </c>
      <c r="R128" s="232">
        <v>8.09</v>
      </c>
      <c r="S128" s="232">
        <v>70868.399999999994</v>
      </c>
      <c r="T128" s="232">
        <v>0.16600000000000001</v>
      </c>
      <c r="U128" s="232">
        <v>0.16600000000000001</v>
      </c>
      <c r="V128" s="232">
        <v>0.16600000000000001</v>
      </c>
      <c r="W128" s="232">
        <v>0.16600000000000001</v>
      </c>
      <c r="X128" s="232">
        <v>1.2009E-3</v>
      </c>
      <c r="Y128" s="232">
        <v>1.2009E-3</v>
      </c>
      <c r="Z128" s="232">
        <v>0</v>
      </c>
      <c r="AA128" s="232">
        <v>1.2009E-3</v>
      </c>
      <c r="AB128" s="232">
        <v>1.2009E-3</v>
      </c>
      <c r="AC128" s="232">
        <v>1.2009E-3</v>
      </c>
      <c r="AD128" s="232">
        <v>0.97985628913517453</v>
      </c>
      <c r="AE128" s="232">
        <v>0.97985628913517453</v>
      </c>
      <c r="AF128" s="232">
        <v>1.0205191594561187</v>
      </c>
      <c r="AG128" s="232">
        <v>1.0205191594561187</v>
      </c>
      <c r="AH128" s="232">
        <v>7.1440000000000003E-2</v>
      </c>
      <c r="AI128" s="232">
        <v>7.1440000000000003E-2</v>
      </c>
      <c r="AJ128" s="111"/>
      <c r="AK128" s="111"/>
      <c r="AL128" s="111"/>
      <c r="AM128" s="111"/>
      <c r="AN128" s="111"/>
      <c r="AO128" s="111"/>
      <c r="AP128" s="111"/>
      <c r="AQ128" s="120"/>
      <c r="AR128" s="120"/>
      <c r="AS128" s="149"/>
      <c r="AT128" s="149"/>
      <c r="AU128" s="149"/>
      <c r="AV128" s="149"/>
      <c r="AW128" s="149"/>
      <c r="AX128" s="149"/>
      <c r="AY128" s="149"/>
      <c r="AZ128" s="149"/>
      <c r="BA128" s="149"/>
      <c r="BB128" s="149"/>
      <c r="BC128" s="149"/>
      <c r="BD128" s="149"/>
      <c r="BE128" s="149"/>
      <c r="BF128" s="149"/>
      <c r="BG128" s="120"/>
      <c r="BH128" s="120"/>
      <c r="BI128" s="120"/>
      <c r="BJ128" s="120"/>
      <c r="BK128" s="120"/>
      <c r="BL128" s="120"/>
      <c r="BM128" s="120"/>
      <c r="BN128" s="120"/>
    </row>
    <row r="129" spans="1:66">
      <c r="A129" s="122">
        <v>10451</v>
      </c>
      <c r="B129" s="122" t="s">
        <v>133</v>
      </c>
      <c r="C129" s="232">
        <v>1</v>
      </c>
      <c r="D129" s="232">
        <v>0</v>
      </c>
      <c r="E129" s="232">
        <v>27.233000000000001</v>
      </c>
      <c r="F129" s="232">
        <v>26.314</v>
      </c>
      <c r="G129" s="232">
        <v>26.806000000000001</v>
      </c>
      <c r="H129" s="232">
        <v>0</v>
      </c>
      <c r="I129" s="232">
        <v>0</v>
      </c>
      <c r="J129" s="232">
        <v>0</v>
      </c>
      <c r="K129" s="232">
        <v>0</v>
      </c>
      <c r="L129" s="232">
        <v>0</v>
      </c>
      <c r="M129" s="232">
        <v>0</v>
      </c>
      <c r="N129" s="232">
        <v>27.222999999999999</v>
      </c>
      <c r="O129" s="232">
        <v>27.707999999999998</v>
      </c>
      <c r="P129" s="232">
        <v>238473.47999999998</v>
      </c>
      <c r="Q129" s="232">
        <v>242722.08</v>
      </c>
      <c r="R129" s="232">
        <v>25.596</v>
      </c>
      <c r="S129" s="232">
        <v>224220.96</v>
      </c>
      <c r="T129" s="232">
        <v>1.627</v>
      </c>
      <c r="U129" s="232">
        <v>2.1120000000000001</v>
      </c>
      <c r="V129" s="232">
        <v>1.627</v>
      </c>
      <c r="W129" s="232">
        <v>2.1120000000000001</v>
      </c>
      <c r="X129" s="232">
        <v>3.7997E-3</v>
      </c>
      <c r="Y129" s="232">
        <v>3.7997E-3</v>
      </c>
      <c r="Z129" s="232">
        <v>0</v>
      </c>
      <c r="AA129" s="232">
        <v>3.7997E-3</v>
      </c>
      <c r="AB129" s="232">
        <v>3.7997E-3</v>
      </c>
      <c r="AC129" s="232">
        <v>3.7997E-3</v>
      </c>
      <c r="AD129" s="232">
        <v>0.94023962429930585</v>
      </c>
      <c r="AE129" s="232">
        <v>0.92378169814854927</v>
      </c>
      <c r="AF129" s="232">
        <v>1.0635646194717925</v>
      </c>
      <c r="AG129" s="232">
        <v>1.0825128926394749</v>
      </c>
      <c r="AH129" s="232">
        <v>0</v>
      </c>
      <c r="AI129" s="232">
        <v>0</v>
      </c>
      <c r="AJ129" s="111"/>
      <c r="AK129" s="111"/>
      <c r="AL129" s="111"/>
      <c r="AM129" s="111"/>
      <c r="AN129" s="111"/>
      <c r="AO129" s="111"/>
      <c r="AP129" s="111"/>
      <c r="AQ129" s="120"/>
      <c r="AR129" s="120"/>
      <c r="AS129" s="149"/>
      <c r="AT129" s="149"/>
      <c r="AU129" s="149"/>
      <c r="AV129" s="149"/>
      <c r="AW129" s="149"/>
      <c r="AX129" s="149"/>
      <c r="AY129" s="149"/>
      <c r="AZ129" s="149"/>
      <c r="BA129" s="149"/>
      <c r="BB129" s="149"/>
      <c r="BC129" s="149"/>
      <c r="BD129" s="149"/>
      <c r="BE129" s="149"/>
      <c r="BF129" s="149"/>
      <c r="BG129" s="120"/>
      <c r="BH129" s="120"/>
      <c r="BI129" s="120"/>
      <c r="BJ129" s="120"/>
      <c r="BK129" s="120"/>
      <c r="BL129" s="120"/>
      <c r="BM129" s="120"/>
      <c r="BN129" s="120"/>
    </row>
    <row r="130" spans="1:66">
      <c r="A130" s="122">
        <v>10482</v>
      </c>
      <c r="B130" s="122" t="s">
        <v>134</v>
      </c>
      <c r="C130" s="232">
        <v>1</v>
      </c>
      <c r="D130" s="232">
        <v>0</v>
      </c>
      <c r="E130" s="232">
        <v>4.1749999999999998</v>
      </c>
      <c r="F130" s="232">
        <v>2.7829999999999999</v>
      </c>
      <c r="G130" s="232">
        <v>2.8090000000000002</v>
      </c>
      <c r="H130" s="232">
        <v>0</v>
      </c>
      <c r="I130" s="232">
        <v>0</v>
      </c>
      <c r="J130" s="232">
        <v>0</v>
      </c>
      <c r="K130" s="232">
        <v>0</v>
      </c>
      <c r="L130" s="232">
        <v>0</v>
      </c>
      <c r="M130" s="232">
        <v>0</v>
      </c>
      <c r="N130" s="232">
        <v>2.806</v>
      </c>
      <c r="O130" s="232">
        <v>2.806</v>
      </c>
      <c r="P130" s="232">
        <v>24580.560000000001</v>
      </c>
      <c r="Q130" s="232">
        <v>24580.560000000001</v>
      </c>
      <c r="R130" s="232">
        <v>3.9239999999999999</v>
      </c>
      <c r="S130" s="232">
        <v>34374.239999999998</v>
      </c>
      <c r="T130" s="232">
        <v>0</v>
      </c>
      <c r="U130" s="232">
        <v>0</v>
      </c>
      <c r="V130" s="232">
        <v>0</v>
      </c>
      <c r="W130" s="232">
        <v>0</v>
      </c>
      <c r="X130" s="232">
        <v>4.1649999999999999E-4</v>
      </c>
      <c r="Y130" s="232">
        <v>4.1649999999999999E-4</v>
      </c>
      <c r="Z130" s="232">
        <v>0</v>
      </c>
      <c r="AA130" s="232">
        <v>4.1649999999999999E-4</v>
      </c>
      <c r="AB130" s="232">
        <v>4.1649999999999999E-4</v>
      </c>
      <c r="AC130" s="232">
        <v>4.1649999999999999E-4</v>
      </c>
      <c r="AD130" s="232">
        <v>0.99989077815395577</v>
      </c>
      <c r="AE130" s="232">
        <v>0.99989077815395577</v>
      </c>
      <c r="AF130" s="232">
        <v>1</v>
      </c>
      <c r="AG130" s="232">
        <v>1</v>
      </c>
      <c r="AH130" s="232">
        <v>0</v>
      </c>
      <c r="AI130" s="232">
        <v>0</v>
      </c>
      <c r="AJ130" s="111"/>
      <c r="AK130" s="111"/>
      <c r="AL130" s="111"/>
      <c r="AM130" s="111"/>
      <c r="AN130" s="111"/>
      <c r="AO130" s="111"/>
      <c r="AP130" s="111"/>
      <c r="AQ130" s="120"/>
      <c r="AR130" s="120"/>
      <c r="AS130" s="149"/>
      <c r="AT130" s="149"/>
      <c r="AU130" s="149"/>
      <c r="AV130" s="149"/>
      <c r="AW130" s="149"/>
      <c r="AX130" s="149"/>
      <c r="AY130" s="149"/>
      <c r="AZ130" s="149"/>
      <c r="BA130" s="149"/>
      <c r="BB130" s="149"/>
      <c r="BC130" s="149"/>
      <c r="BD130" s="149"/>
      <c r="BE130" s="149"/>
      <c r="BF130" s="149"/>
      <c r="BG130" s="120"/>
      <c r="BH130" s="120"/>
      <c r="BI130" s="120"/>
      <c r="BJ130" s="120"/>
      <c r="BK130" s="120"/>
      <c r="BL130" s="120"/>
      <c r="BM130" s="120"/>
      <c r="BN130" s="120"/>
    </row>
    <row r="131" spans="1:66">
      <c r="A131" s="122">
        <v>10502</v>
      </c>
      <c r="B131" s="122" t="s">
        <v>135</v>
      </c>
      <c r="C131" s="232">
        <v>1</v>
      </c>
      <c r="D131" s="232">
        <v>0</v>
      </c>
      <c r="E131" s="232">
        <v>18.986000000000001</v>
      </c>
      <c r="F131" s="232">
        <v>18.666</v>
      </c>
      <c r="G131" s="232">
        <v>18.718</v>
      </c>
      <c r="H131" s="232">
        <v>0</v>
      </c>
      <c r="I131" s="232">
        <v>0</v>
      </c>
      <c r="J131" s="232">
        <v>0</v>
      </c>
      <c r="K131" s="232">
        <v>0</v>
      </c>
      <c r="L131" s="232">
        <v>0</v>
      </c>
      <c r="M131" s="232">
        <v>0</v>
      </c>
      <c r="N131" s="232">
        <v>18.419</v>
      </c>
      <c r="O131" s="232">
        <v>18.611999999999998</v>
      </c>
      <c r="P131" s="232">
        <v>161350.44</v>
      </c>
      <c r="Q131" s="232">
        <v>163041.12</v>
      </c>
      <c r="R131" s="232">
        <v>17.844999999999999</v>
      </c>
      <c r="S131" s="232">
        <v>156322.19999999998</v>
      </c>
      <c r="T131" s="232">
        <v>0.57399999999999995</v>
      </c>
      <c r="U131" s="232">
        <v>0.76700000000000002</v>
      </c>
      <c r="V131" s="232">
        <v>0</v>
      </c>
      <c r="W131" s="232">
        <v>0</v>
      </c>
      <c r="X131" s="232">
        <v>2.6491000000000002E-3</v>
      </c>
      <c r="Y131" s="232">
        <v>2.6491000000000002E-3</v>
      </c>
      <c r="Z131" s="232">
        <v>0</v>
      </c>
      <c r="AA131" s="232">
        <v>2.6491000000000002E-3</v>
      </c>
      <c r="AB131" s="232">
        <v>2.6491000000000002E-3</v>
      </c>
      <c r="AC131" s="232">
        <v>2.6491000000000002E-3</v>
      </c>
      <c r="AD131" s="232">
        <v>0.96885219756229979</v>
      </c>
      <c r="AE131" s="232">
        <v>0.95880553550934888</v>
      </c>
      <c r="AF131" s="232">
        <v>1.0321658727934997</v>
      </c>
      <c r="AG131" s="232">
        <v>1.0429812272345194</v>
      </c>
      <c r="AH131" s="232">
        <v>7.2249999999999995E-2</v>
      </c>
      <c r="AI131" s="232">
        <v>7.3010000000000005E-2</v>
      </c>
      <c r="AJ131" s="111"/>
      <c r="AK131" s="111"/>
      <c r="AL131" s="111"/>
      <c r="AM131" s="111"/>
      <c r="AN131" s="111"/>
      <c r="AO131" s="111"/>
      <c r="AP131" s="111"/>
      <c r="AQ131" s="120"/>
      <c r="AR131" s="120"/>
      <c r="AS131" s="149"/>
      <c r="AT131" s="149"/>
      <c r="AU131" s="149"/>
      <c r="AV131" s="149"/>
      <c r="AW131" s="149"/>
      <c r="AX131" s="149"/>
      <c r="AY131" s="149"/>
      <c r="AZ131" s="149"/>
      <c r="BA131" s="149"/>
      <c r="BB131" s="149"/>
      <c r="BC131" s="149"/>
      <c r="BD131" s="149"/>
      <c r="BE131" s="149"/>
      <c r="BF131" s="149"/>
      <c r="BG131" s="120"/>
      <c r="BH131" s="120"/>
      <c r="BI131" s="120"/>
      <c r="BJ131" s="120"/>
      <c r="BK131" s="120"/>
      <c r="BL131" s="120"/>
      <c r="BM131" s="120"/>
      <c r="BN131" s="120"/>
    </row>
    <row r="132" spans="1:66">
      <c r="A132" s="122">
        <v>13927</v>
      </c>
      <c r="B132" s="122" t="s">
        <v>238</v>
      </c>
      <c r="C132" s="232">
        <v>1</v>
      </c>
      <c r="D132" s="232">
        <v>0</v>
      </c>
      <c r="E132" s="232">
        <v>4.1340000000000003</v>
      </c>
      <c r="F132" s="232">
        <v>3.5760000000000001</v>
      </c>
      <c r="G132" s="232">
        <v>4.0679999999999996</v>
      </c>
      <c r="H132" s="232">
        <v>0</v>
      </c>
      <c r="I132" s="232">
        <v>0</v>
      </c>
      <c r="J132" s="232">
        <v>0</v>
      </c>
      <c r="K132" s="232">
        <v>0</v>
      </c>
      <c r="L132" s="232">
        <v>0</v>
      </c>
      <c r="M132" s="232">
        <v>0</v>
      </c>
      <c r="N132" s="232">
        <v>3.7810000000000001</v>
      </c>
      <c r="O132" s="232">
        <v>3.8290000000000002</v>
      </c>
      <c r="P132" s="232">
        <v>33121.56</v>
      </c>
      <c r="Q132" s="232">
        <v>33542.04</v>
      </c>
      <c r="R132" s="232">
        <v>3.8849999999999998</v>
      </c>
      <c r="S132" s="232">
        <v>34032.6</v>
      </c>
      <c r="T132" s="232">
        <v>0</v>
      </c>
      <c r="U132" s="232">
        <v>0</v>
      </c>
      <c r="V132" s="232">
        <v>0</v>
      </c>
      <c r="W132" s="232">
        <v>0</v>
      </c>
      <c r="X132" s="232">
        <v>5.6130000000000004E-4</v>
      </c>
      <c r="Y132" s="232">
        <v>5.6840000000000005E-4</v>
      </c>
      <c r="Z132" s="232">
        <v>0</v>
      </c>
      <c r="AA132" s="232">
        <v>5.6130000000000004E-4</v>
      </c>
      <c r="AB132" s="232">
        <v>5.6840000000000005E-4</v>
      </c>
      <c r="AC132" s="232">
        <v>5.6484999999999999E-4</v>
      </c>
      <c r="AD132" s="232">
        <v>1</v>
      </c>
      <c r="AE132" s="232">
        <v>0.99998601608775151</v>
      </c>
      <c r="AF132" s="232">
        <v>1</v>
      </c>
      <c r="AG132" s="232">
        <v>1</v>
      </c>
      <c r="AH132" s="232">
        <v>0</v>
      </c>
      <c r="AI132" s="232">
        <v>0</v>
      </c>
      <c r="AJ132" s="111"/>
      <c r="AK132" s="111"/>
      <c r="AL132" s="111"/>
      <c r="AM132" s="111"/>
      <c r="AN132" s="111"/>
      <c r="AO132" s="111"/>
      <c r="AP132" s="111"/>
      <c r="AQ132" s="120"/>
      <c r="AR132" s="120"/>
      <c r="AS132" s="149"/>
      <c r="AT132" s="149"/>
      <c r="AU132" s="149"/>
      <c r="AV132" s="149"/>
      <c r="AW132" s="149"/>
      <c r="AX132" s="149"/>
      <c r="AY132" s="149"/>
      <c r="AZ132" s="149"/>
      <c r="BA132" s="149"/>
      <c r="BB132" s="149"/>
      <c r="BC132" s="149"/>
      <c r="BD132" s="149"/>
      <c r="BE132" s="149"/>
      <c r="BF132" s="149"/>
      <c r="BG132" s="120"/>
      <c r="BH132" s="120"/>
      <c r="BI132" s="120"/>
      <c r="BJ132" s="120"/>
      <c r="BK132" s="120"/>
      <c r="BL132" s="120"/>
      <c r="BM132" s="120"/>
      <c r="BN132" s="120"/>
    </row>
    <row r="133" spans="1:66">
      <c r="A133" s="122">
        <v>10597</v>
      </c>
      <c r="B133" s="122" t="s">
        <v>136</v>
      </c>
      <c r="C133" s="232">
        <v>1</v>
      </c>
      <c r="D133" s="232">
        <v>0</v>
      </c>
      <c r="E133" s="232">
        <v>13.13</v>
      </c>
      <c r="F133" s="232">
        <v>12.349</v>
      </c>
      <c r="G133" s="232">
        <v>12.32</v>
      </c>
      <c r="H133" s="232">
        <v>0</v>
      </c>
      <c r="I133" s="232">
        <v>0</v>
      </c>
      <c r="J133" s="232">
        <v>0</v>
      </c>
      <c r="K133" s="232">
        <v>0</v>
      </c>
      <c r="L133" s="232">
        <v>0</v>
      </c>
      <c r="M133" s="232">
        <v>0</v>
      </c>
      <c r="N133" s="232">
        <v>12.307</v>
      </c>
      <c r="O133" s="232">
        <v>12.314</v>
      </c>
      <c r="P133" s="232">
        <v>107809.32</v>
      </c>
      <c r="Q133" s="232">
        <v>107870.64</v>
      </c>
      <c r="R133" s="232">
        <v>12.340999999999999</v>
      </c>
      <c r="S133" s="232">
        <v>108107.15999999999</v>
      </c>
      <c r="T133" s="232">
        <v>0</v>
      </c>
      <c r="U133" s="232">
        <v>0</v>
      </c>
      <c r="V133" s="232">
        <v>0</v>
      </c>
      <c r="W133" s="232">
        <v>0</v>
      </c>
      <c r="X133" s="232">
        <v>1.8270000000000001E-3</v>
      </c>
      <c r="Y133" s="232">
        <v>1.828E-3</v>
      </c>
      <c r="Z133" s="232">
        <v>0</v>
      </c>
      <c r="AA133" s="232">
        <v>1.8270000000000001E-3</v>
      </c>
      <c r="AB133" s="232">
        <v>1.828E-3</v>
      </c>
      <c r="AC133" s="232">
        <v>1.8275000000000001E-3</v>
      </c>
      <c r="AD133" s="232">
        <v>1</v>
      </c>
      <c r="AE133" s="232">
        <v>1</v>
      </c>
      <c r="AF133" s="232">
        <v>1</v>
      </c>
      <c r="AG133" s="232">
        <v>1</v>
      </c>
      <c r="AH133" s="232">
        <v>0</v>
      </c>
      <c r="AI133" s="232">
        <v>0</v>
      </c>
      <c r="AJ133" s="111"/>
      <c r="AK133" s="111"/>
      <c r="AL133" s="111"/>
      <c r="AM133" s="111"/>
      <c r="AN133" s="111"/>
      <c r="AO133" s="111"/>
      <c r="AP133" s="111"/>
      <c r="AQ133" s="120"/>
      <c r="AR133" s="120"/>
      <c r="AS133" s="149"/>
      <c r="AT133" s="149"/>
      <c r="AU133" s="149"/>
      <c r="AV133" s="149"/>
      <c r="AW133" s="149"/>
      <c r="AX133" s="149"/>
      <c r="AY133" s="149"/>
      <c r="AZ133" s="149"/>
      <c r="BA133" s="149"/>
      <c r="BB133" s="149"/>
      <c r="BC133" s="149"/>
      <c r="BD133" s="149"/>
      <c r="BE133" s="149"/>
      <c r="BF133" s="149"/>
      <c r="BG133" s="120"/>
      <c r="BH133" s="120"/>
      <c r="BI133" s="120"/>
      <c r="BJ133" s="120"/>
      <c r="BK133" s="120"/>
      <c r="BL133" s="120"/>
      <c r="BM133" s="120"/>
      <c r="BN133" s="120"/>
    </row>
    <row r="134" spans="1:66">
      <c r="A134" s="122">
        <v>10706</v>
      </c>
      <c r="B134" s="122" t="s">
        <v>137</v>
      </c>
      <c r="C134" s="232">
        <v>1</v>
      </c>
      <c r="D134" s="232">
        <v>0</v>
      </c>
      <c r="E134" s="232">
        <v>17.536000000000001</v>
      </c>
      <c r="F134" s="232">
        <v>16.797999999999998</v>
      </c>
      <c r="G134" s="232">
        <v>16.887</v>
      </c>
      <c r="H134" s="232">
        <v>0</v>
      </c>
      <c r="I134" s="232">
        <v>0</v>
      </c>
      <c r="J134" s="232">
        <v>0</v>
      </c>
      <c r="K134" s="232">
        <v>0</v>
      </c>
      <c r="L134" s="232">
        <v>0</v>
      </c>
      <c r="M134" s="232">
        <v>0</v>
      </c>
      <c r="N134" s="232">
        <v>17.154</v>
      </c>
      <c r="O134" s="232">
        <v>17.154</v>
      </c>
      <c r="P134" s="232">
        <v>150269.04</v>
      </c>
      <c r="Q134" s="232">
        <v>150269.04</v>
      </c>
      <c r="R134" s="232">
        <v>16.481999999999999</v>
      </c>
      <c r="S134" s="232">
        <v>144382.32</v>
      </c>
      <c r="T134" s="232">
        <v>0.67200000000000004</v>
      </c>
      <c r="U134" s="232">
        <v>0.67200000000000004</v>
      </c>
      <c r="V134" s="232">
        <v>0</v>
      </c>
      <c r="W134" s="232">
        <v>0</v>
      </c>
      <c r="X134" s="232">
        <v>2.4467E-3</v>
      </c>
      <c r="Y134" s="232">
        <v>2.4467E-3</v>
      </c>
      <c r="Z134" s="232">
        <v>0</v>
      </c>
      <c r="AA134" s="232">
        <v>2.4467E-3</v>
      </c>
      <c r="AB134" s="232">
        <v>2.4467E-3</v>
      </c>
      <c r="AC134" s="232">
        <v>2.4467E-3</v>
      </c>
      <c r="AD134" s="232">
        <v>0.96081669379153545</v>
      </c>
      <c r="AE134" s="232">
        <v>0.96081669379153545</v>
      </c>
      <c r="AF134" s="232">
        <v>1.0407717510010921</v>
      </c>
      <c r="AG134" s="232">
        <v>1.0407717510010921</v>
      </c>
      <c r="AH134" s="232">
        <v>0</v>
      </c>
      <c r="AI134" s="232">
        <v>0</v>
      </c>
      <c r="AJ134" s="111"/>
      <c r="AK134" s="111"/>
      <c r="AL134" s="111"/>
      <c r="AM134" s="111"/>
      <c r="AN134" s="111"/>
      <c r="AO134" s="111"/>
      <c r="AP134" s="111"/>
      <c r="AQ134" s="120"/>
      <c r="AR134" s="120"/>
      <c r="AS134" s="149"/>
      <c r="AT134" s="149"/>
      <c r="AU134" s="149"/>
      <c r="AV134" s="149"/>
      <c r="AW134" s="149"/>
      <c r="AX134" s="149"/>
      <c r="AY134" s="149"/>
      <c r="AZ134" s="149"/>
      <c r="BA134" s="149"/>
      <c r="BB134" s="149"/>
      <c r="BC134" s="149"/>
      <c r="BD134" s="149"/>
      <c r="BE134" s="149"/>
      <c r="BF134" s="149"/>
      <c r="BG134" s="120"/>
      <c r="BH134" s="120"/>
      <c r="BI134" s="120"/>
      <c r="BJ134" s="120"/>
      <c r="BK134" s="120"/>
      <c r="BL134" s="120"/>
      <c r="BM134" s="120"/>
      <c r="BN134" s="120"/>
    </row>
    <row r="135" spans="1:66">
      <c r="A135" s="122">
        <v>11680</v>
      </c>
      <c r="B135" s="122" t="s">
        <v>138</v>
      </c>
      <c r="C135" s="232">
        <v>1</v>
      </c>
      <c r="D135" s="232">
        <v>0</v>
      </c>
      <c r="E135" s="232">
        <v>6.423</v>
      </c>
      <c r="F135" s="232">
        <v>6.5529999999999999</v>
      </c>
      <c r="G135" s="232">
        <v>6.5460000000000003</v>
      </c>
      <c r="H135" s="232">
        <v>0</v>
      </c>
      <c r="I135" s="232">
        <v>0</v>
      </c>
      <c r="J135" s="232">
        <v>0</v>
      </c>
      <c r="K135" s="232">
        <v>0</v>
      </c>
      <c r="L135" s="232">
        <v>0</v>
      </c>
      <c r="M135" s="232">
        <v>0</v>
      </c>
      <c r="N135" s="232">
        <v>6.2750000000000004</v>
      </c>
      <c r="O135" s="232">
        <v>6.2869999999999999</v>
      </c>
      <c r="P135" s="232">
        <v>54969</v>
      </c>
      <c r="Q135" s="232">
        <v>55074.12</v>
      </c>
      <c r="R135" s="232">
        <v>6.0369999999999999</v>
      </c>
      <c r="S135" s="232">
        <v>52884.12</v>
      </c>
      <c r="T135" s="232">
        <v>0.23799999999999999</v>
      </c>
      <c r="U135" s="232">
        <v>0.25</v>
      </c>
      <c r="V135" s="232">
        <v>0</v>
      </c>
      <c r="W135" s="232">
        <v>0</v>
      </c>
      <c r="X135" s="232">
        <v>8.9619999999999999E-4</v>
      </c>
      <c r="Y135" s="232">
        <v>8.9619999999999999E-4</v>
      </c>
      <c r="Z135" s="232">
        <v>0</v>
      </c>
      <c r="AA135" s="232">
        <v>8.9619999999999999E-4</v>
      </c>
      <c r="AB135" s="232">
        <v>8.9619999999999999E-4</v>
      </c>
      <c r="AC135" s="232">
        <v>8.9619999999999999E-4</v>
      </c>
      <c r="AD135" s="232">
        <v>0.96209162323505981</v>
      </c>
      <c r="AE135" s="232">
        <v>0.96025527847940206</v>
      </c>
      <c r="AF135" s="232">
        <v>1.0394235547457347</v>
      </c>
      <c r="AG135" s="232">
        <v>1.0414112970018221</v>
      </c>
      <c r="AH135" s="232">
        <v>0</v>
      </c>
      <c r="AI135" s="232">
        <v>0</v>
      </c>
      <c r="AJ135" s="111"/>
      <c r="AK135" s="111"/>
      <c r="AL135" s="111"/>
      <c r="AM135" s="111"/>
      <c r="AN135" s="111"/>
      <c r="AO135" s="111"/>
      <c r="AP135" s="111"/>
      <c r="AQ135" s="120"/>
      <c r="AR135" s="120"/>
      <c r="AS135" s="149"/>
      <c r="AT135" s="149"/>
      <c r="AU135" s="149"/>
      <c r="AV135" s="149"/>
      <c r="AW135" s="149"/>
      <c r="AX135" s="149"/>
      <c r="AY135" s="149"/>
      <c r="AZ135" s="149"/>
      <c r="BA135" s="149"/>
      <c r="BB135" s="149"/>
      <c r="BC135" s="149"/>
      <c r="BD135" s="149"/>
      <c r="BE135" s="149"/>
      <c r="BF135" s="149"/>
      <c r="BG135" s="120"/>
      <c r="BH135" s="120"/>
      <c r="BI135" s="120"/>
      <c r="BJ135" s="120"/>
      <c r="BK135" s="120"/>
      <c r="BL135" s="120"/>
      <c r="BM135" s="120"/>
      <c r="BN135" s="120"/>
    </row>
    <row r="136" spans="1:66">
      <c r="A136" s="122">
        <v>12026</v>
      </c>
      <c r="B136" s="122" t="s">
        <v>139</v>
      </c>
      <c r="C136" s="232">
        <v>1</v>
      </c>
      <c r="D136" s="232">
        <v>0</v>
      </c>
      <c r="E136" s="232">
        <v>45.847000000000001</v>
      </c>
      <c r="F136" s="232">
        <v>45.901000000000003</v>
      </c>
      <c r="G136" s="232">
        <v>46.112000000000002</v>
      </c>
      <c r="H136" s="232">
        <v>0</v>
      </c>
      <c r="I136" s="232">
        <v>0</v>
      </c>
      <c r="J136" s="232">
        <v>0</v>
      </c>
      <c r="K136" s="232">
        <v>0</v>
      </c>
      <c r="L136" s="232">
        <v>0</v>
      </c>
      <c r="M136" s="232">
        <v>0</v>
      </c>
      <c r="N136" s="232">
        <v>45.551000000000002</v>
      </c>
      <c r="O136" s="232">
        <v>45.73</v>
      </c>
      <c r="P136" s="232">
        <v>399026.76</v>
      </c>
      <c r="Q136" s="232">
        <v>400594.8</v>
      </c>
      <c r="R136" s="232">
        <v>43.091000000000001</v>
      </c>
      <c r="S136" s="232">
        <v>377477.16000000003</v>
      </c>
      <c r="T136" s="232">
        <v>2.46</v>
      </c>
      <c r="U136" s="232">
        <v>2.6389999999999998</v>
      </c>
      <c r="V136" s="232">
        <v>2.46</v>
      </c>
      <c r="W136" s="232">
        <v>2.6389999999999998</v>
      </c>
      <c r="X136" s="232">
        <v>6.3968000000000002E-3</v>
      </c>
      <c r="Y136" s="232">
        <v>6.3968000000000002E-3</v>
      </c>
      <c r="Z136" s="232">
        <v>0</v>
      </c>
      <c r="AA136" s="232">
        <v>6.3968000000000002E-3</v>
      </c>
      <c r="AB136" s="232">
        <v>6.3968000000000002E-3</v>
      </c>
      <c r="AC136" s="232">
        <v>6.3968000000000002E-3</v>
      </c>
      <c r="AD136" s="232">
        <v>0.94599770040613829</v>
      </c>
      <c r="AE136" s="232">
        <v>0.94229480103214547</v>
      </c>
      <c r="AF136" s="232">
        <v>1.0570884871550905</v>
      </c>
      <c r="AG136" s="232">
        <v>1.0612424868301964</v>
      </c>
      <c r="AH136" s="232">
        <v>0</v>
      </c>
      <c r="AI136" s="232">
        <v>0</v>
      </c>
      <c r="AJ136" s="111"/>
      <c r="AK136" s="111"/>
      <c r="AL136" s="111"/>
      <c r="AM136" s="111"/>
      <c r="AN136" s="111"/>
      <c r="AO136" s="111"/>
      <c r="AP136" s="111"/>
      <c r="AQ136" s="120"/>
      <c r="AR136" s="120"/>
      <c r="AS136" s="149"/>
      <c r="AT136" s="149"/>
      <c r="AU136" s="149"/>
      <c r="AV136" s="149"/>
      <c r="AW136" s="149"/>
      <c r="AX136" s="149"/>
      <c r="AY136" s="149"/>
      <c r="AZ136" s="149"/>
      <c r="BA136" s="149"/>
      <c r="BB136" s="149"/>
      <c r="BC136" s="149"/>
      <c r="BD136" s="149"/>
      <c r="BE136" s="149"/>
      <c r="BF136" s="149"/>
      <c r="BG136" s="120"/>
      <c r="BH136" s="120"/>
      <c r="BI136" s="120"/>
      <c r="BJ136" s="120"/>
      <c r="BK136" s="120"/>
      <c r="BL136" s="120"/>
      <c r="BM136" s="120"/>
      <c r="BN136" s="120"/>
    </row>
    <row r="137" spans="1:66" s="138" customFormat="1">
      <c r="A137" s="120">
        <v>10298</v>
      </c>
      <c r="B137" s="120" t="s">
        <v>140</v>
      </c>
      <c r="C137" s="232">
        <v>1</v>
      </c>
      <c r="D137" s="232">
        <v>0</v>
      </c>
      <c r="E137" s="232">
        <v>611.26099999999985</v>
      </c>
      <c r="F137" s="232">
        <v>680.327</v>
      </c>
      <c r="G137" s="232">
        <v>685.154</v>
      </c>
      <c r="H137" s="232">
        <v>0</v>
      </c>
      <c r="I137" s="232">
        <v>0</v>
      </c>
      <c r="J137" s="232">
        <v>13.215</v>
      </c>
      <c r="K137" s="232">
        <v>13.185</v>
      </c>
      <c r="L137" s="232">
        <v>115763.4</v>
      </c>
      <c r="M137" s="232">
        <v>115500.6</v>
      </c>
      <c r="N137" s="232">
        <v>643.92399999999998</v>
      </c>
      <c r="O137" s="232">
        <v>650.47199999999998</v>
      </c>
      <c r="P137" s="232">
        <v>5640774.2400000002</v>
      </c>
      <c r="Q137" s="232">
        <v>5698134.7199999997</v>
      </c>
      <c r="R137" s="232">
        <v>574.51300000000003</v>
      </c>
      <c r="S137" s="232">
        <v>5032733.88</v>
      </c>
      <c r="T137" s="232">
        <v>69.875</v>
      </c>
      <c r="U137" s="232">
        <v>76.422999999999973</v>
      </c>
      <c r="V137" s="232">
        <v>69.875</v>
      </c>
      <c r="W137" s="232">
        <v>76.422999999999973</v>
      </c>
      <c r="X137" s="232">
        <v>8.5216299999999995E-2</v>
      </c>
      <c r="Y137" s="232">
        <v>8.5216299999999995E-2</v>
      </c>
      <c r="Z137" s="232">
        <v>0</v>
      </c>
      <c r="AA137" s="232">
        <v>8.5216299999999995E-2</v>
      </c>
      <c r="AB137" s="232">
        <v>8.5216299999999995E-2</v>
      </c>
      <c r="AC137" s="232">
        <v>8.5216299999999995E-2</v>
      </c>
      <c r="AD137" s="232">
        <v>0.89992954677025749</v>
      </c>
      <c r="AE137" s="232">
        <v>0.89310429213199094</v>
      </c>
      <c r="AF137" s="232">
        <v>1.1208171094474797</v>
      </c>
      <c r="AG137" s="232">
        <v>1.1322145887038237</v>
      </c>
      <c r="AH137" s="232">
        <v>0</v>
      </c>
      <c r="AI137" s="232">
        <v>0</v>
      </c>
      <c r="AJ137" s="111"/>
      <c r="AK137" s="111"/>
      <c r="AL137" s="111"/>
      <c r="AM137" s="111"/>
      <c r="AN137" s="111"/>
      <c r="AO137" s="111"/>
      <c r="AP137" s="111"/>
      <c r="AQ137" s="120"/>
      <c r="AR137" s="120"/>
      <c r="AS137" s="149"/>
      <c r="AT137" s="149"/>
      <c r="AU137" s="149"/>
      <c r="AV137" s="149"/>
      <c r="AW137" s="149"/>
      <c r="AX137" s="149"/>
      <c r="AY137" s="149"/>
      <c r="AZ137" s="149"/>
      <c r="BA137" s="149"/>
      <c r="BB137" s="149"/>
      <c r="BC137" s="149"/>
      <c r="BD137" s="149"/>
      <c r="BE137" s="149"/>
      <c r="BF137" s="149"/>
      <c r="BG137" s="120"/>
      <c r="BH137" s="120"/>
      <c r="BI137" s="120"/>
      <c r="BJ137" s="120"/>
      <c r="BK137" s="120"/>
      <c r="BL137" s="120"/>
      <c r="BM137" s="120"/>
      <c r="BN137" s="120"/>
    </row>
    <row r="138" spans="1:66" s="138" customFormat="1">
      <c r="A138" s="120"/>
      <c r="B138" s="120"/>
      <c r="C138" s="120"/>
      <c r="D138" s="120"/>
      <c r="E138" s="120"/>
      <c r="F138" s="120"/>
      <c r="G138" s="120"/>
      <c r="H138" s="120"/>
      <c r="I138" s="120"/>
      <c r="J138" s="120"/>
      <c r="K138" s="120"/>
      <c r="L138" s="120"/>
      <c r="M138" s="120"/>
      <c r="N138" s="120"/>
      <c r="O138" s="120"/>
      <c r="P138" s="120"/>
      <c r="Q138" s="120"/>
      <c r="R138" s="120"/>
      <c r="S138" s="120"/>
      <c r="T138" s="120"/>
      <c r="U138" s="120"/>
      <c r="V138" s="120"/>
      <c r="W138" s="149"/>
      <c r="X138" s="120"/>
      <c r="Y138" s="120"/>
      <c r="Z138" s="120"/>
      <c r="AA138" s="120"/>
      <c r="AB138" s="120"/>
      <c r="AC138" s="120"/>
      <c r="AD138" s="120"/>
      <c r="AE138" s="120"/>
      <c r="AF138" s="120"/>
      <c r="AG138" s="120"/>
      <c r="AH138" s="120"/>
      <c r="AI138" s="120"/>
      <c r="AJ138" s="120"/>
      <c r="AK138" s="120"/>
      <c r="AL138" s="120"/>
      <c r="AM138" s="120"/>
      <c r="AN138" s="120"/>
      <c r="AO138" s="120"/>
      <c r="AP138" s="120"/>
      <c r="AQ138" s="120"/>
      <c r="AR138" s="120"/>
      <c r="AS138" s="120"/>
      <c r="AT138" s="120"/>
      <c r="AU138" s="120"/>
      <c r="AV138" s="120"/>
      <c r="AW138" s="120"/>
      <c r="AX138" s="120"/>
      <c r="AY138" s="120"/>
      <c r="AZ138" s="120"/>
      <c r="BA138" s="120"/>
      <c r="BB138" s="120"/>
      <c r="BC138" s="120"/>
      <c r="BD138" s="120"/>
      <c r="BE138" s="120"/>
      <c r="BF138" s="120"/>
      <c r="BG138" s="120"/>
      <c r="BH138" s="120"/>
      <c r="BI138" s="120"/>
      <c r="BJ138" s="120"/>
      <c r="BK138" s="120"/>
      <c r="BL138" s="120"/>
      <c r="BM138" s="120"/>
      <c r="BN138" s="120"/>
    </row>
    <row r="139" spans="1:66" s="138" customFormat="1" ht="42.75" customHeight="1">
      <c r="A139" s="120"/>
      <c r="B139" s="120"/>
      <c r="C139" s="120"/>
      <c r="D139" s="120"/>
      <c r="E139" s="120"/>
      <c r="F139" s="120"/>
      <c r="G139" s="120"/>
      <c r="H139" s="120"/>
      <c r="I139" s="120"/>
      <c r="J139" s="150"/>
      <c r="K139" s="120"/>
      <c r="L139" s="120"/>
      <c r="M139" s="120"/>
      <c r="N139" s="120"/>
      <c r="O139" s="150"/>
      <c r="P139" s="120"/>
      <c r="Q139" s="150"/>
      <c r="R139" s="120"/>
      <c r="S139" s="120"/>
      <c r="T139" s="120"/>
      <c r="U139" s="120"/>
      <c r="V139" s="116"/>
      <c r="W139" s="150"/>
      <c r="X139" s="150"/>
      <c r="Y139" s="120"/>
      <c r="Z139" s="120"/>
      <c r="AA139" s="120"/>
      <c r="AB139" s="120"/>
      <c r="AC139" s="120"/>
      <c r="AD139" s="120"/>
      <c r="AE139" s="120"/>
      <c r="AF139" s="120"/>
      <c r="AG139" s="120"/>
      <c r="AH139" s="120"/>
      <c r="AI139" s="120"/>
      <c r="AJ139" s="120"/>
      <c r="AK139" s="120"/>
      <c r="AL139" s="120"/>
      <c r="AM139" s="120"/>
      <c r="AN139" s="120"/>
      <c r="AO139" s="120"/>
      <c r="AP139" s="120"/>
      <c r="AQ139" s="120"/>
      <c r="AR139" s="120"/>
      <c r="AS139" s="120"/>
      <c r="AT139" s="120"/>
      <c r="AU139" s="120"/>
      <c r="AV139" s="120"/>
      <c r="AW139" s="120"/>
      <c r="AX139" s="120"/>
      <c r="AY139" s="120"/>
      <c r="AZ139" s="120"/>
      <c r="BA139" s="120"/>
      <c r="BB139" s="120"/>
      <c r="BC139" s="120"/>
      <c r="BD139" s="120"/>
      <c r="BE139" s="120"/>
      <c r="BF139" s="120"/>
      <c r="BG139" s="120"/>
      <c r="BH139" s="120"/>
      <c r="BI139" s="120"/>
      <c r="BJ139" s="120"/>
      <c r="BK139" s="120"/>
      <c r="BL139" s="120"/>
      <c r="BM139" s="120"/>
      <c r="BN139" s="120"/>
    </row>
    <row r="140" spans="1:66">
      <c r="A140" s="120" t="s">
        <v>141</v>
      </c>
      <c r="B140" s="120" t="s">
        <v>141</v>
      </c>
      <c r="C140" s="120" t="s">
        <v>141</v>
      </c>
      <c r="D140" s="120" t="s">
        <v>141</v>
      </c>
      <c r="E140" s="120"/>
      <c r="F140" s="120"/>
      <c r="G140" s="120"/>
      <c r="H140" s="120"/>
      <c r="I140" s="120"/>
      <c r="J140" s="150"/>
      <c r="K140" s="120"/>
      <c r="L140" s="120"/>
      <c r="M140" s="120"/>
      <c r="N140" s="120"/>
      <c r="O140" s="120"/>
      <c r="P140" s="120"/>
      <c r="Q140" s="120"/>
      <c r="R140" s="120"/>
      <c r="S140" s="120"/>
      <c r="T140" s="120"/>
      <c r="U140" s="120"/>
      <c r="V140" s="120"/>
      <c r="W140" s="120"/>
      <c r="X140" s="120"/>
      <c r="Y140" s="120"/>
      <c r="Z140" s="120"/>
      <c r="AA140" s="120"/>
      <c r="AB140" s="120"/>
      <c r="AC140" s="120"/>
      <c r="AD140" s="120"/>
      <c r="AE140" s="120"/>
      <c r="AF140" s="120"/>
      <c r="AG140" s="120"/>
      <c r="AH140" s="120"/>
      <c r="AI140" s="120"/>
      <c r="AJ140" s="120"/>
      <c r="AK140" s="120"/>
      <c r="AL140" s="120"/>
      <c r="AM140" s="120"/>
      <c r="AN140" s="120"/>
      <c r="AO140" s="120"/>
      <c r="AP140" s="120"/>
      <c r="AQ140" s="120"/>
      <c r="AR140" s="120"/>
      <c r="AS140" s="120"/>
      <c r="AT140" s="120"/>
      <c r="AU140" s="120"/>
      <c r="AV140" s="120"/>
      <c r="AW140" s="120"/>
      <c r="AX140" s="120"/>
      <c r="AY140" s="120"/>
      <c r="AZ140" s="120"/>
      <c r="BA140" s="120"/>
      <c r="BB140" s="120"/>
      <c r="BC140" s="120"/>
      <c r="BD140" s="120"/>
      <c r="BE140" s="120"/>
      <c r="BF140" s="120"/>
      <c r="BG140" s="120"/>
      <c r="BH140" s="120"/>
      <c r="BI140" s="120"/>
      <c r="BJ140" s="120"/>
      <c r="BK140" s="120"/>
      <c r="BL140" s="120"/>
      <c r="BM140" s="120"/>
      <c r="BN140" s="120"/>
    </row>
    <row r="141" spans="1:66">
      <c r="A141" s="123" t="s">
        <v>141</v>
      </c>
      <c r="B141" s="124" t="s">
        <v>141</v>
      </c>
      <c r="C141" s="125" t="s">
        <v>141</v>
      </c>
      <c r="D141" s="125" t="s">
        <v>141</v>
      </c>
      <c r="E141" s="127"/>
      <c r="F141" s="127"/>
      <c r="G141" s="127"/>
      <c r="H141" s="127"/>
      <c r="I141" s="127"/>
      <c r="J141" s="127"/>
      <c r="K141" s="128"/>
      <c r="L141" s="128"/>
      <c r="M141" s="127"/>
      <c r="N141" s="127"/>
      <c r="O141" s="128"/>
      <c r="P141" s="128"/>
      <c r="Q141" s="126"/>
      <c r="R141" s="127"/>
      <c r="S141" s="127"/>
      <c r="T141" s="129"/>
      <c r="U141" s="129"/>
      <c r="V141" s="152"/>
      <c r="W141" s="152"/>
      <c r="X141" s="153"/>
      <c r="Y141" s="153"/>
      <c r="Z141" s="127"/>
      <c r="AA141" s="127"/>
      <c r="AB141" s="139"/>
      <c r="AC141" s="139"/>
      <c r="AD141" s="136"/>
      <c r="AE141" s="136"/>
      <c r="AF141" s="130"/>
      <c r="AG141" s="137"/>
      <c r="AH141" s="137"/>
      <c r="AI141" s="137"/>
      <c r="AJ141" s="131"/>
      <c r="AK141" s="131"/>
      <c r="AL141" s="131"/>
      <c r="AM141" s="131"/>
      <c r="AN141" s="132"/>
      <c r="AO141" s="132"/>
      <c r="AP141" s="132"/>
      <c r="AQ141" s="132"/>
      <c r="AR141" s="132"/>
      <c r="AS141" s="132"/>
      <c r="AT141" s="132"/>
      <c r="AU141" s="132"/>
    </row>
    <row r="142" spans="1:66">
      <c r="A142" s="120" t="s">
        <v>141</v>
      </c>
      <c r="B142" s="120" t="s">
        <v>141</v>
      </c>
      <c r="C142" s="120" t="s">
        <v>141</v>
      </c>
      <c r="D142" s="120" t="s">
        <v>141</v>
      </c>
      <c r="E142" s="120"/>
      <c r="F142" s="120"/>
      <c r="G142" s="120"/>
      <c r="H142" s="120"/>
      <c r="I142" s="120"/>
      <c r="J142" s="120"/>
      <c r="K142" s="120"/>
      <c r="L142" s="120"/>
      <c r="M142" s="120"/>
      <c r="N142" s="120"/>
      <c r="O142" s="120"/>
      <c r="P142" s="120"/>
      <c r="Q142" s="120"/>
      <c r="R142" s="120"/>
      <c r="S142" s="120"/>
      <c r="T142" s="120"/>
      <c r="U142" s="120"/>
      <c r="V142" s="120"/>
      <c r="W142" s="120"/>
      <c r="X142" s="120"/>
      <c r="Y142" s="120"/>
      <c r="Z142" s="120"/>
      <c r="AA142" s="112"/>
      <c r="AB142" s="120"/>
      <c r="AC142" s="120"/>
      <c r="AD142" s="120"/>
      <c r="AE142" s="120"/>
      <c r="AF142" s="120"/>
      <c r="AG142" s="120"/>
      <c r="AH142" s="120"/>
      <c r="AI142" s="120"/>
      <c r="AJ142" s="120"/>
      <c r="AK142" s="120"/>
      <c r="AL142" s="120"/>
      <c r="AM142" s="120"/>
      <c r="AN142" s="120"/>
      <c r="AO142" s="120"/>
      <c r="AP142" s="120"/>
      <c r="AQ142" s="120"/>
      <c r="AR142" s="120"/>
      <c r="AS142" s="120"/>
      <c r="AT142" s="120"/>
      <c r="AU142" s="120"/>
      <c r="AV142" s="120"/>
      <c r="AW142" s="120"/>
      <c r="AX142" s="120"/>
      <c r="AY142" s="120"/>
      <c r="AZ142" s="120"/>
      <c r="BA142" s="120"/>
      <c r="BB142" s="120"/>
      <c r="BC142" s="120"/>
      <c r="BD142" s="120"/>
      <c r="BE142" s="120"/>
      <c r="BF142" s="120"/>
      <c r="BG142" s="120"/>
      <c r="BH142" s="120"/>
      <c r="BI142" s="120"/>
      <c r="BJ142" s="120"/>
      <c r="BK142" s="120"/>
      <c r="BL142" s="120"/>
      <c r="BM142" s="120"/>
      <c r="BN142" s="120"/>
    </row>
    <row r="143" spans="1:66">
      <c r="A143" s="120" t="s">
        <v>141</v>
      </c>
      <c r="B143" s="120" t="s">
        <v>141</v>
      </c>
      <c r="C143" s="120" t="s">
        <v>141</v>
      </c>
      <c r="D143" s="120" t="s">
        <v>141</v>
      </c>
      <c r="E143" s="120"/>
      <c r="F143" s="120"/>
      <c r="G143" s="120"/>
      <c r="H143" s="120"/>
      <c r="I143" s="120"/>
      <c r="J143" s="120"/>
      <c r="K143" s="120"/>
      <c r="L143" s="120"/>
      <c r="M143" s="120"/>
      <c r="N143" s="120"/>
      <c r="O143" s="120"/>
      <c r="P143" s="120"/>
      <c r="Q143" s="120"/>
      <c r="R143" s="120"/>
      <c r="S143" s="120"/>
      <c r="T143" s="120"/>
      <c r="U143" s="120"/>
      <c r="V143" s="120"/>
      <c r="W143" s="120"/>
      <c r="X143" s="120"/>
      <c r="Y143" s="120"/>
      <c r="Z143" s="120"/>
      <c r="AA143" s="150"/>
      <c r="AB143" s="120"/>
      <c r="AC143" s="120"/>
      <c r="AD143" s="120"/>
      <c r="AE143" s="120"/>
      <c r="AF143" s="120"/>
      <c r="AG143" s="120"/>
      <c r="AH143" s="120"/>
      <c r="AI143" s="120"/>
      <c r="AJ143" s="120"/>
      <c r="AK143" s="120"/>
      <c r="AL143" s="120"/>
      <c r="AM143" s="120"/>
      <c r="AN143" s="120"/>
      <c r="AO143" s="120"/>
      <c r="AP143" s="120"/>
      <c r="AQ143" s="120"/>
      <c r="AR143" s="120"/>
      <c r="AS143" s="120"/>
      <c r="AT143" s="120"/>
      <c r="AU143" s="120"/>
      <c r="AV143" s="120"/>
      <c r="AW143" s="120"/>
      <c r="AX143" s="120"/>
      <c r="AY143" s="120"/>
      <c r="AZ143" s="120"/>
      <c r="BA143" s="120"/>
      <c r="BB143" s="120"/>
      <c r="BC143" s="120"/>
      <c r="BD143" s="120"/>
      <c r="BE143" s="120"/>
      <c r="BF143" s="120"/>
      <c r="BG143" s="120"/>
      <c r="BH143" s="120"/>
      <c r="BI143" s="120"/>
      <c r="BJ143" s="120"/>
      <c r="BK143" s="120"/>
      <c r="BL143" s="120"/>
      <c r="BM143" s="120"/>
      <c r="BN143" s="120"/>
    </row>
    <row r="144" spans="1:66">
      <c r="A144" s="123" t="s">
        <v>141</v>
      </c>
      <c r="B144" s="124" t="s">
        <v>141</v>
      </c>
      <c r="C144" s="125" t="s">
        <v>141</v>
      </c>
      <c r="D144" s="125" t="s">
        <v>141</v>
      </c>
      <c r="E144" s="127"/>
      <c r="F144" s="127"/>
      <c r="G144" s="127"/>
      <c r="H144" s="127"/>
      <c r="I144" s="127"/>
      <c r="J144" s="127"/>
      <c r="K144" s="128"/>
      <c r="L144" s="128"/>
      <c r="M144" s="127"/>
      <c r="N144" s="127"/>
      <c r="O144" s="128"/>
      <c r="P144" s="128"/>
      <c r="Q144" s="126"/>
      <c r="R144" s="127"/>
      <c r="S144" s="127"/>
      <c r="T144" s="129"/>
      <c r="U144" s="129"/>
      <c r="V144" s="152"/>
      <c r="W144" s="152"/>
      <c r="X144" s="153"/>
      <c r="Y144" s="153"/>
      <c r="Z144" s="127"/>
      <c r="AA144" s="127"/>
      <c r="AB144" s="139"/>
      <c r="AC144" s="139"/>
      <c r="AD144" s="136"/>
      <c r="AE144" s="136"/>
      <c r="AF144" s="130"/>
      <c r="AG144" s="137"/>
      <c r="AH144" s="137"/>
      <c r="AI144" s="137"/>
      <c r="AJ144" s="131"/>
      <c r="AK144" s="131"/>
      <c r="AL144" s="131"/>
      <c r="AM144" s="131"/>
      <c r="AN144" s="132"/>
      <c r="AO144" s="132"/>
      <c r="AP144" s="132"/>
      <c r="AQ144" s="132"/>
      <c r="AR144" s="132"/>
      <c r="AS144" s="132"/>
      <c r="AT144" s="132"/>
      <c r="AU144" s="132"/>
    </row>
    <row r="145" spans="1:56">
      <c r="A145" s="123" t="s">
        <v>141</v>
      </c>
      <c r="B145" s="124" t="s">
        <v>141</v>
      </c>
      <c r="C145" s="125" t="s">
        <v>141</v>
      </c>
      <c r="D145" s="125" t="s">
        <v>141</v>
      </c>
      <c r="E145" s="127"/>
      <c r="F145" s="127"/>
      <c r="G145" s="150"/>
      <c r="H145" s="120"/>
      <c r="I145" s="120"/>
      <c r="J145" s="120"/>
      <c r="K145" s="120"/>
      <c r="L145" s="120"/>
      <c r="M145" s="120"/>
      <c r="N145" s="120"/>
      <c r="O145" s="120"/>
      <c r="P145" s="120"/>
      <c r="Q145" s="120"/>
      <c r="R145" s="120"/>
      <c r="S145" s="120"/>
      <c r="T145" s="120"/>
      <c r="U145" s="120"/>
      <c r="V145" s="120"/>
      <c r="W145" s="120"/>
      <c r="X145" s="120"/>
      <c r="Y145" s="120"/>
      <c r="Z145" s="120"/>
      <c r="AA145" s="120"/>
      <c r="AB145" s="120"/>
      <c r="AC145" s="120"/>
      <c r="AD145" s="120"/>
      <c r="AE145" s="120"/>
      <c r="AF145" s="120"/>
      <c r="AG145" s="120"/>
      <c r="AH145" s="120"/>
      <c r="AI145" s="120"/>
      <c r="AJ145" s="120"/>
      <c r="AK145" s="120"/>
      <c r="AL145" s="120"/>
      <c r="AM145" s="120"/>
      <c r="AN145" s="120"/>
      <c r="AO145" s="120"/>
      <c r="AP145" s="120"/>
      <c r="AQ145" s="120"/>
      <c r="AR145" s="120"/>
      <c r="AS145" s="120"/>
      <c r="AT145" s="120"/>
      <c r="AU145" s="120"/>
      <c r="AV145" s="120"/>
      <c r="AW145" s="120"/>
      <c r="AX145" s="120"/>
      <c r="AY145" s="120"/>
      <c r="AZ145" s="120"/>
      <c r="BA145" s="120"/>
      <c r="BB145" s="120"/>
      <c r="BC145" s="120"/>
      <c r="BD145" s="120"/>
    </row>
    <row r="146" spans="1:56">
      <c r="A146" s="123" t="s">
        <v>141</v>
      </c>
      <c r="B146" s="124" t="s">
        <v>141</v>
      </c>
      <c r="C146" s="125" t="s">
        <v>141</v>
      </c>
      <c r="D146" s="125" t="s">
        <v>141</v>
      </c>
      <c r="E146" s="127"/>
      <c r="F146" s="127"/>
      <c r="G146" s="127"/>
      <c r="H146" s="127"/>
      <c r="I146" s="127"/>
      <c r="J146" s="127"/>
      <c r="K146" s="128"/>
      <c r="L146" s="128"/>
      <c r="M146" s="127"/>
      <c r="N146" s="127"/>
      <c r="O146" s="128"/>
      <c r="P146" s="128"/>
      <c r="Q146" s="126"/>
      <c r="R146" s="127"/>
      <c r="S146" s="127"/>
      <c r="T146" s="129"/>
      <c r="U146" s="129"/>
      <c r="V146" s="152"/>
      <c r="W146" s="152"/>
      <c r="X146" s="153"/>
      <c r="Y146" s="153"/>
      <c r="Z146" s="127"/>
      <c r="AA146" s="127"/>
      <c r="AB146" s="139"/>
      <c r="AC146" s="139"/>
      <c r="AD146" s="136"/>
      <c r="AE146" s="136"/>
      <c r="AF146" s="130"/>
      <c r="AG146" s="137"/>
      <c r="AH146" s="137"/>
      <c r="AI146" s="137"/>
      <c r="AJ146" s="131"/>
      <c r="AK146" s="131"/>
      <c r="AL146" s="131"/>
      <c r="AM146" s="131"/>
      <c r="AN146" s="132"/>
      <c r="AO146" s="132"/>
      <c r="AP146" s="132"/>
      <c r="AQ146" s="132"/>
      <c r="AR146" s="132"/>
      <c r="AS146" s="132"/>
      <c r="AT146" s="132"/>
      <c r="AU146" s="132"/>
    </row>
    <row r="147" spans="1:56">
      <c r="A147" s="123" t="s">
        <v>141</v>
      </c>
      <c r="B147" s="124" t="s">
        <v>141</v>
      </c>
      <c r="C147" s="125" t="s">
        <v>141</v>
      </c>
      <c r="D147" s="125" t="s">
        <v>141</v>
      </c>
      <c r="E147" s="127"/>
      <c r="F147" s="127"/>
      <c r="G147" s="127"/>
      <c r="H147" s="127"/>
      <c r="I147" s="127"/>
      <c r="J147" s="127"/>
      <c r="K147" s="128"/>
      <c r="L147" s="128"/>
      <c r="M147" s="127"/>
      <c r="N147" s="127"/>
      <c r="O147" s="128"/>
      <c r="P147" s="128"/>
      <c r="Q147" s="126"/>
      <c r="R147" s="127"/>
      <c r="S147" s="127"/>
      <c r="T147" s="129"/>
      <c r="U147" s="129"/>
      <c r="V147" s="152"/>
      <c r="W147" s="152"/>
      <c r="X147" s="153"/>
      <c r="Y147" s="153"/>
      <c r="Z147" s="127"/>
      <c r="AA147" s="127"/>
      <c r="AB147" s="139"/>
      <c r="AC147" s="139"/>
      <c r="AD147" s="136"/>
      <c r="AE147" s="136"/>
      <c r="AF147" s="130"/>
      <c r="AG147" s="137"/>
      <c r="AH147" s="137"/>
      <c r="AI147" s="137"/>
      <c r="AJ147" s="131"/>
      <c r="AK147" s="131"/>
      <c r="AL147" s="131"/>
      <c r="AM147" s="131"/>
      <c r="AN147" s="132"/>
      <c r="AO147" s="132"/>
      <c r="AP147" s="132"/>
      <c r="AQ147" s="132"/>
      <c r="AR147" s="132"/>
      <c r="AS147" s="132"/>
      <c r="AT147" s="132"/>
      <c r="AU147" s="132"/>
    </row>
    <row r="148" spans="1:56">
      <c r="A148" s="123" t="s">
        <v>141</v>
      </c>
      <c r="B148" s="124" t="s">
        <v>141</v>
      </c>
      <c r="C148" s="125" t="s">
        <v>141</v>
      </c>
      <c r="D148" s="125" t="s">
        <v>141</v>
      </c>
      <c r="E148" s="127"/>
      <c r="F148" s="127"/>
      <c r="G148" s="127"/>
      <c r="H148" s="127"/>
      <c r="I148" s="127"/>
      <c r="J148" s="127"/>
      <c r="K148" s="128"/>
      <c r="L148" s="128"/>
      <c r="M148" s="127"/>
      <c r="N148" s="127"/>
      <c r="O148" s="128"/>
      <c r="P148" s="128"/>
      <c r="Q148" s="126"/>
      <c r="R148" s="127"/>
      <c r="S148" s="127"/>
      <c r="T148" s="129"/>
      <c r="U148" s="129"/>
      <c r="V148" s="152"/>
      <c r="W148" s="152"/>
      <c r="X148" s="153"/>
      <c r="Y148" s="153"/>
      <c r="Z148" s="127"/>
      <c r="AA148" s="127"/>
      <c r="AB148" s="139"/>
      <c r="AC148" s="139"/>
      <c r="AD148" s="136"/>
      <c r="AE148" s="136"/>
      <c r="AF148" s="130"/>
      <c r="AG148" s="137"/>
      <c r="AH148" s="137"/>
      <c r="AI148" s="137"/>
      <c r="AJ148" s="131"/>
      <c r="AK148" s="131"/>
      <c r="AL148" s="131"/>
      <c r="AM148" s="131"/>
      <c r="AN148" s="132"/>
      <c r="AO148" s="132"/>
      <c r="AP148" s="132"/>
      <c r="AQ148" s="132"/>
      <c r="AR148" s="132"/>
      <c r="AS148" s="132"/>
      <c r="AT148" s="132"/>
      <c r="AU148" s="132"/>
    </row>
    <row r="149" spans="1:56">
      <c r="A149" s="123">
        <v>1</v>
      </c>
      <c r="B149" s="124">
        <v>2</v>
      </c>
      <c r="C149" s="125">
        <v>3</v>
      </c>
      <c r="D149" s="125">
        <v>4</v>
      </c>
      <c r="E149" s="166">
        <v>6</v>
      </c>
      <c r="F149" s="166">
        <v>7</v>
      </c>
      <c r="G149" s="166">
        <v>8</v>
      </c>
      <c r="H149" s="166">
        <v>9</v>
      </c>
      <c r="I149" s="166">
        <v>10</v>
      </c>
      <c r="J149" s="166">
        <v>11</v>
      </c>
      <c r="K149" s="166">
        <v>12</v>
      </c>
      <c r="L149" s="166">
        <v>13</v>
      </c>
      <c r="M149" s="166">
        <v>14</v>
      </c>
      <c r="N149" s="166">
        <v>15</v>
      </c>
      <c r="O149" s="166">
        <v>16</v>
      </c>
      <c r="P149" s="166">
        <v>17</v>
      </c>
      <c r="Q149" s="166">
        <v>18</v>
      </c>
      <c r="R149" s="166">
        <v>19</v>
      </c>
      <c r="S149" s="166">
        <v>20</v>
      </c>
      <c r="T149" s="167">
        <v>22</v>
      </c>
      <c r="U149" s="167">
        <v>23</v>
      </c>
      <c r="V149" s="168">
        <v>24</v>
      </c>
      <c r="W149" s="168">
        <v>25</v>
      </c>
      <c r="X149" s="169">
        <v>32</v>
      </c>
      <c r="Y149" s="169">
        <v>33</v>
      </c>
      <c r="Z149" s="166">
        <v>34</v>
      </c>
      <c r="AA149" s="166">
        <v>35</v>
      </c>
      <c r="AB149" s="170">
        <v>36</v>
      </c>
      <c r="AC149" s="170">
        <v>37</v>
      </c>
      <c r="AD149" s="171">
        <v>38</v>
      </c>
      <c r="AE149" s="171">
        <v>39</v>
      </c>
      <c r="AF149" s="125">
        <v>40</v>
      </c>
      <c r="AG149" s="171">
        <v>41</v>
      </c>
      <c r="AH149" s="171">
        <v>42</v>
      </c>
      <c r="AI149" s="171">
        <v>43</v>
      </c>
      <c r="AJ149" s="131"/>
      <c r="AK149" s="131"/>
      <c r="AL149" s="131"/>
      <c r="AM149" s="131"/>
      <c r="AN149" s="132"/>
      <c r="AO149" s="132"/>
      <c r="AP149" s="132"/>
      <c r="AQ149" s="132"/>
      <c r="AR149" s="132"/>
      <c r="AS149" s="132"/>
      <c r="AT149" s="132"/>
      <c r="AU149" s="132"/>
    </row>
    <row r="150" spans="1:56">
      <c r="A150" s="123" t="s">
        <v>141</v>
      </c>
      <c r="B150" s="124" t="s">
        <v>141</v>
      </c>
      <c r="C150" s="125" t="s">
        <v>141</v>
      </c>
      <c r="D150" s="125" t="s">
        <v>141</v>
      </c>
      <c r="E150" s="127"/>
      <c r="F150" s="127"/>
      <c r="G150" s="127"/>
      <c r="H150" s="127"/>
      <c r="I150" s="127"/>
      <c r="J150" s="127"/>
      <c r="K150" s="128"/>
      <c r="L150" s="128"/>
      <c r="M150" s="127"/>
      <c r="N150" s="127"/>
      <c r="O150" s="128"/>
      <c r="P150" s="128"/>
      <c r="Q150" s="126"/>
      <c r="R150" s="127"/>
      <c r="S150" s="127"/>
      <c r="T150" s="129"/>
      <c r="U150" s="129"/>
      <c r="V150" s="152"/>
      <c r="W150" s="152"/>
      <c r="X150" s="153"/>
      <c r="Y150" s="153"/>
      <c r="Z150" s="127"/>
      <c r="AA150" s="127"/>
      <c r="AB150" s="139"/>
      <c r="AC150" s="139"/>
      <c r="AD150" s="136"/>
      <c r="AE150" s="136"/>
      <c r="AF150" s="130"/>
      <c r="AG150" s="137"/>
      <c r="AH150" s="137"/>
      <c r="AI150" s="137"/>
      <c r="AJ150" s="131"/>
      <c r="AK150" s="131"/>
      <c r="AL150" s="131"/>
      <c r="AM150" s="131"/>
      <c r="AN150" s="132"/>
      <c r="AO150" s="132"/>
      <c r="AP150" s="132"/>
      <c r="AQ150" s="132"/>
      <c r="AR150" s="132"/>
      <c r="AS150" s="132"/>
      <c r="AT150" s="132"/>
      <c r="AU150" s="132"/>
    </row>
    <row r="151" spans="1:56">
      <c r="A151" s="123" t="s">
        <v>141</v>
      </c>
      <c r="B151" s="124" t="s">
        <v>141</v>
      </c>
      <c r="C151" s="125" t="s">
        <v>141</v>
      </c>
      <c r="D151" s="125" t="s">
        <v>141</v>
      </c>
      <c r="E151" s="127"/>
      <c r="F151" s="127"/>
      <c r="G151" s="127"/>
      <c r="H151" s="127"/>
      <c r="I151" s="127"/>
      <c r="J151" s="127"/>
      <c r="K151" s="128"/>
      <c r="L151" s="128"/>
      <c r="M151" s="127"/>
      <c r="N151" s="127"/>
      <c r="O151" s="128"/>
      <c r="P151" s="128"/>
      <c r="Q151" s="126"/>
      <c r="R151" s="127"/>
      <c r="S151" s="127"/>
      <c r="T151" s="129"/>
      <c r="U151" s="129"/>
      <c r="V151" s="152"/>
      <c r="W151" s="152"/>
      <c r="X151" s="153"/>
      <c r="Y151" s="153"/>
      <c r="Z151" s="127"/>
      <c r="AA151" s="127"/>
      <c r="AB151" s="139"/>
      <c r="AC151" s="139"/>
      <c r="AD151" s="136"/>
      <c r="AE151" s="136"/>
      <c r="AF151" s="130"/>
      <c r="AG151" s="137"/>
      <c r="AH151" s="137"/>
      <c r="AI151" s="137"/>
      <c r="AJ151" s="131"/>
      <c r="AK151" s="131"/>
      <c r="AL151" s="131"/>
      <c r="AM151" s="131"/>
      <c r="AN151" s="132"/>
      <c r="AO151" s="132"/>
      <c r="AP151" s="132"/>
      <c r="AQ151" s="132"/>
      <c r="AR151" s="132"/>
      <c r="AS151" s="132"/>
      <c r="AT151" s="132"/>
      <c r="AU151" s="132"/>
    </row>
    <row r="152" spans="1:56">
      <c r="A152" s="123" t="s">
        <v>141</v>
      </c>
      <c r="B152" s="124" t="s">
        <v>141</v>
      </c>
      <c r="C152" s="125" t="s">
        <v>141</v>
      </c>
      <c r="D152" s="125" t="s">
        <v>141</v>
      </c>
      <c r="E152" s="127"/>
      <c r="F152" s="127"/>
      <c r="G152" s="127"/>
      <c r="H152" s="127"/>
      <c r="I152" s="127"/>
      <c r="J152" s="127"/>
      <c r="K152" s="128"/>
      <c r="L152" s="128"/>
      <c r="M152" s="127"/>
      <c r="N152" s="127"/>
      <c r="O152" s="128"/>
      <c r="P152" s="128"/>
      <c r="Q152" s="126"/>
      <c r="R152" s="127"/>
      <c r="S152" s="127"/>
      <c r="T152" s="129"/>
      <c r="U152" s="129"/>
      <c r="V152" s="152"/>
      <c r="W152" s="152"/>
      <c r="X152" s="153"/>
      <c r="Y152" s="153"/>
      <c r="Z152" s="127"/>
      <c r="AA152" s="127"/>
      <c r="AB152" s="139"/>
      <c r="AC152" s="139"/>
      <c r="AD152" s="136"/>
      <c r="AE152" s="136"/>
      <c r="AF152" s="130"/>
      <c r="AG152" s="137"/>
      <c r="AH152" s="137"/>
      <c r="AI152" s="137"/>
      <c r="AJ152" s="131"/>
      <c r="AK152" s="131"/>
      <c r="AL152" s="131"/>
      <c r="AM152" s="131"/>
      <c r="AN152" s="132"/>
      <c r="AO152" s="132"/>
      <c r="AP152" s="132"/>
      <c r="AQ152" s="132"/>
      <c r="AR152" s="132"/>
      <c r="AS152" s="132"/>
      <c r="AT152" s="132"/>
      <c r="AU152" s="132"/>
    </row>
    <row r="153" spans="1:56">
      <c r="A153" s="123" t="s">
        <v>141</v>
      </c>
      <c r="B153" s="124" t="s">
        <v>141</v>
      </c>
      <c r="C153" s="125" t="s">
        <v>141</v>
      </c>
      <c r="D153" s="125" t="s">
        <v>141</v>
      </c>
      <c r="E153" s="127"/>
      <c r="F153" s="127"/>
      <c r="G153" s="127"/>
      <c r="H153" s="127"/>
      <c r="I153" s="127"/>
      <c r="J153" s="127"/>
      <c r="K153" s="128"/>
      <c r="L153" s="128"/>
      <c r="M153" s="127"/>
      <c r="N153" s="127"/>
      <c r="O153" s="128"/>
      <c r="P153" s="128"/>
      <c r="Q153" s="126"/>
      <c r="R153" s="127"/>
      <c r="S153" s="127"/>
      <c r="T153" s="129"/>
      <c r="U153" s="129"/>
      <c r="V153" s="152"/>
      <c r="W153" s="152"/>
      <c r="X153" s="153"/>
      <c r="Y153" s="153"/>
      <c r="Z153" s="127"/>
      <c r="AA153" s="127"/>
      <c r="AB153" s="139"/>
      <c r="AC153" s="139"/>
      <c r="AD153" s="136"/>
      <c r="AE153" s="136"/>
      <c r="AF153" s="130"/>
      <c r="AG153" s="137"/>
      <c r="AH153" s="137"/>
      <c r="AI153" s="137"/>
      <c r="AJ153" s="131"/>
      <c r="AK153" s="131"/>
      <c r="AL153" s="131"/>
      <c r="AM153" s="131"/>
      <c r="AN153" s="132"/>
      <c r="AO153" s="132"/>
      <c r="AP153" s="132"/>
      <c r="AQ153" s="132"/>
      <c r="AR153" s="132"/>
      <c r="AS153" s="132"/>
      <c r="AT153" s="132"/>
      <c r="AU153" s="132"/>
    </row>
    <row r="154" spans="1:56">
      <c r="A154" s="123" t="s">
        <v>141</v>
      </c>
      <c r="B154" s="124" t="s">
        <v>141</v>
      </c>
      <c r="C154" s="125" t="s">
        <v>141</v>
      </c>
      <c r="D154" s="125" t="s">
        <v>141</v>
      </c>
      <c r="E154" s="127"/>
      <c r="F154" s="127"/>
      <c r="G154" s="120"/>
      <c r="H154" s="120"/>
      <c r="I154" s="120"/>
      <c r="J154" s="120"/>
      <c r="K154" s="120"/>
      <c r="L154" s="120"/>
      <c r="M154" s="120"/>
      <c r="N154" s="120"/>
      <c r="O154" s="120"/>
      <c r="P154" s="120"/>
      <c r="Q154" s="120"/>
      <c r="R154" s="120"/>
      <c r="S154" s="120"/>
      <c r="T154" s="120"/>
      <c r="U154" s="120"/>
      <c r="V154" s="120"/>
      <c r="W154" s="120"/>
      <c r="X154" s="120"/>
      <c r="Y154" s="120"/>
      <c r="Z154" s="120"/>
      <c r="AA154" s="120"/>
      <c r="AB154" s="120"/>
      <c r="AC154" s="120"/>
      <c r="AD154" s="111"/>
      <c r="AE154" s="120"/>
      <c r="AF154" s="120"/>
      <c r="AG154" s="120"/>
      <c r="AH154" s="120"/>
      <c r="AI154" s="120"/>
      <c r="AJ154" s="120"/>
      <c r="AK154" s="120"/>
      <c r="AL154" s="120"/>
      <c r="AM154" s="120"/>
      <c r="AN154" s="120"/>
      <c r="AO154" s="120"/>
      <c r="AP154" s="120"/>
      <c r="AQ154" s="120"/>
      <c r="AR154" s="120"/>
      <c r="AS154" s="120"/>
      <c r="AT154" s="120"/>
      <c r="AU154" s="120"/>
      <c r="AV154" s="120"/>
      <c r="AW154" s="120"/>
      <c r="AX154" s="120"/>
      <c r="AY154" s="120"/>
      <c r="AZ154" s="120"/>
      <c r="BA154" s="120"/>
      <c r="BB154" s="120"/>
      <c r="BC154" s="120"/>
      <c r="BD154" s="120"/>
    </row>
    <row r="155" spans="1:56">
      <c r="A155" s="123" t="s">
        <v>141</v>
      </c>
      <c r="B155" s="124" t="s">
        <v>141</v>
      </c>
      <c r="C155" s="125" t="s">
        <v>141</v>
      </c>
      <c r="D155" s="125" t="s">
        <v>141</v>
      </c>
      <c r="E155" s="127"/>
      <c r="F155" s="127"/>
      <c r="G155" s="120"/>
      <c r="H155" s="120"/>
      <c r="I155" s="120"/>
      <c r="J155" s="120"/>
      <c r="K155" s="120"/>
      <c r="L155" s="120"/>
      <c r="M155" s="120"/>
      <c r="N155" s="120"/>
      <c r="O155" s="120"/>
      <c r="P155" s="120"/>
      <c r="Q155" s="120"/>
      <c r="R155" s="120"/>
      <c r="S155" s="120"/>
      <c r="T155" s="120"/>
      <c r="U155" s="120"/>
      <c r="V155" s="120"/>
      <c r="W155" s="120"/>
      <c r="X155" s="120"/>
      <c r="Y155" s="120"/>
      <c r="Z155" s="120"/>
      <c r="AA155" s="120"/>
      <c r="AB155" s="120"/>
      <c r="AC155" s="120"/>
      <c r="AD155" s="111"/>
      <c r="AE155" s="120"/>
      <c r="AF155" s="120"/>
      <c r="AG155" s="120"/>
      <c r="AH155" s="120"/>
      <c r="AI155" s="120"/>
      <c r="AJ155" s="120"/>
      <c r="AK155" s="120"/>
      <c r="AL155" s="120"/>
      <c r="AM155" s="120"/>
      <c r="AN155" s="120"/>
      <c r="AO155" s="120"/>
      <c r="AP155" s="120"/>
      <c r="AQ155" s="120"/>
      <c r="AR155" s="120"/>
      <c r="AS155" s="120"/>
      <c r="AT155" s="120"/>
      <c r="AU155" s="120"/>
      <c r="AV155" s="120"/>
      <c r="AW155" s="120"/>
      <c r="AX155" s="120"/>
      <c r="AY155" s="120"/>
      <c r="AZ155" s="120"/>
      <c r="BA155" s="120"/>
      <c r="BB155" s="120"/>
      <c r="BC155" s="120"/>
      <c r="BD155" s="120"/>
    </row>
    <row r="156" spans="1:56">
      <c r="A156" s="123" t="s">
        <v>141</v>
      </c>
      <c r="B156" s="124" t="s">
        <v>141</v>
      </c>
      <c r="C156" s="125" t="s">
        <v>141</v>
      </c>
      <c r="D156" s="125" t="s">
        <v>141</v>
      </c>
      <c r="E156" s="127"/>
      <c r="F156" s="127"/>
      <c r="G156" s="120"/>
      <c r="H156" s="120"/>
      <c r="I156" s="120"/>
      <c r="J156" s="120"/>
      <c r="K156" s="120"/>
      <c r="L156" s="120"/>
      <c r="M156" s="120"/>
      <c r="N156" s="120"/>
      <c r="O156" s="120"/>
      <c r="P156" s="120"/>
      <c r="Q156" s="120"/>
      <c r="R156" s="120"/>
      <c r="S156" s="120"/>
      <c r="T156" s="120"/>
      <c r="U156" s="120"/>
      <c r="V156" s="120"/>
      <c r="W156" s="120"/>
      <c r="X156" s="120"/>
      <c r="Y156" s="120"/>
      <c r="Z156" s="120"/>
      <c r="AA156" s="120"/>
      <c r="AB156" s="120"/>
      <c r="AC156" s="120"/>
      <c r="AD156" s="111"/>
      <c r="AE156" s="120"/>
      <c r="AF156" s="120"/>
      <c r="AG156" s="120"/>
      <c r="AH156" s="120"/>
      <c r="AI156" s="120"/>
      <c r="AJ156" s="120"/>
      <c r="AK156" s="120"/>
      <c r="AL156" s="120"/>
      <c r="AM156" s="120"/>
      <c r="AN156" s="120"/>
      <c r="AO156" s="120"/>
      <c r="AP156" s="120"/>
      <c r="AQ156" s="120"/>
      <c r="AR156" s="120"/>
      <c r="AS156" s="120"/>
      <c r="AT156" s="120"/>
      <c r="AU156" s="120"/>
      <c r="AV156" s="120"/>
      <c r="AW156" s="120"/>
      <c r="AX156" s="120"/>
      <c r="AY156" s="120"/>
      <c r="AZ156" s="120"/>
      <c r="BA156" s="120"/>
      <c r="BB156" s="120"/>
      <c r="BC156" s="120"/>
      <c r="BD156" s="120"/>
    </row>
    <row r="157" spans="1:56">
      <c r="A157" s="123" t="s">
        <v>141</v>
      </c>
      <c r="B157" s="124" t="s">
        <v>141</v>
      </c>
      <c r="C157" s="125" t="s">
        <v>141</v>
      </c>
      <c r="D157" s="125" t="s">
        <v>141</v>
      </c>
      <c r="E157" s="127"/>
      <c r="F157" s="127"/>
      <c r="G157" s="120"/>
      <c r="H157" s="120"/>
      <c r="I157" s="120"/>
      <c r="J157" s="120"/>
      <c r="K157" s="120"/>
      <c r="L157" s="120"/>
      <c r="M157" s="120"/>
      <c r="N157" s="120"/>
      <c r="O157" s="120"/>
      <c r="P157" s="120"/>
      <c r="Q157" s="120"/>
      <c r="R157" s="120"/>
      <c r="S157" s="120"/>
      <c r="T157" s="120"/>
      <c r="U157" s="120"/>
      <c r="V157" s="120"/>
      <c r="W157" s="120"/>
      <c r="X157" s="120"/>
      <c r="Y157" s="120"/>
      <c r="Z157" s="120"/>
      <c r="AA157" s="120"/>
      <c r="AB157" s="120"/>
      <c r="AC157" s="120"/>
      <c r="AD157" s="111"/>
      <c r="AE157" s="120"/>
      <c r="AF157" s="120"/>
      <c r="AG157" s="120"/>
      <c r="AH157" s="120"/>
      <c r="AI157" s="120"/>
      <c r="AJ157" s="120"/>
      <c r="AK157" s="120"/>
      <c r="AL157" s="120"/>
      <c r="AM157" s="120"/>
      <c r="AN157" s="120"/>
      <c r="AO157" s="120"/>
      <c r="AP157" s="120"/>
      <c r="AQ157" s="120"/>
      <c r="AR157" s="120"/>
      <c r="AS157" s="120"/>
      <c r="AT157" s="120"/>
      <c r="AU157" s="120"/>
      <c r="AV157" s="120"/>
      <c r="AW157" s="120"/>
      <c r="AX157" s="120"/>
      <c r="AY157" s="120"/>
      <c r="AZ157" s="120"/>
      <c r="BA157" s="120"/>
      <c r="BB157" s="120"/>
      <c r="BC157" s="120"/>
      <c r="BD157" s="120"/>
    </row>
    <row r="158" spans="1:56">
      <c r="A158" s="123" t="s">
        <v>141</v>
      </c>
      <c r="B158" s="124" t="s">
        <v>141</v>
      </c>
      <c r="C158" s="125" t="s">
        <v>141</v>
      </c>
      <c r="D158" s="125" t="s">
        <v>141</v>
      </c>
      <c r="E158" s="127"/>
      <c r="F158" s="127"/>
      <c r="G158" s="120"/>
      <c r="H158" s="120"/>
      <c r="I158" s="120"/>
      <c r="J158" s="120"/>
      <c r="K158" s="120"/>
      <c r="L158" s="120"/>
      <c r="M158" s="120"/>
      <c r="N158" s="120"/>
      <c r="O158" s="120"/>
      <c r="P158" s="120"/>
      <c r="Q158" s="120"/>
      <c r="R158" s="120"/>
      <c r="S158" s="120"/>
      <c r="T158" s="120"/>
      <c r="U158" s="120"/>
      <c r="V158" s="120"/>
      <c r="W158" s="120"/>
      <c r="X158" s="120"/>
      <c r="Y158" s="120"/>
      <c r="Z158" s="120"/>
      <c r="AA158" s="120"/>
      <c r="AB158" s="120"/>
      <c r="AC158" s="120"/>
      <c r="AD158" s="111"/>
      <c r="AE158" s="120"/>
      <c r="AF158" s="120"/>
      <c r="AG158" s="120"/>
      <c r="AH158" s="120"/>
      <c r="AI158" s="120"/>
      <c r="AJ158" s="120"/>
      <c r="AK158" s="120"/>
      <c r="AL158" s="120"/>
      <c r="AM158" s="120"/>
      <c r="AN158" s="120"/>
      <c r="AO158" s="120"/>
      <c r="AP158" s="120"/>
      <c r="AQ158" s="120"/>
      <c r="AR158" s="120"/>
      <c r="AS158" s="120"/>
      <c r="AT158" s="120"/>
      <c r="AU158" s="120"/>
      <c r="AV158" s="120"/>
      <c r="AW158" s="120"/>
      <c r="AX158" s="120"/>
      <c r="AY158" s="120"/>
      <c r="AZ158" s="120"/>
      <c r="BA158" s="120"/>
      <c r="BB158" s="120"/>
      <c r="BC158" s="120"/>
      <c r="BD158" s="120"/>
    </row>
    <row r="159" spans="1:56">
      <c r="A159" s="123" t="s">
        <v>141</v>
      </c>
      <c r="B159" s="124" t="s">
        <v>141</v>
      </c>
      <c r="C159" s="125" t="s">
        <v>141</v>
      </c>
      <c r="D159" s="125" t="s">
        <v>141</v>
      </c>
      <c r="E159" s="127"/>
      <c r="F159" s="127"/>
      <c r="G159" s="120"/>
      <c r="H159" s="120"/>
      <c r="I159" s="120"/>
      <c r="J159" s="120"/>
      <c r="K159" s="120"/>
      <c r="L159" s="120"/>
      <c r="M159" s="120"/>
      <c r="N159" s="120"/>
      <c r="O159" s="120"/>
      <c r="P159" s="120"/>
      <c r="Q159" s="120"/>
      <c r="R159" s="120"/>
      <c r="S159" s="120"/>
      <c r="T159" s="120"/>
      <c r="U159" s="120"/>
      <c r="V159" s="120"/>
      <c r="W159" s="120"/>
      <c r="X159" s="120"/>
      <c r="Y159" s="120"/>
      <c r="Z159" s="120"/>
      <c r="AA159" s="120"/>
      <c r="AB159" s="120"/>
      <c r="AC159" s="120"/>
      <c r="AD159" s="111"/>
      <c r="AE159" s="120"/>
      <c r="AF159" s="120"/>
      <c r="AG159" s="120"/>
      <c r="AH159" s="120"/>
      <c r="AI159" s="120"/>
      <c r="AJ159" s="120"/>
      <c r="AK159" s="120"/>
      <c r="AL159" s="120"/>
      <c r="AM159" s="120"/>
      <c r="AN159" s="120"/>
      <c r="AO159" s="120"/>
      <c r="AP159" s="120"/>
      <c r="AQ159" s="120"/>
      <c r="AR159" s="120"/>
      <c r="AS159" s="120"/>
      <c r="AT159" s="120"/>
      <c r="AU159" s="120"/>
      <c r="AV159" s="120"/>
      <c r="AW159" s="120"/>
      <c r="AX159" s="120"/>
      <c r="AY159" s="120"/>
      <c r="AZ159" s="120"/>
      <c r="BA159" s="120"/>
      <c r="BB159" s="120"/>
      <c r="BC159" s="120"/>
      <c r="BD159" s="120"/>
    </row>
    <row r="160" spans="1:56">
      <c r="A160" s="123" t="s">
        <v>141</v>
      </c>
      <c r="B160" s="124" t="s">
        <v>141</v>
      </c>
      <c r="C160" s="125" t="s">
        <v>141</v>
      </c>
      <c r="D160" s="125" t="s">
        <v>141</v>
      </c>
      <c r="E160" s="127"/>
      <c r="F160" s="127"/>
      <c r="G160" s="127"/>
      <c r="H160" s="127"/>
      <c r="I160" s="127"/>
      <c r="J160" s="127"/>
      <c r="K160" s="128"/>
      <c r="L160" s="128"/>
      <c r="M160" s="127"/>
      <c r="N160" s="127"/>
      <c r="O160" s="128"/>
      <c r="P160" s="128"/>
      <c r="Q160" s="126"/>
      <c r="R160" s="127"/>
      <c r="S160" s="127"/>
      <c r="T160" s="129"/>
      <c r="U160" s="129"/>
      <c r="V160" s="152"/>
      <c r="W160" s="152"/>
      <c r="X160" s="153"/>
      <c r="Y160" s="153"/>
      <c r="Z160" s="127"/>
      <c r="AA160" s="127"/>
      <c r="AB160" s="139"/>
      <c r="AC160" s="120"/>
      <c r="AD160" s="111"/>
      <c r="AE160" s="136"/>
      <c r="AF160" s="130"/>
      <c r="AG160" s="137"/>
      <c r="AH160" s="137"/>
      <c r="AI160" s="137"/>
      <c r="AJ160" s="131"/>
      <c r="AK160" s="131"/>
      <c r="AL160" s="131"/>
      <c r="AM160" s="131"/>
      <c r="AN160" s="132"/>
      <c r="AO160" s="132"/>
      <c r="AP160" s="132"/>
      <c r="AQ160" s="132"/>
      <c r="AR160" s="132"/>
      <c r="AS160" s="132"/>
      <c r="AT160" s="132"/>
      <c r="AU160" s="132"/>
    </row>
    <row r="161" spans="1:47">
      <c r="A161" s="123" t="s">
        <v>141</v>
      </c>
      <c r="B161" s="124" t="s">
        <v>141</v>
      </c>
      <c r="C161" s="125" t="s">
        <v>141</v>
      </c>
      <c r="D161" s="125" t="s">
        <v>141</v>
      </c>
      <c r="E161" s="127"/>
      <c r="F161" s="127"/>
      <c r="G161" s="127"/>
      <c r="H161" s="127"/>
      <c r="I161" s="127"/>
      <c r="J161" s="127"/>
      <c r="K161" s="128"/>
      <c r="L161" s="128"/>
      <c r="M161" s="127"/>
      <c r="N161" s="127"/>
      <c r="O161" s="128"/>
      <c r="P161" s="128"/>
      <c r="Q161" s="126"/>
      <c r="R161" s="127"/>
      <c r="S161" s="127"/>
      <c r="T161" s="129"/>
      <c r="U161" s="129"/>
      <c r="V161" s="152"/>
      <c r="W161" s="152"/>
      <c r="X161" s="153"/>
      <c r="Y161" s="153"/>
      <c r="Z161" s="127"/>
      <c r="AA161" s="127"/>
      <c r="AB161" s="139"/>
      <c r="AC161" s="120"/>
      <c r="AD161" s="111"/>
      <c r="AE161" s="136"/>
      <c r="AF161" s="130"/>
      <c r="AG161" s="137"/>
      <c r="AH161" s="137"/>
      <c r="AI161" s="137"/>
      <c r="AJ161" s="131"/>
      <c r="AK161" s="131"/>
      <c r="AL161" s="131"/>
      <c r="AM161" s="131"/>
      <c r="AN161" s="132"/>
      <c r="AO161" s="132"/>
      <c r="AP161" s="132"/>
      <c r="AQ161" s="132"/>
      <c r="AR161" s="132"/>
      <c r="AS161" s="132"/>
      <c r="AT161" s="132"/>
      <c r="AU161" s="132"/>
    </row>
    <row r="162" spans="1:47">
      <c r="A162" s="123" t="s">
        <v>141</v>
      </c>
      <c r="B162" s="124" t="s">
        <v>141</v>
      </c>
      <c r="C162" s="125" t="s">
        <v>141</v>
      </c>
      <c r="D162" s="125" t="s">
        <v>141</v>
      </c>
      <c r="E162" s="127"/>
      <c r="F162" s="127"/>
      <c r="G162" s="127"/>
      <c r="H162" s="127"/>
      <c r="I162" s="127"/>
      <c r="J162" s="127"/>
      <c r="K162" s="128"/>
      <c r="L162" s="128"/>
      <c r="M162" s="127"/>
      <c r="N162" s="127"/>
      <c r="O162" s="128"/>
      <c r="P162" s="128"/>
      <c r="Q162" s="126"/>
      <c r="R162" s="127"/>
      <c r="S162" s="127"/>
      <c r="T162" s="129"/>
      <c r="U162" s="129"/>
      <c r="V162" s="152"/>
      <c r="W162" s="152"/>
      <c r="X162" s="153"/>
      <c r="Y162" s="153"/>
      <c r="Z162" s="127"/>
      <c r="AA162" s="127"/>
      <c r="AB162" s="139"/>
      <c r="AC162" s="120"/>
      <c r="AD162" s="111"/>
      <c r="AE162" s="136"/>
      <c r="AF162" s="130"/>
      <c r="AG162" s="137"/>
      <c r="AH162" s="137"/>
      <c r="AI162" s="137"/>
      <c r="AJ162" s="131"/>
      <c r="AK162" s="131"/>
      <c r="AL162" s="131"/>
      <c r="AM162" s="131"/>
      <c r="AN162" s="132"/>
      <c r="AO162" s="132"/>
      <c r="AP162" s="132"/>
      <c r="AQ162" s="132"/>
      <c r="AR162" s="132"/>
      <c r="AS162" s="132"/>
      <c r="AT162" s="132"/>
      <c r="AU162" s="132"/>
    </row>
    <row r="163" spans="1:47">
      <c r="A163" s="123" t="s">
        <v>141</v>
      </c>
      <c r="B163" s="124" t="s">
        <v>141</v>
      </c>
      <c r="C163" s="125" t="s">
        <v>141</v>
      </c>
      <c r="D163" s="125" t="s">
        <v>141</v>
      </c>
      <c r="E163" s="127"/>
      <c r="F163" s="127"/>
      <c r="G163" s="127"/>
      <c r="H163" s="127"/>
      <c r="I163" s="127"/>
      <c r="J163" s="127"/>
      <c r="K163" s="128"/>
      <c r="L163" s="128"/>
      <c r="M163" s="127"/>
      <c r="N163" s="127"/>
      <c r="O163" s="128"/>
      <c r="P163" s="128"/>
      <c r="Q163" s="126"/>
      <c r="R163" s="127"/>
      <c r="S163" s="127"/>
      <c r="T163" s="129"/>
      <c r="U163" s="129"/>
      <c r="V163" s="152"/>
      <c r="W163" s="152"/>
      <c r="X163" s="153"/>
      <c r="Y163" s="153"/>
      <c r="Z163" s="127"/>
      <c r="AA163" s="127"/>
      <c r="AB163" s="139"/>
      <c r="AC163" s="120"/>
      <c r="AD163" s="111"/>
      <c r="AE163" s="136"/>
      <c r="AF163" s="130"/>
      <c r="AG163" s="137"/>
      <c r="AH163" s="137"/>
      <c r="AI163" s="137"/>
      <c r="AJ163" s="131"/>
      <c r="AK163" s="131"/>
      <c r="AL163" s="131"/>
      <c r="AM163" s="131"/>
      <c r="AN163" s="132"/>
      <c r="AO163" s="132"/>
      <c r="AP163" s="132"/>
      <c r="AQ163" s="132"/>
      <c r="AR163" s="132"/>
      <c r="AS163" s="132"/>
      <c r="AT163" s="132"/>
      <c r="AU163" s="132"/>
    </row>
    <row r="164" spans="1:47">
      <c r="A164" s="123" t="s">
        <v>141</v>
      </c>
      <c r="B164" s="124" t="s">
        <v>141</v>
      </c>
      <c r="C164" s="125" t="s">
        <v>141</v>
      </c>
      <c r="D164" s="125" t="s">
        <v>141</v>
      </c>
      <c r="E164" s="127"/>
      <c r="F164" s="127"/>
      <c r="G164" s="127"/>
      <c r="H164" s="127"/>
      <c r="I164" s="127"/>
      <c r="J164" s="127"/>
      <c r="K164" s="128"/>
      <c r="L164" s="128"/>
      <c r="M164" s="127"/>
      <c r="N164" s="127"/>
      <c r="O164" s="128"/>
      <c r="P164" s="128"/>
      <c r="Q164" s="126"/>
      <c r="R164" s="127"/>
      <c r="S164" s="127"/>
      <c r="T164" s="129"/>
      <c r="U164" s="129"/>
      <c r="V164" s="152"/>
      <c r="W164" s="152"/>
      <c r="X164" s="153"/>
      <c r="Y164" s="153"/>
      <c r="Z164" s="127"/>
      <c r="AA164" s="127"/>
      <c r="AB164" s="139"/>
      <c r="AC164" s="120"/>
      <c r="AD164" s="111"/>
      <c r="AE164" s="136"/>
      <c r="AF164" s="130"/>
      <c r="AG164" s="137"/>
      <c r="AH164" s="137"/>
      <c r="AI164" s="137"/>
      <c r="AJ164" s="131"/>
      <c r="AK164" s="131"/>
      <c r="AL164" s="131"/>
      <c r="AM164" s="131"/>
      <c r="AN164" s="132"/>
      <c r="AO164" s="132"/>
      <c r="AP164" s="132"/>
      <c r="AQ164" s="132"/>
      <c r="AR164" s="132"/>
      <c r="AS164" s="132"/>
      <c r="AT164" s="132"/>
      <c r="AU164" s="132"/>
    </row>
    <row r="165" spans="1:47">
      <c r="A165" s="140" t="s">
        <v>141</v>
      </c>
      <c r="B165" s="140" t="s">
        <v>141</v>
      </c>
      <c r="C165" s="125" t="s">
        <v>141</v>
      </c>
      <c r="D165" s="125" t="s">
        <v>141</v>
      </c>
      <c r="E165" s="127"/>
      <c r="F165" s="127"/>
      <c r="G165" s="127"/>
      <c r="H165" s="127"/>
      <c r="I165" s="127"/>
      <c r="J165" s="127"/>
      <c r="K165" s="128"/>
      <c r="L165" s="128"/>
      <c r="M165" s="127"/>
      <c r="N165" s="127"/>
      <c r="O165" s="128"/>
      <c r="P165" s="128"/>
      <c r="Q165" s="126"/>
      <c r="R165" s="127"/>
      <c r="S165" s="127"/>
      <c r="T165" s="129"/>
      <c r="U165" s="129"/>
      <c r="V165" s="152"/>
      <c r="W165" s="152"/>
      <c r="X165" s="153"/>
      <c r="Y165" s="153"/>
      <c r="Z165" s="127"/>
      <c r="AA165" s="127"/>
      <c r="AB165" s="139"/>
      <c r="AC165" s="120"/>
      <c r="AD165" s="111"/>
      <c r="AE165" s="136"/>
      <c r="AF165" s="130"/>
      <c r="AG165" s="137"/>
      <c r="AH165" s="137"/>
      <c r="AI165" s="137"/>
      <c r="AJ165" s="131"/>
      <c r="AK165" s="131"/>
      <c r="AL165" s="131"/>
      <c r="AM165" s="131"/>
      <c r="AN165" s="132"/>
      <c r="AO165" s="132"/>
      <c r="AP165" s="132"/>
      <c r="AQ165" s="132"/>
      <c r="AR165" s="132"/>
      <c r="AS165" s="132"/>
      <c r="AT165" s="132"/>
      <c r="AU165" s="132"/>
    </row>
    <row r="166" spans="1:47">
      <c r="A166" s="140" t="s">
        <v>141</v>
      </c>
      <c r="B166" s="140" t="s">
        <v>141</v>
      </c>
      <c r="C166" s="125" t="s">
        <v>141</v>
      </c>
      <c r="D166" s="125" t="s">
        <v>141</v>
      </c>
      <c r="E166" s="127"/>
      <c r="F166" s="127"/>
      <c r="G166" s="127"/>
      <c r="H166" s="127"/>
      <c r="I166" s="127"/>
      <c r="J166" s="127"/>
      <c r="K166" s="128"/>
      <c r="L166" s="128"/>
      <c r="M166" s="127"/>
      <c r="N166" s="127"/>
      <c r="O166" s="128"/>
      <c r="P166" s="128"/>
      <c r="Q166" s="126"/>
      <c r="R166" s="127"/>
      <c r="S166" s="127"/>
      <c r="T166" s="129"/>
      <c r="U166" s="129"/>
      <c r="V166" s="152"/>
      <c r="W166" s="152"/>
      <c r="X166" s="153"/>
      <c r="Y166" s="153"/>
      <c r="Z166" s="127"/>
      <c r="AA166" s="127"/>
      <c r="AB166" s="139"/>
      <c r="AC166" s="120"/>
      <c r="AD166" s="111"/>
      <c r="AE166" s="136"/>
      <c r="AF166" s="130"/>
      <c r="AG166" s="137"/>
      <c r="AH166" s="137"/>
      <c r="AI166" s="137"/>
      <c r="AJ166" s="131"/>
      <c r="AK166" s="131"/>
      <c r="AL166" s="131"/>
      <c r="AM166" s="131"/>
      <c r="AN166" s="132"/>
      <c r="AO166" s="132"/>
      <c r="AP166" s="132"/>
      <c r="AQ166" s="132"/>
      <c r="AR166" s="132"/>
      <c r="AS166" s="132"/>
      <c r="AT166" s="132"/>
      <c r="AU166" s="132"/>
    </row>
    <row r="167" spans="1:47">
      <c r="A167" s="140" t="s">
        <v>141</v>
      </c>
      <c r="B167" s="140" t="s">
        <v>141</v>
      </c>
      <c r="C167" s="125" t="s">
        <v>141</v>
      </c>
      <c r="D167" s="125" t="s">
        <v>141</v>
      </c>
      <c r="E167" s="127"/>
      <c r="F167" s="127"/>
      <c r="G167" s="127"/>
      <c r="H167" s="127"/>
      <c r="I167" s="127"/>
      <c r="J167" s="127"/>
      <c r="K167" s="128"/>
      <c r="L167" s="128"/>
      <c r="M167" s="127"/>
      <c r="N167" s="127"/>
      <c r="O167" s="128"/>
      <c r="P167" s="128"/>
      <c r="Q167" s="126"/>
      <c r="R167" s="127"/>
      <c r="S167" s="127"/>
      <c r="T167" s="129"/>
      <c r="U167" s="129"/>
      <c r="V167" s="152"/>
      <c r="W167" s="152"/>
      <c r="X167" s="153"/>
      <c r="Y167" s="153"/>
      <c r="Z167" s="127"/>
      <c r="AA167" s="127"/>
      <c r="AB167" s="139"/>
      <c r="AC167" s="120"/>
      <c r="AD167" s="111"/>
      <c r="AE167" s="136"/>
      <c r="AF167" s="130"/>
      <c r="AG167" s="137"/>
      <c r="AH167" s="137"/>
      <c r="AI167" s="137"/>
      <c r="AJ167" s="131"/>
      <c r="AK167" s="131"/>
      <c r="AL167" s="131"/>
      <c r="AM167" s="131"/>
      <c r="AN167" s="132"/>
      <c r="AO167" s="132"/>
      <c r="AP167" s="132"/>
      <c r="AQ167" s="132"/>
      <c r="AR167" s="132"/>
      <c r="AS167" s="132"/>
      <c r="AT167" s="132"/>
      <c r="AU167" s="132"/>
    </row>
    <row r="168" spans="1:47">
      <c r="A168" s="141" t="s">
        <v>141</v>
      </c>
      <c r="B168" s="141" t="s">
        <v>141</v>
      </c>
      <c r="C168" s="125" t="s">
        <v>141</v>
      </c>
      <c r="D168" s="125" t="s">
        <v>141</v>
      </c>
      <c r="E168" s="127"/>
      <c r="F168" s="127"/>
      <c r="G168" s="127"/>
      <c r="H168" s="127"/>
      <c r="I168" s="127"/>
      <c r="J168" s="127"/>
      <c r="K168" s="128"/>
      <c r="L168" s="128"/>
      <c r="M168" s="127"/>
      <c r="N168" s="127"/>
      <c r="O168" s="128"/>
      <c r="P168" s="128"/>
      <c r="Q168" s="126"/>
      <c r="R168" s="127"/>
      <c r="S168" s="127"/>
      <c r="T168" s="129"/>
      <c r="U168" s="129"/>
      <c r="V168" s="152"/>
      <c r="W168" s="152"/>
      <c r="X168" s="153"/>
      <c r="Y168" s="153"/>
      <c r="Z168" s="127"/>
      <c r="AA168" s="127"/>
      <c r="AB168" s="139"/>
      <c r="AC168" s="139"/>
      <c r="AD168" s="136"/>
      <c r="AE168" s="136"/>
      <c r="AF168" s="130"/>
      <c r="AG168" s="137"/>
      <c r="AH168" s="137"/>
      <c r="AI168" s="137"/>
      <c r="AJ168" s="131"/>
      <c r="AK168" s="131"/>
      <c r="AL168" s="131"/>
      <c r="AM168" s="131"/>
      <c r="AN168" s="132"/>
      <c r="AO168" s="132"/>
      <c r="AP168" s="132"/>
      <c r="AQ168" s="132"/>
      <c r="AR168" s="132"/>
      <c r="AS168" s="132"/>
      <c r="AT168" s="132"/>
      <c r="AU168" s="132"/>
    </row>
    <row r="169" spans="1:47">
      <c r="A169" s="141" t="s">
        <v>141</v>
      </c>
      <c r="B169" s="141" t="s">
        <v>141</v>
      </c>
      <c r="C169" s="136" t="s">
        <v>141</v>
      </c>
      <c r="D169" s="136" t="s">
        <v>141</v>
      </c>
      <c r="E169" s="127"/>
      <c r="F169" s="127"/>
      <c r="G169" s="127"/>
      <c r="H169" s="127"/>
      <c r="I169" s="127"/>
      <c r="J169" s="127"/>
      <c r="K169" s="128"/>
      <c r="L169" s="128"/>
      <c r="M169" s="127"/>
      <c r="N169" s="127"/>
      <c r="O169" s="128"/>
      <c r="P169" s="128"/>
      <c r="Q169" s="126"/>
      <c r="R169" s="127"/>
      <c r="S169" s="127"/>
      <c r="T169" s="129"/>
      <c r="U169" s="129"/>
      <c r="V169" s="152"/>
      <c r="W169" s="152"/>
      <c r="X169" s="153"/>
      <c r="Y169" s="153"/>
      <c r="Z169" s="127"/>
      <c r="AA169" s="127"/>
      <c r="AB169" s="139"/>
      <c r="AC169" s="139"/>
      <c r="AD169" s="136"/>
      <c r="AE169" s="136"/>
      <c r="AF169" s="130"/>
      <c r="AG169" s="137"/>
      <c r="AH169" s="137"/>
      <c r="AI169" s="137"/>
      <c r="AJ169" s="131"/>
      <c r="AK169" s="131"/>
      <c r="AL169" s="131"/>
      <c r="AM169" s="131"/>
      <c r="AN169" s="132"/>
      <c r="AO169" s="132"/>
      <c r="AP169" s="132"/>
      <c r="AQ169" s="132"/>
      <c r="AR169" s="132"/>
      <c r="AS169" s="132"/>
      <c r="AT169" s="132"/>
      <c r="AU169" s="132"/>
    </row>
    <row r="170" spans="1:47">
      <c r="A170" s="141" t="s">
        <v>141</v>
      </c>
      <c r="B170" s="141" t="s">
        <v>141</v>
      </c>
      <c r="C170" s="136" t="s">
        <v>141</v>
      </c>
      <c r="D170" s="136" t="s">
        <v>141</v>
      </c>
      <c r="E170" s="127"/>
      <c r="F170" s="127"/>
      <c r="G170" s="127"/>
      <c r="H170" s="127"/>
      <c r="I170" s="127"/>
      <c r="J170" s="127"/>
      <c r="K170" s="128"/>
      <c r="L170" s="128"/>
      <c r="M170" s="127"/>
      <c r="N170" s="127"/>
      <c r="O170" s="128"/>
      <c r="P170" s="128"/>
      <c r="Q170" s="126"/>
      <c r="R170" s="127"/>
      <c r="S170" s="127"/>
      <c r="T170" s="129"/>
      <c r="U170" s="129"/>
      <c r="V170" s="152"/>
      <c r="W170" s="152"/>
      <c r="X170" s="153"/>
      <c r="Y170" s="153"/>
      <c r="Z170" s="127"/>
      <c r="AA170" s="127"/>
      <c r="AB170" s="139"/>
      <c r="AC170" s="139"/>
      <c r="AD170" s="136"/>
      <c r="AE170" s="136"/>
      <c r="AF170" s="130"/>
      <c r="AG170" s="137"/>
      <c r="AH170" s="137"/>
      <c r="AI170" s="137"/>
      <c r="AJ170" s="131"/>
      <c r="AK170" s="131"/>
      <c r="AL170" s="131"/>
      <c r="AM170" s="131"/>
      <c r="AN170" s="132"/>
      <c r="AO170" s="132"/>
      <c r="AP170" s="132"/>
      <c r="AQ170" s="132"/>
      <c r="AR170" s="132"/>
      <c r="AS170" s="132"/>
      <c r="AT170" s="132"/>
      <c r="AU170" s="132"/>
    </row>
    <row r="171" spans="1:47">
      <c r="C171" s="136" t="s">
        <v>141</v>
      </c>
      <c r="D171" s="136" t="s">
        <v>141</v>
      </c>
      <c r="E171" s="127"/>
      <c r="F171" s="127"/>
      <c r="G171" s="127"/>
      <c r="H171" s="127"/>
      <c r="I171" s="127"/>
      <c r="J171" s="127"/>
      <c r="K171" s="128"/>
      <c r="L171" s="128"/>
      <c r="M171" s="127"/>
      <c r="N171" s="127"/>
      <c r="O171" s="128"/>
      <c r="P171" s="128"/>
      <c r="Q171" s="126"/>
      <c r="R171" s="127"/>
      <c r="S171" s="127"/>
      <c r="T171" s="129"/>
      <c r="U171" s="129"/>
      <c r="V171" s="152"/>
      <c r="W171" s="152"/>
      <c r="X171" s="153"/>
      <c r="Y171" s="153"/>
      <c r="Z171" s="127"/>
      <c r="AA171" s="127"/>
      <c r="AB171" s="139"/>
      <c r="AC171" s="139"/>
      <c r="AD171" s="136"/>
      <c r="AE171" s="136"/>
      <c r="AF171" s="130"/>
      <c r="AG171" s="137"/>
      <c r="AH171" s="137"/>
      <c r="AI171" s="137"/>
      <c r="AJ171" s="131"/>
      <c r="AK171" s="131"/>
      <c r="AL171" s="131"/>
      <c r="AM171" s="131"/>
      <c r="AN171" s="132"/>
      <c r="AO171" s="132"/>
      <c r="AP171" s="132"/>
      <c r="AQ171" s="132"/>
      <c r="AR171" s="132"/>
      <c r="AS171" s="132"/>
      <c r="AT171" s="132"/>
      <c r="AU171" s="132"/>
    </row>
    <row r="172" spans="1:47">
      <c r="C172" s="136" t="s">
        <v>141</v>
      </c>
      <c r="D172" s="136" t="s">
        <v>141</v>
      </c>
      <c r="E172" s="127"/>
      <c r="F172" s="127"/>
      <c r="G172" s="127"/>
      <c r="H172" s="127"/>
      <c r="I172" s="127"/>
      <c r="J172" s="127"/>
      <c r="K172" s="128"/>
      <c r="L172" s="128"/>
      <c r="M172" s="127"/>
      <c r="N172" s="127"/>
      <c r="O172" s="128"/>
      <c r="P172" s="128"/>
      <c r="Q172" s="126"/>
      <c r="R172" s="127"/>
      <c r="S172" s="127"/>
      <c r="T172" s="129"/>
      <c r="U172" s="129"/>
      <c r="V172" s="152"/>
      <c r="W172" s="152"/>
      <c r="X172" s="153"/>
      <c r="Y172" s="153"/>
      <c r="Z172" s="127"/>
      <c r="AA172" s="127"/>
      <c r="AB172" s="139"/>
      <c r="AC172" s="139"/>
      <c r="AD172" s="136"/>
      <c r="AE172" s="136"/>
      <c r="AF172" s="130"/>
      <c r="AG172" s="137"/>
      <c r="AH172" s="137"/>
      <c r="AI172" s="137"/>
      <c r="AJ172" s="131"/>
      <c r="AK172" s="131"/>
      <c r="AL172" s="131"/>
      <c r="AM172" s="131"/>
      <c r="AN172" s="132"/>
      <c r="AO172" s="132"/>
      <c r="AP172" s="132"/>
      <c r="AQ172" s="132"/>
      <c r="AR172" s="132"/>
      <c r="AS172" s="132"/>
      <c r="AT172" s="132"/>
      <c r="AU172" s="132"/>
    </row>
    <row r="173" spans="1:47">
      <c r="C173" s="136" t="s">
        <v>141</v>
      </c>
      <c r="D173" s="136" t="s">
        <v>141</v>
      </c>
      <c r="E173" s="127"/>
      <c r="F173" s="127"/>
      <c r="G173" s="127"/>
      <c r="H173" s="127"/>
      <c r="I173" s="127"/>
      <c r="J173" s="127"/>
      <c r="K173" s="128"/>
      <c r="L173" s="128"/>
      <c r="M173" s="127"/>
      <c r="N173" s="127"/>
      <c r="O173" s="128"/>
      <c r="P173" s="128"/>
      <c r="Q173" s="126"/>
      <c r="R173" s="127"/>
      <c r="S173" s="127"/>
      <c r="T173" s="129"/>
      <c r="U173" s="129"/>
      <c r="V173" s="152"/>
      <c r="W173" s="152"/>
      <c r="X173" s="153"/>
      <c r="Y173" s="153"/>
      <c r="Z173" s="127"/>
      <c r="AA173" s="127"/>
      <c r="AB173" s="139"/>
      <c r="AC173" s="139"/>
      <c r="AD173" s="136"/>
      <c r="AE173" s="136"/>
      <c r="AF173" s="130"/>
      <c r="AG173" s="137"/>
      <c r="AH173" s="137"/>
      <c r="AI173" s="137"/>
      <c r="AJ173" s="131"/>
      <c r="AK173" s="131"/>
      <c r="AL173" s="131"/>
      <c r="AM173" s="131"/>
      <c r="AN173" s="132"/>
      <c r="AO173" s="132"/>
      <c r="AP173" s="132"/>
      <c r="AQ173" s="132"/>
      <c r="AR173" s="132"/>
      <c r="AS173" s="132"/>
      <c r="AT173" s="132"/>
      <c r="AU173" s="132"/>
    </row>
    <row r="174" spans="1:47">
      <c r="C174" s="136" t="s">
        <v>141</v>
      </c>
      <c r="D174" s="136" t="s">
        <v>141</v>
      </c>
      <c r="E174" s="127"/>
      <c r="F174" s="127"/>
      <c r="G174" s="127"/>
      <c r="H174" s="127"/>
      <c r="I174" s="127"/>
      <c r="J174" s="127"/>
      <c r="K174" s="128"/>
      <c r="L174" s="128"/>
      <c r="M174" s="127"/>
      <c r="N174" s="127"/>
      <c r="O174" s="128"/>
      <c r="P174" s="128"/>
      <c r="Q174" s="126"/>
      <c r="R174" s="127"/>
      <c r="S174" s="127"/>
      <c r="T174" s="129"/>
      <c r="U174" s="129"/>
      <c r="V174" s="152"/>
      <c r="W174" s="152"/>
      <c r="X174" s="153"/>
      <c r="Y174" s="153"/>
      <c r="Z174" s="127"/>
      <c r="AA174" s="127"/>
      <c r="AB174" s="139"/>
      <c r="AC174" s="139"/>
      <c r="AD174" s="136"/>
      <c r="AE174" s="136"/>
      <c r="AF174" s="130"/>
      <c r="AG174" s="137"/>
      <c r="AH174" s="137"/>
      <c r="AI174" s="137"/>
      <c r="AJ174" s="131"/>
      <c r="AK174" s="131"/>
      <c r="AL174" s="131"/>
      <c r="AM174" s="131"/>
      <c r="AN174" s="132"/>
      <c r="AO174" s="132"/>
      <c r="AP174" s="132"/>
      <c r="AQ174" s="132"/>
      <c r="AR174" s="132"/>
      <c r="AS174" s="132"/>
      <c r="AT174" s="132"/>
      <c r="AU174" s="132"/>
    </row>
    <row r="175" spans="1:47">
      <c r="C175" s="136" t="s">
        <v>141</v>
      </c>
      <c r="D175" s="136" t="s">
        <v>141</v>
      </c>
      <c r="E175" s="127"/>
      <c r="F175" s="127"/>
      <c r="G175" s="127"/>
      <c r="H175" s="127"/>
      <c r="I175" s="127"/>
      <c r="J175" s="127"/>
      <c r="K175" s="128"/>
      <c r="L175" s="128"/>
      <c r="M175" s="127"/>
      <c r="N175" s="127"/>
      <c r="O175" s="128"/>
      <c r="P175" s="128"/>
      <c r="Q175" s="126"/>
      <c r="R175" s="127"/>
      <c r="S175" s="127"/>
      <c r="T175" s="129"/>
      <c r="U175" s="129"/>
      <c r="V175" s="152"/>
      <c r="W175" s="152"/>
      <c r="X175" s="153"/>
      <c r="Y175" s="153"/>
      <c r="Z175" s="127"/>
      <c r="AA175" s="127"/>
      <c r="AB175" s="139"/>
      <c r="AC175" s="139"/>
      <c r="AD175" s="136"/>
      <c r="AE175" s="136"/>
      <c r="AF175" s="130"/>
      <c r="AG175" s="137"/>
      <c r="AH175" s="137"/>
      <c r="AI175" s="137"/>
      <c r="AJ175" s="131"/>
      <c r="AK175" s="131"/>
      <c r="AL175" s="131"/>
      <c r="AM175" s="131"/>
      <c r="AN175" s="132"/>
      <c r="AO175" s="132"/>
      <c r="AP175" s="132"/>
      <c r="AQ175" s="132"/>
      <c r="AR175" s="132"/>
      <c r="AS175" s="132"/>
      <c r="AT175" s="132"/>
      <c r="AU175" s="132"/>
    </row>
    <row r="176" spans="1:47">
      <c r="C176" s="136" t="s">
        <v>141</v>
      </c>
      <c r="D176" s="136" t="s">
        <v>141</v>
      </c>
      <c r="E176" s="127"/>
      <c r="F176" s="127"/>
      <c r="G176" s="127"/>
      <c r="H176" s="127"/>
      <c r="I176" s="127"/>
      <c r="J176" s="127"/>
      <c r="K176" s="128"/>
      <c r="L176" s="128"/>
      <c r="M176" s="127"/>
      <c r="N176" s="127"/>
      <c r="O176" s="128"/>
      <c r="P176" s="128"/>
      <c r="Q176" s="126"/>
      <c r="R176" s="127"/>
      <c r="S176" s="127"/>
      <c r="T176" s="129"/>
      <c r="U176" s="129"/>
      <c r="V176" s="152"/>
      <c r="W176" s="152"/>
      <c r="X176" s="153"/>
      <c r="Y176" s="153"/>
      <c r="Z176" s="127"/>
      <c r="AA176" s="127"/>
      <c r="AB176" s="139"/>
      <c r="AC176" s="139"/>
      <c r="AD176" s="136"/>
      <c r="AE176" s="136"/>
      <c r="AF176" s="130"/>
      <c r="AG176" s="137"/>
      <c r="AH176" s="137"/>
      <c r="AI176" s="137"/>
      <c r="AJ176" s="131"/>
      <c r="AK176" s="131"/>
      <c r="AL176" s="131"/>
      <c r="AM176" s="131"/>
      <c r="AN176" s="132"/>
      <c r="AO176" s="132"/>
      <c r="AP176" s="132"/>
      <c r="AQ176" s="132"/>
      <c r="AR176" s="132"/>
      <c r="AS176" s="132"/>
      <c r="AT176" s="132"/>
      <c r="AU176" s="132"/>
    </row>
    <row r="177" spans="3:47">
      <c r="C177" s="136" t="s">
        <v>141</v>
      </c>
      <c r="D177" s="136" t="s">
        <v>141</v>
      </c>
      <c r="E177" s="127"/>
      <c r="F177" s="127"/>
      <c r="G177" s="127"/>
      <c r="H177" s="127"/>
      <c r="I177" s="127"/>
      <c r="J177" s="127"/>
      <c r="K177" s="128"/>
      <c r="L177" s="128"/>
      <c r="M177" s="127"/>
      <c r="N177" s="127"/>
      <c r="O177" s="128"/>
      <c r="P177" s="128"/>
      <c r="Q177" s="126"/>
      <c r="R177" s="127"/>
      <c r="S177" s="127"/>
      <c r="T177" s="129"/>
      <c r="U177" s="129"/>
      <c r="V177" s="152"/>
      <c r="W177" s="152"/>
      <c r="X177" s="153"/>
      <c r="Y177" s="153"/>
      <c r="Z177" s="127"/>
      <c r="AA177" s="127"/>
      <c r="AB177" s="139"/>
      <c r="AC177" s="139"/>
      <c r="AD177" s="136"/>
      <c r="AE177" s="136"/>
      <c r="AF177" s="130"/>
      <c r="AG177" s="137"/>
      <c r="AH177" s="137"/>
      <c r="AI177" s="137"/>
      <c r="AJ177" s="131"/>
      <c r="AK177" s="131"/>
      <c r="AL177" s="131"/>
      <c r="AM177" s="131"/>
      <c r="AN177" s="132"/>
      <c r="AO177" s="132"/>
      <c r="AP177" s="132"/>
      <c r="AQ177" s="132"/>
      <c r="AR177" s="132"/>
      <c r="AS177" s="132"/>
      <c r="AT177" s="132"/>
      <c r="AU177" s="132"/>
    </row>
    <row r="178" spans="3:47">
      <c r="C178" s="136" t="s">
        <v>141</v>
      </c>
      <c r="D178" s="136" t="s">
        <v>141</v>
      </c>
      <c r="E178" s="127"/>
      <c r="F178" s="127"/>
      <c r="G178" s="127"/>
      <c r="H178" s="127"/>
      <c r="I178" s="127"/>
      <c r="J178" s="127"/>
      <c r="K178" s="128"/>
      <c r="L178" s="128"/>
      <c r="M178" s="127"/>
      <c r="N178" s="127"/>
      <c r="O178" s="128"/>
      <c r="P178" s="128"/>
      <c r="Q178" s="126"/>
      <c r="R178" s="127"/>
      <c r="S178" s="127"/>
      <c r="T178" s="129"/>
      <c r="U178" s="129"/>
      <c r="V178" s="152"/>
      <c r="W178" s="152"/>
      <c r="X178" s="153"/>
      <c r="Y178" s="153"/>
      <c r="Z178" s="127"/>
      <c r="AA178" s="127"/>
      <c r="AB178" s="139"/>
      <c r="AC178" s="139"/>
      <c r="AD178" s="136"/>
      <c r="AE178" s="136"/>
      <c r="AF178" s="130"/>
      <c r="AG178" s="137"/>
      <c r="AH178" s="137"/>
      <c r="AI178" s="137"/>
      <c r="AJ178" s="131"/>
      <c r="AK178" s="131"/>
      <c r="AL178" s="131"/>
      <c r="AM178" s="131"/>
      <c r="AN178" s="132"/>
      <c r="AO178" s="132"/>
      <c r="AP178" s="132"/>
      <c r="AQ178" s="132"/>
      <c r="AR178" s="132"/>
      <c r="AS178" s="132"/>
      <c r="AT178" s="132"/>
      <c r="AU178" s="132"/>
    </row>
    <row r="179" spans="3:47">
      <c r="C179" s="136" t="s">
        <v>141</v>
      </c>
      <c r="D179" s="136" t="s">
        <v>141</v>
      </c>
      <c r="E179" s="127"/>
      <c r="F179" s="127"/>
      <c r="G179" s="127"/>
      <c r="H179" s="127"/>
      <c r="I179" s="127"/>
      <c r="J179" s="127"/>
      <c r="K179" s="128"/>
      <c r="L179" s="128"/>
      <c r="M179" s="127"/>
      <c r="N179" s="127"/>
      <c r="O179" s="128"/>
      <c r="P179" s="128"/>
      <c r="Q179" s="126"/>
      <c r="R179" s="127"/>
      <c r="S179" s="127"/>
      <c r="T179" s="129"/>
      <c r="U179" s="129"/>
      <c r="V179" s="152"/>
      <c r="W179" s="152"/>
      <c r="X179" s="153"/>
      <c r="Y179" s="153"/>
      <c r="Z179" s="127"/>
      <c r="AA179" s="127"/>
      <c r="AB179" s="139"/>
      <c r="AC179" s="139"/>
      <c r="AD179" s="136"/>
      <c r="AE179" s="136"/>
      <c r="AF179" s="130"/>
      <c r="AG179" s="137"/>
      <c r="AH179" s="137"/>
      <c r="AI179" s="137"/>
      <c r="AJ179" s="131"/>
      <c r="AK179" s="131"/>
      <c r="AL179" s="131"/>
      <c r="AM179" s="131"/>
      <c r="AN179" s="132"/>
      <c r="AO179" s="132"/>
      <c r="AP179" s="132"/>
      <c r="AQ179" s="132"/>
      <c r="AR179" s="132"/>
      <c r="AS179" s="132"/>
      <c r="AT179" s="132"/>
      <c r="AU179" s="132"/>
    </row>
    <row r="180" spans="3:47">
      <c r="C180" s="136" t="s">
        <v>141</v>
      </c>
      <c r="D180" s="136" t="s">
        <v>141</v>
      </c>
      <c r="E180" s="127"/>
      <c r="F180" s="127"/>
      <c r="G180" s="127"/>
      <c r="H180" s="127"/>
      <c r="I180" s="127"/>
      <c r="J180" s="127"/>
      <c r="K180" s="128"/>
      <c r="L180" s="128"/>
      <c r="M180" s="127"/>
      <c r="N180" s="127"/>
      <c r="O180" s="128"/>
      <c r="P180" s="128"/>
      <c r="Q180" s="126"/>
      <c r="R180" s="127"/>
      <c r="S180" s="127"/>
      <c r="T180" s="129"/>
      <c r="U180" s="129"/>
      <c r="V180" s="152"/>
      <c r="W180" s="152"/>
      <c r="Z180" s="127"/>
      <c r="AA180" s="127"/>
      <c r="AB180" s="139"/>
      <c r="AC180" s="139"/>
      <c r="AD180" s="136"/>
      <c r="AE180" s="136"/>
      <c r="AF180" s="130"/>
      <c r="AG180" s="137"/>
      <c r="AH180" s="137"/>
      <c r="AI180" s="137"/>
      <c r="AJ180" s="131"/>
      <c r="AK180" s="131"/>
      <c r="AL180" s="131"/>
      <c r="AM180" s="131"/>
      <c r="AN180" s="132"/>
      <c r="AO180" s="132"/>
      <c r="AP180" s="132"/>
      <c r="AQ180" s="132"/>
      <c r="AR180" s="132"/>
      <c r="AS180" s="132"/>
      <c r="AT180" s="132"/>
      <c r="AU180" s="132"/>
    </row>
    <row r="181" spans="3:47">
      <c r="C181" s="136" t="s">
        <v>141</v>
      </c>
      <c r="D181" s="136" t="s">
        <v>141</v>
      </c>
      <c r="E181" s="127"/>
      <c r="F181" s="127"/>
      <c r="G181" s="127"/>
      <c r="H181" s="127"/>
      <c r="I181" s="127"/>
      <c r="J181" s="127"/>
      <c r="K181" s="128"/>
      <c r="L181" s="128"/>
      <c r="M181" s="127"/>
      <c r="N181" s="127"/>
      <c r="O181" s="128"/>
      <c r="P181" s="128"/>
      <c r="Q181" s="126"/>
      <c r="R181" s="127"/>
      <c r="S181" s="127"/>
      <c r="T181" s="129"/>
      <c r="U181" s="129"/>
      <c r="V181" s="152"/>
      <c r="W181" s="152"/>
      <c r="Z181" s="127"/>
      <c r="AA181" s="127"/>
      <c r="AB181" s="139"/>
      <c r="AC181" s="139"/>
      <c r="AD181" s="136"/>
      <c r="AE181" s="136"/>
      <c r="AF181" s="130"/>
      <c r="AG181" s="137"/>
      <c r="AH181" s="137"/>
      <c r="AI181" s="137"/>
      <c r="AJ181" s="131"/>
      <c r="AK181" s="131"/>
      <c r="AL181" s="131"/>
      <c r="AM181" s="131"/>
      <c r="AN181" s="132"/>
      <c r="AO181" s="132"/>
      <c r="AP181" s="132"/>
      <c r="AQ181" s="132"/>
      <c r="AR181" s="132"/>
      <c r="AS181" s="132"/>
      <c r="AT181" s="132"/>
      <c r="AU181" s="132"/>
    </row>
    <row r="182" spans="3:47">
      <c r="C182" s="136" t="s">
        <v>141</v>
      </c>
      <c r="D182" s="136" t="s">
        <v>141</v>
      </c>
      <c r="E182" s="127"/>
      <c r="F182" s="127"/>
      <c r="G182" s="127"/>
      <c r="H182" s="127"/>
      <c r="I182" s="127"/>
      <c r="J182" s="127"/>
      <c r="K182" s="128"/>
      <c r="L182" s="128"/>
      <c r="M182" s="127"/>
      <c r="N182" s="127"/>
      <c r="O182" s="128"/>
      <c r="P182" s="128"/>
      <c r="Q182" s="126"/>
      <c r="R182" s="127"/>
      <c r="S182" s="127"/>
      <c r="T182" s="129"/>
      <c r="U182" s="129"/>
      <c r="V182" s="152"/>
      <c r="W182" s="152"/>
      <c r="Z182" s="127"/>
      <c r="AA182" s="127"/>
      <c r="AB182" s="139"/>
      <c r="AC182" s="139"/>
      <c r="AD182" s="136"/>
      <c r="AE182" s="136"/>
      <c r="AF182" s="130"/>
      <c r="AG182" s="137"/>
      <c r="AH182" s="137"/>
      <c r="AI182" s="137"/>
      <c r="AJ182" s="131"/>
      <c r="AK182" s="131"/>
      <c r="AL182" s="131"/>
      <c r="AM182" s="131"/>
      <c r="AN182" s="132"/>
      <c r="AO182" s="132"/>
      <c r="AP182" s="132"/>
      <c r="AQ182" s="132"/>
      <c r="AR182" s="132"/>
      <c r="AS182" s="132"/>
      <c r="AT182" s="132"/>
      <c r="AU182" s="132"/>
    </row>
    <row r="183" spans="3:47">
      <c r="C183" s="141" t="s">
        <v>141</v>
      </c>
      <c r="D183" s="141" t="s">
        <v>141</v>
      </c>
    </row>
    <row r="184" spans="3:47">
      <c r="C184" s="141" t="s">
        <v>141</v>
      </c>
      <c r="D184" s="141" t="s">
        <v>141</v>
      </c>
    </row>
    <row r="274" spans="1:35">
      <c r="A274" s="122"/>
      <c r="B274" s="122"/>
      <c r="C274" s="122"/>
      <c r="D274" s="122"/>
      <c r="K274" s="122"/>
      <c r="L274" s="122"/>
      <c r="Q274" s="122"/>
      <c r="T274" s="122"/>
      <c r="U274" s="122"/>
      <c r="V274" s="122"/>
      <c r="W274" s="122"/>
      <c r="X274" s="122"/>
      <c r="Y274" s="122"/>
      <c r="AD274" s="122"/>
      <c r="AE274" s="122"/>
      <c r="AF274" s="122"/>
      <c r="AG274" s="122"/>
      <c r="AH274" s="122"/>
      <c r="AI274" s="122"/>
    </row>
    <row r="275" spans="1:35">
      <c r="A275" s="122"/>
      <c r="B275" s="122"/>
      <c r="C275" s="122"/>
      <c r="D275" s="122"/>
      <c r="K275" s="122"/>
      <c r="L275" s="122"/>
      <c r="Q275" s="122"/>
      <c r="T275" s="122"/>
      <c r="U275" s="122"/>
      <c r="V275" s="122"/>
      <c r="W275" s="122"/>
      <c r="X275" s="122"/>
      <c r="Y275" s="122"/>
      <c r="AD275" s="122"/>
      <c r="AE275" s="122"/>
      <c r="AF275" s="122"/>
      <c r="AG275" s="122"/>
      <c r="AH275" s="122"/>
      <c r="AI275" s="122"/>
    </row>
    <row r="276" spans="1:35">
      <c r="A276" s="122"/>
      <c r="B276" s="122"/>
      <c r="C276" s="122"/>
      <c r="D276" s="122"/>
      <c r="K276" s="122"/>
      <c r="L276" s="122"/>
      <c r="Q276" s="122"/>
      <c r="T276" s="122"/>
      <c r="U276" s="122"/>
      <c r="V276" s="122"/>
      <c r="W276" s="122"/>
      <c r="X276" s="122"/>
      <c r="Y276" s="122"/>
      <c r="AD276" s="122"/>
      <c r="AE276" s="122"/>
      <c r="AF276" s="122"/>
      <c r="AG276" s="122"/>
      <c r="AH276" s="122"/>
      <c r="AI276" s="122"/>
    </row>
    <row r="277" spans="1:35">
      <c r="A277" s="122"/>
      <c r="B277" s="122"/>
      <c r="C277" s="122"/>
      <c r="D277" s="122"/>
      <c r="K277" s="122"/>
      <c r="L277" s="122"/>
      <c r="Q277" s="122"/>
      <c r="T277" s="122"/>
      <c r="U277" s="122"/>
      <c r="V277" s="122"/>
      <c r="W277" s="122"/>
      <c r="X277" s="122"/>
      <c r="Y277" s="122"/>
      <c r="AD277" s="122"/>
      <c r="AE277" s="122"/>
      <c r="AF277" s="122"/>
      <c r="AG277" s="122"/>
      <c r="AH277" s="122"/>
      <c r="AI277" s="122"/>
    </row>
    <row r="278" spans="1:35">
      <c r="A278" s="122"/>
      <c r="B278" s="122"/>
      <c r="C278" s="122"/>
      <c r="D278" s="122"/>
      <c r="K278" s="122"/>
      <c r="L278" s="122"/>
      <c r="Q278" s="122"/>
      <c r="T278" s="122"/>
      <c r="U278" s="122"/>
      <c r="V278" s="122"/>
      <c r="W278" s="122"/>
      <c r="X278" s="122"/>
      <c r="Y278" s="122"/>
      <c r="AD278" s="122"/>
      <c r="AE278" s="122"/>
      <c r="AF278" s="122"/>
      <c r="AG278" s="122"/>
      <c r="AH278" s="122"/>
      <c r="AI278" s="122"/>
    </row>
    <row r="279" spans="1:35">
      <c r="A279" s="122"/>
      <c r="B279" s="122"/>
      <c r="C279" s="122"/>
      <c r="D279" s="122"/>
      <c r="K279" s="122"/>
      <c r="L279" s="122"/>
      <c r="Q279" s="122"/>
      <c r="T279" s="122"/>
      <c r="U279" s="122"/>
      <c r="V279" s="122"/>
      <c r="W279" s="122"/>
      <c r="X279" s="122"/>
      <c r="Y279" s="122"/>
      <c r="AD279" s="122"/>
      <c r="AE279" s="122"/>
      <c r="AF279" s="122"/>
      <c r="AG279" s="122"/>
      <c r="AH279" s="122"/>
      <c r="AI279" s="122"/>
    </row>
    <row r="280" spans="1:35">
      <c r="A280" s="122"/>
      <c r="B280" s="122"/>
      <c r="C280" s="122"/>
      <c r="D280" s="122"/>
      <c r="K280" s="122"/>
      <c r="L280" s="122"/>
      <c r="Q280" s="122"/>
      <c r="T280" s="122"/>
      <c r="U280" s="122"/>
      <c r="V280" s="122"/>
      <c r="W280" s="122"/>
      <c r="X280" s="122"/>
      <c r="Y280" s="122"/>
      <c r="AD280" s="122"/>
      <c r="AE280" s="122"/>
      <c r="AF280" s="122"/>
      <c r="AG280" s="122"/>
      <c r="AH280" s="122"/>
      <c r="AI280" s="122"/>
    </row>
    <row r="281" spans="1:35">
      <c r="A281" s="122"/>
      <c r="B281" s="122"/>
      <c r="C281" s="122"/>
      <c r="D281" s="122"/>
      <c r="K281" s="122"/>
      <c r="L281" s="122"/>
      <c r="Q281" s="122"/>
      <c r="T281" s="122"/>
      <c r="U281" s="122"/>
      <c r="V281" s="122"/>
      <c r="W281" s="122"/>
      <c r="X281" s="122"/>
      <c r="Y281" s="122"/>
      <c r="AD281" s="122"/>
      <c r="AE281" s="122"/>
      <c r="AF281" s="122"/>
      <c r="AG281" s="122"/>
      <c r="AH281" s="122"/>
      <c r="AI281" s="122"/>
    </row>
    <row r="282" spans="1:35">
      <c r="A282" s="122"/>
      <c r="B282" s="122"/>
      <c r="C282" s="122"/>
      <c r="D282" s="122"/>
      <c r="K282" s="122"/>
      <c r="L282" s="122"/>
      <c r="Q282" s="122"/>
      <c r="T282" s="122"/>
      <c r="U282" s="122"/>
      <c r="V282" s="122"/>
      <c r="W282" s="122"/>
      <c r="X282" s="122"/>
      <c r="Y282" s="122"/>
      <c r="AD282" s="122"/>
      <c r="AE282" s="122"/>
      <c r="AF282" s="122"/>
      <c r="AG282" s="122"/>
      <c r="AH282" s="122"/>
      <c r="AI282" s="122"/>
    </row>
    <row r="283" spans="1:35">
      <c r="A283" s="122"/>
      <c r="B283" s="122"/>
      <c r="C283" s="122"/>
      <c r="D283" s="122"/>
      <c r="K283" s="122"/>
      <c r="L283" s="122"/>
      <c r="Q283" s="122"/>
      <c r="T283" s="122"/>
      <c r="U283" s="122"/>
      <c r="V283" s="122"/>
      <c r="W283" s="122"/>
      <c r="X283" s="122"/>
      <c r="Y283" s="122"/>
      <c r="AD283" s="122"/>
      <c r="AE283" s="122"/>
      <c r="AF283" s="122"/>
      <c r="AG283" s="122"/>
      <c r="AH283" s="122"/>
      <c r="AI283" s="122"/>
    </row>
    <row r="284" spans="1:35">
      <c r="A284" s="122"/>
      <c r="B284" s="122"/>
      <c r="C284" s="122"/>
      <c r="D284" s="122"/>
      <c r="K284" s="122"/>
      <c r="L284" s="122"/>
      <c r="Q284" s="122"/>
      <c r="T284" s="122"/>
      <c r="U284" s="122"/>
      <c r="V284" s="122"/>
      <c r="W284" s="122"/>
      <c r="X284" s="122"/>
      <c r="Y284" s="122"/>
      <c r="AD284" s="122"/>
      <c r="AE284" s="122"/>
      <c r="AF284" s="122"/>
      <c r="AG284" s="122"/>
      <c r="AH284" s="122"/>
      <c r="AI284" s="122"/>
    </row>
    <row r="285" spans="1:35">
      <c r="A285" s="122"/>
      <c r="B285" s="122"/>
      <c r="C285" s="122"/>
      <c r="D285" s="122"/>
      <c r="K285" s="122"/>
      <c r="L285" s="122"/>
      <c r="Q285" s="122"/>
      <c r="T285" s="122"/>
      <c r="U285" s="122"/>
      <c r="V285" s="122"/>
      <c r="W285" s="122"/>
      <c r="X285" s="122"/>
      <c r="Y285" s="122"/>
      <c r="AD285" s="122"/>
      <c r="AE285" s="122"/>
      <c r="AF285" s="122"/>
      <c r="AG285" s="122"/>
      <c r="AH285" s="122"/>
      <c r="AI285" s="122"/>
    </row>
    <row r="286" spans="1:35">
      <c r="A286" s="122"/>
      <c r="B286" s="122"/>
      <c r="C286" s="122"/>
      <c r="D286" s="122"/>
      <c r="K286" s="122"/>
      <c r="L286" s="122"/>
      <c r="Q286" s="122"/>
      <c r="T286" s="122"/>
      <c r="U286" s="122"/>
      <c r="V286" s="122"/>
      <c r="W286" s="122"/>
      <c r="X286" s="122"/>
      <c r="Y286" s="122"/>
      <c r="AD286" s="122"/>
      <c r="AE286" s="122"/>
      <c r="AF286" s="122"/>
      <c r="AG286" s="122"/>
      <c r="AH286" s="122"/>
      <c r="AI286" s="122"/>
    </row>
    <row r="287" spans="1:35">
      <c r="A287" s="122"/>
      <c r="B287" s="122"/>
      <c r="C287" s="122"/>
      <c r="D287" s="122"/>
      <c r="K287" s="122"/>
      <c r="L287" s="122"/>
      <c r="Q287" s="122"/>
      <c r="T287" s="122"/>
      <c r="U287" s="122"/>
      <c r="V287" s="122"/>
      <c r="W287" s="122"/>
      <c r="X287" s="122"/>
      <c r="Y287" s="122"/>
      <c r="AD287" s="122"/>
      <c r="AE287" s="122"/>
      <c r="AF287" s="122"/>
      <c r="AG287" s="122"/>
      <c r="AH287" s="122"/>
      <c r="AI287" s="122"/>
    </row>
    <row r="288" spans="1:35">
      <c r="A288" s="122"/>
      <c r="B288" s="122"/>
      <c r="C288" s="122"/>
      <c r="D288" s="122"/>
      <c r="K288" s="122"/>
      <c r="L288" s="122"/>
      <c r="Q288" s="122"/>
      <c r="T288" s="122"/>
      <c r="U288" s="122"/>
      <c r="V288" s="122"/>
      <c r="W288" s="122"/>
      <c r="X288" s="122"/>
      <c r="Y288" s="122"/>
      <c r="AD288" s="122"/>
      <c r="AE288" s="122"/>
      <c r="AF288" s="122"/>
      <c r="AG288" s="122"/>
      <c r="AH288" s="122"/>
      <c r="AI288" s="122"/>
    </row>
    <row r="289" spans="1:35">
      <c r="A289" s="122"/>
      <c r="B289" s="122"/>
      <c r="C289" s="122"/>
      <c r="D289" s="122"/>
      <c r="K289" s="122"/>
      <c r="L289" s="122"/>
      <c r="Q289" s="122"/>
      <c r="T289" s="122"/>
      <c r="U289" s="122"/>
      <c r="V289" s="122"/>
      <c r="W289" s="122"/>
      <c r="X289" s="122"/>
      <c r="Y289" s="122"/>
      <c r="AD289" s="122"/>
      <c r="AE289" s="122"/>
      <c r="AF289" s="122"/>
      <c r="AG289" s="122"/>
      <c r="AH289" s="122"/>
      <c r="AI289" s="122"/>
    </row>
    <row r="290" spans="1:35">
      <c r="A290" s="122"/>
      <c r="B290" s="122"/>
      <c r="C290" s="122"/>
      <c r="D290" s="122"/>
      <c r="K290" s="122"/>
      <c r="L290" s="122"/>
      <c r="Q290" s="122"/>
      <c r="T290" s="122"/>
      <c r="U290" s="122"/>
      <c r="V290" s="122"/>
      <c r="W290" s="122"/>
      <c r="X290" s="122"/>
      <c r="Y290" s="122"/>
      <c r="AD290" s="122"/>
      <c r="AE290" s="122"/>
      <c r="AF290" s="122"/>
      <c r="AG290" s="122"/>
      <c r="AH290" s="122"/>
      <c r="AI290" s="122"/>
    </row>
    <row r="291" spans="1:35">
      <c r="A291" s="122"/>
      <c r="B291" s="122"/>
      <c r="C291" s="122"/>
      <c r="D291" s="122"/>
      <c r="K291" s="122"/>
      <c r="L291" s="122"/>
      <c r="Q291" s="122"/>
      <c r="T291" s="122"/>
      <c r="U291" s="122"/>
      <c r="V291" s="122"/>
      <c r="W291" s="122"/>
      <c r="X291" s="122"/>
      <c r="Y291" s="122"/>
      <c r="AD291" s="122"/>
      <c r="AE291" s="122"/>
      <c r="AF291" s="122"/>
      <c r="AG291" s="122"/>
      <c r="AH291" s="122"/>
      <c r="AI291" s="122"/>
    </row>
    <row r="292" spans="1:35">
      <c r="A292" s="122"/>
      <c r="B292" s="122"/>
      <c r="C292" s="122"/>
      <c r="D292" s="122"/>
      <c r="K292" s="122"/>
      <c r="L292" s="122"/>
      <c r="Q292" s="122"/>
      <c r="T292" s="122"/>
      <c r="U292" s="122"/>
      <c r="V292" s="122"/>
      <c r="W292" s="122"/>
      <c r="X292" s="122"/>
      <c r="Y292" s="122"/>
      <c r="AD292" s="122"/>
      <c r="AE292" s="122"/>
      <c r="AF292" s="122"/>
      <c r="AG292" s="122"/>
      <c r="AH292" s="122"/>
      <c r="AI292" s="122"/>
    </row>
    <row r="293" spans="1:35">
      <c r="A293" s="122"/>
      <c r="B293" s="122"/>
      <c r="C293" s="122"/>
      <c r="D293" s="122"/>
      <c r="K293" s="122"/>
      <c r="L293" s="122"/>
      <c r="Q293" s="122"/>
      <c r="T293" s="122"/>
      <c r="U293" s="122"/>
      <c r="V293" s="122"/>
      <c r="W293" s="122"/>
      <c r="X293" s="122"/>
      <c r="Y293" s="122"/>
      <c r="AD293" s="122"/>
      <c r="AE293" s="122"/>
      <c r="AF293" s="122"/>
      <c r="AG293" s="122"/>
      <c r="AH293" s="122"/>
      <c r="AI293" s="122"/>
    </row>
    <row r="294" spans="1:35">
      <c r="A294" s="122"/>
      <c r="B294" s="122"/>
      <c r="C294" s="122"/>
      <c r="D294" s="122"/>
      <c r="K294" s="122"/>
      <c r="L294" s="122"/>
      <c r="Q294" s="122"/>
      <c r="T294" s="122"/>
      <c r="U294" s="122"/>
      <c r="V294" s="122"/>
      <c r="W294" s="122"/>
      <c r="X294" s="122"/>
      <c r="Y294" s="122"/>
      <c r="AD294" s="122"/>
      <c r="AE294" s="122"/>
      <c r="AF294" s="122"/>
      <c r="AG294" s="122"/>
      <c r="AH294" s="122"/>
      <c r="AI294" s="122"/>
    </row>
    <row r="295" spans="1:35">
      <c r="A295" s="122"/>
      <c r="B295" s="122"/>
      <c r="C295" s="122"/>
      <c r="D295" s="122"/>
      <c r="K295" s="122"/>
      <c r="L295" s="122"/>
      <c r="Q295" s="122"/>
      <c r="T295" s="122"/>
      <c r="U295" s="122"/>
      <c r="V295" s="122"/>
      <c r="W295" s="122"/>
      <c r="X295" s="122"/>
      <c r="Y295" s="122"/>
      <c r="AD295" s="122"/>
      <c r="AE295" s="122"/>
      <c r="AF295" s="122"/>
      <c r="AG295" s="122"/>
      <c r="AH295" s="122"/>
      <c r="AI295" s="122"/>
    </row>
    <row r="296" spans="1:35">
      <c r="A296" s="122"/>
      <c r="B296" s="122"/>
      <c r="C296" s="122"/>
      <c r="D296" s="122"/>
      <c r="K296" s="122"/>
      <c r="L296" s="122"/>
      <c r="Q296" s="122"/>
      <c r="T296" s="122"/>
      <c r="U296" s="122"/>
      <c r="V296" s="122"/>
      <c r="W296" s="122"/>
      <c r="X296" s="122"/>
      <c r="Y296" s="122"/>
      <c r="AD296" s="122"/>
      <c r="AE296" s="122"/>
      <c r="AF296" s="122"/>
      <c r="AG296" s="122"/>
      <c r="AH296" s="122"/>
      <c r="AI296" s="122"/>
    </row>
    <row r="297" spans="1:35">
      <c r="A297" s="122"/>
      <c r="B297" s="122"/>
      <c r="C297" s="122"/>
      <c r="D297" s="122"/>
      <c r="K297" s="122"/>
      <c r="L297" s="122"/>
      <c r="Q297" s="122"/>
      <c r="T297" s="122"/>
      <c r="U297" s="122"/>
      <c r="V297" s="122"/>
      <c r="W297" s="122"/>
      <c r="X297" s="122"/>
      <c r="Y297" s="122"/>
      <c r="AD297" s="122"/>
      <c r="AE297" s="122"/>
      <c r="AF297" s="122"/>
      <c r="AG297" s="122"/>
      <c r="AH297" s="122"/>
      <c r="AI297" s="122"/>
    </row>
    <row r="298" spans="1:35">
      <c r="A298" s="122"/>
      <c r="B298" s="122"/>
      <c r="C298" s="122"/>
      <c r="D298" s="122"/>
      <c r="K298" s="122"/>
      <c r="L298" s="122"/>
      <c r="Q298" s="122"/>
      <c r="T298" s="122"/>
      <c r="U298" s="122"/>
      <c r="V298" s="122"/>
      <c r="W298" s="122"/>
      <c r="X298" s="122"/>
      <c r="Y298" s="122"/>
      <c r="AD298" s="122"/>
      <c r="AE298" s="122"/>
      <c r="AF298" s="122"/>
      <c r="AG298" s="122"/>
      <c r="AH298" s="122"/>
      <c r="AI298" s="122"/>
    </row>
    <row r="299" spans="1:35">
      <c r="A299" s="122"/>
      <c r="B299" s="122"/>
      <c r="C299" s="122"/>
      <c r="D299" s="122"/>
      <c r="K299" s="122"/>
      <c r="L299" s="122"/>
      <c r="Q299" s="122"/>
      <c r="T299" s="122"/>
      <c r="U299" s="122"/>
      <c r="V299" s="122"/>
      <c r="W299" s="122"/>
      <c r="X299" s="122"/>
      <c r="Y299" s="122"/>
      <c r="AD299" s="122"/>
      <c r="AE299" s="122"/>
      <c r="AF299" s="122"/>
      <c r="AG299" s="122"/>
      <c r="AH299" s="122"/>
      <c r="AI299" s="122"/>
    </row>
    <row r="300" spans="1:35">
      <c r="A300" s="122"/>
      <c r="B300" s="122"/>
      <c r="C300" s="122"/>
      <c r="D300" s="122"/>
      <c r="K300" s="122"/>
      <c r="L300" s="122"/>
      <c r="Q300" s="122"/>
      <c r="T300" s="122"/>
      <c r="U300" s="122"/>
      <c r="V300" s="122"/>
      <c r="W300" s="122"/>
      <c r="X300" s="122"/>
      <c r="Y300" s="122"/>
      <c r="AD300" s="122"/>
      <c r="AE300" s="122"/>
      <c r="AF300" s="122"/>
      <c r="AG300" s="122"/>
      <c r="AH300" s="122"/>
      <c r="AI300" s="122"/>
    </row>
    <row r="301" spans="1:35">
      <c r="A301" s="122"/>
      <c r="B301" s="122"/>
      <c r="C301" s="122"/>
      <c r="D301" s="122"/>
      <c r="K301" s="122"/>
      <c r="L301" s="122"/>
      <c r="Q301" s="122"/>
      <c r="T301" s="122"/>
      <c r="U301" s="122"/>
      <c r="V301" s="122"/>
      <c r="W301" s="122"/>
      <c r="X301" s="122"/>
      <c r="Y301" s="122"/>
      <c r="AD301" s="122"/>
      <c r="AE301" s="122"/>
      <c r="AF301" s="122"/>
      <c r="AG301" s="122"/>
      <c r="AH301" s="122"/>
      <c r="AI301" s="122"/>
    </row>
    <row r="302" spans="1:35">
      <c r="A302" s="122"/>
      <c r="B302" s="122"/>
      <c r="C302" s="122"/>
      <c r="D302" s="122"/>
      <c r="K302" s="122"/>
      <c r="L302" s="122"/>
      <c r="Q302" s="122"/>
      <c r="T302" s="122"/>
      <c r="U302" s="122"/>
      <c r="V302" s="122"/>
      <c r="W302" s="122"/>
      <c r="X302" s="122"/>
      <c r="Y302" s="122"/>
      <c r="AD302" s="122"/>
      <c r="AE302" s="122"/>
      <c r="AF302" s="122"/>
      <c r="AG302" s="122"/>
      <c r="AH302" s="122"/>
      <c r="AI302" s="122"/>
    </row>
    <row r="303" spans="1:35">
      <c r="A303" s="122"/>
      <c r="B303" s="122"/>
      <c r="C303" s="122"/>
      <c r="D303" s="122"/>
      <c r="K303" s="122"/>
      <c r="L303" s="122"/>
      <c r="Q303" s="122"/>
      <c r="T303" s="122"/>
      <c r="U303" s="122"/>
      <c r="V303" s="122"/>
      <c r="W303" s="122"/>
      <c r="X303" s="122"/>
      <c r="Y303" s="122"/>
      <c r="AD303" s="122"/>
      <c r="AE303" s="122"/>
      <c r="AF303" s="122"/>
      <c r="AG303" s="122"/>
      <c r="AH303" s="122"/>
      <c r="AI303" s="122"/>
    </row>
    <row r="304" spans="1:35">
      <c r="A304" s="122"/>
      <c r="B304" s="122"/>
      <c r="C304" s="122"/>
      <c r="D304" s="122"/>
      <c r="K304" s="122"/>
      <c r="L304" s="122"/>
      <c r="Q304" s="122"/>
      <c r="T304" s="122"/>
      <c r="U304" s="122"/>
      <c r="V304" s="122"/>
      <c r="W304" s="122"/>
      <c r="X304" s="122"/>
      <c r="Y304" s="122"/>
      <c r="AD304" s="122"/>
      <c r="AE304" s="122"/>
      <c r="AF304" s="122"/>
      <c r="AG304" s="122"/>
      <c r="AH304" s="122"/>
      <c r="AI304" s="122"/>
    </row>
    <row r="305" spans="1:35">
      <c r="A305" s="122"/>
      <c r="B305" s="122"/>
      <c r="C305" s="122"/>
      <c r="D305" s="122"/>
      <c r="K305" s="122"/>
      <c r="L305" s="122"/>
      <c r="Q305" s="122"/>
      <c r="T305" s="122"/>
      <c r="U305" s="122"/>
      <c r="V305" s="122"/>
      <c r="W305" s="122"/>
      <c r="X305" s="122"/>
      <c r="Y305" s="122"/>
      <c r="AD305" s="122"/>
      <c r="AE305" s="122"/>
      <c r="AF305" s="122"/>
      <c r="AG305" s="122"/>
      <c r="AH305" s="122"/>
      <c r="AI305" s="122"/>
    </row>
    <row r="306" spans="1:35">
      <c r="A306" s="122"/>
      <c r="B306" s="122"/>
      <c r="C306" s="122"/>
      <c r="D306" s="122"/>
      <c r="K306" s="122"/>
      <c r="L306" s="122"/>
      <c r="Q306" s="122"/>
      <c r="T306" s="122"/>
      <c r="U306" s="122"/>
      <c r="V306" s="122"/>
      <c r="W306" s="122"/>
      <c r="X306" s="122"/>
      <c r="Y306" s="122"/>
      <c r="AD306" s="122"/>
      <c r="AE306" s="122"/>
      <c r="AF306" s="122"/>
      <c r="AG306" s="122"/>
      <c r="AH306" s="122"/>
      <c r="AI306" s="122"/>
    </row>
    <row r="307" spans="1:35">
      <c r="A307" s="122"/>
      <c r="B307" s="122"/>
      <c r="C307" s="122"/>
      <c r="D307" s="122"/>
      <c r="K307" s="122"/>
      <c r="L307" s="122"/>
      <c r="Q307" s="122"/>
      <c r="T307" s="122"/>
      <c r="U307" s="122"/>
      <c r="V307" s="122"/>
      <c r="W307" s="122"/>
      <c r="X307" s="122"/>
      <c r="Y307" s="122"/>
      <c r="AD307" s="122"/>
      <c r="AE307" s="122"/>
      <c r="AF307" s="122"/>
      <c r="AG307" s="122"/>
      <c r="AH307" s="122"/>
      <c r="AI307" s="122"/>
    </row>
    <row r="308" spans="1:35">
      <c r="A308" s="122"/>
      <c r="B308" s="122"/>
      <c r="C308" s="122"/>
      <c r="D308" s="122"/>
      <c r="K308" s="122"/>
      <c r="L308" s="122"/>
      <c r="Q308" s="122"/>
      <c r="T308" s="122"/>
      <c r="U308" s="122"/>
      <c r="V308" s="122"/>
      <c r="W308" s="122"/>
      <c r="X308" s="122"/>
      <c r="Y308" s="122"/>
      <c r="AD308" s="122"/>
      <c r="AE308" s="122"/>
      <c r="AF308" s="122"/>
      <c r="AG308" s="122"/>
      <c r="AH308" s="122"/>
      <c r="AI308" s="122"/>
    </row>
    <row r="309" spans="1:35">
      <c r="A309" s="122"/>
      <c r="B309" s="122"/>
      <c r="C309" s="122"/>
      <c r="D309" s="122"/>
      <c r="K309" s="122"/>
      <c r="L309" s="122"/>
      <c r="Q309" s="122"/>
      <c r="T309" s="122"/>
      <c r="U309" s="122"/>
      <c r="V309" s="122"/>
      <c r="W309" s="122"/>
      <c r="X309" s="122"/>
      <c r="Y309" s="122"/>
      <c r="AD309" s="122"/>
      <c r="AE309" s="122"/>
      <c r="AF309" s="122"/>
      <c r="AG309" s="122"/>
      <c r="AH309" s="122"/>
      <c r="AI309" s="122"/>
    </row>
    <row r="310" spans="1:35">
      <c r="A310" s="122"/>
      <c r="B310" s="122"/>
      <c r="C310" s="122"/>
      <c r="D310" s="122"/>
      <c r="K310" s="122"/>
      <c r="L310" s="122"/>
      <c r="Q310" s="122"/>
      <c r="T310" s="122"/>
      <c r="U310" s="122"/>
      <c r="V310" s="122"/>
      <c r="W310" s="122"/>
      <c r="X310" s="122"/>
      <c r="Y310" s="122"/>
      <c r="AD310" s="122"/>
      <c r="AE310" s="122"/>
      <c r="AF310" s="122"/>
      <c r="AG310" s="122"/>
      <c r="AH310" s="122"/>
      <c r="AI310" s="122"/>
    </row>
    <row r="311" spans="1:35">
      <c r="A311" s="122"/>
      <c r="B311" s="122"/>
      <c r="C311" s="122"/>
      <c r="D311" s="122"/>
      <c r="K311" s="122"/>
      <c r="L311" s="122"/>
      <c r="Q311" s="122"/>
      <c r="T311" s="122"/>
      <c r="U311" s="122"/>
      <c r="V311" s="122"/>
      <c r="W311" s="122"/>
      <c r="X311" s="122"/>
      <c r="Y311" s="122"/>
      <c r="AD311" s="122"/>
      <c r="AE311" s="122"/>
      <c r="AF311" s="122"/>
      <c r="AG311" s="122"/>
      <c r="AH311" s="122"/>
      <c r="AI311" s="122"/>
    </row>
    <row r="312" spans="1:35">
      <c r="A312" s="122"/>
      <c r="B312" s="122"/>
      <c r="C312" s="122"/>
      <c r="D312" s="122"/>
      <c r="K312" s="122"/>
      <c r="L312" s="122"/>
      <c r="Q312" s="122"/>
      <c r="T312" s="122"/>
      <c r="U312" s="122"/>
      <c r="V312" s="122"/>
      <c r="W312" s="122"/>
      <c r="X312" s="122"/>
      <c r="Y312" s="122"/>
      <c r="AD312" s="122"/>
      <c r="AE312" s="122"/>
      <c r="AF312" s="122"/>
      <c r="AG312" s="122"/>
      <c r="AH312" s="122"/>
      <c r="AI312" s="122"/>
    </row>
    <row r="313" spans="1:35">
      <c r="A313" s="122"/>
      <c r="B313" s="122"/>
      <c r="C313" s="122"/>
      <c r="D313" s="122"/>
      <c r="K313" s="122"/>
      <c r="L313" s="122"/>
      <c r="Q313" s="122"/>
      <c r="T313" s="122"/>
      <c r="U313" s="122"/>
      <c r="V313" s="122"/>
      <c r="W313" s="122"/>
      <c r="X313" s="122"/>
      <c r="Y313" s="122"/>
      <c r="AD313" s="122"/>
      <c r="AE313" s="122"/>
      <c r="AF313" s="122"/>
      <c r="AG313" s="122"/>
      <c r="AH313" s="122"/>
      <c r="AI313" s="122"/>
    </row>
    <row r="314" spans="1:35">
      <c r="A314" s="122"/>
      <c r="B314" s="122"/>
      <c r="C314" s="122"/>
      <c r="D314" s="122"/>
      <c r="K314" s="122"/>
      <c r="L314" s="122"/>
      <c r="Q314" s="122"/>
      <c r="T314" s="122"/>
      <c r="U314" s="122"/>
      <c r="V314" s="122"/>
      <c r="W314" s="122"/>
      <c r="X314" s="122"/>
      <c r="Y314" s="122"/>
      <c r="AD314" s="122"/>
      <c r="AE314" s="122"/>
      <c r="AF314" s="122"/>
      <c r="AG314" s="122"/>
      <c r="AH314" s="122"/>
      <c r="AI314" s="122"/>
    </row>
    <row r="315" spans="1:35">
      <c r="A315" s="122"/>
      <c r="B315" s="122"/>
      <c r="C315" s="122"/>
      <c r="D315" s="122"/>
      <c r="K315" s="122"/>
      <c r="L315" s="122"/>
      <c r="Q315" s="122"/>
      <c r="T315" s="122"/>
      <c r="U315" s="122"/>
      <c r="V315" s="122"/>
      <c r="W315" s="122"/>
      <c r="X315" s="122"/>
      <c r="Y315" s="122"/>
      <c r="AD315" s="122"/>
      <c r="AE315" s="122"/>
      <c r="AF315" s="122"/>
      <c r="AG315" s="122"/>
      <c r="AH315" s="122"/>
      <c r="AI315" s="122"/>
    </row>
    <row r="316" spans="1:35">
      <c r="A316" s="122"/>
      <c r="B316" s="122"/>
      <c r="C316" s="122"/>
      <c r="D316" s="122"/>
      <c r="K316" s="122"/>
      <c r="L316" s="122"/>
      <c r="Q316" s="122"/>
      <c r="T316" s="122"/>
      <c r="U316" s="122"/>
      <c r="V316" s="122"/>
      <c r="W316" s="122"/>
      <c r="X316" s="122"/>
      <c r="Y316" s="122"/>
      <c r="AD316" s="122"/>
      <c r="AE316" s="122"/>
      <c r="AF316" s="122"/>
      <c r="AG316" s="122"/>
      <c r="AH316" s="122"/>
      <c r="AI316" s="122"/>
    </row>
    <row r="317" spans="1:35">
      <c r="A317" s="122"/>
      <c r="B317" s="122"/>
      <c r="C317" s="122"/>
      <c r="D317" s="122"/>
      <c r="K317" s="122"/>
      <c r="L317" s="122"/>
      <c r="Q317" s="122"/>
      <c r="T317" s="122"/>
      <c r="U317" s="122"/>
      <c r="V317" s="122"/>
      <c r="W317" s="122"/>
      <c r="X317" s="122"/>
      <c r="Y317" s="122"/>
      <c r="AD317" s="122"/>
      <c r="AE317" s="122"/>
      <c r="AF317" s="122"/>
      <c r="AG317" s="122"/>
      <c r="AH317" s="122"/>
      <c r="AI317" s="122"/>
    </row>
    <row r="318" spans="1:35">
      <c r="A318" s="122"/>
      <c r="B318" s="122"/>
      <c r="C318" s="122"/>
      <c r="D318" s="122"/>
      <c r="K318" s="122"/>
      <c r="L318" s="122"/>
      <c r="Q318" s="122"/>
      <c r="T318" s="122"/>
      <c r="U318" s="122"/>
      <c r="V318" s="122"/>
      <c r="W318" s="122"/>
      <c r="X318" s="122"/>
      <c r="Y318" s="122"/>
      <c r="AD318" s="122"/>
      <c r="AE318" s="122"/>
      <c r="AF318" s="122"/>
      <c r="AG318" s="122"/>
      <c r="AH318" s="122"/>
      <c r="AI318" s="122"/>
    </row>
    <row r="319" spans="1:35">
      <c r="A319" s="122"/>
      <c r="B319" s="122"/>
      <c r="C319" s="122"/>
      <c r="D319" s="122"/>
      <c r="K319" s="122"/>
      <c r="L319" s="122"/>
      <c r="Q319" s="122"/>
      <c r="T319" s="122"/>
      <c r="U319" s="122"/>
      <c r="V319" s="122"/>
      <c r="W319" s="122"/>
      <c r="X319" s="122"/>
      <c r="Y319" s="122"/>
      <c r="AD319" s="122"/>
      <c r="AE319" s="122"/>
      <c r="AF319" s="122"/>
      <c r="AG319" s="122"/>
      <c r="AH319" s="122"/>
      <c r="AI319" s="122"/>
    </row>
    <row r="320" spans="1:35">
      <c r="A320" s="122"/>
      <c r="B320" s="122"/>
      <c r="C320" s="122"/>
      <c r="D320" s="122"/>
      <c r="K320" s="122"/>
      <c r="L320" s="122"/>
      <c r="Q320" s="122"/>
      <c r="T320" s="122"/>
      <c r="U320" s="122"/>
      <c r="V320" s="122"/>
      <c r="W320" s="122"/>
      <c r="X320" s="122"/>
      <c r="Y320" s="122"/>
      <c r="AD320" s="122"/>
      <c r="AE320" s="122"/>
      <c r="AF320" s="122"/>
      <c r="AG320" s="122"/>
      <c r="AH320" s="122"/>
      <c r="AI320" s="122"/>
    </row>
    <row r="321" spans="1:35">
      <c r="A321" s="122"/>
      <c r="B321" s="122"/>
      <c r="C321" s="122"/>
      <c r="D321" s="122"/>
      <c r="K321" s="122"/>
      <c r="L321" s="122"/>
      <c r="Q321" s="122"/>
      <c r="T321" s="122"/>
      <c r="U321" s="122"/>
      <c r="V321" s="122"/>
      <c r="W321" s="122"/>
      <c r="X321" s="122"/>
      <c r="Y321" s="122"/>
      <c r="AD321" s="122"/>
      <c r="AE321" s="122"/>
      <c r="AF321" s="122"/>
      <c r="AG321" s="122"/>
      <c r="AH321" s="122"/>
      <c r="AI321" s="122"/>
    </row>
    <row r="322" spans="1:35">
      <c r="A322" s="122"/>
      <c r="B322" s="122"/>
      <c r="C322" s="122"/>
      <c r="D322" s="122"/>
      <c r="K322" s="122"/>
      <c r="L322" s="122"/>
      <c r="Q322" s="122"/>
      <c r="T322" s="122"/>
      <c r="U322" s="122"/>
      <c r="V322" s="122"/>
      <c r="W322" s="122"/>
      <c r="X322" s="122"/>
      <c r="Y322" s="122"/>
      <c r="AD322" s="122"/>
      <c r="AE322" s="122"/>
      <c r="AF322" s="122"/>
      <c r="AG322" s="122"/>
      <c r="AH322" s="122"/>
      <c r="AI322" s="122"/>
    </row>
    <row r="323" spans="1:35">
      <c r="A323" s="122"/>
      <c r="B323" s="122"/>
      <c r="C323" s="122"/>
      <c r="D323" s="122"/>
      <c r="K323" s="122"/>
      <c r="L323" s="122"/>
      <c r="Q323" s="122"/>
      <c r="T323" s="122"/>
      <c r="U323" s="122"/>
      <c r="V323" s="122"/>
      <c r="W323" s="122"/>
      <c r="X323" s="122"/>
      <c r="Y323" s="122"/>
      <c r="AD323" s="122"/>
      <c r="AE323" s="122"/>
      <c r="AF323" s="122"/>
      <c r="AG323" s="122"/>
      <c r="AH323" s="122"/>
      <c r="AI323" s="122"/>
    </row>
    <row r="324" spans="1:35">
      <c r="A324" s="122"/>
      <c r="B324" s="122"/>
      <c r="C324" s="122"/>
      <c r="D324" s="122"/>
      <c r="K324" s="122"/>
      <c r="L324" s="122"/>
      <c r="Q324" s="122"/>
      <c r="T324" s="122"/>
      <c r="U324" s="122"/>
      <c r="V324" s="122"/>
      <c r="W324" s="122"/>
      <c r="X324" s="122"/>
      <c r="Y324" s="122"/>
      <c r="AD324" s="122"/>
      <c r="AE324" s="122"/>
      <c r="AF324" s="122"/>
      <c r="AG324" s="122"/>
      <c r="AH324" s="122"/>
      <c r="AI324" s="122"/>
    </row>
    <row r="325" spans="1:35">
      <c r="A325" s="122"/>
      <c r="B325" s="122"/>
      <c r="C325" s="122"/>
      <c r="D325" s="122"/>
      <c r="K325" s="122"/>
      <c r="L325" s="122"/>
      <c r="Q325" s="122"/>
      <c r="T325" s="122"/>
      <c r="U325" s="122"/>
      <c r="V325" s="122"/>
      <c r="W325" s="122"/>
      <c r="X325" s="122"/>
      <c r="Y325" s="122"/>
      <c r="AD325" s="122"/>
      <c r="AE325" s="122"/>
      <c r="AF325" s="122"/>
      <c r="AG325" s="122"/>
      <c r="AH325" s="122"/>
      <c r="AI325" s="122"/>
    </row>
    <row r="326" spans="1:35">
      <c r="A326" s="122"/>
      <c r="B326" s="122"/>
      <c r="C326" s="122"/>
      <c r="D326" s="122"/>
      <c r="K326" s="122"/>
      <c r="L326" s="122"/>
      <c r="Q326" s="122"/>
      <c r="T326" s="122"/>
      <c r="U326" s="122"/>
      <c r="V326" s="122"/>
      <c r="W326" s="122"/>
      <c r="X326" s="122"/>
      <c r="Y326" s="122"/>
      <c r="AD326" s="122"/>
      <c r="AE326" s="122"/>
      <c r="AF326" s="122"/>
      <c r="AG326" s="122"/>
      <c r="AH326" s="122"/>
      <c r="AI326" s="122"/>
    </row>
    <row r="327" spans="1:35">
      <c r="A327" s="122"/>
      <c r="B327" s="122"/>
      <c r="C327" s="122"/>
      <c r="D327" s="122"/>
      <c r="K327" s="122"/>
      <c r="L327" s="122"/>
      <c r="Q327" s="122"/>
      <c r="T327" s="122"/>
      <c r="U327" s="122"/>
      <c r="V327" s="122"/>
      <c r="W327" s="122"/>
      <c r="X327" s="122"/>
      <c r="Y327" s="122"/>
      <c r="AD327" s="122"/>
      <c r="AE327" s="122"/>
      <c r="AF327" s="122"/>
      <c r="AG327" s="122"/>
      <c r="AH327" s="122"/>
      <c r="AI327" s="122"/>
    </row>
    <row r="328" spans="1:35">
      <c r="A328" s="122"/>
      <c r="B328" s="122"/>
      <c r="C328" s="122"/>
      <c r="D328" s="122"/>
      <c r="K328" s="122"/>
      <c r="L328" s="122"/>
      <c r="Q328" s="122"/>
      <c r="T328" s="122"/>
      <c r="U328" s="122"/>
      <c r="V328" s="122"/>
      <c r="W328" s="122"/>
      <c r="X328" s="122"/>
      <c r="Y328" s="122"/>
      <c r="AD328" s="122"/>
      <c r="AE328" s="122"/>
      <c r="AF328" s="122"/>
      <c r="AG328" s="122"/>
      <c r="AH328" s="122"/>
      <c r="AI328" s="122"/>
    </row>
    <row r="329" spans="1:35">
      <c r="A329" s="122"/>
      <c r="B329" s="122"/>
      <c r="C329" s="122"/>
      <c r="D329" s="122"/>
      <c r="K329" s="122"/>
      <c r="L329" s="122"/>
      <c r="Q329" s="122"/>
      <c r="T329" s="122"/>
      <c r="U329" s="122"/>
      <c r="V329" s="122"/>
      <c r="W329" s="122"/>
      <c r="X329" s="122"/>
      <c r="Y329" s="122"/>
      <c r="AD329" s="122"/>
      <c r="AE329" s="122"/>
      <c r="AF329" s="122"/>
      <c r="AG329" s="122"/>
      <c r="AH329" s="122"/>
      <c r="AI329" s="122"/>
    </row>
    <row r="330" spans="1:35">
      <c r="A330" s="122"/>
      <c r="B330" s="122"/>
      <c r="C330" s="122"/>
      <c r="D330" s="122"/>
      <c r="K330" s="122"/>
      <c r="L330" s="122"/>
      <c r="Q330" s="122"/>
      <c r="T330" s="122"/>
      <c r="U330" s="122"/>
      <c r="V330" s="122"/>
      <c r="W330" s="122"/>
      <c r="X330" s="122"/>
      <c r="Y330" s="122"/>
      <c r="AD330" s="122"/>
      <c r="AE330" s="122"/>
      <c r="AF330" s="122"/>
      <c r="AG330" s="122"/>
      <c r="AH330" s="122"/>
      <c r="AI330" s="122"/>
    </row>
    <row r="331" spans="1:35">
      <c r="A331" s="122"/>
      <c r="B331" s="122"/>
      <c r="C331" s="122"/>
      <c r="D331" s="122"/>
      <c r="K331" s="122"/>
      <c r="L331" s="122"/>
      <c r="Q331" s="122"/>
      <c r="T331" s="122"/>
      <c r="U331" s="122"/>
      <c r="V331" s="122"/>
      <c r="W331" s="122"/>
      <c r="X331" s="122"/>
      <c r="Y331" s="122"/>
      <c r="AD331" s="122"/>
      <c r="AE331" s="122"/>
      <c r="AF331" s="122"/>
      <c r="AG331" s="122"/>
      <c r="AH331" s="122"/>
      <c r="AI331" s="122"/>
    </row>
    <row r="332" spans="1:35">
      <c r="A332" s="122"/>
      <c r="B332" s="122"/>
      <c r="C332" s="122"/>
      <c r="D332" s="122"/>
      <c r="K332" s="122"/>
      <c r="L332" s="122"/>
      <c r="Q332" s="122"/>
      <c r="T332" s="122"/>
      <c r="U332" s="122"/>
      <c r="V332" s="122"/>
      <c r="W332" s="122"/>
      <c r="X332" s="122"/>
      <c r="Y332" s="122"/>
      <c r="AD332" s="122"/>
      <c r="AE332" s="122"/>
      <c r="AF332" s="122"/>
      <c r="AG332" s="122"/>
      <c r="AH332" s="122"/>
      <c r="AI332" s="122"/>
    </row>
    <row r="333" spans="1:35">
      <c r="A333" s="122"/>
      <c r="B333" s="122"/>
      <c r="C333" s="122"/>
      <c r="D333" s="122"/>
      <c r="K333" s="122"/>
      <c r="L333" s="122"/>
      <c r="Q333" s="122"/>
      <c r="T333" s="122"/>
      <c r="U333" s="122"/>
      <c r="V333" s="122"/>
      <c r="W333" s="122"/>
      <c r="X333" s="122"/>
      <c r="Y333" s="122"/>
      <c r="AD333" s="122"/>
      <c r="AE333" s="122"/>
      <c r="AF333" s="122"/>
      <c r="AG333" s="122"/>
      <c r="AH333" s="122"/>
      <c r="AI333" s="122"/>
    </row>
    <row r="334" spans="1:35">
      <c r="A334" s="122"/>
      <c r="B334" s="122"/>
      <c r="C334" s="122"/>
      <c r="D334" s="122"/>
      <c r="K334" s="122"/>
      <c r="L334" s="122"/>
      <c r="Q334" s="122"/>
      <c r="T334" s="122"/>
      <c r="U334" s="122"/>
      <c r="V334" s="122"/>
      <c r="W334" s="122"/>
      <c r="X334" s="122"/>
      <c r="Y334" s="122"/>
      <c r="AD334" s="122"/>
      <c r="AE334" s="122"/>
      <c r="AF334" s="122"/>
      <c r="AG334" s="122"/>
      <c r="AH334" s="122"/>
      <c r="AI334" s="122"/>
    </row>
    <row r="335" spans="1:35">
      <c r="A335" s="122"/>
      <c r="B335" s="122"/>
      <c r="C335" s="122"/>
      <c r="D335" s="122"/>
      <c r="K335" s="122"/>
      <c r="L335" s="122"/>
      <c r="Q335" s="122"/>
      <c r="T335" s="122"/>
      <c r="U335" s="122"/>
      <c r="V335" s="122"/>
      <c r="W335" s="122"/>
      <c r="X335" s="122"/>
      <c r="Y335" s="122"/>
      <c r="AD335" s="122"/>
      <c r="AE335" s="122"/>
      <c r="AF335" s="122"/>
      <c r="AG335" s="122"/>
      <c r="AH335" s="122"/>
      <c r="AI335" s="122"/>
    </row>
    <row r="336" spans="1:35">
      <c r="A336" s="122"/>
      <c r="B336" s="122"/>
      <c r="C336" s="122"/>
      <c r="D336" s="122"/>
      <c r="K336" s="122"/>
      <c r="L336" s="122"/>
      <c r="Q336" s="122"/>
      <c r="T336" s="122"/>
      <c r="U336" s="122"/>
      <c r="V336" s="122"/>
      <c r="W336" s="122"/>
      <c r="X336" s="122"/>
      <c r="Y336" s="122"/>
      <c r="AD336" s="122"/>
      <c r="AE336" s="122"/>
      <c r="AF336" s="122"/>
      <c r="AG336" s="122"/>
      <c r="AH336" s="122"/>
      <c r="AI336" s="122"/>
    </row>
    <row r="337" spans="1:35">
      <c r="A337" s="122"/>
      <c r="B337" s="122"/>
      <c r="C337" s="122"/>
      <c r="D337" s="122"/>
      <c r="K337" s="122"/>
      <c r="L337" s="122"/>
      <c r="Q337" s="122"/>
      <c r="T337" s="122"/>
      <c r="U337" s="122"/>
      <c r="V337" s="122"/>
      <c r="W337" s="122"/>
      <c r="X337" s="122"/>
      <c r="Y337" s="122"/>
      <c r="AD337" s="122"/>
      <c r="AE337" s="122"/>
      <c r="AF337" s="122"/>
      <c r="AG337" s="122"/>
      <c r="AH337" s="122"/>
      <c r="AI337" s="122"/>
    </row>
    <row r="338" spans="1:35">
      <c r="A338" s="122"/>
      <c r="B338" s="122"/>
      <c r="C338" s="122"/>
      <c r="D338" s="122"/>
      <c r="K338" s="122"/>
      <c r="L338" s="122"/>
      <c r="Q338" s="122"/>
      <c r="T338" s="122"/>
      <c r="U338" s="122"/>
      <c r="V338" s="122"/>
      <c r="W338" s="122"/>
      <c r="X338" s="122"/>
      <c r="Y338" s="122"/>
      <c r="AD338" s="122"/>
      <c r="AE338" s="122"/>
      <c r="AF338" s="122"/>
      <c r="AG338" s="122"/>
      <c r="AH338" s="122"/>
      <c r="AI338" s="122"/>
    </row>
    <row r="339" spans="1:35">
      <c r="A339" s="122"/>
      <c r="B339" s="122"/>
      <c r="C339" s="122"/>
      <c r="D339" s="122"/>
      <c r="K339" s="122"/>
      <c r="L339" s="122"/>
      <c r="Q339" s="122"/>
      <c r="T339" s="122"/>
      <c r="U339" s="122"/>
      <c r="V339" s="122"/>
      <c r="W339" s="122"/>
      <c r="X339" s="122"/>
      <c r="Y339" s="122"/>
      <c r="AD339" s="122"/>
      <c r="AE339" s="122"/>
      <c r="AF339" s="122"/>
      <c r="AG339" s="122"/>
      <c r="AH339" s="122"/>
      <c r="AI339" s="122"/>
    </row>
    <row r="340" spans="1:35">
      <c r="A340" s="122"/>
      <c r="B340" s="122"/>
      <c r="C340" s="122"/>
      <c r="D340" s="122"/>
      <c r="K340" s="122"/>
      <c r="L340" s="122"/>
      <c r="Q340" s="122"/>
      <c r="T340" s="122"/>
      <c r="U340" s="122"/>
      <c r="V340" s="122"/>
      <c r="W340" s="122"/>
      <c r="X340" s="122"/>
      <c r="Y340" s="122"/>
      <c r="AD340" s="122"/>
      <c r="AE340" s="122"/>
      <c r="AF340" s="122"/>
      <c r="AG340" s="122"/>
      <c r="AH340" s="122"/>
      <c r="AI340" s="122"/>
    </row>
    <row r="341" spans="1:35">
      <c r="A341" s="122"/>
      <c r="B341" s="122"/>
      <c r="C341" s="122"/>
      <c r="D341" s="122"/>
      <c r="K341" s="122"/>
      <c r="L341" s="122"/>
      <c r="Q341" s="122"/>
      <c r="T341" s="122"/>
      <c r="U341" s="122"/>
      <c r="V341" s="122"/>
      <c r="W341" s="122"/>
      <c r="X341" s="122"/>
      <c r="Y341" s="122"/>
      <c r="AD341" s="122"/>
      <c r="AE341" s="122"/>
      <c r="AF341" s="122"/>
      <c r="AG341" s="122"/>
      <c r="AH341" s="122"/>
      <c r="AI341" s="122"/>
    </row>
    <row r="342" spans="1:35">
      <c r="A342" s="122"/>
      <c r="B342" s="122"/>
      <c r="C342" s="122"/>
      <c r="D342" s="122"/>
      <c r="K342" s="122"/>
      <c r="L342" s="122"/>
      <c r="Q342" s="122"/>
      <c r="T342" s="122"/>
      <c r="U342" s="122"/>
      <c r="V342" s="122"/>
      <c r="W342" s="122"/>
      <c r="X342" s="122"/>
      <c r="Y342" s="122"/>
      <c r="AD342" s="122"/>
      <c r="AE342" s="122"/>
      <c r="AF342" s="122"/>
      <c r="AG342" s="122"/>
      <c r="AH342" s="122"/>
      <c r="AI342" s="122"/>
    </row>
    <row r="343" spans="1:35">
      <c r="A343" s="122"/>
      <c r="B343" s="122"/>
      <c r="C343" s="122"/>
      <c r="D343" s="122"/>
      <c r="K343" s="122"/>
      <c r="L343" s="122"/>
      <c r="Q343" s="122"/>
      <c r="T343" s="122"/>
      <c r="U343" s="122"/>
      <c r="V343" s="122"/>
      <c r="W343" s="122"/>
      <c r="X343" s="122"/>
      <c r="Y343" s="122"/>
      <c r="AD343" s="122"/>
      <c r="AE343" s="122"/>
      <c r="AF343" s="122"/>
      <c r="AG343" s="122"/>
      <c r="AH343" s="122"/>
      <c r="AI343" s="122"/>
    </row>
    <row r="344" spans="1:35">
      <c r="A344" s="122"/>
      <c r="B344" s="122"/>
      <c r="C344" s="122"/>
      <c r="D344" s="122"/>
      <c r="K344" s="122"/>
      <c r="L344" s="122"/>
      <c r="Q344" s="122"/>
      <c r="T344" s="122"/>
      <c r="U344" s="122"/>
      <c r="V344" s="122"/>
      <c r="W344" s="122"/>
      <c r="X344" s="122"/>
      <c r="Y344" s="122"/>
      <c r="AD344" s="122"/>
      <c r="AE344" s="122"/>
      <c r="AF344" s="122"/>
      <c r="AG344" s="122"/>
      <c r="AH344" s="122"/>
      <c r="AI344" s="122"/>
    </row>
    <row r="345" spans="1:35">
      <c r="A345" s="122"/>
      <c r="B345" s="122"/>
      <c r="C345" s="122"/>
      <c r="D345" s="122"/>
      <c r="K345" s="122"/>
      <c r="L345" s="122"/>
      <c r="Q345" s="122"/>
      <c r="T345" s="122"/>
      <c r="U345" s="122"/>
      <c r="V345" s="122"/>
      <c r="W345" s="122"/>
      <c r="X345" s="122"/>
      <c r="Y345" s="122"/>
      <c r="AD345" s="122"/>
      <c r="AE345" s="122"/>
      <c r="AF345" s="122"/>
      <c r="AG345" s="122"/>
      <c r="AH345" s="122"/>
      <c r="AI345" s="122"/>
    </row>
    <row r="346" spans="1:35">
      <c r="A346" s="122"/>
      <c r="B346" s="122"/>
      <c r="C346" s="122"/>
      <c r="D346" s="122"/>
      <c r="K346" s="122"/>
      <c r="L346" s="122"/>
      <c r="Q346" s="122"/>
      <c r="T346" s="122"/>
      <c r="U346" s="122"/>
      <c r="V346" s="122"/>
      <c r="W346" s="122"/>
      <c r="X346" s="122"/>
      <c r="Y346" s="122"/>
      <c r="AD346" s="122"/>
      <c r="AE346" s="122"/>
      <c r="AF346" s="122"/>
      <c r="AG346" s="122"/>
      <c r="AH346" s="122"/>
      <c r="AI346" s="122"/>
    </row>
    <row r="347" spans="1:35">
      <c r="A347" s="122"/>
      <c r="B347" s="122"/>
      <c r="C347" s="122"/>
      <c r="D347" s="122"/>
      <c r="K347" s="122"/>
      <c r="L347" s="122"/>
      <c r="Q347" s="122"/>
      <c r="T347" s="122"/>
      <c r="U347" s="122"/>
      <c r="V347" s="122"/>
      <c r="W347" s="122"/>
      <c r="X347" s="122"/>
      <c r="Y347" s="122"/>
      <c r="AD347" s="122"/>
      <c r="AE347" s="122"/>
      <c r="AF347" s="122"/>
      <c r="AG347" s="122"/>
      <c r="AH347" s="122"/>
      <c r="AI347" s="122"/>
    </row>
    <row r="348" spans="1:35">
      <c r="A348" s="122"/>
      <c r="B348" s="122"/>
      <c r="C348" s="122"/>
      <c r="D348" s="122"/>
      <c r="K348" s="122"/>
      <c r="L348" s="122"/>
      <c r="Q348" s="122"/>
      <c r="T348" s="122"/>
      <c r="U348" s="122"/>
      <c r="V348" s="122"/>
      <c r="W348" s="122"/>
      <c r="X348" s="122"/>
      <c r="Y348" s="122"/>
      <c r="AD348" s="122"/>
      <c r="AE348" s="122"/>
      <c r="AF348" s="122"/>
      <c r="AG348" s="122"/>
      <c r="AH348" s="122"/>
      <c r="AI348" s="122"/>
    </row>
    <row r="349" spans="1:35">
      <c r="A349" s="122"/>
      <c r="B349" s="122"/>
      <c r="C349" s="122"/>
      <c r="D349" s="122"/>
      <c r="K349" s="122"/>
      <c r="L349" s="122"/>
      <c r="Q349" s="122"/>
      <c r="T349" s="122"/>
      <c r="U349" s="122"/>
      <c r="V349" s="122"/>
      <c r="W349" s="122"/>
      <c r="X349" s="122"/>
      <c r="Y349" s="122"/>
      <c r="AD349" s="122"/>
      <c r="AE349" s="122"/>
      <c r="AF349" s="122"/>
      <c r="AG349" s="122"/>
      <c r="AH349" s="122"/>
      <c r="AI349" s="122"/>
    </row>
    <row r="350" spans="1:35">
      <c r="A350" s="122"/>
      <c r="B350" s="122"/>
      <c r="C350" s="122"/>
      <c r="D350" s="122"/>
      <c r="K350" s="122"/>
      <c r="L350" s="122"/>
      <c r="Q350" s="122"/>
      <c r="T350" s="122"/>
      <c r="U350" s="122"/>
      <c r="V350" s="122"/>
      <c r="W350" s="122"/>
      <c r="X350" s="122"/>
      <c r="Y350" s="122"/>
      <c r="AD350" s="122"/>
      <c r="AE350" s="122"/>
      <c r="AF350" s="122"/>
      <c r="AG350" s="122"/>
      <c r="AH350" s="122"/>
      <c r="AI350" s="122"/>
    </row>
    <row r="351" spans="1:35">
      <c r="A351" s="122"/>
      <c r="B351" s="122"/>
      <c r="C351" s="122"/>
      <c r="D351" s="122"/>
      <c r="K351" s="122"/>
      <c r="L351" s="122"/>
      <c r="Q351" s="122"/>
      <c r="T351" s="122"/>
      <c r="U351" s="122"/>
      <c r="V351" s="122"/>
      <c r="W351" s="122"/>
      <c r="X351" s="122"/>
      <c r="Y351" s="122"/>
      <c r="AD351" s="122"/>
      <c r="AE351" s="122"/>
      <c r="AF351" s="122"/>
      <c r="AG351" s="122"/>
      <c r="AH351" s="122"/>
      <c r="AI351" s="122"/>
    </row>
    <row r="352" spans="1:35">
      <c r="A352" s="122"/>
      <c r="B352" s="122"/>
      <c r="C352" s="122"/>
      <c r="D352" s="122"/>
      <c r="K352" s="122"/>
      <c r="L352" s="122"/>
      <c r="Q352" s="122"/>
      <c r="T352" s="122"/>
      <c r="U352" s="122"/>
      <c r="V352" s="122"/>
      <c r="W352" s="122"/>
      <c r="X352" s="122"/>
      <c r="Y352" s="122"/>
      <c r="AD352" s="122"/>
      <c r="AE352" s="122"/>
      <c r="AF352" s="122"/>
      <c r="AG352" s="122"/>
      <c r="AH352" s="122"/>
      <c r="AI352" s="122"/>
    </row>
    <row r="353" spans="1:35">
      <c r="A353" s="122"/>
      <c r="B353" s="122"/>
      <c r="C353" s="122"/>
      <c r="D353" s="122"/>
      <c r="K353" s="122"/>
      <c r="L353" s="122"/>
      <c r="Q353" s="122"/>
      <c r="T353" s="122"/>
      <c r="U353" s="122"/>
      <c r="V353" s="122"/>
      <c r="W353" s="122"/>
      <c r="X353" s="122"/>
      <c r="Y353" s="122"/>
      <c r="AD353" s="122"/>
      <c r="AE353" s="122"/>
      <c r="AF353" s="122"/>
      <c r="AG353" s="122"/>
      <c r="AH353" s="122"/>
      <c r="AI353" s="122"/>
    </row>
    <row r="354" spans="1:35">
      <c r="A354" s="122"/>
      <c r="B354" s="122"/>
      <c r="C354" s="122"/>
      <c r="D354" s="122"/>
      <c r="K354" s="122"/>
      <c r="L354" s="122"/>
      <c r="Q354" s="122"/>
      <c r="T354" s="122"/>
      <c r="U354" s="122"/>
      <c r="V354" s="122"/>
      <c r="W354" s="122"/>
      <c r="X354" s="122"/>
      <c r="Y354" s="122"/>
      <c r="AD354" s="122"/>
      <c r="AE354" s="122"/>
      <c r="AF354" s="122"/>
      <c r="AG354" s="122"/>
      <c r="AH354" s="122"/>
      <c r="AI354" s="122"/>
    </row>
    <row r="355" spans="1:35">
      <c r="A355" s="122"/>
      <c r="B355" s="122"/>
      <c r="C355" s="122"/>
      <c r="D355" s="122"/>
      <c r="K355" s="122"/>
      <c r="L355" s="122"/>
      <c r="Q355" s="122"/>
      <c r="T355" s="122"/>
      <c r="U355" s="122"/>
      <c r="V355" s="122"/>
      <c r="W355" s="122"/>
      <c r="X355" s="122"/>
      <c r="Y355" s="122"/>
      <c r="AD355" s="122"/>
      <c r="AE355" s="122"/>
      <c r="AF355" s="122"/>
      <c r="AG355" s="122"/>
      <c r="AH355" s="122"/>
      <c r="AI355" s="122"/>
    </row>
    <row r="356" spans="1:35">
      <c r="A356" s="122"/>
      <c r="B356" s="122"/>
      <c r="C356" s="122"/>
      <c r="D356" s="122"/>
      <c r="K356" s="122"/>
      <c r="L356" s="122"/>
      <c r="Q356" s="122"/>
      <c r="T356" s="122"/>
      <c r="U356" s="122"/>
      <c r="V356" s="122"/>
      <c r="W356" s="122"/>
      <c r="X356" s="122"/>
      <c r="Y356" s="122"/>
      <c r="AD356" s="122"/>
      <c r="AE356" s="122"/>
      <c r="AF356" s="122"/>
      <c r="AG356" s="122"/>
      <c r="AH356" s="122"/>
      <c r="AI356" s="122"/>
    </row>
    <row r="357" spans="1:35">
      <c r="A357" s="122"/>
      <c r="B357" s="122"/>
      <c r="C357" s="122"/>
      <c r="D357" s="122"/>
      <c r="K357" s="122"/>
      <c r="L357" s="122"/>
      <c r="Q357" s="122"/>
      <c r="T357" s="122"/>
      <c r="U357" s="122"/>
      <c r="V357" s="122"/>
      <c r="W357" s="122"/>
      <c r="X357" s="122"/>
      <c r="Y357" s="122"/>
      <c r="AD357" s="122"/>
      <c r="AE357" s="122"/>
      <c r="AF357" s="122"/>
      <c r="AG357" s="122"/>
      <c r="AH357" s="122"/>
      <c r="AI357" s="122"/>
    </row>
    <row r="358" spans="1:35">
      <c r="A358" s="122"/>
      <c r="B358" s="122"/>
      <c r="C358" s="122"/>
      <c r="D358" s="122"/>
      <c r="K358" s="122"/>
      <c r="L358" s="122"/>
      <c r="Q358" s="122"/>
      <c r="T358" s="122"/>
      <c r="U358" s="122"/>
      <c r="V358" s="122"/>
      <c r="W358" s="122"/>
      <c r="X358" s="122"/>
      <c r="Y358" s="122"/>
      <c r="AD358" s="122"/>
      <c r="AE358" s="122"/>
      <c r="AF358" s="122"/>
      <c r="AG358" s="122"/>
      <c r="AH358" s="122"/>
      <c r="AI358" s="122"/>
    </row>
    <row r="359" spans="1:35">
      <c r="A359" s="122"/>
      <c r="B359" s="122"/>
      <c r="C359" s="122"/>
      <c r="D359" s="122"/>
      <c r="K359" s="122"/>
      <c r="L359" s="122"/>
      <c r="Q359" s="122"/>
      <c r="T359" s="122"/>
      <c r="U359" s="122"/>
      <c r="V359" s="122"/>
      <c r="W359" s="122"/>
      <c r="X359" s="122"/>
      <c r="Y359" s="122"/>
      <c r="AD359" s="122"/>
      <c r="AE359" s="122"/>
      <c r="AF359" s="122"/>
      <c r="AG359" s="122"/>
      <c r="AH359" s="122"/>
      <c r="AI359" s="122"/>
    </row>
    <row r="360" spans="1:35">
      <c r="A360" s="122"/>
      <c r="B360" s="122"/>
      <c r="C360" s="122"/>
      <c r="D360" s="122"/>
      <c r="K360" s="122"/>
      <c r="L360" s="122"/>
      <c r="Q360" s="122"/>
      <c r="T360" s="122"/>
      <c r="U360" s="122"/>
      <c r="V360" s="122"/>
      <c r="W360" s="122"/>
      <c r="X360" s="122"/>
      <c r="Y360" s="122"/>
      <c r="AD360" s="122"/>
      <c r="AE360" s="122"/>
      <c r="AF360" s="122"/>
      <c r="AG360" s="122"/>
      <c r="AH360" s="122"/>
      <c r="AI360" s="122"/>
    </row>
    <row r="361" spans="1:35">
      <c r="A361" s="122"/>
      <c r="B361" s="122"/>
      <c r="C361" s="122"/>
      <c r="D361" s="122"/>
      <c r="K361" s="122"/>
      <c r="L361" s="122"/>
      <c r="Q361" s="122"/>
      <c r="T361" s="122"/>
      <c r="U361" s="122"/>
      <c r="V361" s="122"/>
      <c r="W361" s="122"/>
      <c r="X361" s="122"/>
      <c r="Y361" s="122"/>
      <c r="AD361" s="122"/>
      <c r="AE361" s="122"/>
      <c r="AF361" s="122"/>
      <c r="AG361" s="122"/>
      <c r="AH361" s="122"/>
      <c r="AI361" s="122"/>
    </row>
    <row r="362" spans="1:35">
      <c r="A362" s="122"/>
      <c r="B362" s="122"/>
      <c r="C362" s="122"/>
      <c r="D362" s="122"/>
      <c r="K362" s="122"/>
      <c r="L362" s="122"/>
      <c r="Q362" s="122"/>
      <c r="T362" s="122"/>
      <c r="U362" s="122"/>
      <c r="V362" s="122"/>
      <c r="W362" s="122"/>
      <c r="X362" s="122"/>
      <c r="Y362" s="122"/>
      <c r="AD362" s="122"/>
      <c r="AE362" s="122"/>
      <c r="AF362" s="122"/>
      <c r="AG362" s="122"/>
      <c r="AH362" s="122"/>
      <c r="AI362" s="122"/>
    </row>
    <row r="363" spans="1:35">
      <c r="A363" s="122"/>
      <c r="B363" s="122"/>
      <c r="C363" s="122"/>
      <c r="D363" s="122"/>
      <c r="K363" s="122"/>
      <c r="L363" s="122"/>
      <c r="Q363" s="122"/>
      <c r="T363" s="122"/>
      <c r="U363" s="122"/>
      <c r="V363" s="122"/>
      <c r="W363" s="122"/>
      <c r="X363" s="122"/>
      <c r="Y363" s="122"/>
      <c r="AD363" s="122"/>
      <c r="AE363" s="122"/>
      <c r="AF363" s="122"/>
      <c r="AG363" s="122"/>
      <c r="AH363" s="122"/>
      <c r="AI363" s="122"/>
    </row>
    <row r="364" spans="1:35">
      <c r="A364" s="122"/>
      <c r="B364" s="122"/>
      <c r="C364" s="122"/>
      <c r="D364" s="122"/>
      <c r="K364" s="122"/>
      <c r="L364" s="122"/>
      <c r="Q364" s="122"/>
      <c r="T364" s="122"/>
      <c r="U364" s="122"/>
      <c r="V364" s="122"/>
      <c r="W364" s="122"/>
      <c r="X364" s="122"/>
      <c r="Y364" s="122"/>
      <c r="AD364" s="122"/>
      <c r="AE364" s="122"/>
      <c r="AF364" s="122"/>
      <c r="AG364" s="122"/>
      <c r="AH364" s="122"/>
      <c r="AI364" s="122"/>
    </row>
    <row r="365" spans="1:35">
      <c r="A365" s="122"/>
      <c r="B365" s="122"/>
      <c r="C365" s="122"/>
      <c r="D365" s="122"/>
      <c r="K365" s="122"/>
      <c r="L365" s="122"/>
      <c r="Q365" s="122"/>
      <c r="T365" s="122"/>
      <c r="U365" s="122"/>
      <c r="V365" s="122"/>
      <c r="W365" s="122"/>
      <c r="X365" s="122"/>
      <c r="Y365" s="122"/>
      <c r="AD365" s="122"/>
      <c r="AE365" s="122"/>
      <c r="AF365" s="122"/>
      <c r="AG365" s="122"/>
      <c r="AH365" s="122"/>
      <c r="AI365" s="122"/>
    </row>
    <row r="366" spans="1:35">
      <c r="A366" s="122"/>
      <c r="B366" s="122"/>
      <c r="C366" s="122"/>
      <c r="D366" s="122"/>
      <c r="K366" s="122"/>
      <c r="L366" s="122"/>
      <c r="Q366" s="122"/>
      <c r="T366" s="122"/>
      <c r="U366" s="122"/>
      <c r="V366" s="122"/>
      <c r="W366" s="122"/>
      <c r="X366" s="122"/>
      <c r="Y366" s="122"/>
      <c r="AD366" s="122"/>
      <c r="AE366" s="122"/>
      <c r="AF366" s="122"/>
      <c r="AG366" s="122"/>
      <c r="AH366" s="122"/>
      <c r="AI366" s="122"/>
    </row>
    <row r="367" spans="1:35">
      <c r="A367" s="122"/>
      <c r="B367" s="122"/>
      <c r="C367" s="122"/>
      <c r="D367" s="122"/>
      <c r="K367" s="122"/>
      <c r="L367" s="122"/>
      <c r="Q367" s="122"/>
      <c r="T367" s="122"/>
      <c r="U367" s="122"/>
      <c r="V367" s="122"/>
      <c r="W367" s="122"/>
      <c r="X367" s="122"/>
      <c r="Y367" s="122"/>
      <c r="AD367" s="122"/>
      <c r="AE367" s="122"/>
      <c r="AF367" s="122"/>
      <c r="AG367" s="122"/>
      <c r="AH367" s="122"/>
      <c r="AI367" s="122"/>
    </row>
    <row r="368" spans="1:35">
      <c r="A368" s="122"/>
      <c r="B368" s="122"/>
      <c r="C368" s="122"/>
      <c r="D368" s="122"/>
      <c r="K368" s="122"/>
      <c r="L368" s="122"/>
      <c r="Q368" s="122"/>
      <c r="T368" s="122"/>
      <c r="U368" s="122"/>
      <c r="V368" s="122"/>
      <c r="W368" s="122"/>
      <c r="X368" s="122"/>
      <c r="Y368" s="122"/>
      <c r="AD368" s="122"/>
      <c r="AE368" s="122"/>
      <c r="AF368" s="122"/>
      <c r="AG368" s="122"/>
      <c r="AH368" s="122"/>
      <c r="AI368" s="122"/>
    </row>
    <row r="369" spans="1:35">
      <c r="A369" s="122"/>
      <c r="B369" s="122"/>
      <c r="C369" s="122"/>
      <c r="D369" s="122"/>
      <c r="K369" s="122"/>
      <c r="L369" s="122"/>
      <c r="Q369" s="122"/>
      <c r="T369" s="122"/>
      <c r="U369" s="122"/>
      <c r="V369" s="122"/>
      <c r="W369" s="122"/>
      <c r="X369" s="122"/>
      <c r="Y369" s="122"/>
      <c r="AD369" s="122"/>
      <c r="AE369" s="122"/>
      <c r="AF369" s="122"/>
      <c r="AG369" s="122"/>
      <c r="AH369" s="122"/>
      <c r="AI369" s="122"/>
    </row>
    <row r="370" spans="1:35">
      <c r="A370" s="122"/>
      <c r="B370" s="122"/>
      <c r="C370" s="122"/>
      <c r="D370" s="122"/>
      <c r="K370" s="122"/>
      <c r="L370" s="122"/>
      <c r="Q370" s="122"/>
      <c r="T370" s="122"/>
      <c r="U370" s="122"/>
      <c r="V370" s="122"/>
      <c r="W370" s="122"/>
      <c r="X370" s="122"/>
      <c r="Y370" s="122"/>
      <c r="AD370" s="122"/>
      <c r="AE370" s="122"/>
      <c r="AF370" s="122"/>
      <c r="AG370" s="122"/>
      <c r="AH370" s="122"/>
      <c r="AI370" s="122"/>
    </row>
    <row r="371" spans="1:35">
      <c r="A371" s="122"/>
      <c r="B371" s="122"/>
      <c r="C371" s="122"/>
      <c r="D371" s="122"/>
      <c r="K371" s="122"/>
      <c r="L371" s="122"/>
      <c r="Q371" s="122"/>
      <c r="T371" s="122"/>
      <c r="U371" s="122"/>
      <c r="V371" s="122"/>
      <c r="W371" s="122"/>
      <c r="X371" s="122"/>
      <c r="Y371" s="122"/>
      <c r="AD371" s="122"/>
      <c r="AE371" s="122"/>
      <c r="AF371" s="122"/>
      <c r="AG371" s="122"/>
      <c r="AH371" s="122"/>
      <c r="AI371" s="122"/>
    </row>
    <row r="372" spans="1:35">
      <c r="A372" s="122"/>
      <c r="B372" s="122"/>
      <c r="C372" s="122"/>
      <c r="D372" s="122"/>
      <c r="K372" s="122"/>
      <c r="L372" s="122"/>
      <c r="Q372" s="122"/>
      <c r="T372" s="122"/>
      <c r="U372" s="122"/>
      <c r="V372" s="122"/>
      <c r="W372" s="122"/>
      <c r="X372" s="122"/>
      <c r="Y372" s="122"/>
      <c r="AD372" s="122"/>
      <c r="AE372" s="122"/>
      <c r="AF372" s="122"/>
      <c r="AG372" s="122"/>
      <c r="AH372" s="122"/>
      <c r="AI372" s="122"/>
    </row>
    <row r="373" spans="1:35">
      <c r="A373" s="122"/>
      <c r="B373" s="122"/>
      <c r="C373" s="122"/>
      <c r="D373" s="122"/>
      <c r="K373" s="122"/>
      <c r="L373" s="122"/>
      <c r="Q373" s="122"/>
      <c r="T373" s="122"/>
      <c r="U373" s="122"/>
      <c r="V373" s="122"/>
      <c r="W373" s="122"/>
      <c r="X373" s="122"/>
      <c r="Y373" s="122"/>
      <c r="AD373" s="122"/>
      <c r="AE373" s="122"/>
      <c r="AF373" s="122"/>
      <c r="AG373" s="122"/>
      <c r="AH373" s="122"/>
      <c r="AI373" s="122"/>
    </row>
    <row r="374" spans="1:35">
      <c r="A374" s="122"/>
      <c r="B374" s="122"/>
      <c r="C374" s="122"/>
      <c r="D374" s="122"/>
      <c r="K374" s="122"/>
      <c r="L374" s="122"/>
      <c r="Q374" s="122"/>
      <c r="T374" s="122"/>
      <c r="U374" s="122"/>
      <c r="V374" s="122"/>
      <c r="W374" s="122"/>
      <c r="X374" s="122"/>
      <c r="Y374" s="122"/>
      <c r="AD374" s="122"/>
      <c r="AE374" s="122"/>
      <c r="AF374" s="122"/>
      <c r="AG374" s="122"/>
      <c r="AH374" s="122"/>
      <c r="AI374" s="122"/>
    </row>
    <row r="375" spans="1:35">
      <c r="A375" s="122"/>
      <c r="B375" s="122"/>
      <c r="C375" s="122"/>
      <c r="D375" s="122"/>
      <c r="K375" s="122"/>
      <c r="L375" s="122"/>
      <c r="Q375" s="122"/>
      <c r="T375" s="122"/>
      <c r="U375" s="122"/>
      <c r="V375" s="122"/>
      <c r="W375" s="122"/>
      <c r="X375" s="122"/>
      <c r="Y375" s="122"/>
      <c r="AD375" s="122"/>
      <c r="AE375" s="122"/>
      <c r="AF375" s="122"/>
      <c r="AG375" s="122"/>
      <c r="AH375" s="122"/>
      <c r="AI375" s="122"/>
    </row>
    <row r="376" spans="1:35">
      <c r="A376" s="122"/>
      <c r="B376" s="122"/>
      <c r="C376" s="122"/>
      <c r="D376" s="122"/>
      <c r="K376" s="122"/>
      <c r="L376" s="122"/>
      <c r="Q376" s="122"/>
      <c r="T376" s="122"/>
      <c r="U376" s="122"/>
      <c r="V376" s="122"/>
      <c r="W376" s="122"/>
      <c r="X376" s="122"/>
      <c r="Y376" s="122"/>
      <c r="AD376" s="122"/>
      <c r="AE376" s="122"/>
      <c r="AF376" s="122"/>
      <c r="AG376" s="122"/>
      <c r="AH376" s="122"/>
      <c r="AI376" s="122"/>
    </row>
    <row r="377" spans="1:35">
      <c r="A377" s="122"/>
      <c r="B377" s="122"/>
      <c r="C377" s="122"/>
      <c r="D377" s="122"/>
      <c r="K377" s="122"/>
      <c r="L377" s="122"/>
      <c r="Q377" s="122"/>
      <c r="T377" s="122"/>
      <c r="U377" s="122"/>
      <c r="V377" s="122"/>
      <c r="W377" s="122"/>
      <c r="X377" s="122"/>
      <c r="Y377" s="122"/>
      <c r="AD377" s="122"/>
      <c r="AE377" s="122"/>
      <c r="AF377" s="122"/>
      <c r="AG377" s="122"/>
      <c r="AH377" s="122"/>
      <c r="AI377" s="122"/>
    </row>
    <row r="378" spans="1:35">
      <c r="A378" s="122"/>
      <c r="B378" s="122"/>
      <c r="C378" s="122"/>
      <c r="D378" s="122"/>
      <c r="K378" s="122"/>
      <c r="L378" s="122"/>
      <c r="Q378" s="122"/>
      <c r="T378" s="122"/>
      <c r="U378" s="122"/>
      <c r="V378" s="122"/>
      <c r="W378" s="122"/>
      <c r="X378" s="122"/>
      <c r="Y378" s="122"/>
      <c r="AD378" s="122"/>
      <c r="AE378" s="122"/>
      <c r="AF378" s="122"/>
      <c r="AG378" s="122"/>
      <c r="AH378" s="122"/>
      <c r="AI378" s="122"/>
    </row>
    <row r="379" spans="1:35">
      <c r="A379" s="122"/>
      <c r="B379" s="122"/>
      <c r="C379" s="122"/>
      <c r="D379" s="122"/>
      <c r="K379" s="122"/>
      <c r="L379" s="122"/>
      <c r="Q379" s="122"/>
      <c r="T379" s="122"/>
      <c r="U379" s="122"/>
      <c r="V379" s="122"/>
      <c r="W379" s="122"/>
      <c r="X379" s="122"/>
      <c r="Y379" s="122"/>
      <c r="AD379" s="122"/>
      <c r="AE379" s="122"/>
      <c r="AF379" s="122"/>
      <c r="AG379" s="122"/>
      <c r="AH379" s="122"/>
      <c r="AI379" s="122"/>
    </row>
    <row r="380" spans="1:35">
      <c r="A380" s="122"/>
      <c r="B380" s="122"/>
      <c r="C380" s="122"/>
      <c r="D380" s="122"/>
      <c r="K380" s="122"/>
      <c r="L380" s="122"/>
      <c r="Q380" s="122"/>
      <c r="T380" s="122"/>
      <c r="U380" s="122"/>
      <c r="V380" s="122"/>
      <c r="W380" s="122"/>
      <c r="X380" s="122"/>
      <c r="Y380" s="122"/>
      <c r="AD380" s="122"/>
      <c r="AE380" s="122"/>
      <c r="AF380" s="122"/>
      <c r="AG380" s="122"/>
      <c r="AH380" s="122"/>
      <c r="AI380" s="122"/>
    </row>
    <row r="381" spans="1:35">
      <c r="A381" s="122"/>
      <c r="B381" s="122"/>
      <c r="C381" s="122"/>
      <c r="D381" s="122"/>
      <c r="K381" s="122"/>
      <c r="L381" s="122"/>
      <c r="Q381" s="122"/>
      <c r="T381" s="122"/>
      <c r="U381" s="122"/>
      <c r="V381" s="122"/>
      <c r="W381" s="122"/>
      <c r="X381" s="122"/>
      <c r="Y381" s="122"/>
      <c r="AD381" s="122"/>
      <c r="AE381" s="122"/>
      <c r="AF381" s="122"/>
      <c r="AG381" s="122"/>
      <c r="AH381" s="122"/>
      <c r="AI381" s="122"/>
    </row>
    <row r="382" spans="1:35">
      <c r="A382" s="122"/>
      <c r="B382" s="122"/>
      <c r="C382" s="122"/>
      <c r="D382" s="122"/>
      <c r="K382" s="122"/>
      <c r="L382" s="122"/>
      <c r="Q382" s="122"/>
      <c r="T382" s="122"/>
      <c r="U382" s="122"/>
      <c r="V382" s="122"/>
      <c r="W382" s="122"/>
      <c r="X382" s="122"/>
      <c r="Y382" s="122"/>
      <c r="AD382" s="122"/>
      <c r="AE382" s="122"/>
      <c r="AF382" s="122"/>
      <c r="AG382" s="122"/>
      <c r="AH382" s="122"/>
      <c r="AI382" s="122"/>
    </row>
    <row r="383" spans="1:35">
      <c r="A383" s="122"/>
      <c r="B383" s="122"/>
      <c r="C383" s="122"/>
      <c r="D383" s="122"/>
      <c r="K383" s="122"/>
      <c r="L383" s="122"/>
      <c r="Q383" s="122"/>
      <c r="T383" s="122"/>
      <c r="U383" s="122"/>
      <c r="V383" s="122"/>
      <c r="W383" s="122"/>
      <c r="X383" s="122"/>
      <c r="Y383" s="122"/>
      <c r="AD383" s="122"/>
      <c r="AE383" s="122"/>
      <c r="AF383" s="122"/>
      <c r="AG383" s="122"/>
      <c r="AH383" s="122"/>
      <c r="AI383" s="122"/>
    </row>
    <row r="384" spans="1:35">
      <c r="A384" s="122"/>
      <c r="B384" s="122"/>
      <c r="C384" s="122"/>
      <c r="D384" s="122"/>
      <c r="K384" s="122"/>
      <c r="L384" s="122"/>
      <c r="Q384" s="122"/>
      <c r="T384" s="122"/>
      <c r="U384" s="122"/>
      <c r="V384" s="122"/>
      <c r="W384" s="122"/>
      <c r="X384" s="122"/>
      <c r="Y384" s="122"/>
      <c r="AD384" s="122"/>
      <c r="AE384" s="122"/>
      <c r="AF384" s="122"/>
      <c r="AG384" s="122"/>
      <c r="AH384" s="122"/>
      <c r="AI384" s="122"/>
    </row>
    <row r="385" spans="1:35">
      <c r="A385" s="122"/>
      <c r="B385" s="122"/>
      <c r="C385" s="122"/>
      <c r="D385" s="122"/>
      <c r="K385" s="122"/>
      <c r="L385" s="122"/>
      <c r="Q385" s="122"/>
      <c r="T385" s="122"/>
      <c r="U385" s="122"/>
      <c r="V385" s="122"/>
      <c r="W385" s="122"/>
      <c r="X385" s="122"/>
      <c r="Y385" s="122"/>
      <c r="AD385" s="122"/>
      <c r="AE385" s="122"/>
      <c r="AF385" s="122"/>
      <c r="AG385" s="122"/>
      <c r="AH385" s="122"/>
      <c r="AI385" s="122"/>
    </row>
    <row r="386" spans="1:35">
      <c r="A386" s="122"/>
      <c r="B386" s="122"/>
      <c r="C386" s="122"/>
      <c r="D386" s="122"/>
      <c r="K386" s="122"/>
      <c r="L386" s="122"/>
      <c r="Q386" s="122"/>
      <c r="T386" s="122"/>
      <c r="U386" s="122"/>
      <c r="V386" s="122"/>
      <c r="W386" s="122"/>
      <c r="X386" s="122"/>
      <c r="Y386" s="122"/>
      <c r="AD386" s="122"/>
      <c r="AE386" s="122"/>
      <c r="AF386" s="122"/>
      <c r="AG386" s="122"/>
      <c r="AH386" s="122"/>
      <c r="AI386" s="122"/>
    </row>
    <row r="387" spans="1:35">
      <c r="A387" s="122"/>
      <c r="B387" s="122"/>
      <c r="C387" s="122"/>
      <c r="D387" s="122"/>
      <c r="K387" s="122"/>
      <c r="L387" s="122"/>
      <c r="Q387" s="122"/>
      <c r="T387" s="122"/>
      <c r="U387" s="122"/>
      <c r="V387" s="122"/>
      <c r="W387" s="122"/>
      <c r="X387" s="122"/>
      <c r="Y387" s="122"/>
      <c r="AD387" s="122"/>
      <c r="AE387" s="122"/>
      <c r="AF387" s="122"/>
      <c r="AG387" s="122"/>
      <c r="AH387" s="122"/>
      <c r="AI387" s="122"/>
    </row>
    <row r="388" spans="1:35">
      <c r="A388" s="122"/>
      <c r="B388" s="122"/>
      <c r="C388" s="122"/>
      <c r="D388" s="122"/>
      <c r="K388" s="122"/>
      <c r="L388" s="122"/>
      <c r="Q388" s="122"/>
      <c r="T388" s="122"/>
      <c r="U388" s="122"/>
      <c r="V388" s="122"/>
      <c r="W388" s="122"/>
      <c r="X388" s="122"/>
      <c r="Y388" s="122"/>
      <c r="AD388" s="122"/>
      <c r="AE388" s="122"/>
      <c r="AF388" s="122"/>
      <c r="AG388" s="122"/>
      <c r="AH388" s="122"/>
      <c r="AI388" s="122"/>
    </row>
    <row r="389" spans="1:35">
      <c r="A389" s="122"/>
      <c r="B389" s="122"/>
      <c r="C389" s="122"/>
      <c r="D389" s="122"/>
      <c r="K389" s="122"/>
      <c r="L389" s="122"/>
      <c r="Q389" s="122"/>
      <c r="T389" s="122"/>
      <c r="U389" s="122"/>
      <c r="V389" s="122"/>
      <c r="W389" s="122"/>
      <c r="X389" s="122"/>
      <c r="Y389" s="122"/>
      <c r="AD389" s="122"/>
      <c r="AE389" s="122"/>
      <c r="AF389" s="122"/>
      <c r="AG389" s="122"/>
      <c r="AH389" s="122"/>
      <c r="AI389" s="122"/>
    </row>
    <row r="390" spans="1:35">
      <c r="A390" s="122"/>
      <c r="B390" s="122"/>
      <c r="C390" s="122"/>
      <c r="D390" s="122"/>
      <c r="K390" s="122"/>
      <c r="L390" s="122"/>
      <c r="Q390" s="122"/>
      <c r="T390" s="122"/>
      <c r="U390" s="122"/>
      <c r="V390" s="122"/>
      <c r="W390" s="122"/>
      <c r="X390" s="122"/>
      <c r="Y390" s="122"/>
      <c r="AD390" s="122"/>
      <c r="AE390" s="122"/>
      <c r="AF390" s="122"/>
      <c r="AG390" s="122"/>
      <c r="AH390" s="122"/>
      <c r="AI390" s="122"/>
    </row>
    <row r="391" spans="1:35">
      <c r="A391" s="122"/>
      <c r="B391" s="122"/>
      <c r="C391" s="122"/>
      <c r="D391" s="122"/>
      <c r="K391" s="122"/>
      <c r="L391" s="122"/>
      <c r="Q391" s="122"/>
      <c r="T391" s="122"/>
      <c r="U391" s="122"/>
      <c r="V391" s="122"/>
      <c r="W391" s="122"/>
      <c r="X391" s="122"/>
      <c r="Y391" s="122"/>
      <c r="AD391" s="122"/>
      <c r="AE391" s="122"/>
      <c r="AF391" s="122"/>
      <c r="AG391" s="122"/>
      <c r="AH391" s="122"/>
      <c r="AI391" s="122"/>
    </row>
    <row r="392" spans="1:35">
      <c r="A392" s="122"/>
      <c r="B392" s="122"/>
      <c r="C392" s="122"/>
      <c r="D392" s="122"/>
      <c r="K392" s="122"/>
      <c r="L392" s="122"/>
      <c r="Q392" s="122"/>
      <c r="T392" s="122"/>
      <c r="U392" s="122"/>
      <c r="V392" s="122"/>
      <c r="W392" s="122"/>
      <c r="X392" s="122"/>
      <c r="Y392" s="122"/>
      <c r="AD392" s="122"/>
      <c r="AE392" s="122"/>
      <c r="AF392" s="122"/>
      <c r="AG392" s="122"/>
      <c r="AH392" s="122"/>
      <c r="AI392" s="122"/>
    </row>
    <row r="393" spans="1:35">
      <c r="A393" s="122"/>
      <c r="B393" s="122"/>
      <c r="C393" s="122"/>
      <c r="D393" s="122"/>
      <c r="K393" s="122"/>
      <c r="L393" s="122"/>
      <c r="Q393" s="122"/>
      <c r="T393" s="122"/>
      <c r="U393" s="122"/>
      <c r="V393" s="122"/>
      <c r="W393" s="122"/>
      <c r="X393" s="122"/>
      <c r="Y393" s="122"/>
      <c r="AD393" s="122"/>
      <c r="AE393" s="122"/>
      <c r="AF393" s="122"/>
      <c r="AG393" s="122"/>
      <c r="AH393" s="122"/>
      <c r="AI393" s="122"/>
    </row>
    <row r="394" spans="1:35">
      <c r="A394" s="122"/>
      <c r="B394" s="122"/>
      <c r="C394" s="122"/>
      <c r="D394" s="122"/>
      <c r="K394" s="122"/>
      <c r="L394" s="122"/>
      <c r="Q394" s="122"/>
      <c r="T394" s="122"/>
      <c r="U394" s="122"/>
      <c r="V394" s="122"/>
      <c r="W394" s="122"/>
      <c r="X394" s="122"/>
      <c r="Y394" s="122"/>
      <c r="AD394" s="122"/>
      <c r="AE394" s="122"/>
      <c r="AF394" s="122"/>
      <c r="AG394" s="122"/>
      <c r="AH394" s="122"/>
      <c r="AI394" s="122"/>
    </row>
    <row r="395" spans="1:35">
      <c r="A395" s="122"/>
      <c r="B395" s="122"/>
      <c r="C395" s="122"/>
      <c r="D395" s="122"/>
      <c r="K395" s="122"/>
      <c r="L395" s="122"/>
      <c r="Q395" s="122"/>
      <c r="T395" s="122"/>
      <c r="U395" s="122"/>
      <c r="V395" s="122"/>
      <c r="W395" s="122"/>
      <c r="X395" s="122"/>
      <c r="Y395" s="122"/>
      <c r="AD395" s="122"/>
      <c r="AE395" s="122"/>
      <c r="AF395" s="122"/>
      <c r="AG395" s="122"/>
      <c r="AH395" s="122"/>
      <c r="AI395" s="122"/>
    </row>
    <row r="396" spans="1:35">
      <c r="A396" s="122"/>
      <c r="B396" s="122"/>
      <c r="C396" s="122"/>
      <c r="D396" s="122"/>
      <c r="K396" s="122"/>
      <c r="L396" s="122"/>
      <c r="Q396" s="122"/>
      <c r="T396" s="122"/>
      <c r="U396" s="122"/>
      <c r="V396" s="122"/>
      <c r="W396" s="122"/>
      <c r="X396" s="122"/>
      <c r="Y396" s="122"/>
      <c r="AD396" s="122"/>
      <c r="AE396" s="122"/>
      <c r="AF396" s="122"/>
      <c r="AG396" s="122"/>
      <c r="AH396" s="122"/>
      <c r="AI396" s="122"/>
    </row>
    <row r="397" spans="1:35">
      <c r="A397" s="122"/>
      <c r="B397" s="122"/>
      <c r="C397" s="122"/>
      <c r="D397" s="122"/>
      <c r="K397" s="122"/>
      <c r="L397" s="122"/>
      <c r="Q397" s="122"/>
      <c r="T397" s="122"/>
      <c r="U397" s="122"/>
      <c r="V397" s="122"/>
      <c r="W397" s="122"/>
      <c r="X397" s="122"/>
      <c r="Y397" s="122"/>
      <c r="AD397" s="122"/>
      <c r="AE397" s="122"/>
      <c r="AF397" s="122"/>
      <c r="AG397" s="122"/>
      <c r="AH397" s="122"/>
      <c r="AI397" s="122"/>
    </row>
    <row r="398" spans="1:35">
      <c r="A398" s="122"/>
      <c r="B398" s="122"/>
      <c r="C398" s="122"/>
      <c r="D398" s="122"/>
      <c r="K398" s="122"/>
      <c r="L398" s="122"/>
      <c r="Q398" s="122"/>
      <c r="T398" s="122"/>
      <c r="U398" s="122"/>
      <c r="V398" s="122"/>
      <c r="W398" s="122"/>
      <c r="X398" s="122"/>
      <c r="Y398" s="122"/>
      <c r="AD398" s="122"/>
      <c r="AE398" s="122"/>
      <c r="AF398" s="122"/>
      <c r="AG398" s="122"/>
      <c r="AH398" s="122"/>
      <c r="AI398" s="122"/>
    </row>
    <row r="399" spans="1:35">
      <c r="A399" s="122"/>
      <c r="B399" s="122"/>
      <c r="C399" s="122"/>
      <c r="D399" s="122"/>
      <c r="K399" s="122"/>
      <c r="L399" s="122"/>
      <c r="Q399" s="122"/>
      <c r="T399" s="122"/>
      <c r="U399" s="122"/>
      <c r="V399" s="122"/>
      <c r="W399" s="122"/>
      <c r="X399" s="122"/>
      <c r="Y399" s="122"/>
      <c r="AD399" s="122"/>
      <c r="AE399" s="122"/>
      <c r="AF399" s="122"/>
      <c r="AG399" s="122"/>
      <c r="AH399" s="122"/>
      <c r="AI399" s="122"/>
    </row>
    <row r="400" spans="1:35">
      <c r="A400" s="122"/>
      <c r="B400" s="122"/>
      <c r="C400" s="122"/>
      <c r="D400" s="122"/>
      <c r="K400" s="122"/>
      <c r="L400" s="122"/>
      <c r="Q400" s="122"/>
      <c r="T400" s="122"/>
      <c r="U400" s="122"/>
      <c r="V400" s="122"/>
      <c r="W400" s="122"/>
      <c r="X400" s="122"/>
      <c r="Y400" s="122"/>
      <c r="AD400" s="122"/>
      <c r="AE400" s="122"/>
      <c r="AF400" s="122"/>
      <c r="AG400" s="122"/>
      <c r="AH400" s="122"/>
      <c r="AI400" s="122"/>
    </row>
    <row r="401" spans="1:35">
      <c r="A401" s="122"/>
      <c r="B401" s="122"/>
      <c r="C401" s="122"/>
      <c r="D401" s="122"/>
      <c r="K401" s="122"/>
      <c r="L401" s="122"/>
      <c r="Q401" s="122"/>
      <c r="T401" s="122"/>
      <c r="U401" s="122"/>
      <c r="V401" s="122"/>
      <c r="W401" s="122"/>
      <c r="X401" s="122"/>
      <c r="Y401" s="122"/>
      <c r="AD401" s="122"/>
      <c r="AE401" s="122"/>
      <c r="AF401" s="122"/>
      <c r="AG401" s="122"/>
      <c r="AH401" s="122"/>
      <c r="AI401" s="122"/>
    </row>
    <row r="402" spans="1:35">
      <c r="A402" s="122"/>
      <c r="B402" s="122"/>
      <c r="C402" s="122"/>
      <c r="D402" s="122"/>
      <c r="K402" s="122"/>
      <c r="L402" s="122"/>
      <c r="Q402" s="122"/>
      <c r="T402" s="122"/>
      <c r="U402" s="122"/>
      <c r="V402" s="122"/>
      <c r="W402" s="122"/>
      <c r="X402" s="122"/>
      <c r="Y402" s="122"/>
      <c r="AD402" s="122"/>
      <c r="AE402" s="122"/>
      <c r="AF402" s="122"/>
      <c r="AG402" s="122"/>
      <c r="AH402" s="122"/>
      <c r="AI402" s="122"/>
    </row>
    <row r="403" spans="1:35">
      <c r="A403" s="122"/>
      <c r="B403" s="122"/>
      <c r="C403" s="122"/>
      <c r="D403" s="122"/>
      <c r="K403" s="122"/>
      <c r="L403" s="122"/>
      <c r="Q403" s="122"/>
      <c r="T403" s="122"/>
      <c r="U403" s="122"/>
      <c r="V403" s="122"/>
      <c r="W403" s="122"/>
      <c r="X403" s="122"/>
      <c r="Y403" s="122"/>
      <c r="AD403" s="122"/>
      <c r="AE403" s="122"/>
      <c r="AF403" s="122"/>
      <c r="AG403" s="122"/>
      <c r="AH403" s="122"/>
      <c r="AI403" s="122"/>
    </row>
    <row r="404" spans="1:35">
      <c r="A404" s="122"/>
      <c r="B404" s="122"/>
      <c r="C404" s="122"/>
      <c r="D404" s="122"/>
      <c r="K404" s="122"/>
      <c r="L404" s="122"/>
      <c r="Q404" s="122"/>
      <c r="T404" s="122"/>
      <c r="U404" s="122"/>
      <c r="V404" s="122"/>
      <c r="W404" s="122"/>
      <c r="X404" s="122"/>
      <c r="Y404" s="122"/>
      <c r="AD404" s="122"/>
      <c r="AE404" s="122"/>
      <c r="AF404" s="122"/>
      <c r="AG404" s="122"/>
      <c r="AH404" s="122"/>
      <c r="AI404" s="122"/>
    </row>
    <row r="405" spans="1:35">
      <c r="A405" s="122"/>
      <c r="B405" s="122"/>
      <c r="C405" s="122"/>
      <c r="D405" s="122"/>
      <c r="K405" s="122"/>
      <c r="L405" s="122"/>
      <c r="Q405" s="122"/>
      <c r="T405" s="122"/>
      <c r="U405" s="122"/>
      <c r="V405" s="122"/>
      <c r="W405" s="122"/>
      <c r="X405" s="122"/>
      <c r="Y405" s="122"/>
      <c r="AD405" s="122"/>
      <c r="AE405" s="122"/>
      <c r="AF405" s="122"/>
      <c r="AG405" s="122"/>
      <c r="AH405" s="122"/>
      <c r="AI405" s="122"/>
    </row>
    <row r="406" spans="1:35">
      <c r="A406" s="122"/>
      <c r="B406" s="122"/>
      <c r="C406" s="122"/>
      <c r="D406" s="122"/>
      <c r="K406" s="122"/>
      <c r="L406" s="122"/>
      <c r="Q406" s="122"/>
      <c r="T406" s="122"/>
      <c r="U406" s="122"/>
      <c r="V406" s="122"/>
      <c r="W406" s="122"/>
      <c r="X406" s="122"/>
      <c r="Y406" s="122"/>
      <c r="AD406" s="122"/>
      <c r="AE406" s="122"/>
      <c r="AF406" s="122"/>
      <c r="AG406" s="122"/>
      <c r="AH406" s="122"/>
      <c r="AI406" s="122"/>
    </row>
    <row r="407" spans="1:35">
      <c r="A407" s="122"/>
      <c r="B407" s="122"/>
      <c r="C407" s="122"/>
      <c r="D407" s="122"/>
      <c r="K407" s="122"/>
      <c r="L407" s="122"/>
      <c r="Q407" s="122"/>
      <c r="T407" s="122"/>
      <c r="U407" s="122"/>
      <c r="V407" s="122"/>
      <c r="W407" s="122"/>
      <c r="X407" s="122"/>
      <c r="Y407" s="122"/>
      <c r="AD407" s="122"/>
      <c r="AE407" s="122"/>
      <c r="AF407" s="122"/>
      <c r="AG407" s="122"/>
      <c r="AH407" s="122"/>
      <c r="AI407" s="122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B0F0"/>
  </sheetPr>
  <dimension ref="A1:BQ407"/>
  <sheetViews>
    <sheetView zoomScale="85" zoomScaleNormal="85" workbookViewId="0">
      <pane xSplit="2" ySplit="2" topLeftCell="C63" activePane="bottomRight" state="frozen"/>
      <selection pane="topRight" activeCell="C1" sqref="C1"/>
      <selection pane="bottomLeft" activeCell="A3" sqref="A3"/>
      <selection pane="bottomRight"/>
    </sheetView>
  </sheetViews>
  <sheetFormatPr defaultRowHeight="14.4"/>
  <cols>
    <col min="1" max="1" width="8.6640625" style="22" customWidth="1"/>
    <col min="2" max="2" width="35.33203125" style="22" bestFit="1" customWidth="1"/>
    <col min="3" max="3" width="8" style="22" bestFit="1" customWidth="1"/>
    <col min="4" max="4" width="4.109375" style="22" bestFit="1" customWidth="1"/>
    <col min="5" max="5" width="11.33203125" style="2" customWidth="1"/>
    <col min="6" max="9" width="10.5546875" style="2" bestFit="1" customWidth="1"/>
    <col min="10" max="10" width="18.6640625" style="2" customWidth="1"/>
    <col min="11" max="12" width="18.6640625" style="14" customWidth="1"/>
    <col min="13" max="13" width="18.6640625" style="2" customWidth="1"/>
    <col min="14" max="16" width="10.88671875" style="2" bestFit="1" customWidth="1"/>
    <col min="17" max="17" width="10.88671875" style="13" bestFit="1" customWidth="1"/>
    <col min="18" max="18" width="11.44140625" style="2" bestFit="1" customWidth="1"/>
    <col min="19" max="19" width="12.109375" style="2" bestFit="1" customWidth="1"/>
    <col min="20" max="20" width="10.5546875" style="15" bestFit="1" customWidth="1" collapsed="1"/>
    <col min="21" max="21" width="9" style="15" bestFit="1" customWidth="1"/>
    <col min="22" max="22" width="9" style="75" bestFit="1" customWidth="1"/>
    <col min="23" max="25" width="13.33203125" style="75" customWidth="1"/>
    <col min="26" max="26" width="13.33203125" style="2" customWidth="1"/>
    <col min="27" max="27" width="7.88671875" style="2" bestFit="1" customWidth="1" collapsed="1"/>
    <col min="28" max="28" width="7.88671875" style="2" bestFit="1" customWidth="1"/>
    <col min="29" max="29" width="10.44140625" style="2" bestFit="1" customWidth="1"/>
    <col min="30" max="30" width="10.44140625" style="22" bestFit="1" customWidth="1"/>
    <col min="31" max="35" width="11" style="22" customWidth="1"/>
    <col min="36" max="40" width="11" style="2" customWidth="1"/>
    <col min="41" max="41" width="14.33203125" style="2" bestFit="1" customWidth="1"/>
    <col min="42" max="42" width="14.33203125" style="2" bestFit="1" customWidth="1" collapsed="1"/>
    <col min="43" max="46" width="8.109375" style="2" bestFit="1" customWidth="1"/>
    <col min="47" max="48" width="9" style="2" bestFit="1" customWidth="1"/>
    <col min="49" max="49" width="10" style="2" bestFit="1" customWidth="1"/>
    <col min="50" max="50" width="9.109375" style="2"/>
    <col min="51" max="59" width="13.6640625" style="2" customWidth="1"/>
    <col min="60" max="255" width="9.109375" style="2"/>
    <col min="256" max="256" width="0" style="2" hidden="1" customWidth="1"/>
    <col min="257" max="257" width="9.109375" style="2"/>
    <col min="258" max="258" width="28.109375" style="2" customWidth="1"/>
    <col min="259" max="260" width="0" style="2" hidden="1" customWidth="1"/>
    <col min="261" max="267" width="11" style="2" customWidth="1"/>
    <col min="268" max="269" width="0" style="2" hidden="1" customWidth="1"/>
    <col min="270" max="271" width="11" style="2" customWidth="1"/>
    <col min="272" max="273" width="0" style="2" hidden="1" customWidth="1"/>
    <col min="274" max="274" width="11" style="2" customWidth="1"/>
    <col min="275" max="275" width="16.5546875" style="2" customWidth="1"/>
    <col min="276" max="279" width="11" style="2" customWidth="1"/>
    <col min="280" max="281" width="11.109375" style="2" customWidth="1"/>
    <col min="282" max="305" width="11" style="2" customWidth="1"/>
    <col min="306" max="511" width="9.109375" style="2"/>
    <col min="512" max="512" width="0" style="2" hidden="1" customWidth="1"/>
    <col min="513" max="513" width="9.109375" style="2"/>
    <col min="514" max="514" width="28.109375" style="2" customWidth="1"/>
    <col min="515" max="516" width="0" style="2" hidden="1" customWidth="1"/>
    <col min="517" max="523" width="11" style="2" customWidth="1"/>
    <col min="524" max="525" width="0" style="2" hidden="1" customWidth="1"/>
    <col min="526" max="527" width="11" style="2" customWidth="1"/>
    <col min="528" max="529" width="0" style="2" hidden="1" customWidth="1"/>
    <col min="530" max="530" width="11" style="2" customWidth="1"/>
    <col min="531" max="531" width="16.5546875" style="2" customWidth="1"/>
    <col min="532" max="535" width="11" style="2" customWidth="1"/>
    <col min="536" max="537" width="11.109375" style="2" customWidth="1"/>
    <col min="538" max="561" width="11" style="2" customWidth="1"/>
    <col min="562" max="767" width="9.109375" style="2"/>
    <col min="768" max="768" width="0" style="2" hidden="1" customWidth="1"/>
    <col min="769" max="769" width="9.109375" style="2"/>
    <col min="770" max="770" width="28.109375" style="2" customWidth="1"/>
    <col min="771" max="772" width="0" style="2" hidden="1" customWidth="1"/>
    <col min="773" max="779" width="11" style="2" customWidth="1"/>
    <col min="780" max="781" width="0" style="2" hidden="1" customWidth="1"/>
    <col min="782" max="783" width="11" style="2" customWidth="1"/>
    <col min="784" max="785" width="0" style="2" hidden="1" customWidth="1"/>
    <col min="786" max="786" width="11" style="2" customWidth="1"/>
    <col min="787" max="787" width="16.5546875" style="2" customWidth="1"/>
    <col min="788" max="791" width="11" style="2" customWidth="1"/>
    <col min="792" max="793" width="11.109375" style="2" customWidth="1"/>
    <col min="794" max="817" width="11" style="2" customWidth="1"/>
    <col min="818" max="1023" width="9.109375" style="2"/>
    <col min="1024" max="1024" width="0" style="2" hidden="1" customWidth="1"/>
    <col min="1025" max="1025" width="9.109375" style="2"/>
    <col min="1026" max="1026" width="28.109375" style="2" customWidth="1"/>
    <col min="1027" max="1028" width="0" style="2" hidden="1" customWidth="1"/>
    <col min="1029" max="1035" width="11" style="2" customWidth="1"/>
    <col min="1036" max="1037" width="0" style="2" hidden="1" customWidth="1"/>
    <col min="1038" max="1039" width="11" style="2" customWidth="1"/>
    <col min="1040" max="1041" width="0" style="2" hidden="1" customWidth="1"/>
    <col min="1042" max="1042" width="11" style="2" customWidth="1"/>
    <col min="1043" max="1043" width="16.5546875" style="2" customWidth="1"/>
    <col min="1044" max="1047" width="11" style="2" customWidth="1"/>
    <col min="1048" max="1049" width="11.109375" style="2" customWidth="1"/>
    <col min="1050" max="1073" width="11" style="2" customWidth="1"/>
    <col min="1074" max="1279" width="9.109375" style="2"/>
    <col min="1280" max="1280" width="0" style="2" hidden="1" customWidth="1"/>
    <col min="1281" max="1281" width="9.109375" style="2"/>
    <col min="1282" max="1282" width="28.109375" style="2" customWidth="1"/>
    <col min="1283" max="1284" width="0" style="2" hidden="1" customWidth="1"/>
    <col min="1285" max="1291" width="11" style="2" customWidth="1"/>
    <col min="1292" max="1293" width="0" style="2" hidden="1" customWidth="1"/>
    <col min="1294" max="1295" width="11" style="2" customWidth="1"/>
    <col min="1296" max="1297" width="0" style="2" hidden="1" customWidth="1"/>
    <col min="1298" max="1298" width="11" style="2" customWidth="1"/>
    <col min="1299" max="1299" width="16.5546875" style="2" customWidth="1"/>
    <col min="1300" max="1303" width="11" style="2" customWidth="1"/>
    <col min="1304" max="1305" width="11.109375" style="2" customWidth="1"/>
    <col min="1306" max="1329" width="11" style="2" customWidth="1"/>
    <col min="1330" max="1535" width="9.109375" style="2"/>
    <col min="1536" max="1536" width="0" style="2" hidden="1" customWidth="1"/>
    <col min="1537" max="1537" width="9.109375" style="2"/>
    <col min="1538" max="1538" width="28.109375" style="2" customWidth="1"/>
    <col min="1539" max="1540" width="0" style="2" hidden="1" customWidth="1"/>
    <col min="1541" max="1547" width="11" style="2" customWidth="1"/>
    <col min="1548" max="1549" width="0" style="2" hidden="1" customWidth="1"/>
    <col min="1550" max="1551" width="11" style="2" customWidth="1"/>
    <col min="1552" max="1553" width="0" style="2" hidden="1" customWidth="1"/>
    <col min="1554" max="1554" width="11" style="2" customWidth="1"/>
    <col min="1555" max="1555" width="16.5546875" style="2" customWidth="1"/>
    <col min="1556" max="1559" width="11" style="2" customWidth="1"/>
    <col min="1560" max="1561" width="11.109375" style="2" customWidth="1"/>
    <col min="1562" max="1585" width="11" style="2" customWidth="1"/>
    <col min="1586" max="1791" width="9.109375" style="2"/>
    <col min="1792" max="1792" width="0" style="2" hidden="1" customWidth="1"/>
    <col min="1793" max="1793" width="9.109375" style="2"/>
    <col min="1794" max="1794" width="28.109375" style="2" customWidth="1"/>
    <col min="1795" max="1796" width="0" style="2" hidden="1" customWidth="1"/>
    <col min="1797" max="1803" width="11" style="2" customWidth="1"/>
    <col min="1804" max="1805" width="0" style="2" hidden="1" customWidth="1"/>
    <col min="1806" max="1807" width="11" style="2" customWidth="1"/>
    <col min="1808" max="1809" width="0" style="2" hidden="1" customWidth="1"/>
    <col min="1810" max="1810" width="11" style="2" customWidth="1"/>
    <col min="1811" max="1811" width="16.5546875" style="2" customWidth="1"/>
    <col min="1812" max="1815" width="11" style="2" customWidth="1"/>
    <col min="1816" max="1817" width="11.109375" style="2" customWidth="1"/>
    <col min="1818" max="1841" width="11" style="2" customWidth="1"/>
    <col min="1842" max="2047" width="9.109375" style="2"/>
    <col min="2048" max="2048" width="0" style="2" hidden="1" customWidth="1"/>
    <col min="2049" max="2049" width="9.109375" style="2"/>
    <col min="2050" max="2050" width="28.109375" style="2" customWidth="1"/>
    <col min="2051" max="2052" width="0" style="2" hidden="1" customWidth="1"/>
    <col min="2053" max="2059" width="11" style="2" customWidth="1"/>
    <col min="2060" max="2061" width="0" style="2" hidden="1" customWidth="1"/>
    <col min="2062" max="2063" width="11" style="2" customWidth="1"/>
    <col min="2064" max="2065" width="0" style="2" hidden="1" customWidth="1"/>
    <col min="2066" max="2066" width="11" style="2" customWidth="1"/>
    <col min="2067" max="2067" width="16.5546875" style="2" customWidth="1"/>
    <col min="2068" max="2071" width="11" style="2" customWidth="1"/>
    <col min="2072" max="2073" width="11.109375" style="2" customWidth="1"/>
    <col min="2074" max="2097" width="11" style="2" customWidth="1"/>
    <col min="2098" max="2303" width="9.109375" style="2"/>
    <col min="2304" max="2304" width="0" style="2" hidden="1" customWidth="1"/>
    <col min="2305" max="2305" width="9.109375" style="2"/>
    <col min="2306" max="2306" width="28.109375" style="2" customWidth="1"/>
    <col min="2307" max="2308" width="0" style="2" hidden="1" customWidth="1"/>
    <col min="2309" max="2315" width="11" style="2" customWidth="1"/>
    <col min="2316" max="2317" width="0" style="2" hidden="1" customWidth="1"/>
    <col min="2318" max="2319" width="11" style="2" customWidth="1"/>
    <col min="2320" max="2321" width="0" style="2" hidden="1" customWidth="1"/>
    <col min="2322" max="2322" width="11" style="2" customWidth="1"/>
    <col min="2323" max="2323" width="16.5546875" style="2" customWidth="1"/>
    <col min="2324" max="2327" width="11" style="2" customWidth="1"/>
    <col min="2328" max="2329" width="11.109375" style="2" customWidth="1"/>
    <col min="2330" max="2353" width="11" style="2" customWidth="1"/>
    <col min="2354" max="2559" width="9.109375" style="2"/>
    <col min="2560" max="2560" width="0" style="2" hidden="1" customWidth="1"/>
    <col min="2561" max="2561" width="9.109375" style="2"/>
    <col min="2562" max="2562" width="28.109375" style="2" customWidth="1"/>
    <col min="2563" max="2564" width="0" style="2" hidden="1" customWidth="1"/>
    <col min="2565" max="2571" width="11" style="2" customWidth="1"/>
    <col min="2572" max="2573" width="0" style="2" hidden="1" customWidth="1"/>
    <col min="2574" max="2575" width="11" style="2" customWidth="1"/>
    <col min="2576" max="2577" width="0" style="2" hidden="1" customWidth="1"/>
    <col min="2578" max="2578" width="11" style="2" customWidth="1"/>
    <col min="2579" max="2579" width="16.5546875" style="2" customWidth="1"/>
    <col min="2580" max="2583" width="11" style="2" customWidth="1"/>
    <col min="2584" max="2585" width="11.109375" style="2" customWidth="1"/>
    <col min="2586" max="2609" width="11" style="2" customWidth="1"/>
    <col min="2610" max="2815" width="9.109375" style="2"/>
    <col min="2816" max="2816" width="0" style="2" hidden="1" customWidth="1"/>
    <col min="2817" max="2817" width="9.109375" style="2"/>
    <col min="2818" max="2818" width="28.109375" style="2" customWidth="1"/>
    <col min="2819" max="2820" width="0" style="2" hidden="1" customWidth="1"/>
    <col min="2821" max="2827" width="11" style="2" customWidth="1"/>
    <col min="2828" max="2829" width="0" style="2" hidden="1" customWidth="1"/>
    <col min="2830" max="2831" width="11" style="2" customWidth="1"/>
    <col min="2832" max="2833" width="0" style="2" hidden="1" customWidth="1"/>
    <col min="2834" max="2834" width="11" style="2" customWidth="1"/>
    <col min="2835" max="2835" width="16.5546875" style="2" customWidth="1"/>
    <col min="2836" max="2839" width="11" style="2" customWidth="1"/>
    <col min="2840" max="2841" width="11.109375" style="2" customWidth="1"/>
    <col min="2842" max="2865" width="11" style="2" customWidth="1"/>
    <col min="2866" max="3071" width="9.109375" style="2"/>
    <col min="3072" max="3072" width="0" style="2" hidden="1" customWidth="1"/>
    <col min="3073" max="3073" width="9.109375" style="2"/>
    <col min="3074" max="3074" width="28.109375" style="2" customWidth="1"/>
    <col min="3075" max="3076" width="0" style="2" hidden="1" customWidth="1"/>
    <col min="3077" max="3083" width="11" style="2" customWidth="1"/>
    <col min="3084" max="3085" width="0" style="2" hidden="1" customWidth="1"/>
    <col min="3086" max="3087" width="11" style="2" customWidth="1"/>
    <col min="3088" max="3089" width="0" style="2" hidden="1" customWidth="1"/>
    <col min="3090" max="3090" width="11" style="2" customWidth="1"/>
    <col min="3091" max="3091" width="16.5546875" style="2" customWidth="1"/>
    <col min="3092" max="3095" width="11" style="2" customWidth="1"/>
    <col min="3096" max="3097" width="11.109375" style="2" customWidth="1"/>
    <col min="3098" max="3121" width="11" style="2" customWidth="1"/>
    <col min="3122" max="3327" width="9.109375" style="2"/>
    <col min="3328" max="3328" width="0" style="2" hidden="1" customWidth="1"/>
    <col min="3329" max="3329" width="9.109375" style="2"/>
    <col min="3330" max="3330" width="28.109375" style="2" customWidth="1"/>
    <col min="3331" max="3332" width="0" style="2" hidden="1" customWidth="1"/>
    <col min="3333" max="3339" width="11" style="2" customWidth="1"/>
    <col min="3340" max="3341" width="0" style="2" hidden="1" customWidth="1"/>
    <col min="3342" max="3343" width="11" style="2" customWidth="1"/>
    <col min="3344" max="3345" width="0" style="2" hidden="1" customWidth="1"/>
    <col min="3346" max="3346" width="11" style="2" customWidth="1"/>
    <col min="3347" max="3347" width="16.5546875" style="2" customWidth="1"/>
    <col min="3348" max="3351" width="11" style="2" customWidth="1"/>
    <col min="3352" max="3353" width="11.109375" style="2" customWidth="1"/>
    <col min="3354" max="3377" width="11" style="2" customWidth="1"/>
    <col min="3378" max="3583" width="9.109375" style="2"/>
    <col min="3584" max="3584" width="0" style="2" hidden="1" customWidth="1"/>
    <col min="3585" max="3585" width="9.109375" style="2"/>
    <col min="3586" max="3586" width="28.109375" style="2" customWidth="1"/>
    <col min="3587" max="3588" width="0" style="2" hidden="1" customWidth="1"/>
    <col min="3589" max="3595" width="11" style="2" customWidth="1"/>
    <col min="3596" max="3597" width="0" style="2" hidden="1" customWidth="1"/>
    <col min="3598" max="3599" width="11" style="2" customWidth="1"/>
    <col min="3600" max="3601" width="0" style="2" hidden="1" customWidth="1"/>
    <col min="3602" max="3602" width="11" style="2" customWidth="1"/>
    <col min="3603" max="3603" width="16.5546875" style="2" customWidth="1"/>
    <col min="3604" max="3607" width="11" style="2" customWidth="1"/>
    <col min="3608" max="3609" width="11.109375" style="2" customWidth="1"/>
    <col min="3610" max="3633" width="11" style="2" customWidth="1"/>
    <col min="3634" max="3839" width="9.109375" style="2"/>
    <col min="3840" max="3840" width="0" style="2" hidden="1" customWidth="1"/>
    <col min="3841" max="3841" width="9.109375" style="2"/>
    <col min="3842" max="3842" width="28.109375" style="2" customWidth="1"/>
    <col min="3843" max="3844" width="0" style="2" hidden="1" customWidth="1"/>
    <col min="3845" max="3851" width="11" style="2" customWidth="1"/>
    <col min="3852" max="3853" width="0" style="2" hidden="1" customWidth="1"/>
    <col min="3854" max="3855" width="11" style="2" customWidth="1"/>
    <col min="3856" max="3857" width="0" style="2" hidden="1" customWidth="1"/>
    <col min="3858" max="3858" width="11" style="2" customWidth="1"/>
    <col min="3859" max="3859" width="16.5546875" style="2" customWidth="1"/>
    <col min="3860" max="3863" width="11" style="2" customWidth="1"/>
    <col min="3864" max="3865" width="11.109375" style="2" customWidth="1"/>
    <col min="3866" max="3889" width="11" style="2" customWidth="1"/>
    <col min="3890" max="4095" width="9.109375" style="2"/>
    <col min="4096" max="4096" width="0" style="2" hidden="1" customWidth="1"/>
    <col min="4097" max="4097" width="9.109375" style="2"/>
    <col min="4098" max="4098" width="28.109375" style="2" customWidth="1"/>
    <col min="4099" max="4100" width="0" style="2" hidden="1" customWidth="1"/>
    <col min="4101" max="4107" width="11" style="2" customWidth="1"/>
    <col min="4108" max="4109" width="0" style="2" hidden="1" customWidth="1"/>
    <col min="4110" max="4111" width="11" style="2" customWidth="1"/>
    <col min="4112" max="4113" width="0" style="2" hidden="1" customWidth="1"/>
    <col min="4114" max="4114" width="11" style="2" customWidth="1"/>
    <col min="4115" max="4115" width="16.5546875" style="2" customWidth="1"/>
    <col min="4116" max="4119" width="11" style="2" customWidth="1"/>
    <col min="4120" max="4121" width="11.109375" style="2" customWidth="1"/>
    <col min="4122" max="4145" width="11" style="2" customWidth="1"/>
    <col min="4146" max="4351" width="9.109375" style="2"/>
    <col min="4352" max="4352" width="0" style="2" hidden="1" customWidth="1"/>
    <col min="4353" max="4353" width="9.109375" style="2"/>
    <col min="4354" max="4354" width="28.109375" style="2" customWidth="1"/>
    <col min="4355" max="4356" width="0" style="2" hidden="1" customWidth="1"/>
    <col min="4357" max="4363" width="11" style="2" customWidth="1"/>
    <col min="4364" max="4365" width="0" style="2" hidden="1" customWidth="1"/>
    <col min="4366" max="4367" width="11" style="2" customWidth="1"/>
    <col min="4368" max="4369" width="0" style="2" hidden="1" customWidth="1"/>
    <col min="4370" max="4370" width="11" style="2" customWidth="1"/>
    <col min="4371" max="4371" width="16.5546875" style="2" customWidth="1"/>
    <col min="4372" max="4375" width="11" style="2" customWidth="1"/>
    <col min="4376" max="4377" width="11.109375" style="2" customWidth="1"/>
    <col min="4378" max="4401" width="11" style="2" customWidth="1"/>
    <col min="4402" max="4607" width="9.109375" style="2"/>
    <col min="4608" max="4608" width="0" style="2" hidden="1" customWidth="1"/>
    <col min="4609" max="4609" width="9.109375" style="2"/>
    <col min="4610" max="4610" width="28.109375" style="2" customWidth="1"/>
    <col min="4611" max="4612" width="0" style="2" hidden="1" customWidth="1"/>
    <col min="4613" max="4619" width="11" style="2" customWidth="1"/>
    <col min="4620" max="4621" width="0" style="2" hidden="1" customWidth="1"/>
    <col min="4622" max="4623" width="11" style="2" customWidth="1"/>
    <col min="4624" max="4625" width="0" style="2" hidden="1" customWidth="1"/>
    <col min="4626" max="4626" width="11" style="2" customWidth="1"/>
    <col min="4627" max="4627" width="16.5546875" style="2" customWidth="1"/>
    <col min="4628" max="4631" width="11" style="2" customWidth="1"/>
    <col min="4632" max="4633" width="11.109375" style="2" customWidth="1"/>
    <col min="4634" max="4657" width="11" style="2" customWidth="1"/>
    <col min="4658" max="4863" width="9.109375" style="2"/>
    <col min="4864" max="4864" width="0" style="2" hidden="1" customWidth="1"/>
    <col min="4865" max="4865" width="9.109375" style="2"/>
    <col min="4866" max="4866" width="28.109375" style="2" customWidth="1"/>
    <col min="4867" max="4868" width="0" style="2" hidden="1" customWidth="1"/>
    <col min="4869" max="4875" width="11" style="2" customWidth="1"/>
    <col min="4876" max="4877" width="0" style="2" hidden="1" customWidth="1"/>
    <col min="4878" max="4879" width="11" style="2" customWidth="1"/>
    <col min="4880" max="4881" width="0" style="2" hidden="1" customWidth="1"/>
    <col min="4882" max="4882" width="11" style="2" customWidth="1"/>
    <col min="4883" max="4883" width="16.5546875" style="2" customWidth="1"/>
    <col min="4884" max="4887" width="11" style="2" customWidth="1"/>
    <col min="4888" max="4889" width="11.109375" style="2" customWidth="1"/>
    <col min="4890" max="4913" width="11" style="2" customWidth="1"/>
    <col min="4914" max="5119" width="9.109375" style="2"/>
    <col min="5120" max="5120" width="0" style="2" hidden="1" customWidth="1"/>
    <col min="5121" max="5121" width="9.109375" style="2"/>
    <col min="5122" max="5122" width="28.109375" style="2" customWidth="1"/>
    <col min="5123" max="5124" width="0" style="2" hidden="1" customWidth="1"/>
    <col min="5125" max="5131" width="11" style="2" customWidth="1"/>
    <col min="5132" max="5133" width="0" style="2" hidden="1" customWidth="1"/>
    <col min="5134" max="5135" width="11" style="2" customWidth="1"/>
    <col min="5136" max="5137" width="0" style="2" hidden="1" customWidth="1"/>
    <col min="5138" max="5138" width="11" style="2" customWidth="1"/>
    <col min="5139" max="5139" width="16.5546875" style="2" customWidth="1"/>
    <col min="5140" max="5143" width="11" style="2" customWidth="1"/>
    <col min="5144" max="5145" width="11.109375" style="2" customWidth="1"/>
    <col min="5146" max="5169" width="11" style="2" customWidth="1"/>
    <col min="5170" max="5375" width="9.109375" style="2"/>
    <col min="5376" max="5376" width="0" style="2" hidden="1" customWidth="1"/>
    <col min="5377" max="5377" width="9.109375" style="2"/>
    <col min="5378" max="5378" width="28.109375" style="2" customWidth="1"/>
    <col min="5379" max="5380" width="0" style="2" hidden="1" customWidth="1"/>
    <col min="5381" max="5387" width="11" style="2" customWidth="1"/>
    <col min="5388" max="5389" width="0" style="2" hidden="1" customWidth="1"/>
    <col min="5390" max="5391" width="11" style="2" customWidth="1"/>
    <col min="5392" max="5393" width="0" style="2" hidden="1" customWidth="1"/>
    <col min="5394" max="5394" width="11" style="2" customWidth="1"/>
    <col min="5395" max="5395" width="16.5546875" style="2" customWidth="1"/>
    <col min="5396" max="5399" width="11" style="2" customWidth="1"/>
    <col min="5400" max="5401" width="11.109375" style="2" customWidth="1"/>
    <col min="5402" max="5425" width="11" style="2" customWidth="1"/>
    <col min="5426" max="5631" width="9.109375" style="2"/>
    <col min="5632" max="5632" width="0" style="2" hidden="1" customWidth="1"/>
    <col min="5633" max="5633" width="9.109375" style="2"/>
    <col min="5634" max="5634" width="28.109375" style="2" customWidth="1"/>
    <col min="5635" max="5636" width="0" style="2" hidden="1" customWidth="1"/>
    <col min="5637" max="5643" width="11" style="2" customWidth="1"/>
    <col min="5644" max="5645" width="0" style="2" hidden="1" customWidth="1"/>
    <col min="5646" max="5647" width="11" style="2" customWidth="1"/>
    <col min="5648" max="5649" width="0" style="2" hidden="1" customWidth="1"/>
    <col min="5650" max="5650" width="11" style="2" customWidth="1"/>
    <col min="5651" max="5651" width="16.5546875" style="2" customWidth="1"/>
    <col min="5652" max="5655" width="11" style="2" customWidth="1"/>
    <col min="5656" max="5657" width="11.109375" style="2" customWidth="1"/>
    <col min="5658" max="5681" width="11" style="2" customWidth="1"/>
    <col min="5682" max="5887" width="9.109375" style="2"/>
    <col min="5888" max="5888" width="0" style="2" hidden="1" customWidth="1"/>
    <col min="5889" max="5889" width="9.109375" style="2"/>
    <col min="5890" max="5890" width="28.109375" style="2" customWidth="1"/>
    <col min="5891" max="5892" width="0" style="2" hidden="1" customWidth="1"/>
    <col min="5893" max="5899" width="11" style="2" customWidth="1"/>
    <col min="5900" max="5901" width="0" style="2" hidden="1" customWidth="1"/>
    <col min="5902" max="5903" width="11" style="2" customWidth="1"/>
    <col min="5904" max="5905" width="0" style="2" hidden="1" customWidth="1"/>
    <col min="5906" max="5906" width="11" style="2" customWidth="1"/>
    <col min="5907" max="5907" width="16.5546875" style="2" customWidth="1"/>
    <col min="5908" max="5911" width="11" style="2" customWidth="1"/>
    <col min="5912" max="5913" width="11.109375" style="2" customWidth="1"/>
    <col min="5914" max="5937" width="11" style="2" customWidth="1"/>
    <col min="5938" max="6143" width="9.109375" style="2"/>
    <col min="6144" max="6144" width="0" style="2" hidden="1" customWidth="1"/>
    <col min="6145" max="6145" width="9.109375" style="2"/>
    <col min="6146" max="6146" width="28.109375" style="2" customWidth="1"/>
    <col min="6147" max="6148" width="0" style="2" hidden="1" customWidth="1"/>
    <col min="6149" max="6155" width="11" style="2" customWidth="1"/>
    <col min="6156" max="6157" width="0" style="2" hidden="1" customWidth="1"/>
    <col min="6158" max="6159" width="11" style="2" customWidth="1"/>
    <col min="6160" max="6161" width="0" style="2" hidden="1" customWidth="1"/>
    <col min="6162" max="6162" width="11" style="2" customWidth="1"/>
    <col min="6163" max="6163" width="16.5546875" style="2" customWidth="1"/>
    <col min="6164" max="6167" width="11" style="2" customWidth="1"/>
    <col min="6168" max="6169" width="11.109375" style="2" customWidth="1"/>
    <col min="6170" max="6193" width="11" style="2" customWidth="1"/>
    <col min="6194" max="6399" width="9.109375" style="2"/>
    <col min="6400" max="6400" width="0" style="2" hidden="1" customWidth="1"/>
    <col min="6401" max="6401" width="9.109375" style="2"/>
    <col min="6402" max="6402" width="28.109375" style="2" customWidth="1"/>
    <col min="6403" max="6404" width="0" style="2" hidden="1" customWidth="1"/>
    <col min="6405" max="6411" width="11" style="2" customWidth="1"/>
    <col min="6412" max="6413" width="0" style="2" hidden="1" customWidth="1"/>
    <col min="6414" max="6415" width="11" style="2" customWidth="1"/>
    <col min="6416" max="6417" width="0" style="2" hidden="1" customWidth="1"/>
    <col min="6418" max="6418" width="11" style="2" customWidth="1"/>
    <col min="6419" max="6419" width="16.5546875" style="2" customWidth="1"/>
    <col min="6420" max="6423" width="11" style="2" customWidth="1"/>
    <col min="6424" max="6425" width="11.109375" style="2" customWidth="1"/>
    <col min="6426" max="6449" width="11" style="2" customWidth="1"/>
    <col min="6450" max="6655" width="9.109375" style="2"/>
    <col min="6656" max="6656" width="0" style="2" hidden="1" customWidth="1"/>
    <col min="6657" max="6657" width="9.109375" style="2"/>
    <col min="6658" max="6658" width="28.109375" style="2" customWidth="1"/>
    <col min="6659" max="6660" width="0" style="2" hidden="1" customWidth="1"/>
    <col min="6661" max="6667" width="11" style="2" customWidth="1"/>
    <col min="6668" max="6669" width="0" style="2" hidden="1" customWidth="1"/>
    <col min="6670" max="6671" width="11" style="2" customWidth="1"/>
    <col min="6672" max="6673" width="0" style="2" hidden="1" customWidth="1"/>
    <col min="6674" max="6674" width="11" style="2" customWidth="1"/>
    <col min="6675" max="6675" width="16.5546875" style="2" customWidth="1"/>
    <col min="6676" max="6679" width="11" style="2" customWidth="1"/>
    <col min="6680" max="6681" width="11.109375" style="2" customWidth="1"/>
    <col min="6682" max="6705" width="11" style="2" customWidth="1"/>
    <col min="6706" max="6911" width="9.109375" style="2"/>
    <col min="6912" max="6912" width="0" style="2" hidden="1" customWidth="1"/>
    <col min="6913" max="6913" width="9.109375" style="2"/>
    <col min="6914" max="6914" width="28.109375" style="2" customWidth="1"/>
    <col min="6915" max="6916" width="0" style="2" hidden="1" customWidth="1"/>
    <col min="6917" max="6923" width="11" style="2" customWidth="1"/>
    <col min="6924" max="6925" width="0" style="2" hidden="1" customWidth="1"/>
    <col min="6926" max="6927" width="11" style="2" customWidth="1"/>
    <col min="6928" max="6929" width="0" style="2" hidden="1" customWidth="1"/>
    <col min="6930" max="6930" width="11" style="2" customWidth="1"/>
    <col min="6931" max="6931" width="16.5546875" style="2" customWidth="1"/>
    <col min="6932" max="6935" width="11" style="2" customWidth="1"/>
    <col min="6936" max="6937" width="11.109375" style="2" customWidth="1"/>
    <col min="6938" max="6961" width="11" style="2" customWidth="1"/>
    <col min="6962" max="7167" width="9.109375" style="2"/>
    <col min="7168" max="7168" width="0" style="2" hidden="1" customWidth="1"/>
    <col min="7169" max="7169" width="9.109375" style="2"/>
    <col min="7170" max="7170" width="28.109375" style="2" customWidth="1"/>
    <col min="7171" max="7172" width="0" style="2" hidden="1" customWidth="1"/>
    <col min="7173" max="7179" width="11" style="2" customWidth="1"/>
    <col min="7180" max="7181" width="0" style="2" hidden="1" customWidth="1"/>
    <col min="7182" max="7183" width="11" style="2" customWidth="1"/>
    <col min="7184" max="7185" width="0" style="2" hidden="1" customWidth="1"/>
    <col min="7186" max="7186" width="11" style="2" customWidth="1"/>
    <col min="7187" max="7187" width="16.5546875" style="2" customWidth="1"/>
    <col min="7188" max="7191" width="11" style="2" customWidth="1"/>
    <col min="7192" max="7193" width="11.109375" style="2" customWidth="1"/>
    <col min="7194" max="7217" width="11" style="2" customWidth="1"/>
    <col min="7218" max="7423" width="9.109375" style="2"/>
    <col min="7424" max="7424" width="0" style="2" hidden="1" customWidth="1"/>
    <col min="7425" max="7425" width="9.109375" style="2"/>
    <col min="7426" max="7426" width="28.109375" style="2" customWidth="1"/>
    <col min="7427" max="7428" width="0" style="2" hidden="1" customWidth="1"/>
    <col min="7429" max="7435" width="11" style="2" customWidth="1"/>
    <col min="7436" max="7437" width="0" style="2" hidden="1" customWidth="1"/>
    <col min="7438" max="7439" width="11" style="2" customWidth="1"/>
    <col min="7440" max="7441" width="0" style="2" hidden="1" customWidth="1"/>
    <col min="7442" max="7442" width="11" style="2" customWidth="1"/>
    <col min="7443" max="7443" width="16.5546875" style="2" customWidth="1"/>
    <col min="7444" max="7447" width="11" style="2" customWidth="1"/>
    <col min="7448" max="7449" width="11.109375" style="2" customWidth="1"/>
    <col min="7450" max="7473" width="11" style="2" customWidth="1"/>
    <col min="7474" max="7679" width="9.109375" style="2"/>
    <col min="7680" max="7680" width="0" style="2" hidden="1" customWidth="1"/>
    <col min="7681" max="7681" width="9.109375" style="2"/>
    <col min="7682" max="7682" width="28.109375" style="2" customWidth="1"/>
    <col min="7683" max="7684" width="0" style="2" hidden="1" customWidth="1"/>
    <col min="7685" max="7691" width="11" style="2" customWidth="1"/>
    <col min="7692" max="7693" width="0" style="2" hidden="1" customWidth="1"/>
    <col min="7694" max="7695" width="11" style="2" customWidth="1"/>
    <col min="7696" max="7697" width="0" style="2" hidden="1" customWidth="1"/>
    <col min="7698" max="7698" width="11" style="2" customWidth="1"/>
    <col min="7699" max="7699" width="16.5546875" style="2" customWidth="1"/>
    <col min="7700" max="7703" width="11" style="2" customWidth="1"/>
    <col min="7704" max="7705" width="11.109375" style="2" customWidth="1"/>
    <col min="7706" max="7729" width="11" style="2" customWidth="1"/>
    <col min="7730" max="7935" width="9.109375" style="2"/>
    <col min="7936" max="7936" width="0" style="2" hidden="1" customWidth="1"/>
    <col min="7937" max="7937" width="9.109375" style="2"/>
    <col min="7938" max="7938" width="28.109375" style="2" customWidth="1"/>
    <col min="7939" max="7940" width="0" style="2" hidden="1" customWidth="1"/>
    <col min="7941" max="7947" width="11" style="2" customWidth="1"/>
    <col min="7948" max="7949" width="0" style="2" hidden="1" customWidth="1"/>
    <col min="7950" max="7951" width="11" style="2" customWidth="1"/>
    <col min="7952" max="7953" width="0" style="2" hidden="1" customWidth="1"/>
    <col min="7954" max="7954" width="11" style="2" customWidth="1"/>
    <col min="7955" max="7955" width="16.5546875" style="2" customWidth="1"/>
    <col min="7956" max="7959" width="11" style="2" customWidth="1"/>
    <col min="7960" max="7961" width="11.109375" style="2" customWidth="1"/>
    <col min="7962" max="7985" width="11" style="2" customWidth="1"/>
    <col min="7986" max="8191" width="9.109375" style="2"/>
    <col min="8192" max="8192" width="0" style="2" hidden="1" customWidth="1"/>
    <col min="8193" max="8193" width="9.109375" style="2"/>
    <col min="8194" max="8194" width="28.109375" style="2" customWidth="1"/>
    <col min="8195" max="8196" width="0" style="2" hidden="1" customWidth="1"/>
    <col min="8197" max="8203" width="11" style="2" customWidth="1"/>
    <col min="8204" max="8205" width="0" style="2" hidden="1" customWidth="1"/>
    <col min="8206" max="8207" width="11" style="2" customWidth="1"/>
    <col min="8208" max="8209" width="0" style="2" hidden="1" customWidth="1"/>
    <col min="8210" max="8210" width="11" style="2" customWidth="1"/>
    <col min="8211" max="8211" width="16.5546875" style="2" customWidth="1"/>
    <col min="8212" max="8215" width="11" style="2" customWidth="1"/>
    <col min="8216" max="8217" width="11.109375" style="2" customWidth="1"/>
    <col min="8218" max="8241" width="11" style="2" customWidth="1"/>
    <col min="8242" max="8447" width="9.109375" style="2"/>
    <col min="8448" max="8448" width="0" style="2" hidden="1" customWidth="1"/>
    <col min="8449" max="8449" width="9.109375" style="2"/>
    <col min="8450" max="8450" width="28.109375" style="2" customWidth="1"/>
    <col min="8451" max="8452" width="0" style="2" hidden="1" customWidth="1"/>
    <col min="8453" max="8459" width="11" style="2" customWidth="1"/>
    <col min="8460" max="8461" width="0" style="2" hidden="1" customWidth="1"/>
    <col min="8462" max="8463" width="11" style="2" customWidth="1"/>
    <col min="8464" max="8465" width="0" style="2" hidden="1" customWidth="1"/>
    <col min="8466" max="8466" width="11" style="2" customWidth="1"/>
    <col min="8467" max="8467" width="16.5546875" style="2" customWidth="1"/>
    <col min="8468" max="8471" width="11" style="2" customWidth="1"/>
    <col min="8472" max="8473" width="11.109375" style="2" customWidth="1"/>
    <col min="8474" max="8497" width="11" style="2" customWidth="1"/>
    <col min="8498" max="8703" width="9.109375" style="2"/>
    <col min="8704" max="8704" width="0" style="2" hidden="1" customWidth="1"/>
    <col min="8705" max="8705" width="9.109375" style="2"/>
    <col min="8706" max="8706" width="28.109375" style="2" customWidth="1"/>
    <col min="8707" max="8708" width="0" style="2" hidden="1" customWidth="1"/>
    <col min="8709" max="8715" width="11" style="2" customWidth="1"/>
    <col min="8716" max="8717" width="0" style="2" hidden="1" customWidth="1"/>
    <col min="8718" max="8719" width="11" style="2" customWidth="1"/>
    <col min="8720" max="8721" width="0" style="2" hidden="1" customWidth="1"/>
    <col min="8722" max="8722" width="11" style="2" customWidth="1"/>
    <col min="8723" max="8723" width="16.5546875" style="2" customWidth="1"/>
    <col min="8724" max="8727" width="11" style="2" customWidth="1"/>
    <col min="8728" max="8729" width="11.109375" style="2" customWidth="1"/>
    <col min="8730" max="8753" width="11" style="2" customWidth="1"/>
    <col min="8754" max="8959" width="9.109375" style="2"/>
    <col min="8960" max="8960" width="0" style="2" hidden="1" customWidth="1"/>
    <col min="8961" max="8961" width="9.109375" style="2"/>
    <col min="8962" max="8962" width="28.109375" style="2" customWidth="1"/>
    <col min="8963" max="8964" width="0" style="2" hidden="1" customWidth="1"/>
    <col min="8965" max="8971" width="11" style="2" customWidth="1"/>
    <col min="8972" max="8973" width="0" style="2" hidden="1" customWidth="1"/>
    <col min="8974" max="8975" width="11" style="2" customWidth="1"/>
    <col min="8976" max="8977" width="0" style="2" hidden="1" customWidth="1"/>
    <col min="8978" max="8978" width="11" style="2" customWidth="1"/>
    <col min="8979" max="8979" width="16.5546875" style="2" customWidth="1"/>
    <col min="8980" max="8983" width="11" style="2" customWidth="1"/>
    <col min="8984" max="8985" width="11.109375" style="2" customWidth="1"/>
    <col min="8986" max="9009" width="11" style="2" customWidth="1"/>
    <col min="9010" max="9215" width="9.109375" style="2"/>
    <col min="9216" max="9216" width="0" style="2" hidden="1" customWidth="1"/>
    <col min="9217" max="9217" width="9.109375" style="2"/>
    <col min="9218" max="9218" width="28.109375" style="2" customWidth="1"/>
    <col min="9219" max="9220" width="0" style="2" hidden="1" customWidth="1"/>
    <col min="9221" max="9227" width="11" style="2" customWidth="1"/>
    <col min="9228" max="9229" width="0" style="2" hidden="1" customWidth="1"/>
    <col min="9230" max="9231" width="11" style="2" customWidth="1"/>
    <col min="9232" max="9233" width="0" style="2" hidden="1" customWidth="1"/>
    <col min="9234" max="9234" width="11" style="2" customWidth="1"/>
    <col min="9235" max="9235" width="16.5546875" style="2" customWidth="1"/>
    <col min="9236" max="9239" width="11" style="2" customWidth="1"/>
    <col min="9240" max="9241" width="11.109375" style="2" customWidth="1"/>
    <col min="9242" max="9265" width="11" style="2" customWidth="1"/>
    <col min="9266" max="9471" width="9.109375" style="2"/>
    <col min="9472" max="9472" width="0" style="2" hidden="1" customWidth="1"/>
    <col min="9473" max="9473" width="9.109375" style="2"/>
    <col min="9474" max="9474" width="28.109375" style="2" customWidth="1"/>
    <col min="9475" max="9476" width="0" style="2" hidden="1" customWidth="1"/>
    <col min="9477" max="9483" width="11" style="2" customWidth="1"/>
    <col min="9484" max="9485" width="0" style="2" hidden="1" customWidth="1"/>
    <col min="9486" max="9487" width="11" style="2" customWidth="1"/>
    <col min="9488" max="9489" width="0" style="2" hidden="1" customWidth="1"/>
    <col min="9490" max="9490" width="11" style="2" customWidth="1"/>
    <col min="9491" max="9491" width="16.5546875" style="2" customWidth="1"/>
    <col min="9492" max="9495" width="11" style="2" customWidth="1"/>
    <col min="9496" max="9497" width="11.109375" style="2" customWidth="1"/>
    <col min="9498" max="9521" width="11" style="2" customWidth="1"/>
    <col min="9522" max="9727" width="9.109375" style="2"/>
    <col min="9728" max="9728" width="0" style="2" hidden="1" customWidth="1"/>
    <col min="9729" max="9729" width="9.109375" style="2"/>
    <col min="9730" max="9730" width="28.109375" style="2" customWidth="1"/>
    <col min="9731" max="9732" width="0" style="2" hidden="1" customWidth="1"/>
    <col min="9733" max="9739" width="11" style="2" customWidth="1"/>
    <col min="9740" max="9741" width="0" style="2" hidden="1" customWidth="1"/>
    <col min="9742" max="9743" width="11" style="2" customWidth="1"/>
    <col min="9744" max="9745" width="0" style="2" hidden="1" customWidth="1"/>
    <col min="9746" max="9746" width="11" style="2" customWidth="1"/>
    <col min="9747" max="9747" width="16.5546875" style="2" customWidth="1"/>
    <col min="9748" max="9751" width="11" style="2" customWidth="1"/>
    <col min="9752" max="9753" width="11.109375" style="2" customWidth="1"/>
    <col min="9754" max="9777" width="11" style="2" customWidth="1"/>
    <col min="9778" max="9983" width="9.109375" style="2"/>
    <col min="9984" max="9984" width="0" style="2" hidden="1" customWidth="1"/>
    <col min="9985" max="9985" width="9.109375" style="2"/>
    <col min="9986" max="9986" width="28.109375" style="2" customWidth="1"/>
    <col min="9987" max="9988" width="0" style="2" hidden="1" customWidth="1"/>
    <col min="9989" max="9995" width="11" style="2" customWidth="1"/>
    <col min="9996" max="9997" width="0" style="2" hidden="1" customWidth="1"/>
    <col min="9998" max="9999" width="11" style="2" customWidth="1"/>
    <col min="10000" max="10001" width="0" style="2" hidden="1" customWidth="1"/>
    <col min="10002" max="10002" width="11" style="2" customWidth="1"/>
    <col min="10003" max="10003" width="16.5546875" style="2" customWidth="1"/>
    <col min="10004" max="10007" width="11" style="2" customWidth="1"/>
    <col min="10008" max="10009" width="11.109375" style="2" customWidth="1"/>
    <col min="10010" max="10033" width="11" style="2" customWidth="1"/>
    <col min="10034" max="10239" width="9.109375" style="2"/>
    <col min="10240" max="10240" width="0" style="2" hidden="1" customWidth="1"/>
    <col min="10241" max="10241" width="9.109375" style="2"/>
    <col min="10242" max="10242" width="28.109375" style="2" customWidth="1"/>
    <col min="10243" max="10244" width="0" style="2" hidden="1" customWidth="1"/>
    <col min="10245" max="10251" width="11" style="2" customWidth="1"/>
    <col min="10252" max="10253" width="0" style="2" hidden="1" customWidth="1"/>
    <col min="10254" max="10255" width="11" style="2" customWidth="1"/>
    <col min="10256" max="10257" width="0" style="2" hidden="1" customWidth="1"/>
    <col min="10258" max="10258" width="11" style="2" customWidth="1"/>
    <col min="10259" max="10259" width="16.5546875" style="2" customWidth="1"/>
    <col min="10260" max="10263" width="11" style="2" customWidth="1"/>
    <col min="10264" max="10265" width="11.109375" style="2" customWidth="1"/>
    <col min="10266" max="10289" width="11" style="2" customWidth="1"/>
    <col min="10290" max="10495" width="9.109375" style="2"/>
    <col min="10496" max="10496" width="0" style="2" hidden="1" customWidth="1"/>
    <col min="10497" max="10497" width="9.109375" style="2"/>
    <col min="10498" max="10498" width="28.109375" style="2" customWidth="1"/>
    <col min="10499" max="10500" width="0" style="2" hidden="1" customWidth="1"/>
    <col min="10501" max="10507" width="11" style="2" customWidth="1"/>
    <col min="10508" max="10509" width="0" style="2" hidden="1" customWidth="1"/>
    <col min="10510" max="10511" width="11" style="2" customWidth="1"/>
    <col min="10512" max="10513" width="0" style="2" hidden="1" customWidth="1"/>
    <col min="10514" max="10514" width="11" style="2" customWidth="1"/>
    <col min="10515" max="10515" width="16.5546875" style="2" customWidth="1"/>
    <col min="10516" max="10519" width="11" style="2" customWidth="1"/>
    <col min="10520" max="10521" width="11.109375" style="2" customWidth="1"/>
    <col min="10522" max="10545" width="11" style="2" customWidth="1"/>
    <col min="10546" max="10751" width="9.109375" style="2"/>
    <col min="10752" max="10752" width="0" style="2" hidden="1" customWidth="1"/>
    <col min="10753" max="10753" width="9.109375" style="2"/>
    <col min="10754" max="10754" width="28.109375" style="2" customWidth="1"/>
    <col min="10755" max="10756" width="0" style="2" hidden="1" customWidth="1"/>
    <col min="10757" max="10763" width="11" style="2" customWidth="1"/>
    <col min="10764" max="10765" width="0" style="2" hidden="1" customWidth="1"/>
    <col min="10766" max="10767" width="11" style="2" customWidth="1"/>
    <col min="10768" max="10769" width="0" style="2" hidden="1" customWidth="1"/>
    <col min="10770" max="10770" width="11" style="2" customWidth="1"/>
    <col min="10771" max="10771" width="16.5546875" style="2" customWidth="1"/>
    <col min="10772" max="10775" width="11" style="2" customWidth="1"/>
    <col min="10776" max="10777" width="11.109375" style="2" customWidth="1"/>
    <col min="10778" max="10801" width="11" style="2" customWidth="1"/>
    <col min="10802" max="11007" width="9.109375" style="2"/>
    <col min="11008" max="11008" width="0" style="2" hidden="1" customWidth="1"/>
    <col min="11009" max="11009" width="9.109375" style="2"/>
    <col min="11010" max="11010" width="28.109375" style="2" customWidth="1"/>
    <col min="11011" max="11012" width="0" style="2" hidden="1" customWidth="1"/>
    <col min="11013" max="11019" width="11" style="2" customWidth="1"/>
    <col min="11020" max="11021" width="0" style="2" hidden="1" customWidth="1"/>
    <col min="11022" max="11023" width="11" style="2" customWidth="1"/>
    <col min="11024" max="11025" width="0" style="2" hidden="1" customWidth="1"/>
    <col min="11026" max="11026" width="11" style="2" customWidth="1"/>
    <col min="11027" max="11027" width="16.5546875" style="2" customWidth="1"/>
    <col min="11028" max="11031" width="11" style="2" customWidth="1"/>
    <col min="11032" max="11033" width="11.109375" style="2" customWidth="1"/>
    <col min="11034" max="11057" width="11" style="2" customWidth="1"/>
    <col min="11058" max="11263" width="9.109375" style="2"/>
    <col min="11264" max="11264" width="0" style="2" hidden="1" customWidth="1"/>
    <col min="11265" max="11265" width="9.109375" style="2"/>
    <col min="11266" max="11266" width="28.109375" style="2" customWidth="1"/>
    <col min="11267" max="11268" width="0" style="2" hidden="1" customWidth="1"/>
    <col min="11269" max="11275" width="11" style="2" customWidth="1"/>
    <col min="11276" max="11277" width="0" style="2" hidden="1" customWidth="1"/>
    <col min="11278" max="11279" width="11" style="2" customWidth="1"/>
    <col min="11280" max="11281" width="0" style="2" hidden="1" customWidth="1"/>
    <col min="11282" max="11282" width="11" style="2" customWidth="1"/>
    <col min="11283" max="11283" width="16.5546875" style="2" customWidth="1"/>
    <col min="11284" max="11287" width="11" style="2" customWidth="1"/>
    <col min="11288" max="11289" width="11.109375" style="2" customWidth="1"/>
    <col min="11290" max="11313" width="11" style="2" customWidth="1"/>
    <col min="11314" max="11519" width="9.109375" style="2"/>
    <col min="11520" max="11520" width="0" style="2" hidden="1" customWidth="1"/>
    <col min="11521" max="11521" width="9.109375" style="2"/>
    <col min="11522" max="11522" width="28.109375" style="2" customWidth="1"/>
    <col min="11523" max="11524" width="0" style="2" hidden="1" customWidth="1"/>
    <col min="11525" max="11531" width="11" style="2" customWidth="1"/>
    <col min="11532" max="11533" width="0" style="2" hidden="1" customWidth="1"/>
    <col min="11534" max="11535" width="11" style="2" customWidth="1"/>
    <col min="11536" max="11537" width="0" style="2" hidden="1" customWidth="1"/>
    <col min="11538" max="11538" width="11" style="2" customWidth="1"/>
    <col min="11539" max="11539" width="16.5546875" style="2" customWidth="1"/>
    <col min="11540" max="11543" width="11" style="2" customWidth="1"/>
    <col min="11544" max="11545" width="11.109375" style="2" customWidth="1"/>
    <col min="11546" max="11569" width="11" style="2" customWidth="1"/>
    <col min="11570" max="11775" width="9.109375" style="2"/>
    <col min="11776" max="11776" width="0" style="2" hidden="1" customWidth="1"/>
    <col min="11777" max="11777" width="9.109375" style="2"/>
    <col min="11778" max="11778" width="28.109375" style="2" customWidth="1"/>
    <col min="11779" max="11780" width="0" style="2" hidden="1" customWidth="1"/>
    <col min="11781" max="11787" width="11" style="2" customWidth="1"/>
    <col min="11788" max="11789" width="0" style="2" hidden="1" customWidth="1"/>
    <col min="11790" max="11791" width="11" style="2" customWidth="1"/>
    <col min="11792" max="11793" width="0" style="2" hidden="1" customWidth="1"/>
    <col min="11794" max="11794" width="11" style="2" customWidth="1"/>
    <col min="11795" max="11795" width="16.5546875" style="2" customWidth="1"/>
    <col min="11796" max="11799" width="11" style="2" customWidth="1"/>
    <col min="11800" max="11801" width="11.109375" style="2" customWidth="1"/>
    <col min="11802" max="11825" width="11" style="2" customWidth="1"/>
    <col min="11826" max="12031" width="9.109375" style="2"/>
    <col min="12032" max="12032" width="0" style="2" hidden="1" customWidth="1"/>
    <col min="12033" max="12033" width="9.109375" style="2"/>
    <col min="12034" max="12034" width="28.109375" style="2" customWidth="1"/>
    <col min="12035" max="12036" width="0" style="2" hidden="1" customWidth="1"/>
    <col min="12037" max="12043" width="11" style="2" customWidth="1"/>
    <col min="12044" max="12045" width="0" style="2" hidden="1" customWidth="1"/>
    <col min="12046" max="12047" width="11" style="2" customWidth="1"/>
    <col min="12048" max="12049" width="0" style="2" hidden="1" customWidth="1"/>
    <col min="12050" max="12050" width="11" style="2" customWidth="1"/>
    <col min="12051" max="12051" width="16.5546875" style="2" customWidth="1"/>
    <col min="12052" max="12055" width="11" style="2" customWidth="1"/>
    <col min="12056" max="12057" width="11.109375" style="2" customWidth="1"/>
    <col min="12058" max="12081" width="11" style="2" customWidth="1"/>
    <col min="12082" max="12287" width="9.109375" style="2"/>
    <col min="12288" max="12288" width="0" style="2" hidden="1" customWidth="1"/>
    <col min="12289" max="12289" width="9.109375" style="2"/>
    <col min="12290" max="12290" width="28.109375" style="2" customWidth="1"/>
    <col min="12291" max="12292" width="0" style="2" hidden="1" customWidth="1"/>
    <col min="12293" max="12299" width="11" style="2" customWidth="1"/>
    <col min="12300" max="12301" width="0" style="2" hidden="1" customWidth="1"/>
    <col min="12302" max="12303" width="11" style="2" customWidth="1"/>
    <col min="12304" max="12305" width="0" style="2" hidden="1" customWidth="1"/>
    <col min="12306" max="12306" width="11" style="2" customWidth="1"/>
    <col min="12307" max="12307" width="16.5546875" style="2" customWidth="1"/>
    <col min="12308" max="12311" width="11" style="2" customWidth="1"/>
    <col min="12312" max="12313" width="11.109375" style="2" customWidth="1"/>
    <col min="12314" max="12337" width="11" style="2" customWidth="1"/>
    <col min="12338" max="12543" width="9.109375" style="2"/>
    <col min="12544" max="12544" width="0" style="2" hidden="1" customWidth="1"/>
    <col min="12545" max="12545" width="9.109375" style="2"/>
    <col min="12546" max="12546" width="28.109375" style="2" customWidth="1"/>
    <col min="12547" max="12548" width="0" style="2" hidden="1" customWidth="1"/>
    <col min="12549" max="12555" width="11" style="2" customWidth="1"/>
    <col min="12556" max="12557" width="0" style="2" hidden="1" customWidth="1"/>
    <col min="12558" max="12559" width="11" style="2" customWidth="1"/>
    <col min="12560" max="12561" width="0" style="2" hidden="1" customWidth="1"/>
    <col min="12562" max="12562" width="11" style="2" customWidth="1"/>
    <col min="12563" max="12563" width="16.5546875" style="2" customWidth="1"/>
    <col min="12564" max="12567" width="11" style="2" customWidth="1"/>
    <col min="12568" max="12569" width="11.109375" style="2" customWidth="1"/>
    <col min="12570" max="12593" width="11" style="2" customWidth="1"/>
    <col min="12594" max="12799" width="9.109375" style="2"/>
    <col min="12800" max="12800" width="0" style="2" hidden="1" customWidth="1"/>
    <col min="12801" max="12801" width="9.109375" style="2"/>
    <col min="12802" max="12802" width="28.109375" style="2" customWidth="1"/>
    <col min="12803" max="12804" width="0" style="2" hidden="1" customWidth="1"/>
    <col min="12805" max="12811" width="11" style="2" customWidth="1"/>
    <col min="12812" max="12813" width="0" style="2" hidden="1" customWidth="1"/>
    <col min="12814" max="12815" width="11" style="2" customWidth="1"/>
    <col min="12816" max="12817" width="0" style="2" hidden="1" customWidth="1"/>
    <col min="12818" max="12818" width="11" style="2" customWidth="1"/>
    <col min="12819" max="12819" width="16.5546875" style="2" customWidth="1"/>
    <col min="12820" max="12823" width="11" style="2" customWidth="1"/>
    <col min="12824" max="12825" width="11.109375" style="2" customWidth="1"/>
    <col min="12826" max="12849" width="11" style="2" customWidth="1"/>
    <col min="12850" max="13055" width="9.109375" style="2"/>
    <col min="13056" max="13056" width="0" style="2" hidden="1" customWidth="1"/>
    <col min="13057" max="13057" width="9.109375" style="2"/>
    <col min="13058" max="13058" width="28.109375" style="2" customWidth="1"/>
    <col min="13059" max="13060" width="0" style="2" hidden="1" customWidth="1"/>
    <col min="13061" max="13067" width="11" style="2" customWidth="1"/>
    <col min="13068" max="13069" width="0" style="2" hidden="1" customWidth="1"/>
    <col min="13070" max="13071" width="11" style="2" customWidth="1"/>
    <col min="13072" max="13073" width="0" style="2" hidden="1" customWidth="1"/>
    <col min="13074" max="13074" width="11" style="2" customWidth="1"/>
    <col min="13075" max="13075" width="16.5546875" style="2" customWidth="1"/>
    <col min="13076" max="13079" width="11" style="2" customWidth="1"/>
    <col min="13080" max="13081" width="11.109375" style="2" customWidth="1"/>
    <col min="13082" max="13105" width="11" style="2" customWidth="1"/>
    <col min="13106" max="13311" width="9.109375" style="2"/>
    <col min="13312" max="13312" width="0" style="2" hidden="1" customWidth="1"/>
    <col min="13313" max="13313" width="9.109375" style="2"/>
    <col min="13314" max="13314" width="28.109375" style="2" customWidth="1"/>
    <col min="13315" max="13316" width="0" style="2" hidden="1" customWidth="1"/>
    <col min="13317" max="13323" width="11" style="2" customWidth="1"/>
    <col min="13324" max="13325" width="0" style="2" hidden="1" customWidth="1"/>
    <col min="13326" max="13327" width="11" style="2" customWidth="1"/>
    <col min="13328" max="13329" width="0" style="2" hidden="1" customWidth="1"/>
    <col min="13330" max="13330" width="11" style="2" customWidth="1"/>
    <col min="13331" max="13331" width="16.5546875" style="2" customWidth="1"/>
    <col min="13332" max="13335" width="11" style="2" customWidth="1"/>
    <col min="13336" max="13337" width="11.109375" style="2" customWidth="1"/>
    <col min="13338" max="13361" width="11" style="2" customWidth="1"/>
    <col min="13362" max="13567" width="9.109375" style="2"/>
    <col min="13568" max="13568" width="0" style="2" hidden="1" customWidth="1"/>
    <col min="13569" max="13569" width="9.109375" style="2"/>
    <col min="13570" max="13570" width="28.109375" style="2" customWidth="1"/>
    <col min="13571" max="13572" width="0" style="2" hidden="1" customWidth="1"/>
    <col min="13573" max="13579" width="11" style="2" customWidth="1"/>
    <col min="13580" max="13581" width="0" style="2" hidden="1" customWidth="1"/>
    <col min="13582" max="13583" width="11" style="2" customWidth="1"/>
    <col min="13584" max="13585" width="0" style="2" hidden="1" customWidth="1"/>
    <col min="13586" max="13586" width="11" style="2" customWidth="1"/>
    <col min="13587" max="13587" width="16.5546875" style="2" customWidth="1"/>
    <col min="13588" max="13591" width="11" style="2" customWidth="1"/>
    <col min="13592" max="13593" width="11.109375" style="2" customWidth="1"/>
    <col min="13594" max="13617" width="11" style="2" customWidth="1"/>
    <col min="13618" max="13823" width="9.109375" style="2"/>
    <col min="13824" max="13824" width="0" style="2" hidden="1" customWidth="1"/>
    <col min="13825" max="13825" width="9.109375" style="2"/>
    <col min="13826" max="13826" width="28.109375" style="2" customWidth="1"/>
    <col min="13827" max="13828" width="0" style="2" hidden="1" customWidth="1"/>
    <col min="13829" max="13835" width="11" style="2" customWidth="1"/>
    <col min="13836" max="13837" width="0" style="2" hidden="1" customWidth="1"/>
    <col min="13838" max="13839" width="11" style="2" customWidth="1"/>
    <col min="13840" max="13841" width="0" style="2" hidden="1" customWidth="1"/>
    <col min="13842" max="13842" width="11" style="2" customWidth="1"/>
    <col min="13843" max="13843" width="16.5546875" style="2" customWidth="1"/>
    <col min="13844" max="13847" width="11" style="2" customWidth="1"/>
    <col min="13848" max="13849" width="11.109375" style="2" customWidth="1"/>
    <col min="13850" max="13873" width="11" style="2" customWidth="1"/>
    <col min="13874" max="14079" width="9.109375" style="2"/>
    <col min="14080" max="14080" width="0" style="2" hidden="1" customWidth="1"/>
    <col min="14081" max="14081" width="9.109375" style="2"/>
    <col min="14082" max="14082" width="28.109375" style="2" customWidth="1"/>
    <col min="14083" max="14084" width="0" style="2" hidden="1" customWidth="1"/>
    <col min="14085" max="14091" width="11" style="2" customWidth="1"/>
    <col min="14092" max="14093" width="0" style="2" hidden="1" customWidth="1"/>
    <col min="14094" max="14095" width="11" style="2" customWidth="1"/>
    <col min="14096" max="14097" width="0" style="2" hidden="1" customWidth="1"/>
    <col min="14098" max="14098" width="11" style="2" customWidth="1"/>
    <col min="14099" max="14099" width="16.5546875" style="2" customWidth="1"/>
    <col min="14100" max="14103" width="11" style="2" customWidth="1"/>
    <col min="14104" max="14105" width="11.109375" style="2" customWidth="1"/>
    <col min="14106" max="14129" width="11" style="2" customWidth="1"/>
    <col min="14130" max="14335" width="9.109375" style="2"/>
    <col min="14336" max="14336" width="0" style="2" hidden="1" customWidth="1"/>
    <col min="14337" max="14337" width="9.109375" style="2"/>
    <col min="14338" max="14338" width="28.109375" style="2" customWidth="1"/>
    <col min="14339" max="14340" width="0" style="2" hidden="1" customWidth="1"/>
    <col min="14341" max="14347" width="11" style="2" customWidth="1"/>
    <col min="14348" max="14349" width="0" style="2" hidden="1" customWidth="1"/>
    <col min="14350" max="14351" width="11" style="2" customWidth="1"/>
    <col min="14352" max="14353" width="0" style="2" hidden="1" customWidth="1"/>
    <col min="14354" max="14354" width="11" style="2" customWidth="1"/>
    <col min="14355" max="14355" width="16.5546875" style="2" customWidth="1"/>
    <col min="14356" max="14359" width="11" style="2" customWidth="1"/>
    <col min="14360" max="14361" width="11.109375" style="2" customWidth="1"/>
    <col min="14362" max="14385" width="11" style="2" customWidth="1"/>
    <col min="14386" max="14591" width="9.109375" style="2"/>
    <col min="14592" max="14592" width="0" style="2" hidden="1" customWidth="1"/>
    <col min="14593" max="14593" width="9.109375" style="2"/>
    <col min="14594" max="14594" width="28.109375" style="2" customWidth="1"/>
    <col min="14595" max="14596" width="0" style="2" hidden="1" customWidth="1"/>
    <col min="14597" max="14603" width="11" style="2" customWidth="1"/>
    <col min="14604" max="14605" width="0" style="2" hidden="1" customWidth="1"/>
    <col min="14606" max="14607" width="11" style="2" customWidth="1"/>
    <col min="14608" max="14609" width="0" style="2" hidden="1" customWidth="1"/>
    <col min="14610" max="14610" width="11" style="2" customWidth="1"/>
    <col min="14611" max="14611" width="16.5546875" style="2" customWidth="1"/>
    <col min="14612" max="14615" width="11" style="2" customWidth="1"/>
    <col min="14616" max="14617" width="11.109375" style="2" customWidth="1"/>
    <col min="14618" max="14641" width="11" style="2" customWidth="1"/>
    <col min="14642" max="14847" width="9.109375" style="2"/>
    <col min="14848" max="14848" width="0" style="2" hidden="1" customWidth="1"/>
    <col min="14849" max="14849" width="9.109375" style="2"/>
    <col min="14850" max="14850" width="28.109375" style="2" customWidth="1"/>
    <col min="14851" max="14852" width="0" style="2" hidden="1" customWidth="1"/>
    <col min="14853" max="14859" width="11" style="2" customWidth="1"/>
    <col min="14860" max="14861" width="0" style="2" hidden="1" customWidth="1"/>
    <col min="14862" max="14863" width="11" style="2" customWidth="1"/>
    <col min="14864" max="14865" width="0" style="2" hidden="1" customWidth="1"/>
    <col min="14866" max="14866" width="11" style="2" customWidth="1"/>
    <col min="14867" max="14867" width="16.5546875" style="2" customWidth="1"/>
    <col min="14868" max="14871" width="11" style="2" customWidth="1"/>
    <col min="14872" max="14873" width="11.109375" style="2" customWidth="1"/>
    <col min="14874" max="14897" width="11" style="2" customWidth="1"/>
    <col min="14898" max="15103" width="9.109375" style="2"/>
    <col min="15104" max="15104" width="0" style="2" hidden="1" customWidth="1"/>
    <col min="15105" max="15105" width="9.109375" style="2"/>
    <col min="15106" max="15106" width="28.109375" style="2" customWidth="1"/>
    <col min="15107" max="15108" width="0" style="2" hidden="1" customWidth="1"/>
    <col min="15109" max="15115" width="11" style="2" customWidth="1"/>
    <col min="15116" max="15117" width="0" style="2" hidden="1" customWidth="1"/>
    <col min="15118" max="15119" width="11" style="2" customWidth="1"/>
    <col min="15120" max="15121" width="0" style="2" hidden="1" customWidth="1"/>
    <col min="15122" max="15122" width="11" style="2" customWidth="1"/>
    <col min="15123" max="15123" width="16.5546875" style="2" customWidth="1"/>
    <col min="15124" max="15127" width="11" style="2" customWidth="1"/>
    <col min="15128" max="15129" width="11.109375" style="2" customWidth="1"/>
    <col min="15130" max="15153" width="11" style="2" customWidth="1"/>
    <col min="15154" max="15359" width="9.109375" style="2"/>
    <col min="15360" max="15360" width="0" style="2" hidden="1" customWidth="1"/>
    <col min="15361" max="15361" width="9.109375" style="2"/>
    <col min="15362" max="15362" width="28.109375" style="2" customWidth="1"/>
    <col min="15363" max="15364" width="0" style="2" hidden="1" customWidth="1"/>
    <col min="15365" max="15371" width="11" style="2" customWidth="1"/>
    <col min="15372" max="15373" width="0" style="2" hidden="1" customWidth="1"/>
    <col min="15374" max="15375" width="11" style="2" customWidth="1"/>
    <col min="15376" max="15377" width="0" style="2" hidden="1" customWidth="1"/>
    <col min="15378" max="15378" width="11" style="2" customWidth="1"/>
    <col min="15379" max="15379" width="16.5546875" style="2" customWidth="1"/>
    <col min="15380" max="15383" width="11" style="2" customWidth="1"/>
    <col min="15384" max="15385" width="11.109375" style="2" customWidth="1"/>
    <col min="15386" max="15409" width="11" style="2" customWidth="1"/>
    <col min="15410" max="15615" width="9.109375" style="2"/>
    <col min="15616" max="15616" width="0" style="2" hidden="1" customWidth="1"/>
    <col min="15617" max="15617" width="9.109375" style="2"/>
    <col min="15618" max="15618" width="28.109375" style="2" customWidth="1"/>
    <col min="15619" max="15620" width="0" style="2" hidden="1" customWidth="1"/>
    <col min="15621" max="15627" width="11" style="2" customWidth="1"/>
    <col min="15628" max="15629" width="0" style="2" hidden="1" customWidth="1"/>
    <col min="15630" max="15631" width="11" style="2" customWidth="1"/>
    <col min="15632" max="15633" width="0" style="2" hidden="1" customWidth="1"/>
    <col min="15634" max="15634" width="11" style="2" customWidth="1"/>
    <col min="15635" max="15635" width="16.5546875" style="2" customWidth="1"/>
    <col min="15636" max="15639" width="11" style="2" customWidth="1"/>
    <col min="15640" max="15641" width="11.109375" style="2" customWidth="1"/>
    <col min="15642" max="15665" width="11" style="2" customWidth="1"/>
    <col min="15666" max="15871" width="9.109375" style="2"/>
    <col min="15872" max="15872" width="0" style="2" hidden="1" customWidth="1"/>
    <col min="15873" max="15873" width="9.109375" style="2"/>
    <col min="15874" max="15874" width="28.109375" style="2" customWidth="1"/>
    <col min="15875" max="15876" width="0" style="2" hidden="1" customWidth="1"/>
    <col min="15877" max="15883" width="11" style="2" customWidth="1"/>
    <col min="15884" max="15885" width="0" style="2" hidden="1" customWidth="1"/>
    <col min="15886" max="15887" width="11" style="2" customWidth="1"/>
    <col min="15888" max="15889" width="0" style="2" hidden="1" customWidth="1"/>
    <col min="15890" max="15890" width="11" style="2" customWidth="1"/>
    <col min="15891" max="15891" width="16.5546875" style="2" customWidth="1"/>
    <col min="15892" max="15895" width="11" style="2" customWidth="1"/>
    <col min="15896" max="15897" width="11.109375" style="2" customWidth="1"/>
    <col min="15898" max="15921" width="11" style="2" customWidth="1"/>
    <col min="15922" max="16127" width="9.109375" style="2"/>
    <col min="16128" max="16128" width="0" style="2" hidden="1" customWidth="1"/>
    <col min="16129" max="16129" width="9.109375" style="2"/>
    <col min="16130" max="16130" width="28.109375" style="2" customWidth="1"/>
    <col min="16131" max="16132" width="0" style="2" hidden="1" customWidth="1"/>
    <col min="16133" max="16139" width="11" style="2" customWidth="1"/>
    <col min="16140" max="16141" width="0" style="2" hidden="1" customWidth="1"/>
    <col min="16142" max="16143" width="11" style="2" customWidth="1"/>
    <col min="16144" max="16145" width="0" style="2" hidden="1" customWidth="1"/>
    <col min="16146" max="16146" width="11" style="2" customWidth="1"/>
    <col min="16147" max="16147" width="16.5546875" style="2" customWidth="1"/>
    <col min="16148" max="16151" width="11" style="2" customWidth="1"/>
    <col min="16152" max="16153" width="11.109375" style="2" customWidth="1"/>
    <col min="16154" max="16177" width="11" style="2" customWidth="1"/>
    <col min="16178" max="16384" width="9.109375" style="2"/>
  </cols>
  <sheetData>
    <row r="1" spans="1:69" s="1" customFormat="1" ht="48" customHeight="1">
      <c r="A1" s="96" t="s">
        <v>142</v>
      </c>
      <c r="B1" s="88"/>
      <c r="C1" s="88"/>
      <c r="D1" s="88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 s="88"/>
      <c r="BI1" s="88"/>
      <c r="BJ1" s="88"/>
      <c r="BK1" s="88"/>
      <c r="BL1" s="88"/>
      <c r="BM1" s="88"/>
    </row>
    <row r="2" spans="1:69" ht="57.6">
      <c r="A2" s="89" t="s">
        <v>2</v>
      </c>
      <c r="B2" s="89" t="s">
        <v>3</v>
      </c>
      <c r="C2" s="89" t="s">
        <v>4</v>
      </c>
      <c r="D2" s="89" t="s">
        <v>5</v>
      </c>
      <c r="E2" s="89" t="s">
        <v>550</v>
      </c>
      <c r="F2" s="89" t="s">
        <v>551</v>
      </c>
      <c r="G2" s="89" t="s">
        <v>552</v>
      </c>
      <c r="H2" s="89" t="s">
        <v>553</v>
      </c>
      <c r="I2" s="89" t="s">
        <v>554</v>
      </c>
      <c r="J2" s="89" t="s">
        <v>555</v>
      </c>
      <c r="K2" s="89" t="s">
        <v>556</v>
      </c>
      <c r="L2" s="89" t="s">
        <v>557</v>
      </c>
      <c r="M2" s="89" t="s">
        <v>558</v>
      </c>
      <c r="N2" s="89" t="s">
        <v>559</v>
      </c>
      <c r="O2" s="89" t="s">
        <v>560</v>
      </c>
      <c r="P2" s="89" t="s">
        <v>561</v>
      </c>
      <c r="Q2" s="89" t="s">
        <v>562</v>
      </c>
      <c r="R2" s="89" t="s">
        <v>563</v>
      </c>
      <c r="S2" s="89" t="s">
        <v>564</v>
      </c>
      <c r="T2" s="89" t="s">
        <v>565</v>
      </c>
      <c r="U2" s="89" t="s">
        <v>566</v>
      </c>
      <c r="V2" s="89" t="s">
        <v>567</v>
      </c>
      <c r="W2" s="89" t="s">
        <v>568</v>
      </c>
      <c r="X2" s="89" t="s">
        <v>569</v>
      </c>
      <c r="Y2" s="89" t="s">
        <v>570</v>
      </c>
      <c r="Z2" s="89" t="s">
        <v>571</v>
      </c>
      <c r="AA2" s="89" t="s">
        <v>572</v>
      </c>
      <c r="AB2" s="89" t="s">
        <v>573</v>
      </c>
      <c r="AC2" s="89" t="s">
        <v>574</v>
      </c>
      <c r="AD2" s="89" t="s">
        <v>575</v>
      </c>
      <c r="AE2" s="89" t="s">
        <v>576</v>
      </c>
      <c r="AF2" s="89" t="s">
        <v>577</v>
      </c>
      <c r="AG2" s="89" t="s">
        <v>578</v>
      </c>
      <c r="AH2" s="89" t="s">
        <v>579</v>
      </c>
      <c r="AI2" s="89" t="s">
        <v>580</v>
      </c>
      <c r="AJ2" s="89" t="s">
        <v>6</v>
      </c>
      <c r="AK2" s="89" t="s">
        <v>581</v>
      </c>
      <c r="AL2" s="89" t="s">
        <v>582</v>
      </c>
      <c r="AM2" s="89" t="s">
        <v>583</v>
      </c>
      <c r="AN2" s="89" t="s">
        <v>584</v>
      </c>
      <c r="AO2" s="89" t="s">
        <v>585</v>
      </c>
      <c r="AP2" s="89" t="s">
        <v>586</v>
      </c>
      <c r="AQ2" s="89" t="s">
        <v>587</v>
      </c>
      <c r="AR2" s="89" t="s">
        <v>588</v>
      </c>
      <c r="AS2" s="89" t="s">
        <v>589</v>
      </c>
      <c r="AT2" s="89" t="s">
        <v>590</v>
      </c>
      <c r="AU2" s="89" t="s">
        <v>591</v>
      </c>
      <c r="AV2" s="89" t="s">
        <v>592</v>
      </c>
      <c r="AW2" s="89" t="s">
        <v>593</v>
      </c>
      <c r="AX2" s="89" t="s">
        <v>594</v>
      </c>
      <c r="AY2" s="89" t="s">
        <v>595</v>
      </c>
      <c r="AZ2" s="89" t="s">
        <v>596</v>
      </c>
      <c r="BA2" s="89" t="s">
        <v>597</v>
      </c>
      <c r="BB2" s="89" t="s">
        <v>598</v>
      </c>
      <c r="BC2" s="89" t="s">
        <v>599</v>
      </c>
      <c r="BD2" s="89" t="s">
        <v>600</v>
      </c>
      <c r="BE2" s="89" t="s">
        <v>601</v>
      </c>
      <c r="BF2" s="89" t="s">
        <v>602</v>
      </c>
      <c r="BG2" s="89" t="s">
        <v>241</v>
      </c>
      <c r="BH2" s="89"/>
      <c r="BI2" s="89"/>
      <c r="BJ2" s="89"/>
      <c r="BK2" s="89"/>
      <c r="BL2" s="89"/>
      <c r="BM2" s="89"/>
      <c r="BN2" s="89"/>
    </row>
    <row r="3" spans="1:69">
      <c r="A3" s="88">
        <v>10005</v>
      </c>
      <c r="B3" s="88" t="s">
        <v>7</v>
      </c>
      <c r="C3" s="88">
        <v>1</v>
      </c>
      <c r="D3" s="88">
        <v>0</v>
      </c>
      <c r="E3" s="91">
        <v>0.55600000000000005</v>
      </c>
      <c r="F3" s="91">
        <v>0.68</v>
      </c>
      <c r="G3" s="91">
        <v>0.68899999999999995</v>
      </c>
      <c r="H3" s="91">
        <v>0</v>
      </c>
      <c r="I3" s="91">
        <v>0</v>
      </c>
      <c r="J3" s="91">
        <v>0</v>
      </c>
      <c r="K3" s="91">
        <v>0</v>
      </c>
      <c r="L3" s="90">
        <v>0</v>
      </c>
      <c r="M3" s="90">
        <v>0</v>
      </c>
      <c r="N3" s="91">
        <v>0.68</v>
      </c>
      <c r="O3" s="91">
        <v>0.68899999999999995</v>
      </c>
      <c r="P3" s="90">
        <v>5973.1200000000008</v>
      </c>
      <c r="Q3" s="90">
        <v>6035.6399999999994</v>
      </c>
      <c r="R3" s="88">
        <v>0.54800000000000004</v>
      </c>
      <c r="S3" s="90">
        <v>4813.6320000000005</v>
      </c>
      <c r="T3" s="90">
        <v>4800.4800000000005</v>
      </c>
      <c r="U3" s="91">
        <v>0.13200000000000001</v>
      </c>
      <c r="V3" s="91">
        <v>0.14099999999999999</v>
      </c>
      <c r="W3" s="91">
        <v>0</v>
      </c>
      <c r="X3" s="91">
        <v>0</v>
      </c>
      <c r="Y3" s="91">
        <v>0.13200000000000001</v>
      </c>
      <c r="Z3" s="91">
        <v>0.14099999999999999</v>
      </c>
      <c r="AA3" s="88">
        <v>0</v>
      </c>
      <c r="AB3" s="88">
        <v>0</v>
      </c>
      <c r="AC3" s="91">
        <v>0</v>
      </c>
      <c r="AD3" s="91">
        <v>0</v>
      </c>
      <c r="AE3" s="92">
        <v>7.7600000000000002E-5</v>
      </c>
      <c r="AF3" s="92">
        <v>7.7600000000000002E-5</v>
      </c>
      <c r="AG3" s="92">
        <v>0</v>
      </c>
      <c r="AH3" s="92">
        <v>7.7600000000000002E-5</v>
      </c>
      <c r="AI3" s="92">
        <v>7.7600000000000002E-5</v>
      </c>
      <c r="AJ3" s="92">
        <v>7.7600000000000002E-5</v>
      </c>
      <c r="AK3" s="92">
        <v>0.80605459411764702</v>
      </c>
      <c r="AL3" s="92">
        <v>0.79552557910014521</v>
      </c>
      <c r="AM3" s="92">
        <v>1.2408759124087592</v>
      </c>
      <c r="AN3" s="92">
        <v>1.2572992700729926</v>
      </c>
      <c r="AO3" s="92">
        <v>1.8613138686131386E-2</v>
      </c>
      <c r="AP3" s="92">
        <v>1.8859489051094889E-2</v>
      </c>
      <c r="AQ3" s="88">
        <v>1</v>
      </c>
      <c r="AR3" s="88">
        <v>1</v>
      </c>
      <c r="AS3" s="91">
        <v>0</v>
      </c>
      <c r="AT3" s="91">
        <v>0</v>
      </c>
      <c r="AU3" s="91">
        <v>0</v>
      </c>
      <c r="AV3" s="91">
        <v>0</v>
      </c>
      <c r="AW3" s="91">
        <v>0</v>
      </c>
      <c r="AX3" s="91">
        <v>0</v>
      </c>
      <c r="AY3" s="91">
        <v>0</v>
      </c>
      <c r="AZ3" s="91">
        <v>0</v>
      </c>
      <c r="BA3" s="91">
        <v>0</v>
      </c>
      <c r="BB3" s="91">
        <v>0</v>
      </c>
      <c r="BC3" s="91">
        <v>0</v>
      </c>
      <c r="BD3" s="91">
        <v>0</v>
      </c>
      <c r="BE3" s="91">
        <v>0.68</v>
      </c>
      <c r="BF3" s="91">
        <v>0.68899999999999995</v>
      </c>
      <c r="BG3" s="88">
        <v>0</v>
      </c>
      <c r="BH3"/>
      <c r="BI3"/>
      <c r="BJ3"/>
      <c r="BK3"/>
      <c r="BL3"/>
      <c r="BM3"/>
      <c r="BN3"/>
      <c r="BO3"/>
      <c r="BP3"/>
      <c r="BQ3"/>
    </row>
    <row r="4" spans="1:69">
      <c r="A4" s="88">
        <v>10015</v>
      </c>
      <c r="B4" s="88" t="s">
        <v>8</v>
      </c>
      <c r="C4" s="88">
        <v>1</v>
      </c>
      <c r="D4" s="88">
        <v>0</v>
      </c>
      <c r="E4" s="91">
        <v>0.58199999999999996</v>
      </c>
      <c r="F4" s="91">
        <v>0.58199999999999996</v>
      </c>
      <c r="G4" s="91">
        <v>0.58299999999999996</v>
      </c>
      <c r="H4" s="91">
        <v>0</v>
      </c>
      <c r="I4" s="91">
        <v>0</v>
      </c>
      <c r="J4" s="91">
        <v>0</v>
      </c>
      <c r="K4" s="91">
        <v>0</v>
      </c>
      <c r="L4" s="90">
        <v>0</v>
      </c>
      <c r="M4" s="90">
        <v>0</v>
      </c>
      <c r="N4" s="91">
        <v>0.58199999999999996</v>
      </c>
      <c r="O4" s="91">
        <v>0.58299999999999996</v>
      </c>
      <c r="P4" s="90">
        <v>5112.2879999999996</v>
      </c>
      <c r="Q4" s="90">
        <v>5107.08</v>
      </c>
      <c r="R4" s="88">
        <v>0.57299999999999995</v>
      </c>
      <c r="S4" s="90">
        <v>5033.232</v>
      </c>
      <c r="T4" s="90">
        <v>5019.4799999999996</v>
      </c>
      <c r="U4" s="91">
        <v>8.9999999999999993E-3</v>
      </c>
      <c r="V4" s="91">
        <v>0.01</v>
      </c>
      <c r="W4" s="91">
        <v>0</v>
      </c>
      <c r="X4" s="91">
        <v>0</v>
      </c>
      <c r="Y4" s="91">
        <v>8.9999999999999993E-3</v>
      </c>
      <c r="Z4" s="91">
        <v>0.01</v>
      </c>
      <c r="AA4" s="88">
        <v>0</v>
      </c>
      <c r="AB4" s="88">
        <v>0</v>
      </c>
      <c r="AC4" s="91">
        <v>0</v>
      </c>
      <c r="AD4" s="91">
        <v>0</v>
      </c>
      <c r="AE4" s="92">
        <v>8.1100000000000006E-5</v>
      </c>
      <c r="AF4" s="92">
        <v>8.1100000000000006E-5</v>
      </c>
      <c r="AG4" s="92">
        <v>0</v>
      </c>
      <c r="AH4" s="92">
        <v>8.1100000000000006E-5</v>
      </c>
      <c r="AI4" s="92">
        <v>8.1100000000000006E-5</v>
      </c>
      <c r="AJ4" s="92">
        <v>8.1100000000000006E-5</v>
      </c>
      <c r="AK4" s="92">
        <v>0.98425928092783521</v>
      </c>
      <c r="AL4" s="92">
        <v>0.98257101457976004</v>
      </c>
      <c r="AM4" s="92">
        <v>1.0157068062827226</v>
      </c>
      <c r="AN4" s="92">
        <v>1.0174520069808028</v>
      </c>
      <c r="AO4" s="92">
        <v>0</v>
      </c>
      <c r="AP4" s="92">
        <v>0</v>
      </c>
      <c r="AQ4" s="88">
        <v>1</v>
      </c>
      <c r="AR4" s="88">
        <v>1</v>
      </c>
      <c r="AS4" s="91">
        <v>0</v>
      </c>
      <c r="AT4" s="91">
        <v>0</v>
      </c>
      <c r="AU4" s="91">
        <v>0</v>
      </c>
      <c r="AV4" s="91">
        <v>0</v>
      </c>
      <c r="AW4" s="91">
        <v>0</v>
      </c>
      <c r="AX4" s="91">
        <v>0</v>
      </c>
      <c r="AY4" s="91">
        <v>0</v>
      </c>
      <c r="AZ4" s="91">
        <v>0</v>
      </c>
      <c r="BA4" s="91">
        <v>0</v>
      </c>
      <c r="BB4" s="91">
        <v>0</v>
      </c>
      <c r="BC4" s="91">
        <v>0</v>
      </c>
      <c r="BD4" s="91">
        <v>0</v>
      </c>
      <c r="BE4" s="91">
        <v>0.58199999999999996</v>
      </c>
      <c r="BF4" s="91">
        <v>0.58299999999999996</v>
      </c>
      <c r="BG4" s="88">
        <v>0</v>
      </c>
      <c r="BH4"/>
      <c r="BI4"/>
      <c r="BJ4"/>
      <c r="BK4"/>
      <c r="BL4"/>
      <c r="BM4"/>
      <c r="BN4"/>
      <c r="BO4"/>
      <c r="BP4"/>
      <c r="BQ4"/>
    </row>
    <row r="5" spans="1:69">
      <c r="A5" s="88">
        <v>10024</v>
      </c>
      <c r="B5" s="88" t="s">
        <v>9</v>
      </c>
      <c r="C5" s="88">
        <v>1</v>
      </c>
      <c r="D5" s="88">
        <v>0</v>
      </c>
      <c r="E5" s="91">
        <v>203.92</v>
      </c>
      <c r="F5" s="91">
        <v>206.05099999999999</v>
      </c>
      <c r="G5" s="91">
        <v>206.886</v>
      </c>
      <c r="H5" s="91">
        <v>0</v>
      </c>
      <c r="I5" s="91">
        <v>0</v>
      </c>
      <c r="J5" s="91">
        <v>0.91800000000000004</v>
      </c>
      <c r="K5" s="91">
        <v>0.91900000000000004</v>
      </c>
      <c r="L5" s="90">
        <v>8063.7120000000004</v>
      </c>
      <c r="M5" s="90">
        <v>8050.4400000000005</v>
      </c>
      <c r="N5" s="91">
        <v>211.167</v>
      </c>
      <c r="O5" s="91">
        <v>212.387</v>
      </c>
      <c r="P5" s="90">
        <v>1854890.9280000001</v>
      </c>
      <c r="Q5" s="90">
        <v>1860510.12</v>
      </c>
      <c r="R5" s="88">
        <v>200.923</v>
      </c>
      <c r="S5" s="90">
        <v>1764907.632</v>
      </c>
      <c r="T5" s="90">
        <v>1760085.48</v>
      </c>
      <c r="U5" s="91">
        <v>10.244</v>
      </c>
      <c r="V5" s="91">
        <v>11.464</v>
      </c>
      <c r="W5" s="91">
        <v>10.244</v>
      </c>
      <c r="X5" s="91">
        <v>11.464</v>
      </c>
      <c r="Y5" s="91">
        <v>0</v>
      </c>
      <c r="Z5" s="91">
        <v>0</v>
      </c>
      <c r="AA5" s="88">
        <v>0</v>
      </c>
      <c r="AB5" s="88">
        <v>0</v>
      </c>
      <c r="AC5" s="91">
        <v>10.244</v>
      </c>
      <c r="AD5" s="91">
        <v>11.464</v>
      </c>
      <c r="AE5" s="92">
        <v>2.84458E-2</v>
      </c>
      <c r="AF5" s="92">
        <v>2.84458E-2</v>
      </c>
      <c r="AG5" s="92">
        <v>0</v>
      </c>
      <c r="AH5" s="92">
        <v>2.84458E-2</v>
      </c>
      <c r="AI5" s="92">
        <v>2.84458E-2</v>
      </c>
      <c r="AJ5" s="92">
        <v>2.84458E-2</v>
      </c>
      <c r="AK5" s="92">
        <v>0.95169893258363381</v>
      </c>
      <c r="AL5" s="92">
        <v>0.94625593333989666</v>
      </c>
      <c r="AM5" s="92">
        <v>1.0509847055837311</v>
      </c>
      <c r="AN5" s="92">
        <v>1.0570566834060808</v>
      </c>
      <c r="AO5" s="92">
        <v>0</v>
      </c>
      <c r="AP5" s="92">
        <v>0</v>
      </c>
      <c r="AQ5" s="88">
        <v>3</v>
      </c>
      <c r="AR5" s="88">
        <v>3</v>
      </c>
      <c r="AS5" s="91">
        <v>0</v>
      </c>
      <c r="AT5" s="91">
        <v>0</v>
      </c>
      <c r="AU5" s="91">
        <v>10.244</v>
      </c>
      <c r="AV5" s="91">
        <v>11.464</v>
      </c>
      <c r="AW5" s="91">
        <v>0</v>
      </c>
      <c r="AX5" s="91">
        <v>0</v>
      </c>
      <c r="AY5" s="91">
        <v>0</v>
      </c>
      <c r="AZ5" s="91">
        <v>0</v>
      </c>
      <c r="BA5" s="91">
        <v>0</v>
      </c>
      <c r="BB5" s="91">
        <v>0</v>
      </c>
      <c r="BC5" s="91">
        <v>0</v>
      </c>
      <c r="BD5" s="91">
        <v>0</v>
      </c>
      <c r="BE5" s="91">
        <v>211.167</v>
      </c>
      <c r="BF5" s="91">
        <v>212.387</v>
      </c>
      <c r="BG5" s="88">
        <v>0</v>
      </c>
      <c r="BH5"/>
      <c r="BI5"/>
      <c r="BJ5"/>
      <c r="BK5"/>
      <c r="BL5"/>
      <c r="BM5"/>
      <c r="BN5"/>
      <c r="BO5"/>
      <c r="BP5"/>
      <c r="BQ5"/>
    </row>
    <row r="6" spans="1:69">
      <c r="A6" s="88">
        <v>10025</v>
      </c>
      <c r="B6" s="88" t="s">
        <v>10</v>
      </c>
      <c r="C6" s="88">
        <v>1</v>
      </c>
      <c r="D6" s="88">
        <v>0</v>
      </c>
      <c r="E6" s="91">
        <v>60.548999999999999</v>
      </c>
      <c r="F6" s="91">
        <v>64.323999999999998</v>
      </c>
      <c r="G6" s="91">
        <v>64.537000000000006</v>
      </c>
      <c r="H6" s="91">
        <v>0</v>
      </c>
      <c r="I6" s="91">
        <v>0</v>
      </c>
      <c r="J6" s="91">
        <v>0</v>
      </c>
      <c r="K6" s="91">
        <v>0</v>
      </c>
      <c r="L6" s="90">
        <v>0</v>
      </c>
      <c r="M6" s="90">
        <v>0</v>
      </c>
      <c r="N6" s="91">
        <v>64.823999999999998</v>
      </c>
      <c r="O6" s="91">
        <v>65.037000000000006</v>
      </c>
      <c r="P6" s="90">
        <v>569414.01599999995</v>
      </c>
      <c r="Q6" s="90">
        <v>569724.12000000011</v>
      </c>
      <c r="R6" s="88">
        <v>59.658999999999999</v>
      </c>
      <c r="S6" s="90">
        <v>524044.65600000002</v>
      </c>
      <c r="T6" s="90">
        <v>522612.83999999997</v>
      </c>
      <c r="U6" s="91">
        <v>5.165</v>
      </c>
      <c r="V6" s="91">
        <v>5.3780000000000001</v>
      </c>
      <c r="W6" s="91">
        <v>5.165</v>
      </c>
      <c r="X6" s="91">
        <v>5.3780000000000001</v>
      </c>
      <c r="Y6" s="91">
        <v>0</v>
      </c>
      <c r="Z6" s="91">
        <v>0</v>
      </c>
      <c r="AA6" s="88">
        <v>0</v>
      </c>
      <c r="AB6" s="88">
        <v>0</v>
      </c>
      <c r="AC6" s="91">
        <v>5.165</v>
      </c>
      <c r="AD6" s="91">
        <v>5.3780000000000001</v>
      </c>
      <c r="AE6" s="92">
        <v>8.4463000000000003E-3</v>
      </c>
      <c r="AF6" s="92">
        <v>8.4463000000000003E-3</v>
      </c>
      <c r="AG6" s="92">
        <v>0</v>
      </c>
      <c r="AH6" s="92">
        <v>8.4463000000000003E-3</v>
      </c>
      <c r="AI6" s="92">
        <v>8.4463000000000003E-3</v>
      </c>
      <c r="AJ6" s="92">
        <v>8.4463000000000003E-3</v>
      </c>
      <c r="AK6" s="92">
        <v>0.92032734480285083</v>
      </c>
      <c r="AL6" s="92">
        <v>0.91731321862170756</v>
      </c>
      <c r="AM6" s="92">
        <v>1.0865753700196115</v>
      </c>
      <c r="AN6" s="92">
        <v>1.090145661174341</v>
      </c>
      <c r="AO6" s="92">
        <v>5.9761645351078641E-2</v>
      </c>
      <c r="AP6" s="92">
        <v>5.9958011364588761E-2</v>
      </c>
      <c r="AQ6" s="88">
        <v>1</v>
      </c>
      <c r="AR6" s="88">
        <v>1</v>
      </c>
      <c r="AS6" s="91">
        <v>0</v>
      </c>
      <c r="AT6" s="91">
        <v>0</v>
      </c>
      <c r="AU6" s="91">
        <v>5.165</v>
      </c>
      <c r="AV6" s="91">
        <v>5.3780000000000001</v>
      </c>
      <c r="AW6" s="91">
        <v>0</v>
      </c>
      <c r="AX6" s="91">
        <v>0</v>
      </c>
      <c r="AY6" s="91">
        <v>0</v>
      </c>
      <c r="AZ6" s="91">
        <v>0</v>
      </c>
      <c r="BA6" s="91">
        <v>0</v>
      </c>
      <c r="BB6" s="91">
        <v>0</v>
      </c>
      <c r="BC6" s="91">
        <v>0</v>
      </c>
      <c r="BD6" s="91">
        <v>0</v>
      </c>
      <c r="BE6" s="91">
        <v>64.823999999999998</v>
      </c>
      <c r="BF6" s="91">
        <v>65.037000000000006</v>
      </c>
      <c r="BG6" s="88">
        <v>1</v>
      </c>
      <c r="BH6"/>
      <c r="BI6"/>
      <c r="BJ6"/>
      <c r="BK6"/>
      <c r="BL6"/>
      <c r="BM6"/>
      <c r="BN6"/>
      <c r="BO6"/>
      <c r="BP6"/>
      <c r="BQ6"/>
    </row>
    <row r="7" spans="1:69">
      <c r="A7" s="95">
        <v>10027</v>
      </c>
      <c r="B7" s="95" t="s">
        <v>11</v>
      </c>
      <c r="C7" s="95">
        <v>1</v>
      </c>
      <c r="D7" s="95">
        <v>0</v>
      </c>
      <c r="E7" s="91">
        <v>62.106999999999999</v>
      </c>
      <c r="F7" s="99">
        <v>67.790999999999997</v>
      </c>
      <c r="G7" s="99">
        <v>68.215999999999994</v>
      </c>
      <c r="H7" s="99">
        <v>0</v>
      </c>
      <c r="I7" s="99">
        <v>0</v>
      </c>
      <c r="J7" s="99">
        <v>0</v>
      </c>
      <c r="K7" s="99">
        <v>0</v>
      </c>
      <c r="L7" s="97">
        <v>0</v>
      </c>
      <c r="M7" s="97">
        <v>0</v>
      </c>
      <c r="N7" s="99">
        <v>67.790999999999997</v>
      </c>
      <c r="O7" s="99">
        <v>68.215999999999994</v>
      </c>
      <c r="P7" s="97">
        <v>595476.14399999997</v>
      </c>
      <c r="Q7" s="97">
        <v>597572.15999999992</v>
      </c>
      <c r="R7" s="95">
        <v>61.194000000000003</v>
      </c>
      <c r="S7" s="97">
        <v>537528.09600000002</v>
      </c>
      <c r="T7" s="97">
        <v>536059.44000000006</v>
      </c>
      <c r="U7" s="99">
        <v>6.5970000000000004</v>
      </c>
      <c r="V7" s="99">
        <v>7.0220000000000002</v>
      </c>
      <c r="W7" s="91">
        <v>6.5970000000000004</v>
      </c>
      <c r="X7" s="91">
        <v>7.0220000000000002</v>
      </c>
      <c r="Y7" s="99">
        <v>0</v>
      </c>
      <c r="Z7" s="99">
        <v>0</v>
      </c>
      <c r="AA7" s="95">
        <v>0</v>
      </c>
      <c r="AB7" s="95">
        <v>0</v>
      </c>
      <c r="AC7" s="99">
        <v>6.5970000000000004</v>
      </c>
      <c r="AD7" s="99">
        <v>7.0220000000000002</v>
      </c>
      <c r="AE7" s="100">
        <v>8.6636000000000005E-3</v>
      </c>
      <c r="AF7" s="100">
        <v>8.6636000000000005E-3</v>
      </c>
      <c r="AG7" s="92">
        <v>0</v>
      </c>
      <c r="AH7" s="100">
        <v>8.6636000000000005E-3</v>
      </c>
      <c r="AI7" s="100">
        <v>8.6636000000000005E-3</v>
      </c>
      <c r="AJ7" s="100">
        <v>8.6636000000000005E-3</v>
      </c>
      <c r="AK7" s="100">
        <v>0.90268869044563449</v>
      </c>
      <c r="AL7" s="100">
        <v>0.89706475041046096</v>
      </c>
      <c r="AM7" s="100">
        <v>1.1078046867339935</v>
      </c>
      <c r="AN7" s="100">
        <v>1.114749812073079</v>
      </c>
      <c r="AO7" s="100">
        <v>7.7546328071379553E-2</v>
      </c>
      <c r="AP7" s="100">
        <v>7.8032486845115531E-2</v>
      </c>
      <c r="AQ7" s="95">
        <v>3</v>
      </c>
      <c r="AR7" s="95">
        <v>3</v>
      </c>
      <c r="AS7" s="99">
        <v>27</v>
      </c>
      <c r="AT7" s="99">
        <v>0</v>
      </c>
      <c r="AU7" s="91">
        <v>0.59699999999999998</v>
      </c>
      <c r="AV7" s="91">
        <v>7.0220000000000002</v>
      </c>
      <c r="AW7" s="91">
        <v>0</v>
      </c>
      <c r="AX7" s="91">
        <v>0</v>
      </c>
      <c r="AY7" s="91">
        <v>0</v>
      </c>
      <c r="AZ7" s="91">
        <v>0</v>
      </c>
      <c r="BA7" s="91">
        <v>0</v>
      </c>
      <c r="BB7" s="91">
        <v>0</v>
      </c>
      <c r="BC7" s="91">
        <v>0</v>
      </c>
      <c r="BD7" s="91">
        <v>0</v>
      </c>
      <c r="BE7" s="99">
        <v>61.790999999999997</v>
      </c>
      <c r="BF7" s="99">
        <v>68.215999999999994</v>
      </c>
      <c r="BG7" s="88">
        <v>1</v>
      </c>
      <c r="BH7"/>
      <c r="BI7"/>
      <c r="BJ7"/>
      <c r="BK7"/>
      <c r="BL7"/>
      <c r="BM7"/>
      <c r="BN7"/>
      <c r="BO7"/>
      <c r="BP7"/>
      <c r="BQ7"/>
    </row>
    <row r="8" spans="1:69">
      <c r="A8" s="88">
        <v>10029</v>
      </c>
      <c r="B8" s="88" t="s">
        <v>12</v>
      </c>
      <c r="C8" s="88">
        <v>0</v>
      </c>
      <c r="D8" s="88">
        <v>1</v>
      </c>
      <c r="E8" s="91">
        <v>17.879000000000001</v>
      </c>
      <c r="F8" s="91">
        <v>21.678999999999998</v>
      </c>
      <c r="G8" s="91">
        <v>21.673999999999999</v>
      </c>
      <c r="H8" s="91">
        <v>0</v>
      </c>
      <c r="I8" s="91">
        <v>0</v>
      </c>
      <c r="J8" s="91">
        <v>0</v>
      </c>
      <c r="K8" s="91">
        <v>0</v>
      </c>
      <c r="L8" s="90">
        <v>0</v>
      </c>
      <c r="M8" s="90">
        <v>0</v>
      </c>
      <c r="N8" s="91">
        <v>21.678999999999998</v>
      </c>
      <c r="O8" s="91">
        <v>21.673999999999999</v>
      </c>
      <c r="P8" s="90">
        <v>190428.33599999998</v>
      </c>
      <c r="Q8" s="90">
        <v>189864.24</v>
      </c>
      <c r="R8" s="88">
        <v>17.616</v>
      </c>
      <c r="S8" s="90">
        <v>154738.94399999999</v>
      </c>
      <c r="T8" s="90">
        <v>154316.16</v>
      </c>
      <c r="U8" s="91">
        <v>4.0629999999999997</v>
      </c>
      <c r="V8" s="91">
        <v>4.0579999999999998</v>
      </c>
      <c r="W8" s="91">
        <v>4.0629999999999997</v>
      </c>
      <c r="X8" s="91">
        <v>4.0579999999999998</v>
      </c>
      <c r="Y8" s="91">
        <v>0</v>
      </c>
      <c r="Z8" s="91">
        <v>0</v>
      </c>
      <c r="AA8" s="88">
        <v>0</v>
      </c>
      <c r="AB8" s="88">
        <v>0</v>
      </c>
      <c r="AC8" s="91">
        <v>4.0629999999999997</v>
      </c>
      <c r="AD8" s="91">
        <v>4.0579999999999998</v>
      </c>
      <c r="AE8" s="92">
        <v>2.4940000000000001E-3</v>
      </c>
      <c r="AF8" s="92">
        <v>2.4940000000000001E-3</v>
      </c>
      <c r="AG8" s="92">
        <v>0</v>
      </c>
      <c r="AH8" s="92">
        <v>2.4940000000000001E-3</v>
      </c>
      <c r="AI8" s="92">
        <v>2.4940000000000001E-3</v>
      </c>
      <c r="AJ8" s="92">
        <v>2.4940000000000001E-3</v>
      </c>
      <c r="AK8" s="92">
        <v>0.81258509663729894</v>
      </c>
      <c r="AL8" s="92">
        <v>0.81277255282827354</v>
      </c>
      <c r="AM8" s="92">
        <v>1.2306425976385105</v>
      </c>
      <c r="AN8" s="92">
        <v>1.2303587647593097</v>
      </c>
      <c r="AO8" s="92">
        <v>7.9991768846503178E-2</v>
      </c>
      <c r="AP8" s="92">
        <v>7.9973319709355131E-2</v>
      </c>
      <c r="AQ8" s="88">
        <v>6</v>
      </c>
      <c r="AR8" s="88">
        <v>6</v>
      </c>
      <c r="AS8" s="91">
        <v>0</v>
      </c>
      <c r="AT8" s="91">
        <v>0</v>
      </c>
      <c r="AU8" s="91">
        <v>0</v>
      </c>
      <c r="AV8" s="91">
        <v>0</v>
      </c>
      <c r="AW8" s="91">
        <v>0</v>
      </c>
      <c r="AX8" s="91">
        <v>0</v>
      </c>
      <c r="AY8" s="91">
        <v>0</v>
      </c>
      <c r="AZ8" s="91">
        <v>0</v>
      </c>
      <c r="BA8" s="91">
        <v>0</v>
      </c>
      <c r="BB8" s="91">
        <v>0</v>
      </c>
      <c r="BC8" s="91">
        <v>0</v>
      </c>
      <c r="BD8" s="91">
        <v>0</v>
      </c>
      <c r="BE8" s="91">
        <v>17.616</v>
      </c>
      <c r="BF8" s="91">
        <v>17.616</v>
      </c>
      <c r="BG8" s="88">
        <v>1</v>
      </c>
      <c r="BH8"/>
      <c r="BI8"/>
      <c r="BJ8"/>
      <c r="BK8"/>
      <c r="BL8"/>
      <c r="BM8"/>
      <c r="BN8"/>
      <c r="BO8"/>
      <c r="BP8"/>
      <c r="BQ8"/>
    </row>
    <row r="9" spans="1:69">
      <c r="A9" s="88">
        <v>10044</v>
      </c>
      <c r="B9" s="88" t="s">
        <v>13</v>
      </c>
      <c r="C9" s="88">
        <v>1</v>
      </c>
      <c r="D9" s="88">
        <v>0</v>
      </c>
      <c r="E9" s="91">
        <v>20.611999999999998</v>
      </c>
      <c r="F9" s="91">
        <v>23.850999999999999</v>
      </c>
      <c r="G9" s="91">
        <v>24.05</v>
      </c>
      <c r="H9" s="91">
        <v>0</v>
      </c>
      <c r="I9" s="91">
        <v>0</v>
      </c>
      <c r="J9" s="91">
        <v>0</v>
      </c>
      <c r="K9" s="91">
        <v>0</v>
      </c>
      <c r="L9" s="90">
        <v>0</v>
      </c>
      <c r="M9" s="90">
        <v>0</v>
      </c>
      <c r="N9" s="91">
        <v>23.850999999999999</v>
      </c>
      <c r="O9" s="91">
        <v>24.05</v>
      </c>
      <c r="P9" s="90">
        <v>209507.18399999998</v>
      </c>
      <c r="Q9" s="90">
        <v>210678</v>
      </c>
      <c r="R9" s="88">
        <v>20.309000000000001</v>
      </c>
      <c r="S9" s="90">
        <v>178394.25600000002</v>
      </c>
      <c r="T9" s="90">
        <v>177906.84</v>
      </c>
      <c r="U9" s="91">
        <v>3.5419999999999998</v>
      </c>
      <c r="V9" s="91">
        <v>3.7410000000000001</v>
      </c>
      <c r="W9" s="91">
        <v>3.5419999999999998</v>
      </c>
      <c r="X9" s="91">
        <v>3.7410000000000001</v>
      </c>
      <c r="Y9" s="91">
        <v>0</v>
      </c>
      <c r="Z9" s="91">
        <v>0</v>
      </c>
      <c r="AA9" s="88">
        <v>0</v>
      </c>
      <c r="AB9" s="88">
        <v>0</v>
      </c>
      <c r="AC9" s="91">
        <v>3.5419999999999998</v>
      </c>
      <c r="AD9" s="91">
        <v>3.7410000000000001</v>
      </c>
      <c r="AE9" s="92">
        <v>2.8752999999999999E-3</v>
      </c>
      <c r="AF9" s="92">
        <v>2.8752999999999999E-3</v>
      </c>
      <c r="AG9" s="92">
        <v>0</v>
      </c>
      <c r="AH9" s="92">
        <v>2.8752999999999999E-3</v>
      </c>
      <c r="AI9" s="92">
        <v>2.8752999999999999E-3</v>
      </c>
      <c r="AJ9" s="92">
        <v>2.8752999999999999E-3</v>
      </c>
      <c r="AK9" s="92">
        <v>0.85150699696029508</v>
      </c>
      <c r="AL9" s="92">
        <v>0.84446126338877325</v>
      </c>
      <c r="AM9" s="92">
        <v>1.1744054360135898</v>
      </c>
      <c r="AN9" s="92">
        <v>1.1842040474666404</v>
      </c>
      <c r="AO9" s="92">
        <v>0</v>
      </c>
      <c r="AP9" s="92">
        <v>0</v>
      </c>
      <c r="AQ9" s="88">
        <v>1</v>
      </c>
      <c r="AR9" s="88">
        <v>1</v>
      </c>
      <c r="AS9" s="91">
        <v>0</v>
      </c>
      <c r="AT9" s="91">
        <v>0</v>
      </c>
      <c r="AU9" s="91">
        <v>3.5419999999999998</v>
      </c>
      <c r="AV9" s="91">
        <v>3.7410000000000001</v>
      </c>
      <c r="AW9" s="91">
        <v>0</v>
      </c>
      <c r="AX9" s="91">
        <v>0</v>
      </c>
      <c r="AY9" s="91">
        <v>0</v>
      </c>
      <c r="AZ9" s="91">
        <v>0</v>
      </c>
      <c r="BA9" s="91">
        <v>0</v>
      </c>
      <c r="BB9" s="91">
        <v>0</v>
      </c>
      <c r="BC9" s="91">
        <v>0</v>
      </c>
      <c r="BD9" s="91">
        <v>0</v>
      </c>
      <c r="BE9" s="91">
        <v>23.850999999999999</v>
      </c>
      <c r="BF9" s="91">
        <v>24.05</v>
      </c>
      <c r="BG9" s="88">
        <v>0</v>
      </c>
      <c r="BH9"/>
      <c r="BI9"/>
      <c r="BJ9"/>
      <c r="BK9"/>
      <c r="BL9"/>
      <c r="BM9"/>
      <c r="BN9"/>
      <c r="BO9"/>
      <c r="BP9"/>
      <c r="BQ9"/>
    </row>
    <row r="10" spans="1:69">
      <c r="A10" s="88">
        <v>10046</v>
      </c>
      <c r="B10" s="88" t="s">
        <v>14</v>
      </c>
      <c r="C10" s="88">
        <v>0</v>
      </c>
      <c r="D10" s="88">
        <v>1</v>
      </c>
      <c r="E10" s="91">
        <v>83.072000000000003</v>
      </c>
      <c r="F10" s="91">
        <v>96.873000000000005</v>
      </c>
      <c r="G10" s="91">
        <v>98.18</v>
      </c>
      <c r="H10" s="91">
        <v>0</v>
      </c>
      <c r="I10" s="91">
        <v>0</v>
      </c>
      <c r="J10" s="91">
        <v>0</v>
      </c>
      <c r="K10" s="91">
        <v>0</v>
      </c>
      <c r="L10" s="90">
        <v>0</v>
      </c>
      <c r="M10" s="90">
        <v>0</v>
      </c>
      <c r="N10" s="91">
        <v>98.879000000000005</v>
      </c>
      <c r="O10" s="91">
        <v>100.60599999999999</v>
      </c>
      <c r="P10" s="90">
        <v>868553.13600000006</v>
      </c>
      <c r="Q10" s="90">
        <v>881308.55999999994</v>
      </c>
      <c r="R10" s="88">
        <v>81.850999999999999</v>
      </c>
      <c r="S10" s="90">
        <v>718979.18400000001</v>
      </c>
      <c r="T10" s="90">
        <v>717014.76</v>
      </c>
      <c r="U10" s="91">
        <v>17.027999999999999</v>
      </c>
      <c r="V10" s="91">
        <v>18.754999999999999</v>
      </c>
      <c r="W10" s="91">
        <v>17.027999999999999</v>
      </c>
      <c r="X10" s="91">
        <v>18.754999999999999</v>
      </c>
      <c r="Y10" s="91">
        <v>0</v>
      </c>
      <c r="Z10" s="91">
        <v>0</v>
      </c>
      <c r="AA10" s="88">
        <v>0</v>
      </c>
      <c r="AB10" s="88">
        <v>0</v>
      </c>
      <c r="AC10" s="91">
        <v>17.027999999999999</v>
      </c>
      <c r="AD10" s="91">
        <v>18.754999999999999</v>
      </c>
      <c r="AE10" s="92">
        <v>1.15881E-2</v>
      </c>
      <c r="AF10" s="92">
        <v>1.15881E-2</v>
      </c>
      <c r="AG10" s="92">
        <v>0</v>
      </c>
      <c r="AH10" s="92">
        <v>1.15881E-2</v>
      </c>
      <c r="AI10" s="92">
        <v>1.15881E-2</v>
      </c>
      <c r="AJ10" s="92">
        <v>1.15881E-2</v>
      </c>
      <c r="AK10" s="92">
        <v>0.82778931781773679</v>
      </c>
      <c r="AL10" s="92">
        <v>0.81357950774804688</v>
      </c>
      <c r="AM10" s="92">
        <v>1.2080365542265825</v>
      </c>
      <c r="AN10" s="92">
        <v>1.2291358688348339</v>
      </c>
      <c r="AO10" s="92">
        <v>7.8522376024727863E-2</v>
      </c>
      <c r="AP10" s="92">
        <v>7.989383147426421E-2</v>
      </c>
      <c r="AQ10" s="88">
        <v>6</v>
      </c>
      <c r="AR10" s="88">
        <v>6</v>
      </c>
      <c r="AS10" s="91">
        <v>0</v>
      </c>
      <c r="AT10" s="91">
        <v>0</v>
      </c>
      <c r="AU10" s="91">
        <v>0</v>
      </c>
      <c r="AV10" s="91">
        <v>0</v>
      </c>
      <c r="AW10" s="91">
        <v>0</v>
      </c>
      <c r="AX10" s="91">
        <v>0</v>
      </c>
      <c r="AY10" s="91">
        <v>0</v>
      </c>
      <c r="AZ10" s="91">
        <v>0</v>
      </c>
      <c r="BA10" s="91">
        <v>0</v>
      </c>
      <c r="BB10" s="91">
        <v>0</v>
      </c>
      <c r="BC10" s="91">
        <v>0</v>
      </c>
      <c r="BD10" s="91">
        <v>0</v>
      </c>
      <c r="BE10" s="91">
        <v>81.850999999999999</v>
      </c>
      <c r="BF10" s="91">
        <v>81.850999999999999</v>
      </c>
      <c r="BG10" s="88">
        <v>1</v>
      </c>
      <c r="BH10"/>
      <c r="BI10"/>
      <c r="BJ10"/>
      <c r="BK10"/>
      <c r="BL10"/>
      <c r="BM10"/>
      <c r="BN10"/>
      <c r="BO10"/>
      <c r="BP10"/>
      <c r="BQ10"/>
    </row>
    <row r="11" spans="1:69">
      <c r="A11" s="88">
        <v>10047</v>
      </c>
      <c r="B11" s="88" t="s">
        <v>15</v>
      </c>
      <c r="C11" s="88">
        <v>1</v>
      </c>
      <c r="D11" s="88">
        <v>0</v>
      </c>
      <c r="E11" s="91">
        <v>159.01</v>
      </c>
      <c r="F11" s="91">
        <v>152.31299999999999</v>
      </c>
      <c r="G11" s="91">
        <v>152.465</v>
      </c>
      <c r="H11" s="91">
        <v>0</v>
      </c>
      <c r="I11" s="91">
        <v>0</v>
      </c>
      <c r="J11" s="91">
        <v>0</v>
      </c>
      <c r="K11" s="91">
        <v>0</v>
      </c>
      <c r="L11" s="90">
        <v>0</v>
      </c>
      <c r="M11" s="90">
        <v>0</v>
      </c>
      <c r="N11" s="91">
        <v>152.31299999999999</v>
      </c>
      <c r="O11" s="91">
        <v>152.465</v>
      </c>
      <c r="P11" s="90">
        <v>1337917.392</v>
      </c>
      <c r="Q11" s="90">
        <v>1335593.4000000001</v>
      </c>
      <c r="R11" s="88">
        <v>156.673</v>
      </c>
      <c r="S11" s="90">
        <v>1376215.632</v>
      </c>
      <c r="T11" s="90">
        <v>1372455.48</v>
      </c>
      <c r="U11" s="91">
        <v>0</v>
      </c>
      <c r="V11" s="91">
        <v>0</v>
      </c>
      <c r="W11" s="91">
        <v>0</v>
      </c>
      <c r="X11" s="91">
        <v>0</v>
      </c>
      <c r="Y11" s="91">
        <v>0</v>
      </c>
      <c r="Z11" s="91">
        <v>0</v>
      </c>
      <c r="AA11" s="88">
        <v>0</v>
      </c>
      <c r="AB11" s="88">
        <v>0</v>
      </c>
      <c r="AC11" s="91">
        <v>0</v>
      </c>
      <c r="AD11" s="91">
        <v>0</v>
      </c>
      <c r="AE11" s="92">
        <v>2.1563800000000001E-2</v>
      </c>
      <c r="AF11" s="92">
        <v>2.1585300000000002E-2</v>
      </c>
      <c r="AG11" s="92">
        <v>0</v>
      </c>
      <c r="AH11" s="92">
        <v>2.1563800000000001E-2</v>
      </c>
      <c r="AI11" s="92">
        <v>2.1585300000000002E-2</v>
      </c>
      <c r="AJ11" s="92">
        <v>2.1574550000000001E-2</v>
      </c>
      <c r="AK11" s="92">
        <v>0.99999993557345734</v>
      </c>
      <c r="AL11" s="92">
        <v>0.99999903279113245</v>
      </c>
      <c r="AM11" s="92">
        <v>1</v>
      </c>
      <c r="AN11" s="92">
        <v>1</v>
      </c>
      <c r="AO11" s="92">
        <v>0</v>
      </c>
      <c r="AP11" s="92">
        <v>0</v>
      </c>
      <c r="AQ11" s="88">
        <v>3</v>
      </c>
      <c r="AR11" s="88">
        <v>3</v>
      </c>
      <c r="AS11" s="91">
        <v>10</v>
      </c>
      <c r="AT11" s="91">
        <v>0</v>
      </c>
      <c r="AU11" s="91">
        <v>0</v>
      </c>
      <c r="AV11" s="91">
        <v>0</v>
      </c>
      <c r="AW11" s="91">
        <v>0</v>
      </c>
      <c r="AX11" s="91">
        <v>0</v>
      </c>
      <c r="AY11" s="91">
        <v>0</v>
      </c>
      <c r="AZ11" s="91">
        <v>0</v>
      </c>
      <c r="BA11" s="91">
        <v>0</v>
      </c>
      <c r="BB11" s="91">
        <v>0</v>
      </c>
      <c r="BC11" s="91">
        <v>0</v>
      </c>
      <c r="BD11" s="91">
        <v>0</v>
      </c>
      <c r="BE11" s="91">
        <v>152.31299999999999</v>
      </c>
      <c r="BF11" s="91">
        <v>152.465</v>
      </c>
      <c r="BG11" s="88">
        <v>1</v>
      </c>
      <c r="BH11"/>
      <c r="BI11"/>
      <c r="BJ11"/>
      <c r="BK11"/>
      <c r="BL11"/>
      <c r="BM11"/>
      <c r="BN11"/>
      <c r="BO11"/>
      <c r="BP11"/>
      <c r="BQ11"/>
    </row>
    <row r="12" spans="1:69">
      <c r="A12" s="88">
        <v>10055</v>
      </c>
      <c r="B12" s="88" t="s">
        <v>16</v>
      </c>
      <c r="C12" s="88">
        <v>1</v>
      </c>
      <c r="D12" s="88">
        <v>0</v>
      </c>
      <c r="E12" s="91">
        <v>0.40400000000000003</v>
      </c>
      <c r="F12" s="91">
        <v>0.39100000000000001</v>
      </c>
      <c r="G12" s="91">
        <v>0.39</v>
      </c>
      <c r="H12" s="91">
        <v>0</v>
      </c>
      <c r="I12" s="91">
        <v>0</v>
      </c>
      <c r="J12" s="91">
        <v>0</v>
      </c>
      <c r="K12" s="91">
        <v>0</v>
      </c>
      <c r="L12" s="90">
        <v>0</v>
      </c>
      <c r="M12" s="90">
        <v>0</v>
      </c>
      <c r="N12" s="91">
        <v>0.39100000000000001</v>
      </c>
      <c r="O12" s="91">
        <v>0.39</v>
      </c>
      <c r="P12" s="90">
        <v>3434.5440000000003</v>
      </c>
      <c r="Q12" s="90">
        <v>3416.4</v>
      </c>
      <c r="R12" s="88">
        <v>0.39800000000000002</v>
      </c>
      <c r="S12" s="90">
        <v>3496.0320000000002</v>
      </c>
      <c r="T12" s="90">
        <v>3486.48</v>
      </c>
      <c r="U12" s="91">
        <v>0</v>
      </c>
      <c r="V12" s="91">
        <v>0</v>
      </c>
      <c r="W12" s="91">
        <v>0</v>
      </c>
      <c r="X12" s="91">
        <v>0</v>
      </c>
      <c r="Y12" s="91">
        <v>0</v>
      </c>
      <c r="Z12" s="91">
        <v>0</v>
      </c>
      <c r="AA12" s="88">
        <v>0</v>
      </c>
      <c r="AB12" s="88">
        <v>0</v>
      </c>
      <c r="AC12" s="91">
        <v>0</v>
      </c>
      <c r="AD12" s="91">
        <v>0</v>
      </c>
      <c r="AE12" s="92">
        <v>5.5399999999999998E-5</v>
      </c>
      <c r="AF12" s="92">
        <v>5.52E-5</v>
      </c>
      <c r="AG12" s="92">
        <v>0</v>
      </c>
      <c r="AH12" s="92">
        <v>5.5399999999999998E-5</v>
      </c>
      <c r="AI12" s="92">
        <v>5.52E-5</v>
      </c>
      <c r="AJ12" s="92">
        <v>5.5300000000000002E-5</v>
      </c>
      <c r="AK12" s="92">
        <v>1</v>
      </c>
      <c r="AL12" s="92">
        <v>0.99973781538461537</v>
      </c>
      <c r="AM12" s="92">
        <v>1</v>
      </c>
      <c r="AN12" s="92">
        <v>1</v>
      </c>
      <c r="AO12" s="92">
        <v>0</v>
      </c>
      <c r="AP12" s="92">
        <v>0</v>
      </c>
      <c r="AQ12" s="88">
        <v>1</v>
      </c>
      <c r="AR12" s="88">
        <v>1</v>
      </c>
      <c r="AS12" s="91">
        <v>0</v>
      </c>
      <c r="AT12" s="91">
        <v>0</v>
      </c>
      <c r="AU12" s="91">
        <v>0</v>
      </c>
      <c r="AV12" s="91">
        <v>0</v>
      </c>
      <c r="AW12" s="91">
        <v>0</v>
      </c>
      <c r="AX12" s="91">
        <v>0</v>
      </c>
      <c r="AY12" s="91">
        <v>0</v>
      </c>
      <c r="AZ12" s="91">
        <v>0</v>
      </c>
      <c r="BA12" s="91">
        <v>0</v>
      </c>
      <c r="BB12" s="91">
        <v>0</v>
      </c>
      <c r="BC12" s="91">
        <v>0</v>
      </c>
      <c r="BD12" s="91">
        <v>0</v>
      </c>
      <c r="BE12" s="91">
        <v>0.39100000000000001</v>
      </c>
      <c r="BF12" s="91">
        <v>0.39</v>
      </c>
      <c r="BG12" s="88">
        <v>0</v>
      </c>
      <c r="BH12"/>
      <c r="BI12"/>
      <c r="BJ12"/>
      <c r="BK12"/>
      <c r="BL12"/>
      <c r="BM12"/>
      <c r="BN12"/>
      <c r="BO12"/>
      <c r="BP12"/>
      <c r="BQ12"/>
    </row>
    <row r="13" spans="1:69">
      <c r="A13" s="88">
        <v>10057</v>
      </c>
      <c r="B13" s="88" t="s">
        <v>17</v>
      </c>
      <c r="C13" s="88">
        <v>1</v>
      </c>
      <c r="D13" s="88">
        <v>0</v>
      </c>
      <c r="E13" s="91">
        <v>21.382999999999999</v>
      </c>
      <c r="F13" s="91">
        <v>20.152000000000001</v>
      </c>
      <c r="G13" s="91">
        <v>20.148</v>
      </c>
      <c r="H13" s="91">
        <v>0</v>
      </c>
      <c r="I13" s="91">
        <v>0</v>
      </c>
      <c r="J13" s="91">
        <v>0.158</v>
      </c>
      <c r="K13" s="91">
        <v>0.158</v>
      </c>
      <c r="L13" s="90">
        <v>1387.8720000000001</v>
      </c>
      <c r="M13" s="90">
        <v>1384.08</v>
      </c>
      <c r="N13" s="91">
        <v>19.994</v>
      </c>
      <c r="O13" s="91">
        <v>19.989999999999998</v>
      </c>
      <c r="P13" s="90">
        <v>175627.296</v>
      </c>
      <c r="Q13" s="90">
        <v>175112.4</v>
      </c>
      <c r="R13" s="88">
        <v>21.068999999999999</v>
      </c>
      <c r="S13" s="90">
        <v>185070.09599999999</v>
      </c>
      <c r="T13" s="90">
        <v>184564.44</v>
      </c>
      <c r="U13" s="91">
        <v>0</v>
      </c>
      <c r="V13" s="91">
        <v>0</v>
      </c>
      <c r="W13" s="91">
        <v>0</v>
      </c>
      <c r="X13" s="91">
        <v>0</v>
      </c>
      <c r="Y13" s="91">
        <v>0</v>
      </c>
      <c r="Z13" s="91">
        <v>0</v>
      </c>
      <c r="AA13" s="88">
        <v>0</v>
      </c>
      <c r="AB13" s="88">
        <v>0</v>
      </c>
      <c r="AC13" s="91">
        <v>0</v>
      </c>
      <c r="AD13" s="91">
        <v>0</v>
      </c>
      <c r="AE13" s="92">
        <v>2.8306999999999998E-3</v>
      </c>
      <c r="AF13" s="92">
        <v>2.8300999999999999E-3</v>
      </c>
      <c r="AG13" s="92">
        <v>0</v>
      </c>
      <c r="AH13" s="92">
        <v>2.8306999999999998E-3</v>
      </c>
      <c r="AI13" s="92">
        <v>2.8300999999999999E-3</v>
      </c>
      <c r="AJ13" s="92">
        <v>2.8303999999999998E-3</v>
      </c>
      <c r="AK13" s="92">
        <v>1</v>
      </c>
      <c r="AL13" s="92">
        <v>1</v>
      </c>
      <c r="AM13" s="92">
        <v>1</v>
      </c>
      <c r="AN13" s="92">
        <v>1</v>
      </c>
      <c r="AO13" s="92">
        <v>0</v>
      </c>
      <c r="AP13" s="92">
        <v>0</v>
      </c>
      <c r="AQ13" s="88">
        <v>1</v>
      </c>
      <c r="AR13" s="88">
        <v>3</v>
      </c>
      <c r="AS13" s="91">
        <v>0</v>
      </c>
      <c r="AT13" s="91">
        <v>0</v>
      </c>
      <c r="AU13" s="91">
        <v>0</v>
      </c>
      <c r="AV13" s="91">
        <v>0</v>
      </c>
      <c r="AW13" s="91">
        <v>0</v>
      </c>
      <c r="AX13" s="91">
        <v>0</v>
      </c>
      <c r="AY13" s="91">
        <v>0</v>
      </c>
      <c r="AZ13" s="91">
        <v>0</v>
      </c>
      <c r="BA13" s="91">
        <v>0</v>
      </c>
      <c r="BB13" s="91">
        <v>0</v>
      </c>
      <c r="BC13" s="91">
        <v>0</v>
      </c>
      <c r="BD13" s="91">
        <v>0</v>
      </c>
      <c r="BE13" s="91">
        <v>19.994</v>
      </c>
      <c r="BF13" s="91">
        <v>19.989999999999998</v>
      </c>
      <c r="BG13" s="88">
        <v>0</v>
      </c>
      <c r="BH13"/>
      <c r="BI13"/>
      <c r="BJ13"/>
      <c r="BK13"/>
      <c r="BL13"/>
      <c r="BM13"/>
      <c r="BN13"/>
      <c r="BO13"/>
      <c r="BP13"/>
      <c r="BQ13"/>
    </row>
    <row r="14" spans="1:69">
      <c r="A14" s="88">
        <v>10059</v>
      </c>
      <c r="B14" s="88" t="s">
        <v>18</v>
      </c>
      <c r="C14" s="88">
        <v>1</v>
      </c>
      <c r="D14" s="88">
        <v>0</v>
      </c>
      <c r="E14" s="91">
        <v>7.7530000000000001</v>
      </c>
      <c r="F14" s="91">
        <v>7.6040000000000001</v>
      </c>
      <c r="G14" s="91">
        <v>7.5990000000000002</v>
      </c>
      <c r="H14" s="91">
        <v>0</v>
      </c>
      <c r="I14" s="91">
        <v>0</v>
      </c>
      <c r="J14" s="91">
        <v>0</v>
      </c>
      <c r="K14" s="91">
        <v>0</v>
      </c>
      <c r="L14" s="90">
        <v>0</v>
      </c>
      <c r="M14" s="90">
        <v>0</v>
      </c>
      <c r="N14" s="91">
        <v>7.6040000000000001</v>
      </c>
      <c r="O14" s="91">
        <v>7.5990000000000002</v>
      </c>
      <c r="P14" s="90">
        <v>66793.536000000007</v>
      </c>
      <c r="Q14" s="90">
        <v>66567.240000000005</v>
      </c>
      <c r="R14" s="88">
        <v>7.6390000000000002</v>
      </c>
      <c r="S14" s="90">
        <v>67100.975999999995</v>
      </c>
      <c r="T14" s="90">
        <v>66917.64</v>
      </c>
      <c r="U14" s="91">
        <v>0</v>
      </c>
      <c r="V14" s="91">
        <v>0</v>
      </c>
      <c r="W14" s="91">
        <v>0</v>
      </c>
      <c r="X14" s="91">
        <v>0</v>
      </c>
      <c r="Y14" s="91">
        <v>0</v>
      </c>
      <c r="Z14" s="91">
        <v>0</v>
      </c>
      <c r="AA14" s="88">
        <v>0</v>
      </c>
      <c r="AB14" s="88">
        <v>0</v>
      </c>
      <c r="AC14" s="91">
        <v>0</v>
      </c>
      <c r="AD14" s="91">
        <v>0</v>
      </c>
      <c r="AE14" s="92">
        <v>1.0765E-3</v>
      </c>
      <c r="AF14" s="92">
        <v>1.0758E-3</v>
      </c>
      <c r="AG14" s="92">
        <v>0</v>
      </c>
      <c r="AH14" s="92">
        <v>1.0765E-3</v>
      </c>
      <c r="AI14" s="92">
        <v>1.0758E-3</v>
      </c>
      <c r="AJ14" s="92">
        <v>1.0761500000000001E-3</v>
      </c>
      <c r="AK14" s="92">
        <v>0.99996218076012611</v>
      </c>
      <c r="AL14" s="92">
        <v>0.99996947848401108</v>
      </c>
      <c r="AM14" s="92">
        <v>1</v>
      </c>
      <c r="AN14" s="92">
        <v>1</v>
      </c>
      <c r="AO14" s="92">
        <v>0</v>
      </c>
      <c r="AP14" s="92">
        <v>0</v>
      </c>
      <c r="AQ14" s="88">
        <v>1</v>
      </c>
      <c r="AR14" s="88">
        <v>1</v>
      </c>
      <c r="AS14" s="91">
        <v>0</v>
      </c>
      <c r="AT14" s="91">
        <v>0</v>
      </c>
      <c r="AU14" s="91">
        <v>0</v>
      </c>
      <c r="AV14" s="91">
        <v>0</v>
      </c>
      <c r="AW14" s="91">
        <v>0</v>
      </c>
      <c r="AX14" s="91">
        <v>0</v>
      </c>
      <c r="AY14" s="91">
        <v>0</v>
      </c>
      <c r="AZ14" s="91">
        <v>0</v>
      </c>
      <c r="BA14" s="91">
        <v>0</v>
      </c>
      <c r="BB14" s="91">
        <v>0</v>
      </c>
      <c r="BC14" s="91">
        <v>0</v>
      </c>
      <c r="BD14" s="91">
        <v>0</v>
      </c>
      <c r="BE14" s="91">
        <v>7.6040000000000001</v>
      </c>
      <c r="BF14" s="91">
        <v>7.5990000000000002</v>
      </c>
      <c r="BG14" s="88">
        <v>0</v>
      </c>
      <c r="BH14"/>
      <c r="BI14"/>
      <c r="BJ14"/>
      <c r="BK14"/>
      <c r="BL14"/>
      <c r="BM14"/>
      <c r="BN14"/>
      <c r="BO14"/>
      <c r="BP14"/>
      <c r="BQ14"/>
    </row>
    <row r="15" spans="1:69">
      <c r="A15" s="88">
        <v>10061</v>
      </c>
      <c r="B15" s="88" t="s">
        <v>19</v>
      </c>
      <c r="C15" s="88">
        <v>1</v>
      </c>
      <c r="D15" s="88">
        <v>0</v>
      </c>
      <c r="E15" s="91">
        <v>8.8770000000000007</v>
      </c>
      <c r="F15" s="91">
        <v>9.7140000000000004</v>
      </c>
      <c r="G15" s="91">
        <v>9.8019999999999996</v>
      </c>
      <c r="H15" s="91">
        <v>0</v>
      </c>
      <c r="I15" s="91">
        <v>0</v>
      </c>
      <c r="J15" s="91">
        <v>0</v>
      </c>
      <c r="K15" s="91">
        <v>0</v>
      </c>
      <c r="L15" s="90">
        <v>0</v>
      </c>
      <c r="M15" s="90">
        <v>0</v>
      </c>
      <c r="N15" s="91">
        <v>9.7140000000000004</v>
      </c>
      <c r="O15" s="91">
        <v>9.8019999999999996</v>
      </c>
      <c r="P15" s="90">
        <v>85327.775999999998</v>
      </c>
      <c r="Q15" s="90">
        <v>85865.51999999999</v>
      </c>
      <c r="R15" s="88">
        <v>8.7469999999999999</v>
      </c>
      <c r="S15" s="90">
        <v>76833.648000000001</v>
      </c>
      <c r="T15" s="90">
        <v>76623.72</v>
      </c>
      <c r="U15" s="91">
        <v>0.96699999999999997</v>
      </c>
      <c r="V15" s="91">
        <v>1.0549999999999999</v>
      </c>
      <c r="W15" s="91">
        <v>0</v>
      </c>
      <c r="X15" s="91">
        <v>1.0549999999999999</v>
      </c>
      <c r="Y15" s="91">
        <v>0.96699999999999997</v>
      </c>
      <c r="Z15" s="91">
        <v>0</v>
      </c>
      <c r="AA15" s="88">
        <v>0</v>
      </c>
      <c r="AB15" s="88">
        <v>0</v>
      </c>
      <c r="AC15" s="91">
        <v>0</v>
      </c>
      <c r="AD15" s="91">
        <v>1.0549999999999999</v>
      </c>
      <c r="AE15" s="92">
        <v>1.2384E-3</v>
      </c>
      <c r="AF15" s="92">
        <v>1.2384E-3</v>
      </c>
      <c r="AG15" s="92">
        <v>0</v>
      </c>
      <c r="AH15" s="92">
        <v>1.2384E-3</v>
      </c>
      <c r="AI15" s="92">
        <v>1.2384E-3</v>
      </c>
      <c r="AJ15" s="92">
        <v>1.2384E-3</v>
      </c>
      <c r="AK15" s="92">
        <v>0.9004808746139592</v>
      </c>
      <c r="AL15" s="92">
        <v>0.892396573760457</v>
      </c>
      <c r="AM15" s="92">
        <v>1.1105521893220534</v>
      </c>
      <c r="AN15" s="92">
        <v>1.1206127815250944</v>
      </c>
      <c r="AO15" s="92">
        <v>0</v>
      </c>
      <c r="AP15" s="92">
        <v>0</v>
      </c>
      <c r="AQ15" s="88">
        <v>1</v>
      </c>
      <c r="AR15" s="88">
        <v>1</v>
      </c>
      <c r="AS15" s="91">
        <v>0</v>
      </c>
      <c r="AT15" s="91">
        <v>0</v>
      </c>
      <c r="AU15" s="91">
        <v>0</v>
      </c>
      <c r="AV15" s="91">
        <v>1.0549999999999999</v>
      </c>
      <c r="AW15" s="91">
        <v>0</v>
      </c>
      <c r="AX15" s="91">
        <v>0</v>
      </c>
      <c r="AY15" s="91">
        <v>0</v>
      </c>
      <c r="AZ15" s="91">
        <v>0</v>
      </c>
      <c r="BA15" s="91">
        <v>0</v>
      </c>
      <c r="BB15" s="91">
        <v>0</v>
      </c>
      <c r="BC15" s="91">
        <v>0</v>
      </c>
      <c r="BD15" s="91">
        <v>0</v>
      </c>
      <c r="BE15" s="91">
        <v>9.7140000000000004</v>
      </c>
      <c r="BF15" s="91">
        <v>9.8019999999999996</v>
      </c>
      <c r="BG15" s="88">
        <v>0</v>
      </c>
      <c r="BH15"/>
      <c r="BI15"/>
      <c r="BJ15"/>
      <c r="BK15"/>
      <c r="BL15"/>
      <c r="BM15"/>
      <c r="BN15"/>
      <c r="BO15"/>
      <c r="BP15"/>
      <c r="BQ15"/>
    </row>
    <row r="16" spans="1:69">
      <c r="A16" s="88">
        <v>10062</v>
      </c>
      <c r="B16" s="88" t="s">
        <v>20</v>
      </c>
      <c r="C16" s="88">
        <v>1</v>
      </c>
      <c r="D16" s="88">
        <v>0</v>
      </c>
      <c r="E16" s="91">
        <v>5.399</v>
      </c>
      <c r="F16" s="91">
        <v>9.0039999999999996</v>
      </c>
      <c r="G16" s="91">
        <v>9.09</v>
      </c>
      <c r="H16" s="91">
        <v>0</v>
      </c>
      <c r="I16" s="91">
        <v>0</v>
      </c>
      <c r="J16" s="91">
        <v>1.8779999999999999</v>
      </c>
      <c r="K16" s="91">
        <v>1.881</v>
      </c>
      <c r="L16" s="90">
        <v>16496.351999999999</v>
      </c>
      <c r="M16" s="90">
        <v>16477.560000000001</v>
      </c>
      <c r="N16" s="91">
        <v>7.1260000000000003</v>
      </c>
      <c r="O16" s="91">
        <v>7.2089999999999996</v>
      </c>
      <c r="P16" s="90">
        <v>62594.784</v>
      </c>
      <c r="Q16" s="90">
        <v>63150.84</v>
      </c>
      <c r="R16" s="88">
        <v>5.32</v>
      </c>
      <c r="S16" s="90">
        <v>46730.880000000005</v>
      </c>
      <c r="T16" s="90">
        <v>46603.200000000004</v>
      </c>
      <c r="U16" s="91">
        <v>1.806</v>
      </c>
      <c r="V16" s="91">
        <v>1.889</v>
      </c>
      <c r="W16" s="91">
        <v>1.806</v>
      </c>
      <c r="X16" s="91">
        <v>1.889</v>
      </c>
      <c r="Y16" s="91">
        <v>0</v>
      </c>
      <c r="Z16" s="91">
        <v>0</v>
      </c>
      <c r="AA16" s="88">
        <v>0</v>
      </c>
      <c r="AB16" s="88">
        <v>0</v>
      </c>
      <c r="AC16" s="91">
        <v>1.806</v>
      </c>
      <c r="AD16" s="91">
        <v>1.889</v>
      </c>
      <c r="AE16" s="92">
        <v>7.5319999999999998E-4</v>
      </c>
      <c r="AF16" s="92">
        <v>7.5319999999999998E-4</v>
      </c>
      <c r="AG16" s="92">
        <v>0</v>
      </c>
      <c r="AH16" s="92">
        <v>7.5319999999999998E-4</v>
      </c>
      <c r="AI16" s="92">
        <v>7.5319999999999998E-4</v>
      </c>
      <c r="AJ16" s="92">
        <v>7.5319999999999998E-4</v>
      </c>
      <c r="AK16" s="92">
        <v>0.79943653020879613</v>
      </c>
      <c r="AL16" s="92">
        <v>0.79220313729372938</v>
      </c>
      <c r="AM16" s="92">
        <v>1.3394736842105264</v>
      </c>
      <c r="AN16" s="92">
        <v>1.3550751879699248</v>
      </c>
      <c r="AO16" s="92">
        <v>0</v>
      </c>
      <c r="AP16" s="92">
        <v>0</v>
      </c>
      <c r="AQ16" s="88">
        <v>1</v>
      </c>
      <c r="AR16" s="88">
        <v>3</v>
      </c>
      <c r="AS16" s="91">
        <v>0</v>
      </c>
      <c r="AT16" s="91">
        <v>0</v>
      </c>
      <c r="AU16" s="91">
        <v>1.806</v>
      </c>
      <c r="AV16" s="91">
        <v>1.889</v>
      </c>
      <c r="AW16" s="91">
        <v>0</v>
      </c>
      <c r="AX16" s="91">
        <v>0</v>
      </c>
      <c r="AY16" s="91">
        <v>0</v>
      </c>
      <c r="AZ16" s="91">
        <v>0</v>
      </c>
      <c r="BA16" s="91">
        <v>0</v>
      </c>
      <c r="BB16" s="91">
        <v>0</v>
      </c>
      <c r="BC16" s="91">
        <v>0</v>
      </c>
      <c r="BD16" s="91">
        <v>0</v>
      </c>
      <c r="BE16" s="91">
        <v>7.1260000000000003</v>
      </c>
      <c r="BF16" s="91">
        <v>7.2089999999999996</v>
      </c>
      <c r="BG16" s="88">
        <v>1</v>
      </c>
      <c r="BH16"/>
      <c r="BI16"/>
      <c r="BJ16"/>
      <c r="BK16"/>
      <c r="BL16"/>
      <c r="BM16"/>
      <c r="BN16"/>
      <c r="BO16"/>
      <c r="BP16"/>
      <c r="BQ16"/>
    </row>
    <row r="17" spans="1:69">
      <c r="A17" s="88">
        <v>10064</v>
      </c>
      <c r="B17" s="88" t="s">
        <v>21</v>
      </c>
      <c r="C17" s="88">
        <v>1</v>
      </c>
      <c r="D17" s="88">
        <v>0</v>
      </c>
      <c r="E17" s="91">
        <v>14.273999999999999</v>
      </c>
      <c r="F17" s="91">
        <v>16.594000000000001</v>
      </c>
      <c r="G17" s="91">
        <v>17.510999999999999</v>
      </c>
      <c r="H17" s="91">
        <v>0</v>
      </c>
      <c r="I17" s="91">
        <v>0</v>
      </c>
      <c r="J17" s="91">
        <v>0</v>
      </c>
      <c r="K17" s="91">
        <v>0</v>
      </c>
      <c r="L17" s="90">
        <v>0</v>
      </c>
      <c r="M17" s="90">
        <v>0</v>
      </c>
      <c r="N17" s="91">
        <v>16.594000000000001</v>
      </c>
      <c r="O17" s="91">
        <v>17.510999999999999</v>
      </c>
      <c r="P17" s="90">
        <v>145761.696</v>
      </c>
      <c r="Q17" s="90">
        <v>153396.35999999999</v>
      </c>
      <c r="R17" s="88">
        <v>14.064</v>
      </c>
      <c r="S17" s="90">
        <v>123538.17600000001</v>
      </c>
      <c r="T17" s="90">
        <v>123200.64</v>
      </c>
      <c r="U17" s="91">
        <v>2.5300000000000011</v>
      </c>
      <c r="V17" s="91">
        <v>3.4469999999999992</v>
      </c>
      <c r="W17" s="91">
        <v>2.5300000000000011</v>
      </c>
      <c r="X17" s="91">
        <v>3.4469999999999992</v>
      </c>
      <c r="Y17" s="91">
        <v>0</v>
      </c>
      <c r="Z17" s="91">
        <v>0</v>
      </c>
      <c r="AA17" s="88">
        <v>0</v>
      </c>
      <c r="AB17" s="88">
        <v>0</v>
      </c>
      <c r="AC17" s="91">
        <v>2.5300000000000011</v>
      </c>
      <c r="AD17" s="91">
        <v>3.4469999999999992</v>
      </c>
      <c r="AE17" s="92">
        <v>1.9911E-3</v>
      </c>
      <c r="AF17" s="92">
        <v>1.9911E-3</v>
      </c>
      <c r="AG17" s="92">
        <v>0</v>
      </c>
      <c r="AH17" s="92">
        <v>1.9911E-3</v>
      </c>
      <c r="AI17" s="92">
        <v>1.9911E-3</v>
      </c>
      <c r="AJ17" s="92">
        <v>1.9911E-3</v>
      </c>
      <c r="AK17" s="92">
        <v>0.84752718160178375</v>
      </c>
      <c r="AL17" s="92">
        <v>0.80314465487407916</v>
      </c>
      <c r="AM17" s="92">
        <v>1.1798919226393629</v>
      </c>
      <c r="AN17" s="92">
        <v>1.24509385665529</v>
      </c>
      <c r="AO17" s="92">
        <v>0</v>
      </c>
      <c r="AP17" s="92">
        <v>0</v>
      </c>
      <c r="AQ17" s="88">
        <v>1</v>
      </c>
      <c r="AR17" s="88">
        <v>3</v>
      </c>
      <c r="AS17" s="91">
        <v>0</v>
      </c>
      <c r="AT17" s="91">
        <v>0</v>
      </c>
      <c r="AU17" s="91">
        <v>2.5299999999999998</v>
      </c>
      <c r="AV17" s="91">
        <v>3.4470000000000001</v>
      </c>
      <c r="AW17" s="91">
        <v>0</v>
      </c>
      <c r="AX17" s="91">
        <v>0</v>
      </c>
      <c r="AY17" s="91">
        <v>0</v>
      </c>
      <c r="AZ17" s="91">
        <v>-8.8817841970012523E-16</v>
      </c>
      <c r="BA17" s="91">
        <v>0</v>
      </c>
      <c r="BB17" s="91">
        <v>-8.8817841970012523E-16</v>
      </c>
      <c r="BC17" s="91">
        <v>0</v>
      </c>
      <c r="BD17" s="91">
        <v>0</v>
      </c>
      <c r="BE17" s="91">
        <v>16.594000000000001</v>
      </c>
      <c r="BF17" s="91">
        <v>17.510999999999999</v>
      </c>
      <c r="BG17" s="88">
        <v>0</v>
      </c>
      <c r="BH17"/>
      <c r="BI17"/>
      <c r="BJ17"/>
      <c r="BK17"/>
      <c r="BL17"/>
      <c r="BM17"/>
      <c r="BN17"/>
      <c r="BO17"/>
      <c r="BP17"/>
      <c r="BQ17"/>
    </row>
    <row r="18" spans="1:69">
      <c r="A18" s="88">
        <v>10065</v>
      </c>
      <c r="B18" s="88" t="s">
        <v>22</v>
      </c>
      <c r="C18" s="88">
        <v>1</v>
      </c>
      <c r="D18" s="88">
        <v>0</v>
      </c>
      <c r="E18" s="91">
        <v>2.4129999999999998</v>
      </c>
      <c r="F18" s="91">
        <v>4.508</v>
      </c>
      <c r="G18" s="91">
        <v>4.5270000000000001</v>
      </c>
      <c r="H18" s="91">
        <v>0</v>
      </c>
      <c r="I18" s="91">
        <v>0</v>
      </c>
      <c r="J18" s="91">
        <v>0</v>
      </c>
      <c r="K18" s="91">
        <v>0</v>
      </c>
      <c r="L18" s="90">
        <v>0</v>
      </c>
      <c r="M18" s="90">
        <v>0</v>
      </c>
      <c r="N18" s="91">
        <v>4.508</v>
      </c>
      <c r="O18" s="91">
        <v>4.5270000000000001</v>
      </c>
      <c r="P18" s="90">
        <v>39598.271999999997</v>
      </c>
      <c r="Q18" s="90">
        <v>39656.520000000004</v>
      </c>
      <c r="R18" s="88">
        <v>2.3780000000000001</v>
      </c>
      <c r="S18" s="90">
        <v>20888.352000000003</v>
      </c>
      <c r="T18" s="90">
        <v>20831.280000000002</v>
      </c>
      <c r="U18" s="91">
        <v>2.13</v>
      </c>
      <c r="V18" s="91">
        <v>2.149</v>
      </c>
      <c r="W18" s="91">
        <v>2.13</v>
      </c>
      <c r="X18" s="91">
        <v>2.149</v>
      </c>
      <c r="Y18" s="91">
        <v>0</v>
      </c>
      <c r="Z18" s="91">
        <v>0</v>
      </c>
      <c r="AA18" s="88">
        <v>0</v>
      </c>
      <c r="AB18" s="88">
        <v>0</v>
      </c>
      <c r="AC18" s="91">
        <v>2.13</v>
      </c>
      <c r="AD18" s="91">
        <v>2.149</v>
      </c>
      <c r="AE18" s="92">
        <v>3.367E-4</v>
      </c>
      <c r="AF18" s="92">
        <v>3.367E-4</v>
      </c>
      <c r="AG18" s="92">
        <v>0</v>
      </c>
      <c r="AH18" s="92">
        <v>3.367E-4</v>
      </c>
      <c r="AI18" s="92">
        <v>3.367E-4</v>
      </c>
      <c r="AJ18" s="92">
        <v>3.367E-4</v>
      </c>
      <c r="AK18" s="92">
        <v>0.5275587833850931</v>
      </c>
      <c r="AL18" s="92">
        <v>0.52534459807819744</v>
      </c>
      <c r="AM18" s="92">
        <v>1.8957106812447433</v>
      </c>
      <c r="AN18" s="92">
        <v>1.9037005887300251</v>
      </c>
      <c r="AO18" s="92">
        <v>7.5828427249789748E-2</v>
      </c>
      <c r="AP18" s="92">
        <v>7.6148023549201013E-2</v>
      </c>
      <c r="AQ18" s="88">
        <v>1</v>
      </c>
      <c r="AR18" s="88">
        <v>1</v>
      </c>
      <c r="AS18" s="91">
        <v>0</v>
      </c>
      <c r="AT18" s="91">
        <v>0</v>
      </c>
      <c r="AU18" s="91">
        <v>2.13</v>
      </c>
      <c r="AV18" s="91">
        <v>2.149</v>
      </c>
      <c r="AW18" s="91">
        <v>0</v>
      </c>
      <c r="AX18" s="91">
        <v>0</v>
      </c>
      <c r="AY18" s="91">
        <v>0</v>
      </c>
      <c r="AZ18" s="91">
        <v>0</v>
      </c>
      <c r="BA18" s="91">
        <v>0</v>
      </c>
      <c r="BB18" s="91">
        <v>0</v>
      </c>
      <c r="BC18" s="91">
        <v>0</v>
      </c>
      <c r="BD18" s="91">
        <v>0</v>
      </c>
      <c r="BE18" s="91">
        <v>4.508</v>
      </c>
      <c r="BF18" s="91">
        <v>4.5270000000000001</v>
      </c>
      <c r="BG18" s="88">
        <v>0</v>
      </c>
      <c r="BH18"/>
      <c r="BI18"/>
      <c r="BJ18"/>
      <c r="BK18"/>
      <c r="BL18"/>
      <c r="BM18"/>
      <c r="BN18"/>
      <c r="BO18"/>
      <c r="BP18"/>
      <c r="BQ18"/>
    </row>
    <row r="19" spans="1:69">
      <c r="A19" s="88">
        <v>10066</v>
      </c>
      <c r="B19" s="88" t="s">
        <v>23</v>
      </c>
      <c r="C19" s="88">
        <v>1</v>
      </c>
      <c r="D19" s="88">
        <v>0</v>
      </c>
      <c r="E19" s="91">
        <v>24.734999999999999</v>
      </c>
      <c r="F19" s="91">
        <v>32.284999999999997</v>
      </c>
      <c r="G19" s="91">
        <v>32.43</v>
      </c>
      <c r="H19" s="91">
        <v>0</v>
      </c>
      <c r="I19" s="91">
        <v>0</v>
      </c>
      <c r="J19" s="91">
        <v>7.109</v>
      </c>
      <c r="K19" s="91">
        <v>7.1139999999999999</v>
      </c>
      <c r="L19" s="90">
        <v>62445.455999999998</v>
      </c>
      <c r="M19" s="90">
        <v>62318.64</v>
      </c>
      <c r="N19" s="91">
        <v>25.175999999999998</v>
      </c>
      <c r="O19" s="91">
        <v>25.315999999999999</v>
      </c>
      <c r="P19" s="90">
        <v>221145.984</v>
      </c>
      <c r="Q19" s="90">
        <v>221768.16</v>
      </c>
      <c r="R19" s="88">
        <v>24.370999999999999</v>
      </c>
      <c r="S19" s="90">
        <v>214074.864</v>
      </c>
      <c r="T19" s="90">
        <v>213489.96</v>
      </c>
      <c r="U19" s="91">
        <v>0.80500000000000005</v>
      </c>
      <c r="V19" s="91">
        <v>0.94499999999999995</v>
      </c>
      <c r="W19" s="91">
        <v>0</v>
      </c>
      <c r="X19" s="91">
        <v>0</v>
      </c>
      <c r="Y19" s="91">
        <v>0.80500000000000005</v>
      </c>
      <c r="Z19" s="91">
        <v>0.94499999999999995</v>
      </c>
      <c r="AA19" s="88">
        <v>0</v>
      </c>
      <c r="AB19" s="88">
        <v>0</v>
      </c>
      <c r="AC19" s="91">
        <v>0</v>
      </c>
      <c r="AD19" s="91">
        <v>0</v>
      </c>
      <c r="AE19" s="92">
        <v>3.4502999999999999E-3</v>
      </c>
      <c r="AF19" s="92">
        <v>3.4502999999999999E-3</v>
      </c>
      <c r="AG19" s="92">
        <v>0</v>
      </c>
      <c r="AH19" s="92">
        <v>3.4502999999999999E-3</v>
      </c>
      <c r="AI19" s="92">
        <v>3.4502999999999999E-3</v>
      </c>
      <c r="AJ19" s="92">
        <v>3.4502999999999999E-3</v>
      </c>
      <c r="AK19" s="92">
        <v>0.97505740311290079</v>
      </c>
      <c r="AL19" s="92">
        <v>0.97085193522972557</v>
      </c>
      <c r="AM19" s="92">
        <v>1.0330310615075293</v>
      </c>
      <c r="AN19" s="92">
        <v>1.0387755939436216</v>
      </c>
      <c r="AO19" s="92">
        <v>0</v>
      </c>
      <c r="AP19" s="92">
        <v>0</v>
      </c>
      <c r="AQ19" s="88">
        <v>3</v>
      </c>
      <c r="AR19" s="88">
        <v>3</v>
      </c>
      <c r="AS19" s="91">
        <v>20</v>
      </c>
      <c r="AT19" s="91">
        <v>0</v>
      </c>
      <c r="AU19" s="91">
        <v>0</v>
      </c>
      <c r="AV19" s="91">
        <v>0</v>
      </c>
      <c r="AW19" s="91">
        <v>0</v>
      </c>
      <c r="AX19" s="91">
        <v>0</v>
      </c>
      <c r="AY19" s="91">
        <v>0</v>
      </c>
      <c r="AZ19" s="91">
        <v>0</v>
      </c>
      <c r="BA19" s="91">
        <v>0</v>
      </c>
      <c r="BB19" s="91">
        <v>0</v>
      </c>
      <c r="BC19" s="91">
        <v>0</v>
      </c>
      <c r="BD19" s="91">
        <v>0</v>
      </c>
      <c r="BE19" s="91">
        <v>25.175999999999998</v>
      </c>
      <c r="BF19" s="91">
        <v>25.315999999999999</v>
      </c>
      <c r="BG19" s="88">
        <v>1</v>
      </c>
      <c r="BH19"/>
      <c r="BI19"/>
      <c r="BJ19"/>
      <c r="BK19"/>
      <c r="BL19"/>
      <c r="BM19"/>
      <c r="BN19"/>
      <c r="BO19"/>
      <c r="BP19"/>
      <c r="BQ19"/>
    </row>
    <row r="20" spans="1:69">
      <c r="A20" s="88">
        <v>10067</v>
      </c>
      <c r="B20" s="88" t="s">
        <v>24</v>
      </c>
      <c r="C20" s="88">
        <v>1</v>
      </c>
      <c r="D20" s="88">
        <v>0</v>
      </c>
      <c r="E20" s="91">
        <v>16.053000000000001</v>
      </c>
      <c r="F20" s="91">
        <v>17.448</v>
      </c>
      <c r="G20" s="91">
        <v>17.911000000000001</v>
      </c>
      <c r="H20" s="91">
        <v>0</v>
      </c>
      <c r="I20" s="91">
        <v>0</v>
      </c>
      <c r="J20" s="91">
        <v>0</v>
      </c>
      <c r="K20" s="91">
        <v>0</v>
      </c>
      <c r="L20" s="90">
        <v>0</v>
      </c>
      <c r="M20" s="90">
        <v>0</v>
      </c>
      <c r="N20" s="91">
        <v>17.448</v>
      </c>
      <c r="O20" s="91">
        <v>17.911000000000001</v>
      </c>
      <c r="P20" s="90">
        <v>153263.23199999999</v>
      </c>
      <c r="Q20" s="90">
        <v>156900.36000000002</v>
      </c>
      <c r="R20" s="88">
        <v>15.817</v>
      </c>
      <c r="S20" s="90">
        <v>138936.52799999999</v>
      </c>
      <c r="T20" s="90">
        <v>138556.92000000001</v>
      </c>
      <c r="U20" s="91">
        <v>1.6310000000000002</v>
      </c>
      <c r="V20" s="91">
        <v>2.0940000000000012</v>
      </c>
      <c r="W20" s="91">
        <v>1.6310000000000002</v>
      </c>
      <c r="X20" s="91">
        <v>2.0940000000000012</v>
      </c>
      <c r="Y20" s="91">
        <v>0</v>
      </c>
      <c r="Z20" s="91">
        <v>0</v>
      </c>
      <c r="AA20" s="88">
        <v>0</v>
      </c>
      <c r="AB20" s="88">
        <v>0</v>
      </c>
      <c r="AC20" s="91">
        <v>1.6310000000000002</v>
      </c>
      <c r="AD20" s="91">
        <v>2.0940000000000012</v>
      </c>
      <c r="AE20" s="92">
        <v>2.2393000000000001E-3</v>
      </c>
      <c r="AF20" s="92">
        <v>2.2393000000000001E-3</v>
      </c>
      <c r="AG20" s="92">
        <v>0</v>
      </c>
      <c r="AH20" s="92">
        <v>2.2393000000000001E-3</v>
      </c>
      <c r="AI20" s="92">
        <v>2.2393000000000001E-3</v>
      </c>
      <c r="AJ20" s="92">
        <v>2.2393000000000001E-3</v>
      </c>
      <c r="AK20" s="92">
        <v>0.90652185032668509</v>
      </c>
      <c r="AL20" s="92">
        <v>0.88308822759756567</v>
      </c>
      <c r="AM20" s="92">
        <v>1.1031168995384713</v>
      </c>
      <c r="AN20" s="92">
        <v>1.1323892014920656</v>
      </c>
      <c r="AO20" s="92">
        <v>0</v>
      </c>
      <c r="AP20" s="92">
        <v>0</v>
      </c>
      <c r="AQ20" s="88">
        <v>3</v>
      </c>
      <c r="AR20" s="88">
        <v>3</v>
      </c>
      <c r="AS20" s="91">
        <v>0</v>
      </c>
      <c r="AT20" s="91">
        <v>0</v>
      </c>
      <c r="AU20" s="91">
        <v>1.631</v>
      </c>
      <c r="AV20" s="91">
        <v>2.0939999999999999</v>
      </c>
      <c r="AW20" s="91">
        <v>0</v>
      </c>
      <c r="AX20" s="91">
        <v>0</v>
      </c>
      <c r="AY20" s="91">
        <v>0</v>
      </c>
      <c r="AZ20" s="91">
        <v>0</v>
      </c>
      <c r="BA20" s="91">
        <v>0</v>
      </c>
      <c r="BB20" s="91">
        <v>0</v>
      </c>
      <c r="BC20" s="91">
        <v>0</v>
      </c>
      <c r="BD20" s="91">
        <v>0</v>
      </c>
      <c r="BE20" s="91">
        <v>17.448</v>
      </c>
      <c r="BF20" s="91">
        <v>17.911000000000001</v>
      </c>
      <c r="BG20" s="88">
        <v>1</v>
      </c>
      <c r="BH20"/>
      <c r="BI20"/>
      <c r="BJ20"/>
      <c r="BK20"/>
      <c r="BL20"/>
      <c r="BM20"/>
      <c r="BN20"/>
      <c r="BO20"/>
      <c r="BP20"/>
      <c r="BQ20"/>
    </row>
    <row r="21" spans="1:69">
      <c r="A21" s="88">
        <v>10068</v>
      </c>
      <c r="B21" s="88" t="s">
        <v>25</v>
      </c>
      <c r="C21" s="88">
        <v>1</v>
      </c>
      <c r="D21" s="88">
        <v>0</v>
      </c>
      <c r="E21" s="91">
        <v>2.8109999999999999</v>
      </c>
      <c r="F21" s="91">
        <v>2.5219999999999998</v>
      </c>
      <c r="G21" s="91">
        <v>2.52</v>
      </c>
      <c r="H21" s="91">
        <v>0</v>
      </c>
      <c r="I21" s="91">
        <v>0</v>
      </c>
      <c r="J21" s="91">
        <v>0</v>
      </c>
      <c r="K21" s="91">
        <v>0</v>
      </c>
      <c r="L21" s="90">
        <v>0</v>
      </c>
      <c r="M21" s="90">
        <v>0</v>
      </c>
      <c r="N21" s="91">
        <v>2.5219999999999998</v>
      </c>
      <c r="O21" s="91">
        <v>2.52</v>
      </c>
      <c r="P21" s="90">
        <v>22153.248</v>
      </c>
      <c r="Q21" s="90">
        <v>22075.200000000001</v>
      </c>
      <c r="R21" s="88">
        <v>2.77</v>
      </c>
      <c r="S21" s="90">
        <v>24331.68</v>
      </c>
      <c r="T21" s="90">
        <v>24265.200000000001</v>
      </c>
      <c r="U21" s="91">
        <v>0</v>
      </c>
      <c r="V21" s="91">
        <v>0</v>
      </c>
      <c r="W21" s="91">
        <v>0</v>
      </c>
      <c r="X21" s="91">
        <v>0</v>
      </c>
      <c r="Y21" s="91">
        <v>0</v>
      </c>
      <c r="Z21" s="91">
        <v>0</v>
      </c>
      <c r="AA21" s="88">
        <v>0</v>
      </c>
      <c r="AB21" s="88">
        <v>0</v>
      </c>
      <c r="AC21" s="91">
        <v>0</v>
      </c>
      <c r="AD21" s="91">
        <v>0</v>
      </c>
      <c r="AE21" s="92">
        <v>3.5710000000000001E-4</v>
      </c>
      <c r="AF21" s="92">
        <v>3.568E-4</v>
      </c>
      <c r="AG21" s="92">
        <v>0</v>
      </c>
      <c r="AH21" s="92">
        <v>3.5710000000000001E-4</v>
      </c>
      <c r="AI21" s="92">
        <v>3.568E-4</v>
      </c>
      <c r="AJ21" s="92">
        <v>3.5694999999999998E-4</v>
      </c>
      <c r="AK21" s="92">
        <v>1</v>
      </c>
      <c r="AL21" s="92">
        <v>1</v>
      </c>
      <c r="AM21" s="92">
        <v>1</v>
      </c>
      <c r="AN21" s="92">
        <v>1</v>
      </c>
      <c r="AO21" s="92">
        <v>0</v>
      </c>
      <c r="AP21" s="92">
        <v>0</v>
      </c>
      <c r="AQ21" s="88">
        <v>1</v>
      </c>
      <c r="AR21" s="88">
        <v>1</v>
      </c>
      <c r="AS21" s="91">
        <v>0</v>
      </c>
      <c r="AT21" s="91">
        <v>0</v>
      </c>
      <c r="AU21" s="91">
        <v>0</v>
      </c>
      <c r="AV21" s="91">
        <v>0</v>
      </c>
      <c r="AW21" s="91">
        <v>0</v>
      </c>
      <c r="AX21" s="91">
        <v>0</v>
      </c>
      <c r="AY21" s="91">
        <v>0</v>
      </c>
      <c r="AZ21" s="91">
        <v>0</v>
      </c>
      <c r="BA21" s="91">
        <v>0</v>
      </c>
      <c r="BB21" s="91">
        <v>0</v>
      </c>
      <c r="BC21" s="91">
        <v>0</v>
      </c>
      <c r="BD21" s="91">
        <v>0</v>
      </c>
      <c r="BE21" s="91">
        <v>2.5219999999999998</v>
      </c>
      <c r="BF21" s="91">
        <v>2.52</v>
      </c>
      <c r="BG21" s="88">
        <v>0</v>
      </c>
      <c r="BH21"/>
      <c r="BI21"/>
      <c r="BJ21"/>
      <c r="BK21"/>
      <c r="BL21"/>
      <c r="BM21"/>
      <c r="BN21"/>
      <c r="BO21"/>
      <c r="BP21"/>
      <c r="BQ21"/>
    </row>
    <row r="22" spans="1:69">
      <c r="A22" s="88">
        <v>10070</v>
      </c>
      <c r="B22" s="88" t="s">
        <v>26</v>
      </c>
      <c r="C22" s="88">
        <v>1</v>
      </c>
      <c r="D22" s="88">
        <v>0</v>
      </c>
      <c r="E22" s="91">
        <v>0.36399999999999999</v>
      </c>
      <c r="F22" s="91">
        <v>0.38900000000000001</v>
      </c>
      <c r="G22" s="91">
        <v>0.38900000000000001</v>
      </c>
      <c r="H22" s="91">
        <v>0</v>
      </c>
      <c r="I22" s="91">
        <v>0</v>
      </c>
      <c r="J22" s="91">
        <v>0</v>
      </c>
      <c r="K22" s="91">
        <v>0</v>
      </c>
      <c r="L22" s="90">
        <v>0</v>
      </c>
      <c r="M22" s="90">
        <v>0</v>
      </c>
      <c r="N22" s="91">
        <v>0.38900000000000001</v>
      </c>
      <c r="O22" s="91">
        <v>0.38900000000000001</v>
      </c>
      <c r="P22" s="90">
        <v>3416.9760000000001</v>
      </c>
      <c r="Q22" s="90">
        <v>3407.6400000000003</v>
      </c>
      <c r="R22" s="88">
        <v>0.35899999999999999</v>
      </c>
      <c r="S22" s="90">
        <v>3153.4559999999997</v>
      </c>
      <c r="T22" s="90">
        <v>3144.8399999999997</v>
      </c>
      <c r="U22" s="91">
        <v>0.03</v>
      </c>
      <c r="V22" s="91">
        <v>0.03</v>
      </c>
      <c r="W22" s="91">
        <v>0</v>
      </c>
      <c r="X22" s="91">
        <v>0</v>
      </c>
      <c r="Y22" s="91">
        <v>0.03</v>
      </c>
      <c r="Z22" s="91">
        <v>0.03</v>
      </c>
      <c r="AA22" s="88">
        <v>0</v>
      </c>
      <c r="AB22" s="88">
        <v>0</v>
      </c>
      <c r="AC22" s="91">
        <v>0</v>
      </c>
      <c r="AD22" s="91">
        <v>0</v>
      </c>
      <c r="AE22" s="92">
        <v>5.0800000000000002E-5</v>
      </c>
      <c r="AF22" s="92">
        <v>5.0800000000000002E-5</v>
      </c>
      <c r="AG22" s="92">
        <v>0</v>
      </c>
      <c r="AH22" s="92">
        <v>5.0800000000000002E-5</v>
      </c>
      <c r="AI22" s="92">
        <v>5.0800000000000002E-5</v>
      </c>
      <c r="AJ22" s="92">
        <v>5.0800000000000002E-5</v>
      </c>
      <c r="AK22" s="92">
        <v>0.92241373264781479</v>
      </c>
      <c r="AL22" s="92">
        <v>0.92241373264781479</v>
      </c>
      <c r="AM22" s="92">
        <v>1.0835654596100279</v>
      </c>
      <c r="AN22" s="92">
        <v>1.0835654596100279</v>
      </c>
      <c r="AO22" s="92">
        <v>0</v>
      </c>
      <c r="AP22" s="92">
        <v>0</v>
      </c>
      <c r="AQ22" s="88">
        <v>1</v>
      </c>
      <c r="AR22" s="88">
        <v>1</v>
      </c>
      <c r="AS22" s="91">
        <v>0</v>
      </c>
      <c r="AT22" s="91">
        <v>0</v>
      </c>
      <c r="AU22" s="91">
        <v>0</v>
      </c>
      <c r="AV22" s="91">
        <v>0</v>
      </c>
      <c r="AW22" s="91">
        <v>0</v>
      </c>
      <c r="AX22" s="91">
        <v>0</v>
      </c>
      <c r="AY22" s="91">
        <v>0</v>
      </c>
      <c r="AZ22" s="91">
        <v>0</v>
      </c>
      <c r="BA22" s="91">
        <v>0</v>
      </c>
      <c r="BB22" s="91">
        <v>0</v>
      </c>
      <c r="BC22" s="91">
        <v>0</v>
      </c>
      <c r="BD22" s="91">
        <v>0</v>
      </c>
      <c r="BE22" s="91">
        <v>0.38900000000000001</v>
      </c>
      <c r="BF22" s="91">
        <v>0.38900000000000001</v>
      </c>
      <c r="BG22" s="88">
        <v>0</v>
      </c>
      <c r="BH22"/>
      <c r="BI22"/>
      <c r="BJ22"/>
      <c r="BK22"/>
      <c r="BL22"/>
      <c r="BM22"/>
      <c r="BN22"/>
      <c r="BO22"/>
      <c r="BP22"/>
      <c r="BQ22"/>
    </row>
    <row r="23" spans="1:69">
      <c r="A23" s="88">
        <v>10071</v>
      </c>
      <c r="B23" s="88" t="s">
        <v>27</v>
      </c>
      <c r="C23" s="88">
        <v>1</v>
      </c>
      <c r="D23" s="88">
        <v>0</v>
      </c>
      <c r="E23" s="91">
        <v>1.9430000000000001</v>
      </c>
      <c r="F23" s="91">
        <v>1.865</v>
      </c>
      <c r="G23" s="91">
        <v>1.8640000000000001</v>
      </c>
      <c r="H23" s="91">
        <v>0</v>
      </c>
      <c r="I23" s="91">
        <v>0</v>
      </c>
      <c r="J23" s="91">
        <v>0</v>
      </c>
      <c r="K23" s="91">
        <v>0</v>
      </c>
      <c r="L23" s="90">
        <v>0</v>
      </c>
      <c r="M23" s="90">
        <v>0</v>
      </c>
      <c r="N23" s="91">
        <v>1.865</v>
      </c>
      <c r="O23" s="91">
        <v>1.8640000000000001</v>
      </c>
      <c r="P23" s="90">
        <v>16382.16</v>
      </c>
      <c r="Q23" s="90">
        <v>16328.640000000001</v>
      </c>
      <c r="R23" s="88">
        <v>1.9139999999999999</v>
      </c>
      <c r="S23" s="90">
        <v>16812.576000000001</v>
      </c>
      <c r="T23" s="90">
        <v>16766.64</v>
      </c>
      <c r="U23" s="91">
        <v>0</v>
      </c>
      <c r="V23" s="91">
        <v>0</v>
      </c>
      <c r="W23" s="91">
        <v>0</v>
      </c>
      <c r="X23" s="91">
        <v>0</v>
      </c>
      <c r="Y23" s="91">
        <v>0</v>
      </c>
      <c r="Z23" s="91">
        <v>0</v>
      </c>
      <c r="AA23" s="88">
        <v>0</v>
      </c>
      <c r="AB23" s="88">
        <v>0</v>
      </c>
      <c r="AC23" s="91">
        <v>0</v>
      </c>
      <c r="AD23" s="91">
        <v>0</v>
      </c>
      <c r="AE23" s="92">
        <v>2.6400000000000002E-4</v>
      </c>
      <c r="AF23" s="92">
        <v>2.6390000000000002E-4</v>
      </c>
      <c r="AG23" s="92">
        <v>0</v>
      </c>
      <c r="AH23" s="92">
        <v>2.6400000000000002E-4</v>
      </c>
      <c r="AI23" s="92">
        <v>2.6390000000000002E-4</v>
      </c>
      <c r="AJ23" s="92">
        <v>2.6394999999999999E-4</v>
      </c>
      <c r="AK23" s="92">
        <v>0.99985434852546928</v>
      </c>
      <c r="AL23" s="92">
        <v>1</v>
      </c>
      <c r="AM23" s="92">
        <v>1</v>
      </c>
      <c r="AN23" s="92">
        <v>1</v>
      </c>
      <c r="AO23" s="92">
        <v>0</v>
      </c>
      <c r="AP23" s="92">
        <v>0</v>
      </c>
      <c r="AQ23" s="88">
        <v>1</v>
      </c>
      <c r="AR23" s="88">
        <v>1</v>
      </c>
      <c r="AS23" s="91">
        <v>0</v>
      </c>
      <c r="AT23" s="91">
        <v>0</v>
      </c>
      <c r="AU23" s="91">
        <v>0</v>
      </c>
      <c r="AV23" s="91">
        <v>0</v>
      </c>
      <c r="AW23" s="91">
        <v>0</v>
      </c>
      <c r="AX23" s="91">
        <v>0</v>
      </c>
      <c r="AY23" s="91">
        <v>0</v>
      </c>
      <c r="AZ23" s="91">
        <v>0</v>
      </c>
      <c r="BA23" s="91">
        <v>0</v>
      </c>
      <c r="BB23" s="91">
        <v>0</v>
      </c>
      <c r="BC23" s="91">
        <v>0</v>
      </c>
      <c r="BD23" s="91">
        <v>0</v>
      </c>
      <c r="BE23" s="91">
        <v>1.865</v>
      </c>
      <c r="BF23" s="91">
        <v>1.8640000000000001</v>
      </c>
      <c r="BG23" s="88">
        <v>0</v>
      </c>
      <c r="BH23"/>
      <c r="BI23"/>
      <c r="BJ23"/>
      <c r="BK23"/>
      <c r="BL23"/>
      <c r="BM23"/>
      <c r="BN23"/>
      <c r="BO23"/>
      <c r="BP23"/>
      <c r="BQ23"/>
    </row>
    <row r="24" spans="1:69">
      <c r="A24" s="95">
        <v>10072</v>
      </c>
      <c r="B24" s="95" t="s">
        <v>28</v>
      </c>
      <c r="C24" s="95">
        <v>1</v>
      </c>
      <c r="D24" s="95">
        <v>0</v>
      </c>
      <c r="E24" s="91">
        <v>24.34</v>
      </c>
      <c r="F24" s="99">
        <v>25.509</v>
      </c>
      <c r="G24" s="99">
        <v>25.696999999999999</v>
      </c>
      <c r="H24" s="99">
        <v>0</v>
      </c>
      <c r="I24" s="99">
        <v>0</v>
      </c>
      <c r="J24" s="99">
        <v>0</v>
      </c>
      <c r="K24" s="99">
        <v>0</v>
      </c>
      <c r="L24" s="97">
        <v>0</v>
      </c>
      <c r="M24" s="97">
        <v>0</v>
      </c>
      <c r="N24" s="99">
        <v>25.509</v>
      </c>
      <c r="O24" s="99">
        <v>25.696999999999999</v>
      </c>
      <c r="P24" s="97">
        <v>224071.05600000001</v>
      </c>
      <c r="Q24" s="97">
        <v>225105.72</v>
      </c>
      <c r="R24" s="95">
        <v>23.981999999999999</v>
      </c>
      <c r="S24" s="97">
        <v>210657.88800000001</v>
      </c>
      <c r="T24" s="97">
        <v>210082.32</v>
      </c>
      <c r="U24" s="99">
        <v>1.5269999999999999</v>
      </c>
      <c r="V24" s="99">
        <v>1.7150000000000001</v>
      </c>
      <c r="W24" s="91">
        <v>1.5269999999999999</v>
      </c>
      <c r="X24" s="91">
        <v>1.7150000000000001</v>
      </c>
      <c r="Y24" s="99">
        <v>0</v>
      </c>
      <c r="Z24" s="99">
        <v>0</v>
      </c>
      <c r="AA24" s="95">
        <v>0</v>
      </c>
      <c r="AB24" s="95">
        <v>0</v>
      </c>
      <c r="AC24" s="99">
        <v>1.5269999999999999</v>
      </c>
      <c r="AD24" s="99">
        <v>1.7150000000000001</v>
      </c>
      <c r="AE24" s="100">
        <v>3.3953E-3</v>
      </c>
      <c r="AF24" s="100">
        <v>3.3953E-3</v>
      </c>
      <c r="AG24" s="92">
        <v>0</v>
      </c>
      <c r="AH24" s="100">
        <v>3.3953E-3</v>
      </c>
      <c r="AI24" s="100">
        <v>3.3953E-3</v>
      </c>
      <c r="AJ24" s="100">
        <v>3.3953E-3</v>
      </c>
      <c r="AK24" s="100">
        <v>0.94014830783252967</v>
      </c>
      <c r="AL24" s="100">
        <v>0.9332701554461611</v>
      </c>
      <c r="AM24" s="100">
        <v>1.0636727545659246</v>
      </c>
      <c r="AN24" s="100">
        <v>1.0715119673088149</v>
      </c>
      <c r="AO24" s="100">
        <v>0</v>
      </c>
      <c r="AP24" s="100">
        <v>0</v>
      </c>
      <c r="AQ24" s="95">
        <v>1</v>
      </c>
      <c r="AR24" s="95">
        <v>3</v>
      </c>
      <c r="AS24" s="99">
        <v>0</v>
      </c>
      <c r="AT24" s="99">
        <v>0</v>
      </c>
      <c r="AU24" s="91">
        <v>1.5269999999999999</v>
      </c>
      <c r="AV24" s="91">
        <v>1.7150000000000001</v>
      </c>
      <c r="AW24" s="91">
        <v>0</v>
      </c>
      <c r="AX24" s="91">
        <v>0</v>
      </c>
      <c r="AY24" s="91">
        <v>0</v>
      </c>
      <c r="AZ24" s="91">
        <v>0</v>
      </c>
      <c r="BA24" s="91">
        <v>0</v>
      </c>
      <c r="BB24" s="91">
        <v>0</v>
      </c>
      <c r="BC24" s="91">
        <v>0</v>
      </c>
      <c r="BD24" s="91">
        <v>0</v>
      </c>
      <c r="BE24" s="99">
        <v>25.509</v>
      </c>
      <c r="BF24" s="99">
        <v>25.696999999999999</v>
      </c>
      <c r="BG24" s="88">
        <v>1</v>
      </c>
      <c r="BH24"/>
      <c r="BI24"/>
      <c r="BJ24"/>
      <c r="BK24"/>
      <c r="BL24"/>
      <c r="BM24"/>
      <c r="BN24"/>
      <c r="BO24"/>
      <c r="BP24"/>
      <c r="BQ24"/>
    </row>
    <row r="25" spans="1:69">
      <c r="A25" s="88">
        <v>10074</v>
      </c>
      <c r="B25" s="88" t="s">
        <v>29</v>
      </c>
      <c r="C25" s="88">
        <v>1</v>
      </c>
      <c r="D25" s="88">
        <v>0</v>
      </c>
      <c r="E25" s="91">
        <v>27.08</v>
      </c>
      <c r="F25" s="91">
        <v>32.273000000000003</v>
      </c>
      <c r="G25" s="91">
        <v>32.518999999999998</v>
      </c>
      <c r="H25" s="91">
        <v>0</v>
      </c>
      <c r="I25" s="91">
        <v>0</v>
      </c>
      <c r="J25" s="91">
        <v>2.9430000000000001</v>
      </c>
      <c r="K25" s="91">
        <v>2.94</v>
      </c>
      <c r="L25" s="90">
        <v>25851.312000000002</v>
      </c>
      <c r="M25" s="90">
        <v>25754.399999999998</v>
      </c>
      <c r="N25" s="91">
        <v>29.33</v>
      </c>
      <c r="O25" s="91">
        <v>29.579000000000001</v>
      </c>
      <c r="P25" s="90">
        <v>257634.71999999997</v>
      </c>
      <c r="Q25" s="90">
        <v>259112.04</v>
      </c>
      <c r="R25" s="88">
        <v>26.681999999999999</v>
      </c>
      <c r="S25" s="90">
        <v>234374.68799999999</v>
      </c>
      <c r="T25" s="90">
        <v>233734.31999999998</v>
      </c>
      <c r="U25" s="91">
        <v>2.6480000000000001</v>
      </c>
      <c r="V25" s="91">
        <v>2.8969999999999998</v>
      </c>
      <c r="W25" s="91">
        <v>2.6480000000000001</v>
      </c>
      <c r="X25" s="91">
        <v>2.8969999999999998</v>
      </c>
      <c r="Y25" s="91">
        <v>0</v>
      </c>
      <c r="Z25" s="91">
        <v>0</v>
      </c>
      <c r="AA25" s="88">
        <v>0</v>
      </c>
      <c r="AB25" s="88">
        <v>0</v>
      </c>
      <c r="AC25" s="91">
        <v>2.6480000000000001</v>
      </c>
      <c r="AD25" s="91">
        <v>2.8969999999999998</v>
      </c>
      <c r="AE25" s="92">
        <v>3.7775E-3</v>
      </c>
      <c r="AF25" s="92">
        <v>3.7775E-3</v>
      </c>
      <c r="AG25" s="92">
        <v>0</v>
      </c>
      <c r="AH25" s="92">
        <v>3.7775E-3</v>
      </c>
      <c r="AI25" s="92">
        <v>3.7775E-3</v>
      </c>
      <c r="AJ25" s="92">
        <v>3.7775E-3</v>
      </c>
      <c r="AK25" s="92">
        <v>0.91794569105754031</v>
      </c>
      <c r="AL25" s="92">
        <v>0.91090935414680652</v>
      </c>
      <c r="AM25" s="92">
        <v>1.0992429353121955</v>
      </c>
      <c r="AN25" s="92">
        <v>1.1085750693351324</v>
      </c>
      <c r="AO25" s="92">
        <v>0</v>
      </c>
      <c r="AP25" s="92">
        <v>0</v>
      </c>
      <c r="AQ25" s="88">
        <v>3</v>
      </c>
      <c r="AR25" s="88">
        <v>3</v>
      </c>
      <c r="AS25" s="91">
        <v>0</v>
      </c>
      <c r="AT25" s="91">
        <v>0</v>
      </c>
      <c r="AU25" s="91">
        <v>2.6480000000000001</v>
      </c>
      <c r="AV25" s="91">
        <v>2.8969999999999998</v>
      </c>
      <c r="AW25" s="91">
        <v>0</v>
      </c>
      <c r="AX25" s="91">
        <v>0</v>
      </c>
      <c r="AY25" s="91">
        <v>0</v>
      </c>
      <c r="AZ25" s="91">
        <v>0</v>
      </c>
      <c r="BA25" s="91">
        <v>0</v>
      </c>
      <c r="BB25" s="91">
        <v>0</v>
      </c>
      <c r="BC25" s="91">
        <v>0</v>
      </c>
      <c r="BD25" s="91">
        <v>0</v>
      </c>
      <c r="BE25" s="91">
        <v>29.33</v>
      </c>
      <c r="BF25" s="91">
        <v>29.579000000000001</v>
      </c>
      <c r="BG25" s="88">
        <v>1</v>
      </c>
      <c r="BH25"/>
      <c r="BI25"/>
      <c r="BJ25"/>
      <c r="BK25"/>
      <c r="BL25"/>
      <c r="BM25"/>
      <c r="BN25"/>
      <c r="BO25"/>
      <c r="BP25"/>
      <c r="BQ25"/>
    </row>
    <row r="26" spans="1:69">
      <c r="A26" s="88">
        <v>10076</v>
      </c>
      <c r="B26" s="88" t="s">
        <v>30</v>
      </c>
      <c r="C26" s="88">
        <v>1</v>
      </c>
      <c r="D26" s="88">
        <v>0</v>
      </c>
      <c r="E26" s="91">
        <v>4.8890000000000002</v>
      </c>
      <c r="F26" s="91">
        <v>8.0359999999999996</v>
      </c>
      <c r="G26" s="91">
        <v>8.1319999999999997</v>
      </c>
      <c r="H26" s="91">
        <v>0</v>
      </c>
      <c r="I26" s="91">
        <v>0</v>
      </c>
      <c r="J26" s="91">
        <v>0</v>
      </c>
      <c r="K26" s="91">
        <v>0</v>
      </c>
      <c r="L26" s="90">
        <v>0</v>
      </c>
      <c r="M26" s="90">
        <v>0</v>
      </c>
      <c r="N26" s="91">
        <v>8.0359999999999996</v>
      </c>
      <c r="O26" s="91">
        <v>8.1319999999999997</v>
      </c>
      <c r="P26" s="90">
        <v>70588.224000000002</v>
      </c>
      <c r="Q26" s="90">
        <v>71236.319999999992</v>
      </c>
      <c r="R26" s="88">
        <v>4.8170000000000002</v>
      </c>
      <c r="S26" s="90">
        <v>42312.527999999998</v>
      </c>
      <c r="T26" s="90">
        <v>42196.92</v>
      </c>
      <c r="U26" s="91">
        <v>3.2189999999999999</v>
      </c>
      <c r="V26" s="91">
        <v>3.3149999999999999</v>
      </c>
      <c r="W26" s="91">
        <v>3.2189999999999999</v>
      </c>
      <c r="X26" s="91">
        <v>3.3149999999999999</v>
      </c>
      <c r="Y26" s="91">
        <v>0</v>
      </c>
      <c r="Z26" s="91">
        <v>0</v>
      </c>
      <c r="AA26" s="88">
        <v>0</v>
      </c>
      <c r="AB26" s="88">
        <v>0</v>
      </c>
      <c r="AC26" s="91">
        <v>3.2189999999999999</v>
      </c>
      <c r="AD26" s="91">
        <v>3.3149999999999999</v>
      </c>
      <c r="AE26" s="92">
        <v>6.8199999999999999E-4</v>
      </c>
      <c r="AF26" s="92">
        <v>6.8199999999999999E-4</v>
      </c>
      <c r="AG26" s="92">
        <v>0</v>
      </c>
      <c r="AH26" s="92">
        <v>6.8199999999999999E-4</v>
      </c>
      <c r="AI26" s="92">
        <v>6.8199999999999999E-4</v>
      </c>
      <c r="AJ26" s="92">
        <v>6.8199999999999999E-4</v>
      </c>
      <c r="AK26" s="92">
        <v>0.59945432180189151</v>
      </c>
      <c r="AL26" s="92">
        <v>0.59237763526807674</v>
      </c>
      <c r="AM26" s="92">
        <v>1.6682582520240812</v>
      </c>
      <c r="AN26" s="92">
        <v>1.688187668673448</v>
      </c>
      <c r="AO26" s="92">
        <v>0</v>
      </c>
      <c r="AP26" s="92">
        <v>0</v>
      </c>
      <c r="AQ26" s="88">
        <v>1</v>
      </c>
      <c r="AR26" s="88">
        <v>3</v>
      </c>
      <c r="AS26" s="91">
        <v>0</v>
      </c>
      <c r="AT26" s="91">
        <v>0</v>
      </c>
      <c r="AU26" s="91">
        <v>3.2189999999999999</v>
      </c>
      <c r="AV26" s="91">
        <v>3.3149999999999999</v>
      </c>
      <c r="AW26" s="91">
        <v>0</v>
      </c>
      <c r="AX26" s="91">
        <v>0</v>
      </c>
      <c r="AY26" s="91">
        <v>0</v>
      </c>
      <c r="AZ26" s="91">
        <v>0</v>
      </c>
      <c r="BA26" s="91">
        <v>0</v>
      </c>
      <c r="BB26" s="91">
        <v>0</v>
      </c>
      <c r="BC26" s="91">
        <v>0</v>
      </c>
      <c r="BD26" s="91">
        <v>0</v>
      </c>
      <c r="BE26" s="91">
        <v>8.0359999999999996</v>
      </c>
      <c r="BF26" s="91">
        <v>8.1319999999999997</v>
      </c>
      <c r="BG26" s="88">
        <v>1</v>
      </c>
      <c r="BH26"/>
      <c r="BI26"/>
      <c r="BJ26"/>
      <c r="BK26"/>
      <c r="BL26"/>
      <c r="BM26"/>
      <c r="BN26"/>
      <c r="BO26"/>
      <c r="BP26"/>
      <c r="BQ26"/>
    </row>
    <row r="27" spans="1:69">
      <c r="A27" s="88">
        <v>10078</v>
      </c>
      <c r="B27" s="88" t="s">
        <v>31</v>
      </c>
      <c r="C27" s="88">
        <v>1</v>
      </c>
      <c r="D27" s="88">
        <v>0</v>
      </c>
      <c r="E27" s="91">
        <v>3.7729999999999997</v>
      </c>
      <c r="F27" s="91">
        <v>4.3499999999999996</v>
      </c>
      <c r="G27" s="91">
        <v>4.8090000000000002</v>
      </c>
      <c r="H27" s="91">
        <v>0</v>
      </c>
      <c r="I27" s="91">
        <v>0</v>
      </c>
      <c r="J27" s="91">
        <v>0</v>
      </c>
      <c r="K27" s="91">
        <v>0</v>
      </c>
      <c r="L27" s="90">
        <v>0</v>
      </c>
      <c r="M27" s="90">
        <v>0</v>
      </c>
      <c r="N27" s="91">
        <v>4.3499999999999996</v>
      </c>
      <c r="O27" s="91">
        <v>4.8090000000000002</v>
      </c>
      <c r="P27" s="90">
        <v>38210.399999999994</v>
      </c>
      <c r="Q27" s="90">
        <v>42126.840000000004</v>
      </c>
      <c r="R27" s="88">
        <v>3.718</v>
      </c>
      <c r="S27" s="90">
        <v>32658.912</v>
      </c>
      <c r="T27" s="90">
        <v>32569.68</v>
      </c>
      <c r="U27" s="91">
        <v>0.63200000000000001</v>
      </c>
      <c r="V27" s="91">
        <v>1.091</v>
      </c>
      <c r="W27" s="91">
        <v>0</v>
      </c>
      <c r="X27" s="91">
        <v>1.091</v>
      </c>
      <c r="Y27" s="91">
        <v>0.63200000000000001</v>
      </c>
      <c r="Z27" s="91">
        <v>0</v>
      </c>
      <c r="AA27" s="88">
        <v>0</v>
      </c>
      <c r="AB27" s="88">
        <v>0</v>
      </c>
      <c r="AC27" s="91">
        <v>0</v>
      </c>
      <c r="AD27" s="91">
        <v>1.091</v>
      </c>
      <c r="AE27" s="92">
        <v>5.264E-4</v>
      </c>
      <c r="AF27" s="92">
        <v>5.264E-4</v>
      </c>
      <c r="AG27" s="92">
        <v>0</v>
      </c>
      <c r="AH27" s="92">
        <v>5.264E-4</v>
      </c>
      <c r="AI27" s="92">
        <v>5.264E-4</v>
      </c>
      <c r="AJ27" s="92">
        <v>5.264E-4</v>
      </c>
      <c r="AK27" s="92">
        <v>0.85474835310344832</v>
      </c>
      <c r="AL27" s="92">
        <v>0.7731660087336244</v>
      </c>
      <c r="AM27" s="92">
        <v>1.1699838622915546</v>
      </c>
      <c r="AN27" s="92">
        <v>1.2934373318988703</v>
      </c>
      <c r="AO27" s="92">
        <v>0</v>
      </c>
      <c r="AP27" s="92">
        <v>0</v>
      </c>
      <c r="AQ27" s="88">
        <v>1</v>
      </c>
      <c r="AR27" s="88">
        <v>3</v>
      </c>
      <c r="AS27" s="91">
        <v>0</v>
      </c>
      <c r="AT27" s="91">
        <v>0</v>
      </c>
      <c r="AU27" s="91">
        <v>0</v>
      </c>
      <c r="AV27" s="91">
        <v>1.091</v>
      </c>
      <c r="AW27" s="91">
        <v>0</v>
      </c>
      <c r="AX27" s="91">
        <v>0</v>
      </c>
      <c r="AY27" s="91">
        <v>0</v>
      </c>
      <c r="AZ27" s="91">
        <v>0</v>
      </c>
      <c r="BA27" s="91">
        <v>0</v>
      </c>
      <c r="BB27" s="91">
        <v>0</v>
      </c>
      <c r="BC27" s="91">
        <v>0</v>
      </c>
      <c r="BD27" s="91">
        <v>0</v>
      </c>
      <c r="BE27" s="91">
        <v>4.3499999999999996</v>
      </c>
      <c r="BF27" s="91">
        <v>4.8090000000000002</v>
      </c>
      <c r="BG27" s="88">
        <v>1</v>
      </c>
      <c r="BH27"/>
      <c r="BI27"/>
      <c r="BJ27"/>
      <c r="BK27"/>
      <c r="BL27"/>
      <c r="BM27"/>
      <c r="BN27"/>
      <c r="BO27"/>
      <c r="BP27"/>
      <c r="BQ27"/>
    </row>
    <row r="28" spans="1:69">
      <c r="A28" s="88">
        <v>10079</v>
      </c>
      <c r="B28" s="88" t="s">
        <v>32</v>
      </c>
      <c r="C28" s="88">
        <v>1</v>
      </c>
      <c r="D28" s="88">
        <v>0</v>
      </c>
      <c r="E28" s="91">
        <v>89.494</v>
      </c>
      <c r="F28" s="91">
        <v>84.715999999999994</v>
      </c>
      <c r="G28" s="91">
        <v>85.516999999999996</v>
      </c>
      <c r="H28" s="91">
        <v>0</v>
      </c>
      <c r="I28" s="91">
        <v>0</v>
      </c>
      <c r="J28" s="91">
        <v>2.9430000000000001</v>
      </c>
      <c r="K28" s="91">
        <v>2.94</v>
      </c>
      <c r="L28" s="90">
        <v>25851.312000000002</v>
      </c>
      <c r="M28" s="90">
        <v>25754.399999999998</v>
      </c>
      <c r="N28" s="91">
        <v>81.772999999999996</v>
      </c>
      <c r="O28" s="91">
        <v>82.576999999999998</v>
      </c>
      <c r="P28" s="90">
        <v>718294.03200000001</v>
      </c>
      <c r="Q28" s="90">
        <v>723374.52</v>
      </c>
      <c r="R28" s="88">
        <v>88.179000000000002</v>
      </c>
      <c r="S28" s="90">
        <v>774564.33600000001</v>
      </c>
      <c r="T28" s="90">
        <v>772448.04</v>
      </c>
      <c r="U28" s="91">
        <v>0</v>
      </c>
      <c r="V28" s="91">
        <v>0</v>
      </c>
      <c r="W28" s="91">
        <v>0</v>
      </c>
      <c r="X28" s="91">
        <v>0</v>
      </c>
      <c r="Y28" s="91">
        <v>0</v>
      </c>
      <c r="Z28" s="91">
        <v>0</v>
      </c>
      <c r="AA28" s="88">
        <v>0</v>
      </c>
      <c r="AB28" s="88">
        <v>0</v>
      </c>
      <c r="AC28" s="91">
        <v>0</v>
      </c>
      <c r="AD28" s="91">
        <v>0</v>
      </c>
      <c r="AE28" s="92">
        <v>1.15771E-2</v>
      </c>
      <c r="AF28" s="92">
        <v>1.1690900000000001E-2</v>
      </c>
      <c r="AG28" s="92">
        <v>0</v>
      </c>
      <c r="AH28" s="92">
        <v>1.15771E-2</v>
      </c>
      <c r="AI28" s="92">
        <v>1.1690900000000001E-2</v>
      </c>
      <c r="AJ28" s="92">
        <v>1.1634E-2</v>
      </c>
      <c r="AK28" s="92">
        <v>1</v>
      </c>
      <c r="AL28" s="92">
        <v>1</v>
      </c>
      <c r="AM28" s="92">
        <v>1</v>
      </c>
      <c r="AN28" s="92">
        <v>1</v>
      </c>
      <c r="AO28" s="92">
        <v>0</v>
      </c>
      <c r="AP28" s="92">
        <v>0</v>
      </c>
      <c r="AQ28" s="88">
        <v>3</v>
      </c>
      <c r="AR28" s="88">
        <v>3</v>
      </c>
      <c r="AS28" s="91">
        <v>3.7730000000000001</v>
      </c>
      <c r="AT28" s="91">
        <v>3.5049999999999999</v>
      </c>
      <c r="AU28" s="91">
        <v>0</v>
      </c>
      <c r="AV28" s="91">
        <v>0</v>
      </c>
      <c r="AW28" s="91">
        <v>3.7730000000000001</v>
      </c>
      <c r="AX28" s="91">
        <v>3.5049999999999999</v>
      </c>
      <c r="AY28" s="91">
        <v>-3.7730000000000001</v>
      </c>
      <c r="AZ28" s="91">
        <v>-3.5049999999999999</v>
      </c>
      <c r="BA28" s="91">
        <v>0</v>
      </c>
      <c r="BB28" s="91">
        <v>0</v>
      </c>
      <c r="BC28" s="91">
        <v>-3.7730000000000001</v>
      </c>
      <c r="BD28" s="91">
        <v>-3.5049999999999999</v>
      </c>
      <c r="BE28" s="91">
        <v>81.772999999999996</v>
      </c>
      <c r="BF28" s="91">
        <v>82.576999999999998</v>
      </c>
      <c r="BG28" s="88">
        <v>0</v>
      </c>
      <c r="BH28"/>
      <c r="BI28"/>
      <c r="BJ28"/>
      <c r="BK28"/>
      <c r="BL28"/>
      <c r="BM28"/>
      <c r="BN28"/>
      <c r="BO28"/>
      <c r="BP28"/>
      <c r="BQ28"/>
    </row>
    <row r="29" spans="1:69">
      <c r="A29" s="88">
        <v>10080</v>
      </c>
      <c r="B29" s="88" t="s">
        <v>33</v>
      </c>
      <c r="C29" s="88">
        <v>1</v>
      </c>
      <c r="D29" s="88">
        <v>0</v>
      </c>
      <c r="E29" s="91">
        <v>7.548</v>
      </c>
      <c r="F29" s="91">
        <v>6.6079999999999997</v>
      </c>
      <c r="G29" s="91">
        <v>6.61</v>
      </c>
      <c r="H29" s="91">
        <v>0</v>
      </c>
      <c r="I29" s="91">
        <v>0</v>
      </c>
      <c r="J29" s="91">
        <v>0</v>
      </c>
      <c r="K29" s="91">
        <v>0</v>
      </c>
      <c r="L29" s="90">
        <v>0</v>
      </c>
      <c r="M29" s="90">
        <v>0</v>
      </c>
      <c r="N29" s="91">
        <v>6.6079999999999997</v>
      </c>
      <c r="O29" s="91">
        <v>6.61</v>
      </c>
      <c r="P29" s="90">
        <v>58044.671999999999</v>
      </c>
      <c r="Q29" s="90">
        <v>57903.600000000006</v>
      </c>
      <c r="R29" s="88">
        <v>7.4370000000000003</v>
      </c>
      <c r="S29" s="90">
        <v>65326.608</v>
      </c>
      <c r="T29" s="90">
        <v>65148.12</v>
      </c>
      <c r="U29" s="91">
        <v>0</v>
      </c>
      <c r="V29" s="91">
        <v>0</v>
      </c>
      <c r="W29" s="91">
        <v>0</v>
      </c>
      <c r="X29" s="91">
        <v>0</v>
      </c>
      <c r="Y29" s="91">
        <v>0</v>
      </c>
      <c r="Z29" s="91">
        <v>0</v>
      </c>
      <c r="AA29" s="88">
        <v>0</v>
      </c>
      <c r="AB29" s="88">
        <v>0</v>
      </c>
      <c r="AC29" s="91">
        <v>0</v>
      </c>
      <c r="AD29" s="91">
        <v>0</v>
      </c>
      <c r="AE29" s="92">
        <v>9.3550000000000003E-4</v>
      </c>
      <c r="AF29" s="92">
        <v>9.3579999999999998E-4</v>
      </c>
      <c r="AG29" s="92">
        <v>0</v>
      </c>
      <c r="AH29" s="92">
        <v>9.3550000000000003E-4</v>
      </c>
      <c r="AI29" s="92">
        <v>9.3579999999999998E-4</v>
      </c>
      <c r="AJ29" s="92">
        <v>9.3565E-4</v>
      </c>
      <c r="AK29" s="92">
        <v>0.99996639792675546</v>
      </c>
      <c r="AL29" s="92">
        <v>0.99998441255673221</v>
      </c>
      <c r="AM29" s="92">
        <v>1</v>
      </c>
      <c r="AN29" s="92">
        <v>1</v>
      </c>
      <c r="AO29" s="92">
        <v>0</v>
      </c>
      <c r="AP29" s="92">
        <v>0</v>
      </c>
      <c r="AQ29" s="88">
        <v>1</v>
      </c>
      <c r="AR29" s="88">
        <v>1</v>
      </c>
      <c r="AS29" s="91">
        <v>0</v>
      </c>
      <c r="AT29" s="91">
        <v>0</v>
      </c>
      <c r="AU29" s="91">
        <v>0</v>
      </c>
      <c r="AV29" s="91">
        <v>0</v>
      </c>
      <c r="AW29" s="91">
        <v>0</v>
      </c>
      <c r="AX29" s="91">
        <v>0</v>
      </c>
      <c r="AY29" s="91">
        <v>0</v>
      </c>
      <c r="AZ29" s="91">
        <v>0</v>
      </c>
      <c r="BA29" s="91">
        <v>0</v>
      </c>
      <c r="BB29" s="91">
        <v>0</v>
      </c>
      <c r="BC29" s="91">
        <v>0</v>
      </c>
      <c r="BD29" s="91">
        <v>0</v>
      </c>
      <c r="BE29" s="91">
        <v>6.6079999999999997</v>
      </c>
      <c r="BF29" s="91">
        <v>6.61</v>
      </c>
      <c r="BG29" s="88">
        <v>0</v>
      </c>
      <c r="BH29"/>
      <c r="BI29"/>
      <c r="BJ29"/>
      <c r="BK29"/>
      <c r="BL29"/>
      <c r="BM29"/>
      <c r="BN29"/>
      <c r="BO29"/>
      <c r="BP29"/>
      <c r="BQ29"/>
    </row>
    <row r="30" spans="1:69">
      <c r="A30" s="88">
        <v>10081</v>
      </c>
      <c r="B30" s="88" t="s">
        <v>34</v>
      </c>
      <c r="C30" s="88">
        <v>1</v>
      </c>
      <c r="D30" s="88">
        <v>0</v>
      </c>
      <c r="E30" s="91">
        <v>10.611000000000001</v>
      </c>
      <c r="F30" s="91">
        <v>12.055999999999999</v>
      </c>
      <c r="G30" s="91">
        <v>12.051</v>
      </c>
      <c r="H30" s="91">
        <v>0</v>
      </c>
      <c r="I30" s="91">
        <v>0</v>
      </c>
      <c r="J30" s="91">
        <v>2.9430000000000001</v>
      </c>
      <c r="K30" s="91">
        <v>2.94</v>
      </c>
      <c r="L30" s="90">
        <v>25851.312000000002</v>
      </c>
      <c r="M30" s="90">
        <v>25754.399999999998</v>
      </c>
      <c r="N30" s="91">
        <v>9.1129999999999995</v>
      </c>
      <c r="O30" s="91">
        <v>9.1110000000000007</v>
      </c>
      <c r="P30" s="90">
        <v>80048.59199999999</v>
      </c>
      <c r="Q30" s="90">
        <v>79812.36</v>
      </c>
      <c r="R30" s="88">
        <v>10.455</v>
      </c>
      <c r="S30" s="90">
        <v>91836.72</v>
      </c>
      <c r="T30" s="90">
        <v>91585.8</v>
      </c>
      <c r="U30" s="91">
        <v>0</v>
      </c>
      <c r="V30" s="91">
        <v>0</v>
      </c>
      <c r="W30" s="91">
        <v>0</v>
      </c>
      <c r="X30" s="91">
        <v>0</v>
      </c>
      <c r="Y30" s="91">
        <v>0</v>
      </c>
      <c r="Z30" s="91">
        <v>0</v>
      </c>
      <c r="AA30" s="88">
        <v>0</v>
      </c>
      <c r="AB30" s="88">
        <v>0</v>
      </c>
      <c r="AC30" s="91">
        <v>0</v>
      </c>
      <c r="AD30" s="91">
        <v>0</v>
      </c>
      <c r="AE30" s="92">
        <v>1.2902E-3</v>
      </c>
      <c r="AF30" s="92">
        <v>1.2899000000000001E-3</v>
      </c>
      <c r="AG30" s="92">
        <v>0</v>
      </c>
      <c r="AH30" s="92">
        <v>1.2902E-3</v>
      </c>
      <c r="AI30" s="92">
        <v>1.2899000000000001E-3</v>
      </c>
      <c r="AJ30" s="92">
        <v>1.2900500000000001E-3</v>
      </c>
      <c r="AK30" s="92">
        <v>1</v>
      </c>
      <c r="AL30" s="92">
        <v>1</v>
      </c>
      <c r="AM30" s="92">
        <v>1</v>
      </c>
      <c r="AN30" s="92">
        <v>1</v>
      </c>
      <c r="AO30" s="92">
        <v>0</v>
      </c>
      <c r="AP30" s="92">
        <v>0</v>
      </c>
      <c r="AQ30" s="88">
        <v>1</v>
      </c>
      <c r="AR30" s="88">
        <v>3</v>
      </c>
      <c r="AS30" s="91">
        <v>0</v>
      </c>
      <c r="AT30" s="91">
        <v>0</v>
      </c>
      <c r="AU30" s="91">
        <v>0</v>
      </c>
      <c r="AV30" s="91">
        <v>0</v>
      </c>
      <c r="AW30" s="91">
        <v>0</v>
      </c>
      <c r="AX30" s="91">
        <v>0</v>
      </c>
      <c r="AY30" s="91">
        <v>0</v>
      </c>
      <c r="AZ30" s="91">
        <v>0</v>
      </c>
      <c r="BA30" s="91">
        <v>0</v>
      </c>
      <c r="BB30" s="91">
        <v>0</v>
      </c>
      <c r="BC30" s="91">
        <v>0</v>
      </c>
      <c r="BD30" s="91">
        <v>0</v>
      </c>
      <c r="BE30" s="91">
        <v>9.1129999999999995</v>
      </c>
      <c r="BF30" s="91">
        <v>9.1110000000000007</v>
      </c>
      <c r="BG30" s="88">
        <v>1</v>
      </c>
      <c r="BH30"/>
      <c r="BI30"/>
      <c r="BJ30"/>
      <c r="BK30"/>
      <c r="BL30"/>
      <c r="BM30"/>
      <c r="BN30"/>
      <c r="BO30"/>
      <c r="BP30"/>
      <c r="BQ30"/>
    </row>
    <row r="31" spans="1:69">
      <c r="A31" s="88">
        <v>10082</v>
      </c>
      <c r="B31" s="88" t="s">
        <v>35</v>
      </c>
      <c r="C31" s="88">
        <v>1</v>
      </c>
      <c r="D31" s="88">
        <v>0</v>
      </c>
      <c r="E31" s="91">
        <v>0.12</v>
      </c>
      <c r="F31" s="91">
        <v>9.9000000000000005E-2</v>
      </c>
      <c r="G31" s="91">
        <v>9.9000000000000005E-2</v>
      </c>
      <c r="H31" s="91">
        <v>0</v>
      </c>
      <c r="I31" s="91">
        <v>0</v>
      </c>
      <c r="J31" s="91">
        <v>0</v>
      </c>
      <c r="K31" s="91">
        <v>0</v>
      </c>
      <c r="L31" s="90">
        <v>0</v>
      </c>
      <c r="M31" s="90">
        <v>0</v>
      </c>
      <c r="N31" s="91">
        <v>9.9000000000000005E-2</v>
      </c>
      <c r="O31" s="91">
        <v>9.9000000000000005E-2</v>
      </c>
      <c r="P31" s="90">
        <v>869.61599999999999</v>
      </c>
      <c r="Q31" s="90">
        <v>867.24</v>
      </c>
      <c r="R31" s="88">
        <v>0.11799999999999999</v>
      </c>
      <c r="S31" s="90">
        <v>1036.5119999999999</v>
      </c>
      <c r="T31" s="90">
        <v>1033.6799999999998</v>
      </c>
      <c r="U31" s="91">
        <v>0</v>
      </c>
      <c r="V31" s="91">
        <v>0</v>
      </c>
      <c r="W31" s="91">
        <v>0</v>
      </c>
      <c r="X31" s="91">
        <v>0</v>
      </c>
      <c r="Y31" s="91">
        <v>0</v>
      </c>
      <c r="Z31" s="91">
        <v>0</v>
      </c>
      <c r="AA31" s="88">
        <v>0</v>
      </c>
      <c r="AB31" s="88">
        <v>0</v>
      </c>
      <c r="AC31" s="91">
        <v>0</v>
      </c>
      <c r="AD31" s="91">
        <v>0</v>
      </c>
      <c r="AE31" s="92">
        <v>1.4E-5</v>
      </c>
      <c r="AF31" s="92">
        <v>1.4E-5</v>
      </c>
      <c r="AG31" s="92">
        <v>0</v>
      </c>
      <c r="AH31" s="92">
        <v>1.4E-5</v>
      </c>
      <c r="AI31" s="92">
        <v>1.4E-5</v>
      </c>
      <c r="AJ31" s="92">
        <v>1.4E-5</v>
      </c>
      <c r="AK31" s="92">
        <v>0.9988596969696969</v>
      </c>
      <c r="AL31" s="92">
        <v>0.9988596969696969</v>
      </c>
      <c r="AM31" s="92">
        <v>1</v>
      </c>
      <c r="AN31" s="92">
        <v>1</v>
      </c>
      <c r="AO31" s="92">
        <v>0</v>
      </c>
      <c r="AP31" s="92">
        <v>0</v>
      </c>
      <c r="AQ31" s="88">
        <v>1</v>
      </c>
      <c r="AR31" s="88">
        <v>1</v>
      </c>
      <c r="AS31" s="91">
        <v>0</v>
      </c>
      <c r="AT31" s="91">
        <v>0</v>
      </c>
      <c r="AU31" s="91">
        <v>0</v>
      </c>
      <c r="AV31" s="91">
        <v>0</v>
      </c>
      <c r="AW31" s="91">
        <v>0</v>
      </c>
      <c r="AX31" s="91">
        <v>0</v>
      </c>
      <c r="AY31" s="91">
        <v>0</v>
      </c>
      <c r="AZ31" s="91">
        <v>0</v>
      </c>
      <c r="BA31" s="91">
        <v>0</v>
      </c>
      <c r="BB31" s="91">
        <v>0</v>
      </c>
      <c r="BC31" s="91">
        <v>0</v>
      </c>
      <c r="BD31" s="91">
        <v>0</v>
      </c>
      <c r="BE31" s="91">
        <v>9.9000000000000005E-2</v>
      </c>
      <c r="BF31" s="91">
        <v>9.9000000000000005E-2</v>
      </c>
      <c r="BG31" s="88">
        <v>0</v>
      </c>
      <c r="BH31"/>
      <c r="BI31"/>
      <c r="BJ31"/>
      <c r="BK31"/>
      <c r="BL31"/>
      <c r="BM31"/>
      <c r="BN31"/>
      <c r="BO31"/>
      <c r="BP31"/>
      <c r="BQ31"/>
    </row>
    <row r="32" spans="1:69">
      <c r="A32" s="88">
        <v>10083</v>
      </c>
      <c r="B32" s="88" t="s">
        <v>36</v>
      </c>
      <c r="C32" s="88">
        <v>1</v>
      </c>
      <c r="D32" s="88">
        <v>0</v>
      </c>
      <c r="E32" s="91">
        <v>8.4879999999999995</v>
      </c>
      <c r="F32" s="91">
        <v>8.6989999999999998</v>
      </c>
      <c r="G32" s="91">
        <v>8.7420000000000009</v>
      </c>
      <c r="H32" s="91">
        <v>0</v>
      </c>
      <c r="I32" s="91">
        <v>0</v>
      </c>
      <c r="J32" s="91">
        <v>0</v>
      </c>
      <c r="K32" s="91">
        <v>0</v>
      </c>
      <c r="L32" s="90">
        <v>0</v>
      </c>
      <c r="M32" s="90">
        <v>0</v>
      </c>
      <c r="N32" s="91">
        <v>8.6989999999999998</v>
      </c>
      <c r="O32" s="91">
        <v>8.7420000000000009</v>
      </c>
      <c r="P32" s="90">
        <v>76412.016000000003</v>
      </c>
      <c r="Q32" s="90">
        <v>76579.920000000013</v>
      </c>
      <c r="R32" s="88">
        <v>8.3629999999999995</v>
      </c>
      <c r="S32" s="90">
        <v>73460.59199999999</v>
      </c>
      <c r="T32" s="90">
        <v>73259.87999999999</v>
      </c>
      <c r="U32" s="91">
        <v>0.33600000000000002</v>
      </c>
      <c r="V32" s="91">
        <v>0.379</v>
      </c>
      <c r="W32" s="91">
        <v>0</v>
      </c>
      <c r="X32" s="91">
        <v>0</v>
      </c>
      <c r="Y32" s="91">
        <v>0.33600000000000002</v>
      </c>
      <c r="Z32" s="91">
        <v>0.379</v>
      </c>
      <c r="AA32" s="88">
        <v>0</v>
      </c>
      <c r="AB32" s="88">
        <v>0</v>
      </c>
      <c r="AC32" s="91">
        <v>0</v>
      </c>
      <c r="AD32" s="91">
        <v>0</v>
      </c>
      <c r="AE32" s="92">
        <v>1.1839999999999999E-3</v>
      </c>
      <c r="AF32" s="92">
        <v>1.1839999999999999E-3</v>
      </c>
      <c r="AG32" s="92">
        <v>0</v>
      </c>
      <c r="AH32" s="92">
        <v>1.1839999999999999E-3</v>
      </c>
      <c r="AI32" s="92">
        <v>1.1839999999999999E-3</v>
      </c>
      <c r="AJ32" s="92">
        <v>1.1839999999999999E-3</v>
      </c>
      <c r="AK32" s="92">
        <v>0.96137764800551795</v>
      </c>
      <c r="AL32" s="92">
        <v>0.95664884008236095</v>
      </c>
      <c r="AM32" s="92">
        <v>1.0401769699868468</v>
      </c>
      <c r="AN32" s="92">
        <v>1.0453186655506399</v>
      </c>
      <c r="AO32" s="92">
        <v>0</v>
      </c>
      <c r="AP32" s="92">
        <v>0</v>
      </c>
      <c r="AQ32" s="88">
        <v>1</v>
      </c>
      <c r="AR32" s="88">
        <v>1</v>
      </c>
      <c r="AS32" s="91">
        <v>0</v>
      </c>
      <c r="AT32" s="91">
        <v>0</v>
      </c>
      <c r="AU32" s="91">
        <v>0</v>
      </c>
      <c r="AV32" s="91">
        <v>0</v>
      </c>
      <c r="AW32" s="91">
        <v>0</v>
      </c>
      <c r="AX32" s="91">
        <v>0</v>
      </c>
      <c r="AY32" s="91">
        <v>0</v>
      </c>
      <c r="AZ32" s="91">
        <v>0</v>
      </c>
      <c r="BA32" s="91">
        <v>0</v>
      </c>
      <c r="BB32" s="91">
        <v>0</v>
      </c>
      <c r="BC32" s="91">
        <v>0</v>
      </c>
      <c r="BD32" s="91">
        <v>0</v>
      </c>
      <c r="BE32" s="91">
        <v>8.6989999999999998</v>
      </c>
      <c r="BF32" s="91">
        <v>8.7420000000000009</v>
      </c>
      <c r="BG32" s="88">
        <v>0</v>
      </c>
      <c r="BH32"/>
      <c r="BI32"/>
      <c r="BJ32"/>
      <c r="BK32"/>
      <c r="BL32"/>
      <c r="BM32"/>
      <c r="BN32"/>
      <c r="BO32"/>
      <c r="BP32"/>
      <c r="BQ32"/>
    </row>
    <row r="33" spans="1:69">
      <c r="A33" s="88">
        <v>10086</v>
      </c>
      <c r="B33" s="88" t="s">
        <v>37</v>
      </c>
      <c r="C33" s="88">
        <v>1</v>
      </c>
      <c r="D33" s="88">
        <v>0</v>
      </c>
      <c r="E33" s="91">
        <v>4.0039999999999996</v>
      </c>
      <c r="F33" s="91">
        <v>3.8690000000000002</v>
      </c>
      <c r="G33" s="91">
        <v>3.8740000000000001</v>
      </c>
      <c r="H33" s="91">
        <v>0</v>
      </c>
      <c r="I33" s="91">
        <v>0</v>
      </c>
      <c r="J33" s="91">
        <v>0</v>
      </c>
      <c r="K33" s="91">
        <v>0</v>
      </c>
      <c r="L33" s="90">
        <v>0</v>
      </c>
      <c r="M33" s="90">
        <v>0</v>
      </c>
      <c r="N33" s="91">
        <v>3.8690000000000002</v>
      </c>
      <c r="O33" s="91">
        <v>3.8740000000000001</v>
      </c>
      <c r="P33" s="90">
        <v>33985.296000000002</v>
      </c>
      <c r="Q33" s="90">
        <v>33936.239999999998</v>
      </c>
      <c r="R33" s="88">
        <v>3.9449999999999998</v>
      </c>
      <c r="S33" s="90">
        <v>34652.879999999997</v>
      </c>
      <c r="T33" s="90">
        <v>34558.199999999997</v>
      </c>
      <c r="U33" s="91">
        <v>0</v>
      </c>
      <c r="V33" s="91">
        <v>0</v>
      </c>
      <c r="W33" s="91">
        <v>0</v>
      </c>
      <c r="X33" s="91">
        <v>0</v>
      </c>
      <c r="Y33" s="91">
        <v>0</v>
      </c>
      <c r="Z33" s="91">
        <v>0</v>
      </c>
      <c r="AA33" s="88">
        <v>0</v>
      </c>
      <c r="AB33" s="88">
        <v>0</v>
      </c>
      <c r="AC33" s="91">
        <v>0</v>
      </c>
      <c r="AD33" s="91">
        <v>0</v>
      </c>
      <c r="AE33" s="92">
        <v>5.4779999999999998E-4</v>
      </c>
      <c r="AF33" s="92">
        <v>5.4850000000000005E-4</v>
      </c>
      <c r="AG33" s="92">
        <v>0</v>
      </c>
      <c r="AH33" s="92">
        <v>5.4779999999999998E-4</v>
      </c>
      <c r="AI33" s="92">
        <v>5.4850000000000005E-4</v>
      </c>
      <c r="AJ33" s="92">
        <v>5.4815000000000007E-4</v>
      </c>
      <c r="AK33" s="92">
        <v>1</v>
      </c>
      <c r="AL33" s="92">
        <v>1</v>
      </c>
      <c r="AM33" s="92">
        <v>1</v>
      </c>
      <c r="AN33" s="92">
        <v>1</v>
      </c>
      <c r="AO33" s="92">
        <v>0</v>
      </c>
      <c r="AP33" s="92">
        <v>0</v>
      </c>
      <c r="AQ33" s="88">
        <v>1</v>
      </c>
      <c r="AR33" s="88">
        <v>1</v>
      </c>
      <c r="AS33" s="91">
        <v>0</v>
      </c>
      <c r="AT33" s="91">
        <v>0</v>
      </c>
      <c r="AU33" s="91">
        <v>0</v>
      </c>
      <c r="AV33" s="91">
        <v>0</v>
      </c>
      <c r="AW33" s="91">
        <v>0</v>
      </c>
      <c r="AX33" s="91">
        <v>0</v>
      </c>
      <c r="AY33" s="91">
        <v>0</v>
      </c>
      <c r="AZ33" s="91">
        <v>0</v>
      </c>
      <c r="BA33" s="91">
        <v>0</v>
      </c>
      <c r="BB33" s="91">
        <v>0</v>
      </c>
      <c r="BC33" s="91">
        <v>0</v>
      </c>
      <c r="BD33" s="91">
        <v>0</v>
      </c>
      <c r="BE33" s="91">
        <v>3.8690000000000002</v>
      </c>
      <c r="BF33" s="91">
        <v>3.8740000000000001</v>
      </c>
      <c r="BG33" s="88">
        <v>0</v>
      </c>
      <c r="BH33"/>
      <c r="BI33"/>
      <c r="BJ33"/>
      <c r="BK33"/>
      <c r="BL33"/>
      <c r="BM33"/>
      <c r="BN33"/>
      <c r="BO33"/>
      <c r="BP33"/>
      <c r="BQ33"/>
    </row>
    <row r="34" spans="1:69">
      <c r="A34" s="88">
        <v>10087</v>
      </c>
      <c r="B34" s="88" t="s">
        <v>38</v>
      </c>
      <c r="C34" s="88">
        <v>1</v>
      </c>
      <c r="D34" s="88">
        <v>0</v>
      </c>
      <c r="E34" s="91">
        <v>86.754999999999995</v>
      </c>
      <c r="F34" s="91">
        <v>46.790999999999997</v>
      </c>
      <c r="G34" s="91">
        <v>46.761000000000003</v>
      </c>
      <c r="H34" s="91">
        <v>0</v>
      </c>
      <c r="I34" s="91">
        <v>0</v>
      </c>
      <c r="J34" s="91">
        <v>0</v>
      </c>
      <c r="K34" s="91">
        <v>0</v>
      </c>
      <c r="L34" s="90">
        <v>0</v>
      </c>
      <c r="M34" s="90">
        <v>0</v>
      </c>
      <c r="N34" s="91">
        <v>46.790999999999997</v>
      </c>
      <c r="O34" s="91">
        <v>46.761000000000003</v>
      </c>
      <c r="P34" s="90">
        <v>411012.14399999997</v>
      </c>
      <c r="Q34" s="90">
        <v>409626.36000000004</v>
      </c>
      <c r="R34" s="88">
        <v>85.48</v>
      </c>
      <c r="S34" s="90">
        <v>750856.32000000007</v>
      </c>
      <c r="T34" s="90">
        <v>748804.8</v>
      </c>
      <c r="U34" s="91">
        <v>0</v>
      </c>
      <c r="V34" s="91">
        <v>0</v>
      </c>
      <c r="W34" s="91">
        <v>0</v>
      </c>
      <c r="X34" s="91">
        <v>0</v>
      </c>
      <c r="Y34" s="91">
        <v>0</v>
      </c>
      <c r="Z34" s="91">
        <v>0</v>
      </c>
      <c r="AA34" s="88">
        <v>0</v>
      </c>
      <c r="AB34" s="88">
        <v>0</v>
      </c>
      <c r="AC34" s="91">
        <v>0</v>
      </c>
      <c r="AD34" s="91">
        <v>0</v>
      </c>
      <c r="AE34" s="92">
        <v>6.6245000000000002E-3</v>
      </c>
      <c r="AF34" s="92">
        <v>6.6201999999999997E-3</v>
      </c>
      <c r="AG34" s="92">
        <v>0</v>
      </c>
      <c r="AH34" s="92">
        <v>6.6245000000000002E-3</v>
      </c>
      <c r="AI34" s="92">
        <v>6.6201999999999997E-3</v>
      </c>
      <c r="AJ34" s="92">
        <v>6.6223499999999999E-3</v>
      </c>
      <c r="AK34" s="92">
        <v>1</v>
      </c>
      <c r="AL34" s="92">
        <v>0.99999762564957961</v>
      </c>
      <c r="AM34" s="92">
        <v>1</v>
      </c>
      <c r="AN34" s="92">
        <v>1</v>
      </c>
      <c r="AO34" s="92">
        <v>0</v>
      </c>
      <c r="AP34" s="92">
        <v>0</v>
      </c>
      <c r="AQ34" s="88">
        <v>2</v>
      </c>
      <c r="AR34" s="88">
        <v>3</v>
      </c>
      <c r="AS34" s="91">
        <v>10</v>
      </c>
      <c r="AT34" s="91">
        <v>0</v>
      </c>
      <c r="AU34" s="91">
        <v>0</v>
      </c>
      <c r="AV34" s="91">
        <v>0</v>
      </c>
      <c r="AW34" s="91">
        <v>0</v>
      </c>
      <c r="AX34" s="91">
        <v>0</v>
      </c>
      <c r="AY34" s="91">
        <v>0</v>
      </c>
      <c r="AZ34" s="91">
        <v>0</v>
      </c>
      <c r="BA34" s="91">
        <v>0</v>
      </c>
      <c r="BB34" s="91">
        <v>0</v>
      </c>
      <c r="BC34" s="91">
        <v>0</v>
      </c>
      <c r="BD34" s="91">
        <v>0</v>
      </c>
      <c r="BE34" s="91">
        <v>46.790999999999997</v>
      </c>
      <c r="BF34" s="91">
        <v>46.761000000000003</v>
      </c>
      <c r="BG34" s="88">
        <v>0</v>
      </c>
      <c r="BH34"/>
      <c r="BI34"/>
      <c r="BJ34"/>
      <c r="BK34"/>
      <c r="BL34"/>
      <c r="BM34"/>
      <c r="BN34"/>
      <c r="BO34"/>
      <c r="BP34"/>
      <c r="BQ34"/>
    </row>
    <row r="35" spans="1:69">
      <c r="A35" s="88">
        <v>10089</v>
      </c>
      <c r="B35" s="88" t="s">
        <v>39</v>
      </c>
      <c r="C35" s="88">
        <v>1</v>
      </c>
      <c r="D35" s="88">
        <v>0</v>
      </c>
      <c r="E35" s="91">
        <v>105.768</v>
      </c>
      <c r="F35" s="91">
        <v>111.452</v>
      </c>
      <c r="G35" s="91">
        <v>112.295</v>
      </c>
      <c r="H35" s="91">
        <v>0</v>
      </c>
      <c r="I35" s="91">
        <v>0</v>
      </c>
      <c r="J35" s="91">
        <v>0</v>
      </c>
      <c r="K35" s="91">
        <v>0</v>
      </c>
      <c r="L35" s="90">
        <v>0</v>
      </c>
      <c r="M35" s="90">
        <v>0</v>
      </c>
      <c r="N35" s="91">
        <v>111.452</v>
      </c>
      <c r="O35" s="91">
        <v>112.295</v>
      </c>
      <c r="P35" s="90">
        <v>978994.36800000002</v>
      </c>
      <c r="Q35" s="90">
        <v>983704.20000000007</v>
      </c>
      <c r="R35" s="88">
        <v>104.21299999999999</v>
      </c>
      <c r="S35" s="90">
        <v>915406.99199999997</v>
      </c>
      <c r="T35" s="90">
        <v>912905.87999999989</v>
      </c>
      <c r="U35" s="91">
        <v>7.2389999999999999</v>
      </c>
      <c r="V35" s="91">
        <v>8.0820000000000007</v>
      </c>
      <c r="W35" s="91">
        <v>7.2389999999999999</v>
      </c>
      <c r="X35" s="91">
        <v>8.0820000000000007</v>
      </c>
      <c r="Y35" s="91">
        <v>0</v>
      </c>
      <c r="Z35" s="91">
        <v>0</v>
      </c>
      <c r="AA35" s="88">
        <v>0</v>
      </c>
      <c r="AB35" s="88">
        <v>0</v>
      </c>
      <c r="AC35" s="91">
        <v>7.2389999999999999</v>
      </c>
      <c r="AD35" s="91">
        <v>8.0820000000000007</v>
      </c>
      <c r="AE35" s="92">
        <v>1.4754E-2</v>
      </c>
      <c r="AF35" s="92">
        <v>1.4754E-2</v>
      </c>
      <c r="AG35" s="92">
        <v>0</v>
      </c>
      <c r="AH35" s="92">
        <v>1.4754E-2</v>
      </c>
      <c r="AI35" s="92">
        <v>1.4754E-2</v>
      </c>
      <c r="AJ35" s="92">
        <v>1.4754E-2</v>
      </c>
      <c r="AK35" s="92">
        <v>0.93504725989663706</v>
      </c>
      <c r="AL35" s="92">
        <v>0.92802784816777228</v>
      </c>
      <c r="AM35" s="92">
        <v>1.0694635026340285</v>
      </c>
      <c r="AN35" s="92">
        <v>1.077552704557013</v>
      </c>
      <c r="AO35" s="92">
        <v>0</v>
      </c>
      <c r="AP35" s="92">
        <v>0</v>
      </c>
      <c r="AQ35" s="88">
        <v>3</v>
      </c>
      <c r="AR35" s="88">
        <v>3</v>
      </c>
      <c r="AS35" s="91">
        <v>0.58199999999999996</v>
      </c>
      <c r="AT35" s="91">
        <v>0.58199999999999996</v>
      </c>
      <c r="AU35" s="91">
        <v>6.657</v>
      </c>
      <c r="AV35" s="91">
        <v>7.5</v>
      </c>
      <c r="AW35" s="91">
        <v>0.58199999999999996</v>
      </c>
      <c r="AX35" s="91">
        <v>0.58199999999999996</v>
      </c>
      <c r="AY35" s="91">
        <v>-1.1102230246251565E-16</v>
      </c>
      <c r="AZ35" s="91">
        <v>0</v>
      </c>
      <c r="BA35" s="91">
        <v>-1.1102230246251565E-16</v>
      </c>
      <c r="BB35" s="91">
        <v>0</v>
      </c>
      <c r="BC35" s="91">
        <v>0</v>
      </c>
      <c r="BD35" s="91">
        <v>0</v>
      </c>
      <c r="BE35" s="91">
        <v>110.87</v>
      </c>
      <c r="BF35" s="91">
        <v>111.71299999999999</v>
      </c>
      <c r="BG35" s="88">
        <v>1</v>
      </c>
      <c r="BH35"/>
      <c r="BI35"/>
      <c r="BJ35"/>
      <c r="BK35"/>
      <c r="BL35"/>
      <c r="BM35"/>
      <c r="BN35"/>
      <c r="BO35"/>
      <c r="BP35"/>
      <c r="BQ35"/>
    </row>
    <row r="36" spans="1:69">
      <c r="A36" s="88">
        <v>10091</v>
      </c>
      <c r="B36" s="88" t="s">
        <v>40</v>
      </c>
      <c r="C36" s="88">
        <v>1</v>
      </c>
      <c r="D36" s="88">
        <v>0</v>
      </c>
      <c r="E36" s="91">
        <v>9.5630000000000006</v>
      </c>
      <c r="F36" s="91">
        <v>9.0350000000000001</v>
      </c>
      <c r="G36" s="91">
        <v>9.0289999999999999</v>
      </c>
      <c r="H36" s="91">
        <v>0</v>
      </c>
      <c r="I36" s="91">
        <v>0</v>
      </c>
      <c r="J36" s="91">
        <v>0</v>
      </c>
      <c r="K36" s="91">
        <v>0</v>
      </c>
      <c r="L36" s="90">
        <v>0</v>
      </c>
      <c r="M36" s="90">
        <v>0</v>
      </c>
      <c r="N36" s="91">
        <v>9.0350000000000001</v>
      </c>
      <c r="O36" s="91">
        <v>9.0289999999999999</v>
      </c>
      <c r="P36" s="90">
        <v>79363.44</v>
      </c>
      <c r="Q36" s="90">
        <v>79094.039999999994</v>
      </c>
      <c r="R36" s="88">
        <v>9.4220000000000006</v>
      </c>
      <c r="S36" s="90">
        <v>82762.847999999998</v>
      </c>
      <c r="T36" s="90">
        <v>82536.72</v>
      </c>
      <c r="U36" s="91">
        <v>0</v>
      </c>
      <c r="V36" s="91">
        <v>0</v>
      </c>
      <c r="W36" s="91">
        <v>0</v>
      </c>
      <c r="X36" s="91">
        <v>0</v>
      </c>
      <c r="Y36" s="91">
        <v>0</v>
      </c>
      <c r="Z36" s="91">
        <v>0</v>
      </c>
      <c r="AA36" s="88">
        <v>0</v>
      </c>
      <c r="AB36" s="88">
        <v>0</v>
      </c>
      <c r="AC36" s="91">
        <v>0</v>
      </c>
      <c r="AD36" s="91">
        <v>0</v>
      </c>
      <c r="AE36" s="92">
        <v>1.2791E-3</v>
      </c>
      <c r="AF36" s="92">
        <v>1.2783E-3</v>
      </c>
      <c r="AG36" s="92">
        <v>0</v>
      </c>
      <c r="AH36" s="92">
        <v>1.2791E-3</v>
      </c>
      <c r="AI36" s="92">
        <v>1.2783E-3</v>
      </c>
      <c r="AJ36" s="92">
        <v>1.2787E-3</v>
      </c>
      <c r="AK36" s="92">
        <v>0.99997234881018271</v>
      </c>
      <c r="AL36" s="92">
        <v>1</v>
      </c>
      <c r="AM36" s="92">
        <v>1</v>
      </c>
      <c r="AN36" s="92">
        <v>1</v>
      </c>
      <c r="AO36" s="92">
        <v>0</v>
      </c>
      <c r="AP36" s="92">
        <v>0</v>
      </c>
      <c r="AQ36" s="88">
        <v>1</v>
      </c>
      <c r="AR36" s="88">
        <v>3</v>
      </c>
      <c r="AS36" s="91">
        <v>0</v>
      </c>
      <c r="AT36" s="91">
        <v>0</v>
      </c>
      <c r="AU36" s="91">
        <v>0</v>
      </c>
      <c r="AV36" s="91">
        <v>0</v>
      </c>
      <c r="AW36" s="91">
        <v>0</v>
      </c>
      <c r="AX36" s="91">
        <v>0</v>
      </c>
      <c r="AY36" s="91">
        <v>0</v>
      </c>
      <c r="AZ36" s="91">
        <v>0</v>
      </c>
      <c r="BA36" s="91">
        <v>0</v>
      </c>
      <c r="BB36" s="91">
        <v>0</v>
      </c>
      <c r="BC36" s="91">
        <v>0</v>
      </c>
      <c r="BD36" s="91">
        <v>0</v>
      </c>
      <c r="BE36" s="91">
        <v>9.0350000000000001</v>
      </c>
      <c r="BF36" s="91">
        <v>9.0289999999999999</v>
      </c>
      <c r="BG36" s="88">
        <v>1</v>
      </c>
      <c r="BH36"/>
      <c r="BI36"/>
      <c r="BJ36"/>
      <c r="BK36"/>
      <c r="BL36"/>
      <c r="BM36"/>
      <c r="BN36"/>
      <c r="BO36"/>
      <c r="BP36"/>
      <c r="BQ36"/>
    </row>
    <row r="37" spans="1:69">
      <c r="A37" s="88">
        <v>10094</v>
      </c>
      <c r="B37" s="88" t="s">
        <v>41</v>
      </c>
      <c r="C37" s="88">
        <v>1</v>
      </c>
      <c r="D37" s="88">
        <v>0</v>
      </c>
      <c r="E37" s="91">
        <v>3.0820000000000003</v>
      </c>
      <c r="F37" s="91">
        <v>3.145</v>
      </c>
      <c r="G37" s="91">
        <v>3.1440000000000001</v>
      </c>
      <c r="H37" s="91">
        <v>0</v>
      </c>
      <c r="I37" s="91">
        <v>0</v>
      </c>
      <c r="J37" s="91">
        <v>0.113</v>
      </c>
      <c r="K37" s="91">
        <v>0.113</v>
      </c>
      <c r="L37" s="90">
        <v>992.59199999999998</v>
      </c>
      <c r="M37" s="90">
        <v>989.88</v>
      </c>
      <c r="N37" s="91">
        <v>3.032</v>
      </c>
      <c r="O37" s="91">
        <v>3.0310000000000001</v>
      </c>
      <c r="P37" s="90">
        <v>26633.088</v>
      </c>
      <c r="Q37" s="90">
        <v>26551.56</v>
      </c>
      <c r="R37" s="88">
        <v>3.0369999999999999</v>
      </c>
      <c r="S37" s="90">
        <v>26677.007999999998</v>
      </c>
      <c r="T37" s="90">
        <v>26604.12</v>
      </c>
      <c r="U37" s="91">
        <v>0</v>
      </c>
      <c r="V37" s="91">
        <v>0</v>
      </c>
      <c r="W37" s="91">
        <v>0</v>
      </c>
      <c r="X37" s="91">
        <v>0</v>
      </c>
      <c r="Y37" s="91">
        <v>0</v>
      </c>
      <c r="Z37" s="91">
        <v>0</v>
      </c>
      <c r="AA37" s="88">
        <v>0</v>
      </c>
      <c r="AB37" s="88">
        <v>0</v>
      </c>
      <c r="AC37" s="91">
        <v>0</v>
      </c>
      <c r="AD37" s="91">
        <v>0</v>
      </c>
      <c r="AE37" s="92">
        <v>4.2930000000000003E-4</v>
      </c>
      <c r="AF37" s="92">
        <v>4.2910000000000002E-4</v>
      </c>
      <c r="AG37" s="92">
        <v>0</v>
      </c>
      <c r="AH37" s="92">
        <v>4.2930000000000003E-4</v>
      </c>
      <c r="AI37" s="92">
        <v>4.2910000000000002E-4</v>
      </c>
      <c r="AJ37" s="92">
        <v>4.2920000000000002E-4</v>
      </c>
      <c r="AK37" s="92">
        <v>1</v>
      </c>
      <c r="AL37" s="92">
        <v>0.99996498775445286</v>
      </c>
      <c r="AM37" s="92">
        <v>1</v>
      </c>
      <c r="AN37" s="92">
        <v>1</v>
      </c>
      <c r="AO37" s="92">
        <v>0</v>
      </c>
      <c r="AP37" s="92">
        <v>0</v>
      </c>
      <c r="AQ37" s="88">
        <v>1</v>
      </c>
      <c r="AR37" s="88">
        <v>3</v>
      </c>
      <c r="AS37" s="91">
        <v>0</v>
      </c>
      <c r="AT37" s="91">
        <v>0</v>
      </c>
      <c r="AU37" s="91">
        <v>0</v>
      </c>
      <c r="AV37" s="91">
        <v>0</v>
      </c>
      <c r="AW37" s="91">
        <v>0</v>
      </c>
      <c r="AX37" s="91">
        <v>0</v>
      </c>
      <c r="AY37" s="91">
        <v>0</v>
      </c>
      <c r="AZ37" s="91">
        <v>0</v>
      </c>
      <c r="BA37" s="91">
        <v>0</v>
      </c>
      <c r="BB37" s="91">
        <v>0</v>
      </c>
      <c r="BC37" s="91">
        <v>0</v>
      </c>
      <c r="BD37" s="91">
        <v>0</v>
      </c>
      <c r="BE37" s="91">
        <v>3.032</v>
      </c>
      <c r="BF37" s="91">
        <v>3.0310000000000001</v>
      </c>
      <c r="BG37" s="88">
        <v>1</v>
      </c>
      <c r="BH37"/>
      <c r="BI37"/>
      <c r="BJ37"/>
      <c r="BK37"/>
      <c r="BL37"/>
      <c r="BM37"/>
      <c r="BN37"/>
      <c r="BO37"/>
      <c r="BP37"/>
      <c r="BQ37"/>
    </row>
    <row r="38" spans="1:69">
      <c r="A38" s="88">
        <v>10095</v>
      </c>
      <c r="B38" s="88" t="s">
        <v>42</v>
      </c>
      <c r="C38" s="88">
        <v>1</v>
      </c>
      <c r="D38" s="88">
        <v>0</v>
      </c>
      <c r="E38" s="91">
        <v>3.6970000000000001</v>
      </c>
      <c r="F38" s="91">
        <v>3.8290000000000002</v>
      </c>
      <c r="G38" s="91">
        <v>3.8279999999999998</v>
      </c>
      <c r="H38" s="91">
        <v>0</v>
      </c>
      <c r="I38" s="91">
        <v>0</v>
      </c>
      <c r="J38" s="91">
        <v>0</v>
      </c>
      <c r="K38" s="91">
        <v>0</v>
      </c>
      <c r="L38" s="90">
        <v>0</v>
      </c>
      <c r="M38" s="90">
        <v>0</v>
      </c>
      <c r="N38" s="91">
        <v>3.8290000000000002</v>
      </c>
      <c r="O38" s="91">
        <v>3.8279999999999998</v>
      </c>
      <c r="P38" s="90">
        <v>33633.936000000002</v>
      </c>
      <c r="Q38" s="90">
        <v>33533.279999999999</v>
      </c>
      <c r="R38" s="88">
        <v>3.6429999999999998</v>
      </c>
      <c r="S38" s="90">
        <v>32000.111999999997</v>
      </c>
      <c r="T38" s="90">
        <v>31912.679999999997</v>
      </c>
      <c r="U38" s="91">
        <v>0.186</v>
      </c>
      <c r="V38" s="91">
        <v>0.185</v>
      </c>
      <c r="W38" s="91">
        <v>0</v>
      </c>
      <c r="X38" s="91">
        <v>0</v>
      </c>
      <c r="Y38" s="91">
        <v>0.186</v>
      </c>
      <c r="Z38" s="91">
        <v>0.185</v>
      </c>
      <c r="AA38" s="88">
        <v>0</v>
      </c>
      <c r="AB38" s="88">
        <v>0</v>
      </c>
      <c r="AC38" s="91">
        <v>0</v>
      </c>
      <c r="AD38" s="91">
        <v>0</v>
      </c>
      <c r="AE38" s="92">
        <v>5.1579999999999996E-4</v>
      </c>
      <c r="AF38" s="92">
        <v>5.1579999999999996E-4</v>
      </c>
      <c r="AG38" s="92">
        <v>0</v>
      </c>
      <c r="AH38" s="92">
        <v>5.1579999999999996E-4</v>
      </c>
      <c r="AI38" s="92">
        <v>5.1579999999999996E-4</v>
      </c>
      <c r="AJ38" s="92">
        <v>5.1579999999999996E-4</v>
      </c>
      <c r="AK38" s="92">
        <v>0.95149743196657077</v>
      </c>
      <c r="AL38" s="92">
        <v>0.95174599451410646</v>
      </c>
      <c r="AM38" s="92">
        <v>1.0510568213011255</v>
      </c>
      <c r="AN38" s="92">
        <v>1.0507823222618722</v>
      </c>
      <c r="AO38" s="92">
        <v>0</v>
      </c>
      <c r="AP38" s="92">
        <v>0</v>
      </c>
      <c r="AQ38" s="88">
        <v>1</v>
      </c>
      <c r="AR38" s="88">
        <v>1</v>
      </c>
      <c r="AS38" s="91">
        <v>0</v>
      </c>
      <c r="AT38" s="91">
        <v>0</v>
      </c>
      <c r="AU38" s="91">
        <v>0</v>
      </c>
      <c r="AV38" s="91">
        <v>0</v>
      </c>
      <c r="AW38" s="91">
        <v>0</v>
      </c>
      <c r="AX38" s="91">
        <v>0</v>
      </c>
      <c r="AY38" s="91">
        <v>0</v>
      </c>
      <c r="AZ38" s="91">
        <v>0</v>
      </c>
      <c r="BA38" s="91">
        <v>0</v>
      </c>
      <c r="BB38" s="91">
        <v>0</v>
      </c>
      <c r="BC38" s="91">
        <v>0</v>
      </c>
      <c r="BD38" s="91">
        <v>0</v>
      </c>
      <c r="BE38" s="91">
        <v>3.8290000000000002</v>
      </c>
      <c r="BF38" s="91">
        <v>3.8279999999999998</v>
      </c>
      <c r="BG38" s="88">
        <v>0</v>
      </c>
      <c r="BH38"/>
      <c r="BI38"/>
      <c r="BJ38"/>
      <c r="BK38"/>
      <c r="BL38"/>
      <c r="BM38"/>
      <c r="BN38"/>
      <c r="BO38"/>
      <c r="BP38"/>
      <c r="BQ38"/>
    </row>
    <row r="39" spans="1:69">
      <c r="A39" s="88">
        <v>10097</v>
      </c>
      <c r="B39" s="88" t="s">
        <v>43</v>
      </c>
      <c r="C39" s="88">
        <v>1</v>
      </c>
      <c r="D39" s="88">
        <v>0</v>
      </c>
      <c r="E39" s="91">
        <v>2.0680000000000001</v>
      </c>
      <c r="F39" s="91">
        <v>1.9970000000000001</v>
      </c>
      <c r="G39" s="91">
        <v>2</v>
      </c>
      <c r="H39" s="91">
        <v>0</v>
      </c>
      <c r="I39" s="91">
        <v>0</v>
      </c>
      <c r="J39" s="91">
        <v>0</v>
      </c>
      <c r="K39" s="91">
        <v>0</v>
      </c>
      <c r="L39" s="90">
        <v>0</v>
      </c>
      <c r="M39" s="90">
        <v>0</v>
      </c>
      <c r="N39" s="91">
        <v>1.9970000000000001</v>
      </c>
      <c r="O39" s="91">
        <v>2</v>
      </c>
      <c r="P39" s="90">
        <v>17541.648000000001</v>
      </c>
      <c r="Q39" s="90">
        <v>17520</v>
      </c>
      <c r="R39" s="88">
        <v>2.0379999999999998</v>
      </c>
      <c r="S39" s="90">
        <v>17901.791999999998</v>
      </c>
      <c r="T39" s="90">
        <v>17852.879999999997</v>
      </c>
      <c r="U39" s="91">
        <v>0</v>
      </c>
      <c r="V39" s="91">
        <v>0</v>
      </c>
      <c r="W39" s="91">
        <v>0</v>
      </c>
      <c r="X39" s="91">
        <v>0</v>
      </c>
      <c r="Y39" s="91">
        <v>0</v>
      </c>
      <c r="Z39" s="91">
        <v>0</v>
      </c>
      <c r="AA39" s="88">
        <v>0</v>
      </c>
      <c r="AB39" s="88">
        <v>0</v>
      </c>
      <c r="AC39" s="91">
        <v>0</v>
      </c>
      <c r="AD39" s="91">
        <v>0</v>
      </c>
      <c r="AE39" s="92">
        <v>2.8269999999999999E-4</v>
      </c>
      <c r="AF39" s="92">
        <v>2.832E-4</v>
      </c>
      <c r="AG39" s="92">
        <v>0</v>
      </c>
      <c r="AH39" s="92">
        <v>2.8269999999999999E-4</v>
      </c>
      <c r="AI39" s="92">
        <v>2.832E-4</v>
      </c>
      <c r="AJ39" s="92">
        <v>2.8295000000000002E-4</v>
      </c>
      <c r="AK39" s="92">
        <v>0.99990650250375546</v>
      </c>
      <c r="AL39" s="92">
        <v>1</v>
      </c>
      <c r="AM39" s="92">
        <v>1</v>
      </c>
      <c r="AN39" s="92">
        <v>1</v>
      </c>
      <c r="AO39" s="92">
        <v>0</v>
      </c>
      <c r="AP39" s="92">
        <v>0</v>
      </c>
      <c r="AQ39" s="88">
        <v>1</v>
      </c>
      <c r="AR39" s="88">
        <v>1</v>
      </c>
      <c r="AS39" s="91">
        <v>0</v>
      </c>
      <c r="AT39" s="91">
        <v>0</v>
      </c>
      <c r="AU39" s="91">
        <v>0</v>
      </c>
      <c r="AV39" s="91">
        <v>0</v>
      </c>
      <c r="AW39" s="91">
        <v>0</v>
      </c>
      <c r="AX39" s="91">
        <v>0</v>
      </c>
      <c r="AY39" s="91">
        <v>0</v>
      </c>
      <c r="AZ39" s="91">
        <v>0</v>
      </c>
      <c r="BA39" s="91">
        <v>0</v>
      </c>
      <c r="BB39" s="91">
        <v>0</v>
      </c>
      <c r="BC39" s="91">
        <v>0</v>
      </c>
      <c r="BD39" s="91">
        <v>0</v>
      </c>
      <c r="BE39" s="91">
        <v>1.9970000000000001</v>
      </c>
      <c r="BF39" s="91">
        <v>2</v>
      </c>
      <c r="BG39" s="88">
        <v>0</v>
      </c>
      <c r="BH39"/>
      <c r="BI39"/>
      <c r="BJ39"/>
      <c r="BK39"/>
      <c r="BL39"/>
      <c r="BM39"/>
      <c r="BN39"/>
      <c r="BO39"/>
      <c r="BP39"/>
      <c r="BQ39"/>
    </row>
    <row r="40" spans="1:69">
      <c r="A40" s="88">
        <v>10101</v>
      </c>
      <c r="B40" s="88" t="s">
        <v>44</v>
      </c>
      <c r="C40" s="88">
        <v>1</v>
      </c>
      <c r="D40" s="88">
        <v>0</v>
      </c>
      <c r="E40" s="91">
        <v>77.162000000000006</v>
      </c>
      <c r="F40" s="91">
        <v>77.477999999999994</v>
      </c>
      <c r="G40" s="91">
        <v>77.471999999999994</v>
      </c>
      <c r="H40" s="91">
        <v>0</v>
      </c>
      <c r="I40" s="91">
        <v>0</v>
      </c>
      <c r="J40" s="91">
        <v>0</v>
      </c>
      <c r="K40" s="91">
        <v>0</v>
      </c>
      <c r="L40" s="90">
        <v>0</v>
      </c>
      <c r="M40" s="90">
        <v>0</v>
      </c>
      <c r="N40" s="91">
        <v>77.477999999999994</v>
      </c>
      <c r="O40" s="91">
        <v>77.471999999999994</v>
      </c>
      <c r="P40" s="90">
        <v>680566.75199999998</v>
      </c>
      <c r="Q40" s="90">
        <v>678654.72</v>
      </c>
      <c r="R40" s="88">
        <v>76.028000000000006</v>
      </c>
      <c r="S40" s="90">
        <v>667829.95200000005</v>
      </c>
      <c r="T40" s="90">
        <v>666005.28</v>
      </c>
      <c r="U40" s="91">
        <v>1.45</v>
      </c>
      <c r="V40" s="91">
        <v>1.444</v>
      </c>
      <c r="W40" s="91">
        <v>1.45</v>
      </c>
      <c r="X40" s="91">
        <v>1.444</v>
      </c>
      <c r="Y40" s="91">
        <v>0</v>
      </c>
      <c r="Z40" s="91">
        <v>0</v>
      </c>
      <c r="AA40" s="88">
        <v>0</v>
      </c>
      <c r="AB40" s="88">
        <v>0</v>
      </c>
      <c r="AC40" s="91">
        <v>1.45</v>
      </c>
      <c r="AD40" s="91">
        <v>1.444</v>
      </c>
      <c r="AE40" s="92">
        <v>1.0763699999999999E-2</v>
      </c>
      <c r="AF40" s="92">
        <v>1.0763699999999999E-2</v>
      </c>
      <c r="AG40" s="92">
        <v>0</v>
      </c>
      <c r="AH40" s="92">
        <v>1.0763699999999999E-2</v>
      </c>
      <c r="AI40" s="92">
        <v>1.0763699999999999E-2</v>
      </c>
      <c r="AJ40" s="92">
        <v>1.0763699999999999E-2</v>
      </c>
      <c r="AK40" s="92">
        <v>0.98128425940912267</v>
      </c>
      <c r="AL40" s="92">
        <v>0.98136025726068776</v>
      </c>
      <c r="AM40" s="92">
        <v>1.0190719208712578</v>
      </c>
      <c r="AN40" s="92">
        <v>1.0189930025779974</v>
      </c>
      <c r="AO40" s="92">
        <v>5.0953596043562893E-2</v>
      </c>
      <c r="AP40" s="92">
        <v>5.0949650128899876E-2</v>
      </c>
      <c r="AQ40" s="88">
        <v>3</v>
      </c>
      <c r="AR40" s="88">
        <v>3</v>
      </c>
      <c r="AS40" s="91">
        <v>0.67300000000000004</v>
      </c>
      <c r="AT40" s="91">
        <v>0.67300000000000004</v>
      </c>
      <c r="AU40" s="91">
        <v>0.77700000000000002</v>
      </c>
      <c r="AV40" s="91">
        <v>0.77100000000000002</v>
      </c>
      <c r="AW40" s="91">
        <v>0.67300000000000004</v>
      </c>
      <c r="AX40" s="91">
        <v>0.67300000000000004</v>
      </c>
      <c r="AY40" s="91">
        <v>-1.1102230246251565E-16</v>
      </c>
      <c r="AZ40" s="91">
        <v>-1.1102230246251565E-16</v>
      </c>
      <c r="BA40" s="91">
        <v>-1.1102230246251565E-16</v>
      </c>
      <c r="BB40" s="91">
        <v>-1.1102230246251565E-16</v>
      </c>
      <c r="BC40" s="91">
        <v>0</v>
      </c>
      <c r="BD40" s="91">
        <v>0</v>
      </c>
      <c r="BE40" s="91">
        <v>76.805000000000007</v>
      </c>
      <c r="BF40" s="91">
        <v>76.799000000000007</v>
      </c>
      <c r="BG40" s="88">
        <v>0</v>
      </c>
      <c r="BH40"/>
      <c r="BI40"/>
      <c r="BJ40"/>
      <c r="BK40"/>
      <c r="BL40"/>
      <c r="BM40"/>
      <c r="BN40"/>
      <c r="BO40"/>
      <c r="BP40"/>
      <c r="BQ40"/>
    </row>
    <row r="41" spans="1:69">
      <c r="A41" s="88">
        <v>10103</v>
      </c>
      <c r="B41" s="88" t="s">
        <v>45</v>
      </c>
      <c r="C41" s="88">
        <v>1</v>
      </c>
      <c r="D41" s="88">
        <v>0</v>
      </c>
      <c r="E41" s="91">
        <v>323.245</v>
      </c>
      <c r="F41" s="91">
        <v>549.75300000000004</v>
      </c>
      <c r="G41" s="91">
        <v>557.43399999999997</v>
      </c>
      <c r="H41" s="91">
        <v>0</v>
      </c>
      <c r="I41" s="91">
        <v>0</v>
      </c>
      <c r="J41" s="91">
        <v>225.989</v>
      </c>
      <c r="K41" s="91">
        <v>225.94900000000001</v>
      </c>
      <c r="L41" s="90">
        <v>1985087.3759999999</v>
      </c>
      <c r="M41" s="90">
        <v>1979313.2400000002</v>
      </c>
      <c r="N41" s="91">
        <v>323.76400000000001</v>
      </c>
      <c r="O41" s="91">
        <v>331.48500000000001</v>
      </c>
      <c r="P41" s="90">
        <v>2843942.9760000003</v>
      </c>
      <c r="Q41" s="90">
        <v>2903808.6</v>
      </c>
      <c r="R41" s="88">
        <v>318.49400000000003</v>
      </c>
      <c r="S41" s="90">
        <v>2797651.2960000001</v>
      </c>
      <c r="T41" s="90">
        <v>2790007.4400000004</v>
      </c>
      <c r="U41" s="91">
        <v>6.3710000000000004</v>
      </c>
      <c r="V41" s="91">
        <v>9.2650000000000006</v>
      </c>
      <c r="W41" s="91">
        <v>6.3710000000000004</v>
      </c>
      <c r="X41" s="91">
        <v>9.2650000000000006</v>
      </c>
      <c r="Y41" s="91">
        <v>0</v>
      </c>
      <c r="Z41" s="91">
        <v>0</v>
      </c>
      <c r="AA41" s="88">
        <v>0</v>
      </c>
      <c r="AB41" s="88">
        <v>0</v>
      </c>
      <c r="AC41" s="91">
        <v>6.3710000000000004</v>
      </c>
      <c r="AD41" s="91">
        <v>9.2650000000000006</v>
      </c>
      <c r="AE41" s="92">
        <v>4.5090999999999999E-2</v>
      </c>
      <c r="AF41" s="92">
        <v>4.5090999999999999E-2</v>
      </c>
      <c r="AG41" s="92">
        <v>2.18169E-2</v>
      </c>
      <c r="AH41" s="92">
        <v>2.3274099999999999E-2</v>
      </c>
      <c r="AI41" s="92">
        <v>2.3274099999999999E-2</v>
      </c>
      <c r="AJ41" s="92">
        <v>2.3274099999999999E-2</v>
      </c>
      <c r="AK41" s="92">
        <v>0.98843466910469924</v>
      </c>
      <c r="AL41" s="92">
        <v>0.98326769924761803</v>
      </c>
      <c r="AM41" s="92">
        <v>1.0165466225423399</v>
      </c>
      <c r="AN41" s="92">
        <v>1.0407888374663259</v>
      </c>
      <c r="AO41" s="92">
        <v>0</v>
      </c>
      <c r="AP41" s="92">
        <v>0</v>
      </c>
      <c r="AQ41" s="88">
        <v>4</v>
      </c>
      <c r="AR41" s="88">
        <v>4</v>
      </c>
      <c r="AS41" s="91">
        <v>0</v>
      </c>
      <c r="AT41" s="91">
        <v>0</v>
      </c>
      <c r="AU41" s="91">
        <v>0</v>
      </c>
      <c r="AV41" s="91">
        <v>0</v>
      </c>
      <c r="AW41" s="91">
        <v>0</v>
      </c>
      <c r="AX41" s="91">
        <v>0</v>
      </c>
      <c r="AY41" s="91">
        <v>0</v>
      </c>
      <c r="AZ41" s="91">
        <v>0</v>
      </c>
      <c r="BA41" s="91">
        <v>0</v>
      </c>
      <c r="BB41" s="91">
        <v>0</v>
      </c>
      <c r="BC41" s="91">
        <v>0</v>
      </c>
      <c r="BD41" s="91">
        <v>0</v>
      </c>
      <c r="BE41" s="91">
        <v>318.49400000000003</v>
      </c>
      <c r="BF41" s="91">
        <v>318.49400000000003</v>
      </c>
      <c r="BG41" s="88">
        <v>0</v>
      </c>
      <c r="BH41"/>
      <c r="BI41"/>
      <c r="BJ41"/>
      <c r="BK41"/>
      <c r="BL41"/>
      <c r="BM41"/>
      <c r="BN41"/>
      <c r="BO41"/>
      <c r="BP41"/>
      <c r="BQ41"/>
    </row>
    <row r="42" spans="1:69">
      <c r="A42" s="88">
        <v>10105</v>
      </c>
      <c r="B42" s="88" t="s">
        <v>46</v>
      </c>
      <c r="C42" s="88">
        <v>1</v>
      </c>
      <c r="D42" s="88">
        <v>0</v>
      </c>
      <c r="E42" s="91">
        <v>94.222999999999999</v>
      </c>
      <c r="F42" s="91">
        <v>83.881</v>
      </c>
      <c r="G42" s="91">
        <v>82.632000000000005</v>
      </c>
      <c r="H42" s="91">
        <v>0</v>
      </c>
      <c r="I42" s="91">
        <v>0</v>
      </c>
      <c r="J42" s="91">
        <v>0</v>
      </c>
      <c r="K42" s="91">
        <v>0</v>
      </c>
      <c r="L42" s="90">
        <v>0</v>
      </c>
      <c r="M42" s="90">
        <v>0</v>
      </c>
      <c r="N42" s="91">
        <v>83.881</v>
      </c>
      <c r="O42" s="91">
        <v>82.632000000000005</v>
      </c>
      <c r="P42" s="90">
        <v>736810.70400000003</v>
      </c>
      <c r="Q42" s="90">
        <v>723856.32000000007</v>
      </c>
      <c r="R42" s="88">
        <v>92.837999999999994</v>
      </c>
      <c r="S42" s="90">
        <v>815488.99199999997</v>
      </c>
      <c r="T42" s="90">
        <v>813260.87999999989</v>
      </c>
      <c r="U42" s="91">
        <v>0</v>
      </c>
      <c r="V42" s="91">
        <v>0</v>
      </c>
      <c r="W42" s="91">
        <v>0</v>
      </c>
      <c r="X42" s="91">
        <v>0</v>
      </c>
      <c r="Y42" s="91">
        <v>0</v>
      </c>
      <c r="Z42" s="91">
        <v>0</v>
      </c>
      <c r="AA42" s="88">
        <v>0</v>
      </c>
      <c r="AB42" s="88">
        <v>0</v>
      </c>
      <c r="AC42" s="91">
        <v>0</v>
      </c>
      <c r="AD42" s="91">
        <v>0</v>
      </c>
      <c r="AE42" s="92">
        <v>1.1875500000000001E-2</v>
      </c>
      <c r="AF42" s="92">
        <v>1.1698699999999999E-2</v>
      </c>
      <c r="AG42" s="92">
        <v>7.2519000000000004E-3</v>
      </c>
      <c r="AH42" s="92">
        <v>4.6236000000000003E-3</v>
      </c>
      <c r="AI42" s="92">
        <v>4.446799999999999E-3</v>
      </c>
      <c r="AJ42" s="92">
        <v>4.5351999999999996E-3</v>
      </c>
      <c r="AK42" s="92">
        <v>0.99999989339063666</v>
      </c>
      <c r="AL42" s="92">
        <v>1</v>
      </c>
      <c r="AM42" s="92">
        <v>1</v>
      </c>
      <c r="AN42" s="92">
        <v>1</v>
      </c>
      <c r="AO42" s="92">
        <v>0</v>
      </c>
      <c r="AP42" s="92">
        <v>0</v>
      </c>
      <c r="AQ42" s="88">
        <v>4</v>
      </c>
      <c r="AR42" s="88">
        <v>4</v>
      </c>
      <c r="AS42" s="91">
        <v>0</v>
      </c>
      <c r="AT42" s="91">
        <v>0</v>
      </c>
      <c r="AU42" s="91">
        <v>0</v>
      </c>
      <c r="AV42" s="91">
        <v>0</v>
      </c>
      <c r="AW42" s="91">
        <v>0</v>
      </c>
      <c r="AX42" s="91">
        <v>0</v>
      </c>
      <c r="AY42" s="91">
        <v>0</v>
      </c>
      <c r="AZ42" s="91">
        <v>0</v>
      </c>
      <c r="BA42" s="91">
        <v>0</v>
      </c>
      <c r="BB42" s="91">
        <v>0</v>
      </c>
      <c r="BC42" s="91">
        <v>0</v>
      </c>
      <c r="BD42" s="91">
        <v>0</v>
      </c>
      <c r="BE42" s="91">
        <v>83.881</v>
      </c>
      <c r="BF42" s="91">
        <v>82.632000000000005</v>
      </c>
      <c r="BG42" s="88">
        <v>0</v>
      </c>
      <c r="BH42"/>
      <c r="BI42"/>
      <c r="BJ42"/>
      <c r="BK42"/>
      <c r="BL42"/>
      <c r="BM42"/>
      <c r="BN42"/>
      <c r="BO42"/>
      <c r="BP42"/>
      <c r="BQ42"/>
    </row>
    <row r="43" spans="1:69">
      <c r="A43" s="88">
        <v>10106</v>
      </c>
      <c r="B43" s="88" t="s">
        <v>47</v>
      </c>
      <c r="C43" s="88">
        <v>0</v>
      </c>
      <c r="D43" s="88">
        <v>1</v>
      </c>
      <c r="E43" s="91">
        <v>24.234999999999999</v>
      </c>
      <c r="F43" s="91">
        <v>24.13</v>
      </c>
      <c r="G43" s="91">
        <v>24.234999999999999</v>
      </c>
      <c r="H43" s="91">
        <v>0</v>
      </c>
      <c r="I43" s="91">
        <v>0</v>
      </c>
      <c r="J43" s="91">
        <v>0</v>
      </c>
      <c r="K43" s="91">
        <v>0</v>
      </c>
      <c r="L43" s="90">
        <v>0</v>
      </c>
      <c r="M43" s="90">
        <v>0</v>
      </c>
      <c r="N43" s="91">
        <v>24.13</v>
      </c>
      <c r="O43" s="91">
        <v>24.234999999999999</v>
      </c>
      <c r="P43" s="90">
        <v>211957.91999999998</v>
      </c>
      <c r="Q43" s="90">
        <v>212298.6</v>
      </c>
      <c r="R43" s="88">
        <v>23.879000000000001</v>
      </c>
      <c r="S43" s="90">
        <v>209753.136</v>
      </c>
      <c r="T43" s="90">
        <v>209180.04</v>
      </c>
      <c r="U43" s="91">
        <v>0.251</v>
      </c>
      <c r="V43" s="91">
        <v>0.35599999999999998</v>
      </c>
      <c r="W43" s="91">
        <v>0.251</v>
      </c>
      <c r="X43" s="91">
        <v>0.35599999999999998</v>
      </c>
      <c r="Y43" s="91">
        <v>0</v>
      </c>
      <c r="Z43" s="91">
        <v>0</v>
      </c>
      <c r="AA43" s="88">
        <v>0</v>
      </c>
      <c r="AB43" s="88">
        <v>0</v>
      </c>
      <c r="AC43" s="91">
        <v>0.251</v>
      </c>
      <c r="AD43" s="91">
        <v>0.35599999999999998</v>
      </c>
      <c r="AE43" s="92">
        <v>3.3806999999999999E-3</v>
      </c>
      <c r="AF43" s="92">
        <v>3.3806999999999999E-3</v>
      </c>
      <c r="AG43" s="92">
        <v>0</v>
      </c>
      <c r="AH43" s="92">
        <v>3.3806999999999999E-3</v>
      </c>
      <c r="AI43" s="92">
        <v>3.3806999999999999E-3</v>
      </c>
      <c r="AJ43" s="92">
        <v>3.3806999999999999E-3</v>
      </c>
      <c r="AK43" s="92">
        <v>0.98960290325321176</v>
      </c>
      <c r="AL43" s="92">
        <v>0.98531537262224045</v>
      </c>
      <c r="AM43" s="92">
        <v>1.0105113279450562</v>
      </c>
      <c r="AN43" s="92">
        <v>1.0149084970057372</v>
      </c>
      <c r="AO43" s="92">
        <v>7.0735792956153939E-2</v>
      </c>
      <c r="AP43" s="92">
        <v>7.1043594790401607E-2</v>
      </c>
      <c r="AQ43" s="88">
        <v>6</v>
      </c>
      <c r="AR43" s="88">
        <v>6</v>
      </c>
      <c r="AS43" s="91">
        <v>0</v>
      </c>
      <c r="AT43" s="91">
        <v>0</v>
      </c>
      <c r="AU43" s="91">
        <v>0</v>
      </c>
      <c r="AV43" s="91">
        <v>0</v>
      </c>
      <c r="AW43" s="91">
        <v>0</v>
      </c>
      <c r="AX43" s="91">
        <v>0</v>
      </c>
      <c r="AY43" s="91">
        <v>0</v>
      </c>
      <c r="AZ43" s="91">
        <v>0</v>
      </c>
      <c r="BA43" s="91">
        <v>0</v>
      </c>
      <c r="BB43" s="91">
        <v>0</v>
      </c>
      <c r="BC43" s="91">
        <v>0</v>
      </c>
      <c r="BD43" s="91">
        <v>0</v>
      </c>
      <c r="BE43" s="91">
        <v>23.879000000000001</v>
      </c>
      <c r="BF43" s="91">
        <v>23.879000000000001</v>
      </c>
      <c r="BG43" s="88">
        <v>1</v>
      </c>
      <c r="BH43"/>
      <c r="BI43"/>
      <c r="BJ43"/>
      <c r="BK43"/>
      <c r="BL43"/>
      <c r="BM43"/>
      <c r="BN43"/>
      <c r="BO43"/>
      <c r="BP43"/>
      <c r="BQ43"/>
    </row>
    <row r="44" spans="1:69">
      <c r="A44" s="88">
        <v>10109</v>
      </c>
      <c r="B44" s="88" t="s">
        <v>48</v>
      </c>
      <c r="C44" s="88">
        <v>1</v>
      </c>
      <c r="D44" s="88">
        <v>0</v>
      </c>
      <c r="E44" s="91">
        <v>12.298999999999999</v>
      </c>
      <c r="F44" s="91">
        <v>14.834</v>
      </c>
      <c r="G44" s="91">
        <v>15.006</v>
      </c>
      <c r="H44" s="91">
        <v>0</v>
      </c>
      <c r="I44" s="91">
        <v>0</v>
      </c>
      <c r="J44" s="91">
        <v>0</v>
      </c>
      <c r="K44" s="91">
        <v>0</v>
      </c>
      <c r="L44" s="90">
        <v>0</v>
      </c>
      <c r="M44" s="90">
        <v>0</v>
      </c>
      <c r="N44" s="91">
        <v>14.834</v>
      </c>
      <c r="O44" s="91">
        <v>15.006</v>
      </c>
      <c r="P44" s="90">
        <v>130301.856</v>
      </c>
      <c r="Q44" s="90">
        <v>131452.56</v>
      </c>
      <c r="R44" s="88">
        <v>12.118</v>
      </c>
      <c r="S44" s="90">
        <v>106444.512</v>
      </c>
      <c r="T44" s="90">
        <v>106153.68000000001</v>
      </c>
      <c r="U44" s="91">
        <v>2.7160000000000002</v>
      </c>
      <c r="V44" s="91">
        <v>2.8879999999999999</v>
      </c>
      <c r="W44" s="91">
        <v>2.7160000000000002</v>
      </c>
      <c r="X44" s="91">
        <v>2.8879999999999999</v>
      </c>
      <c r="Y44" s="91">
        <v>0</v>
      </c>
      <c r="Z44" s="91">
        <v>0</v>
      </c>
      <c r="AA44" s="88">
        <v>0</v>
      </c>
      <c r="AB44" s="88">
        <v>0</v>
      </c>
      <c r="AC44" s="91">
        <v>2.7160000000000002</v>
      </c>
      <c r="AD44" s="91">
        <v>2.8879999999999999</v>
      </c>
      <c r="AE44" s="92">
        <v>1.7156000000000001E-3</v>
      </c>
      <c r="AF44" s="92">
        <v>1.7156000000000001E-3</v>
      </c>
      <c r="AG44" s="92">
        <v>0</v>
      </c>
      <c r="AH44" s="92">
        <v>1.7156000000000001E-3</v>
      </c>
      <c r="AI44" s="92">
        <v>1.7156000000000001E-3</v>
      </c>
      <c r="AJ44" s="92">
        <v>1.7156000000000001E-3</v>
      </c>
      <c r="AK44" s="92">
        <v>0.8169009703384118</v>
      </c>
      <c r="AL44" s="92">
        <v>0.80753758456617353</v>
      </c>
      <c r="AM44" s="92">
        <v>1.2241293942894866</v>
      </c>
      <c r="AN44" s="92">
        <v>1.2383231556362435</v>
      </c>
      <c r="AO44" s="92">
        <v>8.5689057600264074E-2</v>
      </c>
      <c r="AP44" s="92">
        <v>8.6682620894537057E-2</v>
      </c>
      <c r="AQ44" s="88">
        <v>1</v>
      </c>
      <c r="AR44" s="88">
        <v>3</v>
      </c>
      <c r="AS44" s="91">
        <v>0</v>
      </c>
      <c r="AT44" s="91">
        <v>0</v>
      </c>
      <c r="AU44" s="91">
        <v>2.7160000000000002</v>
      </c>
      <c r="AV44" s="91">
        <v>2.8879999999999999</v>
      </c>
      <c r="AW44" s="91">
        <v>0</v>
      </c>
      <c r="AX44" s="91">
        <v>0</v>
      </c>
      <c r="AY44" s="91">
        <v>0</v>
      </c>
      <c r="AZ44" s="91">
        <v>0</v>
      </c>
      <c r="BA44" s="91">
        <v>0</v>
      </c>
      <c r="BB44" s="91">
        <v>0</v>
      </c>
      <c r="BC44" s="91">
        <v>0</v>
      </c>
      <c r="BD44" s="91">
        <v>0</v>
      </c>
      <c r="BE44" s="91">
        <v>14.834</v>
      </c>
      <c r="BF44" s="91">
        <v>15.006</v>
      </c>
      <c r="BG44" s="88">
        <v>0</v>
      </c>
      <c r="BH44"/>
      <c r="BI44"/>
      <c r="BJ44"/>
      <c r="BK44"/>
      <c r="BL44"/>
      <c r="BM44"/>
      <c r="BN44"/>
      <c r="BO44"/>
      <c r="BP44"/>
      <c r="BQ44"/>
    </row>
    <row r="45" spans="1:69">
      <c r="A45" s="88">
        <v>10111</v>
      </c>
      <c r="B45" s="88" t="s">
        <v>49</v>
      </c>
      <c r="C45" s="88">
        <v>1</v>
      </c>
      <c r="D45" s="88">
        <v>0</v>
      </c>
      <c r="E45" s="91">
        <v>3.2829999999999999</v>
      </c>
      <c r="F45" s="91">
        <v>3.137</v>
      </c>
      <c r="G45" s="91">
        <v>3.14</v>
      </c>
      <c r="H45" s="91">
        <v>0</v>
      </c>
      <c r="I45" s="91">
        <v>0</v>
      </c>
      <c r="J45" s="91">
        <v>0</v>
      </c>
      <c r="K45" s="91">
        <v>0</v>
      </c>
      <c r="L45" s="90">
        <v>0</v>
      </c>
      <c r="M45" s="90">
        <v>0</v>
      </c>
      <c r="N45" s="91">
        <v>3.137</v>
      </c>
      <c r="O45" s="91">
        <v>3.14</v>
      </c>
      <c r="P45" s="90">
        <v>27555.407999999999</v>
      </c>
      <c r="Q45" s="90">
        <v>27506.400000000001</v>
      </c>
      <c r="R45" s="88">
        <v>3.2349999999999999</v>
      </c>
      <c r="S45" s="90">
        <v>28416.239999999998</v>
      </c>
      <c r="T45" s="90">
        <v>28338.6</v>
      </c>
      <c r="U45" s="91">
        <v>0</v>
      </c>
      <c r="V45" s="91">
        <v>0</v>
      </c>
      <c r="W45" s="91">
        <v>0</v>
      </c>
      <c r="X45" s="91">
        <v>0</v>
      </c>
      <c r="Y45" s="91">
        <v>0</v>
      </c>
      <c r="Z45" s="91">
        <v>0</v>
      </c>
      <c r="AA45" s="88">
        <v>0</v>
      </c>
      <c r="AB45" s="88">
        <v>0</v>
      </c>
      <c r="AC45" s="91">
        <v>0</v>
      </c>
      <c r="AD45" s="91">
        <v>0</v>
      </c>
      <c r="AE45" s="92">
        <v>4.4410000000000001E-4</v>
      </c>
      <c r="AF45" s="92">
        <v>4.4450000000000002E-4</v>
      </c>
      <c r="AG45" s="92">
        <v>0</v>
      </c>
      <c r="AH45" s="92">
        <v>4.4410000000000001E-4</v>
      </c>
      <c r="AI45" s="92">
        <v>4.4450000000000002E-4</v>
      </c>
      <c r="AJ45" s="92">
        <v>4.4430000000000001E-4</v>
      </c>
      <c r="AK45" s="92">
        <v>0.99994912225055776</v>
      </c>
      <c r="AL45" s="92">
        <v>0.99989354856687895</v>
      </c>
      <c r="AM45" s="92">
        <v>1</v>
      </c>
      <c r="AN45" s="92">
        <v>1</v>
      </c>
      <c r="AO45" s="92">
        <v>7.0000000000000007E-2</v>
      </c>
      <c r="AP45" s="92">
        <v>7.0000000000000007E-2</v>
      </c>
      <c r="AQ45" s="88">
        <v>1</v>
      </c>
      <c r="AR45" s="88">
        <v>1</v>
      </c>
      <c r="AS45" s="91">
        <v>0</v>
      </c>
      <c r="AT45" s="91">
        <v>0</v>
      </c>
      <c r="AU45" s="91">
        <v>0</v>
      </c>
      <c r="AV45" s="91">
        <v>0</v>
      </c>
      <c r="AW45" s="91">
        <v>0</v>
      </c>
      <c r="AX45" s="91">
        <v>0</v>
      </c>
      <c r="AY45" s="91">
        <v>0</v>
      </c>
      <c r="AZ45" s="91">
        <v>0</v>
      </c>
      <c r="BA45" s="91">
        <v>0</v>
      </c>
      <c r="BB45" s="91">
        <v>0</v>
      </c>
      <c r="BC45" s="91">
        <v>0</v>
      </c>
      <c r="BD45" s="91">
        <v>0</v>
      </c>
      <c r="BE45" s="91">
        <v>3.137</v>
      </c>
      <c r="BF45" s="91">
        <v>3.14</v>
      </c>
      <c r="BG45" s="88">
        <v>0</v>
      </c>
      <c r="BH45"/>
      <c r="BI45"/>
      <c r="BJ45"/>
      <c r="BK45"/>
      <c r="BL45"/>
      <c r="BM45"/>
      <c r="BN45"/>
      <c r="BO45"/>
      <c r="BP45"/>
      <c r="BQ45"/>
    </row>
    <row r="46" spans="1:69">
      <c r="A46" s="88">
        <v>10112</v>
      </c>
      <c r="B46" s="88" t="s">
        <v>50</v>
      </c>
      <c r="C46" s="88">
        <v>1</v>
      </c>
      <c r="D46" s="88">
        <v>0</v>
      </c>
      <c r="E46" s="91">
        <v>59.119</v>
      </c>
      <c r="F46" s="91">
        <v>58.862000000000002</v>
      </c>
      <c r="G46" s="91">
        <v>59.244999999999997</v>
      </c>
      <c r="H46" s="91">
        <v>0</v>
      </c>
      <c r="I46" s="91">
        <v>0</v>
      </c>
      <c r="J46" s="91">
        <v>0</v>
      </c>
      <c r="K46" s="91">
        <v>0</v>
      </c>
      <c r="L46" s="90">
        <v>0</v>
      </c>
      <c r="M46" s="90">
        <v>0</v>
      </c>
      <c r="N46" s="91">
        <v>58.862000000000002</v>
      </c>
      <c r="O46" s="91">
        <v>59.244999999999997</v>
      </c>
      <c r="P46" s="90">
        <v>517043.80800000002</v>
      </c>
      <c r="Q46" s="90">
        <v>518986.19999999995</v>
      </c>
      <c r="R46" s="88">
        <v>58.25</v>
      </c>
      <c r="S46" s="90">
        <v>511668</v>
      </c>
      <c r="T46" s="90">
        <v>510270</v>
      </c>
      <c r="U46" s="91">
        <v>0.61199999999999999</v>
      </c>
      <c r="V46" s="91">
        <v>0.995</v>
      </c>
      <c r="W46" s="91">
        <v>0</v>
      </c>
      <c r="X46" s="91">
        <v>0</v>
      </c>
      <c r="Y46" s="91">
        <v>0.61199999999999999</v>
      </c>
      <c r="Z46" s="91">
        <v>0.995</v>
      </c>
      <c r="AA46" s="88">
        <v>0</v>
      </c>
      <c r="AB46" s="88">
        <v>0</v>
      </c>
      <c r="AC46" s="91">
        <v>0</v>
      </c>
      <c r="AD46" s="91">
        <v>0</v>
      </c>
      <c r="AE46" s="92">
        <v>8.2468000000000003E-3</v>
      </c>
      <c r="AF46" s="92">
        <v>8.2468000000000003E-3</v>
      </c>
      <c r="AG46" s="92">
        <v>0</v>
      </c>
      <c r="AH46" s="92">
        <v>8.2468000000000003E-3</v>
      </c>
      <c r="AI46" s="92">
        <v>8.2468000000000003E-3</v>
      </c>
      <c r="AJ46" s="92">
        <v>8.2468000000000003E-3</v>
      </c>
      <c r="AK46" s="92">
        <v>0.98960549220209981</v>
      </c>
      <c r="AL46" s="92">
        <v>0.98320800881087023</v>
      </c>
      <c r="AM46" s="92">
        <v>1.0105064377682405</v>
      </c>
      <c r="AN46" s="92">
        <v>1.0170815450643775</v>
      </c>
      <c r="AO46" s="92">
        <v>0</v>
      </c>
      <c r="AP46" s="92">
        <v>0</v>
      </c>
      <c r="AQ46" s="88">
        <v>1</v>
      </c>
      <c r="AR46" s="88">
        <v>3</v>
      </c>
      <c r="AS46" s="91">
        <v>0</v>
      </c>
      <c r="AT46" s="91">
        <v>0</v>
      </c>
      <c r="AU46" s="91">
        <v>0</v>
      </c>
      <c r="AV46" s="91">
        <v>0</v>
      </c>
      <c r="AW46" s="91">
        <v>0</v>
      </c>
      <c r="AX46" s="91">
        <v>0</v>
      </c>
      <c r="AY46" s="91">
        <v>0</v>
      </c>
      <c r="AZ46" s="91">
        <v>0</v>
      </c>
      <c r="BA46" s="91">
        <v>0</v>
      </c>
      <c r="BB46" s="91">
        <v>0</v>
      </c>
      <c r="BC46" s="91">
        <v>0</v>
      </c>
      <c r="BD46" s="91">
        <v>0</v>
      </c>
      <c r="BE46" s="91">
        <v>58.862000000000002</v>
      </c>
      <c r="BF46" s="91">
        <v>59.244999999999997</v>
      </c>
      <c r="BG46" s="88">
        <v>1</v>
      </c>
      <c r="BH46"/>
      <c r="BI46"/>
      <c r="BJ46"/>
      <c r="BK46"/>
      <c r="BL46"/>
      <c r="BM46"/>
      <c r="BN46"/>
      <c r="BO46"/>
      <c r="BP46"/>
      <c r="BQ46"/>
    </row>
    <row r="47" spans="1:69">
      <c r="A47" s="88">
        <v>10113</v>
      </c>
      <c r="B47" s="88" t="s">
        <v>51</v>
      </c>
      <c r="C47" s="88">
        <v>1</v>
      </c>
      <c r="D47" s="88">
        <v>0</v>
      </c>
      <c r="E47" s="91">
        <v>38.255000000000003</v>
      </c>
      <c r="F47" s="91">
        <v>43.527000000000001</v>
      </c>
      <c r="G47" s="91">
        <v>44.036999999999999</v>
      </c>
      <c r="H47" s="91">
        <v>0</v>
      </c>
      <c r="I47" s="91">
        <v>0</v>
      </c>
      <c r="J47" s="91">
        <v>0</v>
      </c>
      <c r="K47" s="91">
        <v>0</v>
      </c>
      <c r="L47" s="90">
        <v>0</v>
      </c>
      <c r="M47" s="90">
        <v>0</v>
      </c>
      <c r="N47" s="91">
        <v>43.527000000000001</v>
      </c>
      <c r="O47" s="91">
        <v>44.036999999999999</v>
      </c>
      <c r="P47" s="90">
        <v>382341.16800000001</v>
      </c>
      <c r="Q47" s="90">
        <v>385764.12</v>
      </c>
      <c r="R47" s="88">
        <v>37.692999999999998</v>
      </c>
      <c r="S47" s="90">
        <v>331095.31199999998</v>
      </c>
      <c r="T47" s="90">
        <v>330190.68</v>
      </c>
      <c r="U47" s="91">
        <v>5.8339999999999996</v>
      </c>
      <c r="V47" s="91">
        <v>6.3440000000000003</v>
      </c>
      <c r="W47" s="91">
        <v>5.8339999999999996</v>
      </c>
      <c r="X47" s="91">
        <v>6.3440000000000003</v>
      </c>
      <c r="Y47" s="91">
        <v>0</v>
      </c>
      <c r="Z47" s="91">
        <v>0</v>
      </c>
      <c r="AA47" s="88">
        <v>0</v>
      </c>
      <c r="AB47" s="88">
        <v>0</v>
      </c>
      <c r="AC47" s="91">
        <v>5.8339999999999996</v>
      </c>
      <c r="AD47" s="91">
        <v>6.3440000000000003</v>
      </c>
      <c r="AE47" s="92">
        <v>5.3363999999999998E-3</v>
      </c>
      <c r="AF47" s="92">
        <v>5.3363999999999998E-3</v>
      </c>
      <c r="AG47" s="92">
        <v>0</v>
      </c>
      <c r="AH47" s="92">
        <v>5.3363999999999998E-3</v>
      </c>
      <c r="AI47" s="92">
        <v>5.3363999999999998E-3</v>
      </c>
      <c r="AJ47" s="92">
        <v>5.3363999999999998E-3</v>
      </c>
      <c r="AK47" s="92">
        <v>0.8659668937900612</v>
      </c>
      <c r="AL47" s="92">
        <v>0.85593798365011231</v>
      </c>
      <c r="AM47" s="92">
        <v>1.1547767489984879</v>
      </c>
      <c r="AN47" s="92">
        <v>1.168307112726501</v>
      </c>
      <c r="AO47" s="92">
        <v>8.0834372429894163E-2</v>
      </c>
      <c r="AP47" s="92">
        <v>8.1781497890855079E-2</v>
      </c>
      <c r="AQ47" s="88">
        <v>3</v>
      </c>
      <c r="AR47" s="88">
        <v>3</v>
      </c>
      <c r="AS47" s="91">
        <v>20</v>
      </c>
      <c r="AT47" s="91">
        <v>6</v>
      </c>
      <c r="AU47" s="91">
        <v>0.83399999999999996</v>
      </c>
      <c r="AV47" s="91">
        <v>0.34399999999999997</v>
      </c>
      <c r="AW47" s="91">
        <v>0</v>
      </c>
      <c r="AX47" s="91">
        <v>0</v>
      </c>
      <c r="AY47" s="91">
        <v>0</v>
      </c>
      <c r="AZ47" s="91">
        <v>0</v>
      </c>
      <c r="BA47" s="91">
        <v>0</v>
      </c>
      <c r="BB47" s="91">
        <v>0</v>
      </c>
      <c r="BC47" s="91">
        <v>0</v>
      </c>
      <c r="BD47" s="91">
        <v>0</v>
      </c>
      <c r="BE47" s="91">
        <v>38.527000000000001</v>
      </c>
      <c r="BF47" s="91">
        <v>38.036999999999999</v>
      </c>
      <c r="BG47" s="88">
        <v>1</v>
      </c>
      <c r="BH47"/>
      <c r="BI47"/>
      <c r="BJ47"/>
      <c r="BK47"/>
      <c r="BL47"/>
      <c r="BM47"/>
      <c r="BN47"/>
      <c r="BO47"/>
      <c r="BP47"/>
      <c r="BQ47"/>
    </row>
    <row r="48" spans="1:69">
      <c r="A48" s="88">
        <v>10116</v>
      </c>
      <c r="B48" s="88" t="s">
        <v>52</v>
      </c>
      <c r="C48" s="88">
        <v>1</v>
      </c>
      <c r="D48" s="88">
        <v>0</v>
      </c>
      <c r="E48" s="91">
        <v>0.23100000000000001</v>
      </c>
      <c r="F48" s="91">
        <v>0.23300000000000001</v>
      </c>
      <c r="G48" s="91">
        <v>0.23200000000000001</v>
      </c>
      <c r="H48" s="91">
        <v>0</v>
      </c>
      <c r="I48" s="91">
        <v>0</v>
      </c>
      <c r="J48" s="91">
        <v>0</v>
      </c>
      <c r="K48" s="91">
        <v>0</v>
      </c>
      <c r="L48" s="90">
        <v>0</v>
      </c>
      <c r="M48" s="90">
        <v>0</v>
      </c>
      <c r="N48" s="91">
        <v>0.23300000000000001</v>
      </c>
      <c r="O48" s="91">
        <v>0.23200000000000001</v>
      </c>
      <c r="P48" s="90">
        <v>2046.672</v>
      </c>
      <c r="Q48" s="90">
        <v>2032.3200000000002</v>
      </c>
      <c r="R48" s="88">
        <v>0.22800000000000001</v>
      </c>
      <c r="S48" s="90">
        <v>2002.7520000000002</v>
      </c>
      <c r="T48" s="90">
        <v>1997.28</v>
      </c>
      <c r="U48" s="91">
        <v>5.0000000000000001E-3</v>
      </c>
      <c r="V48" s="91">
        <v>4.0000000000000001E-3</v>
      </c>
      <c r="W48" s="91">
        <v>0</v>
      </c>
      <c r="X48" s="91">
        <v>0</v>
      </c>
      <c r="Y48" s="91">
        <v>5.0000000000000001E-3</v>
      </c>
      <c r="Z48" s="91">
        <v>4.0000000000000001E-3</v>
      </c>
      <c r="AA48" s="88">
        <v>0</v>
      </c>
      <c r="AB48" s="88">
        <v>0</v>
      </c>
      <c r="AC48" s="91">
        <v>0</v>
      </c>
      <c r="AD48" s="91">
        <v>0</v>
      </c>
      <c r="AE48" s="92">
        <v>3.2299999999999999E-5</v>
      </c>
      <c r="AF48" s="92">
        <v>3.2299999999999999E-5</v>
      </c>
      <c r="AG48" s="92">
        <v>0</v>
      </c>
      <c r="AH48" s="92">
        <v>3.2299999999999999E-5</v>
      </c>
      <c r="AI48" s="92">
        <v>3.2299999999999999E-5</v>
      </c>
      <c r="AJ48" s="92">
        <v>3.2299999999999999E-5</v>
      </c>
      <c r="AK48" s="92">
        <v>0.97917034120171664</v>
      </c>
      <c r="AL48" s="92">
        <v>0.9833909030172413</v>
      </c>
      <c r="AM48" s="92">
        <v>1.0219298245614035</v>
      </c>
      <c r="AN48" s="92">
        <v>1.0175438596491229</v>
      </c>
      <c r="AO48" s="92">
        <v>0</v>
      </c>
      <c r="AP48" s="92">
        <v>0</v>
      </c>
      <c r="AQ48" s="88">
        <v>1</v>
      </c>
      <c r="AR48" s="88">
        <v>1</v>
      </c>
      <c r="AS48" s="91">
        <v>0</v>
      </c>
      <c r="AT48" s="91">
        <v>0</v>
      </c>
      <c r="AU48" s="91">
        <v>0</v>
      </c>
      <c r="AV48" s="91">
        <v>0</v>
      </c>
      <c r="AW48" s="91">
        <v>0</v>
      </c>
      <c r="AX48" s="91">
        <v>0</v>
      </c>
      <c r="AY48" s="91">
        <v>0</v>
      </c>
      <c r="AZ48" s="91">
        <v>0</v>
      </c>
      <c r="BA48" s="91">
        <v>0</v>
      </c>
      <c r="BB48" s="91">
        <v>0</v>
      </c>
      <c r="BC48" s="91">
        <v>0</v>
      </c>
      <c r="BD48" s="91">
        <v>0</v>
      </c>
      <c r="BE48" s="91">
        <v>0.23300000000000001</v>
      </c>
      <c r="BF48" s="91">
        <v>0.23200000000000001</v>
      </c>
      <c r="BG48" s="88">
        <v>0</v>
      </c>
      <c r="BH48"/>
      <c r="BI48"/>
      <c r="BJ48"/>
      <c r="BK48"/>
      <c r="BL48"/>
      <c r="BM48"/>
      <c r="BN48"/>
      <c r="BO48"/>
      <c r="BP48"/>
      <c r="BQ48"/>
    </row>
    <row r="49" spans="1:69">
      <c r="A49" s="95">
        <v>10118</v>
      </c>
      <c r="B49" s="95" t="s">
        <v>53</v>
      </c>
      <c r="C49" s="95">
        <v>0</v>
      </c>
      <c r="D49" s="95">
        <v>1</v>
      </c>
      <c r="E49" s="91">
        <v>46.354999999999997</v>
      </c>
      <c r="F49" s="99">
        <v>51.58</v>
      </c>
      <c r="G49" s="99">
        <v>51.968000000000004</v>
      </c>
      <c r="H49" s="99">
        <v>0</v>
      </c>
      <c r="I49" s="99">
        <v>0</v>
      </c>
      <c r="J49" s="99">
        <v>2.363</v>
      </c>
      <c r="K49" s="99">
        <v>2.363</v>
      </c>
      <c r="L49" s="97">
        <v>20756.592000000001</v>
      </c>
      <c r="M49" s="97">
        <v>20699.88</v>
      </c>
      <c r="N49" s="99">
        <v>49.216999999999999</v>
      </c>
      <c r="O49" s="99">
        <v>49.604999999999997</v>
      </c>
      <c r="P49" s="97">
        <v>432322.12799999997</v>
      </c>
      <c r="Q49" s="97">
        <v>434539.8</v>
      </c>
      <c r="R49" s="95">
        <v>45.673999999999999</v>
      </c>
      <c r="S49" s="97">
        <v>401200.41599999997</v>
      </c>
      <c r="T49" s="97">
        <v>400104.24</v>
      </c>
      <c r="U49" s="99">
        <v>3.5430000000000001</v>
      </c>
      <c r="V49" s="99">
        <v>3.931</v>
      </c>
      <c r="W49" s="91">
        <v>3.5430000000000001</v>
      </c>
      <c r="X49" s="91">
        <v>3.931</v>
      </c>
      <c r="Y49" s="99">
        <v>0</v>
      </c>
      <c r="Z49" s="99">
        <v>0</v>
      </c>
      <c r="AA49" s="95">
        <v>0</v>
      </c>
      <c r="AB49" s="95">
        <v>0</v>
      </c>
      <c r="AC49" s="99">
        <v>3.5430000000000001</v>
      </c>
      <c r="AD49" s="99">
        <v>3.931</v>
      </c>
      <c r="AE49" s="100">
        <v>6.4663000000000003E-3</v>
      </c>
      <c r="AF49" s="100">
        <v>6.4663000000000003E-3</v>
      </c>
      <c r="AG49" s="92">
        <v>0</v>
      </c>
      <c r="AH49" s="100">
        <v>6.4663000000000003E-3</v>
      </c>
      <c r="AI49" s="100">
        <v>6.4663000000000003E-3</v>
      </c>
      <c r="AJ49" s="100">
        <v>6.4663000000000003E-3</v>
      </c>
      <c r="AK49" s="100">
        <v>0.93130742728770843</v>
      </c>
      <c r="AL49" s="100">
        <v>0.92435416216710276</v>
      </c>
      <c r="AM49" s="100">
        <v>1.0775714848710425</v>
      </c>
      <c r="AN49" s="100">
        <v>1.0860664710776371</v>
      </c>
      <c r="AO49" s="100">
        <v>7.0042146516617762E-2</v>
      </c>
      <c r="AP49" s="100">
        <v>7.0594320620046419E-2</v>
      </c>
      <c r="AQ49" s="95">
        <v>6</v>
      </c>
      <c r="AR49" s="95">
        <v>6</v>
      </c>
      <c r="AS49" s="99">
        <v>0</v>
      </c>
      <c r="AT49" s="99">
        <v>0</v>
      </c>
      <c r="AU49" s="91">
        <v>0</v>
      </c>
      <c r="AV49" s="91">
        <v>0</v>
      </c>
      <c r="AW49" s="91">
        <v>0</v>
      </c>
      <c r="AX49" s="91">
        <v>0</v>
      </c>
      <c r="AY49" s="91">
        <v>0</v>
      </c>
      <c r="AZ49" s="91">
        <v>0</v>
      </c>
      <c r="BA49" s="91">
        <v>0</v>
      </c>
      <c r="BB49" s="91">
        <v>0</v>
      </c>
      <c r="BC49" s="91">
        <v>0</v>
      </c>
      <c r="BD49" s="91">
        <v>0</v>
      </c>
      <c r="BE49" s="99">
        <v>45.673999999999999</v>
      </c>
      <c r="BF49" s="99">
        <v>45.673999999999999</v>
      </c>
      <c r="BG49" s="88">
        <v>1</v>
      </c>
      <c r="BH49"/>
      <c r="BI49"/>
      <c r="BJ49"/>
      <c r="BK49"/>
      <c r="BL49"/>
      <c r="BM49"/>
      <c r="BN49"/>
      <c r="BO49"/>
      <c r="BP49"/>
      <c r="BQ49"/>
    </row>
    <row r="50" spans="1:69">
      <c r="A50" s="88">
        <v>10121</v>
      </c>
      <c r="B50" s="88" t="s">
        <v>54</v>
      </c>
      <c r="C50" s="88">
        <v>0</v>
      </c>
      <c r="D50" s="88">
        <v>1</v>
      </c>
      <c r="E50" s="91">
        <v>41.484999999999999</v>
      </c>
      <c r="F50" s="91">
        <v>39.494</v>
      </c>
      <c r="G50" s="91">
        <v>39.47</v>
      </c>
      <c r="H50" s="91">
        <v>0</v>
      </c>
      <c r="I50" s="91">
        <v>0</v>
      </c>
      <c r="J50" s="91">
        <v>0</v>
      </c>
      <c r="K50" s="91">
        <v>0</v>
      </c>
      <c r="L50" s="90">
        <v>0</v>
      </c>
      <c r="M50" s="90">
        <v>0</v>
      </c>
      <c r="N50" s="91">
        <v>39.494</v>
      </c>
      <c r="O50" s="91">
        <v>39.47</v>
      </c>
      <c r="P50" s="90">
        <v>346915.29599999997</v>
      </c>
      <c r="Q50" s="90">
        <v>345757.2</v>
      </c>
      <c r="R50" s="88">
        <v>40.875</v>
      </c>
      <c r="S50" s="90">
        <v>359046</v>
      </c>
      <c r="T50" s="90">
        <v>358065</v>
      </c>
      <c r="U50" s="91">
        <v>0</v>
      </c>
      <c r="V50" s="91">
        <v>0</v>
      </c>
      <c r="W50" s="91">
        <v>0</v>
      </c>
      <c r="X50" s="91">
        <v>0</v>
      </c>
      <c r="Y50" s="91">
        <v>0</v>
      </c>
      <c r="Z50" s="91">
        <v>0</v>
      </c>
      <c r="AA50" s="88">
        <v>0</v>
      </c>
      <c r="AB50" s="88">
        <v>0</v>
      </c>
      <c r="AC50" s="91">
        <v>0</v>
      </c>
      <c r="AD50" s="91">
        <v>0</v>
      </c>
      <c r="AE50" s="92">
        <v>5.5913999999999998E-3</v>
      </c>
      <c r="AF50" s="92">
        <v>5.5880000000000001E-3</v>
      </c>
      <c r="AG50" s="92">
        <v>0</v>
      </c>
      <c r="AH50" s="92">
        <v>5.5913999999999998E-3</v>
      </c>
      <c r="AI50" s="92">
        <v>5.5880000000000001E-3</v>
      </c>
      <c r="AJ50" s="92">
        <v>5.5896999999999995E-3</v>
      </c>
      <c r="AK50" s="92">
        <v>1</v>
      </c>
      <c r="AL50" s="92">
        <v>1</v>
      </c>
      <c r="AM50" s="92">
        <v>1</v>
      </c>
      <c r="AN50" s="92">
        <v>1</v>
      </c>
      <c r="AO50" s="92">
        <v>0.06</v>
      </c>
      <c r="AP50" s="92">
        <v>0.06</v>
      </c>
      <c r="AQ50" s="88">
        <v>6</v>
      </c>
      <c r="AR50" s="88">
        <v>6</v>
      </c>
      <c r="AS50" s="91">
        <v>0</v>
      </c>
      <c r="AT50" s="91">
        <v>0</v>
      </c>
      <c r="AU50" s="91">
        <v>0</v>
      </c>
      <c r="AV50" s="91">
        <v>0</v>
      </c>
      <c r="AW50" s="91">
        <v>0</v>
      </c>
      <c r="AX50" s="91">
        <v>0</v>
      </c>
      <c r="AY50" s="91">
        <v>0</v>
      </c>
      <c r="AZ50" s="91">
        <v>0</v>
      </c>
      <c r="BA50" s="91">
        <v>0</v>
      </c>
      <c r="BB50" s="91">
        <v>0</v>
      </c>
      <c r="BC50" s="91">
        <v>0</v>
      </c>
      <c r="BD50" s="91">
        <v>0</v>
      </c>
      <c r="BE50" s="91">
        <v>39.494</v>
      </c>
      <c r="BF50" s="91">
        <v>39.47</v>
      </c>
      <c r="BG50" s="88">
        <v>1</v>
      </c>
      <c r="BH50"/>
      <c r="BI50"/>
      <c r="BJ50"/>
      <c r="BK50"/>
      <c r="BL50"/>
      <c r="BM50"/>
      <c r="BN50"/>
      <c r="BO50"/>
      <c r="BP50"/>
      <c r="BQ50"/>
    </row>
    <row r="51" spans="1:69">
      <c r="A51" s="88">
        <v>10123</v>
      </c>
      <c r="B51" s="88" t="s">
        <v>55</v>
      </c>
      <c r="C51" s="88">
        <v>1</v>
      </c>
      <c r="D51" s="88">
        <v>0</v>
      </c>
      <c r="E51" s="91">
        <v>557.39200000000005</v>
      </c>
      <c r="F51" s="91">
        <v>573.93299999999999</v>
      </c>
      <c r="G51" s="91">
        <v>591.97400000000005</v>
      </c>
      <c r="H51" s="91">
        <v>26</v>
      </c>
      <c r="I51" s="91">
        <v>26</v>
      </c>
      <c r="J51" s="91">
        <v>15.744</v>
      </c>
      <c r="K51" s="91">
        <v>15.723000000000001</v>
      </c>
      <c r="L51" s="90">
        <v>138295.296</v>
      </c>
      <c r="M51" s="90">
        <v>137733.48000000001</v>
      </c>
      <c r="N51" s="91">
        <v>532.18899999999996</v>
      </c>
      <c r="O51" s="91">
        <v>550.25099999999998</v>
      </c>
      <c r="P51" s="90">
        <v>4674748.176</v>
      </c>
      <c r="Q51" s="90">
        <v>4820198.76</v>
      </c>
      <c r="R51" s="88">
        <v>549.19899999999996</v>
      </c>
      <c r="S51" s="90">
        <v>4824164.0159999998</v>
      </c>
      <c r="T51" s="90">
        <v>4810983.2399999993</v>
      </c>
      <c r="U51" s="91">
        <v>0</v>
      </c>
      <c r="V51" s="91">
        <v>0</v>
      </c>
      <c r="W51" s="91">
        <v>0</v>
      </c>
      <c r="X51" s="91">
        <v>0</v>
      </c>
      <c r="Y51" s="91">
        <v>0</v>
      </c>
      <c r="Z51" s="91">
        <v>0</v>
      </c>
      <c r="AA51" s="88">
        <v>0</v>
      </c>
      <c r="AB51" s="88">
        <v>0</v>
      </c>
      <c r="AC51" s="91">
        <v>0</v>
      </c>
      <c r="AD51" s="91">
        <v>0</v>
      </c>
      <c r="AE51" s="92">
        <v>7.5344900000000006E-2</v>
      </c>
      <c r="AF51" s="92">
        <v>7.7753100000000006E-2</v>
      </c>
      <c r="AG51" s="92">
        <v>3.9875500000000001E-2</v>
      </c>
      <c r="AH51" s="92">
        <v>3.5469400000000005E-2</v>
      </c>
      <c r="AI51" s="92">
        <v>3.7877600000000004E-2</v>
      </c>
      <c r="AJ51" s="92">
        <v>3.6673500000000005E-2</v>
      </c>
      <c r="AK51" s="92">
        <v>0.99999948600786515</v>
      </c>
      <c r="AL51" s="92">
        <v>0.99999993295397716</v>
      </c>
      <c r="AM51" s="92">
        <v>1</v>
      </c>
      <c r="AN51" s="92">
        <v>1.0019155169619756</v>
      </c>
      <c r="AO51" s="92">
        <v>0</v>
      </c>
      <c r="AP51" s="92">
        <v>0</v>
      </c>
      <c r="AQ51" s="88">
        <v>4</v>
      </c>
      <c r="AR51" s="88">
        <v>4</v>
      </c>
      <c r="AS51" s="91">
        <v>0</v>
      </c>
      <c r="AT51" s="91">
        <v>0</v>
      </c>
      <c r="AU51" s="91">
        <v>0</v>
      </c>
      <c r="AV51" s="91">
        <v>0</v>
      </c>
      <c r="AW51" s="91">
        <v>0</v>
      </c>
      <c r="AX51" s="91">
        <v>0</v>
      </c>
      <c r="AY51" s="91">
        <v>0</v>
      </c>
      <c r="AZ51" s="91">
        <v>0</v>
      </c>
      <c r="BA51" s="91">
        <v>0</v>
      </c>
      <c r="BB51" s="91">
        <v>0</v>
      </c>
      <c r="BC51" s="91">
        <v>0</v>
      </c>
      <c r="BD51" s="91">
        <v>0</v>
      </c>
      <c r="BE51" s="91">
        <v>532.18899999999996</v>
      </c>
      <c r="BF51" s="91">
        <v>549.19899999999996</v>
      </c>
      <c r="BG51" s="88">
        <v>0</v>
      </c>
      <c r="BH51"/>
      <c r="BI51"/>
      <c r="BJ51"/>
      <c r="BK51"/>
      <c r="BL51"/>
      <c r="BM51"/>
      <c r="BN51"/>
      <c r="BO51"/>
      <c r="BP51"/>
      <c r="BQ51"/>
    </row>
    <row r="52" spans="1:69">
      <c r="A52" s="88">
        <v>10136</v>
      </c>
      <c r="B52" s="88" t="s">
        <v>56</v>
      </c>
      <c r="C52" s="88">
        <v>0</v>
      </c>
      <c r="D52" s="88">
        <v>1</v>
      </c>
      <c r="E52" s="91">
        <v>18.814</v>
      </c>
      <c r="F52" s="91">
        <v>18.396000000000001</v>
      </c>
      <c r="G52" s="91">
        <v>18.434000000000001</v>
      </c>
      <c r="H52" s="91">
        <v>0</v>
      </c>
      <c r="I52" s="91">
        <v>0</v>
      </c>
      <c r="J52" s="91">
        <v>0</v>
      </c>
      <c r="K52" s="91">
        <v>0</v>
      </c>
      <c r="L52" s="90">
        <v>0</v>
      </c>
      <c r="M52" s="90">
        <v>0</v>
      </c>
      <c r="N52" s="91">
        <v>18.396000000000001</v>
      </c>
      <c r="O52" s="91">
        <v>18.434000000000001</v>
      </c>
      <c r="P52" s="90">
        <v>161590.46400000001</v>
      </c>
      <c r="Q52" s="90">
        <v>161481.84</v>
      </c>
      <c r="R52" s="88">
        <v>18.536999999999999</v>
      </c>
      <c r="S52" s="90">
        <v>162829.008</v>
      </c>
      <c r="T52" s="90">
        <v>162384.12</v>
      </c>
      <c r="U52" s="91">
        <v>0</v>
      </c>
      <c r="V52" s="91">
        <v>0</v>
      </c>
      <c r="W52" s="91">
        <v>0</v>
      </c>
      <c r="X52" s="91">
        <v>0</v>
      </c>
      <c r="Y52" s="91">
        <v>0</v>
      </c>
      <c r="Z52" s="91">
        <v>0</v>
      </c>
      <c r="AA52" s="88">
        <v>0</v>
      </c>
      <c r="AB52" s="88">
        <v>0</v>
      </c>
      <c r="AC52" s="91">
        <v>0</v>
      </c>
      <c r="AD52" s="91">
        <v>0</v>
      </c>
      <c r="AE52" s="92">
        <v>2.6044000000000002E-3</v>
      </c>
      <c r="AF52" s="92">
        <v>2.6097999999999998E-3</v>
      </c>
      <c r="AG52" s="92">
        <v>0</v>
      </c>
      <c r="AH52" s="92">
        <v>2.6044000000000002E-3</v>
      </c>
      <c r="AI52" s="92">
        <v>2.6097999999999998E-3</v>
      </c>
      <c r="AJ52" s="92">
        <v>2.6071000000000002E-3</v>
      </c>
      <c r="AK52" s="92">
        <v>0.99999063959556422</v>
      </c>
      <c r="AL52" s="92">
        <v>0.9999983713247258</v>
      </c>
      <c r="AM52" s="92">
        <v>1</v>
      </c>
      <c r="AN52" s="92">
        <v>1</v>
      </c>
      <c r="AO52" s="92">
        <v>7.0000000000000007E-2</v>
      </c>
      <c r="AP52" s="92">
        <v>7.0000000000000007E-2</v>
      </c>
      <c r="AQ52" s="88">
        <v>6</v>
      </c>
      <c r="AR52" s="88">
        <v>6</v>
      </c>
      <c r="AS52" s="91">
        <v>0</v>
      </c>
      <c r="AT52" s="91">
        <v>0</v>
      </c>
      <c r="AU52" s="91">
        <v>0</v>
      </c>
      <c r="AV52" s="91">
        <v>0</v>
      </c>
      <c r="AW52" s="91">
        <v>0</v>
      </c>
      <c r="AX52" s="91">
        <v>0</v>
      </c>
      <c r="AY52" s="91">
        <v>0</v>
      </c>
      <c r="AZ52" s="91">
        <v>0</v>
      </c>
      <c r="BA52" s="91">
        <v>0</v>
      </c>
      <c r="BB52" s="91">
        <v>0</v>
      </c>
      <c r="BC52" s="91">
        <v>0</v>
      </c>
      <c r="BD52" s="91">
        <v>0</v>
      </c>
      <c r="BE52" s="91">
        <v>18.396000000000001</v>
      </c>
      <c r="BF52" s="91">
        <v>18.434000000000001</v>
      </c>
      <c r="BG52" s="88">
        <v>1</v>
      </c>
      <c r="BH52"/>
      <c r="BI52"/>
      <c r="BJ52"/>
      <c r="BK52"/>
      <c r="BL52"/>
      <c r="BM52"/>
      <c r="BN52"/>
      <c r="BO52"/>
      <c r="BP52"/>
      <c r="BQ52"/>
    </row>
    <row r="53" spans="1:69">
      <c r="A53" s="88">
        <v>10142</v>
      </c>
      <c r="B53" s="88" t="s">
        <v>57</v>
      </c>
      <c r="C53" s="88">
        <v>1</v>
      </c>
      <c r="D53" s="88">
        <v>0</v>
      </c>
      <c r="E53" s="91">
        <v>2.7269999999999999</v>
      </c>
      <c r="F53" s="91">
        <v>3.3140000000000001</v>
      </c>
      <c r="G53" s="91">
        <v>3.347</v>
      </c>
      <c r="H53" s="91">
        <v>0</v>
      </c>
      <c r="I53" s="91">
        <v>0</v>
      </c>
      <c r="J53" s="91">
        <v>0</v>
      </c>
      <c r="K53" s="91">
        <v>0</v>
      </c>
      <c r="L53" s="90">
        <v>0</v>
      </c>
      <c r="M53" s="90">
        <v>0</v>
      </c>
      <c r="N53" s="91">
        <v>3.3140000000000001</v>
      </c>
      <c r="O53" s="91">
        <v>3.347</v>
      </c>
      <c r="P53" s="90">
        <v>29110.175999999999</v>
      </c>
      <c r="Q53" s="90">
        <v>29319.72</v>
      </c>
      <c r="R53" s="88">
        <v>2.6869999999999998</v>
      </c>
      <c r="S53" s="90">
        <v>23602.608</v>
      </c>
      <c r="T53" s="90">
        <v>23538.12</v>
      </c>
      <c r="U53" s="91">
        <v>0.627</v>
      </c>
      <c r="V53" s="91">
        <v>0.66</v>
      </c>
      <c r="W53" s="91">
        <v>0</v>
      </c>
      <c r="X53" s="91">
        <v>0</v>
      </c>
      <c r="Y53" s="91">
        <v>0.627</v>
      </c>
      <c r="Z53" s="91">
        <v>0.66</v>
      </c>
      <c r="AA53" s="88">
        <v>0</v>
      </c>
      <c r="AB53" s="88">
        <v>0</v>
      </c>
      <c r="AC53" s="91">
        <v>0</v>
      </c>
      <c r="AD53" s="91">
        <v>0</v>
      </c>
      <c r="AE53" s="92">
        <v>3.8039999999999998E-4</v>
      </c>
      <c r="AF53" s="92">
        <v>3.8039999999999998E-4</v>
      </c>
      <c r="AG53" s="92">
        <v>0</v>
      </c>
      <c r="AH53" s="92">
        <v>3.8039999999999998E-4</v>
      </c>
      <c r="AI53" s="92">
        <v>3.8039999999999998E-4</v>
      </c>
      <c r="AJ53" s="92">
        <v>3.8039999999999998E-4</v>
      </c>
      <c r="AK53" s="92">
        <v>0.81077370126735049</v>
      </c>
      <c r="AL53" s="92">
        <v>0.80277981655213615</v>
      </c>
      <c r="AM53" s="92">
        <v>1.2333457387420916</v>
      </c>
      <c r="AN53" s="92">
        <v>1.245627093412728</v>
      </c>
      <c r="AO53" s="92">
        <v>3.0833643468552292E-2</v>
      </c>
      <c r="AP53" s="92">
        <v>3.1140677335318202E-2</v>
      </c>
      <c r="AQ53" s="88">
        <v>1</v>
      </c>
      <c r="AR53" s="88">
        <v>1</v>
      </c>
      <c r="AS53" s="91">
        <v>0</v>
      </c>
      <c r="AT53" s="91">
        <v>0</v>
      </c>
      <c r="AU53" s="91">
        <v>0</v>
      </c>
      <c r="AV53" s="91">
        <v>0</v>
      </c>
      <c r="AW53" s="91">
        <v>0</v>
      </c>
      <c r="AX53" s="91">
        <v>0</v>
      </c>
      <c r="AY53" s="91">
        <v>0</v>
      </c>
      <c r="AZ53" s="91">
        <v>0</v>
      </c>
      <c r="BA53" s="91">
        <v>0</v>
      </c>
      <c r="BB53" s="91">
        <v>0</v>
      </c>
      <c r="BC53" s="91">
        <v>0</v>
      </c>
      <c r="BD53" s="91">
        <v>0</v>
      </c>
      <c r="BE53" s="91">
        <v>3.3140000000000001</v>
      </c>
      <c r="BF53" s="91">
        <v>3.347</v>
      </c>
      <c r="BG53" s="88">
        <v>0</v>
      </c>
      <c r="BH53"/>
      <c r="BI53"/>
      <c r="BJ53"/>
      <c r="BK53"/>
      <c r="BL53"/>
      <c r="BM53"/>
      <c r="BN53"/>
      <c r="BO53"/>
      <c r="BP53"/>
      <c r="BQ53"/>
    </row>
    <row r="54" spans="1:69">
      <c r="A54" s="88">
        <v>10144</v>
      </c>
      <c r="B54" s="88" t="s">
        <v>58</v>
      </c>
      <c r="C54" s="88">
        <v>1</v>
      </c>
      <c r="D54" s="88">
        <v>0</v>
      </c>
      <c r="E54" s="91">
        <v>3.4180000000000001</v>
      </c>
      <c r="F54" s="91">
        <v>3.2570000000000001</v>
      </c>
      <c r="G54" s="91">
        <v>3.258</v>
      </c>
      <c r="H54" s="91">
        <v>0</v>
      </c>
      <c r="I54" s="91">
        <v>0</v>
      </c>
      <c r="J54" s="91">
        <v>0</v>
      </c>
      <c r="K54" s="91">
        <v>0</v>
      </c>
      <c r="L54" s="90">
        <v>0</v>
      </c>
      <c r="M54" s="90">
        <v>0</v>
      </c>
      <c r="N54" s="91">
        <v>3.2570000000000001</v>
      </c>
      <c r="O54" s="91">
        <v>3.258</v>
      </c>
      <c r="P54" s="90">
        <v>28609.488000000001</v>
      </c>
      <c r="Q54" s="90">
        <v>28540.080000000002</v>
      </c>
      <c r="R54" s="88">
        <v>3.3679999999999999</v>
      </c>
      <c r="S54" s="90">
        <v>29584.511999999999</v>
      </c>
      <c r="T54" s="90">
        <v>29503.68</v>
      </c>
      <c r="U54" s="91">
        <v>0</v>
      </c>
      <c r="V54" s="91">
        <v>0</v>
      </c>
      <c r="W54" s="91">
        <v>0</v>
      </c>
      <c r="X54" s="91">
        <v>0</v>
      </c>
      <c r="Y54" s="91">
        <v>0</v>
      </c>
      <c r="Z54" s="91">
        <v>0</v>
      </c>
      <c r="AA54" s="88">
        <v>0</v>
      </c>
      <c r="AB54" s="88">
        <v>0</v>
      </c>
      <c r="AC54" s="91">
        <v>0</v>
      </c>
      <c r="AD54" s="91">
        <v>0</v>
      </c>
      <c r="AE54" s="92">
        <v>4.6109999999999999E-4</v>
      </c>
      <c r="AF54" s="92">
        <v>4.6129999999999999E-4</v>
      </c>
      <c r="AG54" s="92">
        <v>0</v>
      </c>
      <c r="AH54" s="92">
        <v>4.6109999999999999E-4</v>
      </c>
      <c r="AI54" s="92">
        <v>4.6129999999999999E-4</v>
      </c>
      <c r="AJ54" s="92">
        <v>4.6119999999999999E-4</v>
      </c>
      <c r="AK54" s="92">
        <v>0.9999747011053115</v>
      </c>
      <c r="AL54" s="92">
        <v>1</v>
      </c>
      <c r="AM54" s="92">
        <v>1</v>
      </c>
      <c r="AN54" s="92">
        <v>1</v>
      </c>
      <c r="AO54" s="92">
        <v>0</v>
      </c>
      <c r="AP54" s="92">
        <v>0</v>
      </c>
      <c r="AQ54" s="88">
        <v>1</v>
      </c>
      <c r="AR54" s="88">
        <v>1</v>
      </c>
      <c r="AS54" s="91">
        <v>0</v>
      </c>
      <c r="AT54" s="91">
        <v>0</v>
      </c>
      <c r="AU54" s="91">
        <v>0</v>
      </c>
      <c r="AV54" s="91">
        <v>0</v>
      </c>
      <c r="AW54" s="91">
        <v>0</v>
      </c>
      <c r="AX54" s="91">
        <v>0</v>
      </c>
      <c r="AY54" s="91">
        <v>0</v>
      </c>
      <c r="AZ54" s="91">
        <v>0</v>
      </c>
      <c r="BA54" s="91">
        <v>0</v>
      </c>
      <c r="BB54" s="91">
        <v>0</v>
      </c>
      <c r="BC54" s="91">
        <v>0</v>
      </c>
      <c r="BD54" s="91">
        <v>0</v>
      </c>
      <c r="BE54" s="91">
        <v>3.2570000000000001</v>
      </c>
      <c r="BF54" s="91">
        <v>3.258</v>
      </c>
      <c r="BG54" s="88">
        <v>0</v>
      </c>
      <c r="BH54"/>
      <c r="BI54"/>
      <c r="BJ54"/>
      <c r="BK54"/>
      <c r="BL54"/>
      <c r="BM54"/>
      <c r="BN54"/>
      <c r="BO54"/>
      <c r="BP54"/>
      <c r="BQ54"/>
    </row>
    <row r="55" spans="1:69">
      <c r="A55" s="88">
        <v>10156</v>
      </c>
      <c r="B55" s="88" t="s">
        <v>59</v>
      </c>
      <c r="C55" s="88">
        <v>1</v>
      </c>
      <c r="D55" s="88">
        <v>0</v>
      </c>
      <c r="E55" s="91">
        <v>32.719000000000001</v>
      </c>
      <c r="F55" s="91">
        <v>32.878999999999998</v>
      </c>
      <c r="G55" s="91">
        <v>33.006</v>
      </c>
      <c r="H55" s="91">
        <v>0</v>
      </c>
      <c r="I55" s="91">
        <v>0</v>
      </c>
      <c r="J55" s="91">
        <v>0</v>
      </c>
      <c r="K55" s="91">
        <v>0</v>
      </c>
      <c r="L55" s="90">
        <v>0</v>
      </c>
      <c r="M55" s="90">
        <v>0</v>
      </c>
      <c r="N55" s="91">
        <v>32.878999999999998</v>
      </c>
      <c r="O55" s="91">
        <v>33.006</v>
      </c>
      <c r="P55" s="90">
        <v>288809.136</v>
      </c>
      <c r="Q55" s="90">
        <v>289132.56</v>
      </c>
      <c r="R55" s="88">
        <v>32.238</v>
      </c>
      <c r="S55" s="90">
        <v>283178.592</v>
      </c>
      <c r="T55" s="90">
        <v>282404.88</v>
      </c>
      <c r="U55" s="91">
        <v>0.64100000000000001</v>
      </c>
      <c r="V55" s="91">
        <v>0.76800000000000002</v>
      </c>
      <c r="W55" s="91">
        <v>0</v>
      </c>
      <c r="X55" s="91">
        <v>0</v>
      </c>
      <c r="Y55" s="91">
        <v>0.64100000000000001</v>
      </c>
      <c r="Z55" s="91">
        <v>0.76800000000000002</v>
      </c>
      <c r="AA55" s="88">
        <v>0</v>
      </c>
      <c r="AB55" s="88">
        <v>0</v>
      </c>
      <c r="AC55" s="91">
        <v>0</v>
      </c>
      <c r="AD55" s="91">
        <v>0</v>
      </c>
      <c r="AE55" s="92">
        <v>4.5640999999999998E-3</v>
      </c>
      <c r="AF55" s="92">
        <v>4.5640999999999998E-3</v>
      </c>
      <c r="AG55" s="92">
        <v>0</v>
      </c>
      <c r="AH55" s="92">
        <v>4.5640999999999998E-3</v>
      </c>
      <c r="AI55" s="92">
        <v>4.5640999999999998E-3</v>
      </c>
      <c r="AJ55" s="92">
        <v>4.5640999999999998E-3</v>
      </c>
      <c r="AK55" s="92">
        <v>0.98050135942394845</v>
      </c>
      <c r="AL55" s="92">
        <v>0.97672860075440815</v>
      </c>
      <c r="AM55" s="92">
        <v>1.0198833674545567</v>
      </c>
      <c r="AN55" s="92">
        <v>1.0238228177926672</v>
      </c>
      <c r="AO55" s="92">
        <v>0</v>
      </c>
      <c r="AP55" s="92">
        <v>0</v>
      </c>
      <c r="AQ55" s="88">
        <v>1</v>
      </c>
      <c r="AR55" s="88">
        <v>3</v>
      </c>
      <c r="AS55" s="91">
        <v>0</v>
      </c>
      <c r="AT55" s="91">
        <v>0</v>
      </c>
      <c r="AU55" s="91">
        <v>0</v>
      </c>
      <c r="AV55" s="91">
        <v>0</v>
      </c>
      <c r="AW55" s="91">
        <v>0</v>
      </c>
      <c r="AX55" s="91">
        <v>0</v>
      </c>
      <c r="AY55" s="91">
        <v>0</v>
      </c>
      <c r="AZ55" s="91">
        <v>0</v>
      </c>
      <c r="BA55" s="91">
        <v>0</v>
      </c>
      <c r="BB55" s="91">
        <v>0</v>
      </c>
      <c r="BC55" s="91">
        <v>0</v>
      </c>
      <c r="BD55" s="91">
        <v>0</v>
      </c>
      <c r="BE55" s="91">
        <v>32.878999999999998</v>
      </c>
      <c r="BF55" s="91">
        <v>33.006</v>
      </c>
      <c r="BG55" s="88">
        <v>1</v>
      </c>
      <c r="BH55"/>
      <c r="BI55"/>
      <c r="BJ55"/>
      <c r="BK55"/>
      <c r="BL55"/>
      <c r="BM55"/>
      <c r="BN55"/>
      <c r="BO55"/>
      <c r="BP55"/>
      <c r="BQ55"/>
    </row>
    <row r="56" spans="1:69">
      <c r="A56" s="88">
        <v>10157</v>
      </c>
      <c r="B56" s="88" t="s">
        <v>60</v>
      </c>
      <c r="C56" s="88">
        <v>1</v>
      </c>
      <c r="D56" s="88">
        <v>0</v>
      </c>
      <c r="E56" s="91">
        <v>50.703000000000003</v>
      </c>
      <c r="F56" s="91">
        <v>91.744</v>
      </c>
      <c r="G56" s="91">
        <v>92.804000000000002</v>
      </c>
      <c r="H56" s="91">
        <v>34.427</v>
      </c>
      <c r="I56" s="91">
        <v>34.418999999999997</v>
      </c>
      <c r="J56" s="91">
        <v>2.5499999999999998</v>
      </c>
      <c r="K56" s="91">
        <v>2.5489999999999999</v>
      </c>
      <c r="L56" s="90">
        <v>22399.199999999997</v>
      </c>
      <c r="M56" s="90">
        <v>22329.239999999998</v>
      </c>
      <c r="N56" s="91">
        <v>54.767000000000003</v>
      </c>
      <c r="O56" s="91">
        <v>55.835999999999999</v>
      </c>
      <c r="P56" s="90">
        <v>481073.32800000004</v>
      </c>
      <c r="Q56" s="90">
        <v>489123.36</v>
      </c>
      <c r="R56" s="88">
        <v>49.957999999999998</v>
      </c>
      <c r="S56" s="90">
        <v>438831.07199999999</v>
      </c>
      <c r="T56" s="90">
        <v>437632.07999999996</v>
      </c>
      <c r="U56" s="91">
        <v>4.8090000000000002</v>
      </c>
      <c r="V56" s="91">
        <v>5.8780000000000001</v>
      </c>
      <c r="W56" s="91">
        <v>4.8090000000000002</v>
      </c>
      <c r="X56" s="91">
        <v>5.8780000000000001</v>
      </c>
      <c r="Y56" s="91">
        <v>0</v>
      </c>
      <c r="Z56" s="91">
        <v>0</v>
      </c>
      <c r="AA56" s="88">
        <v>0</v>
      </c>
      <c r="AB56" s="88">
        <v>0</v>
      </c>
      <c r="AC56" s="91">
        <v>4.8090000000000002</v>
      </c>
      <c r="AD56" s="91">
        <v>5.8780000000000001</v>
      </c>
      <c r="AE56" s="92">
        <v>7.0727999999999997E-3</v>
      </c>
      <c r="AF56" s="92">
        <v>7.0727999999999997E-3</v>
      </c>
      <c r="AG56" s="92">
        <v>3.6971999999999999E-3</v>
      </c>
      <c r="AH56" s="92">
        <v>3.3755999999999999E-3</v>
      </c>
      <c r="AI56" s="92">
        <v>3.3755999999999999E-3</v>
      </c>
      <c r="AJ56" s="92">
        <v>3.3755999999999999E-3</v>
      </c>
      <c r="AK56" s="92">
        <v>0.91609414261039479</v>
      </c>
      <c r="AL56" s="92">
        <v>0.89931948226428016</v>
      </c>
      <c r="AM56" s="92">
        <v>1.0962608591216623</v>
      </c>
      <c r="AN56" s="92">
        <v>1.1176588334200728</v>
      </c>
      <c r="AO56" s="209">
        <v>6.0294347251691416E-2</v>
      </c>
      <c r="AP56" s="209">
        <v>6.1471235838103995E-2</v>
      </c>
      <c r="AQ56" s="88">
        <v>4</v>
      </c>
      <c r="AR56" s="88">
        <v>4</v>
      </c>
      <c r="AS56" s="91">
        <v>0</v>
      </c>
      <c r="AT56" s="91">
        <v>0</v>
      </c>
      <c r="AU56" s="91">
        <v>0</v>
      </c>
      <c r="AV56" s="91">
        <v>0</v>
      </c>
      <c r="AW56" s="91">
        <v>0</v>
      </c>
      <c r="AX56" s="91">
        <v>0</v>
      </c>
      <c r="AY56" s="91">
        <v>0</v>
      </c>
      <c r="AZ56" s="91">
        <v>0</v>
      </c>
      <c r="BA56" s="91">
        <v>0</v>
      </c>
      <c r="BB56" s="91">
        <v>0</v>
      </c>
      <c r="BC56" s="91">
        <v>0</v>
      </c>
      <c r="BD56" s="91">
        <v>0</v>
      </c>
      <c r="BE56" s="91">
        <v>49.957999999999998</v>
      </c>
      <c r="BF56" s="91">
        <v>49.957999999999998</v>
      </c>
      <c r="BG56" s="88">
        <v>0</v>
      </c>
      <c r="BH56"/>
      <c r="BI56"/>
      <c r="BJ56"/>
      <c r="BK56"/>
      <c r="BL56"/>
      <c r="BM56"/>
      <c r="BN56"/>
      <c r="BO56"/>
      <c r="BP56"/>
      <c r="BQ56"/>
    </row>
    <row r="57" spans="1:69">
      <c r="A57" s="88">
        <v>10158</v>
      </c>
      <c r="B57" s="88" t="s">
        <v>61</v>
      </c>
      <c r="C57" s="88">
        <v>1</v>
      </c>
      <c r="D57" s="88">
        <v>0</v>
      </c>
      <c r="E57" s="91">
        <v>2.8330000000000002</v>
      </c>
      <c r="F57" s="91">
        <v>2.2690000000000001</v>
      </c>
      <c r="G57" s="91">
        <v>2.2679999999999998</v>
      </c>
      <c r="H57" s="91">
        <v>0</v>
      </c>
      <c r="I57" s="91">
        <v>0</v>
      </c>
      <c r="J57" s="91">
        <v>0</v>
      </c>
      <c r="K57" s="91">
        <v>0</v>
      </c>
      <c r="L57" s="90">
        <v>0</v>
      </c>
      <c r="M57" s="90">
        <v>0</v>
      </c>
      <c r="N57" s="91">
        <v>2.2690000000000001</v>
      </c>
      <c r="O57" s="91">
        <v>2.2679999999999998</v>
      </c>
      <c r="P57" s="90">
        <v>19930.896000000001</v>
      </c>
      <c r="Q57" s="90">
        <v>19867.679999999997</v>
      </c>
      <c r="R57" s="88">
        <v>2.7909999999999999</v>
      </c>
      <c r="S57" s="90">
        <v>24516.144</v>
      </c>
      <c r="T57" s="90">
        <v>24449.16</v>
      </c>
      <c r="U57" s="91">
        <v>0</v>
      </c>
      <c r="V57" s="91">
        <v>0</v>
      </c>
      <c r="W57" s="91">
        <v>0</v>
      </c>
      <c r="X57" s="91">
        <v>0</v>
      </c>
      <c r="Y57" s="91">
        <v>0</v>
      </c>
      <c r="Z57" s="91">
        <v>0</v>
      </c>
      <c r="AA57" s="88">
        <v>0</v>
      </c>
      <c r="AB57" s="88">
        <v>0</v>
      </c>
      <c r="AC57" s="91">
        <v>0</v>
      </c>
      <c r="AD57" s="91">
        <v>0</v>
      </c>
      <c r="AE57" s="92">
        <v>3.212E-4</v>
      </c>
      <c r="AF57" s="92">
        <v>3.211E-4</v>
      </c>
      <c r="AG57" s="92">
        <v>0</v>
      </c>
      <c r="AH57" s="92">
        <v>3.212E-4</v>
      </c>
      <c r="AI57" s="92">
        <v>3.211E-4</v>
      </c>
      <c r="AJ57" s="92">
        <v>3.2114999999999997E-4</v>
      </c>
      <c r="AK57" s="92">
        <v>0.99989107007492273</v>
      </c>
      <c r="AL57" s="92">
        <v>1</v>
      </c>
      <c r="AM57" s="92">
        <v>1</v>
      </c>
      <c r="AN57" s="92">
        <v>1</v>
      </c>
      <c r="AO57" s="92">
        <v>0</v>
      </c>
      <c r="AP57" s="92">
        <v>0</v>
      </c>
      <c r="AQ57" s="88">
        <v>1</v>
      </c>
      <c r="AR57" s="88">
        <v>3</v>
      </c>
      <c r="AS57" s="91">
        <v>0</v>
      </c>
      <c r="AT57" s="91">
        <v>0</v>
      </c>
      <c r="AU57" s="91">
        <v>0</v>
      </c>
      <c r="AV57" s="91">
        <v>0</v>
      </c>
      <c r="AW57" s="91">
        <v>0</v>
      </c>
      <c r="AX57" s="91">
        <v>0</v>
      </c>
      <c r="AY57" s="91">
        <v>0</v>
      </c>
      <c r="AZ57" s="91">
        <v>0</v>
      </c>
      <c r="BA57" s="91">
        <v>0</v>
      </c>
      <c r="BB57" s="91">
        <v>0</v>
      </c>
      <c r="BC57" s="91">
        <v>0</v>
      </c>
      <c r="BD57" s="91">
        <v>0</v>
      </c>
      <c r="BE57" s="91">
        <v>2.2690000000000001</v>
      </c>
      <c r="BF57" s="91">
        <v>2.2679999999999998</v>
      </c>
      <c r="BG57" s="88">
        <v>0</v>
      </c>
      <c r="BH57"/>
      <c r="BI57"/>
      <c r="BJ57"/>
      <c r="BK57"/>
      <c r="BL57"/>
      <c r="BM57"/>
      <c r="BN57"/>
      <c r="BO57"/>
      <c r="BP57"/>
      <c r="BQ57"/>
    </row>
    <row r="58" spans="1:69">
      <c r="A58" s="88">
        <v>10170</v>
      </c>
      <c r="B58" s="88" t="s">
        <v>62</v>
      </c>
      <c r="C58" s="88">
        <v>1</v>
      </c>
      <c r="D58" s="88">
        <v>0</v>
      </c>
      <c r="E58" s="91">
        <v>254.84299999999999</v>
      </c>
      <c r="F58" s="91">
        <v>273.74299999999999</v>
      </c>
      <c r="G58" s="91">
        <v>276.92599999999999</v>
      </c>
      <c r="H58" s="91">
        <v>1</v>
      </c>
      <c r="I58" s="91">
        <v>1</v>
      </c>
      <c r="J58" s="91">
        <v>42.381</v>
      </c>
      <c r="K58" s="91">
        <v>42.392000000000003</v>
      </c>
      <c r="L58" s="90">
        <v>372274.70400000003</v>
      </c>
      <c r="M58" s="90">
        <v>371353.92000000004</v>
      </c>
      <c r="N58" s="91">
        <v>230.36199999999999</v>
      </c>
      <c r="O58" s="91">
        <v>233.53399999999999</v>
      </c>
      <c r="P58" s="90">
        <v>2023499.808</v>
      </c>
      <c r="Q58" s="90">
        <v>2045757.8399999999</v>
      </c>
      <c r="R58" s="88">
        <v>251.09700000000001</v>
      </c>
      <c r="S58" s="90">
        <v>2205636.048</v>
      </c>
      <c r="T58" s="90">
        <v>2199609.7200000002</v>
      </c>
      <c r="U58" s="91">
        <v>0</v>
      </c>
      <c r="V58" s="91">
        <v>0</v>
      </c>
      <c r="W58" s="91">
        <v>0</v>
      </c>
      <c r="X58" s="91">
        <v>0</v>
      </c>
      <c r="Y58" s="91">
        <v>0</v>
      </c>
      <c r="Z58" s="91">
        <v>0</v>
      </c>
      <c r="AA58" s="88">
        <v>0</v>
      </c>
      <c r="AB58" s="88">
        <v>0</v>
      </c>
      <c r="AC58" s="91">
        <v>0</v>
      </c>
      <c r="AD58" s="91">
        <v>0</v>
      </c>
      <c r="AE58" s="92">
        <v>3.26136E-2</v>
      </c>
      <c r="AF58" s="92">
        <v>3.30627E-2</v>
      </c>
      <c r="AG58" s="92">
        <v>1.7929799999999999E-2</v>
      </c>
      <c r="AH58" s="92">
        <v>1.46838E-2</v>
      </c>
      <c r="AI58" s="92">
        <v>1.5132900000000001E-2</v>
      </c>
      <c r="AJ58" s="92">
        <v>1.4908350000000001E-2</v>
      </c>
      <c r="AK58" s="92">
        <v>1</v>
      </c>
      <c r="AL58" s="92">
        <v>0.99999998078121999</v>
      </c>
      <c r="AM58" s="92">
        <v>1</v>
      </c>
      <c r="AN58" s="92">
        <v>1</v>
      </c>
      <c r="AO58" s="92">
        <v>0</v>
      </c>
      <c r="AP58" s="92">
        <v>0</v>
      </c>
      <c r="AQ58" s="88">
        <v>4</v>
      </c>
      <c r="AR58" s="88">
        <v>4</v>
      </c>
      <c r="AS58" s="91">
        <v>0</v>
      </c>
      <c r="AT58" s="91">
        <v>0</v>
      </c>
      <c r="AU58" s="91">
        <v>0</v>
      </c>
      <c r="AV58" s="91">
        <v>0</v>
      </c>
      <c r="AW58" s="91">
        <v>0</v>
      </c>
      <c r="AX58" s="91">
        <v>0</v>
      </c>
      <c r="AY58" s="91">
        <v>0</v>
      </c>
      <c r="AZ58" s="91">
        <v>0</v>
      </c>
      <c r="BA58" s="91">
        <v>0</v>
      </c>
      <c r="BB58" s="91">
        <v>0</v>
      </c>
      <c r="BC58" s="91">
        <v>0</v>
      </c>
      <c r="BD58" s="91">
        <v>0</v>
      </c>
      <c r="BE58" s="91">
        <v>230.36199999999999</v>
      </c>
      <c r="BF58" s="91">
        <v>233.53399999999999</v>
      </c>
      <c r="BG58" s="88">
        <v>0</v>
      </c>
      <c r="BH58"/>
      <c r="BI58"/>
      <c r="BJ58"/>
      <c r="BK58"/>
      <c r="BL58"/>
      <c r="BM58"/>
      <c r="BN58"/>
      <c r="BO58"/>
      <c r="BP58"/>
      <c r="BQ58"/>
    </row>
    <row r="59" spans="1:69">
      <c r="A59" s="88">
        <v>10172</v>
      </c>
      <c r="B59" s="88" t="s">
        <v>63</v>
      </c>
      <c r="C59" s="88">
        <v>1</v>
      </c>
      <c r="D59" s="88">
        <v>0</v>
      </c>
      <c r="E59" s="91">
        <v>6.1929999999999996</v>
      </c>
      <c r="F59" s="91">
        <v>5.2729999999999997</v>
      </c>
      <c r="G59" s="91">
        <v>5.3019999999999996</v>
      </c>
      <c r="H59" s="91">
        <v>0</v>
      </c>
      <c r="I59" s="91">
        <v>0</v>
      </c>
      <c r="J59" s="91">
        <v>0</v>
      </c>
      <c r="K59" s="91">
        <v>0</v>
      </c>
      <c r="L59" s="90">
        <v>0</v>
      </c>
      <c r="M59" s="90">
        <v>0</v>
      </c>
      <c r="N59" s="91">
        <v>5.2729999999999997</v>
      </c>
      <c r="O59" s="91">
        <v>5.3019999999999996</v>
      </c>
      <c r="P59" s="90">
        <v>46318.031999999999</v>
      </c>
      <c r="Q59" s="90">
        <v>46445.52</v>
      </c>
      <c r="R59" s="88">
        <v>6.1020000000000003</v>
      </c>
      <c r="S59" s="90">
        <v>53599.968000000001</v>
      </c>
      <c r="T59" s="90">
        <v>53453.520000000004</v>
      </c>
      <c r="U59" s="91">
        <v>0</v>
      </c>
      <c r="V59" s="91">
        <v>0</v>
      </c>
      <c r="W59" s="91">
        <v>0</v>
      </c>
      <c r="X59" s="91">
        <v>0</v>
      </c>
      <c r="Y59" s="91">
        <v>0</v>
      </c>
      <c r="Z59" s="91">
        <v>0</v>
      </c>
      <c r="AA59" s="88">
        <v>0</v>
      </c>
      <c r="AB59" s="88">
        <v>0</v>
      </c>
      <c r="AC59" s="91">
        <v>0</v>
      </c>
      <c r="AD59" s="91">
        <v>0</v>
      </c>
      <c r="AE59" s="92">
        <v>7.4649999999999998E-4</v>
      </c>
      <c r="AF59" s="92">
        <v>7.5060000000000003E-4</v>
      </c>
      <c r="AG59" s="92">
        <v>0</v>
      </c>
      <c r="AH59" s="92">
        <v>7.4649999999999998E-4</v>
      </c>
      <c r="AI59" s="92">
        <v>7.5060000000000003E-4</v>
      </c>
      <c r="AJ59" s="92">
        <v>7.4854999999999995E-4</v>
      </c>
      <c r="AK59" s="92">
        <v>0.9999624450028447</v>
      </c>
      <c r="AL59" s="92">
        <v>0.99995506771029796</v>
      </c>
      <c r="AM59" s="92">
        <v>1</v>
      </c>
      <c r="AN59" s="92">
        <v>1</v>
      </c>
      <c r="AO59" s="92">
        <v>0</v>
      </c>
      <c r="AP59" s="92">
        <v>0</v>
      </c>
      <c r="AQ59" s="88">
        <v>1</v>
      </c>
      <c r="AR59" s="88">
        <v>1</v>
      </c>
      <c r="AS59" s="91">
        <v>0</v>
      </c>
      <c r="AT59" s="91">
        <v>0</v>
      </c>
      <c r="AU59" s="91">
        <v>0</v>
      </c>
      <c r="AV59" s="91">
        <v>0</v>
      </c>
      <c r="AW59" s="91">
        <v>0</v>
      </c>
      <c r="AX59" s="91">
        <v>0</v>
      </c>
      <c r="AY59" s="91">
        <v>0</v>
      </c>
      <c r="AZ59" s="91">
        <v>0</v>
      </c>
      <c r="BA59" s="91">
        <v>0</v>
      </c>
      <c r="BB59" s="91">
        <v>0</v>
      </c>
      <c r="BC59" s="91">
        <v>0</v>
      </c>
      <c r="BD59" s="91">
        <v>0</v>
      </c>
      <c r="BE59" s="91">
        <v>5.2729999999999997</v>
      </c>
      <c r="BF59" s="91">
        <v>5.3019999999999996</v>
      </c>
      <c r="BG59" s="88">
        <v>0</v>
      </c>
      <c r="BH59"/>
      <c r="BI59"/>
      <c r="BJ59"/>
      <c r="BK59"/>
      <c r="BL59"/>
      <c r="BM59"/>
      <c r="BN59"/>
      <c r="BO59"/>
      <c r="BP59"/>
      <c r="BQ59"/>
    </row>
    <row r="60" spans="1:69">
      <c r="A60" s="88">
        <v>10173</v>
      </c>
      <c r="B60" s="88" t="s">
        <v>64</v>
      </c>
      <c r="C60" s="88">
        <v>0</v>
      </c>
      <c r="D60" s="88">
        <v>1</v>
      </c>
      <c r="E60" s="91">
        <v>33.624000000000002</v>
      </c>
      <c r="F60" s="91">
        <v>42.213000000000001</v>
      </c>
      <c r="G60" s="91">
        <v>42.856999999999999</v>
      </c>
      <c r="H60" s="91">
        <v>0</v>
      </c>
      <c r="I60" s="91">
        <v>0</v>
      </c>
      <c r="J60" s="91">
        <v>2.09</v>
      </c>
      <c r="K60" s="91">
        <v>2.0939999999999999</v>
      </c>
      <c r="L60" s="90">
        <v>18358.559999999998</v>
      </c>
      <c r="M60" s="90">
        <v>18343.439999999999</v>
      </c>
      <c r="N60" s="91">
        <v>40.122999999999998</v>
      </c>
      <c r="O60" s="91">
        <v>40.762999999999998</v>
      </c>
      <c r="P60" s="90">
        <v>352440.43199999997</v>
      </c>
      <c r="Q60" s="90">
        <v>357083.88</v>
      </c>
      <c r="R60" s="88">
        <v>33.130000000000003</v>
      </c>
      <c r="S60" s="90">
        <v>291013.92000000004</v>
      </c>
      <c r="T60" s="90">
        <v>290218.80000000005</v>
      </c>
      <c r="U60" s="91">
        <v>6.9930000000000003</v>
      </c>
      <c r="V60" s="91">
        <v>7.633</v>
      </c>
      <c r="W60" s="91">
        <v>6.9930000000000003</v>
      </c>
      <c r="X60" s="91">
        <v>7.633</v>
      </c>
      <c r="Y60" s="91">
        <v>0</v>
      </c>
      <c r="Z60" s="91">
        <v>0</v>
      </c>
      <c r="AA60" s="88">
        <v>0</v>
      </c>
      <c r="AB60" s="88">
        <v>0</v>
      </c>
      <c r="AC60" s="91">
        <v>6.9930000000000003</v>
      </c>
      <c r="AD60" s="91">
        <v>7.633</v>
      </c>
      <c r="AE60" s="92">
        <v>4.6904E-3</v>
      </c>
      <c r="AF60" s="92">
        <v>4.6904E-3</v>
      </c>
      <c r="AG60" s="92">
        <v>0</v>
      </c>
      <c r="AH60" s="92">
        <v>4.6904E-3</v>
      </c>
      <c r="AI60" s="92">
        <v>4.6904E-3</v>
      </c>
      <c r="AJ60" s="92">
        <v>4.6904E-3</v>
      </c>
      <c r="AK60" s="92">
        <v>0.8343403026555799</v>
      </c>
      <c r="AL60" s="92">
        <v>0.82189624089413638</v>
      </c>
      <c r="AM60" s="92">
        <v>1.2110775731964984</v>
      </c>
      <c r="AN60" s="92">
        <v>1.230395412013281</v>
      </c>
      <c r="AO60" s="92">
        <v>8.4775430123754894E-2</v>
      </c>
      <c r="AP60" s="92">
        <v>8.6127678840929672E-2</v>
      </c>
      <c r="AQ60" s="88">
        <v>6</v>
      </c>
      <c r="AR60" s="88">
        <v>6</v>
      </c>
      <c r="AS60" s="91">
        <v>0</v>
      </c>
      <c r="AT60" s="91">
        <v>0</v>
      </c>
      <c r="AU60" s="91">
        <v>0</v>
      </c>
      <c r="AV60" s="91">
        <v>0</v>
      </c>
      <c r="AW60" s="91">
        <v>0</v>
      </c>
      <c r="AX60" s="91">
        <v>0</v>
      </c>
      <c r="AY60" s="91">
        <v>0</v>
      </c>
      <c r="AZ60" s="91">
        <v>0</v>
      </c>
      <c r="BA60" s="91">
        <v>0</v>
      </c>
      <c r="BB60" s="91">
        <v>0</v>
      </c>
      <c r="BC60" s="91">
        <v>0</v>
      </c>
      <c r="BD60" s="91">
        <v>0</v>
      </c>
      <c r="BE60" s="91">
        <v>33.130000000000003</v>
      </c>
      <c r="BF60" s="91">
        <v>33.130000000000003</v>
      </c>
      <c r="BG60" s="88">
        <v>1</v>
      </c>
      <c r="BH60"/>
      <c r="BI60"/>
      <c r="BJ60"/>
      <c r="BK60"/>
      <c r="BL60"/>
      <c r="BM60"/>
      <c r="BN60"/>
      <c r="BO60"/>
      <c r="BP60"/>
      <c r="BQ60"/>
    </row>
    <row r="61" spans="1:69">
      <c r="A61" s="88">
        <v>10174</v>
      </c>
      <c r="B61" s="88" t="s">
        <v>65</v>
      </c>
      <c r="C61" s="88">
        <v>1</v>
      </c>
      <c r="D61" s="88">
        <v>0</v>
      </c>
      <c r="E61" s="91">
        <v>0.51500000000000001</v>
      </c>
      <c r="F61" s="91">
        <v>0.496</v>
      </c>
      <c r="G61" s="91">
        <v>0.496</v>
      </c>
      <c r="H61" s="91">
        <v>0</v>
      </c>
      <c r="I61" s="91">
        <v>0</v>
      </c>
      <c r="J61" s="91">
        <v>0</v>
      </c>
      <c r="K61" s="91">
        <v>0</v>
      </c>
      <c r="L61" s="90">
        <v>0</v>
      </c>
      <c r="M61" s="90">
        <v>0</v>
      </c>
      <c r="N61" s="91">
        <v>0.496</v>
      </c>
      <c r="O61" s="91">
        <v>0.496</v>
      </c>
      <c r="P61" s="90">
        <v>4356.8639999999996</v>
      </c>
      <c r="Q61" s="90">
        <v>4344.96</v>
      </c>
      <c r="R61" s="88">
        <v>0.50700000000000001</v>
      </c>
      <c r="S61" s="90">
        <v>4453.4880000000003</v>
      </c>
      <c r="T61" s="90">
        <v>4441.32</v>
      </c>
      <c r="U61" s="91">
        <v>0</v>
      </c>
      <c r="V61" s="91">
        <v>0</v>
      </c>
      <c r="W61" s="91">
        <v>0</v>
      </c>
      <c r="X61" s="91">
        <v>0</v>
      </c>
      <c r="Y61" s="91">
        <v>0</v>
      </c>
      <c r="Z61" s="91">
        <v>0</v>
      </c>
      <c r="AA61" s="88">
        <v>0</v>
      </c>
      <c r="AB61" s="88">
        <v>0</v>
      </c>
      <c r="AC61" s="91">
        <v>0</v>
      </c>
      <c r="AD61" s="91">
        <v>0</v>
      </c>
      <c r="AE61" s="92">
        <v>7.0199999999999999E-5</v>
      </c>
      <c r="AF61" s="92">
        <v>7.0199999999999999E-5</v>
      </c>
      <c r="AG61" s="92">
        <v>0</v>
      </c>
      <c r="AH61" s="92">
        <v>7.0199999999999999E-5</v>
      </c>
      <c r="AI61" s="92">
        <v>7.0199999999999999E-5</v>
      </c>
      <c r="AJ61" s="92">
        <v>7.0199999999999999E-5</v>
      </c>
      <c r="AK61" s="92">
        <v>0.99969399798387093</v>
      </c>
      <c r="AL61" s="92">
        <v>0.99969399798387093</v>
      </c>
      <c r="AM61" s="92">
        <v>1</v>
      </c>
      <c r="AN61" s="92">
        <v>1</v>
      </c>
      <c r="AO61" s="92">
        <v>0</v>
      </c>
      <c r="AP61" s="92">
        <v>0</v>
      </c>
      <c r="AQ61" s="88">
        <v>1</v>
      </c>
      <c r="AR61" s="88">
        <v>1</v>
      </c>
      <c r="AS61" s="91">
        <v>0</v>
      </c>
      <c r="AT61" s="91">
        <v>0</v>
      </c>
      <c r="AU61" s="91">
        <v>0</v>
      </c>
      <c r="AV61" s="91">
        <v>0</v>
      </c>
      <c r="AW61" s="91">
        <v>0</v>
      </c>
      <c r="AX61" s="91">
        <v>0</v>
      </c>
      <c r="AY61" s="91">
        <v>0</v>
      </c>
      <c r="AZ61" s="91">
        <v>0</v>
      </c>
      <c r="BA61" s="91">
        <v>0</v>
      </c>
      <c r="BB61" s="91">
        <v>0</v>
      </c>
      <c r="BC61" s="91">
        <v>0</v>
      </c>
      <c r="BD61" s="91">
        <v>0</v>
      </c>
      <c r="BE61" s="91">
        <v>0.496</v>
      </c>
      <c r="BF61" s="91">
        <v>0.496</v>
      </c>
      <c r="BG61" s="88">
        <v>0</v>
      </c>
      <c r="BH61"/>
      <c r="BI61"/>
      <c r="BJ61"/>
      <c r="BK61"/>
      <c r="BL61"/>
      <c r="BM61"/>
      <c r="BN61"/>
      <c r="BO61"/>
      <c r="BP61"/>
      <c r="BQ61"/>
    </row>
    <row r="62" spans="1:69">
      <c r="A62" s="88">
        <v>10177</v>
      </c>
      <c r="B62" s="88" t="s">
        <v>66</v>
      </c>
      <c r="C62" s="88">
        <v>1</v>
      </c>
      <c r="D62" s="88">
        <v>0</v>
      </c>
      <c r="E62" s="91">
        <v>11.839</v>
      </c>
      <c r="F62" s="91">
        <v>8.657</v>
      </c>
      <c r="G62" s="91">
        <v>10.083</v>
      </c>
      <c r="H62" s="91">
        <v>0</v>
      </c>
      <c r="I62" s="91">
        <v>0</v>
      </c>
      <c r="J62" s="91">
        <v>0</v>
      </c>
      <c r="K62" s="91">
        <v>0</v>
      </c>
      <c r="L62" s="90">
        <v>0</v>
      </c>
      <c r="M62" s="90">
        <v>0</v>
      </c>
      <c r="N62" s="91">
        <v>8.657</v>
      </c>
      <c r="O62" s="91">
        <v>10.083</v>
      </c>
      <c r="P62" s="90">
        <v>76043.088000000003</v>
      </c>
      <c r="Q62" s="90">
        <v>88327.08</v>
      </c>
      <c r="R62" s="88">
        <v>11.664999999999999</v>
      </c>
      <c r="S62" s="90">
        <v>102465.35999999999</v>
      </c>
      <c r="T62" s="90">
        <v>102185.4</v>
      </c>
      <c r="U62" s="91">
        <v>0</v>
      </c>
      <c r="V62" s="91">
        <v>0</v>
      </c>
      <c r="W62" s="91">
        <v>0</v>
      </c>
      <c r="X62" s="91">
        <v>0</v>
      </c>
      <c r="Y62" s="91">
        <v>0</v>
      </c>
      <c r="Z62" s="91">
        <v>0</v>
      </c>
      <c r="AA62" s="88">
        <v>0</v>
      </c>
      <c r="AB62" s="88">
        <v>0</v>
      </c>
      <c r="AC62" s="91">
        <v>0</v>
      </c>
      <c r="AD62" s="91">
        <v>0</v>
      </c>
      <c r="AE62" s="92">
        <v>1.2256000000000001E-3</v>
      </c>
      <c r="AF62" s="92">
        <v>1.4274999999999999E-3</v>
      </c>
      <c r="AG62" s="92">
        <v>0</v>
      </c>
      <c r="AH62" s="92">
        <v>1.2256000000000001E-3</v>
      </c>
      <c r="AI62" s="92">
        <v>1.4274999999999999E-3</v>
      </c>
      <c r="AJ62" s="92">
        <v>1.3265500000000001E-3</v>
      </c>
      <c r="AK62" s="92">
        <v>0.99998384474991331</v>
      </c>
      <c r="AL62" s="92">
        <v>0.99999539199642962</v>
      </c>
      <c r="AM62" s="92">
        <v>1</v>
      </c>
      <c r="AN62" s="92">
        <v>1</v>
      </c>
      <c r="AO62" s="92">
        <v>7.0000000000000007E-2</v>
      </c>
      <c r="AP62" s="92">
        <v>7.0000000000000007E-2</v>
      </c>
      <c r="AQ62" s="88">
        <v>1</v>
      </c>
      <c r="AR62" s="88">
        <v>3</v>
      </c>
      <c r="AS62" s="91">
        <v>0</v>
      </c>
      <c r="AT62" s="91">
        <v>0</v>
      </c>
      <c r="AU62" s="91">
        <v>0</v>
      </c>
      <c r="AV62" s="91">
        <v>0</v>
      </c>
      <c r="AW62" s="91">
        <v>0</v>
      </c>
      <c r="AX62" s="91">
        <v>0</v>
      </c>
      <c r="AY62" s="91">
        <v>0</v>
      </c>
      <c r="AZ62" s="91">
        <v>0</v>
      </c>
      <c r="BA62" s="91">
        <v>0</v>
      </c>
      <c r="BB62" s="91">
        <v>0</v>
      </c>
      <c r="BC62" s="91">
        <v>0</v>
      </c>
      <c r="BD62" s="91">
        <v>0</v>
      </c>
      <c r="BE62" s="91">
        <v>8.657</v>
      </c>
      <c r="BF62" s="91">
        <v>10.083</v>
      </c>
      <c r="BG62" s="88">
        <v>1</v>
      </c>
      <c r="BH62"/>
      <c r="BI62"/>
      <c r="BJ62"/>
      <c r="BK62"/>
      <c r="BL62"/>
      <c r="BM62"/>
      <c r="BN62"/>
      <c r="BO62"/>
      <c r="BP62"/>
      <c r="BQ62"/>
    </row>
    <row r="63" spans="1:69">
      <c r="A63" s="88">
        <v>10179</v>
      </c>
      <c r="B63" s="88" t="s">
        <v>67</v>
      </c>
      <c r="C63" s="88">
        <v>0</v>
      </c>
      <c r="D63" s="88">
        <v>1</v>
      </c>
      <c r="E63" s="91">
        <v>169.31100000000001</v>
      </c>
      <c r="F63" s="91">
        <v>199.80600000000001</v>
      </c>
      <c r="G63" s="91">
        <v>202.66399999999999</v>
      </c>
      <c r="H63" s="91">
        <v>0</v>
      </c>
      <c r="I63" s="91">
        <v>0</v>
      </c>
      <c r="J63" s="91">
        <v>7</v>
      </c>
      <c r="K63" s="91">
        <v>7</v>
      </c>
      <c r="L63" s="90">
        <v>61488</v>
      </c>
      <c r="M63" s="90">
        <v>61320</v>
      </c>
      <c r="N63" s="91">
        <v>192.80600000000001</v>
      </c>
      <c r="O63" s="91">
        <v>195.66399999999999</v>
      </c>
      <c r="P63" s="90">
        <v>1693607.9040000001</v>
      </c>
      <c r="Q63" s="90">
        <v>1714016.64</v>
      </c>
      <c r="R63" s="88">
        <v>166.822</v>
      </c>
      <c r="S63" s="90">
        <v>1465364.4480000001</v>
      </c>
      <c r="T63" s="90">
        <v>1461360.72</v>
      </c>
      <c r="U63" s="91">
        <v>25.984000000000009</v>
      </c>
      <c r="V63" s="91">
        <v>28.841999999999985</v>
      </c>
      <c r="W63" s="91">
        <v>25.984000000000009</v>
      </c>
      <c r="X63" s="91">
        <v>28.841999999999985</v>
      </c>
      <c r="Y63" s="91">
        <v>0</v>
      </c>
      <c r="Z63" s="91">
        <v>0</v>
      </c>
      <c r="AA63" s="88">
        <v>0</v>
      </c>
      <c r="AB63" s="88">
        <v>0</v>
      </c>
      <c r="AC63" s="91">
        <v>25.984000000000009</v>
      </c>
      <c r="AD63" s="91">
        <v>28.841999999999985</v>
      </c>
      <c r="AE63" s="92">
        <v>2.3617900000000001E-2</v>
      </c>
      <c r="AF63" s="92">
        <v>2.3617900000000001E-2</v>
      </c>
      <c r="AG63" s="92">
        <v>0</v>
      </c>
      <c r="AH63" s="92">
        <v>2.3617900000000001E-2</v>
      </c>
      <c r="AI63" s="92">
        <v>2.3617900000000001E-2</v>
      </c>
      <c r="AJ63" s="92">
        <v>2.3617900000000001E-2</v>
      </c>
      <c r="AK63" s="92">
        <v>0.8699530956703001</v>
      </c>
      <c r="AL63" s="92">
        <v>0.85768487858475118</v>
      </c>
      <c r="AM63" s="92">
        <v>1.1557588327678605</v>
      </c>
      <c r="AN63" s="92">
        <v>1.1728908657131552</v>
      </c>
      <c r="AO63" s="92">
        <v>0</v>
      </c>
      <c r="AP63" s="92">
        <v>0</v>
      </c>
      <c r="AQ63" s="88">
        <v>6</v>
      </c>
      <c r="AR63" s="88">
        <v>6</v>
      </c>
      <c r="AS63" s="91">
        <v>0</v>
      </c>
      <c r="AT63" s="91">
        <v>0</v>
      </c>
      <c r="AU63" s="91">
        <v>0</v>
      </c>
      <c r="AV63" s="91">
        <v>0</v>
      </c>
      <c r="AW63" s="91">
        <v>3.5760000000000001</v>
      </c>
      <c r="AX63" s="91">
        <v>3.577</v>
      </c>
      <c r="AY63" s="91">
        <v>0</v>
      </c>
      <c r="AZ63" s="91">
        <v>0</v>
      </c>
      <c r="BA63" s="91">
        <v>0</v>
      </c>
      <c r="BB63" s="91">
        <v>0</v>
      </c>
      <c r="BC63" s="91">
        <v>0</v>
      </c>
      <c r="BD63" s="91">
        <v>0</v>
      </c>
      <c r="BE63" s="91">
        <v>166.822</v>
      </c>
      <c r="BF63" s="91">
        <v>166.822</v>
      </c>
      <c r="BG63" s="88">
        <v>0</v>
      </c>
      <c r="BH63"/>
      <c r="BI63"/>
      <c r="BJ63"/>
      <c r="BK63"/>
      <c r="BL63"/>
      <c r="BM63"/>
      <c r="BN63"/>
      <c r="BO63"/>
      <c r="BP63"/>
      <c r="BQ63"/>
    </row>
    <row r="64" spans="1:69">
      <c r="A64" s="88">
        <v>10183</v>
      </c>
      <c r="B64" s="88" t="s">
        <v>68</v>
      </c>
      <c r="C64" s="88">
        <v>1</v>
      </c>
      <c r="D64" s="88">
        <v>0</v>
      </c>
      <c r="E64" s="91">
        <v>119.102</v>
      </c>
      <c r="F64" s="91">
        <v>147.286</v>
      </c>
      <c r="G64" s="91">
        <v>149.477</v>
      </c>
      <c r="H64" s="91">
        <v>0</v>
      </c>
      <c r="I64" s="91">
        <v>0</v>
      </c>
      <c r="J64" s="91">
        <v>0.68899999999999995</v>
      </c>
      <c r="K64" s="91">
        <v>0.68899999999999995</v>
      </c>
      <c r="L64" s="90">
        <v>6052.1759999999995</v>
      </c>
      <c r="M64" s="90">
        <v>6035.6399999999994</v>
      </c>
      <c r="N64" s="91">
        <v>146.59700000000001</v>
      </c>
      <c r="O64" s="91">
        <v>148.78800000000001</v>
      </c>
      <c r="P64" s="90">
        <v>1287708.0480000002</v>
      </c>
      <c r="Q64" s="90">
        <v>1303382.8800000001</v>
      </c>
      <c r="R64" s="88">
        <v>117.351</v>
      </c>
      <c r="S64" s="90">
        <v>1030811.184</v>
      </c>
      <c r="T64" s="90">
        <v>1027994.76</v>
      </c>
      <c r="U64" s="91">
        <v>17.257999999999999</v>
      </c>
      <c r="V64" s="91">
        <v>19.145</v>
      </c>
      <c r="W64" s="91">
        <v>17.257999999999999</v>
      </c>
      <c r="X64" s="91">
        <v>19.145</v>
      </c>
      <c r="Y64" s="91">
        <v>0</v>
      </c>
      <c r="Z64" s="91">
        <v>0</v>
      </c>
      <c r="AA64" s="88">
        <v>0</v>
      </c>
      <c r="AB64" s="88">
        <v>0</v>
      </c>
      <c r="AC64" s="91">
        <v>17.257999999999999</v>
      </c>
      <c r="AD64" s="91">
        <v>19.145</v>
      </c>
      <c r="AE64" s="92">
        <v>1.6614E-2</v>
      </c>
      <c r="AF64" s="92">
        <v>1.6614E-2</v>
      </c>
      <c r="AG64" s="92">
        <v>7.7879000000000004E-3</v>
      </c>
      <c r="AH64" s="92">
        <v>8.8260999999999999E-3</v>
      </c>
      <c r="AI64" s="92">
        <v>8.8260999999999999E-3</v>
      </c>
      <c r="AJ64" s="92">
        <v>8.8260999999999999E-3</v>
      </c>
      <c r="AK64" s="92">
        <v>0.87244265332820881</v>
      </c>
      <c r="AL64" s="92">
        <v>0.86044207537267192</v>
      </c>
      <c r="AM64" s="92">
        <v>1.2492181574933321</v>
      </c>
      <c r="AN64" s="92">
        <v>1.2678886417670068</v>
      </c>
      <c r="AO64" s="92">
        <v>0</v>
      </c>
      <c r="AP64" s="92">
        <v>0</v>
      </c>
      <c r="AQ64" s="88">
        <v>4</v>
      </c>
      <c r="AR64" s="88">
        <v>4</v>
      </c>
      <c r="AS64" s="91">
        <v>0</v>
      </c>
      <c r="AT64" s="91">
        <v>0</v>
      </c>
      <c r="AU64" s="91">
        <v>0</v>
      </c>
      <c r="AV64" s="91">
        <v>0</v>
      </c>
      <c r="AW64" s="91">
        <v>0</v>
      </c>
      <c r="AX64" s="91">
        <v>0</v>
      </c>
      <c r="AY64" s="91">
        <v>0</v>
      </c>
      <c r="AZ64" s="91">
        <v>0</v>
      </c>
      <c r="BA64" s="91">
        <v>0</v>
      </c>
      <c r="BB64" s="91">
        <v>0</v>
      </c>
      <c r="BC64" s="91">
        <v>0</v>
      </c>
      <c r="BD64" s="91">
        <v>0</v>
      </c>
      <c r="BE64" s="91">
        <v>117.351</v>
      </c>
      <c r="BF64" s="91">
        <v>117.351</v>
      </c>
      <c r="BG64" s="88">
        <v>0</v>
      </c>
      <c r="BH64"/>
      <c r="BI64"/>
      <c r="BJ64"/>
      <c r="BK64"/>
      <c r="BL64"/>
      <c r="BM64"/>
      <c r="BN64"/>
      <c r="BO64"/>
      <c r="BP64"/>
      <c r="BQ64"/>
    </row>
    <row r="65" spans="1:69">
      <c r="A65" s="88">
        <v>10186</v>
      </c>
      <c r="B65" s="88" t="s">
        <v>69</v>
      </c>
      <c r="C65" s="88">
        <v>1</v>
      </c>
      <c r="D65" s="88">
        <v>0</v>
      </c>
      <c r="E65" s="91">
        <v>21.635000000000002</v>
      </c>
      <c r="F65" s="91">
        <v>20.965</v>
      </c>
      <c r="G65" s="91">
        <v>21.01</v>
      </c>
      <c r="H65" s="91">
        <v>0</v>
      </c>
      <c r="I65" s="91">
        <v>0</v>
      </c>
      <c r="J65" s="91">
        <v>3.3180000000000001</v>
      </c>
      <c r="K65" s="91">
        <v>3.3159999999999998</v>
      </c>
      <c r="L65" s="90">
        <v>29145.312000000002</v>
      </c>
      <c r="M65" s="90">
        <v>29048.16</v>
      </c>
      <c r="N65" s="91">
        <v>17.646999999999998</v>
      </c>
      <c r="O65" s="91">
        <v>17.693999999999999</v>
      </c>
      <c r="P65" s="90">
        <v>155011.24799999999</v>
      </c>
      <c r="Q65" s="90">
        <v>154999.44</v>
      </c>
      <c r="R65" s="88">
        <v>21.317</v>
      </c>
      <c r="S65" s="90">
        <v>187248.52799999999</v>
      </c>
      <c r="T65" s="90">
        <v>186736.92</v>
      </c>
      <c r="U65" s="91">
        <v>0</v>
      </c>
      <c r="V65" s="91">
        <v>0</v>
      </c>
      <c r="W65" s="91">
        <v>0</v>
      </c>
      <c r="X65" s="91">
        <v>0</v>
      </c>
      <c r="Y65" s="91">
        <v>0</v>
      </c>
      <c r="Z65" s="91">
        <v>0</v>
      </c>
      <c r="AA65" s="88">
        <v>0</v>
      </c>
      <c r="AB65" s="88">
        <v>0</v>
      </c>
      <c r="AC65" s="91">
        <v>0</v>
      </c>
      <c r="AD65" s="91">
        <v>0</v>
      </c>
      <c r="AE65" s="92">
        <v>2.4984E-3</v>
      </c>
      <c r="AF65" s="92">
        <v>2.5049999999999998E-3</v>
      </c>
      <c r="AG65" s="92">
        <v>0</v>
      </c>
      <c r="AH65" s="92">
        <v>2.4984E-3</v>
      </c>
      <c r="AI65" s="92">
        <v>2.5049999999999998E-3</v>
      </c>
      <c r="AJ65" s="92">
        <v>2.5016999999999999E-3</v>
      </c>
      <c r="AK65" s="92">
        <v>1</v>
      </c>
      <c r="AL65" s="92">
        <v>0.99998711684911934</v>
      </c>
      <c r="AM65" s="92">
        <v>1</v>
      </c>
      <c r="AN65" s="92">
        <v>1</v>
      </c>
      <c r="AO65" s="92">
        <v>7.0000000000000007E-2</v>
      </c>
      <c r="AP65" s="92">
        <v>7.0000000000000007E-2</v>
      </c>
      <c r="AQ65" s="88">
        <v>1</v>
      </c>
      <c r="AR65" s="88">
        <v>3</v>
      </c>
      <c r="AS65" s="91">
        <v>0</v>
      </c>
      <c r="AT65" s="91">
        <v>0</v>
      </c>
      <c r="AU65" s="91">
        <v>0</v>
      </c>
      <c r="AV65" s="91">
        <v>0</v>
      </c>
      <c r="AW65" s="91">
        <v>0</v>
      </c>
      <c r="AX65" s="91">
        <v>0</v>
      </c>
      <c r="AY65" s="91">
        <v>0</v>
      </c>
      <c r="AZ65" s="91">
        <v>0</v>
      </c>
      <c r="BA65" s="91">
        <v>0</v>
      </c>
      <c r="BB65" s="91">
        <v>0</v>
      </c>
      <c r="BC65" s="91">
        <v>0</v>
      </c>
      <c r="BD65" s="91">
        <v>0</v>
      </c>
      <c r="BE65" s="91">
        <v>17.646999999999998</v>
      </c>
      <c r="BF65" s="91">
        <v>17.693999999999999</v>
      </c>
      <c r="BG65" s="88">
        <v>1</v>
      </c>
      <c r="BH65"/>
      <c r="BI65"/>
      <c r="BJ65"/>
      <c r="BK65"/>
      <c r="BL65"/>
      <c r="BM65"/>
      <c r="BN65"/>
      <c r="BO65"/>
      <c r="BP65"/>
      <c r="BQ65"/>
    </row>
    <row r="66" spans="1:69">
      <c r="A66" s="88">
        <v>10190</v>
      </c>
      <c r="B66" s="88" t="s">
        <v>70</v>
      </c>
      <c r="C66" s="88">
        <v>1</v>
      </c>
      <c r="D66" s="88">
        <v>0</v>
      </c>
      <c r="E66" s="91">
        <v>5.2690000000000001</v>
      </c>
      <c r="F66" s="91">
        <v>7.4210000000000003</v>
      </c>
      <c r="G66" s="91">
        <v>7.415</v>
      </c>
      <c r="H66" s="91">
        <v>0</v>
      </c>
      <c r="I66" s="91">
        <v>0</v>
      </c>
      <c r="J66" s="91">
        <v>0</v>
      </c>
      <c r="K66" s="91">
        <v>0</v>
      </c>
      <c r="L66" s="90">
        <v>0</v>
      </c>
      <c r="M66" s="90">
        <v>0</v>
      </c>
      <c r="N66" s="91">
        <v>7.4210000000000003</v>
      </c>
      <c r="O66" s="91">
        <v>7.415</v>
      </c>
      <c r="P66" s="90">
        <v>65186.064000000006</v>
      </c>
      <c r="Q66" s="90">
        <v>64955.4</v>
      </c>
      <c r="R66" s="88">
        <v>5.1920000000000002</v>
      </c>
      <c r="S66" s="90">
        <v>45606.527999999998</v>
      </c>
      <c r="T66" s="90">
        <v>45481.919999999998</v>
      </c>
      <c r="U66" s="91">
        <v>2.2290000000000001</v>
      </c>
      <c r="V66" s="91">
        <v>2.2229999999999999</v>
      </c>
      <c r="W66" s="91">
        <v>2.2290000000000001</v>
      </c>
      <c r="X66" s="91">
        <v>2.2229999999999999</v>
      </c>
      <c r="Y66" s="91">
        <v>0</v>
      </c>
      <c r="Z66" s="91">
        <v>0</v>
      </c>
      <c r="AA66" s="88">
        <v>0</v>
      </c>
      <c r="AB66" s="88">
        <v>0</v>
      </c>
      <c r="AC66" s="91">
        <v>2.2290000000000001</v>
      </c>
      <c r="AD66" s="91">
        <v>2.2229999999999999</v>
      </c>
      <c r="AE66" s="92">
        <v>7.3510000000000003E-4</v>
      </c>
      <c r="AF66" s="92">
        <v>7.3510000000000003E-4</v>
      </c>
      <c r="AG66" s="92">
        <v>0</v>
      </c>
      <c r="AH66" s="92">
        <v>7.3510000000000003E-4</v>
      </c>
      <c r="AI66" s="92">
        <v>7.3510000000000003E-4</v>
      </c>
      <c r="AJ66" s="92">
        <v>7.3510000000000003E-4</v>
      </c>
      <c r="AK66" s="92">
        <v>0.69967384604500737</v>
      </c>
      <c r="AL66" s="92">
        <v>0.70024000155091037</v>
      </c>
      <c r="AM66" s="92">
        <v>1.4293143297380586</v>
      </c>
      <c r="AN66" s="92">
        <v>1.4281587057010785</v>
      </c>
      <c r="AO66" s="92">
        <v>0</v>
      </c>
      <c r="AP66" s="92">
        <v>0</v>
      </c>
      <c r="AQ66" s="88">
        <v>1</v>
      </c>
      <c r="AR66" s="88">
        <v>3</v>
      </c>
      <c r="AS66" s="91">
        <v>0</v>
      </c>
      <c r="AT66" s="91">
        <v>0</v>
      </c>
      <c r="AU66" s="91">
        <v>2.2290000000000001</v>
      </c>
      <c r="AV66" s="91">
        <v>2.2229999999999999</v>
      </c>
      <c r="AW66" s="91">
        <v>0</v>
      </c>
      <c r="AX66" s="91">
        <v>0</v>
      </c>
      <c r="AY66" s="91">
        <v>0</v>
      </c>
      <c r="AZ66" s="91">
        <v>0</v>
      </c>
      <c r="BA66" s="91">
        <v>0</v>
      </c>
      <c r="BB66" s="91">
        <v>0</v>
      </c>
      <c r="BC66" s="91">
        <v>0</v>
      </c>
      <c r="BD66" s="91">
        <v>0</v>
      </c>
      <c r="BE66" s="91">
        <v>7.4210000000000003</v>
      </c>
      <c r="BF66" s="91">
        <v>7.415</v>
      </c>
      <c r="BG66" s="88">
        <v>1</v>
      </c>
      <c r="BH66"/>
      <c r="BI66"/>
      <c r="BJ66"/>
      <c r="BK66"/>
      <c r="BL66"/>
      <c r="BM66"/>
      <c r="BN66"/>
      <c r="BO66"/>
      <c r="BP66"/>
      <c r="BQ66"/>
    </row>
    <row r="67" spans="1:69">
      <c r="A67" s="88">
        <v>10191</v>
      </c>
      <c r="B67" s="88" t="s">
        <v>71</v>
      </c>
      <c r="C67" s="88">
        <v>1</v>
      </c>
      <c r="D67" s="88">
        <v>0</v>
      </c>
      <c r="E67" s="91">
        <v>133.17400000000001</v>
      </c>
      <c r="F67" s="91">
        <v>130.34100000000001</v>
      </c>
      <c r="G67" s="91">
        <v>129.90100000000001</v>
      </c>
      <c r="H67" s="91">
        <v>0</v>
      </c>
      <c r="I67" s="91">
        <v>0</v>
      </c>
      <c r="J67" s="91">
        <v>0</v>
      </c>
      <c r="K67" s="91">
        <v>0</v>
      </c>
      <c r="L67" s="90">
        <v>0</v>
      </c>
      <c r="M67" s="90">
        <v>0</v>
      </c>
      <c r="N67" s="91">
        <v>120.467</v>
      </c>
      <c r="O67" s="91">
        <v>120.36499999999999</v>
      </c>
      <c r="P67" s="90">
        <v>1058182.128</v>
      </c>
      <c r="Q67" s="90">
        <v>1054397.3999999999</v>
      </c>
      <c r="R67" s="88">
        <v>131.21700000000001</v>
      </c>
      <c r="S67" s="90">
        <v>1152610.128</v>
      </c>
      <c r="T67" s="90">
        <v>1149460.9200000002</v>
      </c>
      <c r="U67" s="91">
        <v>0</v>
      </c>
      <c r="V67" s="91">
        <v>0</v>
      </c>
      <c r="W67" s="91">
        <v>0</v>
      </c>
      <c r="X67" s="91">
        <v>0</v>
      </c>
      <c r="Y67" s="91">
        <v>0</v>
      </c>
      <c r="Z67" s="91">
        <v>0</v>
      </c>
      <c r="AA67" s="88">
        <v>0</v>
      </c>
      <c r="AB67" s="88">
        <v>0</v>
      </c>
      <c r="AC67" s="91">
        <v>0</v>
      </c>
      <c r="AD67" s="91">
        <v>0</v>
      </c>
      <c r="AE67" s="92">
        <v>1.70552E-2</v>
      </c>
      <c r="AF67" s="92">
        <v>1.7040699999999999E-2</v>
      </c>
      <c r="AG67" s="92">
        <v>0</v>
      </c>
      <c r="AH67" s="92">
        <v>1.70552E-2</v>
      </c>
      <c r="AI67" s="92">
        <v>1.7040699999999999E-2</v>
      </c>
      <c r="AJ67" s="92">
        <v>1.7047949999999999E-2</v>
      </c>
      <c r="AK67" s="92">
        <v>1</v>
      </c>
      <c r="AL67" s="92">
        <v>0.99999737428239099</v>
      </c>
      <c r="AM67" s="92">
        <v>1</v>
      </c>
      <c r="AN67" s="92">
        <v>1</v>
      </c>
      <c r="AO67" s="92">
        <v>0</v>
      </c>
      <c r="AP67" s="92">
        <v>0</v>
      </c>
      <c r="AQ67" s="88">
        <v>3</v>
      </c>
      <c r="AR67" s="88">
        <v>3</v>
      </c>
      <c r="AS67" s="91">
        <v>0</v>
      </c>
      <c r="AT67" s="91">
        <v>0</v>
      </c>
      <c r="AU67" s="91">
        <v>0</v>
      </c>
      <c r="AV67" s="91">
        <v>0</v>
      </c>
      <c r="AW67" s="91">
        <v>0</v>
      </c>
      <c r="AX67" s="91">
        <v>0</v>
      </c>
      <c r="AY67" s="91">
        <v>0</v>
      </c>
      <c r="AZ67" s="91">
        <v>0</v>
      </c>
      <c r="BA67" s="91">
        <v>0</v>
      </c>
      <c r="BB67" s="91">
        <v>0</v>
      </c>
      <c r="BC67" s="91">
        <v>0</v>
      </c>
      <c r="BD67" s="91">
        <v>0</v>
      </c>
      <c r="BE67" s="91">
        <v>120.467</v>
      </c>
      <c r="BF67" s="91">
        <v>120.36499999999999</v>
      </c>
      <c r="BG67" s="88">
        <v>0</v>
      </c>
      <c r="BH67"/>
      <c r="BI67"/>
      <c r="BJ67"/>
      <c r="BK67"/>
      <c r="BL67"/>
      <c r="BM67"/>
      <c r="BN67"/>
      <c r="BO67"/>
      <c r="BP67"/>
      <c r="BQ67"/>
    </row>
    <row r="68" spans="1:69">
      <c r="A68" s="88">
        <v>10197</v>
      </c>
      <c r="B68" s="88" t="s">
        <v>72</v>
      </c>
      <c r="C68" s="88">
        <v>1</v>
      </c>
      <c r="D68" s="88">
        <v>0</v>
      </c>
      <c r="E68" s="91">
        <v>23.091999999999999</v>
      </c>
      <c r="F68" s="91">
        <v>56.280999999999999</v>
      </c>
      <c r="G68" s="91">
        <v>87.802000000000007</v>
      </c>
      <c r="H68" s="91">
        <v>28.048999999999999</v>
      </c>
      <c r="I68" s="91">
        <v>59.325000000000003</v>
      </c>
      <c r="J68" s="91">
        <v>0</v>
      </c>
      <c r="K68" s="91">
        <v>0</v>
      </c>
      <c r="L68" s="90">
        <v>0</v>
      </c>
      <c r="M68" s="90">
        <v>0</v>
      </c>
      <c r="N68" s="91">
        <v>28.231999999999999</v>
      </c>
      <c r="O68" s="91">
        <v>28.477</v>
      </c>
      <c r="P68" s="90">
        <v>247989.88800000001</v>
      </c>
      <c r="Q68" s="90">
        <v>249458.52</v>
      </c>
      <c r="R68" s="88">
        <v>22.753</v>
      </c>
      <c r="S68" s="90">
        <v>199862.35200000001</v>
      </c>
      <c r="T68" s="90">
        <v>199316.28</v>
      </c>
      <c r="U68" s="91">
        <v>5.4790000000000001</v>
      </c>
      <c r="V68" s="91">
        <v>5.7240000000000002</v>
      </c>
      <c r="W68" s="91">
        <v>5.4790000000000001</v>
      </c>
      <c r="X68" s="91">
        <v>5.7240000000000002</v>
      </c>
      <c r="Y68" s="91">
        <v>0</v>
      </c>
      <c r="Z68" s="91">
        <v>0</v>
      </c>
      <c r="AA68" s="88">
        <v>0</v>
      </c>
      <c r="AB68" s="88">
        <v>0</v>
      </c>
      <c r="AC68" s="91">
        <v>5.4790000000000001</v>
      </c>
      <c r="AD68" s="91">
        <v>5.7240000000000002</v>
      </c>
      <c r="AE68" s="92">
        <v>3.2212999999999999E-3</v>
      </c>
      <c r="AF68" s="92">
        <v>3.2212999999999999E-3</v>
      </c>
      <c r="AG68" s="92">
        <v>0</v>
      </c>
      <c r="AH68" s="92">
        <v>3.2212999999999999E-3</v>
      </c>
      <c r="AI68" s="92">
        <v>3.2212999999999999E-3</v>
      </c>
      <c r="AJ68" s="92">
        <v>3.2212999999999999E-3</v>
      </c>
      <c r="AK68" s="92">
        <v>0.80593715197293836</v>
      </c>
      <c r="AL68" s="92">
        <v>0.79900332459528722</v>
      </c>
      <c r="AM68" s="92">
        <v>1.2408034105392696</v>
      </c>
      <c r="AN68" s="92">
        <v>1.2515712213774008</v>
      </c>
      <c r="AO68" s="92">
        <v>8.6856238737748878E-2</v>
      </c>
      <c r="AP68" s="92">
        <v>8.7609985496418061E-2</v>
      </c>
      <c r="AQ68" s="88">
        <v>1</v>
      </c>
      <c r="AR68" s="88">
        <v>3</v>
      </c>
      <c r="AS68" s="91">
        <v>0</v>
      </c>
      <c r="AT68" s="91">
        <v>0</v>
      </c>
      <c r="AU68" s="91">
        <v>5.4790000000000001</v>
      </c>
      <c r="AV68" s="91">
        <v>5.7240000000000002</v>
      </c>
      <c r="AW68" s="91">
        <v>0</v>
      </c>
      <c r="AX68" s="91">
        <v>0</v>
      </c>
      <c r="AY68" s="91">
        <v>0</v>
      </c>
      <c r="AZ68" s="91">
        <v>0</v>
      </c>
      <c r="BA68" s="91">
        <v>0</v>
      </c>
      <c r="BB68" s="91">
        <v>0</v>
      </c>
      <c r="BC68" s="91">
        <v>0</v>
      </c>
      <c r="BD68" s="91">
        <v>0</v>
      </c>
      <c r="BE68" s="91">
        <v>28.231999999999999</v>
      </c>
      <c r="BF68" s="91">
        <v>28.477</v>
      </c>
      <c r="BG68" s="88">
        <v>1</v>
      </c>
      <c r="BH68"/>
      <c r="BI68"/>
      <c r="BJ68"/>
      <c r="BK68"/>
      <c r="BL68"/>
      <c r="BM68"/>
      <c r="BN68"/>
      <c r="BO68"/>
      <c r="BP68"/>
      <c r="BQ68"/>
    </row>
    <row r="69" spans="1:69">
      <c r="A69" s="88">
        <v>10202</v>
      </c>
      <c r="B69" s="88" t="s">
        <v>73</v>
      </c>
      <c r="C69" s="88">
        <v>1</v>
      </c>
      <c r="D69" s="88">
        <v>0</v>
      </c>
      <c r="E69" s="91">
        <v>13.294</v>
      </c>
      <c r="F69" s="91">
        <v>15.488</v>
      </c>
      <c r="G69" s="91">
        <v>15.606999999999999</v>
      </c>
      <c r="H69" s="91">
        <v>0</v>
      </c>
      <c r="I69" s="91">
        <v>0</v>
      </c>
      <c r="J69" s="91">
        <v>0</v>
      </c>
      <c r="K69" s="91">
        <v>0</v>
      </c>
      <c r="L69" s="90">
        <v>0</v>
      </c>
      <c r="M69" s="90">
        <v>0</v>
      </c>
      <c r="N69" s="91">
        <v>15.488</v>
      </c>
      <c r="O69" s="91">
        <v>15.606999999999999</v>
      </c>
      <c r="P69" s="90">
        <v>136046.592</v>
      </c>
      <c r="Q69" s="90">
        <v>136717.32</v>
      </c>
      <c r="R69" s="88">
        <v>13.099</v>
      </c>
      <c r="S69" s="90">
        <v>115061.61599999999</v>
      </c>
      <c r="T69" s="90">
        <v>114747.24</v>
      </c>
      <c r="U69" s="91">
        <v>2.3889999999999998</v>
      </c>
      <c r="V69" s="91">
        <v>2.508</v>
      </c>
      <c r="W69" s="91">
        <v>2.3889999999999998</v>
      </c>
      <c r="X69" s="91">
        <v>2.508</v>
      </c>
      <c r="Y69" s="91">
        <v>0</v>
      </c>
      <c r="Z69" s="91">
        <v>0</v>
      </c>
      <c r="AA69" s="88">
        <v>0</v>
      </c>
      <c r="AB69" s="88">
        <v>0</v>
      </c>
      <c r="AC69" s="91">
        <v>2.3889999999999998</v>
      </c>
      <c r="AD69" s="91">
        <v>2.508</v>
      </c>
      <c r="AE69" s="92">
        <v>1.8545E-3</v>
      </c>
      <c r="AF69" s="92">
        <v>1.8545E-3</v>
      </c>
      <c r="AG69" s="92">
        <v>0</v>
      </c>
      <c r="AH69" s="92">
        <v>1.8545E-3</v>
      </c>
      <c r="AI69" s="92">
        <v>1.8545E-3</v>
      </c>
      <c r="AJ69" s="92">
        <v>1.8545E-3</v>
      </c>
      <c r="AK69" s="92">
        <v>0.84575222059013433</v>
      </c>
      <c r="AL69" s="92">
        <v>0.83930354280130715</v>
      </c>
      <c r="AM69" s="92">
        <v>1.1823803343766699</v>
      </c>
      <c r="AN69" s="92">
        <v>1.1914649973280402</v>
      </c>
      <c r="AO69" s="92">
        <v>0</v>
      </c>
      <c r="AP69" s="92">
        <v>0</v>
      </c>
      <c r="AQ69" s="88">
        <v>1</v>
      </c>
      <c r="AR69" s="88">
        <v>3</v>
      </c>
      <c r="AS69" s="91">
        <v>0</v>
      </c>
      <c r="AT69" s="91">
        <v>0</v>
      </c>
      <c r="AU69" s="91">
        <v>2.3889999999999998</v>
      </c>
      <c r="AV69" s="91">
        <v>2.508</v>
      </c>
      <c r="AW69" s="91">
        <v>0</v>
      </c>
      <c r="AX69" s="91">
        <v>0</v>
      </c>
      <c r="AY69" s="91">
        <v>0</v>
      </c>
      <c r="AZ69" s="91">
        <v>0</v>
      </c>
      <c r="BA69" s="91">
        <v>0</v>
      </c>
      <c r="BB69" s="91">
        <v>0</v>
      </c>
      <c r="BC69" s="91">
        <v>0</v>
      </c>
      <c r="BD69" s="91">
        <v>0</v>
      </c>
      <c r="BE69" s="91">
        <v>15.488</v>
      </c>
      <c r="BF69" s="91">
        <v>15.606999999999999</v>
      </c>
      <c r="BG69" s="88">
        <v>1</v>
      </c>
      <c r="BH69"/>
      <c r="BI69"/>
      <c r="BJ69"/>
      <c r="BK69"/>
      <c r="BL69"/>
      <c r="BM69"/>
      <c r="BN69"/>
      <c r="BO69"/>
      <c r="BP69"/>
      <c r="BQ69"/>
    </row>
    <row r="70" spans="1:69">
      <c r="A70" s="88">
        <v>10203</v>
      </c>
      <c r="B70" s="88" t="s">
        <v>74</v>
      </c>
      <c r="C70" s="88">
        <v>1</v>
      </c>
      <c r="D70" s="88">
        <v>0</v>
      </c>
      <c r="E70" s="91">
        <v>6.306</v>
      </c>
      <c r="F70" s="91">
        <v>6.7290000000000001</v>
      </c>
      <c r="G70" s="91">
        <v>6.7750000000000004</v>
      </c>
      <c r="H70" s="91">
        <v>0</v>
      </c>
      <c r="I70" s="91">
        <v>0</v>
      </c>
      <c r="J70" s="91">
        <v>0</v>
      </c>
      <c r="K70" s="91">
        <v>0</v>
      </c>
      <c r="L70" s="90">
        <v>0</v>
      </c>
      <c r="M70" s="90">
        <v>0</v>
      </c>
      <c r="N70" s="91">
        <v>6.7290000000000001</v>
      </c>
      <c r="O70" s="91">
        <v>6.7750000000000004</v>
      </c>
      <c r="P70" s="90">
        <v>59107.536</v>
      </c>
      <c r="Q70" s="90">
        <v>59349</v>
      </c>
      <c r="R70" s="88">
        <v>6.2130000000000001</v>
      </c>
      <c r="S70" s="90">
        <v>54574.991999999998</v>
      </c>
      <c r="T70" s="90">
        <v>54425.88</v>
      </c>
      <c r="U70" s="91">
        <v>0.51600000000000001</v>
      </c>
      <c r="V70" s="91">
        <v>0.56200000000000006</v>
      </c>
      <c r="W70" s="91">
        <v>0</v>
      </c>
      <c r="X70" s="91">
        <v>0</v>
      </c>
      <c r="Y70" s="91">
        <v>0.51600000000000001</v>
      </c>
      <c r="Z70" s="91">
        <v>0.56200000000000006</v>
      </c>
      <c r="AA70" s="88">
        <v>0</v>
      </c>
      <c r="AB70" s="88">
        <v>0</v>
      </c>
      <c r="AC70" s="91">
        <v>0</v>
      </c>
      <c r="AD70" s="91">
        <v>0</v>
      </c>
      <c r="AE70" s="92">
        <v>8.7960000000000002E-4</v>
      </c>
      <c r="AF70" s="92">
        <v>8.7960000000000002E-4</v>
      </c>
      <c r="AG70" s="92">
        <v>0</v>
      </c>
      <c r="AH70" s="92">
        <v>8.7960000000000002E-4</v>
      </c>
      <c r="AI70" s="92">
        <v>8.7960000000000002E-4</v>
      </c>
      <c r="AJ70" s="92">
        <v>8.7960000000000002E-4</v>
      </c>
      <c r="AK70" s="92">
        <v>0.92330745341061082</v>
      </c>
      <c r="AL70" s="92">
        <v>0.9170385024354244</v>
      </c>
      <c r="AM70" s="92">
        <v>1.0830516658619025</v>
      </c>
      <c r="AN70" s="92">
        <v>1.0904554965395139</v>
      </c>
      <c r="AO70" s="92">
        <v>7.5813616610333187E-2</v>
      </c>
      <c r="AP70" s="92">
        <v>7.6331884757765978E-2</v>
      </c>
      <c r="AQ70" s="88">
        <v>3</v>
      </c>
      <c r="AR70" s="88">
        <v>3</v>
      </c>
      <c r="AS70" s="91">
        <v>2</v>
      </c>
      <c r="AT70" s="91">
        <v>0</v>
      </c>
      <c r="AU70" s="91">
        <v>0</v>
      </c>
      <c r="AV70" s="91">
        <v>0</v>
      </c>
      <c r="AW70" s="91">
        <v>0</v>
      </c>
      <c r="AX70" s="91">
        <v>0</v>
      </c>
      <c r="AY70" s="91">
        <v>0</v>
      </c>
      <c r="AZ70" s="91">
        <v>0</v>
      </c>
      <c r="BA70" s="91">
        <v>0</v>
      </c>
      <c r="BB70" s="91">
        <v>0</v>
      </c>
      <c r="BC70" s="91">
        <v>0</v>
      </c>
      <c r="BD70" s="91">
        <v>0</v>
      </c>
      <c r="BE70" s="91">
        <v>6.7290000000000001</v>
      </c>
      <c r="BF70" s="91">
        <v>6.7750000000000004</v>
      </c>
      <c r="BG70" s="88">
        <v>1</v>
      </c>
      <c r="BH70"/>
      <c r="BI70"/>
      <c r="BJ70"/>
      <c r="BK70"/>
      <c r="BL70"/>
      <c r="BM70"/>
      <c r="BN70"/>
      <c r="BO70"/>
      <c r="BP70"/>
      <c r="BQ70"/>
    </row>
    <row r="71" spans="1:69">
      <c r="A71" s="88">
        <v>10204</v>
      </c>
      <c r="B71" s="88" t="s">
        <v>75</v>
      </c>
      <c r="C71" s="88">
        <v>1</v>
      </c>
      <c r="D71" s="88">
        <v>0</v>
      </c>
      <c r="E71" s="91">
        <v>80.742999999999995</v>
      </c>
      <c r="F71" s="91">
        <v>100.23</v>
      </c>
      <c r="G71" s="91">
        <v>101.58799999999999</v>
      </c>
      <c r="H71" s="91">
        <v>0</v>
      </c>
      <c r="I71" s="91">
        <v>0</v>
      </c>
      <c r="J71" s="91">
        <v>17.350000000000001</v>
      </c>
      <c r="K71" s="91">
        <v>17.321999999999999</v>
      </c>
      <c r="L71" s="90">
        <v>152402.40000000002</v>
      </c>
      <c r="M71" s="90">
        <v>151740.72</v>
      </c>
      <c r="N71" s="91">
        <v>82.88</v>
      </c>
      <c r="O71" s="91">
        <v>84.266000000000005</v>
      </c>
      <c r="P71" s="90">
        <v>728017.91999999993</v>
      </c>
      <c r="Q71" s="90">
        <v>738170.16</v>
      </c>
      <c r="R71" s="88">
        <v>79.555999999999997</v>
      </c>
      <c r="S71" s="90">
        <v>698819.90399999998</v>
      </c>
      <c r="T71" s="90">
        <v>696910.55999999994</v>
      </c>
      <c r="U71" s="91">
        <v>5.899</v>
      </c>
      <c r="V71" s="91">
        <v>7.6180000000000003</v>
      </c>
      <c r="W71" s="91">
        <v>5.899</v>
      </c>
      <c r="X71" s="91">
        <v>7.6180000000000003</v>
      </c>
      <c r="Y71" s="91">
        <v>0</v>
      </c>
      <c r="Z71" s="91">
        <v>0</v>
      </c>
      <c r="AA71" s="88">
        <v>0</v>
      </c>
      <c r="AB71" s="88">
        <v>0</v>
      </c>
      <c r="AC71" s="91">
        <v>5.899</v>
      </c>
      <c r="AD71" s="91">
        <v>7.6180000000000003</v>
      </c>
      <c r="AE71" s="92">
        <v>1.1263199999999999E-2</v>
      </c>
      <c r="AF71" s="92">
        <v>1.1263199999999999E-2</v>
      </c>
      <c r="AG71" s="92">
        <v>5.4881000000000001E-3</v>
      </c>
      <c r="AH71" s="92">
        <v>5.7750999999999992E-3</v>
      </c>
      <c r="AI71" s="92">
        <v>5.7750999999999992E-3</v>
      </c>
      <c r="AJ71" s="92">
        <v>5.7750999999999992E-3</v>
      </c>
      <c r="AK71" s="92">
        <v>0.9426204237926169</v>
      </c>
      <c r="AL71" s="92">
        <v>0.92709857475884239</v>
      </c>
      <c r="AM71" s="92">
        <v>1.0417818894866508</v>
      </c>
      <c r="AN71" s="92">
        <v>1.0592035798682691</v>
      </c>
      <c r="AO71" s="92">
        <v>0</v>
      </c>
      <c r="AP71" s="92">
        <v>0</v>
      </c>
      <c r="AQ71" s="88">
        <v>4</v>
      </c>
      <c r="AR71" s="88">
        <v>4</v>
      </c>
      <c r="AS71" s="91">
        <v>0</v>
      </c>
      <c r="AT71" s="91">
        <v>0</v>
      </c>
      <c r="AU71" s="91">
        <v>0</v>
      </c>
      <c r="AV71" s="91">
        <v>0</v>
      </c>
      <c r="AW71" s="91">
        <v>0.51800000000000002</v>
      </c>
      <c r="AX71" s="91">
        <v>0.51800000000000002</v>
      </c>
      <c r="AY71" s="91">
        <v>0</v>
      </c>
      <c r="AZ71" s="91">
        <v>0</v>
      </c>
      <c r="BA71" s="91">
        <v>0</v>
      </c>
      <c r="BB71" s="91">
        <v>0</v>
      </c>
      <c r="BC71" s="91">
        <v>0</v>
      </c>
      <c r="BD71" s="91">
        <v>0</v>
      </c>
      <c r="BE71" s="91">
        <v>79.555999999999997</v>
      </c>
      <c r="BF71" s="91">
        <v>79.555999999999997</v>
      </c>
      <c r="BG71" s="88">
        <v>0</v>
      </c>
      <c r="BH71"/>
      <c r="BI71"/>
      <c r="BJ71"/>
      <c r="BK71"/>
      <c r="BL71"/>
      <c r="BM71"/>
      <c r="BN71"/>
      <c r="BO71"/>
      <c r="BP71"/>
      <c r="BQ71"/>
    </row>
    <row r="72" spans="1:69">
      <c r="A72" s="88">
        <v>10209</v>
      </c>
      <c r="B72" s="88" t="s">
        <v>76</v>
      </c>
      <c r="C72" s="88">
        <v>1</v>
      </c>
      <c r="D72" s="88">
        <v>0</v>
      </c>
      <c r="E72" s="91">
        <v>106.455</v>
      </c>
      <c r="F72" s="91">
        <v>127.892</v>
      </c>
      <c r="G72" s="91">
        <v>128.88300000000001</v>
      </c>
      <c r="H72" s="91">
        <v>0</v>
      </c>
      <c r="I72" s="91">
        <v>0</v>
      </c>
      <c r="J72" s="91">
        <v>0</v>
      </c>
      <c r="K72" s="91">
        <v>0</v>
      </c>
      <c r="L72" s="90">
        <v>0</v>
      </c>
      <c r="M72" s="90">
        <v>0</v>
      </c>
      <c r="N72" s="91">
        <v>127.892</v>
      </c>
      <c r="O72" s="91">
        <v>128.88300000000001</v>
      </c>
      <c r="P72" s="90">
        <v>1123403.328</v>
      </c>
      <c r="Q72" s="90">
        <v>1129015.08</v>
      </c>
      <c r="R72" s="88">
        <v>104.89</v>
      </c>
      <c r="S72" s="90">
        <v>921353.76</v>
      </c>
      <c r="T72" s="90">
        <v>918836.4</v>
      </c>
      <c r="U72" s="91">
        <v>23.001999999999999</v>
      </c>
      <c r="V72" s="91">
        <v>23.992999999999999</v>
      </c>
      <c r="W72" s="91">
        <v>23.001999999999999</v>
      </c>
      <c r="X72" s="91">
        <v>23.992999999999999</v>
      </c>
      <c r="Y72" s="91">
        <v>0</v>
      </c>
      <c r="Z72" s="91">
        <v>0</v>
      </c>
      <c r="AA72" s="88">
        <v>0</v>
      </c>
      <c r="AB72" s="88">
        <v>0</v>
      </c>
      <c r="AC72" s="91">
        <v>23.001999999999999</v>
      </c>
      <c r="AD72" s="91">
        <v>23.992999999999999</v>
      </c>
      <c r="AE72" s="92">
        <v>1.4849899999999999E-2</v>
      </c>
      <c r="AF72" s="92">
        <v>1.4849899999999999E-2</v>
      </c>
      <c r="AG72" s="92">
        <v>0</v>
      </c>
      <c r="AH72" s="92">
        <v>1.4849899999999999E-2</v>
      </c>
      <c r="AI72" s="92">
        <v>1.4849899999999999E-2</v>
      </c>
      <c r="AJ72" s="92">
        <v>1.4849899999999999E-2</v>
      </c>
      <c r="AK72" s="92">
        <v>0.82014718601241665</v>
      </c>
      <c r="AL72" s="92">
        <v>0.81384095585531047</v>
      </c>
      <c r="AM72" s="92">
        <v>1.2192964057584135</v>
      </c>
      <c r="AN72" s="92">
        <v>1.2287443988940796</v>
      </c>
      <c r="AO72" s="92">
        <v>8.5350748403088955E-2</v>
      </c>
      <c r="AP72" s="92">
        <v>8.6012107922585582E-2</v>
      </c>
      <c r="AQ72" s="88">
        <v>3</v>
      </c>
      <c r="AR72" s="88">
        <v>3</v>
      </c>
      <c r="AS72" s="91">
        <v>11</v>
      </c>
      <c r="AT72" s="91">
        <v>0</v>
      </c>
      <c r="AU72" s="91">
        <v>12.002000000000001</v>
      </c>
      <c r="AV72" s="91">
        <v>23.992999999999999</v>
      </c>
      <c r="AW72" s="91">
        <v>0</v>
      </c>
      <c r="AX72" s="91">
        <v>0</v>
      </c>
      <c r="AY72" s="91">
        <v>0</v>
      </c>
      <c r="AZ72" s="91">
        <v>0</v>
      </c>
      <c r="BA72" s="91">
        <v>0</v>
      </c>
      <c r="BB72" s="91">
        <v>0</v>
      </c>
      <c r="BC72" s="91">
        <v>0</v>
      </c>
      <c r="BD72" s="91">
        <v>0</v>
      </c>
      <c r="BE72" s="91">
        <v>116.892</v>
      </c>
      <c r="BF72" s="91">
        <v>128.88300000000001</v>
      </c>
      <c r="BG72" s="88">
        <v>1</v>
      </c>
      <c r="BH72"/>
      <c r="BI72"/>
      <c r="BJ72"/>
      <c r="BK72"/>
      <c r="BL72"/>
      <c r="BM72"/>
      <c r="BN72"/>
      <c r="BO72"/>
      <c r="BP72"/>
      <c r="BQ72"/>
    </row>
    <row r="73" spans="1:69">
      <c r="A73" s="88">
        <v>10230</v>
      </c>
      <c r="B73" s="88" t="s">
        <v>77</v>
      </c>
      <c r="C73" s="88">
        <v>1</v>
      </c>
      <c r="D73" s="88">
        <v>0</v>
      </c>
      <c r="E73" s="91">
        <v>9.8469999999999995</v>
      </c>
      <c r="F73" s="91">
        <v>13.319000000000001</v>
      </c>
      <c r="G73" s="91">
        <v>13.451000000000001</v>
      </c>
      <c r="H73" s="91">
        <v>0</v>
      </c>
      <c r="I73" s="91">
        <v>0</v>
      </c>
      <c r="J73" s="91">
        <v>0.98099999999999998</v>
      </c>
      <c r="K73" s="91">
        <v>0.98</v>
      </c>
      <c r="L73" s="90">
        <v>8617.1039999999994</v>
      </c>
      <c r="M73" s="90">
        <v>8584.7999999999993</v>
      </c>
      <c r="N73" s="91">
        <v>12.337999999999999</v>
      </c>
      <c r="O73" s="91">
        <v>12.471</v>
      </c>
      <c r="P73" s="90">
        <v>108376.992</v>
      </c>
      <c r="Q73" s="90">
        <v>109245.96</v>
      </c>
      <c r="R73" s="88">
        <v>9.702</v>
      </c>
      <c r="S73" s="90">
        <v>85222.368000000002</v>
      </c>
      <c r="T73" s="90">
        <v>84989.52</v>
      </c>
      <c r="U73" s="91">
        <v>2.6360000000000001</v>
      </c>
      <c r="V73" s="91">
        <v>2.7690000000000001</v>
      </c>
      <c r="W73" s="91">
        <v>2.6360000000000001</v>
      </c>
      <c r="X73" s="91">
        <v>2.7690000000000001</v>
      </c>
      <c r="Y73" s="91">
        <v>0</v>
      </c>
      <c r="Z73" s="91">
        <v>0</v>
      </c>
      <c r="AA73" s="88">
        <v>0</v>
      </c>
      <c r="AB73" s="88">
        <v>0</v>
      </c>
      <c r="AC73" s="91">
        <v>2.6360000000000001</v>
      </c>
      <c r="AD73" s="91">
        <v>2.7690000000000001</v>
      </c>
      <c r="AE73" s="92">
        <v>1.3736E-3</v>
      </c>
      <c r="AF73" s="92">
        <v>1.3736E-3</v>
      </c>
      <c r="AG73" s="92">
        <v>0</v>
      </c>
      <c r="AH73" s="92">
        <v>1.3736E-3</v>
      </c>
      <c r="AI73" s="92">
        <v>1.3736E-3</v>
      </c>
      <c r="AJ73" s="92">
        <v>1.3736E-3</v>
      </c>
      <c r="AK73" s="92">
        <v>0.80210512530970779</v>
      </c>
      <c r="AL73" s="92">
        <v>0.79415940554605602</v>
      </c>
      <c r="AM73" s="92">
        <v>1.271696557410843</v>
      </c>
      <c r="AN73" s="92">
        <v>1.2854050711193568</v>
      </c>
      <c r="AO73" s="92">
        <v>8.9018759018759011E-2</v>
      </c>
      <c r="AP73" s="92">
        <v>8.9978354978354977E-2</v>
      </c>
      <c r="AQ73" s="88">
        <v>1</v>
      </c>
      <c r="AR73" s="88">
        <v>3</v>
      </c>
      <c r="AS73" s="91">
        <v>0</v>
      </c>
      <c r="AT73" s="91">
        <v>0</v>
      </c>
      <c r="AU73" s="91">
        <v>2.6360000000000001</v>
      </c>
      <c r="AV73" s="91">
        <v>2.7690000000000001</v>
      </c>
      <c r="AW73" s="91">
        <v>0</v>
      </c>
      <c r="AX73" s="91">
        <v>0</v>
      </c>
      <c r="AY73" s="91">
        <v>0</v>
      </c>
      <c r="AZ73" s="91">
        <v>0</v>
      </c>
      <c r="BA73" s="91">
        <v>0</v>
      </c>
      <c r="BB73" s="91">
        <v>0</v>
      </c>
      <c r="BC73" s="91">
        <v>0</v>
      </c>
      <c r="BD73" s="91">
        <v>0</v>
      </c>
      <c r="BE73" s="91">
        <v>12.337999999999999</v>
      </c>
      <c r="BF73" s="91">
        <v>12.471</v>
      </c>
      <c r="BG73" s="88">
        <v>1</v>
      </c>
      <c r="BH73"/>
      <c r="BI73"/>
      <c r="BJ73"/>
      <c r="BK73"/>
      <c r="BL73"/>
      <c r="BM73"/>
      <c r="BN73"/>
      <c r="BO73"/>
      <c r="BP73"/>
      <c r="BQ73"/>
    </row>
    <row r="74" spans="1:69">
      <c r="A74" s="88">
        <v>10231</v>
      </c>
      <c r="B74" s="88" t="s">
        <v>78</v>
      </c>
      <c r="C74" s="88">
        <v>1</v>
      </c>
      <c r="D74" s="88">
        <v>0</v>
      </c>
      <c r="E74" s="91">
        <v>37.206000000000003</v>
      </c>
      <c r="F74" s="91">
        <v>61.298999999999999</v>
      </c>
      <c r="G74" s="91">
        <v>62.220999999999997</v>
      </c>
      <c r="H74" s="91">
        <v>0</v>
      </c>
      <c r="I74" s="91">
        <v>0</v>
      </c>
      <c r="J74" s="91">
        <v>4.4189999999999996</v>
      </c>
      <c r="K74" s="91">
        <v>4.4189999999999996</v>
      </c>
      <c r="L74" s="90">
        <v>38816.495999999999</v>
      </c>
      <c r="M74" s="90">
        <v>38710.439999999995</v>
      </c>
      <c r="N74" s="91">
        <v>56.88</v>
      </c>
      <c r="O74" s="91">
        <v>57.802</v>
      </c>
      <c r="P74" s="90">
        <v>499633.92000000004</v>
      </c>
      <c r="Q74" s="90">
        <v>506345.52</v>
      </c>
      <c r="R74" s="88">
        <v>36.658999999999999</v>
      </c>
      <c r="S74" s="90">
        <v>322012.65600000002</v>
      </c>
      <c r="T74" s="90">
        <v>321132.83999999997</v>
      </c>
      <c r="U74" s="91">
        <v>20.221000000000004</v>
      </c>
      <c r="V74" s="91">
        <v>21.143000000000001</v>
      </c>
      <c r="W74" s="91">
        <v>20.221000000000004</v>
      </c>
      <c r="X74" s="91">
        <v>21.143000000000001</v>
      </c>
      <c r="Y74" s="91">
        <v>0</v>
      </c>
      <c r="Z74" s="91">
        <v>0</v>
      </c>
      <c r="AA74" s="88">
        <v>0</v>
      </c>
      <c r="AB74" s="88">
        <v>0</v>
      </c>
      <c r="AC74" s="91">
        <v>20.221000000000004</v>
      </c>
      <c r="AD74" s="91">
        <v>21.143000000000001</v>
      </c>
      <c r="AE74" s="92">
        <v>5.1900000000000002E-3</v>
      </c>
      <c r="AF74" s="92">
        <v>5.1900000000000002E-3</v>
      </c>
      <c r="AG74" s="92">
        <v>0</v>
      </c>
      <c r="AH74" s="92">
        <v>5.1900000000000002E-3</v>
      </c>
      <c r="AI74" s="92">
        <v>5.1900000000000002E-3</v>
      </c>
      <c r="AJ74" s="92">
        <v>5.1900000000000002E-3</v>
      </c>
      <c r="AK74" s="92">
        <v>0.67012291146674496</v>
      </c>
      <c r="AL74" s="92">
        <v>0.66019293084328445</v>
      </c>
      <c r="AM74" s="92">
        <v>1.5515971521318095</v>
      </c>
      <c r="AN74" s="92">
        <v>1.5767478654627787</v>
      </c>
      <c r="AO74" s="92">
        <v>0.10861180064922668</v>
      </c>
      <c r="AP74" s="92">
        <v>0.11037235058239452</v>
      </c>
      <c r="AQ74" s="88">
        <v>3</v>
      </c>
      <c r="AR74" s="88">
        <v>3</v>
      </c>
      <c r="AS74" s="91">
        <v>0</v>
      </c>
      <c r="AT74" s="91">
        <v>0</v>
      </c>
      <c r="AU74" s="91">
        <v>20.221</v>
      </c>
      <c r="AV74" s="91">
        <v>21.143000000000001</v>
      </c>
      <c r="AW74" s="91">
        <v>0</v>
      </c>
      <c r="AX74" s="91">
        <v>0</v>
      </c>
      <c r="AY74" s="91">
        <v>0</v>
      </c>
      <c r="AZ74" s="91">
        <v>0</v>
      </c>
      <c r="BA74" s="91">
        <v>0</v>
      </c>
      <c r="BB74" s="91">
        <v>0</v>
      </c>
      <c r="BC74" s="91">
        <v>0</v>
      </c>
      <c r="BD74" s="91">
        <v>0</v>
      </c>
      <c r="BE74" s="91">
        <v>56.88</v>
      </c>
      <c r="BF74" s="91">
        <v>57.802</v>
      </c>
      <c r="BG74" s="88">
        <v>1</v>
      </c>
      <c r="BH74"/>
      <c r="BI74"/>
      <c r="BJ74"/>
      <c r="BK74"/>
      <c r="BL74"/>
      <c r="BM74"/>
      <c r="BN74"/>
      <c r="BO74"/>
      <c r="BP74"/>
      <c r="BQ74"/>
    </row>
    <row r="75" spans="1:69">
      <c r="A75" s="88">
        <v>10234</v>
      </c>
      <c r="B75" s="88" t="s">
        <v>79</v>
      </c>
      <c r="C75" s="88">
        <v>1</v>
      </c>
      <c r="D75" s="88">
        <v>0</v>
      </c>
      <c r="E75" s="91">
        <v>51.76</v>
      </c>
      <c r="F75" s="91">
        <v>70.899000000000001</v>
      </c>
      <c r="G75" s="91">
        <v>73.045000000000002</v>
      </c>
      <c r="H75" s="91">
        <v>0</v>
      </c>
      <c r="I75" s="91">
        <v>0</v>
      </c>
      <c r="J75" s="91">
        <v>0</v>
      </c>
      <c r="K75" s="91">
        <v>0</v>
      </c>
      <c r="L75" s="90">
        <v>0</v>
      </c>
      <c r="M75" s="90">
        <v>0</v>
      </c>
      <c r="N75" s="91">
        <v>70.899000000000001</v>
      </c>
      <c r="O75" s="91">
        <v>73.045000000000002</v>
      </c>
      <c r="P75" s="90">
        <v>622776.81599999999</v>
      </c>
      <c r="Q75" s="90">
        <v>639874.20000000007</v>
      </c>
      <c r="R75" s="88">
        <v>50.999000000000002</v>
      </c>
      <c r="S75" s="90">
        <v>447975.21600000001</v>
      </c>
      <c r="T75" s="90">
        <v>446751.24000000005</v>
      </c>
      <c r="U75" s="91">
        <v>19.899999999999999</v>
      </c>
      <c r="V75" s="91">
        <v>22.045999999999999</v>
      </c>
      <c r="W75" s="91">
        <v>19.899999999999999</v>
      </c>
      <c r="X75" s="91">
        <v>22.045999999999999</v>
      </c>
      <c r="Y75" s="91">
        <v>0</v>
      </c>
      <c r="Z75" s="91">
        <v>0</v>
      </c>
      <c r="AA75" s="88">
        <v>0</v>
      </c>
      <c r="AB75" s="88">
        <v>0</v>
      </c>
      <c r="AC75" s="91">
        <v>19.899999999999999</v>
      </c>
      <c r="AD75" s="91">
        <v>22.045999999999999</v>
      </c>
      <c r="AE75" s="92">
        <v>7.2202000000000004E-3</v>
      </c>
      <c r="AF75" s="92">
        <v>7.2202000000000004E-3</v>
      </c>
      <c r="AG75" s="92">
        <v>0</v>
      </c>
      <c r="AH75" s="92">
        <v>7.2202000000000004E-3</v>
      </c>
      <c r="AI75" s="92">
        <v>7.2202000000000004E-3</v>
      </c>
      <c r="AJ75" s="92">
        <v>7.2202000000000004E-3</v>
      </c>
      <c r="AK75" s="92">
        <v>0.71931773329666149</v>
      </c>
      <c r="AL75" s="92">
        <v>0.6981847898281881</v>
      </c>
      <c r="AM75" s="92">
        <v>1.3902037294848919</v>
      </c>
      <c r="AN75" s="92">
        <v>1.4322829859409008</v>
      </c>
      <c r="AO75" s="92">
        <v>0</v>
      </c>
      <c r="AP75" s="92">
        <v>0</v>
      </c>
      <c r="AQ75" s="88">
        <v>3</v>
      </c>
      <c r="AR75" s="88">
        <v>3</v>
      </c>
      <c r="AS75" s="91">
        <v>4</v>
      </c>
      <c r="AT75" s="91">
        <v>0</v>
      </c>
      <c r="AU75" s="91">
        <v>15.9</v>
      </c>
      <c r="AV75" s="91">
        <v>22.045999999999999</v>
      </c>
      <c r="AW75" s="91">
        <v>0</v>
      </c>
      <c r="AX75" s="91">
        <v>0</v>
      </c>
      <c r="AY75" s="91">
        <v>0</v>
      </c>
      <c r="AZ75" s="91">
        <v>0</v>
      </c>
      <c r="BA75" s="91">
        <v>0</v>
      </c>
      <c r="BB75" s="91">
        <v>0</v>
      </c>
      <c r="BC75" s="91">
        <v>0</v>
      </c>
      <c r="BD75" s="91">
        <v>0</v>
      </c>
      <c r="BE75" s="91">
        <v>66.899000000000001</v>
      </c>
      <c r="BF75" s="91">
        <v>73.045000000000002</v>
      </c>
      <c r="BG75" s="88">
        <v>1</v>
      </c>
      <c r="BH75"/>
      <c r="BI75"/>
      <c r="BJ75"/>
      <c r="BK75"/>
      <c r="BL75"/>
      <c r="BM75"/>
      <c r="BN75"/>
      <c r="BO75"/>
      <c r="BP75"/>
      <c r="BQ75"/>
    </row>
    <row r="76" spans="1:69">
      <c r="A76" s="88">
        <v>10235</v>
      </c>
      <c r="B76" s="88" t="s">
        <v>80</v>
      </c>
      <c r="C76" s="88">
        <v>1</v>
      </c>
      <c r="D76" s="88">
        <v>0</v>
      </c>
      <c r="E76" s="91">
        <v>33.606999999999999</v>
      </c>
      <c r="F76" s="91">
        <v>30.236000000000001</v>
      </c>
      <c r="G76" s="91">
        <v>30.274999999999999</v>
      </c>
      <c r="H76" s="91">
        <v>0</v>
      </c>
      <c r="I76" s="91">
        <v>0</v>
      </c>
      <c r="J76" s="91">
        <v>0</v>
      </c>
      <c r="K76" s="91">
        <v>0</v>
      </c>
      <c r="L76" s="90">
        <v>0</v>
      </c>
      <c r="M76" s="90">
        <v>0</v>
      </c>
      <c r="N76" s="91">
        <v>30.236000000000001</v>
      </c>
      <c r="O76" s="91">
        <v>30.274999999999999</v>
      </c>
      <c r="P76" s="90">
        <v>265593.02400000003</v>
      </c>
      <c r="Q76" s="90">
        <v>265209</v>
      </c>
      <c r="R76" s="88">
        <v>33.113</v>
      </c>
      <c r="S76" s="90">
        <v>290864.592</v>
      </c>
      <c r="T76" s="90">
        <v>290069.88</v>
      </c>
      <c r="U76" s="91">
        <v>0</v>
      </c>
      <c r="V76" s="91">
        <v>0</v>
      </c>
      <c r="W76" s="91">
        <v>0</v>
      </c>
      <c r="X76" s="91">
        <v>0</v>
      </c>
      <c r="Y76" s="91">
        <v>0</v>
      </c>
      <c r="Z76" s="91">
        <v>0</v>
      </c>
      <c r="AA76" s="88">
        <v>0</v>
      </c>
      <c r="AB76" s="88">
        <v>0</v>
      </c>
      <c r="AC76" s="91">
        <v>0</v>
      </c>
      <c r="AD76" s="91">
        <v>0</v>
      </c>
      <c r="AE76" s="92">
        <v>4.2807000000000001E-3</v>
      </c>
      <c r="AF76" s="92">
        <v>4.2862000000000004E-3</v>
      </c>
      <c r="AG76" s="92">
        <v>0</v>
      </c>
      <c r="AH76" s="92">
        <v>4.2807000000000001E-3</v>
      </c>
      <c r="AI76" s="92">
        <v>4.2862000000000004E-3</v>
      </c>
      <c r="AJ76" s="92">
        <v>4.2834500000000003E-3</v>
      </c>
      <c r="AK76" s="92">
        <v>1</v>
      </c>
      <c r="AL76" s="92">
        <v>0.99999983692815864</v>
      </c>
      <c r="AM76" s="92">
        <v>1</v>
      </c>
      <c r="AN76" s="92">
        <v>1</v>
      </c>
      <c r="AO76" s="92">
        <v>0</v>
      </c>
      <c r="AP76" s="92">
        <v>0</v>
      </c>
      <c r="AQ76" s="88">
        <v>1</v>
      </c>
      <c r="AR76" s="88">
        <v>1</v>
      </c>
      <c r="AS76" s="91">
        <v>0</v>
      </c>
      <c r="AT76" s="91">
        <v>0</v>
      </c>
      <c r="AU76" s="91">
        <v>0</v>
      </c>
      <c r="AV76" s="91">
        <v>0</v>
      </c>
      <c r="AW76" s="91">
        <v>0</v>
      </c>
      <c r="AX76" s="91">
        <v>0</v>
      </c>
      <c r="AY76" s="91">
        <v>0</v>
      </c>
      <c r="AZ76" s="91">
        <v>0</v>
      </c>
      <c r="BA76" s="91">
        <v>0</v>
      </c>
      <c r="BB76" s="91">
        <v>0</v>
      </c>
      <c r="BC76" s="91">
        <v>0</v>
      </c>
      <c r="BD76" s="91">
        <v>0</v>
      </c>
      <c r="BE76" s="91">
        <v>30.236000000000001</v>
      </c>
      <c r="BF76" s="91">
        <v>30.274999999999999</v>
      </c>
      <c r="BG76" s="88">
        <v>0</v>
      </c>
      <c r="BH76"/>
      <c r="BI76"/>
      <c r="BJ76"/>
      <c r="BK76"/>
      <c r="BL76"/>
      <c r="BM76"/>
      <c r="BN76"/>
      <c r="BO76"/>
      <c r="BP76"/>
      <c r="BQ76"/>
    </row>
    <row r="77" spans="1:69">
      <c r="A77" s="88">
        <v>10236</v>
      </c>
      <c r="B77" s="88" t="s">
        <v>81</v>
      </c>
      <c r="C77" s="88">
        <v>0</v>
      </c>
      <c r="D77" s="88">
        <v>1</v>
      </c>
      <c r="E77" s="91">
        <v>29.536999999999999</v>
      </c>
      <c r="F77" s="91">
        <v>28.204999999999998</v>
      </c>
      <c r="G77" s="91">
        <v>28.187999999999999</v>
      </c>
      <c r="H77" s="91">
        <v>0</v>
      </c>
      <c r="I77" s="91">
        <v>0</v>
      </c>
      <c r="J77" s="91">
        <v>0.13200000000000001</v>
      </c>
      <c r="K77" s="91">
        <v>0.13200000000000001</v>
      </c>
      <c r="L77" s="90">
        <v>1159.4880000000001</v>
      </c>
      <c r="M77" s="90">
        <v>1156.3200000000002</v>
      </c>
      <c r="N77" s="91">
        <v>28.073</v>
      </c>
      <c r="O77" s="91">
        <v>28.056000000000001</v>
      </c>
      <c r="P77" s="90">
        <v>246593.23199999999</v>
      </c>
      <c r="Q77" s="90">
        <v>245770.56</v>
      </c>
      <c r="R77" s="88">
        <v>29.103000000000002</v>
      </c>
      <c r="S77" s="90">
        <v>255640.75200000001</v>
      </c>
      <c r="T77" s="90">
        <v>254942.28000000003</v>
      </c>
      <c r="U77" s="91">
        <v>0</v>
      </c>
      <c r="V77" s="91">
        <v>0</v>
      </c>
      <c r="W77" s="91">
        <v>0</v>
      </c>
      <c r="X77" s="91">
        <v>0</v>
      </c>
      <c r="Y77" s="91">
        <v>0</v>
      </c>
      <c r="Z77" s="91">
        <v>0</v>
      </c>
      <c r="AA77" s="88">
        <v>0</v>
      </c>
      <c r="AB77" s="88">
        <v>0</v>
      </c>
      <c r="AC77" s="91">
        <v>0</v>
      </c>
      <c r="AD77" s="91">
        <v>0</v>
      </c>
      <c r="AE77" s="92">
        <v>3.9744999999999997E-3</v>
      </c>
      <c r="AF77" s="92">
        <v>3.9719999999999998E-3</v>
      </c>
      <c r="AG77" s="92">
        <v>0</v>
      </c>
      <c r="AH77" s="92">
        <v>3.9744999999999997E-3</v>
      </c>
      <c r="AI77" s="92">
        <v>3.9719999999999998E-3</v>
      </c>
      <c r="AJ77" s="92">
        <v>3.9732499999999994E-3</v>
      </c>
      <c r="AK77" s="92">
        <v>1</v>
      </c>
      <c r="AL77" s="92">
        <v>0.99998885270327798</v>
      </c>
      <c r="AM77" s="92">
        <v>1</v>
      </c>
      <c r="AN77" s="92">
        <v>1</v>
      </c>
      <c r="AO77" s="92">
        <v>6.5000000000000002E-2</v>
      </c>
      <c r="AP77" s="92">
        <v>6.5000000000000002E-2</v>
      </c>
      <c r="AQ77" s="88">
        <v>6</v>
      </c>
      <c r="AR77" s="88">
        <v>6</v>
      </c>
      <c r="AS77" s="91">
        <v>0</v>
      </c>
      <c r="AT77" s="91">
        <v>0</v>
      </c>
      <c r="AU77" s="91">
        <v>0</v>
      </c>
      <c r="AV77" s="91">
        <v>0</v>
      </c>
      <c r="AW77" s="91">
        <v>0</v>
      </c>
      <c r="AX77" s="91">
        <v>0</v>
      </c>
      <c r="AY77" s="91">
        <v>0</v>
      </c>
      <c r="AZ77" s="91">
        <v>0</v>
      </c>
      <c r="BA77" s="91">
        <v>0</v>
      </c>
      <c r="BB77" s="91">
        <v>0</v>
      </c>
      <c r="BC77" s="91">
        <v>0</v>
      </c>
      <c r="BD77" s="91">
        <v>0</v>
      </c>
      <c r="BE77" s="91">
        <v>28.073</v>
      </c>
      <c r="BF77" s="91">
        <v>28.056000000000001</v>
      </c>
      <c r="BG77" s="88">
        <v>1</v>
      </c>
      <c r="BH77"/>
      <c r="BI77"/>
      <c r="BJ77"/>
      <c r="BK77"/>
      <c r="BL77"/>
      <c r="BM77"/>
      <c r="BN77"/>
      <c r="BO77"/>
      <c r="BP77"/>
      <c r="BQ77"/>
    </row>
    <row r="78" spans="1:69">
      <c r="A78" s="88">
        <v>10237</v>
      </c>
      <c r="B78" s="88" t="s">
        <v>82</v>
      </c>
      <c r="C78" s="88">
        <v>1</v>
      </c>
      <c r="D78" s="88">
        <v>0</v>
      </c>
      <c r="E78" s="91">
        <v>115.429</v>
      </c>
      <c r="F78" s="91">
        <v>117.64700000000001</v>
      </c>
      <c r="G78" s="91">
        <v>118.648</v>
      </c>
      <c r="H78" s="91">
        <v>0</v>
      </c>
      <c r="I78" s="91">
        <v>0</v>
      </c>
      <c r="J78" s="91">
        <v>1.1890000000000001</v>
      </c>
      <c r="K78" s="91">
        <v>1.19</v>
      </c>
      <c r="L78" s="90">
        <v>10444.176000000001</v>
      </c>
      <c r="M78" s="90">
        <v>10424.4</v>
      </c>
      <c r="N78" s="91">
        <v>116.458</v>
      </c>
      <c r="O78" s="91">
        <v>117.458</v>
      </c>
      <c r="P78" s="90">
        <v>1022967.072</v>
      </c>
      <c r="Q78" s="90">
        <v>1028932.08</v>
      </c>
      <c r="R78" s="88">
        <v>113.732</v>
      </c>
      <c r="S78" s="90">
        <v>999021.88800000004</v>
      </c>
      <c r="T78" s="90">
        <v>996292.32</v>
      </c>
      <c r="U78" s="91">
        <v>2.7259999999999991</v>
      </c>
      <c r="V78" s="91">
        <v>3.7259999999999991</v>
      </c>
      <c r="W78" s="91">
        <v>2.7259999999999991</v>
      </c>
      <c r="X78" s="91">
        <v>3.7259999999999991</v>
      </c>
      <c r="Y78" s="91">
        <v>0</v>
      </c>
      <c r="Z78" s="91">
        <v>0</v>
      </c>
      <c r="AA78" s="88">
        <v>0</v>
      </c>
      <c r="AB78" s="88">
        <v>0</v>
      </c>
      <c r="AC78" s="91">
        <v>2.7259999999999991</v>
      </c>
      <c r="AD78" s="91">
        <v>3.7259999999999991</v>
      </c>
      <c r="AE78" s="92">
        <v>1.61017E-2</v>
      </c>
      <c r="AF78" s="92">
        <v>1.61017E-2</v>
      </c>
      <c r="AG78" s="92">
        <v>9.6027999999999999E-3</v>
      </c>
      <c r="AH78" s="92">
        <v>6.4989000000000002E-3</v>
      </c>
      <c r="AI78" s="92">
        <v>6.4989000000000002E-3</v>
      </c>
      <c r="AJ78" s="92">
        <v>6.4989000000000002E-3</v>
      </c>
      <c r="AK78" s="92">
        <v>0.97683055428952714</v>
      </c>
      <c r="AL78" s="92">
        <v>0.96859773633352442</v>
      </c>
      <c r="AM78" s="92">
        <v>1.023968628002673</v>
      </c>
      <c r="AN78" s="92">
        <v>1.0327612281503886</v>
      </c>
      <c r="AO78" s="209">
        <v>5.1198431400133651E-2</v>
      </c>
      <c r="AP78" s="209">
        <v>5.1638061407519434E-2</v>
      </c>
      <c r="AQ78" s="88">
        <v>4</v>
      </c>
      <c r="AR78" s="88">
        <v>2</v>
      </c>
      <c r="AS78" s="91">
        <v>0</v>
      </c>
      <c r="AT78" s="91">
        <v>5</v>
      </c>
      <c r="AU78" s="91">
        <v>0</v>
      </c>
      <c r="AV78" s="91">
        <v>3.726</v>
      </c>
      <c r="AW78" s="91">
        <v>0</v>
      </c>
      <c r="AX78" s="91">
        <v>0</v>
      </c>
      <c r="AY78" s="91">
        <v>0</v>
      </c>
      <c r="AZ78" s="91">
        <v>-8.8817841970012523E-16</v>
      </c>
      <c r="BA78" s="91">
        <v>0</v>
      </c>
      <c r="BB78" s="91">
        <v>0</v>
      </c>
      <c r="BC78" s="91">
        <v>0</v>
      </c>
      <c r="BD78" s="91">
        <v>0</v>
      </c>
      <c r="BE78" s="91">
        <v>113.732</v>
      </c>
      <c r="BF78" s="91">
        <v>117.458</v>
      </c>
      <c r="BG78" s="88">
        <v>0</v>
      </c>
      <c r="BH78"/>
      <c r="BI78"/>
      <c r="BJ78"/>
      <c r="BK78"/>
      <c r="BL78"/>
      <c r="BM78"/>
      <c r="BN78"/>
      <c r="BO78"/>
      <c r="BP78"/>
      <c r="BQ78"/>
    </row>
    <row r="79" spans="1:69">
      <c r="A79" s="88">
        <v>10239</v>
      </c>
      <c r="B79" s="88" t="s">
        <v>83</v>
      </c>
      <c r="C79" s="88">
        <v>0</v>
      </c>
      <c r="D79" s="88">
        <v>1</v>
      </c>
      <c r="E79" s="91">
        <v>14.209</v>
      </c>
      <c r="F79" s="91">
        <v>15.089</v>
      </c>
      <c r="G79" s="91">
        <v>15.164999999999999</v>
      </c>
      <c r="H79" s="91">
        <v>0</v>
      </c>
      <c r="I79" s="91">
        <v>0</v>
      </c>
      <c r="J79" s="91">
        <v>0</v>
      </c>
      <c r="K79" s="91">
        <v>0</v>
      </c>
      <c r="L79" s="90">
        <v>0</v>
      </c>
      <c r="M79" s="90">
        <v>0</v>
      </c>
      <c r="N79" s="91">
        <v>15.089</v>
      </c>
      <c r="O79" s="91">
        <v>15.164999999999999</v>
      </c>
      <c r="P79" s="90">
        <v>132541.77600000001</v>
      </c>
      <c r="Q79" s="90">
        <v>132845.4</v>
      </c>
      <c r="R79" s="88">
        <v>14</v>
      </c>
      <c r="S79" s="90">
        <v>122976</v>
      </c>
      <c r="T79" s="90">
        <v>122640</v>
      </c>
      <c r="U79" s="91">
        <v>1.089</v>
      </c>
      <c r="V79" s="91">
        <v>1.165</v>
      </c>
      <c r="W79" s="91">
        <v>1.089</v>
      </c>
      <c r="X79" s="91">
        <v>1.165</v>
      </c>
      <c r="Y79" s="91">
        <v>0</v>
      </c>
      <c r="Z79" s="91">
        <v>0</v>
      </c>
      <c r="AA79" s="88">
        <v>0</v>
      </c>
      <c r="AB79" s="88">
        <v>0</v>
      </c>
      <c r="AC79" s="91">
        <v>1.089</v>
      </c>
      <c r="AD79" s="91">
        <v>1.165</v>
      </c>
      <c r="AE79" s="92">
        <v>1.9821000000000001E-3</v>
      </c>
      <c r="AF79" s="92">
        <v>1.9821000000000001E-3</v>
      </c>
      <c r="AG79" s="92">
        <v>0</v>
      </c>
      <c r="AH79" s="92">
        <v>1.9821000000000001E-3</v>
      </c>
      <c r="AI79" s="92">
        <v>1.9821000000000001E-3</v>
      </c>
      <c r="AJ79" s="92">
        <v>1.9821000000000001E-3</v>
      </c>
      <c r="AK79" s="92">
        <v>0.92784782069719662</v>
      </c>
      <c r="AL79" s="92">
        <v>0.92319787448071222</v>
      </c>
      <c r="AM79" s="92">
        <v>1.0777857142857143</v>
      </c>
      <c r="AN79" s="92">
        <v>1.0832142857142857</v>
      </c>
      <c r="AO79" s="92">
        <v>7.5445000000000012E-2</v>
      </c>
      <c r="AP79" s="92">
        <v>7.5825000000000004E-2</v>
      </c>
      <c r="AQ79" s="88">
        <v>6</v>
      </c>
      <c r="AR79" s="88">
        <v>6</v>
      </c>
      <c r="AS79" s="91">
        <v>0</v>
      </c>
      <c r="AT79" s="91">
        <v>0</v>
      </c>
      <c r="AU79" s="91">
        <v>0</v>
      </c>
      <c r="AV79" s="91">
        <v>0</v>
      </c>
      <c r="AW79" s="91">
        <v>0</v>
      </c>
      <c r="AX79" s="91">
        <v>0</v>
      </c>
      <c r="AY79" s="91">
        <v>0</v>
      </c>
      <c r="AZ79" s="91">
        <v>0</v>
      </c>
      <c r="BA79" s="91">
        <v>0</v>
      </c>
      <c r="BB79" s="91">
        <v>0</v>
      </c>
      <c r="BC79" s="91">
        <v>0</v>
      </c>
      <c r="BD79" s="91">
        <v>0</v>
      </c>
      <c r="BE79" s="91">
        <v>14</v>
      </c>
      <c r="BF79" s="91">
        <v>14</v>
      </c>
      <c r="BG79" s="88">
        <v>1</v>
      </c>
      <c r="BH79"/>
      <c r="BI79"/>
      <c r="BJ79"/>
      <c r="BK79"/>
      <c r="BL79"/>
      <c r="BM79"/>
      <c r="BN79"/>
      <c r="BO79"/>
      <c r="BP79"/>
      <c r="BQ79"/>
    </row>
    <row r="80" spans="1:69">
      <c r="A80" s="88">
        <v>10242</v>
      </c>
      <c r="B80" s="88" t="s">
        <v>84</v>
      </c>
      <c r="C80" s="88">
        <v>1</v>
      </c>
      <c r="D80" s="88">
        <v>0</v>
      </c>
      <c r="E80" s="91">
        <v>9.6679999999999993</v>
      </c>
      <c r="F80" s="91">
        <v>11.303000000000001</v>
      </c>
      <c r="G80" s="91">
        <v>11.468</v>
      </c>
      <c r="H80" s="91">
        <v>0</v>
      </c>
      <c r="I80" s="91">
        <v>0</v>
      </c>
      <c r="J80" s="91">
        <v>0</v>
      </c>
      <c r="K80" s="91">
        <v>0</v>
      </c>
      <c r="L80" s="90">
        <v>0</v>
      </c>
      <c r="M80" s="90">
        <v>0</v>
      </c>
      <c r="N80" s="91">
        <v>11.303000000000001</v>
      </c>
      <c r="O80" s="91">
        <v>11.468</v>
      </c>
      <c r="P80" s="90">
        <v>99285.552000000011</v>
      </c>
      <c r="Q80" s="90">
        <v>100459.68</v>
      </c>
      <c r="R80" s="88">
        <v>9.5259999999999998</v>
      </c>
      <c r="S80" s="90">
        <v>83676.384000000005</v>
      </c>
      <c r="T80" s="90">
        <v>83447.759999999995</v>
      </c>
      <c r="U80" s="91">
        <v>1.7769999999999999</v>
      </c>
      <c r="V80" s="91">
        <v>1.9419999999999999</v>
      </c>
      <c r="W80" s="91">
        <v>1.7769999999999999</v>
      </c>
      <c r="X80" s="91">
        <v>1.9419999999999999</v>
      </c>
      <c r="Y80" s="91">
        <v>0</v>
      </c>
      <c r="Z80" s="91">
        <v>0</v>
      </c>
      <c r="AA80" s="88">
        <v>0</v>
      </c>
      <c r="AB80" s="88">
        <v>0</v>
      </c>
      <c r="AC80" s="91">
        <v>1.7769999999999999</v>
      </c>
      <c r="AD80" s="91">
        <v>1.9419999999999999</v>
      </c>
      <c r="AE80" s="92">
        <v>1.3485999999999999E-3</v>
      </c>
      <c r="AF80" s="92">
        <v>1.3485999999999999E-3</v>
      </c>
      <c r="AG80" s="92">
        <v>0</v>
      </c>
      <c r="AH80" s="92">
        <v>1.3485999999999999E-3</v>
      </c>
      <c r="AI80" s="92">
        <v>1.3485999999999999E-3</v>
      </c>
      <c r="AJ80" s="92">
        <v>1.3485999999999999E-3</v>
      </c>
      <c r="AK80" s="92">
        <v>0.84275449340882935</v>
      </c>
      <c r="AL80" s="92">
        <v>0.83062905816184152</v>
      </c>
      <c r="AM80" s="92">
        <v>1.186542095318077</v>
      </c>
      <c r="AN80" s="92">
        <v>1.2038631114843585</v>
      </c>
      <c r="AO80" s="92">
        <v>8.305794667226539E-2</v>
      </c>
      <c r="AP80" s="92">
        <v>8.4270417803905109E-2</v>
      </c>
      <c r="AQ80" s="88">
        <v>1</v>
      </c>
      <c r="AR80" s="88">
        <v>1</v>
      </c>
      <c r="AS80" s="91">
        <v>0</v>
      </c>
      <c r="AT80" s="91">
        <v>0</v>
      </c>
      <c r="AU80" s="91">
        <v>1.7769999999999999</v>
      </c>
      <c r="AV80" s="91">
        <v>1.9419999999999999</v>
      </c>
      <c r="AW80" s="91">
        <v>0</v>
      </c>
      <c r="AX80" s="91">
        <v>0</v>
      </c>
      <c r="AY80" s="91">
        <v>0</v>
      </c>
      <c r="AZ80" s="91">
        <v>0</v>
      </c>
      <c r="BA80" s="91">
        <v>0</v>
      </c>
      <c r="BB80" s="91">
        <v>0</v>
      </c>
      <c r="BC80" s="91">
        <v>0</v>
      </c>
      <c r="BD80" s="91">
        <v>0</v>
      </c>
      <c r="BE80" s="91">
        <v>11.303000000000001</v>
      </c>
      <c r="BF80" s="91">
        <v>11.468</v>
      </c>
      <c r="BG80" s="88">
        <v>0</v>
      </c>
      <c r="BH80"/>
      <c r="BI80"/>
      <c r="BJ80"/>
      <c r="BK80"/>
      <c r="BL80"/>
      <c r="BM80"/>
      <c r="BN80"/>
      <c r="BO80"/>
      <c r="BP80"/>
      <c r="BQ80"/>
    </row>
    <row r="81" spans="1:69">
      <c r="A81" s="88">
        <v>10244</v>
      </c>
      <c r="B81" s="88" t="s">
        <v>85</v>
      </c>
      <c r="C81" s="88">
        <v>1</v>
      </c>
      <c r="D81" s="88">
        <v>0</v>
      </c>
      <c r="E81" s="91">
        <v>87.320999999999998</v>
      </c>
      <c r="F81" s="91">
        <v>101.74</v>
      </c>
      <c r="G81" s="91">
        <v>103.129</v>
      </c>
      <c r="H81" s="91">
        <v>0</v>
      </c>
      <c r="I81" s="91">
        <v>0</v>
      </c>
      <c r="J81" s="91">
        <v>1.776</v>
      </c>
      <c r="K81" s="91">
        <v>1.778</v>
      </c>
      <c r="L81" s="90">
        <v>15600.384</v>
      </c>
      <c r="M81" s="90">
        <v>15575.28</v>
      </c>
      <c r="N81" s="91">
        <v>99.963999999999999</v>
      </c>
      <c r="O81" s="91">
        <v>101.351</v>
      </c>
      <c r="P81" s="90">
        <v>878083.77599999995</v>
      </c>
      <c r="Q81" s="90">
        <v>887834.76</v>
      </c>
      <c r="R81" s="88">
        <v>86.037999999999997</v>
      </c>
      <c r="S81" s="90">
        <v>755757.79200000002</v>
      </c>
      <c r="T81" s="90">
        <v>753692.88</v>
      </c>
      <c r="U81" s="91">
        <v>13.926</v>
      </c>
      <c r="V81" s="91">
        <v>15.313000000000001</v>
      </c>
      <c r="W81" s="91">
        <v>13.926</v>
      </c>
      <c r="X81" s="91">
        <v>15.313000000000001</v>
      </c>
      <c r="Y81" s="91">
        <v>0</v>
      </c>
      <c r="Z81" s="91">
        <v>0</v>
      </c>
      <c r="AA81" s="88">
        <v>0</v>
      </c>
      <c r="AB81" s="88">
        <v>0</v>
      </c>
      <c r="AC81" s="91">
        <v>13.926</v>
      </c>
      <c r="AD81" s="91">
        <v>15.313000000000001</v>
      </c>
      <c r="AE81" s="92">
        <v>1.21809E-2</v>
      </c>
      <c r="AF81" s="92">
        <v>1.21809E-2</v>
      </c>
      <c r="AG81" s="92">
        <v>0</v>
      </c>
      <c r="AH81" s="92">
        <v>1.21809E-2</v>
      </c>
      <c r="AI81" s="92">
        <v>1.21809E-2</v>
      </c>
      <c r="AJ81" s="92">
        <v>1.21809E-2</v>
      </c>
      <c r="AK81" s="92">
        <v>0.86312308559563589</v>
      </c>
      <c r="AL81" s="92">
        <v>0.85151744638753402</v>
      </c>
      <c r="AM81" s="92">
        <v>1.1618587135916689</v>
      </c>
      <c r="AN81" s="92">
        <v>1.1779794974313675</v>
      </c>
      <c r="AO81" s="92">
        <v>6.9711522815500138E-2</v>
      </c>
      <c r="AP81" s="92">
        <v>7.0678769845882047E-2</v>
      </c>
      <c r="AQ81" s="88">
        <v>3</v>
      </c>
      <c r="AR81" s="88">
        <v>3</v>
      </c>
      <c r="AS81" s="91">
        <v>16.577000000000002</v>
      </c>
      <c r="AT81" s="91">
        <v>2.573</v>
      </c>
      <c r="AU81" s="91">
        <v>0.34899999999999998</v>
      </c>
      <c r="AV81" s="91">
        <v>12.74</v>
      </c>
      <c r="AW81" s="91">
        <v>2.577</v>
      </c>
      <c r="AX81" s="91">
        <v>2.573</v>
      </c>
      <c r="AY81" s="91">
        <v>0</v>
      </c>
      <c r="AZ81" s="91">
        <v>0</v>
      </c>
      <c r="BA81" s="91">
        <v>0</v>
      </c>
      <c r="BB81" s="91">
        <v>0</v>
      </c>
      <c r="BC81" s="91">
        <v>0</v>
      </c>
      <c r="BD81" s="91">
        <v>0</v>
      </c>
      <c r="BE81" s="91">
        <v>86.387</v>
      </c>
      <c r="BF81" s="91">
        <v>98.778000000000006</v>
      </c>
      <c r="BG81" s="88">
        <v>1</v>
      </c>
      <c r="BH81"/>
      <c r="BI81"/>
      <c r="BJ81"/>
      <c r="BK81"/>
      <c r="BL81"/>
      <c r="BM81"/>
      <c r="BN81"/>
      <c r="BO81"/>
      <c r="BP81"/>
      <c r="BQ81"/>
    </row>
    <row r="82" spans="1:69">
      <c r="A82" s="88">
        <v>10246</v>
      </c>
      <c r="B82" s="88" t="s">
        <v>86</v>
      </c>
      <c r="C82" s="88">
        <v>1</v>
      </c>
      <c r="D82" s="88">
        <v>0</v>
      </c>
      <c r="E82" s="91">
        <v>9.1210000000000004</v>
      </c>
      <c r="F82" s="91">
        <v>10.369</v>
      </c>
      <c r="G82" s="91">
        <v>10.404</v>
      </c>
      <c r="H82" s="91">
        <v>0</v>
      </c>
      <c r="I82" s="91">
        <v>0</v>
      </c>
      <c r="J82" s="91">
        <v>0.54</v>
      </c>
      <c r="K82" s="91">
        <v>0.54200000000000004</v>
      </c>
      <c r="L82" s="90">
        <v>4743.3600000000006</v>
      </c>
      <c r="M82" s="90">
        <v>4747.92</v>
      </c>
      <c r="N82" s="91">
        <v>9.8290000000000006</v>
      </c>
      <c r="O82" s="91">
        <v>9.8620000000000001</v>
      </c>
      <c r="P82" s="90">
        <v>86337.936000000002</v>
      </c>
      <c r="Q82" s="90">
        <v>86391.12</v>
      </c>
      <c r="R82" s="88">
        <v>8.9870000000000001</v>
      </c>
      <c r="S82" s="90">
        <v>78941.808000000005</v>
      </c>
      <c r="T82" s="90">
        <v>78726.12</v>
      </c>
      <c r="U82" s="91">
        <v>0.84199999999999997</v>
      </c>
      <c r="V82" s="91">
        <v>0.875</v>
      </c>
      <c r="W82" s="91">
        <v>0</v>
      </c>
      <c r="X82" s="91">
        <v>0</v>
      </c>
      <c r="Y82" s="91">
        <v>0.84199999999999997</v>
      </c>
      <c r="Z82" s="91">
        <v>0.875</v>
      </c>
      <c r="AA82" s="88">
        <v>0</v>
      </c>
      <c r="AB82" s="88">
        <v>0</v>
      </c>
      <c r="AC82" s="91">
        <v>0</v>
      </c>
      <c r="AD82" s="91">
        <v>0</v>
      </c>
      <c r="AE82" s="92">
        <v>1.2723000000000001E-3</v>
      </c>
      <c r="AF82" s="92">
        <v>1.2723000000000001E-3</v>
      </c>
      <c r="AG82" s="92">
        <v>0</v>
      </c>
      <c r="AH82" s="92">
        <v>1.2723000000000001E-3</v>
      </c>
      <c r="AI82" s="92">
        <v>1.2723000000000001E-3</v>
      </c>
      <c r="AJ82" s="92">
        <v>1.2723000000000001E-3</v>
      </c>
      <c r="AK82" s="92">
        <v>0.91876934029318169</v>
      </c>
      <c r="AL82" s="92">
        <v>0.91587075062475964</v>
      </c>
      <c r="AM82" s="92">
        <v>1.0936908868365418</v>
      </c>
      <c r="AN82" s="92">
        <v>1.0973628574607768</v>
      </c>
      <c r="AO82" s="92">
        <v>0</v>
      </c>
      <c r="AP82" s="92">
        <v>0</v>
      </c>
      <c r="AQ82" s="88">
        <v>1</v>
      </c>
      <c r="AR82" s="88">
        <v>1</v>
      </c>
      <c r="AS82" s="91">
        <v>0</v>
      </c>
      <c r="AT82" s="91">
        <v>0</v>
      </c>
      <c r="AU82" s="91">
        <v>0</v>
      </c>
      <c r="AV82" s="91">
        <v>0</v>
      </c>
      <c r="AW82" s="91">
        <v>0</v>
      </c>
      <c r="AX82" s="91">
        <v>0</v>
      </c>
      <c r="AY82" s="91">
        <v>0</v>
      </c>
      <c r="AZ82" s="91">
        <v>0</v>
      </c>
      <c r="BA82" s="91">
        <v>0</v>
      </c>
      <c r="BB82" s="91">
        <v>0</v>
      </c>
      <c r="BC82" s="91">
        <v>0</v>
      </c>
      <c r="BD82" s="91">
        <v>0</v>
      </c>
      <c r="BE82" s="91">
        <v>9.8290000000000006</v>
      </c>
      <c r="BF82" s="91">
        <v>9.8620000000000001</v>
      </c>
      <c r="BG82" s="88">
        <v>0</v>
      </c>
      <c r="BH82"/>
      <c r="BI82"/>
      <c r="BJ82"/>
      <c r="BK82"/>
      <c r="BL82"/>
      <c r="BM82"/>
      <c r="BN82"/>
      <c r="BO82"/>
      <c r="BP82"/>
      <c r="BQ82"/>
    </row>
    <row r="83" spans="1:69">
      <c r="A83" s="88">
        <v>10247</v>
      </c>
      <c r="B83" s="88" t="s">
        <v>87</v>
      </c>
      <c r="C83" s="88">
        <v>1</v>
      </c>
      <c r="D83" s="88">
        <v>0</v>
      </c>
      <c r="E83" s="91">
        <v>81.120999999999995</v>
      </c>
      <c r="F83" s="91">
        <v>80.61</v>
      </c>
      <c r="G83" s="91">
        <v>81.094999999999999</v>
      </c>
      <c r="H83" s="91">
        <v>0</v>
      </c>
      <c r="I83" s="91">
        <v>0</v>
      </c>
      <c r="J83" s="91">
        <v>0.65600000000000003</v>
      </c>
      <c r="K83" s="91">
        <v>0.65600000000000003</v>
      </c>
      <c r="L83" s="90">
        <v>5762.3040000000001</v>
      </c>
      <c r="M83" s="90">
        <v>5746.56</v>
      </c>
      <c r="N83" s="91">
        <v>79.953999999999994</v>
      </c>
      <c r="O83" s="91">
        <v>80.438999999999993</v>
      </c>
      <c r="P83" s="90">
        <v>702315.93599999999</v>
      </c>
      <c r="Q83" s="90">
        <v>704645.6399999999</v>
      </c>
      <c r="R83" s="88">
        <v>79.929000000000002</v>
      </c>
      <c r="S83" s="90">
        <v>702096.33600000001</v>
      </c>
      <c r="T83" s="90">
        <v>700178.04</v>
      </c>
      <c r="U83" s="91">
        <v>2.5000000000000001E-2</v>
      </c>
      <c r="V83" s="91">
        <v>0.51</v>
      </c>
      <c r="W83" s="91">
        <v>2.5000000000000001E-2</v>
      </c>
      <c r="X83" s="91">
        <v>0.51</v>
      </c>
      <c r="Y83" s="91">
        <v>0</v>
      </c>
      <c r="Z83" s="91">
        <v>0</v>
      </c>
      <c r="AA83" s="88">
        <v>0</v>
      </c>
      <c r="AB83" s="88">
        <v>0</v>
      </c>
      <c r="AC83" s="91">
        <v>2.5000000000000001E-2</v>
      </c>
      <c r="AD83" s="91">
        <v>0.51</v>
      </c>
      <c r="AE83" s="92">
        <v>1.1316E-2</v>
      </c>
      <c r="AF83" s="92">
        <v>1.1316E-2</v>
      </c>
      <c r="AG83" s="92">
        <v>0</v>
      </c>
      <c r="AH83" s="92">
        <v>1.1316E-2</v>
      </c>
      <c r="AI83" s="92">
        <v>1.1316E-2</v>
      </c>
      <c r="AJ83" s="92">
        <v>1.1316E-2</v>
      </c>
      <c r="AK83" s="92">
        <v>0.99969034040441629</v>
      </c>
      <c r="AL83" s="92">
        <v>0.99371155237684194</v>
      </c>
      <c r="AM83" s="92">
        <v>1.0003127775901111</v>
      </c>
      <c r="AN83" s="92">
        <v>1.0063806628382688</v>
      </c>
      <c r="AO83" s="92">
        <v>0</v>
      </c>
      <c r="AP83" s="92">
        <v>0</v>
      </c>
      <c r="AQ83" s="88">
        <v>3</v>
      </c>
      <c r="AR83" s="88">
        <v>3</v>
      </c>
      <c r="AS83" s="91">
        <v>1.7270000000000001</v>
      </c>
      <c r="AT83" s="91">
        <v>1.7290000000000001</v>
      </c>
      <c r="AU83" s="91">
        <v>0</v>
      </c>
      <c r="AV83" s="91">
        <v>0</v>
      </c>
      <c r="AW83" s="91">
        <v>1.728</v>
      </c>
      <c r="AX83" s="91">
        <v>1.728</v>
      </c>
      <c r="AY83" s="91">
        <v>-1.7030000000000001</v>
      </c>
      <c r="AZ83" s="91">
        <v>-1.218</v>
      </c>
      <c r="BA83" s="91">
        <v>0</v>
      </c>
      <c r="BB83" s="91">
        <v>0</v>
      </c>
      <c r="BC83" s="91">
        <v>-1.7030000000000001</v>
      </c>
      <c r="BD83" s="91">
        <v>-1.218</v>
      </c>
      <c r="BE83" s="91">
        <v>79.929000000000002</v>
      </c>
      <c r="BF83" s="91">
        <v>79.929000000000002</v>
      </c>
      <c r="BG83" s="88">
        <v>1</v>
      </c>
      <c r="BH83"/>
      <c r="BI83"/>
      <c r="BJ83"/>
      <c r="BK83"/>
      <c r="BL83"/>
      <c r="BM83"/>
      <c r="BN83"/>
      <c r="BO83"/>
      <c r="BP83"/>
      <c r="BQ83"/>
    </row>
    <row r="84" spans="1:69">
      <c r="A84" s="88">
        <v>10256</v>
      </c>
      <c r="B84" s="88" t="s">
        <v>88</v>
      </c>
      <c r="C84" s="88">
        <v>1</v>
      </c>
      <c r="D84" s="88">
        <v>0</v>
      </c>
      <c r="E84" s="91">
        <v>47.442999999999998</v>
      </c>
      <c r="F84" s="91">
        <v>58.118000000000002</v>
      </c>
      <c r="G84" s="91">
        <v>59.572000000000003</v>
      </c>
      <c r="H84" s="91">
        <v>0</v>
      </c>
      <c r="I84" s="91">
        <v>0</v>
      </c>
      <c r="J84" s="91">
        <v>0.52200000000000002</v>
      </c>
      <c r="K84" s="91">
        <v>0.52200000000000002</v>
      </c>
      <c r="L84" s="90">
        <v>4585.2480000000005</v>
      </c>
      <c r="M84" s="90">
        <v>4572.72</v>
      </c>
      <c r="N84" s="91">
        <v>57.595999999999997</v>
      </c>
      <c r="O84" s="91">
        <v>59.05</v>
      </c>
      <c r="P84" s="90">
        <v>505923.26399999997</v>
      </c>
      <c r="Q84" s="90">
        <v>517278</v>
      </c>
      <c r="R84" s="88">
        <v>46.746000000000002</v>
      </c>
      <c r="S84" s="90">
        <v>410616.864</v>
      </c>
      <c r="T84" s="90">
        <v>409494.96</v>
      </c>
      <c r="U84" s="91">
        <v>10.85</v>
      </c>
      <c r="V84" s="91">
        <v>12.304</v>
      </c>
      <c r="W84" s="91">
        <v>10.85</v>
      </c>
      <c r="X84" s="91">
        <v>12.304</v>
      </c>
      <c r="Y84" s="91">
        <v>0</v>
      </c>
      <c r="Z84" s="91">
        <v>0</v>
      </c>
      <c r="AA84" s="88">
        <v>0</v>
      </c>
      <c r="AB84" s="88">
        <v>0</v>
      </c>
      <c r="AC84" s="91">
        <v>10.85</v>
      </c>
      <c r="AD84" s="91">
        <v>12.304</v>
      </c>
      <c r="AE84" s="92">
        <v>6.6181E-3</v>
      </c>
      <c r="AF84" s="92">
        <v>6.6181E-3</v>
      </c>
      <c r="AG84" s="92">
        <v>0</v>
      </c>
      <c r="AH84" s="92">
        <v>6.6181E-3</v>
      </c>
      <c r="AI84" s="92">
        <v>6.6181E-3</v>
      </c>
      <c r="AJ84" s="92">
        <v>6.6181E-3</v>
      </c>
      <c r="AK84" s="92">
        <v>0.81331181228707106</v>
      </c>
      <c r="AL84" s="92">
        <v>0.7934609532414556</v>
      </c>
      <c r="AM84" s="92">
        <v>1.232105420784666</v>
      </c>
      <c r="AN84" s="92">
        <v>1.2632096863902793</v>
      </c>
      <c r="AO84" s="92">
        <v>8.0086852351003296E-2</v>
      </c>
      <c r="AP84" s="92">
        <v>8.2108629615368162E-2</v>
      </c>
      <c r="AQ84" s="88">
        <v>1</v>
      </c>
      <c r="AR84" s="88">
        <v>1</v>
      </c>
      <c r="AS84" s="91">
        <v>0</v>
      </c>
      <c r="AT84" s="91">
        <v>0</v>
      </c>
      <c r="AU84" s="91">
        <v>10.85</v>
      </c>
      <c r="AV84" s="91">
        <v>12.304</v>
      </c>
      <c r="AW84" s="91">
        <v>0</v>
      </c>
      <c r="AX84" s="91">
        <v>0</v>
      </c>
      <c r="AY84" s="91">
        <v>0</v>
      </c>
      <c r="AZ84" s="91">
        <v>0</v>
      </c>
      <c r="BA84" s="91">
        <v>0</v>
      </c>
      <c r="BB84" s="91">
        <v>0</v>
      </c>
      <c r="BC84" s="91">
        <v>0</v>
      </c>
      <c r="BD84" s="91">
        <v>0</v>
      </c>
      <c r="BE84" s="91">
        <v>57.595999999999997</v>
      </c>
      <c r="BF84" s="91">
        <v>59.05</v>
      </c>
      <c r="BG84" s="88">
        <v>1</v>
      </c>
      <c r="BH84"/>
      <c r="BI84"/>
      <c r="BJ84"/>
      <c r="BK84"/>
      <c r="BL84"/>
      <c r="BM84"/>
      <c r="BN84"/>
      <c r="BO84"/>
      <c r="BP84"/>
      <c r="BQ84"/>
    </row>
    <row r="85" spans="1:69">
      <c r="A85" s="88">
        <v>10258</v>
      </c>
      <c r="B85" s="88" t="s">
        <v>89</v>
      </c>
      <c r="C85" s="88">
        <v>1</v>
      </c>
      <c r="D85" s="88">
        <v>0</v>
      </c>
      <c r="E85" s="91">
        <v>38.518000000000001</v>
      </c>
      <c r="F85" s="91">
        <v>50.956000000000003</v>
      </c>
      <c r="G85" s="91">
        <v>51.210999999999999</v>
      </c>
      <c r="H85" s="91">
        <v>0</v>
      </c>
      <c r="I85" s="91">
        <v>0</v>
      </c>
      <c r="J85" s="91">
        <v>9.7449999999999992</v>
      </c>
      <c r="K85" s="91">
        <v>9.7509999999999994</v>
      </c>
      <c r="L85" s="90">
        <v>85600.079999999987</v>
      </c>
      <c r="M85" s="90">
        <v>85418.76</v>
      </c>
      <c r="N85" s="91">
        <v>41.210999999999999</v>
      </c>
      <c r="O85" s="91">
        <v>41.46</v>
      </c>
      <c r="P85" s="90">
        <v>361997.424</v>
      </c>
      <c r="Q85" s="90">
        <v>363189.60000000003</v>
      </c>
      <c r="R85" s="88">
        <v>37.951999999999998</v>
      </c>
      <c r="S85" s="90">
        <v>333370.36799999996</v>
      </c>
      <c r="T85" s="90">
        <v>332459.51999999996</v>
      </c>
      <c r="U85" s="91">
        <v>3.2589999999999999</v>
      </c>
      <c r="V85" s="91">
        <v>3.508</v>
      </c>
      <c r="W85" s="91">
        <v>3.2589999999999999</v>
      </c>
      <c r="X85" s="91">
        <v>3.508</v>
      </c>
      <c r="Y85" s="91">
        <v>0</v>
      </c>
      <c r="Z85" s="91">
        <v>0</v>
      </c>
      <c r="AA85" s="88">
        <v>0</v>
      </c>
      <c r="AB85" s="88">
        <v>0</v>
      </c>
      <c r="AC85" s="91">
        <v>3.2589999999999999</v>
      </c>
      <c r="AD85" s="91">
        <v>3.508</v>
      </c>
      <c r="AE85" s="92">
        <v>5.3730999999999996E-3</v>
      </c>
      <c r="AF85" s="92">
        <v>5.3730999999999996E-3</v>
      </c>
      <c r="AG85" s="92">
        <v>0</v>
      </c>
      <c r="AH85" s="92">
        <v>5.3730999999999996E-3</v>
      </c>
      <c r="AI85" s="92">
        <v>5.3730999999999996E-3</v>
      </c>
      <c r="AJ85" s="92">
        <v>5.3730999999999996E-3</v>
      </c>
      <c r="AK85" s="92">
        <v>0.93604612766896911</v>
      </c>
      <c r="AL85" s="92">
        <v>0.93150234288531741</v>
      </c>
      <c r="AM85" s="92">
        <v>1.0858716273187183</v>
      </c>
      <c r="AN85" s="92">
        <v>1.0924325463743676</v>
      </c>
      <c r="AO85" s="92">
        <v>5.4293581365935928E-2</v>
      </c>
      <c r="AP85" s="92">
        <v>5.4621627318718391E-2</v>
      </c>
      <c r="AQ85" s="88">
        <v>1</v>
      </c>
      <c r="AR85" s="88">
        <v>3</v>
      </c>
      <c r="AS85" s="91">
        <v>0</v>
      </c>
      <c r="AT85" s="91">
        <v>0</v>
      </c>
      <c r="AU85" s="91">
        <v>3.2589999999999999</v>
      </c>
      <c r="AV85" s="91">
        <v>3.508</v>
      </c>
      <c r="AW85" s="91">
        <v>0</v>
      </c>
      <c r="AX85" s="91">
        <v>0</v>
      </c>
      <c r="AY85" s="91">
        <v>0</v>
      </c>
      <c r="AZ85" s="91">
        <v>0</v>
      </c>
      <c r="BA85" s="91">
        <v>0</v>
      </c>
      <c r="BB85" s="91">
        <v>0</v>
      </c>
      <c r="BC85" s="91">
        <v>0</v>
      </c>
      <c r="BD85" s="91">
        <v>0</v>
      </c>
      <c r="BE85" s="91">
        <v>41.210999999999999</v>
      </c>
      <c r="BF85" s="91">
        <v>41.46</v>
      </c>
      <c r="BG85" s="88">
        <v>1</v>
      </c>
      <c r="BH85"/>
      <c r="BI85"/>
      <c r="BJ85"/>
      <c r="BK85"/>
      <c r="BL85"/>
      <c r="BM85"/>
      <c r="BN85"/>
      <c r="BO85"/>
      <c r="BP85"/>
      <c r="BQ85"/>
    </row>
    <row r="86" spans="1:69">
      <c r="A86" s="88">
        <v>10259</v>
      </c>
      <c r="B86" s="88" t="s">
        <v>90</v>
      </c>
      <c r="C86" s="88">
        <v>1</v>
      </c>
      <c r="D86" s="88">
        <v>0</v>
      </c>
      <c r="E86" s="91">
        <v>27.388000000000002</v>
      </c>
      <c r="F86" s="91">
        <v>33.47</v>
      </c>
      <c r="G86" s="91">
        <v>33.872</v>
      </c>
      <c r="H86" s="91">
        <v>0</v>
      </c>
      <c r="I86" s="91">
        <v>0</v>
      </c>
      <c r="J86" s="91">
        <v>0</v>
      </c>
      <c r="K86" s="91">
        <v>0</v>
      </c>
      <c r="L86" s="90">
        <v>0</v>
      </c>
      <c r="M86" s="90">
        <v>0</v>
      </c>
      <c r="N86" s="91">
        <v>33.47</v>
      </c>
      <c r="O86" s="91">
        <v>33.872</v>
      </c>
      <c r="P86" s="90">
        <v>294000.48</v>
      </c>
      <c r="Q86" s="90">
        <v>296718.71999999997</v>
      </c>
      <c r="R86" s="88">
        <v>26.984999999999999</v>
      </c>
      <c r="S86" s="90">
        <v>237036.24</v>
      </c>
      <c r="T86" s="90">
        <v>236388.6</v>
      </c>
      <c r="U86" s="91">
        <v>6.4850000000000003</v>
      </c>
      <c r="V86" s="91">
        <v>6.8869999999999996</v>
      </c>
      <c r="W86" s="91">
        <v>6.4850000000000003</v>
      </c>
      <c r="X86" s="91">
        <v>6.8869999999999996</v>
      </c>
      <c r="Y86" s="91">
        <v>0</v>
      </c>
      <c r="Z86" s="91">
        <v>0</v>
      </c>
      <c r="AA86" s="88">
        <v>0</v>
      </c>
      <c r="AB86" s="88">
        <v>0</v>
      </c>
      <c r="AC86" s="91">
        <v>6.4850000000000003</v>
      </c>
      <c r="AD86" s="91">
        <v>6.8869999999999996</v>
      </c>
      <c r="AE86" s="92">
        <v>3.8203999999999998E-3</v>
      </c>
      <c r="AF86" s="92">
        <v>3.8203999999999998E-3</v>
      </c>
      <c r="AG86" s="92">
        <v>0</v>
      </c>
      <c r="AH86" s="92">
        <v>3.8203999999999998E-3</v>
      </c>
      <c r="AI86" s="92">
        <v>3.8203999999999998E-3</v>
      </c>
      <c r="AJ86" s="92">
        <v>3.8203999999999998E-3</v>
      </c>
      <c r="AK86" s="92">
        <v>0.80624080209142512</v>
      </c>
      <c r="AL86" s="92">
        <v>0.79667216715871514</v>
      </c>
      <c r="AM86" s="92">
        <v>1.2403186955716139</v>
      </c>
      <c r="AN86" s="92">
        <v>1.2552158606633315</v>
      </c>
      <c r="AO86" s="92">
        <v>8.06207152121549E-2</v>
      </c>
      <c r="AP86" s="92">
        <v>8.158903094311655E-2</v>
      </c>
      <c r="AQ86" s="88">
        <v>1</v>
      </c>
      <c r="AR86" s="88">
        <v>3</v>
      </c>
      <c r="AS86" s="91">
        <v>0</v>
      </c>
      <c r="AT86" s="91">
        <v>0</v>
      </c>
      <c r="AU86" s="91">
        <v>6.4850000000000003</v>
      </c>
      <c r="AV86" s="91">
        <v>6.8869999999999996</v>
      </c>
      <c r="AW86" s="91">
        <v>0</v>
      </c>
      <c r="AX86" s="91">
        <v>0</v>
      </c>
      <c r="AY86" s="91">
        <v>0</v>
      </c>
      <c r="AZ86" s="91">
        <v>0</v>
      </c>
      <c r="BA86" s="91">
        <v>0</v>
      </c>
      <c r="BB86" s="91">
        <v>0</v>
      </c>
      <c r="BC86" s="91">
        <v>0</v>
      </c>
      <c r="BD86" s="91">
        <v>0</v>
      </c>
      <c r="BE86" s="91">
        <v>33.47</v>
      </c>
      <c r="BF86" s="91">
        <v>33.872</v>
      </c>
      <c r="BG86" s="88">
        <v>1</v>
      </c>
      <c r="BH86"/>
      <c r="BI86"/>
      <c r="BJ86"/>
      <c r="BK86"/>
      <c r="BL86"/>
      <c r="BM86"/>
      <c r="BN86"/>
      <c r="BO86"/>
      <c r="BP86"/>
      <c r="BQ86"/>
    </row>
    <row r="87" spans="1:69">
      <c r="A87" s="88">
        <v>10260</v>
      </c>
      <c r="B87" s="88" t="s">
        <v>91</v>
      </c>
      <c r="C87" s="88">
        <v>1</v>
      </c>
      <c r="D87" s="88">
        <v>0</v>
      </c>
      <c r="E87" s="91">
        <v>26.677</v>
      </c>
      <c r="F87" s="91">
        <v>27.045999999999999</v>
      </c>
      <c r="G87" s="91">
        <v>27.175999999999998</v>
      </c>
      <c r="H87" s="91">
        <v>0</v>
      </c>
      <c r="I87" s="91">
        <v>0</v>
      </c>
      <c r="J87" s="91">
        <v>0</v>
      </c>
      <c r="K87" s="91">
        <v>0</v>
      </c>
      <c r="L87" s="90">
        <v>0</v>
      </c>
      <c r="M87" s="90">
        <v>0</v>
      </c>
      <c r="N87" s="91">
        <v>27.045999999999999</v>
      </c>
      <c r="O87" s="91">
        <v>27.175999999999998</v>
      </c>
      <c r="P87" s="90">
        <v>237572.06399999998</v>
      </c>
      <c r="Q87" s="90">
        <v>238061.75999999998</v>
      </c>
      <c r="R87" s="88">
        <v>26.285</v>
      </c>
      <c r="S87" s="90">
        <v>230887.44</v>
      </c>
      <c r="T87" s="90">
        <v>230256.6</v>
      </c>
      <c r="U87" s="91">
        <v>0.76100000000000001</v>
      </c>
      <c r="V87" s="91">
        <v>0.89100000000000001</v>
      </c>
      <c r="W87" s="91">
        <v>0</v>
      </c>
      <c r="X87" s="91">
        <v>0</v>
      </c>
      <c r="Y87" s="91">
        <v>0.76100000000000001</v>
      </c>
      <c r="Z87" s="91">
        <v>0.89100000000000001</v>
      </c>
      <c r="AA87" s="88">
        <v>0</v>
      </c>
      <c r="AB87" s="88">
        <v>0</v>
      </c>
      <c r="AC87" s="91">
        <v>0</v>
      </c>
      <c r="AD87" s="91">
        <v>0</v>
      </c>
      <c r="AE87" s="92">
        <v>3.7212999999999999E-3</v>
      </c>
      <c r="AF87" s="92">
        <v>3.7212999999999999E-3</v>
      </c>
      <c r="AG87" s="92">
        <v>0</v>
      </c>
      <c r="AH87" s="92">
        <v>3.7212999999999999E-3</v>
      </c>
      <c r="AI87" s="92">
        <v>3.7212999999999999E-3</v>
      </c>
      <c r="AJ87" s="92">
        <v>3.7212999999999999E-3</v>
      </c>
      <c r="AK87" s="92">
        <v>0.97185906139540046</v>
      </c>
      <c r="AL87" s="92">
        <v>0.9672100446901678</v>
      </c>
      <c r="AM87" s="92">
        <v>1.0289518736922199</v>
      </c>
      <c r="AN87" s="92">
        <v>1.033897660262507</v>
      </c>
      <c r="AO87" s="92">
        <v>0</v>
      </c>
      <c r="AP87" s="92">
        <v>0</v>
      </c>
      <c r="AQ87" s="88">
        <v>1</v>
      </c>
      <c r="AR87" s="88">
        <v>3</v>
      </c>
      <c r="AS87" s="91">
        <v>0</v>
      </c>
      <c r="AT87" s="91">
        <v>0</v>
      </c>
      <c r="AU87" s="91">
        <v>0</v>
      </c>
      <c r="AV87" s="91">
        <v>0</v>
      </c>
      <c r="AW87" s="91">
        <v>0</v>
      </c>
      <c r="AX87" s="91">
        <v>0</v>
      </c>
      <c r="AY87" s="91">
        <v>0</v>
      </c>
      <c r="AZ87" s="91">
        <v>0</v>
      </c>
      <c r="BA87" s="91">
        <v>0</v>
      </c>
      <c r="BB87" s="91">
        <v>0</v>
      </c>
      <c r="BC87" s="91">
        <v>0</v>
      </c>
      <c r="BD87" s="91">
        <v>0</v>
      </c>
      <c r="BE87" s="91">
        <v>27.045999999999999</v>
      </c>
      <c r="BF87" s="91">
        <v>27.175999999999998</v>
      </c>
      <c r="BG87" s="88">
        <v>1</v>
      </c>
      <c r="BH87"/>
      <c r="BI87"/>
      <c r="BJ87"/>
      <c r="BK87"/>
      <c r="BL87"/>
      <c r="BM87"/>
      <c r="BN87"/>
      <c r="BO87"/>
      <c r="BP87"/>
      <c r="BQ87"/>
    </row>
    <row r="88" spans="1:69">
      <c r="A88" s="88">
        <v>10273</v>
      </c>
      <c r="B88" s="88" t="s">
        <v>92</v>
      </c>
      <c r="C88" s="88">
        <v>1</v>
      </c>
      <c r="D88" s="88">
        <v>0</v>
      </c>
      <c r="E88" s="91">
        <v>5.9690000000000003</v>
      </c>
      <c r="F88" s="91">
        <v>8.0850000000000009</v>
      </c>
      <c r="G88" s="91">
        <v>8.1820000000000004</v>
      </c>
      <c r="H88" s="91">
        <v>0</v>
      </c>
      <c r="I88" s="91">
        <v>0</v>
      </c>
      <c r="J88" s="91">
        <v>0</v>
      </c>
      <c r="K88" s="91">
        <v>0</v>
      </c>
      <c r="L88" s="90">
        <v>0</v>
      </c>
      <c r="M88" s="90">
        <v>0</v>
      </c>
      <c r="N88" s="91">
        <v>8.0850000000000009</v>
      </c>
      <c r="O88" s="91">
        <v>8.1820000000000004</v>
      </c>
      <c r="P88" s="90">
        <v>71018.640000000014</v>
      </c>
      <c r="Q88" s="90">
        <v>71674.320000000007</v>
      </c>
      <c r="R88" s="88">
        <v>5.8810000000000002</v>
      </c>
      <c r="S88" s="90">
        <v>51658.704000000005</v>
      </c>
      <c r="T88" s="90">
        <v>51517.560000000005</v>
      </c>
      <c r="U88" s="91">
        <v>2.2040000000000002</v>
      </c>
      <c r="V88" s="91">
        <v>2.3010000000000002</v>
      </c>
      <c r="W88" s="91">
        <v>2.2040000000000002</v>
      </c>
      <c r="X88" s="91">
        <v>2.3010000000000002</v>
      </c>
      <c r="Y88" s="91">
        <v>0</v>
      </c>
      <c r="Z88" s="91">
        <v>0</v>
      </c>
      <c r="AA88" s="88">
        <v>0</v>
      </c>
      <c r="AB88" s="88">
        <v>0</v>
      </c>
      <c r="AC88" s="91">
        <v>2.2040000000000002</v>
      </c>
      <c r="AD88" s="91">
        <v>2.3010000000000002</v>
      </c>
      <c r="AE88" s="92">
        <v>8.3259999999999996E-4</v>
      </c>
      <c r="AF88" s="92">
        <v>8.3259999999999996E-4</v>
      </c>
      <c r="AG88" s="92">
        <v>0</v>
      </c>
      <c r="AH88" s="92">
        <v>8.3259999999999996E-4</v>
      </c>
      <c r="AI88" s="92">
        <v>8.3259999999999996E-4</v>
      </c>
      <c r="AJ88" s="92">
        <v>8.3259999999999996E-4</v>
      </c>
      <c r="AK88" s="92">
        <v>0.72739118107606671</v>
      </c>
      <c r="AL88" s="92">
        <v>0.71876774615008543</v>
      </c>
      <c r="AM88" s="92">
        <v>1.3747661962251319</v>
      </c>
      <c r="AN88" s="92">
        <v>1.3912599897976534</v>
      </c>
      <c r="AO88" s="92">
        <v>9.6233633735759244E-2</v>
      </c>
      <c r="AP88" s="92">
        <v>9.7388199285835753E-2</v>
      </c>
      <c r="AQ88" s="88">
        <v>1</v>
      </c>
      <c r="AR88" s="88">
        <v>3</v>
      </c>
      <c r="AS88" s="91">
        <v>0</v>
      </c>
      <c r="AT88" s="91">
        <v>0</v>
      </c>
      <c r="AU88" s="91">
        <v>2.2040000000000002</v>
      </c>
      <c r="AV88" s="91">
        <v>2.3010000000000002</v>
      </c>
      <c r="AW88" s="91">
        <v>0</v>
      </c>
      <c r="AX88" s="91">
        <v>0</v>
      </c>
      <c r="AY88" s="91">
        <v>0</v>
      </c>
      <c r="AZ88" s="91">
        <v>0</v>
      </c>
      <c r="BA88" s="91">
        <v>0</v>
      </c>
      <c r="BB88" s="91">
        <v>0</v>
      </c>
      <c r="BC88" s="91">
        <v>0</v>
      </c>
      <c r="BD88" s="91">
        <v>0</v>
      </c>
      <c r="BE88" s="91">
        <v>8.0850000000000009</v>
      </c>
      <c r="BF88" s="91">
        <v>8.1820000000000004</v>
      </c>
      <c r="BG88" s="88">
        <v>1</v>
      </c>
      <c r="BH88"/>
      <c r="BI88"/>
      <c r="BJ88"/>
      <c r="BK88"/>
      <c r="BL88"/>
      <c r="BM88"/>
      <c r="BN88"/>
      <c r="BO88"/>
      <c r="BP88"/>
      <c r="BQ88"/>
    </row>
    <row r="89" spans="1:69">
      <c r="A89" s="88">
        <v>10278</v>
      </c>
      <c r="B89" s="88" t="s">
        <v>93</v>
      </c>
      <c r="C89" s="88">
        <v>0</v>
      </c>
      <c r="D89" s="88">
        <v>1</v>
      </c>
      <c r="E89" s="91">
        <v>36.463999999999999</v>
      </c>
      <c r="F89" s="91">
        <v>41.061</v>
      </c>
      <c r="G89" s="91">
        <v>41.637999999999998</v>
      </c>
      <c r="H89" s="91">
        <v>0</v>
      </c>
      <c r="I89" s="91">
        <v>0</v>
      </c>
      <c r="J89" s="91">
        <v>1.5269999999999999</v>
      </c>
      <c r="K89" s="91">
        <v>1.53</v>
      </c>
      <c r="L89" s="90">
        <v>13413.168</v>
      </c>
      <c r="M89" s="90">
        <v>13402.800000000001</v>
      </c>
      <c r="N89" s="91">
        <v>39.533999999999999</v>
      </c>
      <c r="O89" s="91">
        <v>40.107999999999997</v>
      </c>
      <c r="P89" s="90">
        <v>347266.65600000002</v>
      </c>
      <c r="Q89" s="90">
        <v>351346.07999999996</v>
      </c>
      <c r="R89" s="88">
        <v>35.927999999999997</v>
      </c>
      <c r="S89" s="90">
        <v>315591.55199999997</v>
      </c>
      <c r="T89" s="90">
        <v>314729.27999999997</v>
      </c>
      <c r="U89" s="91">
        <v>3.6059999999999999</v>
      </c>
      <c r="V89" s="91">
        <v>4.18</v>
      </c>
      <c r="W89" s="91">
        <v>3.6059999999999999</v>
      </c>
      <c r="X89" s="91">
        <v>4.18</v>
      </c>
      <c r="Y89" s="91">
        <v>0</v>
      </c>
      <c r="Z89" s="91">
        <v>0</v>
      </c>
      <c r="AA89" s="88">
        <v>0</v>
      </c>
      <c r="AB89" s="88">
        <v>0</v>
      </c>
      <c r="AC89" s="91">
        <v>3.6059999999999999</v>
      </c>
      <c r="AD89" s="91">
        <v>4.18</v>
      </c>
      <c r="AE89" s="92">
        <v>5.0864999999999999E-3</v>
      </c>
      <c r="AF89" s="92">
        <v>5.0864999999999999E-3</v>
      </c>
      <c r="AG89" s="92">
        <v>0</v>
      </c>
      <c r="AH89" s="92">
        <v>5.0864999999999999E-3</v>
      </c>
      <c r="AI89" s="92">
        <v>5.0864999999999999E-3</v>
      </c>
      <c r="AJ89" s="92">
        <v>5.0864999999999999E-3</v>
      </c>
      <c r="AK89" s="92">
        <v>0.91217471743260026</v>
      </c>
      <c r="AL89" s="92">
        <v>0.89960627485710165</v>
      </c>
      <c r="AM89" s="92">
        <v>1.1003674014696059</v>
      </c>
      <c r="AN89" s="92">
        <v>1.1163437987085281</v>
      </c>
      <c r="AO89" s="92">
        <v>7.1523881095524378E-2</v>
      </c>
      <c r="AP89" s="92">
        <v>7.2562346916054329E-2</v>
      </c>
      <c r="AQ89" s="88">
        <v>6</v>
      </c>
      <c r="AR89" s="88">
        <v>6</v>
      </c>
      <c r="AS89" s="91">
        <v>0</v>
      </c>
      <c r="AT89" s="91">
        <v>0</v>
      </c>
      <c r="AU89" s="91">
        <v>0</v>
      </c>
      <c r="AV89" s="91">
        <v>0</v>
      </c>
      <c r="AW89" s="91">
        <v>0</v>
      </c>
      <c r="AX89" s="91">
        <v>0</v>
      </c>
      <c r="AY89" s="91">
        <v>0</v>
      </c>
      <c r="AZ89" s="91">
        <v>0</v>
      </c>
      <c r="BA89" s="91">
        <v>0</v>
      </c>
      <c r="BB89" s="91">
        <v>0</v>
      </c>
      <c r="BC89" s="91">
        <v>0</v>
      </c>
      <c r="BD89" s="91">
        <v>0</v>
      </c>
      <c r="BE89" s="91">
        <v>35.927999999999997</v>
      </c>
      <c r="BF89" s="91">
        <v>35.927999999999997</v>
      </c>
      <c r="BG89" s="88">
        <v>1</v>
      </c>
      <c r="BH89"/>
      <c r="BI89"/>
      <c r="BJ89"/>
      <c r="BK89"/>
      <c r="BL89"/>
      <c r="BM89"/>
      <c r="BN89"/>
      <c r="BO89"/>
      <c r="BP89"/>
      <c r="BQ89"/>
    </row>
    <row r="90" spans="1:69">
      <c r="A90" s="88">
        <v>10279</v>
      </c>
      <c r="B90" s="88" t="s">
        <v>94</v>
      </c>
      <c r="C90" s="88">
        <v>1</v>
      </c>
      <c r="D90" s="88">
        <v>0</v>
      </c>
      <c r="E90" s="91">
        <v>65.730999999999995</v>
      </c>
      <c r="F90" s="91">
        <v>159.869</v>
      </c>
      <c r="G90" s="91">
        <v>184.809</v>
      </c>
      <c r="H90" s="91">
        <v>77.837000000000003</v>
      </c>
      <c r="I90" s="91">
        <v>102.812</v>
      </c>
      <c r="J90" s="91">
        <v>4.4050000000000002</v>
      </c>
      <c r="K90" s="91">
        <v>4.4039999999999999</v>
      </c>
      <c r="L90" s="90">
        <v>38693.520000000004</v>
      </c>
      <c r="M90" s="90">
        <v>38579.040000000001</v>
      </c>
      <c r="N90" s="91">
        <v>77.626999999999995</v>
      </c>
      <c r="O90" s="91">
        <v>77.593000000000004</v>
      </c>
      <c r="P90" s="90">
        <v>681875.56799999997</v>
      </c>
      <c r="Q90" s="90">
        <v>679714.68</v>
      </c>
      <c r="R90" s="88">
        <v>64.765000000000001</v>
      </c>
      <c r="S90" s="90">
        <v>568895.76</v>
      </c>
      <c r="T90" s="90">
        <v>567341.4</v>
      </c>
      <c r="U90" s="91">
        <v>12.861999999999995</v>
      </c>
      <c r="V90" s="91">
        <v>12.828000000000003</v>
      </c>
      <c r="W90" s="91">
        <v>12.861999999999995</v>
      </c>
      <c r="X90" s="91">
        <v>12.828000000000003</v>
      </c>
      <c r="Y90" s="91">
        <v>0</v>
      </c>
      <c r="Z90" s="91">
        <v>0</v>
      </c>
      <c r="AA90" s="88">
        <v>0</v>
      </c>
      <c r="AB90" s="88">
        <v>0</v>
      </c>
      <c r="AC90" s="91">
        <v>12.861999999999995</v>
      </c>
      <c r="AD90" s="91">
        <v>12.828000000000003</v>
      </c>
      <c r="AE90" s="92">
        <v>9.1690999999999995E-3</v>
      </c>
      <c r="AF90" s="92">
        <v>9.1690999999999995E-3</v>
      </c>
      <c r="AG90" s="92">
        <v>0</v>
      </c>
      <c r="AH90" s="92">
        <v>9.1690999999999995E-3</v>
      </c>
      <c r="AI90" s="92">
        <v>9.1690999999999995E-3</v>
      </c>
      <c r="AJ90" s="92">
        <v>9.1690999999999995E-3</v>
      </c>
      <c r="AK90" s="92">
        <v>0.8432038719219328</v>
      </c>
      <c r="AL90" s="92">
        <v>0.84355159361318077</v>
      </c>
      <c r="AM90" s="92">
        <v>1.1985949200957307</v>
      </c>
      <c r="AN90" s="92">
        <v>1.1980699451864434</v>
      </c>
      <c r="AO90" s="92">
        <v>0</v>
      </c>
      <c r="AP90" s="92">
        <v>0</v>
      </c>
      <c r="AQ90" s="88">
        <v>3</v>
      </c>
      <c r="AR90" s="88">
        <v>3</v>
      </c>
      <c r="AS90" s="91">
        <v>48</v>
      </c>
      <c r="AT90" s="91">
        <v>50</v>
      </c>
      <c r="AU90" s="91">
        <v>0.86199999999999999</v>
      </c>
      <c r="AV90" s="91">
        <v>0.82799999999999996</v>
      </c>
      <c r="AW90" s="91">
        <v>0</v>
      </c>
      <c r="AX90" s="91">
        <v>0</v>
      </c>
      <c r="AY90" s="91">
        <v>0</v>
      </c>
      <c r="AZ90" s="91">
        <v>0</v>
      </c>
      <c r="BA90" s="91">
        <v>0</v>
      </c>
      <c r="BB90" s="91">
        <v>0</v>
      </c>
      <c r="BC90" s="91">
        <v>0</v>
      </c>
      <c r="BD90" s="91">
        <v>0</v>
      </c>
      <c r="BE90" s="91">
        <v>65.626999999999995</v>
      </c>
      <c r="BF90" s="91">
        <v>65.593000000000004</v>
      </c>
      <c r="BG90" s="88">
        <v>1</v>
      </c>
      <c r="BH90"/>
      <c r="BI90"/>
      <c r="BJ90"/>
      <c r="BK90"/>
      <c r="BL90"/>
      <c r="BM90"/>
      <c r="BN90"/>
      <c r="BO90"/>
      <c r="BP90"/>
      <c r="BQ90"/>
    </row>
    <row r="91" spans="1:69">
      <c r="A91" s="88">
        <v>10284</v>
      </c>
      <c r="B91" s="88" t="s">
        <v>95</v>
      </c>
      <c r="C91" s="88">
        <v>1</v>
      </c>
      <c r="D91" s="88">
        <v>0</v>
      </c>
      <c r="E91" s="91">
        <v>10.31</v>
      </c>
      <c r="F91" s="91">
        <v>10.849</v>
      </c>
      <c r="G91" s="91">
        <v>10.997</v>
      </c>
      <c r="H91" s="91">
        <v>0</v>
      </c>
      <c r="I91" s="91">
        <v>0</v>
      </c>
      <c r="J91" s="91">
        <v>0</v>
      </c>
      <c r="K91" s="91">
        <v>0</v>
      </c>
      <c r="L91" s="90">
        <v>0</v>
      </c>
      <c r="M91" s="90">
        <v>0</v>
      </c>
      <c r="N91" s="91">
        <v>10.849</v>
      </c>
      <c r="O91" s="91">
        <v>10.997</v>
      </c>
      <c r="P91" s="90">
        <v>95297.615999999995</v>
      </c>
      <c r="Q91" s="90">
        <v>96333.72</v>
      </c>
      <c r="R91" s="88">
        <v>10.157999999999999</v>
      </c>
      <c r="S91" s="90">
        <v>89227.871999999988</v>
      </c>
      <c r="T91" s="90">
        <v>88984.08</v>
      </c>
      <c r="U91" s="91">
        <v>0.69099999999999995</v>
      </c>
      <c r="V91" s="91">
        <v>0.83899999999999997</v>
      </c>
      <c r="W91" s="91">
        <v>0</v>
      </c>
      <c r="X91" s="91">
        <v>0</v>
      </c>
      <c r="Y91" s="91">
        <v>0.69099999999999995</v>
      </c>
      <c r="Z91" s="91">
        <v>0.83899999999999997</v>
      </c>
      <c r="AA91" s="88">
        <v>0</v>
      </c>
      <c r="AB91" s="88">
        <v>0</v>
      </c>
      <c r="AC91" s="91">
        <v>0</v>
      </c>
      <c r="AD91" s="91">
        <v>0</v>
      </c>
      <c r="AE91" s="92">
        <v>1.4381000000000001E-3</v>
      </c>
      <c r="AF91" s="92">
        <v>1.4381000000000001E-3</v>
      </c>
      <c r="AG91" s="92">
        <v>0</v>
      </c>
      <c r="AH91" s="92">
        <v>1.4381000000000001E-3</v>
      </c>
      <c r="AI91" s="92">
        <v>1.4381000000000001E-3</v>
      </c>
      <c r="AJ91" s="92">
        <v>1.4381000000000001E-3</v>
      </c>
      <c r="AK91" s="92">
        <v>0.93629138229329889</v>
      </c>
      <c r="AL91" s="92">
        <v>0.92369057074656724</v>
      </c>
      <c r="AM91" s="92">
        <v>1.0680252018113803</v>
      </c>
      <c r="AN91" s="92">
        <v>1.0825949990155543</v>
      </c>
      <c r="AO91" s="92">
        <v>5.3401260090569017E-2</v>
      </c>
      <c r="AP91" s="92">
        <v>5.4129749950777718E-2</v>
      </c>
      <c r="AQ91" s="88">
        <v>1</v>
      </c>
      <c r="AR91" s="88">
        <v>1</v>
      </c>
      <c r="AS91" s="91">
        <v>0</v>
      </c>
      <c r="AT91" s="91">
        <v>0</v>
      </c>
      <c r="AU91" s="91">
        <v>0</v>
      </c>
      <c r="AV91" s="91">
        <v>0</v>
      </c>
      <c r="AW91" s="91">
        <v>0</v>
      </c>
      <c r="AX91" s="91">
        <v>0</v>
      </c>
      <c r="AY91" s="91">
        <v>0</v>
      </c>
      <c r="AZ91" s="91">
        <v>0</v>
      </c>
      <c r="BA91" s="91">
        <v>0</v>
      </c>
      <c r="BB91" s="91">
        <v>0</v>
      </c>
      <c r="BC91" s="91">
        <v>0</v>
      </c>
      <c r="BD91" s="91">
        <v>0</v>
      </c>
      <c r="BE91" s="91">
        <v>10.849</v>
      </c>
      <c r="BF91" s="91">
        <v>10.997</v>
      </c>
      <c r="BG91" s="88">
        <v>0</v>
      </c>
      <c r="BH91"/>
      <c r="BI91"/>
      <c r="BJ91"/>
      <c r="BK91"/>
      <c r="BL91"/>
      <c r="BM91"/>
      <c r="BN91"/>
      <c r="BO91"/>
      <c r="BP91"/>
      <c r="BQ91"/>
    </row>
    <row r="92" spans="1:69">
      <c r="A92" s="88">
        <v>10285</v>
      </c>
      <c r="B92" s="88" t="s">
        <v>96</v>
      </c>
      <c r="C92" s="88">
        <v>0</v>
      </c>
      <c r="D92" s="88">
        <v>1</v>
      </c>
      <c r="E92" s="91">
        <v>6.6260000000000003</v>
      </c>
      <c r="F92" s="91">
        <v>7.7830000000000004</v>
      </c>
      <c r="G92" s="91">
        <v>7.82</v>
      </c>
      <c r="H92" s="91">
        <v>0</v>
      </c>
      <c r="I92" s="91">
        <v>0</v>
      </c>
      <c r="J92" s="91">
        <v>0</v>
      </c>
      <c r="K92" s="91">
        <v>0</v>
      </c>
      <c r="L92" s="90">
        <v>0</v>
      </c>
      <c r="M92" s="90">
        <v>0</v>
      </c>
      <c r="N92" s="91">
        <v>7.7830000000000004</v>
      </c>
      <c r="O92" s="91">
        <v>7.82</v>
      </c>
      <c r="P92" s="90">
        <v>68365.872000000003</v>
      </c>
      <c r="Q92" s="90">
        <v>68503.199999999997</v>
      </c>
      <c r="R92" s="88">
        <v>6.5289999999999999</v>
      </c>
      <c r="S92" s="90">
        <v>57350.735999999997</v>
      </c>
      <c r="T92" s="90">
        <v>57194.04</v>
      </c>
      <c r="U92" s="91">
        <v>1.2540000000000004</v>
      </c>
      <c r="V92" s="91">
        <v>1.2910000000000004</v>
      </c>
      <c r="W92" s="91">
        <v>1.2540000000000004</v>
      </c>
      <c r="X92" s="91">
        <v>1.2910000000000004</v>
      </c>
      <c r="Y92" s="91">
        <v>0</v>
      </c>
      <c r="Z92" s="91">
        <v>0</v>
      </c>
      <c r="AA92" s="88">
        <v>0</v>
      </c>
      <c r="AB92" s="88">
        <v>0</v>
      </c>
      <c r="AC92" s="91">
        <v>1.2540000000000004</v>
      </c>
      <c r="AD92" s="91">
        <v>1.2910000000000004</v>
      </c>
      <c r="AE92" s="92">
        <v>9.2429999999999997E-4</v>
      </c>
      <c r="AF92" s="92">
        <v>9.2429999999999997E-4</v>
      </c>
      <c r="AG92" s="92">
        <v>0</v>
      </c>
      <c r="AH92" s="92">
        <v>9.2429999999999997E-4</v>
      </c>
      <c r="AI92" s="92">
        <v>9.2429999999999997E-4</v>
      </c>
      <c r="AJ92" s="92">
        <v>9.2429999999999997E-4</v>
      </c>
      <c r="AK92" s="92">
        <v>0.83883698695875619</v>
      </c>
      <c r="AL92" s="92">
        <v>0.83486806515345258</v>
      </c>
      <c r="AM92" s="92">
        <v>1.192066166334814</v>
      </c>
      <c r="AN92" s="92">
        <v>1.1977331903813755</v>
      </c>
      <c r="AO92" s="92">
        <v>7.7484300811762913E-2</v>
      </c>
      <c r="AP92" s="92">
        <v>7.7852657374789414E-2</v>
      </c>
      <c r="AQ92" s="88">
        <v>6</v>
      </c>
      <c r="AR92" s="88">
        <v>6</v>
      </c>
      <c r="AS92" s="91">
        <v>0</v>
      </c>
      <c r="AT92" s="91">
        <v>0</v>
      </c>
      <c r="AU92" s="91">
        <v>0</v>
      </c>
      <c r="AV92" s="91">
        <v>0</v>
      </c>
      <c r="AW92" s="91">
        <v>0</v>
      </c>
      <c r="AX92" s="91">
        <v>0</v>
      </c>
      <c r="AY92" s="91">
        <v>0</v>
      </c>
      <c r="AZ92" s="91">
        <v>0</v>
      </c>
      <c r="BA92" s="91">
        <v>0</v>
      </c>
      <c r="BB92" s="91">
        <v>0</v>
      </c>
      <c r="BC92" s="91">
        <v>0</v>
      </c>
      <c r="BD92" s="91">
        <v>0</v>
      </c>
      <c r="BE92" s="91">
        <v>6.5289999999999999</v>
      </c>
      <c r="BF92" s="91">
        <v>6.5289999999999999</v>
      </c>
      <c r="BG92" s="88">
        <v>1</v>
      </c>
      <c r="BH92"/>
      <c r="BI92"/>
      <c r="BJ92"/>
      <c r="BK92"/>
      <c r="BL92"/>
      <c r="BM92"/>
      <c r="BN92"/>
      <c r="BO92"/>
      <c r="BP92"/>
      <c r="BQ92"/>
    </row>
    <row r="93" spans="1:69">
      <c r="A93" s="88">
        <v>10286</v>
      </c>
      <c r="B93" s="88" t="s">
        <v>97</v>
      </c>
      <c r="C93" s="88">
        <v>1</v>
      </c>
      <c r="D93" s="88">
        <v>0</v>
      </c>
      <c r="E93" s="91">
        <v>46.595999999999997</v>
      </c>
      <c r="F93" s="91">
        <v>74.477999999999994</v>
      </c>
      <c r="G93" s="91">
        <v>74.754999999999995</v>
      </c>
      <c r="H93" s="91">
        <v>0</v>
      </c>
      <c r="I93" s="91">
        <v>0</v>
      </c>
      <c r="J93" s="91">
        <v>24.141999999999999</v>
      </c>
      <c r="K93" s="91">
        <v>24.193000000000001</v>
      </c>
      <c r="L93" s="90">
        <v>212063.32800000001</v>
      </c>
      <c r="M93" s="90">
        <v>211930.68000000002</v>
      </c>
      <c r="N93" s="91">
        <v>50.335999999999999</v>
      </c>
      <c r="O93" s="91">
        <v>50.561999999999998</v>
      </c>
      <c r="P93" s="90">
        <v>442151.424</v>
      </c>
      <c r="Q93" s="90">
        <v>442923.12</v>
      </c>
      <c r="R93" s="88">
        <v>45.911000000000001</v>
      </c>
      <c r="S93" s="90">
        <v>403282.22399999999</v>
      </c>
      <c r="T93" s="90">
        <v>402180.36</v>
      </c>
      <c r="U93" s="91">
        <v>4.218</v>
      </c>
      <c r="V93" s="91">
        <v>3.9820000000000002</v>
      </c>
      <c r="W93" s="91">
        <v>4.218</v>
      </c>
      <c r="X93" s="91">
        <v>3.9820000000000002</v>
      </c>
      <c r="Y93" s="91">
        <v>0</v>
      </c>
      <c r="Z93" s="91">
        <v>0</v>
      </c>
      <c r="AA93" s="88">
        <v>0</v>
      </c>
      <c r="AB93" s="88">
        <v>0</v>
      </c>
      <c r="AC93" s="91">
        <v>4.218</v>
      </c>
      <c r="AD93" s="91">
        <v>3.9820000000000002</v>
      </c>
      <c r="AE93" s="92">
        <v>6.4999000000000003E-3</v>
      </c>
      <c r="AF93" s="92">
        <v>6.4999000000000003E-3</v>
      </c>
      <c r="AG93" s="92">
        <v>0</v>
      </c>
      <c r="AH93" s="92">
        <v>6.4999000000000003E-3</v>
      </c>
      <c r="AI93" s="92">
        <v>6.4999000000000003E-3</v>
      </c>
      <c r="AJ93" s="92">
        <v>6.4999000000000003E-3</v>
      </c>
      <c r="AK93" s="92">
        <v>0.94321021884046252</v>
      </c>
      <c r="AL93" s="92">
        <v>0.94625389632994084</v>
      </c>
      <c r="AM93" s="92">
        <v>1.0963821306440722</v>
      </c>
      <c r="AN93" s="92">
        <v>1.1013046982204699</v>
      </c>
      <c r="AO93" s="92">
        <v>0</v>
      </c>
      <c r="AP93" s="92">
        <v>0</v>
      </c>
      <c r="AQ93" s="88">
        <v>4</v>
      </c>
      <c r="AR93" s="88">
        <v>4</v>
      </c>
      <c r="AS93" s="91">
        <v>0</v>
      </c>
      <c r="AT93" s="91">
        <v>0</v>
      </c>
      <c r="AU93" s="91">
        <v>0</v>
      </c>
      <c r="AV93" s="91">
        <v>0</v>
      </c>
      <c r="AW93" s="91">
        <v>0</v>
      </c>
      <c r="AX93" s="91">
        <v>0</v>
      </c>
      <c r="AY93" s="91">
        <v>0</v>
      </c>
      <c r="AZ93" s="91">
        <v>0</v>
      </c>
      <c r="BA93" s="91">
        <v>0</v>
      </c>
      <c r="BB93" s="91">
        <v>0</v>
      </c>
      <c r="BC93" s="91">
        <v>0</v>
      </c>
      <c r="BD93" s="91">
        <v>0</v>
      </c>
      <c r="BE93" s="91">
        <v>45.911000000000001</v>
      </c>
      <c r="BF93" s="91">
        <v>45.911000000000001</v>
      </c>
      <c r="BG93" s="88">
        <v>0</v>
      </c>
      <c r="BH93"/>
      <c r="BI93"/>
      <c r="BJ93"/>
      <c r="BK93"/>
      <c r="BL93"/>
      <c r="BM93"/>
      <c r="BN93"/>
      <c r="BO93"/>
      <c r="BP93"/>
      <c r="BQ93"/>
    </row>
    <row r="94" spans="1:69">
      <c r="A94" s="88">
        <v>10288</v>
      </c>
      <c r="B94" s="88" t="s">
        <v>98</v>
      </c>
      <c r="C94" s="88">
        <v>0</v>
      </c>
      <c r="D94" s="88">
        <v>1</v>
      </c>
      <c r="E94" s="91">
        <v>25.103000000000002</v>
      </c>
      <c r="F94" s="91">
        <v>24.678000000000001</v>
      </c>
      <c r="G94" s="91">
        <v>24.721</v>
      </c>
      <c r="H94" s="91">
        <v>0</v>
      </c>
      <c r="I94" s="91">
        <v>0</v>
      </c>
      <c r="J94" s="91">
        <v>6.6000000000000003E-2</v>
      </c>
      <c r="K94" s="91">
        <v>6.6000000000000003E-2</v>
      </c>
      <c r="L94" s="90">
        <v>579.74400000000003</v>
      </c>
      <c r="M94" s="90">
        <v>578.16000000000008</v>
      </c>
      <c r="N94" s="91">
        <v>24.611999999999998</v>
      </c>
      <c r="O94" s="91">
        <v>24.655000000000001</v>
      </c>
      <c r="P94" s="90">
        <v>216191.80799999999</v>
      </c>
      <c r="Q94" s="90">
        <v>215977.80000000002</v>
      </c>
      <c r="R94" s="88">
        <v>24.734000000000002</v>
      </c>
      <c r="S94" s="90">
        <v>217263.45600000001</v>
      </c>
      <c r="T94" s="90">
        <v>216669.84000000003</v>
      </c>
      <c r="U94" s="91">
        <v>0</v>
      </c>
      <c r="V94" s="91">
        <v>0</v>
      </c>
      <c r="W94" s="91">
        <v>0</v>
      </c>
      <c r="X94" s="91">
        <v>0</v>
      </c>
      <c r="Y94" s="91">
        <v>0</v>
      </c>
      <c r="Z94" s="91">
        <v>0</v>
      </c>
      <c r="AA94" s="88">
        <v>0</v>
      </c>
      <c r="AB94" s="88">
        <v>0</v>
      </c>
      <c r="AC94" s="91">
        <v>0</v>
      </c>
      <c r="AD94" s="91">
        <v>0</v>
      </c>
      <c r="AE94" s="92">
        <v>3.4845000000000002E-3</v>
      </c>
      <c r="AF94" s="92">
        <v>3.4905000000000001E-3</v>
      </c>
      <c r="AG94" s="92">
        <v>0</v>
      </c>
      <c r="AH94" s="92">
        <v>3.4845000000000002E-3</v>
      </c>
      <c r="AI94" s="92">
        <v>3.4905000000000001E-3</v>
      </c>
      <c r="AJ94" s="92">
        <v>3.4875000000000001E-3</v>
      </c>
      <c r="AK94" s="92">
        <v>1</v>
      </c>
      <c r="AL94" s="92">
        <v>0.99998687482302495</v>
      </c>
      <c r="AM94" s="92">
        <v>1</v>
      </c>
      <c r="AN94" s="92">
        <v>1</v>
      </c>
      <c r="AO94" s="92">
        <v>0.06</v>
      </c>
      <c r="AP94" s="92">
        <v>0.06</v>
      </c>
      <c r="AQ94" s="88">
        <v>6</v>
      </c>
      <c r="AR94" s="88">
        <v>6</v>
      </c>
      <c r="AS94" s="91">
        <v>0</v>
      </c>
      <c r="AT94" s="91">
        <v>0</v>
      </c>
      <c r="AU94" s="91">
        <v>0</v>
      </c>
      <c r="AV94" s="91">
        <v>0</v>
      </c>
      <c r="AW94" s="91">
        <v>0</v>
      </c>
      <c r="AX94" s="91">
        <v>0</v>
      </c>
      <c r="AY94" s="91">
        <v>0</v>
      </c>
      <c r="AZ94" s="91">
        <v>0</v>
      </c>
      <c r="BA94" s="91">
        <v>0</v>
      </c>
      <c r="BB94" s="91">
        <v>0</v>
      </c>
      <c r="BC94" s="91">
        <v>0</v>
      </c>
      <c r="BD94" s="91">
        <v>0</v>
      </c>
      <c r="BE94" s="91">
        <v>24.611999999999998</v>
      </c>
      <c r="BF94" s="91">
        <v>24.655000000000001</v>
      </c>
      <c r="BG94" s="88">
        <v>1</v>
      </c>
      <c r="BH94"/>
      <c r="BI94"/>
      <c r="BJ94"/>
      <c r="BK94"/>
      <c r="BL94"/>
      <c r="BM94"/>
      <c r="BN94"/>
      <c r="BO94"/>
      <c r="BP94"/>
      <c r="BQ94"/>
    </row>
    <row r="95" spans="1:69">
      <c r="A95" s="88">
        <v>10291</v>
      </c>
      <c r="B95" s="88" t="s">
        <v>99</v>
      </c>
      <c r="C95" s="88">
        <v>1</v>
      </c>
      <c r="D95" s="88">
        <v>0</v>
      </c>
      <c r="E95" s="91">
        <v>80.363</v>
      </c>
      <c r="F95" s="91">
        <v>78.183999999999997</v>
      </c>
      <c r="G95" s="91">
        <v>78.385999999999996</v>
      </c>
      <c r="H95" s="91">
        <v>0</v>
      </c>
      <c r="I95" s="91">
        <v>0</v>
      </c>
      <c r="J95" s="91">
        <v>0</v>
      </c>
      <c r="K95" s="91">
        <v>0</v>
      </c>
      <c r="L95" s="90">
        <v>0</v>
      </c>
      <c r="M95" s="90">
        <v>0</v>
      </c>
      <c r="N95" s="91">
        <v>78.183999999999997</v>
      </c>
      <c r="O95" s="91">
        <v>78.385999999999996</v>
      </c>
      <c r="P95" s="90">
        <v>686768.25599999994</v>
      </c>
      <c r="Q95" s="90">
        <v>686661.36</v>
      </c>
      <c r="R95" s="88">
        <v>79.182000000000002</v>
      </c>
      <c r="S95" s="90">
        <v>695534.68799999997</v>
      </c>
      <c r="T95" s="90">
        <v>693634.32000000007</v>
      </c>
      <c r="U95" s="91">
        <v>0</v>
      </c>
      <c r="V95" s="91">
        <v>0</v>
      </c>
      <c r="W95" s="91">
        <v>0</v>
      </c>
      <c r="X95" s="91">
        <v>0</v>
      </c>
      <c r="Y95" s="91">
        <v>0</v>
      </c>
      <c r="Z95" s="91">
        <v>0</v>
      </c>
      <c r="AA95" s="88">
        <v>0</v>
      </c>
      <c r="AB95" s="88">
        <v>0</v>
      </c>
      <c r="AC95" s="91">
        <v>0</v>
      </c>
      <c r="AD95" s="91">
        <v>0</v>
      </c>
      <c r="AE95" s="92">
        <v>1.10689E-2</v>
      </c>
      <c r="AF95" s="92">
        <v>1.10975E-2</v>
      </c>
      <c r="AG95" s="92">
        <v>0</v>
      </c>
      <c r="AH95" s="92">
        <v>1.10689E-2</v>
      </c>
      <c r="AI95" s="92">
        <v>1.10975E-2</v>
      </c>
      <c r="AJ95" s="92">
        <v>1.10832E-2</v>
      </c>
      <c r="AK95" s="92">
        <v>0.9999959179435689</v>
      </c>
      <c r="AL95" s="92">
        <v>0.99999608460056655</v>
      </c>
      <c r="AM95" s="92">
        <v>1</v>
      </c>
      <c r="AN95" s="92">
        <v>1</v>
      </c>
      <c r="AO95" s="92">
        <v>0.05</v>
      </c>
      <c r="AP95" s="92">
        <v>0.05</v>
      </c>
      <c r="AQ95" s="88">
        <v>1</v>
      </c>
      <c r="AR95" s="88">
        <v>3</v>
      </c>
      <c r="AS95" s="91">
        <v>0</v>
      </c>
      <c r="AT95" s="91">
        <v>0</v>
      </c>
      <c r="AU95" s="91">
        <v>0</v>
      </c>
      <c r="AV95" s="91">
        <v>0</v>
      </c>
      <c r="AW95" s="91">
        <v>0</v>
      </c>
      <c r="AX95" s="91">
        <v>0</v>
      </c>
      <c r="AY95" s="91">
        <v>0</v>
      </c>
      <c r="AZ95" s="91">
        <v>0</v>
      </c>
      <c r="BA95" s="91">
        <v>0</v>
      </c>
      <c r="BB95" s="91">
        <v>0</v>
      </c>
      <c r="BC95" s="91">
        <v>0</v>
      </c>
      <c r="BD95" s="91">
        <v>0</v>
      </c>
      <c r="BE95" s="91">
        <v>78.183999999999997</v>
      </c>
      <c r="BF95" s="91">
        <v>78.385999999999996</v>
      </c>
      <c r="BG95" s="88">
        <v>1</v>
      </c>
      <c r="BH95"/>
      <c r="BI95"/>
      <c r="BJ95"/>
      <c r="BK95"/>
      <c r="BL95"/>
      <c r="BM95"/>
      <c r="BN95"/>
      <c r="BO95"/>
      <c r="BP95"/>
      <c r="BQ95"/>
    </row>
    <row r="96" spans="1:69">
      <c r="A96" s="88">
        <v>10294</v>
      </c>
      <c r="B96" s="88" t="s">
        <v>100</v>
      </c>
      <c r="C96" s="88">
        <v>1</v>
      </c>
      <c r="D96" s="88">
        <v>0</v>
      </c>
      <c r="E96" s="91">
        <v>36.869</v>
      </c>
      <c r="F96" s="91">
        <v>36.786999999999999</v>
      </c>
      <c r="G96" s="91">
        <v>36.972000000000001</v>
      </c>
      <c r="H96" s="91">
        <v>0</v>
      </c>
      <c r="I96" s="91">
        <v>0</v>
      </c>
      <c r="J96" s="91">
        <v>0</v>
      </c>
      <c r="K96" s="91">
        <v>0</v>
      </c>
      <c r="L96" s="90">
        <v>0</v>
      </c>
      <c r="M96" s="90">
        <v>0</v>
      </c>
      <c r="N96" s="91">
        <v>36.786999999999999</v>
      </c>
      <c r="O96" s="91">
        <v>36.972000000000001</v>
      </c>
      <c r="P96" s="90">
        <v>323137.00799999997</v>
      </c>
      <c r="Q96" s="90">
        <v>323874.72000000003</v>
      </c>
      <c r="R96" s="88">
        <v>36.326999999999998</v>
      </c>
      <c r="S96" s="90">
        <v>319096.36799999996</v>
      </c>
      <c r="T96" s="90">
        <v>318224.51999999996</v>
      </c>
      <c r="U96" s="91">
        <v>0.46000000000000085</v>
      </c>
      <c r="V96" s="91">
        <v>0.64500000000000313</v>
      </c>
      <c r="W96" s="91">
        <v>0</v>
      </c>
      <c r="X96" s="91">
        <v>0</v>
      </c>
      <c r="Y96" s="91">
        <v>0.46000000000000085</v>
      </c>
      <c r="Z96" s="91">
        <v>0.64500000000000313</v>
      </c>
      <c r="AA96" s="88">
        <v>0</v>
      </c>
      <c r="AB96" s="88">
        <v>0</v>
      </c>
      <c r="AC96" s="91">
        <v>0</v>
      </c>
      <c r="AD96" s="91">
        <v>0</v>
      </c>
      <c r="AE96" s="92">
        <v>5.143E-3</v>
      </c>
      <c r="AF96" s="92">
        <v>5.143E-3</v>
      </c>
      <c r="AG96" s="92">
        <v>0</v>
      </c>
      <c r="AH96" s="92">
        <v>5.143E-3</v>
      </c>
      <c r="AI96" s="92">
        <v>5.143E-3</v>
      </c>
      <c r="AJ96" s="92">
        <v>5.143E-3</v>
      </c>
      <c r="AK96" s="92">
        <v>0.98749248905863485</v>
      </c>
      <c r="AL96" s="92">
        <v>0.98255128732554364</v>
      </c>
      <c r="AM96" s="92">
        <v>1.0126627577284113</v>
      </c>
      <c r="AN96" s="92">
        <v>1.0177553885539683</v>
      </c>
      <c r="AO96" s="92">
        <v>0</v>
      </c>
      <c r="AP96" s="92">
        <v>0</v>
      </c>
      <c r="AQ96" s="88">
        <v>3</v>
      </c>
      <c r="AR96" s="88">
        <v>3</v>
      </c>
      <c r="AS96" s="91">
        <v>0</v>
      </c>
      <c r="AT96" s="91">
        <v>0</v>
      </c>
      <c r="AU96" s="91">
        <v>0</v>
      </c>
      <c r="AV96" s="91">
        <v>0</v>
      </c>
      <c r="AW96" s="91">
        <v>0</v>
      </c>
      <c r="AX96" s="91">
        <v>0</v>
      </c>
      <c r="AY96" s="91">
        <v>0</v>
      </c>
      <c r="AZ96" s="91">
        <v>0</v>
      </c>
      <c r="BA96" s="91">
        <v>0</v>
      </c>
      <c r="BB96" s="91">
        <v>0</v>
      </c>
      <c r="BC96" s="91">
        <v>0</v>
      </c>
      <c r="BD96" s="91">
        <v>0</v>
      </c>
      <c r="BE96" s="91">
        <v>36.786999999999999</v>
      </c>
      <c r="BF96" s="91">
        <v>36.972000000000001</v>
      </c>
      <c r="BG96" s="88">
        <v>0</v>
      </c>
      <c r="BH96"/>
      <c r="BI96"/>
      <c r="BJ96"/>
      <c r="BK96"/>
      <c r="BL96"/>
      <c r="BM96"/>
      <c r="BN96"/>
      <c r="BO96"/>
      <c r="BP96"/>
      <c r="BQ96"/>
    </row>
    <row r="97" spans="1:69">
      <c r="A97" s="88">
        <v>10304</v>
      </c>
      <c r="B97" s="88" t="s">
        <v>101</v>
      </c>
      <c r="C97" s="88">
        <v>1</v>
      </c>
      <c r="D97" s="88">
        <v>0</v>
      </c>
      <c r="E97" s="91">
        <v>14.278</v>
      </c>
      <c r="F97" s="91">
        <v>13.414</v>
      </c>
      <c r="G97" s="91">
        <v>13.445</v>
      </c>
      <c r="H97" s="91">
        <v>0</v>
      </c>
      <c r="I97" s="91">
        <v>0</v>
      </c>
      <c r="J97" s="91">
        <v>0</v>
      </c>
      <c r="K97" s="91">
        <v>0</v>
      </c>
      <c r="L97" s="90">
        <v>0</v>
      </c>
      <c r="M97" s="90">
        <v>0</v>
      </c>
      <c r="N97" s="91">
        <v>13.414</v>
      </c>
      <c r="O97" s="91">
        <v>13.445</v>
      </c>
      <c r="P97" s="90">
        <v>117828.576</v>
      </c>
      <c r="Q97" s="90">
        <v>117778.2</v>
      </c>
      <c r="R97" s="88">
        <v>14.068</v>
      </c>
      <c r="S97" s="90">
        <v>123573.31199999999</v>
      </c>
      <c r="T97" s="90">
        <v>123235.68</v>
      </c>
      <c r="U97" s="91">
        <v>0</v>
      </c>
      <c r="V97" s="91">
        <v>0</v>
      </c>
      <c r="W97" s="91">
        <v>0</v>
      </c>
      <c r="X97" s="91">
        <v>0</v>
      </c>
      <c r="Y97" s="91">
        <v>0</v>
      </c>
      <c r="Z97" s="91">
        <v>0</v>
      </c>
      <c r="AA97" s="88">
        <v>0</v>
      </c>
      <c r="AB97" s="88">
        <v>0</v>
      </c>
      <c r="AC97" s="91">
        <v>0</v>
      </c>
      <c r="AD97" s="91">
        <v>0</v>
      </c>
      <c r="AE97" s="92">
        <v>1.8990999999999999E-3</v>
      </c>
      <c r="AF97" s="92">
        <v>1.9035E-3</v>
      </c>
      <c r="AG97" s="92">
        <v>0</v>
      </c>
      <c r="AH97" s="92">
        <v>1.8990999999999999E-3</v>
      </c>
      <c r="AI97" s="92">
        <v>1.9035E-3</v>
      </c>
      <c r="AJ97" s="92">
        <v>1.9012999999999999E-3</v>
      </c>
      <c r="AK97" s="92">
        <v>1</v>
      </c>
      <c r="AL97" s="92">
        <v>1</v>
      </c>
      <c r="AM97" s="92">
        <v>1</v>
      </c>
      <c r="AN97" s="92">
        <v>1</v>
      </c>
      <c r="AO97" s="92">
        <v>0</v>
      </c>
      <c r="AP97" s="92">
        <v>0</v>
      </c>
      <c r="AQ97" s="88">
        <v>1</v>
      </c>
      <c r="AR97" s="88">
        <v>1</v>
      </c>
      <c r="AS97" s="91">
        <v>0</v>
      </c>
      <c r="AT97" s="91">
        <v>0</v>
      </c>
      <c r="AU97" s="91">
        <v>0</v>
      </c>
      <c r="AV97" s="91">
        <v>0</v>
      </c>
      <c r="AW97" s="91">
        <v>0</v>
      </c>
      <c r="AX97" s="91">
        <v>0</v>
      </c>
      <c r="AY97" s="91">
        <v>0</v>
      </c>
      <c r="AZ97" s="91">
        <v>0</v>
      </c>
      <c r="BA97" s="91">
        <v>0</v>
      </c>
      <c r="BB97" s="91">
        <v>0</v>
      </c>
      <c r="BC97" s="91">
        <v>0</v>
      </c>
      <c r="BD97" s="91">
        <v>0</v>
      </c>
      <c r="BE97" s="91">
        <v>13.414</v>
      </c>
      <c r="BF97" s="91">
        <v>13.445</v>
      </c>
      <c r="BG97" s="88">
        <v>0</v>
      </c>
      <c r="BH97"/>
      <c r="BI97"/>
      <c r="BJ97"/>
      <c r="BK97"/>
      <c r="BL97"/>
      <c r="BM97"/>
      <c r="BN97"/>
      <c r="BO97"/>
      <c r="BP97"/>
      <c r="BQ97"/>
    </row>
    <row r="98" spans="1:69">
      <c r="A98" s="88">
        <v>10306</v>
      </c>
      <c r="B98" s="88" t="s">
        <v>102</v>
      </c>
      <c r="C98" s="88">
        <v>1</v>
      </c>
      <c r="D98" s="88">
        <v>0</v>
      </c>
      <c r="E98" s="91">
        <v>26.152999999999999</v>
      </c>
      <c r="F98" s="91">
        <v>137.50800000000001</v>
      </c>
      <c r="G98" s="91">
        <v>137.84800000000001</v>
      </c>
      <c r="H98" s="91">
        <v>81.793000000000006</v>
      </c>
      <c r="I98" s="91">
        <v>82.078999999999994</v>
      </c>
      <c r="J98" s="91">
        <v>29.946000000000002</v>
      </c>
      <c r="K98" s="91">
        <v>30</v>
      </c>
      <c r="L98" s="90">
        <v>263045.66399999999</v>
      </c>
      <c r="M98" s="90">
        <v>262800</v>
      </c>
      <c r="N98" s="91">
        <v>25.768999999999998</v>
      </c>
      <c r="O98" s="91">
        <v>25.768999999999998</v>
      </c>
      <c r="P98" s="90">
        <v>226354.89599999998</v>
      </c>
      <c r="Q98" s="90">
        <v>225736.43999999997</v>
      </c>
      <c r="R98" s="88">
        <v>25.768999999999998</v>
      </c>
      <c r="S98" s="90">
        <v>226354.89599999998</v>
      </c>
      <c r="T98" s="90">
        <v>225736.43999999997</v>
      </c>
      <c r="U98" s="91">
        <v>0</v>
      </c>
      <c r="V98" s="91">
        <v>0</v>
      </c>
      <c r="W98" s="91">
        <v>0</v>
      </c>
      <c r="X98" s="91">
        <v>0</v>
      </c>
      <c r="Y98" s="91">
        <v>0</v>
      </c>
      <c r="Z98" s="91">
        <v>0</v>
      </c>
      <c r="AA98" s="88">
        <v>0</v>
      </c>
      <c r="AB98" s="88">
        <v>0</v>
      </c>
      <c r="AC98" s="91">
        <v>0</v>
      </c>
      <c r="AD98" s="91">
        <v>0</v>
      </c>
      <c r="AE98" s="92">
        <v>3.6483000000000002E-3</v>
      </c>
      <c r="AF98" s="92">
        <v>3.6483000000000002E-3</v>
      </c>
      <c r="AG98" s="92">
        <v>0</v>
      </c>
      <c r="AH98" s="92">
        <v>3.6483000000000002E-3</v>
      </c>
      <c r="AI98" s="92">
        <v>3.6483000000000002E-3</v>
      </c>
      <c r="AJ98" s="92">
        <v>3.6483000000000002E-3</v>
      </c>
      <c r="AK98" s="92">
        <v>1</v>
      </c>
      <c r="AL98" s="92">
        <v>1</v>
      </c>
      <c r="AM98" s="92">
        <v>1</v>
      </c>
      <c r="AN98" s="92">
        <v>1</v>
      </c>
      <c r="AO98" s="92">
        <v>0</v>
      </c>
      <c r="AP98" s="92">
        <v>0</v>
      </c>
      <c r="AQ98" s="88">
        <v>4</v>
      </c>
      <c r="AR98" s="88">
        <v>4</v>
      </c>
      <c r="AS98" s="91">
        <v>0</v>
      </c>
      <c r="AT98" s="91">
        <v>0</v>
      </c>
      <c r="AU98" s="91">
        <v>0</v>
      </c>
      <c r="AV98" s="91">
        <v>0</v>
      </c>
      <c r="AW98" s="91">
        <v>0</v>
      </c>
      <c r="AX98" s="91">
        <v>0</v>
      </c>
      <c r="AY98" s="91">
        <v>0</v>
      </c>
      <c r="AZ98" s="91">
        <v>0</v>
      </c>
      <c r="BA98" s="91">
        <v>0</v>
      </c>
      <c r="BB98" s="91">
        <v>0</v>
      </c>
      <c r="BC98" s="91">
        <v>0</v>
      </c>
      <c r="BD98" s="91">
        <v>0</v>
      </c>
      <c r="BE98" s="91">
        <v>25.768999999999998</v>
      </c>
      <c r="BF98" s="91">
        <v>25.768999999999998</v>
      </c>
      <c r="BG98" s="88">
        <v>0</v>
      </c>
      <c r="BH98"/>
      <c r="BI98"/>
      <c r="BJ98"/>
      <c r="BK98"/>
      <c r="BL98"/>
      <c r="BM98"/>
      <c r="BN98"/>
      <c r="BO98"/>
      <c r="BP98"/>
      <c r="BQ98"/>
    </row>
    <row r="99" spans="1:69">
      <c r="A99" s="88">
        <v>10307</v>
      </c>
      <c r="B99" s="88" t="s">
        <v>103</v>
      </c>
      <c r="C99" s="88">
        <v>1</v>
      </c>
      <c r="D99" s="88">
        <v>0</v>
      </c>
      <c r="E99" s="91">
        <v>73.058999999999997</v>
      </c>
      <c r="F99" s="91">
        <v>68.665000000000006</v>
      </c>
      <c r="G99" s="91">
        <v>68.700999999999993</v>
      </c>
      <c r="H99" s="91">
        <v>0</v>
      </c>
      <c r="I99" s="91">
        <v>0</v>
      </c>
      <c r="J99" s="91">
        <v>0</v>
      </c>
      <c r="K99" s="91">
        <v>0</v>
      </c>
      <c r="L99" s="90">
        <v>0</v>
      </c>
      <c r="M99" s="90">
        <v>0</v>
      </c>
      <c r="N99" s="91">
        <v>68.665000000000006</v>
      </c>
      <c r="O99" s="91">
        <v>68.700999999999993</v>
      </c>
      <c r="P99" s="90">
        <v>603153.3600000001</v>
      </c>
      <c r="Q99" s="90">
        <v>601820.75999999989</v>
      </c>
      <c r="R99" s="88">
        <v>71.984999999999999</v>
      </c>
      <c r="S99" s="90">
        <v>632316.24</v>
      </c>
      <c r="T99" s="90">
        <v>630588.6</v>
      </c>
      <c r="U99" s="91">
        <v>0</v>
      </c>
      <c r="V99" s="91">
        <v>0</v>
      </c>
      <c r="W99" s="91">
        <v>0</v>
      </c>
      <c r="X99" s="91">
        <v>0</v>
      </c>
      <c r="Y99" s="91">
        <v>0</v>
      </c>
      <c r="Z99" s="91">
        <v>0</v>
      </c>
      <c r="AA99" s="88">
        <v>0</v>
      </c>
      <c r="AB99" s="88">
        <v>0</v>
      </c>
      <c r="AC99" s="91">
        <v>0</v>
      </c>
      <c r="AD99" s="91">
        <v>0</v>
      </c>
      <c r="AE99" s="92">
        <v>9.7213000000000004E-3</v>
      </c>
      <c r="AF99" s="92">
        <v>9.7263999999999996E-3</v>
      </c>
      <c r="AG99" s="92">
        <v>0</v>
      </c>
      <c r="AH99" s="92">
        <v>9.7213000000000004E-3</v>
      </c>
      <c r="AI99" s="92">
        <v>9.7263999999999996E-3</v>
      </c>
      <c r="AJ99" s="92">
        <v>9.7238499999999992E-3</v>
      </c>
      <c r="AK99" s="92">
        <v>1</v>
      </c>
      <c r="AL99" s="92">
        <v>1</v>
      </c>
      <c r="AM99" s="92">
        <v>1</v>
      </c>
      <c r="AN99" s="92">
        <v>1</v>
      </c>
      <c r="AO99" s="92">
        <v>0</v>
      </c>
      <c r="AP99" s="92">
        <v>0</v>
      </c>
      <c r="AQ99" s="88">
        <v>3</v>
      </c>
      <c r="AR99" s="88">
        <v>3</v>
      </c>
      <c r="AS99" s="91">
        <v>5</v>
      </c>
      <c r="AT99" s="91">
        <v>5</v>
      </c>
      <c r="AU99" s="91">
        <v>0</v>
      </c>
      <c r="AV99" s="91">
        <v>0</v>
      </c>
      <c r="AW99" s="91">
        <v>0</v>
      </c>
      <c r="AX99" s="91">
        <v>0</v>
      </c>
      <c r="AY99" s="91">
        <v>0</v>
      </c>
      <c r="AZ99" s="91">
        <v>0</v>
      </c>
      <c r="BA99" s="91">
        <v>0</v>
      </c>
      <c r="BB99" s="91">
        <v>0</v>
      </c>
      <c r="BC99" s="91">
        <v>0</v>
      </c>
      <c r="BD99" s="91">
        <v>0</v>
      </c>
      <c r="BE99" s="91">
        <v>68.665000000000006</v>
      </c>
      <c r="BF99" s="91">
        <v>68.700999999999993</v>
      </c>
      <c r="BG99" s="88">
        <v>0</v>
      </c>
      <c r="BH99"/>
      <c r="BI99"/>
      <c r="BJ99"/>
      <c r="BK99"/>
      <c r="BL99"/>
      <c r="BM99"/>
      <c r="BN99"/>
      <c r="BO99"/>
      <c r="BP99"/>
      <c r="BQ99"/>
    </row>
    <row r="100" spans="1:69">
      <c r="A100" s="88">
        <v>10326</v>
      </c>
      <c r="B100" s="88" t="s">
        <v>104</v>
      </c>
      <c r="C100" s="88">
        <v>1</v>
      </c>
      <c r="D100" s="88">
        <v>0</v>
      </c>
      <c r="E100" s="91">
        <v>30.914000000000001</v>
      </c>
      <c r="F100" s="91">
        <v>34.292000000000002</v>
      </c>
      <c r="G100" s="91">
        <v>35.805</v>
      </c>
      <c r="H100" s="91">
        <v>0</v>
      </c>
      <c r="I100" s="91">
        <v>0</v>
      </c>
      <c r="J100" s="91">
        <v>0</v>
      </c>
      <c r="K100" s="91">
        <v>0</v>
      </c>
      <c r="L100" s="90">
        <v>0</v>
      </c>
      <c r="M100" s="90">
        <v>0</v>
      </c>
      <c r="N100" s="91">
        <v>34.292000000000002</v>
      </c>
      <c r="O100" s="91">
        <v>35.805</v>
      </c>
      <c r="P100" s="90">
        <v>301220.92800000001</v>
      </c>
      <c r="Q100" s="90">
        <v>313651.8</v>
      </c>
      <c r="R100" s="88">
        <v>30.46</v>
      </c>
      <c r="S100" s="90">
        <v>267560.64</v>
      </c>
      <c r="T100" s="90">
        <v>266829.60000000003</v>
      </c>
      <c r="U100" s="91">
        <v>3.8319999999999999</v>
      </c>
      <c r="V100" s="91">
        <v>5.3449999999999998</v>
      </c>
      <c r="W100" s="91">
        <v>3.8319999999999999</v>
      </c>
      <c r="X100" s="91">
        <v>5.3449999999999998</v>
      </c>
      <c r="Y100" s="91">
        <v>0</v>
      </c>
      <c r="Z100" s="91">
        <v>0</v>
      </c>
      <c r="AA100" s="88">
        <v>0</v>
      </c>
      <c r="AB100" s="88">
        <v>0</v>
      </c>
      <c r="AC100" s="91">
        <v>3.8319999999999999</v>
      </c>
      <c r="AD100" s="91">
        <v>5.3449999999999998</v>
      </c>
      <c r="AE100" s="92">
        <v>4.3124000000000001E-3</v>
      </c>
      <c r="AF100" s="92">
        <v>4.3124000000000001E-3</v>
      </c>
      <c r="AG100" s="92">
        <v>0</v>
      </c>
      <c r="AH100" s="92">
        <v>4.3124000000000001E-3</v>
      </c>
      <c r="AI100" s="92">
        <v>4.3124000000000001E-3</v>
      </c>
      <c r="AJ100" s="92">
        <v>4.3124000000000001E-3</v>
      </c>
      <c r="AK100" s="92">
        <v>0.88825543059605727</v>
      </c>
      <c r="AL100" s="92">
        <v>0.85072071571009633</v>
      </c>
      <c r="AM100" s="92">
        <v>1.1258043335521997</v>
      </c>
      <c r="AN100" s="92">
        <v>1.1754760341431385</v>
      </c>
      <c r="AO100" s="92">
        <v>0</v>
      </c>
      <c r="AP100" s="92">
        <v>0</v>
      </c>
      <c r="AQ100" s="88">
        <v>1</v>
      </c>
      <c r="AR100" s="88">
        <v>1</v>
      </c>
      <c r="AS100" s="91">
        <v>0</v>
      </c>
      <c r="AT100" s="91">
        <v>0</v>
      </c>
      <c r="AU100" s="91">
        <v>3.8319999999999999</v>
      </c>
      <c r="AV100" s="91">
        <v>5.3449999999999998</v>
      </c>
      <c r="AW100" s="91">
        <v>0</v>
      </c>
      <c r="AX100" s="91">
        <v>0</v>
      </c>
      <c r="AY100" s="91">
        <v>0</v>
      </c>
      <c r="AZ100" s="91">
        <v>0</v>
      </c>
      <c r="BA100" s="91">
        <v>0</v>
      </c>
      <c r="BB100" s="91">
        <v>0</v>
      </c>
      <c r="BC100" s="91">
        <v>0</v>
      </c>
      <c r="BD100" s="91">
        <v>0</v>
      </c>
      <c r="BE100" s="91">
        <v>34.292000000000002</v>
      </c>
      <c r="BF100" s="91">
        <v>35.805</v>
      </c>
      <c r="BG100" s="88">
        <v>0</v>
      </c>
      <c r="BH100"/>
      <c r="BI100"/>
      <c r="BJ100"/>
      <c r="BK100"/>
      <c r="BL100"/>
      <c r="BM100"/>
      <c r="BN100"/>
      <c r="BO100"/>
      <c r="BP100"/>
      <c r="BQ100"/>
    </row>
    <row r="101" spans="1:69">
      <c r="A101" s="88">
        <v>10331</v>
      </c>
      <c r="B101" s="88" t="s">
        <v>105</v>
      </c>
      <c r="C101" s="88">
        <v>0</v>
      </c>
      <c r="D101" s="88">
        <v>1</v>
      </c>
      <c r="E101" s="91">
        <v>37.148000000000003</v>
      </c>
      <c r="F101" s="91">
        <v>35.36</v>
      </c>
      <c r="G101" s="91">
        <v>35.408000000000001</v>
      </c>
      <c r="H101" s="91">
        <v>0</v>
      </c>
      <c r="I101" s="91">
        <v>0</v>
      </c>
      <c r="J101" s="91">
        <v>0</v>
      </c>
      <c r="K101" s="91">
        <v>0</v>
      </c>
      <c r="L101" s="90">
        <v>0</v>
      </c>
      <c r="M101" s="90">
        <v>0</v>
      </c>
      <c r="N101" s="91">
        <v>35.36</v>
      </c>
      <c r="O101" s="91">
        <v>35.408000000000001</v>
      </c>
      <c r="P101" s="90">
        <v>310602.23999999999</v>
      </c>
      <c r="Q101" s="90">
        <v>310174.08000000002</v>
      </c>
      <c r="R101" s="88">
        <v>36.601999999999997</v>
      </c>
      <c r="S101" s="90">
        <v>321511.96799999999</v>
      </c>
      <c r="T101" s="90">
        <v>320633.51999999996</v>
      </c>
      <c r="U101" s="91">
        <v>0</v>
      </c>
      <c r="V101" s="91">
        <v>0</v>
      </c>
      <c r="W101" s="91">
        <v>0</v>
      </c>
      <c r="X101" s="91">
        <v>0</v>
      </c>
      <c r="Y101" s="91">
        <v>0</v>
      </c>
      <c r="Z101" s="91">
        <v>0</v>
      </c>
      <c r="AA101" s="88">
        <v>0</v>
      </c>
      <c r="AB101" s="88">
        <v>0</v>
      </c>
      <c r="AC101" s="91">
        <v>0</v>
      </c>
      <c r="AD101" s="91">
        <v>0</v>
      </c>
      <c r="AE101" s="92">
        <v>5.0061000000000003E-3</v>
      </c>
      <c r="AF101" s="92">
        <v>5.0128999999999998E-3</v>
      </c>
      <c r="AG101" s="92">
        <v>0</v>
      </c>
      <c r="AH101" s="92">
        <v>5.0061000000000003E-3</v>
      </c>
      <c r="AI101" s="92">
        <v>5.0128999999999998E-3</v>
      </c>
      <c r="AJ101" s="92">
        <v>5.0095000000000001E-3</v>
      </c>
      <c r="AK101" s="92">
        <v>0.99999749792138004</v>
      </c>
      <c r="AL101" s="92">
        <v>0.99999837348904197</v>
      </c>
      <c r="AM101" s="92">
        <v>1</v>
      </c>
      <c r="AN101" s="92">
        <v>1</v>
      </c>
      <c r="AO101" s="92">
        <v>7.0000000000000007E-2</v>
      </c>
      <c r="AP101" s="92">
        <v>7.0000000000000007E-2</v>
      </c>
      <c r="AQ101" s="88">
        <v>6</v>
      </c>
      <c r="AR101" s="88">
        <v>6</v>
      </c>
      <c r="AS101" s="91">
        <v>0</v>
      </c>
      <c r="AT101" s="91">
        <v>0</v>
      </c>
      <c r="AU101" s="91">
        <v>0</v>
      </c>
      <c r="AV101" s="91">
        <v>0</v>
      </c>
      <c r="AW101" s="91">
        <v>0</v>
      </c>
      <c r="AX101" s="91">
        <v>0</v>
      </c>
      <c r="AY101" s="91">
        <v>0</v>
      </c>
      <c r="AZ101" s="91">
        <v>0</v>
      </c>
      <c r="BA101" s="91">
        <v>0</v>
      </c>
      <c r="BB101" s="91">
        <v>0</v>
      </c>
      <c r="BC101" s="91">
        <v>0</v>
      </c>
      <c r="BD101" s="91">
        <v>0</v>
      </c>
      <c r="BE101" s="91">
        <v>35.36</v>
      </c>
      <c r="BF101" s="91">
        <v>35.408000000000001</v>
      </c>
      <c r="BG101" s="88">
        <v>1</v>
      </c>
      <c r="BH101"/>
      <c r="BI101"/>
      <c r="BJ101"/>
      <c r="BK101"/>
      <c r="BL101"/>
      <c r="BM101"/>
      <c r="BN101"/>
      <c r="BO101"/>
      <c r="BP101"/>
      <c r="BQ101"/>
    </row>
    <row r="102" spans="1:69">
      <c r="A102" s="88">
        <v>10333</v>
      </c>
      <c r="B102" s="88" t="s">
        <v>106</v>
      </c>
      <c r="C102" s="88">
        <v>0</v>
      </c>
      <c r="D102" s="88">
        <v>1</v>
      </c>
      <c r="E102" s="91">
        <v>18.791</v>
      </c>
      <c r="F102" s="91">
        <v>21.8</v>
      </c>
      <c r="G102" s="91">
        <v>21.994</v>
      </c>
      <c r="H102" s="91">
        <v>0</v>
      </c>
      <c r="I102" s="91">
        <v>0</v>
      </c>
      <c r="J102" s="91">
        <v>0</v>
      </c>
      <c r="K102" s="91">
        <v>0</v>
      </c>
      <c r="L102" s="90">
        <v>0</v>
      </c>
      <c r="M102" s="90">
        <v>0</v>
      </c>
      <c r="N102" s="91">
        <v>21.8</v>
      </c>
      <c r="O102" s="91">
        <v>21.994</v>
      </c>
      <c r="P102" s="90">
        <v>191491.20000000001</v>
      </c>
      <c r="Q102" s="90">
        <v>192667.44</v>
      </c>
      <c r="R102" s="88">
        <v>18.515000000000001</v>
      </c>
      <c r="S102" s="90">
        <v>162635.76</v>
      </c>
      <c r="T102" s="90">
        <v>162191.4</v>
      </c>
      <c r="U102" s="91">
        <v>3.2850000000000001</v>
      </c>
      <c r="V102" s="91">
        <v>3.4790000000000001</v>
      </c>
      <c r="W102" s="91">
        <v>3.2850000000000001</v>
      </c>
      <c r="X102" s="91">
        <v>3.4790000000000001</v>
      </c>
      <c r="Y102" s="91">
        <v>0</v>
      </c>
      <c r="Z102" s="91">
        <v>0</v>
      </c>
      <c r="AA102" s="88">
        <v>0</v>
      </c>
      <c r="AB102" s="88">
        <v>0</v>
      </c>
      <c r="AC102" s="91">
        <v>3.2850000000000001</v>
      </c>
      <c r="AD102" s="91">
        <v>3.4790000000000001</v>
      </c>
      <c r="AE102" s="92">
        <v>2.6213E-3</v>
      </c>
      <c r="AF102" s="92">
        <v>2.6213E-3</v>
      </c>
      <c r="AG102" s="92">
        <v>0</v>
      </c>
      <c r="AH102" s="92">
        <v>2.6213E-3</v>
      </c>
      <c r="AI102" s="92">
        <v>2.6213E-3</v>
      </c>
      <c r="AJ102" s="92">
        <v>2.6213E-3</v>
      </c>
      <c r="AK102" s="92">
        <v>0.84932104011467879</v>
      </c>
      <c r="AL102" s="92">
        <v>0.84182952962171498</v>
      </c>
      <c r="AM102" s="92">
        <v>1.1774237105049961</v>
      </c>
      <c r="AN102" s="92">
        <v>1.1879017013232513</v>
      </c>
      <c r="AO102" s="92">
        <v>7.064542263029977E-2</v>
      </c>
      <c r="AP102" s="92">
        <v>7.127410207939508E-2</v>
      </c>
      <c r="AQ102" s="88">
        <v>6</v>
      </c>
      <c r="AR102" s="88">
        <v>6</v>
      </c>
      <c r="AS102" s="91">
        <v>0</v>
      </c>
      <c r="AT102" s="91">
        <v>0</v>
      </c>
      <c r="AU102" s="91">
        <v>0</v>
      </c>
      <c r="AV102" s="91">
        <v>0</v>
      </c>
      <c r="AW102" s="91">
        <v>0</v>
      </c>
      <c r="AX102" s="91">
        <v>0</v>
      </c>
      <c r="AY102" s="91">
        <v>0</v>
      </c>
      <c r="AZ102" s="91">
        <v>0</v>
      </c>
      <c r="BA102" s="91">
        <v>0</v>
      </c>
      <c r="BB102" s="91">
        <v>0</v>
      </c>
      <c r="BC102" s="91">
        <v>0</v>
      </c>
      <c r="BD102" s="91">
        <v>0</v>
      </c>
      <c r="BE102" s="91">
        <v>18.515000000000001</v>
      </c>
      <c r="BF102" s="91">
        <v>18.515000000000001</v>
      </c>
      <c r="BG102" s="88">
        <v>1</v>
      </c>
      <c r="BH102"/>
      <c r="BI102"/>
      <c r="BJ102"/>
      <c r="BK102"/>
      <c r="BL102"/>
      <c r="BM102"/>
      <c r="BN102"/>
      <c r="BO102"/>
      <c r="BP102"/>
      <c r="BQ102"/>
    </row>
    <row r="103" spans="1:69">
      <c r="A103" s="88">
        <v>10338</v>
      </c>
      <c r="B103" s="88" t="s">
        <v>107</v>
      </c>
      <c r="C103" s="88">
        <v>1</v>
      </c>
      <c r="D103" s="88">
        <v>0</v>
      </c>
      <c r="E103" s="91">
        <v>2.4079999999999999</v>
      </c>
      <c r="F103" s="91">
        <v>2.7549999999999999</v>
      </c>
      <c r="G103" s="91">
        <v>2.7869999999999999</v>
      </c>
      <c r="H103" s="91">
        <v>0</v>
      </c>
      <c r="I103" s="91">
        <v>0</v>
      </c>
      <c r="J103" s="91">
        <v>0</v>
      </c>
      <c r="K103" s="91">
        <v>0</v>
      </c>
      <c r="L103" s="90">
        <v>0</v>
      </c>
      <c r="M103" s="90">
        <v>0</v>
      </c>
      <c r="N103" s="91">
        <v>2.7549999999999999</v>
      </c>
      <c r="O103" s="91">
        <v>2.7869999999999999</v>
      </c>
      <c r="P103" s="90">
        <v>24199.919999999998</v>
      </c>
      <c r="Q103" s="90">
        <v>24414.12</v>
      </c>
      <c r="R103" s="88">
        <v>2.3730000000000002</v>
      </c>
      <c r="S103" s="90">
        <v>20844.432000000001</v>
      </c>
      <c r="T103" s="90">
        <v>20787.480000000003</v>
      </c>
      <c r="U103" s="91">
        <v>0.38200000000000001</v>
      </c>
      <c r="V103" s="91">
        <v>0.41399999999999998</v>
      </c>
      <c r="W103" s="91">
        <v>0</v>
      </c>
      <c r="X103" s="91">
        <v>0</v>
      </c>
      <c r="Y103" s="91">
        <v>0.38200000000000001</v>
      </c>
      <c r="Z103" s="91">
        <v>0.41399999999999998</v>
      </c>
      <c r="AA103" s="88">
        <v>0</v>
      </c>
      <c r="AB103" s="88">
        <v>0</v>
      </c>
      <c r="AC103" s="91">
        <v>0</v>
      </c>
      <c r="AD103" s="91">
        <v>0</v>
      </c>
      <c r="AE103" s="92">
        <v>3.3599999999999998E-4</v>
      </c>
      <c r="AF103" s="92">
        <v>3.3599999999999998E-4</v>
      </c>
      <c r="AG103" s="92">
        <v>0</v>
      </c>
      <c r="AH103" s="92">
        <v>3.3599999999999998E-4</v>
      </c>
      <c r="AI103" s="92">
        <v>3.3599999999999998E-4</v>
      </c>
      <c r="AJ103" s="92">
        <v>3.3599999999999998E-4</v>
      </c>
      <c r="AK103" s="92">
        <v>0.86144850816696916</v>
      </c>
      <c r="AL103" s="92">
        <v>0.85155745963401508</v>
      </c>
      <c r="AM103" s="92">
        <v>1.160977665402444</v>
      </c>
      <c r="AN103" s="92">
        <v>1.1744627054361567</v>
      </c>
      <c r="AO103" s="92">
        <v>3.4829329962073323E-2</v>
      </c>
      <c r="AP103" s="92">
        <v>3.5233881163084707E-2</v>
      </c>
      <c r="AQ103" s="88">
        <v>1</v>
      </c>
      <c r="AR103" s="88">
        <v>1</v>
      </c>
      <c r="AS103" s="91">
        <v>0</v>
      </c>
      <c r="AT103" s="91">
        <v>0</v>
      </c>
      <c r="AU103" s="91">
        <v>0</v>
      </c>
      <c r="AV103" s="91">
        <v>0</v>
      </c>
      <c r="AW103" s="91">
        <v>0</v>
      </c>
      <c r="AX103" s="91">
        <v>0</v>
      </c>
      <c r="AY103" s="91">
        <v>0</v>
      </c>
      <c r="AZ103" s="91">
        <v>0</v>
      </c>
      <c r="BA103" s="91">
        <v>0</v>
      </c>
      <c r="BB103" s="91">
        <v>0</v>
      </c>
      <c r="BC103" s="91">
        <v>0</v>
      </c>
      <c r="BD103" s="91">
        <v>0</v>
      </c>
      <c r="BE103" s="91">
        <v>2.7549999999999999</v>
      </c>
      <c r="BF103" s="91">
        <v>2.7869999999999999</v>
      </c>
      <c r="BG103" s="88">
        <v>0</v>
      </c>
      <c r="BH103"/>
      <c r="BI103"/>
      <c r="BJ103"/>
      <c r="BK103"/>
      <c r="BL103"/>
      <c r="BM103"/>
      <c r="BN103"/>
      <c r="BO103"/>
      <c r="BP103"/>
      <c r="BQ103"/>
    </row>
    <row r="104" spans="1:69">
      <c r="A104" s="88">
        <v>10342</v>
      </c>
      <c r="B104" s="88" t="s">
        <v>108</v>
      </c>
      <c r="C104" s="88">
        <v>1</v>
      </c>
      <c r="D104" s="88">
        <v>0</v>
      </c>
      <c r="E104" s="91">
        <v>39.268000000000001</v>
      </c>
      <c r="F104" s="91">
        <v>38.216999999999999</v>
      </c>
      <c r="G104" s="91">
        <v>38.332000000000001</v>
      </c>
      <c r="H104" s="91">
        <v>0</v>
      </c>
      <c r="I104" s="91">
        <v>0</v>
      </c>
      <c r="J104" s="91">
        <v>0</v>
      </c>
      <c r="K104" s="91">
        <v>0</v>
      </c>
      <c r="L104" s="90">
        <v>0</v>
      </c>
      <c r="M104" s="90">
        <v>0</v>
      </c>
      <c r="N104" s="91">
        <v>38.216999999999999</v>
      </c>
      <c r="O104" s="91">
        <v>38.332000000000001</v>
      </c>
      <c r="P104" s="90">
        <v>335698.12799999997</v>
      </c>
      <c r="Q104" s="90">
        <v>335788.32</v>
      </c>
      <c r="R104" s="88">
        <v>38.691000000000003</v>
      </c>
      <c r="S104" s="90">
        <v>339861.74400000001</v>
      </c>
      <c r="T104" s="90">
        <v>338933.16000000003</v>
      </c>
      <c r="U104" s="91">
        <v>0</v>
      </c>
      <c r="V104" s="91">
        <v>0</v>
      </c>
      <c r="W104" s="91">
        <v>0</v>
      </c>
      <c r="X104" s="91">
        <v>0</v>
      </c>
      <c r="Y104" s="91">
        <v>0</v>
      </c>
      <c r="Z104" s="91">
        <v>0</v>
      </c>
      <c r="AA104" s="88">
        <v>0</v>
      </c>
      <c r="AB104" s="88">
        <v>0</v>
      </c>
      <c r="AC104" s="91">
        <v>0</v>
      </c>
      <c r="AD104" s="91">
        <v>0</v>
      </c>
      <c r="AE104" s="92">
        <v>5.4105999999999998E-3</v>
      </c>
      <c r="AF104" s="92">
        <v>5.4269000000000001E-3</v>
      </c>
      <c r="AG104" s="92">
        <v>0</v>
      </c>
      <c r="AH104" s="92">
        <v>5.4105999999999998E-3</v>
      </c>
      <c r="AI104" s="92">
        <v>5.4269000000000001E-3</v>
      </c>
      <c r="AJ104" s="92">
        <v>5.41875E-3</v>
      </c>
      <c r="AK104" s="92">
        <v>1</v>
      </c>
      <c r="AL104" s="92">
        <v>1</v>
      </c>
      <c r="AM104" s="92">
        <v>1</v>
      </c>
      <c r="AN104" s="92">
        <v>1</v>
      </c>
      <c r="AO104" s="92">
        <v>0</v>
      </c>
      <c r="AP104" s="92">
        <v>0</v>
      </c>
      <c r="AQ104" s="88">
        <v>1</v>
      </c>
      <c r="AR104" s="88">
        <v>1</v>
      </c>
      <c r="AS104" s="91">
        <v>0</v>
      </c>
      <c r="AT104" s="91">
        <v>0</v>
      </c>
      <c r="AU104" s="91">
        <v>0</v>
      </c>
      <c r="AV104" s="91">
        <v>0</v>
      </c>
      <c r="AW104" s="91">
        <v>0</v>
      </c>
      <c r="AX104" s="91">
        <v>0</v>
      </c>
      <c r="AY104" s="91">
        <v>0</v>
      </c>
      <c r="AZ104" s="91">
        <v>0</v>
      </c>
      <c r="BA104" s="91">
        <v>0</v>
      </c>
      <c r="BB104" s="91">
        <v>0</v>
      </c>
      <c r="BC104" s="91">
        <v>0</v>
      </c>
      <c r="BD104" s="91">
        <v>0</v>
      </c>
      <c r="BE104" s="91">
        <v>38.216999999999999</v>
      </c>
      <c r="BF104" s="91">
        <v>38.332000000000001</v>
      </c>
      <c r="BG104" s="88">
        <v>0</v>
      </c>
      <c r="BH104"/>
      <c r="BI104"/>
      <c r="BJ104"/>
      <c r="BK104"/>
      <c r="BL104"/>
      <c r="BM104"/>
      <c r="BN104"/>
      <c r="BO104"/>
      <c r="BP104"/>
      <c r="BQ104"/>
    </row>
    <row r="105" spans="1:69">
      <c r="A105" s="88">
        <v>10343</v>
      </c>
      <c r="B105" s="88" t="s">
        <v>109</v>
      </c>
      <c r="C105" s="88">
        <v>1</v>
      </c>
      <c r="D105" s="88">
        <v>0</v>
      </c>
      <c r="E105" s="91">
        <v>31.856999999999999</v>
      </c>
      <c r="F105" s="91">
        <v>12.098000000000001</v>
      </c>
      <c r="G105" s="91">
        <v>15.271000000000001</v>
      </c>
      <c r="H105" s="91">
        <v>0</v>
      </c>
      <c r="I105" s="91">
        <v>0</v>
      </c>
      <c r="J105" s="91">
        <v>0.13900000000000001</v>
      </c>
      <c r="K105" s="91">
        <v>0.13900000000000001</v>
      </c>
      <c r="L105" s="90">
        <v>1220.9760000000001</v>
      </c>
      <c r="M105" s="90">
        <v>1217.6400000000001</v>
      </c>
      <c r="N105" s="91">
        <v>11.959</v>
      </c>
      <c r="O105" s="91">
        <v>15.132</v>
      </c>
      <c r="P105" s="90">
        <v>105047.856</v>
      </c>
      <c r="Q105" s="90">
        <v>132556.32</v>
      </c>
      <c r="R105" s="88">
        <v>31.388999999999999</v>
      </c>
      <c r="S105" s="90">
        <v>275720.97599999997</v>
      </c>
      <c r="T105" s="90">
        <v>274967.64</v>
      </c>
      <c r="U105" s="91">
        <v>0</v>
      </c>
      <c r="V105" s="91">
        <v>0</v>
      </c>
      <c r="W105" s="91">
        <v>0</v>
      </c>
      <c r="X105" s="91">
        <v>0</v>
      </c>
      <c r="Y105" s="91">
        <v>0</v>
      </c>
      <c r="Z105" s="91">
        <v>0</v>
      </c>
      <c r="AA105" s="88">
        <v>0</v>
      </c>
      <c r="AB105" s="88">
        <v>0</v>
      </c>
      <c r="AC105" s="91">
        <v>0</v>
      </c>
      <c r="AD105" s="91">
        <v>0</v>
      </c>
      <c r="AE105" s="92">
        <v>1.6930999999999999E-3</v>
      </c>
      <c r="AF105" s="92">
        <v>2.1423000000000002E-3</v>
      </c>
      <c r="AG105" s="92">
        <v>0</v>
      </c>
      <c r="AH105" s="92">
        <v>1.6930999999999999E-3</v>
      </c>
      <c r="AI105" s="92">
        <v>2.1423000000000002E-3</v>
      </c>
      <c r="AJ105" s="92">
        <v>1.9177E-3</v>
      </c>
      <c r="AK105" s="92">
        <v>0.9999986180773679</v>
      </c>
      <c r="AL105" s="92">
        <v>0.99998997049963989</v>
      </c>
      <c r="AM105" s="92">
        <v>1</v>
      </c>
      <c r="AN105" s="92">
        <v>1</v>
      </c>
      <c r="AO105" s="92">
        <v>7.0000000000000007E-2</v>
      </c>
      <c r="AP105" s="92">
        <v>7.0000000000000007E-2</v>
      </c>
      <c r="AQ105" s="88">
        <v>1</v>
      </c>
      <c r="AR105" s="88">
        <v>3</v>
      </c>
      <c r="AS105" s="91">
        <v>0</v>
      </c>
      <c r="AT105" s="91">
        <v>0</v>
      </c>
      <c r="AU105" s="91">
        <v>0</v>
      </c>
      <c r="AV105" s="91">
        <v>0</v>
      </c>
      <c r="AW105" s="91">
        <v>0</v>
      </c>
      <c r="AX105" s="91">
        <v>0</v>
      </c>
      <c r="AY105" s="91">
        <v>0</v>
      </c>
      <c r="AZ105" s="91">
        <v>0</v>
      </c>
      <c r="BA105" s="91">
        <v>0</v>
      </c>
      <c r="BB105" s="91">
        <v>0</v>
      </c>
      <c r="BC105" s="91">
        <v>0</v>
      </c>
      <c r="BD105" s="91">
        <v>0</v>
      </c>
      <c r="BE105" s="91">
        <v>11.959</v>
      </c>
      <c r="BF105" s="91">
        <v>15.132</v>
      </c>
      <c r="BG105" s="88">
        <v>1</v>
      </c>
      <c r="BH105"/>
      <c r="BI105"/>
      <c r="BJ105"/>
      <c r="BK105"/>
      <c r="BL105"/>
      <c r="BM105"/>
      <c r="BN105"/>
      <c r="BO105"/>
      <c r="BP105"/>
      <c r="BQ105"/>
    </row>
    <row r="106" spans="1:69">
      <c r="A106" s="88">
        <v>10349</v>
      </c>
      <c r="B106" s="88" t="s">
        <v>110</v>
      </c>
      <c r="C106" s="88">
        <v>1</v>
      </c>
      <c r="D106" s="88">
        <v>0</v>
      </c>
      <c r="E106" s="91">
        <v>531.72699999999998</v>
      </c>
      <c r="F106" s="91">
        <v>1056.269</v>
      </c>
      <c r="G106" s="91">
        <v>1053.2760000000001</v>
      </c>
      <c r="H106" s="91">
        <v>0</v>
      </c>
      <c r="I106" s="91">
        <v>0</v>
      </c>
      <c r="J106" s="91">
        <v>595.16</v>
      </c>
      <c r="K106" s="91">
        <v>594.23199999999997</v>
      </c>
      <c r="L106" s="90">
        <v>5227885.4399999995</v>
      </c>
      <c r="M106" s="90">
        <v>5205472.3199999994</v>
      </c>
      <c r="N106" s="91">
        <v>461.10899999999998</v>
      </c>
      <c r="O106" s="91">
        <v>459.04399999999998</v>
      </c>
      <c r="P106" s="90">
        <v>4050381.4559999998</v>
      </c>
      <c r="Q106" s="90">
        <v>4021225.44</v>
      </c>
      <c r="R106" s="88">
        <v>523.91099999999994</v>
      </c>
      <c r="S106" s="90">
        <v>4602034.2239999995</v>
      </c>
      <c r="T106" s="90">
        <v>4589460.3599999994</v>
      </c>
      <c r="U106" s="91">
        <v>0</v>
      </c>
      <c r="V106" s="91">
        <v>0</v>
      </c>
      <c r="W106" s="91">
        <v>0</v>
      </c>
      <c r="X106" s="91">
        <v>0</v>
      </c>
      <c r="Y106" s="91">
        <v>0</v>
      </c>
      <c r="Z106" s="91">
        <v>0</v>
      </c>
      <c r="AA106" s="88">
        <v>0</v>
      </c>
      <c r="AB106" s="88">
        <v>0</v>
      </c>
      <c r="AC106" s="91">
        <v>0</v>
      </c>
      <c r="AD106" s="91">
        <v>0</v>
      </c>
      <c r="AE106" s="92">
        <v>6.5281800000000001E-2</v>
      </c>
      <c r="AF106" s="92">
        <v>6.4989400000000003E-2</v>
      </c>
      <c r="AG106" s="92">
        <v>0</v>
      </c>
      <c r="AH106" s="92">
        <v>6.5281800000000001E-2</v>
      </c>
      <c r="AI106" s="92">
        <v>6.4989400000000003E-2</v>
      </c>
      <c r="AJ106" s="92">
        <v>6.5135600000000002E-2</v>
      </c>
      <c r="AK106" s="92">
        <v>1</v>
      </c>
      <c r="AL106" s="92">
        <v>0.99999986074969893</v>
      </c>
      <c r="AM106" s="92">
        <v>1</v>
      </c>
      <c r="AN106" s="92">
        <v>1</v>
      </c>
      <c r="AO106" s="92">
        <v>0</v>
      </c>
      <c r="AP106" s="92">
        <v>0</v>
      </c>
      <c r="AQ106" s="88">
        <v>4</v>
      </c>
      <c r="AR106" s="88">
        <v>4</v>
      </c>
      <c r="AS106" s="91">
        <v>0</v>
      </c>
      <c r="AT106" s="91">
        <v>0</v>
      </c>
      <c r="AU106" s="91">
        <v>0</v>
      </c>
      <c r="AV106" s="91">
        <v>0</v>
      </c>
      <c r="AW106" s="91">
        <v>0</v>
      </c>
      <c r="AX106" s="91">
        <v>0</v>
      </c>
      <c r="AY106" s="91">
        <v>0</v>
      </c>
      <c r="AZ106" s="91">
        <v>0</v>
      </c>
      <c r="BA106" s="91">
        <v>0</v>
      </c>
      <c r="BB106" s="91">
        <v>0</v>
      </c>
      <c r="BC106" s="91">
        <v>0</v>
      </c>
      <c r="BD106" s="91">
        <v>0</v>
      </c>
      <c r="BE106" s="91">
        <v>461.10899999999998</v>
      </c>
      <c r="BF106" s="91">
        <v>459.04399999999998</v>
      </c>
      <c r="BG106" s="88">
        <v>0</v>
      </c>
      <c r="BH106"/>
      <c r="BI106"/>
      <c r="BJ106"/>
      <c r="BK106"/>
      <c r="BL106"/>
      <c r="BM106"/>
      <c r="BN106"/>
      <c r="BO106"/>
      <c r="BP106"/>
      <c r="BQ106"/>
    </row>
    <row r="107" spans="1:69">
      <c r="A107" s="88">
        <v>10352</v>
      </c>
      <c r="B107" s="88" t="s">
        <v>111</v>
      </c>
      <c r="C107" s="88">
        <v>1</v>
      </c>
      <c r="D107" s="88">
        <v>0</v>
      </c>
      <c r="E107" s="91">
        <v>16.143999999999998</v>
      </c>
      <c r="F107" s="91">
        <v>15.885</v>
      </c>
      <c r="G107" s="91">
        <v>15.917</v>
      </c>
      <c r="H107" s="91">
        <v>0</v>
      </c>
      <c r="I107" s="91">
        <v>0</v>
      </c>
      <c r="J107" s="91">
        <v>0</v>
      </c>
      <c r="K107" s="91">
        <v>0</v>
      </c>
      <c r="L107" s="90">
        <v>0</v>
      </c>
      <c r="M107" s="90">
        <v>0</v>
      </c>
      <c r="N107" s="91">
        <v>15.885</v>
      </c>
      <c r="O107" s="91">
        <v>15.917</v>
      </c>
      <c r="P107" s="90">
        <v>139533.84</v>
      </c>
      <c r="Q107" s="90">
        <v>139432.92000000001</v>
      </c>
      <c r="R107" s="88">
        <v>15.907</v>
      </c>
      <c r="S107" s="90">
        <v>139727.08799999999</v>
      </c>
      <c r="T107" s="90">
        <v>139345.32</v>
      </c>
      <c r="U107" s="91">
        <v>0</v>
      </c>
      <c r="V107" s="91">
        <v>9.9999999999997868E-3</v>
      </c>
      <c r="W107" s="91">
        <v>0</v>
      </c>
      <c r="X107" s="91">
        <v>0</v>
      </c>
      <c r="Y107" s="91">
        <v>0</v>
      </c>
      <c r="Z107" s="91">
        <v>9.9999999999997868E-3</v>
      </c>
      <c r="AA107" s="88">
        <v>0</v>
      </c>
      <c r="AB107" s="88">
        <v>0</v>
      </c>
      <c r="AC107" s="91">
        <v>0</v>
      </c>
      <c r="AD107" s="91">
        <v>0</v>
      </c>
      <c r="AE107" s="92">
        <v>2.2488999999999999E-3</v>
      </c>
      <c r="AF107" s="92">
        <v>2.2520000000000001E-3</v>
      </c>
      <c r="AG107" s="92">
        <v>0</v>
      </c>
      <c r="AH107" s="92">
        <v>2.2488999999999999E-3</v>
      </c>
      <c r="AI107" s="92">
        <v>2.2520000000000001E-3</v>
      </c>
      <c r="AJ107" s="92">
        <v>2.2504500000000002E-3</v>
      </c>
      <c r="AK107" s="92">
        <v>0.99998750698772421</v>
      </c>
      <c r="AL107" s="92">
        <v>0.99935276622479119</v>
      </c>
      <c r="AM107" s="92">
        <v>1</v>
      </c>
      <c r="AN107" s="92">
        <v>1.0006286540516753</v>
      </c>
      <c r="AO107" s="92">
        <v>4.9999999999999996E-2</v>
      </c>
      <c r="AP107" s="92">
        <v>5.0031432702583763E-2</v>
      </c>
      <c r="AQ107" s="88">
        <v>1</v>
      </c>
      <c r="AR107" s="88">
        <v>1</v>
      </c>
      <c r="AS107" s="91">
        <v>0</v>
      </c>
      <c r="AT107" s="91">
        <v>0</v>
      </c>
      <c r="AU107" s="91">
        <v>0</v>
      </c>
      <c r="AV107" s="91">
        <v>0</v>
      </c>
      <c r="AW107" s="91">
        <v>0</v>
      </c>
      <c r="AX107" s="91">
        <v>0</v>
      </c>
      <c r="AY107" s="91">
        <v>0</v>
      </c>
      <c r="AZ107" s="91">
        <v>0</v>
      </c>
      <c r="BA107" s="91">
        <v>0</v>
      </c>
      <c r="BB107" s="91">
        <v>0</v>
      </c>
      <c r="BC107" s="91">
        <v>0</v>
      </c>
      <c r="BD107" s="91">
        <v>0</v>
      </c>
      <c r="BE107" s="91">
        <v>15.885</v>
      </c>
      <c r="BF107" s="91">
        <v>15.917</v>
      </c>
      <c r="BG107" s="88">
        <v>0</v>
      </c>
      <c r="BH107"/>
      <c r="BI107"/>
      <c r="BJ107"/>
      <c r="BK107"/>
      <c r="BL107"/>
      <c r="BM107"/>
      <c r="BN107"/>
      <c r="BO107"/>
      <c r="BP107"/>
      <c r="BQ107"/>
    </row>
    <row r="108" spans="1:69">
      <c r="A108" s="88">
        <v>10354</v>
      </c>
      <c r="B108" s="88" t="s">
        <v>112</v>
      </c>
      <c r="C108" s="88">
        <v>1</v>
      </c>
      <c r="D108" s="88">
        <v>0</v>
      </c>
      <c r="E108" s="91">
        <v>810.99</v>
      </c>
      <c r="F108" s="91">
        <v>770.327</v>
      </c>
      <c r="G108" s="91">
        <v>770.10500000000002</v>
      </c>
      <c r="H108" s="91">
        <v>0</v>
      </c>
      <c r="I108" s="91">
        <v>0</v>
      </c>
      <c r="J108" s="91">
        <v>30.841999999999999</v>
      </c>
      <c r="K108" s="91">
        <v>30.827999999999999</v>
      </c>
      <c r="L108" s="90">
        <v>270916.12799999997</v>
      </c>
      <c r="M108" s="90">
        <v>270053.27999999997</v>
      </c>
      <c r="N108" s="91">
        <v>739.48500000000001</v>
      </c>
      <c r="O108" s="91">
        <v>739.27700000000004</v>
      </c>
      <c r="P108" s="90">
        <v>6495636.2400000002</v>
      </c>
      <c r="Q108" s="90">
        <v>6476066.5200000005</v>
      </c>
      <c r="R108" s="88">
        <v>799.07</v>
      </c>
      <c r="S108" s="90">
        <v>7019030.8800000008</v>
      </c>
      <c r="T108" s="90">
        <v>6999853.2000000002</v>
      </c>
      <c r="U108" s="91">
        <v>0</v>
      </c>
      <c r="V108" s="91">
        <v>0</v>
      </c>
      <c r="W108" s="91">
        <v>0</v>
      </c>
      <c r="X108" s="91">
        <v>0</v>
      </c>
      <c r="Y108" s="91">
        <v>0</v>
      </c>
      <c r="Z108" s="91">
        <v>0</v>
      </c>
      <c r="AA108" s="88">
        <v>0</v>
      </c>
      <c r="AB108" s="88">
        <v>0</v>
      </c>
      <c r="AC108" s="91">
        <v>0</v>
      </c>
      <c r="AD108" s="91">
        <v>0</v>
      </c>
      <c r="AE108" s="92">
        <v>0.10469299999999999</v>
      </c>
      <c r="AF108" s="92">
        <v>0.10466350000000001</v>
      </c>
      <c r="AG108" s="92">
        <v>5.4352200000000003E-2</v>
      </c>
      <c r="AH108" s="92">
        <v>5.0340799999999991E-2</v>
      </c>
      <c r="AI108" s="92">
        <v>5.0311300000000003E-2</v>
      </c>
      <c r="AJ108" s="92">
        <v>5.0326049999999997E-2</v>
      </c>
      <c r="AK108" s="92">
        <v>1</v>
      </c>
      <c r="AL108" s="92">
        <v>0.99999965185878381</v>
      </c>
      <c r="AM108" s="92">
        <v>1</v>
      </c>
      <c r="AN108" s="92">
        <v>1</v>
      </c>
      <c r="AO108" s="92">
        <v>0</v>
      </c>
      <c r="AP108" s="92">
        <v>0</v>
      </c>
      <c r="AQ108" s="88">
        <v>4</v>
      </c>
      <c r="AR108" s="88">
        <v>4</v>
      </c>
      <c r="AS108" s="91">
        <v>0</v>
      </c>
      <c r="AT108" s="91">
        <v>0</v>
      </c>
      <c r="AU108" s="91">
        <v>0</v>
      </c>
      <c r="AV108" s="91">
        <v>0</v>
      </c>
      <c r="AW108" s="91">
        <v>1.367</v>
      </c>
      <c r="AX108" s="91">
        <v>1.369</v>
      </c>
      <c r="AY108" s="91">
        <v>-1.367</v>
      </c>
      <c r="AZ108" s="91">
        <v>-1.369</v>
      </c>
      <c r="BA108" s="91">
        <v>0</v>
      </c>
      <c r="BB108" s="91">
        <v>0</v>
      </c>
      <c r="BC108" s="91">
        <v>0</v>
      </c>
      <c r="BD108" s="91">
        <v>0</v>
      </c>
      <c r="BE108" s="91">
        <v>739.48500000000001</v>
      </c>
      <c r="BF108" s="91">
        <v>739.27700000000004</v>
      </c>
      <c r="BG108" s="88">
        <v>0</v>
      </c>
      <c r="BH108"/>
      <c r="BI108"/>
      <c r="BJ108"/>
      <c r="BK108"/>
      <c r="BL108"/>
      <c r="BM108"/>
      <c r="BN108"/>
      <c r="BO108"/>
      <c r="BP108"/>
      <c r="BQ108"/>
    </row>
    <row r="109" spans="1:69">
      <c r="A109" s="88">
        <v>10360</v>
      </c>
      <c r="B109" s="88" t="s">
        <v>113</v>
      </c>
      <c r="C109" s="88">
        <v>1</v>
      </c>
      <c r="D109" s="88">
        <v>0</v>
      </c>
      <c r="E109" s="91">
        <v>6.8659999999999997</v>
      </c>
      <c r="F109" s="91">
        <v>7.6630000000000003</v>
      </c>
      <c r="G109" s="91">
        <v>7.7610000000000001</v>
      </c>
      <c r="H109" s="91">
        <v>0</v>
      </c>
      <c r="I109" s="91">
        <v>0</v>
      </c>
      <c r="J109" s="91">
        <v>0</v>
      </c>
      <c r="K109" s="91">
        <v>0</v>
      </c>
      <c r="L109" s="90">
        <v>0</v>
      </c>
      <c r="M109" s="90">
        <v>0</v>
      </c>
      <c r="N109" s="91">
        <v>7.6630000000000003</v>
      </c>
      <c r="O109" s="91">
        <v>7.7610000000000001</v>
      </c>
      <c r="P109" s="90">
        <v>67311.792000000001</v>
      </c>
      <c r="Q109" s="90">
        <v>67986.36</v>
      </c>
      <c r="R109" s="88">
        <v>6.7649999999999997</v>
      </c>
      <c r="S109" s="90">
        <v>59423.759999999995</v>
      </c>
      <c r="T109" s="90">
        <v>59261.399999999994</v>
      </c>
      <c r="U109" s="91">
        <v>0.89800000000000002</v>
      </c>
      <c r="V109" s="91">
        <v>0.996</v>
      </c>
      <c r="W109" s="91">
        <v>0</v>
      </c>
      <c r="X109" s="91">
        <v>0</v>
      </c>
      <c r="Y109" s="91">
        <v>0.89800000000000002</v>
      </c>
      <c r="Z109" s="91">
        <v>0.996</v>
      </c>
      <c r="AA109" s="88">
        <v>0</v>
      </c>
      <c r="AB109" s="88">
        <v>0</v>
      </c>
      <c r="AC109" s="91">
        <v>0</v>
      </c>
      <c r="AD109" s="91">
        <v>0</v>
      </c>
      <c r="AE109" s="92">
        <v>9.5779999999999997E-4</v>
      </c>
      <c r="AF109" s="92">
        <v>9.5779999999999997E-4</v>
      </c>
      <c r="AG109" s="92">
        <v>0</v>
      </c>
      <c r="AH109" s="92">
        <v>9.5779999999999997E-4</v>
      </c>
      <c r="AI109" s="92">
        <v>9.5779999999999997E-4</v>
      </c>
      <c r="AJ109" s="92">
        <v>9.5779999999999997E-4</v>
      </c>
      <c r="AK109" s="92">
        <v>0.88285149380138317</v>
      </c>
      <c r="AL109" s="92">
        <v>0.8717035172013915</v>
      </c>
      <c r="AM109" s="92">
        <v>1.1327420546932743</v>
      </c>
      <c r="AN109" s="92">
        <v>1.1472283813747228</v>
      </c>
      <c r="AO109" s="92">
        <v>5.0973392461197344E-2</v>
      </c>
      <c r="AP109" s="92">
        <v>5.1625277161862528E-2</v>
      </c>
      <c r="AQ109" s="88">
        <v>1</v>
      </c>
      <c r="AR109" s="88">
        <v>1</v>
      </c>
      <c r="AS109" s="91">
        <v>0</v>
      </c>
      <c r="AT109" s="91">
        <v>0</v>
      </c>
      <c r="AU109" s="91">
        <v>0</v>
      </c>
      <c r="AV109" s="91">
        <v>0</v>
      </c>
      <c r="AW109" s="91">
        <v>0</v>
      </c>
      <c r="AX109" s="91">
        <v>0</v>
      </c>
      <c r="AY109" s="91">
        <v>0</v>
      </c>
      <c r="AZ109" s="91">
        <v>0</v>
      </c>
      <c r="BA109" s="91">
        <v>0</v>
      </c>
      <c r="BB109" s="91">
        <v>0</v>
      </c>
      <c r="BC109" s="91">
        <v>0</v>
      </c>
      <c r="BD109" s="91">
        <v>0</v>
      </c>
      <c r="BE109" s="91">
        <v>7.6630000000000003</v>
      </c>
      <c r="BF109" s="91">
        <v>7.7610000000000001</v>
      </c>
      <c r="BG109" s="88">
        <v>0</v>
      </c>
      <c r="BH109"/>
      <c r="BI109"/>
      <c r="BJ109"/>
      <c r="BK109"/>
      <c r="BL109"/>
      <c r="BM109"/>
      <c r="BN109"/>
      <c r="BO109"/>
      <c r="BP109"/>
      <c r="BQ109"/>
    </row>
    <row r="110" spans="1:69">
      <c r="A110" s="88">
        <v>10363</v>
      </c>
      <c r="B110" s="88" t="s">
        <v>114</v>
      </c>
      <c r="C110" s="88">
        <v>1</v>
      </c>
      <c r="D110" s="88">
        <v>0</v>
      </c>
      <c r="E110" s="91">
        <v>102.208</v>
      </c>
      <c r="F110" s="91">
        <v>91.05</v>
      </c>
      <c r="G110" s="91">
        <v>91.234999999999999</v>
      </c>
      <c r="H110" s="91">
        <v>0</v>
      </c>
      <c r="I110" s="91">
        <v>0</v>
      </c>
      <c r="J110" s="91">
        <v>0</v>
      </c>
      <c r="K110" s="91">
        <v>0</v>
      </c>
      <c r="L110" s="90">
        <v>0</v>
      </c>
      <c r="M110" s="90">
        <v>0</v>
      </c>
      <c r="N110" s="91">
        <v>91.05</v>
      </c>
      <c r="O110" s="91">
        <v>91.234999999999999</v>
      </c>
      <c r="P110" s="90">
        <v>799783.2</v>
      </c>
      <c r="Q110" s="90">
        <v>799218.6</v>
      </c>
      <c r="R110" s="88">
        <v>100.706</v>
      </c>
      <c r="S110" s="90">
        <v>884601.50400000007</v>
      </c>
      <c r="T110" s="90">
        <v>882184.56</v>
      </c>
      <c r="U110" s="91">
        <v>0</v>
      </c>
      <c r="V110" s="91">
        <v>0</v>
      </c>
      <c r="W110" s="91">
        <v>0</v>
      </c>
      <c r="X110" s="91">
        <v>0</v>
      </c>
      <c r="Y110" s="91">
        <v>0</v>
      </c>
      <c r="Z110" s="91">
        <v>0</v>
      </c>
      <c r="AA110" s="88">
        <v>0</v>
      </c>
      <c r="AB110" s="88">
        <v>0</v>
      </c>
      <c r="AC110" s="91">
        <v>0</v>
      </c>
      <c r="AD110" s="91">
        <v>0</v>
      </c>
      <c r="AE110" s="92">
        <v>1.2890499999999999E-2</v>
      </c>
      <c r="AF110" s="92">
        <v>1.29166E-2</v>
      </c>
      <c r="AG110" s="92">
        <v>0</v>
      </c>
      <c r="AH110" s="92">
        <v>1.2890499999999999E-2</v>
      </c>
      <c r="AI110" s="92">
        <v>1.29166E-2</v>
      </c>
      <c r="AJ110" s="92">
        <v>1.290355E-2</v>
      </c>
      <c r="AK110" s="92">
        <v>1</v>
      </c>
      <c r="AL110" s="92">
        <v>0.99999627729489782</v>
      </c>
      <c r="AM110" s="92">
        <v>1</v>
      </c>
      <c r="AN110" s="92">
        <v>1</v>
      </c>
      <c r="AO110" s="92">
        <v>0</v>
      </c>
      <c r="AP110" s="92">
        <v>0</v>
      </c>
      <c r="AQ110" s="88">
        <v>1</v>
      </c>
      <c r="AR110" s="88">
        <v>3</v>
      </c>
      <c r="AS110" s="91">
        <v>0</v>
      </c>
      <c r="AT110" s="91">
        <v>0</v>
      </c>
      <c r="AU110" s="91">
        <v>0</v>
      </c>
      <c r="AV110" s="91">
        <v>0</v>
      </c>
      <c r="AW110" s="91">
        <v>0</v>
      </c>
      <c r="AX110" s="91">
        <v>0</v>
      </c>
      <c r="AY110" s="91">
        <v>0</v>
      </c>
      <c r="AZ110" s="91">
        <v>0</v>
      </c>
      <c r="BA110" s="91">
        <v>0</v>
      </c>
      <c r="BB110" s="91">
        <v>0</v>
      </c>
      <c r="BC110" s="91">
        <v>0</v>
      </c>
      <c r="BD110" s="91">
        <v>0</v>
      </c>
      <c r="BE110" s="91">
        <v>91.05</v>
      </c>
      <c r="BF110" s="91">
        <v>91.234999999999999</v>
      </c>
      <c r="BG110" s="88">
        <v>0</v>
      </c>
      <c r="BH110"/>
      <c r="BI110"/>
      <c r="BJ110"/>
      <c r="BK110"/>
      <c r="BL110"/>
      <c r="BM110"/>
      <c r="BN110"/>
      <c r="BO110"/>
      <c r="BP110"/>
      <c r="BQ110"/>
    </row>
    <row r="111" spans="1:69">
      <c r="A111" s="88">
        <v>10369</v>
      </c>
      <c r="B111" s="88" t="s">
        <v>115</v>
      </c>
      <c r="C111" s="88">
        <v>1</v>
      </c>
      <c r="D111" s="88">
        <v>0</v>
      </c>
      <c r="E111" s="91">
        <v>16.677</v>
      </c>
      <c r="F111" s="91">
        <v>18.376999999999999</v>
      </c>
      <c r="G111" s="91">
        <v>18.393999999999998</v>
      </c>
      <c r="H111" s="91">
        <v>0</v>
      </c>
      <c r="I111" s="91">
        <v>0</v>
      </c>
      <c r="J111" s="91">
        <v>0</v>
      </c>
      <c r="K111" s="91">
        <v>0</v>
      </c>
      <c r="L111" s="90">
        <v>0</v>
      </c>
      <c r="M111" s="90">
        <v>0</v>
      </c>
      <c r="N111" s="91">
        <v>18.376999999999999</v>
      </c>
      <c r="O111" s="91">
        <v>18.393999999999998</v>
      </c>
      <c r="P111" s="90">
        <v>161423.568</v>
      </c>
      <c r="Q111" s="90">
        <v>161131.43999999997</v>
      </c>
      <c r="R111" s="88">
        <v>16.431999999999999</v>
      </c>
      <c r="S111" s="90">
        <v>144338.68799999999</v>
      </c>
      <c r="T111" s="90">
        <v>143944.31999999998</v>
      </c>
      <c r="U111" s="91">
        <v>1.9450000000000001</v>
      </c>
      <c r="V111" s="91">
        <v>1.962</v>
      </c>
      <c r="W111" s="91">
        <v>1.9450000000000001</v>
      </c>
      <c r="X111" s="91">
        <v>1.962</v>
      </c>
      <c r="Y111" s="91">
        <v>0</v>
      </c>
      <c r="Z111" s="91">
        <v>0</v>
      </c>
      <c r="AA111" s="88">
        <v>0</v>
      </c>
      <c r="AB111" s="88">
        <v>0</v>
      </c>
      <c r="AC111" s="91">
        <v>1.9450000000000001</v>
      </c>
      <c r="AD111" s="91">
        <v>1.962</v>
      </c>
      <c r="AE111" s="92">
        <v>2.3264000000000002E-3</v>
      </c>
      <c r="AF111" s="92">
        <v>2.3264000000000002E-3</v>
      </c>
      <c r="AG111" s="92">
        <v>0</v>
      </c>
      <c r="AH111" s="92">
        <v>2.3264000000000002E-3</v>
      </c>
      <c r="AI111" s="92">
        <v>2.3264000000000002E-3</v>
      </c>
      <c r="AJ111" s="92">
        <v>2.3264000000000002E-3</v>
      </c>
      <c r="AK111" s="92">
        <v>0.89417273417859278</v>
      </c>
      <c r="AL111" s="92">
        <v>0.89334632684571058</v>
      </c>
      <c r="AM111" s="92">
        <v>1.1183666017526777</v>
      </c>
      <c r="AN111" s="92">
        <v>1.1194011684518013</v>
      </c>
      <c r="AO111" s="92">
        <v>7.8285662122687449E-2</v>
      </c>
      <c r="AP111" s="92">
        <v>7.8358081791626094E-2</v>
      </c>
      <c r="AQ111" s="88">
        <v>1</v>
      </c>
      <c r="AR111" s="88">
        <v>3</v>
      </c>
      <c r="AS111" s="91">
        <v>0</v>
      </c>
      <c r="AT111" s="91">
        <v>0</v>
      </c>
      <c r="AU111" s="91">
        <v>1.9450000000000001</v>
      </c>
      <c r="AV111" s="91">
        <v>1.962</v>
      </c>
      <c r="AW111" s="91">
        <v>0</v>
      </c>
      <c r="AX111" s="91">
        <v>0</v>
      </c>
      <c r="AY111" s="91">
        <v>0</v>
      </c>
      <c r="AZ111" s="91">
        <v>0</v>
      </c>
      <c r="BA111" s="91">
        <v>0</v>
      </c>
      <c r="BB111" s="91">
        <v>0</v>
      </c>
      <c r="BC111" s="91">
        <v>0</v>
      </c>
      <c r="BD111" s="91">
        <v>0</v>
      </c>
      <c r="BE111" s="91">
        <v>18.376999999999999</v>
      </c>
      <c r="BF111" s="91">
        <v>18.393999999999998</v>
      </c>
      <c r="BG111" s="88">
        <v>1</v>
      </c>
      <c r="BH111"/>
      <c r="BI111"/>
      <c r="BJ111"/>
      <c r="BK111"/>
      <c r="BL111"/>
      <c r="BM111"/>
      <c r="BN111"/>
      <c r="BO111"/>
      <c r="BP111"/>
      <c r="BQ111"/>
    </row>
    <row r="112" spans="1:69">
      <c r="A112" s="88">
        <v>10370</v>
      </c>
      <c r="B112" s="88" t="s">
        <v>116</v>
      </c>
      <c r="C112" s="88">
        <v>1</v>
      </c>
      <c r="D112" s="88">
        <v>0</v>
      </c>
      <c r="E112" s="91">
        <v>408.39299999999997</v>
      </c>
      <c r="F112" s="91">
        <v>547.30700000000002</v>
      </c>
      <c r="G112" s="91">
        <v>545.65499999999997</v>
      </c>
      <c r="H112" s="91">
        <v>0</v>
      </c>
      <c r="I112" s="91">
        <v>0</v>
      </c>
      <c r="J112" s="91">
        <v>178.47900000000001</v>
      </c>
      <c r="K112" s="91">
        <v>178.43</v>
      </c>
      <c r="L112" s="90">
        <v>1567759.5360000001</v>
      </c>
      <c r="M112" s="90">
        <v>1563046.8</v>
      </c>
      <c r="N112" s="91">
        <v>368.82799999999997</v>
      </c>
      <c r="O112" s="91">
        <v>367.22500000000002</v>
      </c>
      <c r="P112" s="90">
        <v>3239785.1519999998</v>
      </c>
      <c r="Q112" s="90">
        <v>3216891</v>
      </c>
      <c r="R112" s="88">
        <v>402.39</v>
      </c>
      <c r="S112" s="90">
        <v>3534593.76</v>
      </c>
      <c r="T112" s="90">
        <v>3524936.4</v>
      </c>
      <c r="U112" s="91">
        <v>0</v>
      </c>
      <c r="V112" s="91">
        <v>0</v>
      </c>
      <c r="W112" s="91">
        <v>0</v>
      </c>
      <c r="X112" s="91">
        <v>0</v>
      </c>
      <c r="Y112" s="91">
        <v>0</v>
      </c>
      <c r="Z112" s="91">
        <v>0</v>
      </c>
      <c r="AA112" s="88">
        <v>0</v>
      </c>
      <c r="AB112" s="88">
        <v>0</v>
      </c>
      <c r="AC112" s="91">
        <v>0</v>
      </c>
      <c r="AD112" s="91">
        <v>0</v>
      </c>
      <c r="AE112" s="92">
        <v>5.2217E-2</v>
      </c>
      <c r="AF112" s="92">
        <v>5.1990099999999997E-2</v>
      </c>
      <c r="AG112" s="92">
        <v>2.9604800000000001E-2</v>
      </c>
      <c r="AH112" s="92">
        <v>2.2612199999999999E-2</v>
      </c>
      <c r="AI112" s="92">
        <v>2.2385299999999997E-2</v>
      </c>
      <c r="AJ112" s="92">
        <v>2.2498749999999998E-2</v>
      </c>
      <c r="AK112" s="92">
        <v>0.99999950704997376</v>
      </c>
      <c r="AL112" s="92">
        <v>1</v>
      </c>
      <c r="AM112" s="92">
        <v>1</v>
      </c>
      <c r="AN112" s="92">
        <v>1</v>
      </c>
      <c r="AO112" s="92">
        <v>0</v>
      </c>
      <c r="AP112" s="92">
        <v>0</v>
      </c>
      <c r="AQ112" s="88">
        <v>4</v>
      </c>
      <c r="AR112" s="88">
        <v>4</v>
      </c>
      <c r="AS112" s="91">
        <v>0</v>
      </c>
      <c r="AT112" s="91">
        <v>0</v>
      </c>
      <c r="AU112" s="91">
        <v>0</v>
      </c>
      <c r="AV112" s="91">
        <v>0</v>
      </c>
      <c r="AW112" s="91">
        <v>29.004000000000001</v>
      </c>
      <c r="AX112" s="91">
        <v>10.223000000000001</v>
      </c>
      <c r="AY112" s="91">
        <v>-29.004000000000001</v>
      </c>
      <c r="AZ112" s="91">
        <v>-10.223000000000001</v>
      </c>
      <c r="BA112" s="91">
        <v>0</v>
      </c>
      <c r="BB112" s="91">
        <v>0</v>
      </c>
      <c r="BC112" s="91">
        <v>0</v>
      </c>
      <c r="BD112" s="91">
        <v>0</v>
      </c>
      <c r="BE112" s="91">
        <v>368.82799999999997</v>
      </c>
      <c r="BF112" s="91">
        <v>367.22500000000002</v>
      </c>
      <c r="BG112" s="88">
        <v>0</v>
      </c>
      <c r="BH112"/>
      <c r="BI112"/>
      <c r="BJ112"/>
      <c r="BK112"/>
      <c r="BL112"/>
      <c r="BM112"/>
      <c r="BN112"/>
      <c r="BO112"/>
      <c r="BP112"/>
      <c r="BQ112"/>
    </row>
    <row r="113" spans="1:69">
      <c r="A113" s="88">
        <v>10371</v>
      </c>
      <c r="B113" s="88" t="s">
        <v>117</v>
      </c>
      <c r="C113" s="88">
        <v>1</v>
      </c>
      <c r="D113" s="88">
        <v>0</v>
      </c>
      <c r="E113" s="91">
        <v>11.196999999999999</v>
      </c>
      <c r="F113" s="91">
        <v>11.535</v>
      </c>
      <c r="G113" s="91">
        <v>11.568</v>
      </c>
      <c r="H113" s="91">
        <v>0</v>
      </c>
      <c r="I113" s="91">
        <v>0</v>
      </c>
      <c r="J113" s="91">
        <v>0</v>
      </c>
      <c r="K113" s="91">
        <v>0</v>
      </c>
      <c r="L113" s="90">
        <v>0</v>
      </c>
      <c r="M113" s="90">
        <v>0</v>
      </c>
      <c r="N113" s="91">
        <v>11.535</v>
      </c>
      <c r="O113" s="91">
        <v>11.568</v>
      </c>
      <c r="P113" s="90">
        <v>101323.44</v>
      </c>
      <c r="Q113" s="90">
        <v>101335.67999999999</v>
      </c>
      <c r="R113" s="88">
        <v>11.032</v>
      </c>
      <c r="S113" s="90">
        <v>96905.088000000003</v>
      </c>
      <c r="T113" s="90">
        <v>96640.320000000007</v>
      </c>
      <c r="U113" s="91">
        <v>0.503</v>
      </c>
      <c r="V113" s="91">
        <v>0.53600000000000003</v>
      </c>
      <c r="W113" s="91">
        <v>0</v>
      </c>
      <c r="X113" s="91">
        <v>0</v>
      </c>
      <c r="Y113" s="91">
        <v>0.503</v>
      </c>
      <c r="Z113" s="91">
        <v>0.53600000000000003</v>
      </c>
      <c r="AA113" s="88">
        <v>0</v>
      </c>
      <c r="AB113" s="88">
        <v>0</v>
      </c>
      <c r="AC113" s="91">
        <v>0</v>
      </c>
      <c r="AD113" s="91">
        <v>0</v>
      </c>
      <c r="AE113" s="92">
        <v>1.5619E-3</v>
      </c>
      <c r="AF113" s="92">
        <v>1.5619E-3</v>
      </c>
      <c r="AG113" s="92">
        <v>0</v>
      </c>
      <c r="AH113" s="92">
        <v>1.5619E-3</v>
      </c>
      <c r="AI113" s="92">
        <v>1.5619E-3</v>
      </c>
      <c r="AJ113" s="92">
        <v>1.5619E-3</v>
      </c>
      <c r="AK113" s="92">
        <v>0.95641697386215863</v>
      </c>
      <c r="AL113" s="92">
        <v>0.95368860593879667</v>
      </c>
      <c r="AM113" s="92">
        <v>1.0455946337926034</v>
      </c>
      <c r="AN113" s="92">
        <v>1.0485859318346629</v>
      </c>
      <c r="AO113" s="92">
        <v>0</v>
      </c>
      <c r="AP113" s="92">
        <v>0</v>
      </c>
      <c r="AQ113" s="88">
        <v>3</v>
      </c>
      <c r="AR113" s="88">
        <v>3</v>
      </c>
      <c r="AS113" s="91">
        <v>10</v>
      </c>
      <c r="AT113" s="91">
        <v>0</v>
      </c>
      <c r="AU113" s="91">
        <v>0</v>
      </c>
      <c r="AV113" s="91">
        <v>0</v>
      </c>
      <c r="AW113" s="91">
        <v>0</v>
      </c>
      <c r="AX113" s="91">
        <v>0</v>
      </c>
      <c r="AY113" s="91">
        <v>0</v>
      </c>
      <c r="AZ113" s="91">
        <v>0</v>
      </c>
      <c r="BA113" s="91">
        <v>0</v>
      </c>
      <c r="BB113" s="91">
        <v>0</v>
      </c>
      <c r="BC113" s="91">
        <v>0</v>
      </c>
      <c r="BD113" s="91">
        <v>0</v>
      </c>
      <c r="BE113" s="91">
        <v>11.535</v>
      </c>
      <c r="BF113" s="91">
        <v>11.568</v>
      </c>
      <c r="BG113" s="88">
        <v>1</v>
      </c>
      <c r="BH113"/>
      <c r="BI113"/>
      <c r="BJ113"/>
      <c r="BK113"/>
      <c r="BL113"/>
      <c r="BM113"/>
      <c r="BN113"/>
      <c r="BO113"/>
      <c r="BP113"/>
      <c r="BQ113"/>
    </row>
    <row r="114" spans="1:69">
      <c r="A114" s="88">
        <v>10376</v>
      </c>
      <c r="B114" s="88" t="s">
        <v>118</v>
      </c>
      <c r="C114" s="88">
        <v>1</v>
      </c>
      <c r="D114" s="88">
        <v>0</v>
      </c>
      <c r="E114" s="91">
        <v>56.865000000000002</v>
      </c>
      <c r="F114" s="91">
        <v>56.807000000000002</v>
      </c>
      <c r="G114" s="91">
        <v>56.825000000000003</v>
      </c>
      <c r="H114" s="91">
        <v>0</v>
      </c>
      <c r="I114" s="91">
        <v>0</v>
      </c>
      <c r="J114" s="91">
        <v>0.85</v>
      </c>
      <c r="K114" s="91">
        <v>0.69699999999999995</v>
      </c>
      <c r="L114" s="90">
        <v>7466.4</v>
      </c>
      <c r="M114" s="90">
        <v>6105.7199999999993</v>
      </c>
      <c r="N114" s="91">
        <v>56.11</v>
      </c>
      <c r="O114" s="91">
        <v>56.128</v>
      </c>
      <c r="P114" s="90">
        <v>492870.24</v>
      </c>
      <c r="Q114" s="90">
        <v>491681.28000000003</v>
      </c>
      <c r="R114" s="88">
        <v>56.029000000000003</v>
      </c>
      <c r="S114" s="90">
        <v>492158.73600000003</v>
      </c>
      <c r="T114" s="90">
        <v>490814.04000000004</v>
      </c>
      <c r="U114" s="91">
        <v>8.1000000000000003E-2</v>
      </c>
      <c r="V114" s="91">
        <v>9.9000000000000005E-2</v>
      </c>
      <c r="W114" s="91">
        <v>0</v>
      </c>
      <c r="X114" s="91">
        <v>0</v>
      </c>
      <c r="Y114" s="91">
        <v>8.1000000000000003E-2</v>
      </c>
      <c r="Z114" s="91">
        <v>9.9000000000000005E-2</v>
      </c>
      <c r="AA114" s="88">
        <v>0</v>
      </c>
      <c r="AB114" s="88">
        <v>0</v>
      </c>
      <c r="AC114" s="91">
        <v>0</v>
      </c>
      <c r="AD114" s="91">
        <v>0</v>
      </c>
      <c r="AE114" s="92">
        <v>7.9322999999999998E-3</v>
      </c>
      <c r="AF114" s="92">
        <v>7.9322999999999998E-3</v>
      </c>
      <c r="AG114" s="92">
        <v>0</v>
      </c>
      <c r="AH114" s="92">
        <v>7.9322999999999998E-3</v>
      </c>
      <c r="AI114" s="92">
        <v>7.9322999999999998E-3</v>
      </c>
      <c r="AJ114" s="92">
        <v>7.9322999999999998E-3</v>
      </c>
      <c r="AK114" s="92">
        <v>0.99856936978717403</v>
      </c>
      <c r="AL114" s="92">
        <v>0.9982530609678838</v>
      </c>
      <c r="AM114" s="92">
        <v>1.0014456799157578</v>
      </c>
      <c r="AN114" s="92">
        <v>1.0017669421192597</v>
      </c>
      <c r="AO114" s="92">
        <v>0</v>
      </c>
      <c r="AP114" s="92">
        <v>0</v>
      </c>
      <c r="AQ114" s="88">
        <v>1</v>
      </c>
      <c r="AR114" s="88">
        <v>3</v>
      </c>
      <c r="AS114" s="91">
        <v>0</v>
      </c>
      <c r="AT114" s="91">
        <v>0</v>
      </c>
      <c r="AU114" s="91">
        <v>0</v>
      </c>
      <c r="AV114" s="91">
        <v>0</v>
      </c>
      <c r="AW114" s="91">
        <v>0</v>
      </c>
      <c r="AX114" s="91">
        <v>0</v>
      </c>
      <c r="AY114" s="91">
        <v>0</v>
      </c>
      <c r="AZ114" s="91">
        <v>0</v>
      </c>
      <c r="BA114" s="91">
        <v>0</v>
      </c>
      <c r="BB114" s="91">
        <v>0</v>
      </c>
      <c r="BC114" s="91">
        <v>0</v>
      </c>
      <c r="BD114" s="91">
        <v>0</v>
      </c>
      <c r="BE114" s="91">
        <v>56.11</v>
      </c>
      <c r="BF114" s="91">
        <v>56.128</v>
      </c>
      <c r="BG114" s="88">
        <v>1</v>
      </c>
      <c r="BH114"/>
      <c r="BI114"/>
      <c r="BJ114"/>
      <c r="BK114"/>
      <c r="BL114"/>
      <c r="BM114"/>
      <c r="BN114"/>
      <c r="BO114"/>
      <c r="BP114"/>
      <c r="BQ114"/>
    </row>
    <row r="115" spans="1:69">
      <c r="A115" s="88">
        <v>10378</v>
      </c>
      <c r="B115" s="88" t="s">
        <v>119</v>
      </c>
      <c r="C115" s="88">
        <v>1</v>
      </c>
      <c r="D115" s="88">
        <v>0</v>
      </c>
      <c r="E115" s="91">
        <v>2.0510000000000002</v>
      </c>
      <c r="F115" s="91">
        <v>2.0350000000000001</v>
      </c>
      <c r="G115" s="91">
        <v>2.0430000000000001</v>
      </c>
      <c r="H115" s="91">
        <v>0</v>
      </c>
      <c r="I115" s="91">
        <v>0</v>
      </c>
      <c r="J115" s="91">
        <v>0</v>
      </c>
      <c r="K115" s="91">
        <v>0</v>
      </c>
      <c r="L115" s="90">
        <v>0</v>
      </c>
      <c r="M115" s="90">
        <v>0</v>
      </c>
      <c r="N115" s="91">
        <v>2.0350000000000001</v>
      </c>
      <c r="O115" s="91">
        <v>2.0430000000000001</v>
      </c>
      <c r="P115" s="90">
        <v>17875.440000000002</v>
      </c>
      <c r="Q115" s="90">
        <v>17896.68</v>
      </c>
      <c r="R115" s="88">
        <v>2.0209999999999999</v>
      </c>
      <c r="S115" s="90">
        <v>17752.464</v>
      </c>
      <c r="T115" s="90">
        <v>17703.96</v>
      </c>
      <c r="U115" s="91">
        <v>1.4E-2</v>
      </c>
      <c r="V115" s="91">
        <v>2.1999999999999999E-2</v>
      </c>
      <c r="W115" s="91">
        <v>0</v>
      </c>
      <c r="X115" s="91">
        <v>0</v>
      </c>
      <c r="Y115" s="91">
        <v>1.4E-2</v>
      </c>
      <c r="Z115" s="91">
        <v>2.1999999999999999E-2</v>
      </c>
      <c r="AA115" s="88">
        <v>0</v>
      </c>
      <c r="AB115" s="88">
        <v>0</v>
      </c>
      <c r="AC115" s="91">
        <v>0</v>
      </c>
      <c r="AD115" s="91">
        <v>0</v>
      </c>
      <c r="AE115" s="92">
        <v>2.8610000000000002E-4</v>
      </c>
      <c r="AF115" s="92">
        <v>2.8610000000000002E-4</v>
      </c>
      <c r="AG115" s="92">
        <v>0</v>
      </c>
      <c r="AH115" s="92">
        <v>2.8610000000000002E-4</v>
      </c>
      <c r="AI115" s="92">
        <v>2.8610000000000002E-4</v>
      </c>
      <c r="AJ115" s="92">
        <v>2.8610000000000002E-4</v>
      </c>
      <c r="AK115" s="92">
        <v>0.99303622923832913</v>
      </c>
      <c r="AL115" s="92">
        <v>0.98914768795888397</v>
      </c>
      <c r="AM115" s="92">
        <v>1.0069272637308264</v>
      </c>
      <c r="AN115" s="92">
        <v>1.0108857001484415</v>
      </c>
      <c r="AO115" s="92">
        <v>0</v>
      </c>
      <c r="AP115" s="92">
        <v>0</v>
      </c>
      <c r="AQ115" s="88">
        <v>1</v>
      </c>
      <c r="AR115" s="88">
        <v>1</v>
      </c>
      <c r="AS115" s="91">
        <v>0</v>
      </c>
      <c r="AT115" s="91">
        <v>0</v>
      </c>
      <c r="AU115" s="91">
        <v>0</v>
      </c>
      <c r="AV115" s="91">
        <v>0</v>
      </c>
      <c r="AW115" s="91">
        <v>0</v>
      </c>
      <c r="AX115" s="91">
        <v>0</v>
      </c>
      <c r="AY115" s="91">
        <v>0</v>
      </c>
      <c r="AZ115" s="91">
        <v>0</v>
      </c>
      <c r="BA115" s="91">
        <v>0</v>
      </c>
      <c r="BB115" s="91">
        <v>0</v>
      </c>
      <c r="BC115" s="91">
        <v>0</v>
      </c>
      <c r="BD115" s="91">
        <v>0</v>
      </c>
      <c r="BE115" s="91">
        <v>2.0350000000000001</v>
      </c>
      <c r="BF115" s="91">
        <v>2.0430000000000001</v>
      </c>
      <c r="BG115" s="88">
        <v>0</v>
      </c>
      <c r="BH115"/>
      <c r="BI115"/>
      <c r="BJ115"/>
      <c r="BK115"/>
      <c r="BL115"/>
      <c r="BM115"/>
      <c r="BN115"/>
      <c r="BO115"/>
      <c r="BP115"/>
      <c r="BQ115"/>
    </row>
    <row r="116" spans="1:69">
      <c r="A116" s="88">
        <v>10379</v>
      </c>
      <c r="B116" s="88" t="s">
        <v>120</v>
      </c>
      <c r="C116" s="88">
        <v>1</v>
      </c>
      <c r="D116" s="88">
        <v>0</v>
      </c>
      <c r="E116" s="91">
        <v>4.88</v>
      </c>
      <c r="F116" s="91">
        <v>4.59</v>
      </c>
      <c r="G116" s="91">
        <v>4.6109999999999998</v>
      </c>
      <c r="H116" s="91">
        <v>0</v>
      </c>
      <c r="I116" s="91">
        <v>0</v>
      </c>
      <c r="J116" s="91">
        <v>0</v>
      </c>
      <c r="K116" s="91">
        <v>0</v>
      </c>
      <c r="L116" s="90">
        <v>0</v>
      </c>
      <c r="M116" s="90">
        <v>0</v>
      </c>
      <c r="N116" s="91">
        <v>4.59</v>
      </c>
      <c r="O116" s="91">
        <v>4.6109999999999998</v>
      </c>
      <c r="P116" s="90">
        <v>40318.559999999998</v>
      </c>
      <c r="Q116" s="90">
        <v>40392.36</v>
      </c>
      <c r="R116" s="88">
        <v>4.8079999999999998</v>
      </c>
      <c r="S116" s="90">
        <v>42233.472000000002</v>
      </c>
      <c r="T116" s="90">
        <v>42118.080000000002</v>
      </c>
      <c r="U116" s="91">
        <v>0</v>
      </c>
      <c r="V116" s="91">
        <v>0</v>
      </c>
      <c r="W116" s="91">
        <v>0</v>
      </c>
      <c r="X116" s="91">
        <v>0</v>
      </c>
      <c r="Y116" s="91">
        <v>0</v>
      </c>
      <c r="Z116" s="91">
        <v>0</v>
      </c>
      <c r="AA116" s="88">
        <v>0</v>
      </c>
      <c r="AB116" s="88">
        <v>0</v>
      </c>
      <c r="AC116" s="91">
        <v>0</v>
      </c>
      <c r="AD116" s="91">
        <v>0</v>
      </c>
      <c r="AE116" s="92">
        <v>6.4979999999999997E-4</v>
      </c>
      <c r="AF116" s="92">
        <v>6.5280000000000004E-4</v>
      </c>
      <c r="AG116" s="92">
        <v>0</v>
      </c>
      <c r="AH116" s="92">
        <v>6.4979999999999997E-4</v>
      </c>
      <c r="AI116" s="92">
        <v>6.5280000000000004E-4</v>
      </c>
      <c r="AJ116" s="92">
        <v>6.5130000000000006E-4</v>
      </c>
      <c r="AK116" s="92">
        <v>0.9999508882352941</v>
      </c>
      <c r="AL116" s="92">
        <v>0.99999233832140533</v>
      </c>
      <c r="AM116" s="92">
        <v>1</v>
      </c>
      <c r="AN116" s="92">
        <v>1</v>
      </c>
      <c r="AO116" s="92">
        <v>0</v>
      </c>
      <c r="AP116" s="92">
        <v>0</v>
      </c>
      <c r="AQ116" s="88">
        <v>1</v>
      </c>
      <c r="AR116" s="88">
        <v>1</v>
      </c>
      <c r="AS116" s="91">
        <v>0</v>
      </c>
      <c r="AT116" s="91">
        <v>0</v>
      </c>
      <c r="AU116" s="91">
        <v>0</v>
      </c>
      <c r="AV116" s="91">
        <v>0</v>
      </c>
      <c r="AW116" s="91">
        <v>0</v>
      </c>
      <c r="AX116" s="91">
        <v>0</v>
      </c>
      <c r="AY116" s="91">
        <v>0</v>
      </c>
      <c r="AZ116" s="91">
        <v>0</v>
      </c>
      <c r="BA116" s="91">
        <v>0</v>
      </c>
      <c r="BB116" s="91">
        <v>0</v>
      </c>
      <c r="BC116" s="91">
        <v>0</v>
      </c>
      <c r="BD116" s="91">
        <v>0</v>
      </c>
      <c r="BE116" s="91">
        <v>4.59</v>
      </c>
      <c r="BF116" s="91">
        <v>4.6109999999999998</v>
      </c>
      <c r="BG116" s="88">
        <v>0</v>
      </c>
      <c r="BH116"/>
      <c r="BI116"/>
      <c r="BJ116"/>
      <c r="BK116"/>
      <c r="BL116"/>
      <c r="BM116"/>
      <c r="BN116"/>
      <c r="BO116"/>
      <c r="BP116"/>
      <c r="BQ116"/>
    </row>
    <row r="117" spans="1:69">
      <c r="A117" s="88">
        <v>10388</v>
      </c>
      <c r="B117" s="88" t="s">
        <v>121</v>
      </c>
      <c r="C117" s="88">
        <v>1</v>
      </c>
      <c r="D117" s="88">
        <v>0</v>
      </c>
      <c r="E117" s="91">
        <v>114.91200000000001</v>
      </c>
      <c r="F117" s="91">
        <v>1255.902</v>
      </c>
      <c r="G117" s="91">
        <v>1320.837</v>
      </c>
      <c r="H117" s="91">
        <v>1031.133</v>
      </c>
      <c r="I117" s="91">
        <v>1094.819</v>
      </c>
      <c r="J117" s="91">
        <v>0.23200000000000001</v>
      </c>
      <c r="K117" s="91">
        <v>0.23200000000000001</v>
      </c>
      <c r="L117" s="90">
        <v>2037.8880000000001</v>
      </c>
      <c r="M117" s="90">
        <v>2032.3200000000002</v>
      </c>
      <c r="N117" s="91">
        <v>221.82499999999999</v>
      </c>
      <c r="O117" s="91">
        <v>221.953</v>
      </c>
      <c r="P117" s="90">
        <v>1948510.7999999998</v>
      </c>
      <c r="Q117" s="90">
        <v>1944308.28</v>
      </c>
      <c r="R117" s="88">
        <v>113.223</v>
      </c>
      <c r="S117" s="90">
        <v>994550.83199999994</v>
      </c>
      <c r="T117" s="90">
        <v>991833.48</v>
      </c>
      <c r="U117" s="91">
        <v>108.602</v>
      </c>
      <c r="V117" s="91">
        <v>108.73</v>
      </c>
      <c r="W117" s="91">
        <v>108.602</v>
      </c>
      <c r="X117" s="91">
        <v>108.73</v>
      </c>
      <c r="Y117" s="91">
        <v>0</v>
      </c>
      <c r="Z117" s="91">
        <v>0</v>
      </c>
      <c r="AA117" s="88">
        <v>0</v>
      </c>
      <c r="AB117" s="88">
        <v>0</v>
      </c>
      <c r="AC117" s="91">
        <v>108.602</v>
      </c>
      <c r="AD117" s="91">
        <v>108.73</v>
      </c>
      <c r="AE117" s="92">
        <v>1.6029600000000001E-2</v>
      </c>
      <c r="AF117" s="92">
        <v>1.6029600000000001E-2</v>
      </c>
      <c r="AG117" s="92">
        <v>0</v>
      </c>
      <c r="AH117" s="92">
        <v>1.6029600000000001E-2</v>
      </c>
      <c r="AI117" s="92">
        <v>1.6029600000000001E-2</v>
      </c>
      <c r="AJ117" s="92">
        <v>1.6029600000000001E-2</v>
      </c>
      <c r="AK117" s="92">
        <v>0.51092699443836487</v>
      </c>
      <c r="AL117" s="92">
        <v>0.51063265118707368</v>
      </c>
      <c r="AM117" s="92">
        <v>1.9591867376769736</v>
      </c>
      <c r="AN117" s="92">
        <v>1.9603172500287045</v>
      </c>
      <c r="AO117" s="92">
        <v>7.8367469507078957E-2</v>
      </c>
      <c r="AP117" s="92">
        <v>7.84126900011482E-2</v>
      </c>
      <c r="AQ117" s="88">
        <v>3</v>
      </c>
      <c r="AR117" s="88">
        <v>3</v>
      </c>
      <c r="AS117" s="91">
        <v>110</v>
      </c>
      <c r="AT117" s="91">
        <v>0</v>
      </c>
      <c r="AU117" s="91">
        <v>0.60199999999999998</v>
      </c>
      <c r="AV117" s="91">
        <v>108.73</v>
      </c>
      <c r="AW117" s="91">
        <v>0</v>
      </c>
      <c r="AX117" s="91">
        <v>0</v>
      </c>
      <c r="AY117" s="91">
        <v>0</v>
      </c>
      <c r="AZ117" s="91">
        <v>0</v>
      </c>
      <c r="BA117" s="91">
        <v>0</v>
      </c>
      <c r="BB117" s="91">
        <v>0</v>
      </c>
      <c r="BC117" s="91">
        <v>0</v>
      </c>
      <c r="BD117" s="91">
        <v>0</v>
      </c>
      <c r="BE117" s="91">
        <v>113.825</v>
      </c>
      <c r="BF117" s="91">
        <v>221.953</v>
      </c>
      <c r="BG117" s="88">
        <v>1</v>
      </c>
      <c r="BH117"/>
      <c r="BI117"/>
      <c r="BJ117"/>
      <c r="BK117"/>
      <c r="BL117"/>
      <c r="BM117"/>
      <c r="BN117"/>
      <c r="BO117"/>
      <c r="BP117"/>
      <c r="BQ117"/>
    </row>
    <row r="118" spans="1:69">
      <c r="A118" s="88">
        <v>10391</v>
      </c>
      <c r="B118" s="88" t="s">
        <v>122</v>
      </c>
      <c r="C118" s="88">
        <v>1</v>
      </c>
      <c r="D118" s="88">
        <v>0</v>
      </c>
      <c r="E118" s="91">
        <v>30.423999999999999</v>
      </c>
      <c r="F118" s="91">
        <v>38.054000000000002</v>
      </c>
      <c r="G118" s="91">
        <v>38.607999999999997</v>
      </c>
      <c r="H118" s="91">
        <v>0</v>
      </c>
      <c r="I118" s="91">
        <v>0</v>
      </c>
      <c r="J118" s="91">
        <v>0</v>
      </c>
      <c r="K118" s="91">
        <v>0</v>
      </c>
      <c r="L118" s="90">
        <v>0</v>
      </c>
      <c r="M118" s="90">
        <v>0</v>
      </c>
      <c r="N118" s="91">
        <v>38.054000000000002</v>
      </c>
      <c r="O118" s="91">
        <v>38.607999999999997</v>
      </c>
      <c r="P118" s="90">
        <v>334266.33600000001</v>
      </c>
      <c r="Q118" s="90">
        <v>338206.07999999996</v>
      </c>
      <c r="R118" s="88">
        <v>29.977</v>
      </c>
      <c r="S118" s="90">
        <v>263317.96799999999</v>
      </c>
      <c r="T118" s="90">
        <v>262598.52</v>
      </c>
      <c r="U118" s="91">
        <v>8.077</v>
      </c>
      <c r="V118" s="91">
        <v>8.6310000000000002</v>
      </c>
      <c r="W118" s="91">
        <v>8.077</v>
      </c>
      <c r="X118" s="91">
        <v>8.6310000000000002</v>
      </c>
      <c r="Y118" s="91">
        <v>0</v>
      </c>
      <c r="Z118" s="91">
        <v>0</v>
      </c>
      <c r="AA118" s="88">
        <v>0</v>
      </c>
      <c r="AB118" s="88">
        <v>0</v>
      </c>
      <c r="AC118" s="91">
        <v>8.077</v>
      </c>
      <c r="AD118" s="91">
        <v>8.6310000000000002</v>
      </c>
      <c r="AE118" s="92">
        <v>4.2440000000000004E-3</v>
      </c>
      <c r="AF118" s="92">
        <v>4.2440000000000004E-3</v>
      </c>
      <c r="AG118" s="92">
        <v>0</v>
      </c>
      <c r="AH118" s="92">
        <v>4.2440000000000004E-3</v>
      </c>
      <c r="AI118" s="92">
        <v>4.2440000000000004E-3</v>
      </c>
      <c r="AJ118" s="92">
        <v>4.2440000000000004E-3</v>
      </c>
      <c r="AK118" s="92">
        <v>0.78774691385925266</v>
      </c>
      <c r="AL118" s="92">
        <v>0.77644325165768768</v>
      </c>
      <c r="AM118" s="92">
        <v>1.2694399039263435</v>
      </c>
      <c r="AN118" s="92">
        <v>1.2879207392334122</v>
      </c>
      <c r="AO118" s="92">
        <v>3.8083197117790311E-2</v>
      </c>
      <c r="AP118" s="92">
        <v>3.8637622177002368E-2</v>
      </c>
      <c r="AQ118" s="88">
        <v>3</v>
      </c>
      <c r="AR118" s="88">
        <v>3</v>
      </c>
      <c r="AS118" s="91">
        <v>3</v>
      </c>
      <c r="AT118" s="91">
        <v>0</v>
      </c>
      <c r="AU118" s="91">
        <v>5.077</v>
      </c>
      <c r="AV118" s="91">
        <v>8.6310000000000002</v>
      </c>
      <c r="AW118" s="91">
        <v>0</v>
      </c>
      <c r="AX118" s="91">
        <v>0</v>
      </c>
      <c r="AY118" s="91">
        <v>0</v>
      </c>
      <c r="AZ118" s="91">
        <v>0</v>
      </c>
      <c r="BA118" s="91">
        <v>0</v>
      </c>
      <c r="BB118" s="91">
        <v>0</v>
      </c>
      <c r="BC118" s="91">
        <v>0</v>
      </c>
      <c r="BD118" s="91">
        <v>0</v>
      </c>
      <c r="BE118" s="91">
        <v>35.054000000000002</v>
      </c>
      <c r="BF118" s="91">
        <v>38.607999999999997</v>
      </c>
      <c r="BG118" s="88">
        <v>1</v>
      </c>
      <c r="BH118"/>
      <c r="BI118"/>
      <c r="BJ118"/>
      <c r="BK118"/>
      <c r="BL118"/>
      <c r="BM118"/>
      <c r="BN118"/>
      <c r="BO118"/>
      <c r="BP118"/>
      <c r="BQ118"/>
    </row>
    <row r="119" spans="1:69">
      <c r="A119" s="88">
        <v>10406</v>
      </c>
      <c r="B119" s="88" t="s">
        <v>123</v>
      </c>
      <c r="C119" s="88">
        <v>1</v>
      </c>
      <c r="D119" s="88">
        <v>0</v>
      </c>
      <c r="E119" s="91">
        <v>0.46500000000000002</v>
      </c>
      <c r="F119" s="91">
        <v>0.66300000000000003</v>
      </c>
      <c r="G119" s="91">
        <v>0.66800000000000004</v>
      </c>
      <c r="H119" s="91">
        <v>0</v>
      </c>
      <c r="I119" s="91">
        <v>0</v>
      </c>
      <c r="J119" s="91">
        <v>0</v>
      </c>
      <c r="K119" s="91">
        <v>0</v>
      </c>
      <c r="L119" s="90">
        <v>0</v>
      </c>
      <c r="M119" s="90">
        <v>0</v>
      </c>
      <c r="N119" s="91">
        <v>0.66300000000000003</v>
      </c>
      <c r="O119" s="91">
        <v>0.66800000000000004</v>
      </c>
      <c r="P119" s="90">
        <v>5823.7920000000004</v>
      </c>
      <c r="Q119" s="90">
        <v>5851.68</v>
      </c>
      <c r="R119" s="88">
        <v>0.45800000000000002</v>
      </c>
      <c r="S119" s="90">
        <v>4023.0720000000001</v>
      </c>
      <c r="T119" s="90">
        <v>4012.0800000000004</v>
      </c>
      <c r="U119" s="91">
        <v>0.20499999999999999</v>
      </c>
      <c r="V119" s="91">
        <v>0.21</v>
      </c>
      <c r="W119" s="91">
        <v>0</v>
      </c>
      <c r="X119" s="91">
        <v>0</v>
      </c>
      <c r="Y119" s="91">
        <v>0.20499999999999999</v>
      </c>
      <c r="Z119" s="91">
        <v>0.21</v>
      </c>
      <c r="AA119" s="88">
        <v>0</v>
      </c>
      <c r="AB119" s="88">
        <v>0</v>
      </c>
      <c r="AC119" s="91">
        <v>0</v>
      </c>
      <c r="AD119" s="91">
        <v>0</v>
      </c>
      <c r="AE119" s="92">
        <v>6.4800000000000003E-5</v>
      </c>
      <c r="AF119" s="92">
        <v>6.4800000000000003E-5</v>
      </c>
      <c r="AG119" s="92">
        <v>0</v>
      </c>
      <c r="AH119" s="92">
        <v>6.4800000000000003E-5</v>
      </c>
      <c r="AI119" s="92">
        <v>6.4800000000000003E-5</v>
      </c>
      <c r="AJ119" s="92">
        <v>6.4800000000000003E-5</v>
      </c>
      <c r="AK119" s="92">
        <v>0.69035603619909502</v>
      </c>
      <c r="AL119" s="92">
        <v>0.68518870059880244</v>
      </c>
      <c r="AM119" s="92">
        <v>1.4475982532751093</v>
      </c>
      <c r="AN119" s="92">
        <v>1.4585152838427948</v>
      </c>
      <c r="AO119" s="92">
        <v>0</v>
      </c>
      <c r="AP119" s="92">
        <v>0</v>
      </c>
      <c r="AQ119" s="88">
        <v>1</v>
      </c>
      <c r="AR119" s="88">
        <v>1</v>
      </c>
      <c r="AS119" s="91">
        <v>0</v>
      </c>
      <c r="AT119" s="91">
        <v>0</v>
      </c>
      <c r="AU119" s="91">
        <v>0</v>
      </c>
      <c r="AV119" s="91">
        <v>0</v>
      </c>
      <c r="AW119" s="91">
        <v>0</v>
      </c>
      <c r="AX119" s="91">
        <v>0</v>
      </c>
      <c r="AY119" s="91">
        <v>0</v>
      </c>
      <c r="AZ119" s="91">
        <v>0</v>
      </c>
      <c r="BA119" s="91">
        <v>0</v>
      </c>
      <c r="BB119" s="91">
        <v>0</v>
      </c>
      <c r="BC119" s="91">
        <v>0</v>
      </c>
      <c r="BD119" s="91">
        <v>0</v>
      </c>
      <c r="BE119" s="91">
        <v>0.66300000000000003</v>
      </c>
      <c r="BF119" s="91">
        <v>0.66800000000000004</v>
      </c>
      <c r="BG119" s="88">
        <v>0</v>
      </c>
      <c r="BH119"/>
      <c r="BI119"/>
      <c r="BJ119"/>
      <c r="BK119"/>
      <c r="BL119"/>
      <c r="BM119"/>
      <c r="BN119"/>
      <c r="BO119"/>
      <c r="BP119"/>
      <c r="BQ119"/>
    </row>
    <row r="120" spans="1:69">
      <c r="A120" s="88">
        <v>10408</v>
      </c>
      <c r="B120" s="88" t="s">
        <v>124</v>
      </c>
      <c r="C120" s="88">
        <v>1</v>
      </c>
      <c r="D120" s="88">
        <v>0</v>
      </c>
      <c r="E120" s="91">
        <v>1.55</v>
      </c>
      <c r="F120" s="91">
        <v>1.639</v>
      </c>
      <c r="G120" s="91">
        <v>1.6379999999999999</v>
      </c>
      <c r="H120" s="91">
        <v>0</v>
      </c>
      <c r="I120" s="91">
        <v>0</v>
      </c>
      <c r="J120" s="91">
        <v>0</v>
      </c>
      <c r="K120" s="91">
        <v>0</v>
      </c>
      <c r="L120" s="90">
        <v>0</v>
      </c>
      <c r="M120" s="90">
        <v>0</v>
      </c>
      <c r="N120" s="91">
        <v>1.639</v>
      </c>
      <c r="O120" s="91">
        <v>1.6379999999999999</v>
      </c>
      <c r="P120" s="90">
        <v>14396.976000000001</v>
      </c>
      <c r="Q120" s="90">
        <v>14348.88</v>
      </c>
      <c r="R120" s="88">
        <v>1.5269999999999999</v>
      </c>
      <c r="S120" s="90">
        <v>13413.168</v>
      </c>
      <c r="T120" s="90">
        <v>13376.519999999999</v>
      </c>
      <c r="U120" s="91">
        <v>0.112</v>
      </c>
      <c r="V120" s="91">
        <v>0.111</v>
      </c>
      <c r="W120" s="91">
        <v>0</v>
      </c>
      <c r="X120" s="91">
        <v>0</v>
      </c>
      <c r="Y120" s="91">
        <v>0.112</v>
      </c>
      <c r="Z120" s="91">
        <v>0.111</v>
      </c>
      <c r="AA120" s="88">
        <v>0</v>
      </c>
      <c r="AB120" s="88">
        <v>0</v>
      </c>
      <c r="AC120" s="91">
        <v>0</v>
      </c>
      <c r="AD120" s="91">
        <v>0</v>
      </c>
      <c r="AE120" s="92">
        <v>2.162E-4</v>
      </c>
      <c r="AF120" s="92">
        <v>2.162E-4</v>
      </c>
      <c r="AG120" s="92">
        <v>0</v>
      </c>
      <c r="AH120" s="92">
        <v>2.162E-4</v>
      </c>
      <c r="AI120" s="92">
        <v>2.162E-4</v>
      </c>
      <c r="AJ120" s="92">
        <v>2.162E-4</v>
      </c>
      <c r="AK120" s="92">
        <v>0.93172636546674803</v>
      </c>
      <c r="AL120" s="92">
        <v>0.93229518498168507</v>
      </c>
      <c r="AM120" s="92">
        <v>1.0733464309102816</v>
      </c>
      <c r="AN120" s="92">
        <v>1.0726915520628684</v>
      </c>
      <c r="AO120" s="92">
        <v>0</v>
      </c>
      <c r="AP120" s="92">
        <v>0</v>
      </c>
      <c r="AQ120" s="88">
        <v>1</v>
      </c>
      <c r="AR120" s="88">
        <v>1</v>
      </c>
      <c r="AS120" s="91">
        <v>0</v>
      </c>
      <c r="AT120" s="91">
        <v>0</v>
      </c>
      <c r="AU120" s="91">
        <v>0</v>
      </c>
      <c r="AV120" s="91">
        <v>0</v>
      </c>
      <c r="AW120" s="91">
        <v>0</v>
      </c>
      <c r="AX120" s="91">
        <v>0</v>
      </c>
      <c r="AY120" s="91">
        <v>0</v>
      </c>
      <c r="AZ120" s="91">
        <v>0</v>
      </c>
      <c r="BA120" s="91">
        <v>0</v>
      </c>
      <c r="BB120" s="91">
        <v>0</v>
      </c>
      <c r="BC120" s="91">
        <v>0</v>
      </c>
      <c r="BD120" s="91">
        <v>0</v>
      </c>
      <c r="BE120" s="91">
        <v>1.639</v>
      </c>
      <c r="BF120" s="91">
        <v>1.6379999999999999</v>
      </c>
      <c r="BG120" s="88">
        <v>0</v>
      </c>
      <c r="BH120"/>
      <c r="BI120"/>
      <c r="BJ120"/>
      <c r="BK120"/>
      <c r="BL120"/>
      <c r="BM120"/>
      <c r="BN120"/>
      <c r="BO120"/>
      <c r="BP120"/>
      <c r="BQ120"/>
    </row>
    <row r="121" spans="1:69">
      <c r="A121" s="88">
        <v>10409</v>
      </c>
      <c r="B121" s="88" t="s">
        <v>125</v>
      </c>
      <c r="C121" s="88">
        <v>1</v>
      </c>
      <c r="D121" s="88">
        <v>0</v>
      </c>
      <c r="E121" s="91">
        <v>20.725999999999999</v>
      </c>
      <c r="F121" s="91">
        <v>26.706</v>
      </c>
      <c r="G121" s="99">
        <v>26.702000000000002</v>
      </c>
      <c r="H121" s="91">
        <v>0</v>
      </c>
      <c r="I121" s="91">
        <v>0</v>
      </c>
      <c r="J121" s="91">
        <v>0</v>
      </c>
      <c r="K121" s="91">
        <v>0</v>
      </c>
      <c r="L121" s="90">
        <v>0</v>
      </c>
      <c r="M121" s="90">
        <v>0</v>
      </c>
      <c r="N121" s="91">
        <v>26.706</v>
      </c>
      <c r="O121" s="91">
        <v>26.702000000000002</v>
      </c>
      <c r="P121" s="90">
        <v>234585.50399999999</v>
      </c>
      <c r="Q121" s="90">
        <v>233909.52000000002</v>
      </c>
      <c r="R121" s="88">
        <v>20.420999999999999</v>
      </c>
      <c r="S121" s="90">
        <v>179378.06399999998</v>
      </c>
      <c r="T121" s="90">
        <v>178887.96</v>
      </c>
      <c r="U121" s="91">
        <v>6.2850000000000001</v>
      </c>
      <c r="V121" s="91">
        <v>6.2809999999999997</v>
      </c>
      <c r="W121" s="91">
        <v>6.2850000000000001</v>
      </c>
      <c r="X121" s="91">
        <v>6.2809999999999997</v>
      </c>
      <c r="Y121" s="91">
        <v>0</v>
      </c>
      <c r="Z121" s="91">
        <v>0</v>
      </c>
      <c r="AA121" s="88">
        <v>0</v>
      </c>
      <c r="AB121" s="88">
        <v>0</v>
      </c>
      <c r="AC121" s="91">
        <v>6.2850000000000001</v>
      </c>
      <c r="AD121" s="91">
        <v>6.2809999999999997</v>
      </c>
      <c r="AE121" s="92">
        <v>2.8911000000000002E-3</v>
      </c>
      <c r="AF121" s="92">
        <v>2.8911000000000002E-3</v>
      </c>
      <c r="AG121" s="92">
        <v>0</v>
      </c>
      <c r="AH121" s="92">
        <v>2.8911000000000002E-3</v>
      </c>
      <c r="AI121" s="92">
        <v>2.8911000000000002E-3</v>
      </c>
      <c r="AJ121" s="92">
        <v>2.8911000000000002E-3</v>
      </c>
      <c r="AK121" s="92">
        <v>0.76465567855538086</v>
      </c>
      <c r="AL121" s="92">
        <v>0.7647702251329489</v>
      </c>
      <c r="AM121" s="92">
        <v>1.3077714117819892</v>
      </c>
      <c r="AN121" s="92">
        <v>1.3075755349884923</v>
      </c>
      <c r="AO121" s="92">
        <v>0</v>
      </c>
      <c r="AP121" s="92">
        <v>0</v>
      </c>
      <c r="AQ121" s="88">
        <v>1</v>
      </c>
      <c r="AR121" s="88">
        <v>1</v>
      </c>
      <c r="AS121" s="91">
        <v>0</v>
      </c>
      <c r="AT121" s="91">
        <v>0</v>
      </c>
      <c r="AU121" s="91">
        <v>6.2850000000000001</v>
      </c>
      <c r="AV121" s="91">
        <v>6.2809999999999997</v>
      </c>
      <c r="AW121" s="91">
        <v>0</v>
      </c>
      <c r="AX121" s="91">
        <v>0</v>
      </c>
      <c r="AY121" s="91">
        <v>0</v>
      </c>
      <c r="AZ121" s="91">
        <v>0</v>
      </c>
      <c r="BA121" s="91">
        <v>0</v>
      </c>
      <c r="BB121" s="91">
        <v>0</v>
      </c>
      <c r="BC121" s="91">
        <v>0</v>
      </c>
      <c r="BD121" s="91">
        <v>0</v>
      </c>
      <c r="BE121" s="91">
        <v>26.706</v>
      </c>
      <c r="BF121" s="91">
        <v>26.702000000000002</v>
      </c>
      <c r="BG121" s="88">
        <v>0</v>
      </c>
      <c r="BH121"/>
      <c r="BI121"/>
      <c r="BJ121"/>
      <c r="BK121"/>
      <c r="BL121"/>
      <c r="BM121"/>
      <c r="BN121"/>
      <c r="BO121"/>
      <c r="BP121"/>
      <c r="BQ121"/>
    </row>
    <row r="122" spans="1:69">
      <c r="A122" s="95">
        <v>10426</v>
      </c>
      <c r="B122" s="95" t="s">
        <v>126</v>
      </c>
      <c r="C122" s="95">
        <v>1</v>
      </c>
      <c r="D122" s="95">
        <v>0</v>
      </c>
      <c r="E122" s="99">
        <v>37.084000000000003</v>
      </c>
      <c r="F122" s="99">
        <v>31.696000000000002</v>
      </c>
      <c r="G122" s="99">
        <v>37.084000000000003</v>
      </c>
      <c r="H122" s="91">
        <v>0</v>
      </c>
      <c r="I122" s="91">
        <v>0</v>
      </c>
      <c r="J122" s="91">
        <v>0</v>
      </c>
      <c r="K122" s="91">
        <v>0</v>
      </c>
      <c r="L122" s="90">
        <v>0</v>
      </c>
      <c r="M122" s="90">
        <v>0</v>
      </c>
      <c r="N122" s="91">
        <v>31.696000000000002</v>
      </c>
      <c r="O122" s="91">
        <v>37.084000000000003</v>
      </c>
      <c r="P122" s="90">
        <v>278417.66399999999</v>
      </c>
      <c r="Q122" s="90">
        <v>324855.84000000003</v>
      </c>
      <c r="R122" s="88">
        <v>36.539000000000001</v>
      </c>
      <c r="S122" s="90">
        <v>320958.576</v>
      </c>
      <c r="T122" s="90">
        <v>320081.64</v>
      </c>
      <c r="U122" s="91">
        <v>0</v>
      </c>
      <c r="V122" s="91">
        <v>0.54500000000000004</v>
      </c>
      <c r="W122" s="91">
        <v>0</v>
      </c>
      <c r="X122" s="91">
        <v>0</v>
      </c>
      <c r="Y122" s="91">
        <v>0</v>
      </c>
      <c r="Z122" s="91">
        <v>0.54500000000000004</v>
      </c>
      <c r="AA122" s="88">
        <v>0</v>
      </c>
      <c r="AB122" s="88">
        <v>0</v>
      </c>
      <c r="AC122" s="91">
        <v>0</v>
      </c>
      <c r="AD122" s="91">
        <v>0</v>
      </c>
      <c r="AE122" s="92">
        <v>4.4873999999999999E-3</v>
      </c>
      <c r="AF122" s="92">
        <v>5.1729999999999996E-3</v>
      </c>
      <c r="AG122" s="92">
        <v>0</v>
      </c>
      <c r="AH122" s="92">
        <v>4.4873999999999999E-3</v>
      </c>
      <c r="AI122" s="92">
        <v>5.1729999999999996E-3</v>
      </c>
      <c r="AJ122" s="92">
        <v>4.8301999999999998E-3</v>
      </c>
      <c r="AK122" s="92">
        <v>1</v>
      </c>
      <c r="AL122" s="92">
        <v>0.98529789518390654</v>
      </c>
      <c r="AM122" s="92">
        <v>1</v>
      </c>
      <c r="AN122" s="92">
        <v>1.0149155696652892</v>
      </c>
      <c r="AO122" s="92">
        <v>0</v>
      </c>
      <c r="AP122" s="92">
        <v>0</v>
      </c>
      <c r="AQ122" s="88">
        <v>1</v>
      </c>
      <c r="AR122" s="88">
        <v>3</v>
      </c>
      <c r="AS122" s="91">
        <v>0</v>
      </c>
      <c r="AT122" s="91">
        <v>0</v>
      </c>
      <c r="AU122" s="91">
        <v>0</v>
      </c>
      <c r="AV122" s="91">
        <v>0</v>
      </c>
      <c r="AW122" s="91">
        <v>0</v>
      </c>
      <c r="AX122" s="91">
        <v>0</v>
      </c>
      <c r="AY122" s="91">
        <v>0</v>
      </c>
      <c r="AZ122" s="91">
        <v>0</v>
      </c>
      <c r="BA122" s="91">
        <v>0</v>
      </c>
      <c r="BB122" s="91">
        <v>0</v>
      </c>
      <c r="BC122" s="91">
        <v>0</v>
      </c>
      <c r="BD122" s="91">
        <v>0</v>
      </c>
      <c r="BE122" s="91">
        <v>31.696000000000002</v>
      </c>
      <c r="BF122" s="91">
        <v>37.084000000000003</v>
      </c>
      <c r="BG122" s="88">
        <v>0</v>
      </c>
      <c r="BH122"/>
      <c r="BI122"/>
      <c r="BJ122"/>
      <c r="BK122"/>
      <c r="BL122"/>
      <c r="BM122"/>
      <c r="BN122"/>
      <c r="BO122"/>
      <c r="BP122"/>
      <c r="BQ122"/>
    </row>
    <row r="123" spans="1:69">
      <c r="A123" s="95">
        <v>10434</v>
      </c>
      <c r="B123" s="95" t="s">
        <v>127</v>
      </c>
      <c r="C123" s="95">
        <v>1</v>
      </c>
      <c r="D123" s="95">
        <v>0</v>
      </c>
      <c r="E123" s="99">
        <v>27.562000000000001</v>
      </c>
      <c r="F123" s="99">
        <v>27.193000000000001</v>
      </c>
      <c r="G123" s="99">
        <v>27.382999999999999</v>
      </c>
      <c r="H123" s="91">
        <v>0</v>
      </c>
      <c r="I123" s="91">
        <v>0</v>
      </c>
      <c r="J123" s="91">
        <v>0</v>
      </c>
      <c r="K123" s="91">
        <v>0</v>
      </c>
      <c r="L123" s="90">
        <v>0</v>
      </c>
      <c r="M123" s="90">
        <v>0</v>
      </c>
      <c r="N123" s="91">
        <v>27.193000000000001</v>
      </c>
      <c r="O123" s="91">
        <v>27.382999999999999</v>
      </c>
      <c r="P123" s="90">
        <v>238863.31200000001</v>
      </c>
      <c r="Q123" s="90">
        <v>239875.08</v>
      </c>
      <c r="R123" s="88">
        <v>27.157</v>
      </c>
      <c r="S123" s="90">
        <v>238547.08799999999</v>
      </c>
      <c r="T123" s="90">
        <v>237895.32</v>
      </c>
      <c r="U123" s="91">
        <v>3.5999999999999997E-2</v>
      </c>
      <c r="V123" s="91">
        <v>0.22600000000000001</v>
      </c>
      <c r="W123" s="91">
        <v>0</v>
      </c>
      <c r="X123" s="91">
        <v>0</v>
      </c>
      <c r="Y123" s="91">
        <v>3.5999999999999997E-2</v>
      </c>
      <c r="Z123" s="91">
        <v>0.22600000000000001</v>
      </c>
      <c r="AA123" s="88">
        <v>0</v>
      </c>
      <c r="AB123" s="88">
        <v>0</v>
      </c>
      <c r="AC123" s="91">
        <v>0</v>
      </c>
      <c r="AD123" s="91">
        <v>0</v>
      </c>
      <c r="AE123" s="92">
        <v>3.8448000000000002E-3</v>
      </c>
      <c r="AF123" s="92">
        <v>3.8448000000000002E-3</v>
      </c>
      <c r="AG123" s="92">
        <v>0</v>
      </c>
      <c r="AH123" s="92">
        <v>3.8448000000000002E-3</v>
      </c>
      <c r="AI123" s="92">
        <v>3.8448000000000002E-3</v>
      </c>
      <c r="AJ123" s="92">
        <v>3.8448000000000002E-3</v>
      </c>
      <c r="AK123" s="92">
        <v>0.99868443172875376</v>
      </c>
      <c r="AL123" s="92">
        <v>0.99175494839864164</v>
      </c>
      <c r="AM123" s="92">
        <v>1.001325625069043</v>
      </c>
      <c r="AN123" s="92">
        <v>1.0083219796001031</v>
      </c>
      <c r="AO123" s="92">
        <v>0</v>
      </c>
      <c r="AP123" s="92">
        <v>0</v>
      </c>
      <c r="AQ123" s="88">
        <v>3</v>
      </c>
      <c r="AR123" s="88">
        <v>3</v>
      </c>
      <c r="AS123" s="91">
        <v>15</v>
      </c>
      <c r="AT123" s="91">
        <v>0</v>
      </c>
      <c r="AU123" s="91">
        <v>0</v>
      </c>
      <c r="AV123" s="91">
        <v>0</v>
      </c>
      <c r="AW123" s="91">
        <v>0</v>
      </c>
      <c r="AX123" s="91">
        <v>0</v>
      </c>
      <c r="AY123" s="91">
        <v>0</v>
      </c>
      <c r="AZ123" s="91">
        <v>0</v>
      </c>
      <c r="BA123" s="91">
        <v>0</v>
      </c>
      <c r="BB123" s="91">
        <v>0</v>
      </c>
      <c r="BC123" s="91">
        <v>0</v>
      </c>
      <c r="BD123" s="91">
        <v>0</v>
      </c>
      <c r="BE123" s="91">
        <v>27.193000000000001</v>
      </c>
      <c r="BF123" s="91">
        <v>27.382999999999999</v>
      </c>
      <c r="BG123" s="88">
        <v>1</v>
      </c>
      <c r="BH123"/>
      <c r="BI123"/>
      <c r="BJ123"/>
      <c r="BK123"/>
      <c r="BL123"/>
      <c r="BM123"/>
      <c r="BN123"/>
      <c r="BO123"/>
      <c r="BP123"/>
      <c r="BQ123"/>
    </row>
    <row r="124" spans="1:69">
      <c r="A124" s="95">
        <v>10436</v>
      </c>
      <c r="B124" s="95" t="s">
        <v>128</v>
      </c>
      <c r="C124" s="95">
        <v>1</v>
      </c>
      <c r="D124" s="95">
        <v>0</v>
      </c>
      <c r="E124" s="99">
        <v>19.437999999999999</v>
      </c>
      <c r="F124" s="99">
        <v>24.898</v>
      </c>
      <c r="G124" s="99">
        <v>25.148</v>
      </c>
      <c r="H124" s="91">
        <v>0</v>
      </c>
      <c r="I124" s="91">
        <v>0</v>
      </c>
      <c r="J124" s="91">
        <v>0</v>
      </c>
      <c r="K124" s="91">
        <v>0</v>
      </c>
      <c r="L124" s="90">
        <v>0</v>
      </c>
      <c r="M124" s="90">
        <v>0</v>
      </c>
      <c r="N124" s="91">
        <v>24.898</v>
      </c>
      <c r="O124" s="91">
        <v>25.148</v>
      </c>
      <c r="P124" s="90">
        <v>218704.03200000001</v>
      </c>
      <c r="Q124" s="90">
        <v>220296.48</v>
      </c>
      <c r="R124" s="88">
        <v>19.152000000000001</v>
      </c>
      <c r="S124" s="90">
        <v>168231.16800000001</v>
      </c>
      <c r="T124" s="90">
        <v>167771.52000000002</v>
      </c>
      <c r="U124" s="91">
        <v>5.7460000000000004</v>
      </c>
      <c r="V124" s="91">
        <v>5.9960000000000004</v>
      </c>
      <c r="W124" s="91">
        <v>5.7460000000000004</v>
      </c>
      <c r="X124" s="91">
        <v>5.9960000000000004</v>
      </c>
      <c r="Y124" s="91">
        <v>0</v>
      </c>
      <c r="Z124" s="91">
        <v>0</v>
      </c>
      <c r="AA124" s="88">
        <v>0</v>
      </c>
      <c r="AB124" s="88">
        <v>0</v>
      </c>
      <c r="AC124" s="91">
        <v>5.7460000000000004</v>
      </c>
      <c r="AD124" s="91">
        <v>5.9960000000000004</v>
      </c>
      <c r="AE124" s="92">
        <v>2.7114999999999999E-3</v>
      </c>
      <c r="AF124" s="92">
        <v>2.7114999999999999E-3</v>
      </c>
      <c r="AG124" s="92">
        <v>0</v>
      </c>
      <c r="AH124" s="92">
        <v>2.7114999999999999E-3</v>
      </c>
      <c r="AI124" s="92">
        <v>2.7114999999999999E-3</v>
      </c>
      <c r="AJ124" s="92">
        <v>2.7114999999999999E-3</v>
      </c>
      <c r="AK124" s="92">
        <v>0.76923103050445807</v>
      </c>
      <c r="AL124" s="92">
        <v>0.76158399067520266</v>
      </c>
      <c r="AM124" s="92">
        <v>1.3000208855472013</v>
      </c>
      <c r="AN124" s="92">
        <v>1.3130743525480366</v>
      </c>
      <c r="AO124" s="92">
        <v>9.1001461988304097E-2</v>
      </c>
      <c r="AP124" s="92">
        <v>9.1915204678362575E-2</v>
      </c>
      <c r="AQ124" s="88">
        <v>1</v>
      </c>
      <c r="AR124" s="88">
        <v>3</v>
      </c>
      <c r="AS124" s="91">
        <v>0</v>
      </c>
      <c r="AT124" s="91">
        <v>0</v>
      </c>
      <c r="AU124" s="91">
        <v>5.7460000000000004</v>
      </c>
      <c r="AV124" s="91">
        <v>5.9960000000000004</v>
      </c>
      <c r="AW124" s="91">
        <v>0</v>
      </c>
      <c r="AX124" s="91">
        <v>0</v>
      </c>
      <c r="AY124" s="91">
        <v>0</v>
      </c>
      <c r="AZ124" s="91">
        <v>0</v>
      </c>
      <c r="BA124" s="91">
        <v>0</v>
      </c>
      <c r="BB124" s="91">
        <v>0</v>
      </c>
      <c r="BC124" s="91">
        <v>0</v>
      </c>
      <c r="BD124" s="91">
        <v>0</v>
      </c>
      <c r="BE124" s="91">
        <v>24.898</v>
      </c>
      <c r="BF124" s="91">
        <v>25.148</v>
      </c>
      <c r="BG124" s="88">
        <v>1</v>
      </c>
      <c r="BH124"/>
      <c r="BI124"/>
      <c r="BJ124"/>
      <c r="BK124"/>
      <c r="BL124"/>
      <c r="BM124"/>
      <c r="BN124"/>
      <c r="BO124"/>
      <c r="BP124"/>
      <c r="BQ124"/>
    </row>
    <row r="125" spans="1:69">
      <c r="A125" s="95">
        <v>10440</v>
      </c>
      <c r="B125" s="95" t="s">
        <v>129</v>
      </c>
      <c r="C125" s="95">
        <v>1</v>
      </c>
      <c r="D125" s="95">
        <v>0</v>
      </c>
      <c r="E125" s="99">
        <v>5.08</v>
      </c>
      <c r="F125" s="99">
        <v>5.2519999999999998</v>
      </c>
      <c r="G125" s="99">
        <v>5.2679999999999998</v>
      </c>
      <c r="H125" s="91">
        <v>0</v>
      </c>
      <c r="I125" s="91">
        <v>0</v>
      </c>
      <c r="J125" s="91">
        <v>0</v>
      </c>
      <c r="K125" s="91">
        <v>0</v>
      </c>
      <c r="L125" s="90">
        <v>0</v>
      </c>
      <c r="M125" s="90">
        <v>0</v>
      </c>
      <c r="N125" s="91">
        <v>5.2519999999999998</v>
      </c>
      <c r="O125" s="91">
        <v>5.2679999999999998</v>
      </c>
      <c r="P125" s="90">
        <v>46133.567999999999</v>
      </c>
      <c r="Q125" s="90">
        <v>46147.68</v>
      </c>
      <c r="R125" s="88">
        <v>5.0049999999999999</v>
      </c>
      <c r="S125" s="90">
        <v>43963.92</v>
      </c>
      <c r="T125" s="90">
        <v>43843.799999999996</v>
      </c>
      <c r="U125" s="91">
        <v>0.247</v>
      </c>
      <c r="V125" s="91">
        <v>0.26300000000000001</v>
      </c>
      <c r="W125" s="91">
        <v>0</v>
      </c>
      <c r="X125" s="91">
        <v>0</v>
      </c>
      <c r="Y125" s="91">
        <v>0.247</v>
      </c>
      <c r="Z125" s="91">
        <v>0.26300000000000001</v>
      </c>
      <c r="AA125" s="88">
        <v>0</v>
      </c>
      <c r="AB125" s="88">
        <v>0</v>
      </c>
      <c r="AC125" s="91">
        <v>0</v>
      </c>
      <c r="AD125" s="91">
        <v>0</v>
      </c>
      <c r="AE125" s="92">
        <v>7.0859999999999999E-4</v>
      </c>
      <c r="AF125" s="92">
        <v>7.0859999999999999E-4</v>
      </c>
      <c r="AG125" s="92">
        <v>0</v>
      </c>
      <c r="AH125" s="92">
        <v>7.0859999999999999E-4</v>
      </c>
      <c r="AI125" s="92">
        <v>7.0859999999999999E-4</v>
      </c>
      <c r="AJ125" s="92">
        <v>7.0859999999999999E-4</v>
      </c>
      <c r="AK125" s="92">
        <v>0.95298942098248285</v>
      </c>
      <c r="AL125" s="92">
        <v>0.95009499601366743</v>
      </c>
      <c r="AM125" s="92">
        <v>1.0493506493506493</v>
      </c>
      <c r="AN125" s="92">
        <v>1.0525474525474525</v>
      </c>
      <c r="AO125" s="92">
        <v>5.7714285714285711E-2</v>
      </c>
      <c r="AP125" s="92">
        <v>5.7890109890109891E-2</v>
      </c>
      <c r="AQ125" s="88">
        <v>1</v>
      </c>
      <c r="AR125" s="88">
        <v>1</v>
      </c>
      <c r="AS125" s="91">
        <v>0</v>
      </c>
      <c r="AT125" s="91">
        <v>0</v>
      </c>
      <c r="AU125" s="91">
        <v>0</v>
      </c>
      <c r="AV125" s="91">
        <v>0</v>
      </c>
      <c r="AW125" s="91">
        <v>0</v>
      </c>
      <c r="AX125" s="91">
        <v>0</v>
      </c>
      <c r="AY125" s="91">
        <v>0</v>
      </c>
      <c r="AZ125" s="91">
        <v>0</v>
      </c>
      <c r="BA125" s="91">
        <v>0</v>
      </c>
      <c r="BB125" s="91">
        <v>0</v>
      </c>
      <c r="BC125" s="91">
        <v>0</v>
      </c>
      <c r="BD125" s="91">
        <v>0</v>
      </c>
      <c r="BE125" s="91">
        <v>5.2519999999999998</v>
      </c>
      <c r="BF125" s="91">
        <v>5.2679999999999998</v>
      </c>
      <c r="BG125" s="88">
        <v>0</v>
      </c>
      <c r="BH125"/>
      <c r="BI125"/>
      <c r="BJ125"/>
      <c r="BK125"/>
      <c r="BL125"/>
      <c r="BM125"/>
      <c r="BN125"/>
      <c r="BO125"/>
      <c r="BP125"/>
      <c r="BQ125"/>
    </row>
    <row r="126" spans="1:69">
      <c r="A126" s="95">
        <v>10442</v>
      </c>
      <c r="B126" s="95" t="s">
        <v>130</v>
      </c>
      <c r="C126" s="95">
        <v>1</v>
      </c>
      <c r="D126" s="95">
        <v>0</v>
      </c>
      <c r="E126" s="99">
        <v>13.596</v>
      </c>
      <c r="F126" s="99">
        <v>12.584</v>
      </c>
      <c r="G126" s="99">
        <v>12.634</v>
      </c>
      <c r="H126" s="91">
        <v>0</v>
      </c>
      <c r="I126" s="91">
        <v>0</v>
      </c>
      <c r="J126" s="91">
        <v>0</v>
      </c>
      <c r="K126" s="91">
        <v>0</v>
      </c>
      <c r="L126" s="90">
        <v>0</v>
      </c>
      <c r="M126" s="90">
        <v>0</v>
      </c>
      <c r="N126" s="91">
        <v>12.585000000000001</v>
      </c>
      <c r="O126" s="91">
        <v>12.635</v>
      </c>
      <c r="P126" s="90">
        <v>110546.64000000001</v>
      </c>
      <c r="Q126" s="90">
        <v>110682.59999999999</v>
      </c>
      <c r="R126" s="88">
        <v>13.396000000000001</v>
      </c>
      <c r="S126" s="90">
        <v>117670.46400000001</v>
      </c>
      <c r="T126" s="90">
        <v>117348.96</v>
      </c>
      <c r="U126" s="91">
        <v>0</v>
      </c>
      <c r="V126" s="91">
        <v>0</v>
      </c>
      <c r="W126" s="91">
        <v>0</v>
      </c>
      <c r="X126" s="91">
        <v>0</v>
      </c>
      <c r="Y126" s="91">
        <v>0</v>
      </c>
      <c r="Z126" s="91">
        <v>0</v>
      </c>
      <c r="AA126" s="88">
        <v>0</v>
      </c>
      <c r="AB126" s="88">
        <v>0</v>
      </c>
      <c r="AC126" s="91">
        <v>0</v>
      </c>
      <c r="AD126" s="91">
        <v>0</v>
      </c>
      <c r="AE126" s="92">
        <v>1.7817E-3</v>
      </c>
      <c r="AF126" s="92">
        <v>1.7887999999999999E-3</v>
      </c>
      <c r="AG126" s="92">
        <v>0</v>
      </c>
      <c r="AH126" s="92">
        <v>1.7817E-3</v>
      </c>
      <c r="AI126" s="92">
        <v>1.7887999999999999E-3</v>
      </c>
      <c r="AJ126" s="92">
        <v>1.7852499999999999E-3</v>
      </c>
      <c r="AK126" s="92">
        <v>0.99998390309892715</v>
      </c>
      <c r="AL126" s="92">
        <v>0.99999582999604275</v>
      </c>
      <c r="AM126" s="92">
        <v>1</v>
      </c>
      <c r="AN126" s="92">
        <v>1</v>
      </c>
      <c r="AO126" s="92">
        <v>7.0000000000000007E-2</v>
      </c>
      <c r="AP126" s="92">
        <v>7.0000000000000007E-2</v>
      </c>
      <c r="AQ126" s="88">
        <v>1</v>
      </c>
      <c r="AR126" s="88">
        <v>1</v>
      </c>
      <c r="AS126" s="91">
        <v>0</v>
      </c>
      <c r="AT126" s="91">
        <v>0</v>
      </c>
      <c r="AU126" s="91">
        <v>0</v>
      </c>
      <c r="AV126" s="91">
        <v>0</v>
      </c>
      <c r="AW126" s="91">
        <v>0</v>
      </c>
      <c r="AX126" s="91">
        <v>0</v>
      </c>
      <c r="AY126" s="91">
        <v>0</v>
      </c>
      <c r="AZ126" s="91">
        <v>0</v>
      </c>
      <c r="BA126" s="91">
        <v>0</v>
      </c>
      <c r="BB126" s="91">
        <v>0</v>
      </c>
      <c r="BC126" s="91">
        <v>0</v>
      </c>
      <c r="BD126" s="91">
        <v>0</v>
      </c>
      <c r="BE126" s="91">
        <v>12.585000000000001</v>
      </c>
      <c r="BF126" s="91">
        <v>12.635</v>
      </c>
      <c r="BG126" s="88">
        <v>1</v>
      </c>
      <c r="BH126"/>
      <c r="BI126"/>
      <c r="BJ126"/>
      <c r="BK126"/>
      <c r="BL126"/>
      <c r="BM126"/>
      <c r="BN126"/>
      <c r="BO126"/>
      <c r="BP126"/>
      <c r="BQ126"/>
    </row>
    <row r="127" spans="1:69">
      <c r="A127" s="95">
        <v>10446</v>
      </c>
      <c r="B127" s="95" t="s">
        <v>131</v>
      </c>
      <c r="C127" s="95">
        <v>1</v>
      </c>
      <c r="D127" s="95">
        <v>0</v>
      </c>
      <c r="E127" s="99">
        <v>97.2</v>
      </c>
      <c r="F127" s="99">
        <v>97.009</v>
      </c>
      <c r="G127" s="99">
        <v>99.700999999999993</v>
      </c>
      <c r="H127" s="91">
        <v>0</v>
      </c>
      <c r="I127" s="91">
        <v>0</v>
      </c>
      <c r="J127" s="91">
        <v>0</v>
      </c>
      <c r="K127" s="91">
        <v>0</v>
      </c>
      <c r="L127" s="90">
        <v>0</v>
      </c>
      <c r="M127" s="90">
        <v>0</v>
      </c>
      <c r="N127" s="91">
        <v>97.009</v>
      </c>
      <c r="O127" s="91">
        <v>99.700999999999993</v>
      </c>
      <c r="P127" s="90">
        <v>852127.05599999998</v>
      </c>
      <c r="Q127" s="90">
        <v>873380.75999999989</v>
      </c>
      <c r="R127" s="88">
        <v>95.771000000000001</v>
      </c>
      <c r="S127" s="90">
        <v>841252.46400000004</v>
      </c>
      <c r="T127" s="90">
        <v>838953.96</v>
      </c>
      <c r="U127" s="91">
        <v>1.2379999999999995</v>
      </c>
      <c r="V127" s="91">
        <v>3.9299999999999926</v>
      </c>
      <c r="W127" s="91">
        <v>1.2379999999999995</v>
      </c>
      <c r="X127" s="91">
        <v>3.9299999999999926</v>
      </c>
      <c r="Y127" s="91">
        <v>0</v>
      </c>
      <c r="Z127" s="91">
        <v>0</v>
      </c>
      <c r="AA127" s="88">
        <v>0</v>
      </c>
      <c r="AB127" s="88">
        <v>0</v>
      </c>
      <c r="AC127" s="91">
        <v>1.2379999999999995</v>
      </c>
      <c r="AD127" s="91">
        <v>3.9299999999999926</v>
      </c>
      <c r="AE127" s="92">
        <v>1.3558799999999999E-2</v>
      </c>
      <c r="AF127" s="92">
        <v>1.3558799999999999E-2</v>
      </c>
      <c r="AG127" s="92">
        <v>0</v>
      </c>
      <c r="AH127" s="92">
        <v>1.3558799999999999E-2</v>
      </c>
      <c r="AI127" s="92">
        <v>1.3558799999999999E-2</v>
      </c>
      <c r="AJ127" s="92">
        <v>1.3558799999999999E-2</v>
      </c>
      <c r="AK127" s="92">
        <v>0.9872357550536548</v>
      </c>
      <c r="AL127" s="92">
        <v>0.96057966682380314</v>
      </c>
      <c r="AM127" s="92">
        <v>1.0129266688245919</v>
      </c>
      <c r="AN127" s="92">
        <v>1.0410353864948678</v>
      </c>
      <c r="AO127" s="92">
        <v>6.5840233473598478E-2</v>
      </c>
      <c r="AP127" s="92">
        <v>6.7667300122166416E-2</v>
      </c>
      <c r="AQ127" s="88">
        <v>3</v>
      </c>
      <c r="AR127" s="88">
        <v>3</v>
      </c>
      <c r="AS127" s="91">
        <v>5</v>
      </c>
      <c r="AT127" s="91">
        <v>0</v>
      </c>
      <c r="AU127" s="91">
        <v>0.23799999999999999</v>
      </c>
      <c r="AV127" s="91">
        <v>3.93</v>
      </c>
      <c r="AW127" s="91">
        <v>0</v>
      </c>
      <c r="AX127" s="91">
        <v>0</v>
      </c>
      <c r="AY127" s="91">
        <v>0</v>
      </c>
      <c r="AZ127" s="91">
        <v>-7.5495165674510645E-15</v>
      </c>
      <c r="BA127" s="91">
        <v>0</v>
      </c>
      <c r="BB127" s="91">
        <v>-7.5495165674510645E-15</v>
      </c>
      <c r="BC127" s="91">
        <v>0</v>
      </c>
      <c r="BD127" s="91">
        <v>0</v>
      </c>
      <c r="BE127" s="91">
        <v>96.009</v>
      </c>
      <c r="BF127" s="91">
        <v>99.700999999999993</v>
      </c>
      <c r="BG127" s="88">
        <v>1</v>
      </c>
      <c r="BH127"/>
      <c r="BI127"/>
      <c r="BJ127"/>
      <c r="BK127"/>
      <c r="BL127"/>
      <c r="BM127"/>
      <c r="BN127"/>
      <c r="BO127"/>
      <c r="BP127"/>
      <c r="BQ127"/>
    </row>
    <row r="128" spans="1:69">
      <c r="A128" s="95">
        <v>10448</v>
      </c>
      <c r="B128" s="95" t="s">
        <v>132</v>
      </c>
      <c r="C128" s="95">
        <v>0</v>
      </c>
      <c r="D128" s="95">
        <v>1</v>
      </c>
      <c r="E128" s="99">
        <v>8.6079999999999988</v>
      </c>
      <c r="F128" s="99">
        <v>8.2409999999999997</v>
      </c>
      <c r="G128" s="99">
        <v>8.2360000000000007</v>
      </c>
      <c r="H128" s="91">
        <v>0</v>
      </c>
      <c r="I128" s="91">
        <v>0</v>
      </c>
      <c r="J128" s="91">
        <v>0</v>
      </c>
      <c r="K128" s="91">
        <v>0</v>
      </c>
      <c r="L128" s="90">
        <v>0</v>
      </c>
      <c r="M128" s="90">
        <v>0</v>
      </c>
      <c r="N128" s="91">
        <v>8.2409999999999997</v>
      </c>
      <c r="O128" s="91">
        <v>8.2360000000000007</v>
      </c>
      <c r="P128" s="90">
        <v>72388.944000000003</v>
      </c>
      <c r="Q128" s="90">
        <v>72147.360000000001</v>
      </c>
      <c r="R128" s="88">
        <v>8.4809999999999999</v>
      </c>
      <c r="S128" s="90">
        <v>74497.103999999992</v>
      </c>
      <c r="T128" s="90">
        <v>74293.56</v>
      </c>
      <c r="U128" s="91">
        <v>0</v>
      </c>
      <c r="V128" s="91">
        <v>0</v>
      </c>
      <c r="W128" s="91">
        <v>0</v>
      </c>
      <c r="X128" s="91">
        <v>0</v>
      </c>
      <c r="Y128" s="91">
        <v>0</v>
      </c>
      <c r="Z128" s="91">
        <v>0</v>
      </c>
      <c r="AA128" s="88">
        <v>0</v>
      </c>
      <c r="AB128" s="88">
        <v>0</v>
      </c>
      <c r="AC128" s="91">
        <v>0</v>
      </c>
      <c r="AD128" s="91">
        <v>0</v>
      </c>
      <c r="AE128" s="92">
        <v>1.1666999999999999E-3</v>
      </c>
      <c r="AF128" s="92">
        <v>1.1659999999999999E-3</v>
      </c>
      <c r="AG128" s="92">
        <v>0</v>
      </c>
      <c r="AH128" s="92">
        <v>1.1666999999999999E-3</v>
      </c>
      <c r="AI128" s="92">
        <v>1.1659999999999999E-3</v>
      </c>
      <c r="AJ128" s="92">
        <v>1.16635E-3</v>
      </c>
      <c r="AK128" s="92">
        <v>0.99997912213323625</v>
      </c>
      <c r="AL128" s="92">
        <v>0.99998586571151016</v>
      </c>
      <c r="AM128" s="92">
        <v>1</v>
      </c>
      <c r="AN128" s="92">
        <v>1</v>
      </c>
      <c r="AO128" s="92">
        <v>7.0000000000000007E-2</v>
      </c>
      <c r="AP128" s="92">
        <v>7.0000000000000007E-2</v>
      </c>
      <c r="AQ128" s="88">
        <v>6</v>
      </c>
      <c r="AR128" s="88">
        <v>6</v>
      </c>
      <c r="AS128" s="91">
        <v>0</v>
      </c>
      <c r="AT128" s="91">
        <v>0</v>
      </c>
      <c r="AU128" s="91">
        <v>0</v>
      </c>
      <c r="AV128" s="91">
        <v>0</v>
      </c>
      <c r="AW128" s="91">
        <v>0</v>
      </c>
      <c r="AX128" s="91">
        <v>0</v>
      </c>
      <c r="AY128" s="91">
        <v>0</v>
      </c>
      <c r="AZ128" s="91">
        <v>0</v>
      </c>
      <c r="BA128" s="91">
        <v>0</v>
      </c>
      <c r="BB128" s="91">
        <v>0</v>
      </c>
      <c r="BC128" s="91">
        <v>0</v>
      </c>
      <c r="BD128" s="91">
        <v>0</v>
      </c>
      <c r="BE128" s="91">
        <v>8.2409999999999997</v>
      </c>
      <c r="BF128" s="91">
        <v>8.2360000000000007</v>
      </c>
      <c r="BG128" s="88">
        <v>1</v>
      </c>
      <c r="BH128"/>
      <c r="BI128"/>
      <c r="BJ128"/>
      <c r="BK128"/>
      <c r="BL128"/>
      <c r="BM128"/>
      <c r="BN128"/>
      <c r="BO128"/>
      <c r="BP128"/>
      <c r="BQ128"/>
    </row>
    <row r="129" spans="1:69">
      <c r="A129" s="95">
        <v>10451</v>
      </c>
      <c r="B129" s="95" t="s">
        <v>133</v>
      </c>
      <c r="C129" s="95">
        <v>1</v>
      </c>
      <c r="D129" s="95">
        <v>0</v>
      </c>
      <c r="E129" s="99">
        <v>27.233000000000001</v>
      </c>
      <c r="F129" s="99">
        <v>26.242000000000001</v>
      </c>
      <c r="G129" s="99">
        <v>26.806000000000001</v>
      </c>
      <c r="H129" s="91">
        <v>0</v>
      </c>
      <c r="I129" s="91">
        <v>0</v>
      </c>
      <c r="J129" s="91">
        <v>0</v>
      </c>
      <c r="K129" s="91">
        <v>0</v>
      </c>
      <c r="L129" s="90">
        <v>0</v>
      </c>
      <c r="M129" s="90">
        <v>0</v>
      </c>
      <c r="N129" s="91">
        <v>26.242000000000001</v>
      </c>
      <c r="O129" s="91">
        <v>26.806000000000001</v>
      </c>
      <c r="P129" s="90">
        <v>230509.728</v>
      </c>
      <c r="Q129" s="90">
        <v>234820.56</v>
      </c>
      <c r="R129" s="88">
        <v>26.832999999999998</v>
      </c>
      <c r="S129" s="90">
        <v>235701.07199999999</v>
      </c>
      <c r="T129" s="90">
        <v>235057.08</v>
      </c>
      <c r="U129" s="91">
        <v>0</v>
      </c>
      <c r="V129" s="91">
        <v>0</v>
      </c>
      <c r="W129" s="91">
        <v>0</v>
      </c>
      <c r="X129" s="91">
        <v>0</v>
      </c>
      <c r="Y129" s="91">
        <v>0</v>
      </c>
      <c r="Z129" s="91">
        <v>0</v>
      </c>
      <c r="AA129" s="88">
        <v>0</v>
      </c>
      <c r="AB129" s="88">
        <v>0</v>
      </c>
      <c r="AC129" s="91">
        <v>0</v>
      </c>
      <c r="AD129" s="91">
        <v>0</v>
      </c>
      <c r="AE129" s="92">
        <v>3.7152000000000001E-3</v>
      </c>
      <c r="AF129" s="92">
        <v>3.7951E-3</v>
      </c>
      <c r="AG129" s="92">
        <v>0</v>
      </c>
      <c r="AH129" s="92">
        <v>3.7152000000000001E-3</v>
      </c>
      <c r="AI129" s="92">
        <v>3.7951E-3</v>
      </c>
      <c r="AJ129" s="92">
        <v>3.7551500000000001E-3</v>
      </c>
      <c r="AK129" s="92">
        <v>0.99999289871198838</v>
      </c>
      <c r="AL129" s="92">
        <v>1</v>
      </c>
      <c r="AM129" s="92">
        <v>1</v>
      </c>
      <c r="AN129" s="92">
        <v>1</v>
      </c>
      <c r="AO129" s="92">
        <v>0</v>
      </c>
      <c r="AP129" s="92">
        <v>0</v>
      </c>
      <c r="AQ129" s="88">
        <v>1</v>
      </c>
      <c r="AR129" s="88">
        <v>3</v>
      </c>
      <c r="AS129" s="91">
        <v>0</v>
      </c>
      <c r="AT129" s="91">
        <v>0</v>
      </c>
      <c r="AU129" s="91">
        <v>0</v>
      </c>
      <c r="AV129" s="91">
        <v>0</v>
      </c>
      <c r="AW129" s="91">
        <v>0</v>
      </c>
      <c r="AX129" s="91">
        <v>0</v>
      </c>
      <c r="AY129" s="91">
        <v>0</v>
      </c>
      <c r="AZ129" s="91">
        <v>0</v>
      </c>
      <c r="BA129" s="91">
        <v>0</v>
      </c>
      <c r="BB129" s="91">
        <v>0</v>
      </c>
      <c r="BC129" s="91">
        <v>0</v>
      </c>
      <c r="BD129" s="91">
        <v>0</v>
      </c>
      <c r="BE129" s="91">
        <v>26.242000000000001</v>
      </c>
      <c r="BF129" s="91">
        <v>26.806000000000001</v>
      </c>
      <c r="BG129" s="88">
        <v>0</v>
      </c>
      <c r="BH129"/>
      <c r="BI129"/>
      <c r="BJ129"/>
      <c r="BK129"/>
      <c r="BL129"/>
      <c r="BM129"/>
      <c r="BN129"/>
      <c r="BO129"/>
      <c r="BP129"/>
      <c r="BQ129"/>
    </row>
    <row r="130" spans="1:69">
      <c r="A130" s="95">
        <v>10482</v>
      </c>
      <c r="B130" s="95" t="s">
        <v>134</v>
      </c>
      <c r="C130" s="95">
        <v>1</v>
      </c>
      <c r="D130" s="95">
        <v>0</v>
      </c>
      <c r="E130" s="99">
        <v>4.1749999999999998</v>
      </c>
      <c r="F130" s="99">
        <v>2.7749999999999999</v>
      </c>
      <c r="G130" s="99">
        <v>2.8090000000000002</v>
      </c>
      <c r="H130" s="91">
        <v>0</v>
      </c>
      <c r="I130" s="91">
        <v>0</v>
      </c>
      <c r="J130" s="91">
        <v>0</v>
      </c>
      <c r="K130" s="91">
        <v>0</v>
      </c>
      <c r="L130" s="90">
        <v>0</v>
      </c>
      <c r="M130" s="90">
        <v>0</v>
      </c>
      <c r="N130" s="91">
        <v>2.7749999999999999</v>
      </c>
      <c r="O130" s="91">
        <v>2.8090000000000002</v>
      </c>
      <c r="P130" s="90">
        <v>24375.599999999999</v>
      </c>
      <c r="Q130" s="90">
        <v>24606.84</v>
      </c>
      <c r="R130" s="88">
        <v>4.1139999999999999</v>
      </c>
      <c r="S130" s="90">
        <v>36137.375999999997</v>
      </c>
      <c r="T130" s="90">
        <v>36038.639999999999</v>
      </c>
      <c r="U130" s="91">
        <v>0</v>
      </c>
      <c r="V130" s="91">
        <v>0</v>
      </c>
      <c r="W130" s="91">
        <v>0</v>
      </c>
      <c r="X130" s="91">
        <v>0</v>
      </c>
      <c r="Y130" s="91">
        <v>0</v>
      </c>
      <c r="Z130" s="91">
        <v>0</v>
      </c>
      <c r="AA130" s="88">
        <v>0</v>
      </c>
      <c r="AB130" s="88">
        <v>0</v>
      </c>
      <c r="AC130" s="91">
        <v>0</v>
      </c>
      <c r="AD130" s="91">
        <v>0</v>
      </c>
      <c r="AE130" s="92">
        <v>3.9290000000000001E-4</v>
      </c>
      <c r="AF130" s="92">
        <v>3.9770000000000002E-4</v>
      </c>
      <c r="AG130" s="92">
        <v>0</v>
      </c>
      <c r="AH130" s="92">
        <v>3.9290000000000001E-4</v>
      </c>
      <c r="AI130" s="92">
        <v>3.9770000000000002E-4</v>
      </c>
      <c r="AJ130" s="92">
        <v>3.9530000000000001E-4</v>
      </c>
      <c r="AK130" s="92">
        <v>1</v>
      </c>
      <c r="AL130" s="92">
        <v>1</v>
      </c>
      <c r="AM130" s="92">
        <v>1</v>
      </c>
      <c r="AN130" s="92">
        <v>1</v>
      </c>
      <c r="AO130" s="92">
        <v>0</v>
      </c>
      <c r="AP130" s="92">
        <v>0</v>
      </c>
      <c r="AQ130" s="88">
        <v>1</v>
      </c>
      <c r="AR130" s="88">
        <v>1</v>
      </c>
      <c r="AS130" s="91">
        <v>0</v>
      </c>
      <c r="AT130" s="91">
        <v>0</v>
      </c>
      <c r="AU130" s="91">
        <v>0</v>
      </c>
      <c r="AV130" s="91">
        <v>0</v>
      </c>
      <c r="AW130" s="91">
        <v>0</v>
      </c>
      <c r="AX130" s="91">
        <v>0</v>
      </c>
      <c r="AY130" s="91">
        <v>0</v>
      </c>
      <c r="AZ130" s="91">
        <v>0</v>
      </c>
      <c r="BA130" s="91">
        <v>0</v>
      </c>
      <c r="BB130" s="91">
        <v>0</v>
      </c>
      <c r="BC130" s="91">
        <v>0</v>
      </c>
      <c r="BD130" s="91">
        <v>0</v>
      </c>
      <c r="BE130" s="91">
        <v>2.7749999999999999</v>
      </c>
      <c r="BF130" s="91">
        <v>2.8090000000000002</v>
      </c>
      <c r="BG130" s="88">
        <v>0</v>
      </c>
      <c r="BH130"/>
      <c r="BI130"/>
      <c r="BJ130"/>
      <c r="BK130"/>
      <c r="BL130"/>
      <c r="BM130"/>
      <c r="BN130"/>
      <c r="BO130"/>
      <c r="BP130"/>
      <c r="BQ130"/>
    </row>
    <row r="131" spans="1:69">
      <c r="A131" s="95">
        <v>10502</v>
      </c>
      <c r="B131" s="95" t="s">
        <v>135</v>
      </c>
      <c r="C131" s="95">
        <v>1</v>
      </c>
      <c r="D131" s="95">
        <v>0</v>
      </c>
      <c r="E131" s="99">
        <v>18.986000000000001</v>
      </c>
      <c r="F131" s="99">
        <v>18.614999999999998</v>
      </c>
      <c r="G131" s="99">
        <v>18.718</v>
      </c>
      <c r="H131" s="91">
        <v>0</v>
      </c>
      <c r="I131" s="91">
        <v>0</v>
      </c>
      <c r="J131" s="91">
        <v>0</v>
      </c>
      <c r="K131" s="91">
        <v>0</v>
      </c>
      <c r="L131" s="90">
        <v>0</v>
      </c>
      <c r="M131" s="90">
        <v>0</v>
      </c>
      <c r="N131" s="99">
        <v>18.614999999999998</v>
      </c>
      <c r="O131" s="99">
        <v>18.718</v>
      </c>
      <c r="P131" s="90">
        <v>163514.15999999997</v>
      </c>
      <c r="Q131" s="90">
        <v>163969.68</v>
      </c>
      <c r="R131" s="88">
        <v>18.707000000000001</v>
      </c>
      <c r="S131" s="90">
        <v>164322.288</v>
      </c>
      <c r="T131" s="90">
        <v>163873.32</v>
      </c>
      <c r="U131" s="91">
        <v>0</v>
      </c>
      <c r="V131" s="91">
        <v>1.0999999999999999E-2</v>
      </c>
      <c r="W131" s="91">
        <v>0</v>
      </c>
      <c r="X131" s="91">
        <v>0</v>
      </c>
      <c r="Y131" s="91">
        <v>0</v>
      </c>
      <c r="Z131" s="91">
        <v>1.0999999999999999E-2</v>
      </c>
      <c r="AA131" s="88">
        <v>0</v>
      </c>
      <c r="AB131" s="88">
        <v>0</v>
      </c>
      <c r="AC131" s="91">
        <v>0</v>
      </c>
      <c r="AD131" s="91">
        <v>0</v>
      </c>
      <c r="AE131" s="92">
        <v>2.6354E-3</v>
      </c>
      <c r="AF131" s="92">
        <v>2.6484999999999998E-3</v>
      </c>
      <c r="AG131" s="92">
        <v>0</v>
      </c>
      <c r="AH131" s="92">
        <v>2.6354E-3</v>
      </c>
      <c r="AI131" s="92">
        <v>2.6484999999999998E-3</v>
      </c>
      <c r="AJ131" s="92">
        <v>2.6419499999999997E-3</v>
      </c>
      <c r="AK131" s="92">
        <v>0.99998883271555206</v>
      </c>
      <c r="AL131" s="92">
        <v>0.99942954388823579</v>
      </c>
      <c r="AM131" s="92">
        <v>1</v>
      </c>
      <c r="AN131" s="92">
        <v>1.0005880151814828</v>
      </c>
      <c r="AO131" s="92">
        <v>7.0000000000000007E-2</v>
      </c>
      <c r="AP131" s="92">
        <v>7.0041161062703805E-2</v>
      </c>
      <c r="AQ131" s="88">
        <v>1</v>
      </c>
      <c r="AR131" s="88">
        <v>3</v>
      </c>
      <c r="AS131" s="91">
        <v>0</v>
      </c>
      <c r="AT131" s="91">
        <v>0</v>
      </c>
      <c r="AU131" s="91">
        <v>0</v>
      </c>
      <c r="AV131" s="91">
        <v>0</v>
      </c>
      <c r="AW131" s="91">
        <v>0</v>
      </c>
      <c r="AX131" s="91">
        <v>0</v>
      </c>
      <c r="AY131" s="91">
        <v>0</v>
      </c>
      <c r="AZ131" s="91">
        <v>0</v>
      </c>
      <c r="BA131" s="91">
        <v>0</v>
      </c>
      <c r="BB131" s="91">
        <v>0</v>
      </c>
      <c r="BC131" s="91">
        <v>0</v>
      </c>
      <c r="BD131" s="91">
        <v>0</v>
      </c>
      <c r="BE131" s="91">
        <v>18.614999999999998</v>
      </c>
      <c r="BF131" s="91">
        <v>18.718</v>
      </c>
      <c r="BG131" s="88">
        <v>1</v>
      </c>
      <c r="BH131"/>
      <c r="BI131"/>
      <c r="BJ131"/>
      <c r="BK131"/>
      <c r="BL131"/>
      <c r="BM131"/>
      <c r="BN131"/>
      <c r="BO131"/>
      <c r="BP131"/>
      <c r="BQ131"/>
    </row>
    <row r="132" spans="1:69">
      <c r="A132" s="95">
        <v>13927</v>
      </c>
      <c r="B132" s="95" t="s">
        <v>238</v>
      </c>
      <c r="C132" s="95">
        <v>1</v>
      </c>
      <c r="D132" s="95">
        <v>0</v>
      </c>
      <c r="E132" s="99">
        <v>4.1340000000000003</v>
      </c>
      <c r="F132" s="99">
        <v>3.5659999999999998</v>
      </c>
      <c r="G132" s="99">
        <v>4.0679999999999996</v>
      </c>
      <c r="H132" s="91">
        <v>0</v>
      </c>
      <c r="I132" s="91">
        <v>0</v>
      </c>
      <c r="J132" s="91">
        <v>0</v>
      </c>
      <c r="K132" s="91">
        <v>0</v>
      </c>
      <c r="L132" s="90">
        <v>0</v>
      </c>
      <c r="M132" s="90">
        <v>0</v>
      </c>
      <c r="N132" s="91">
        <v>3.5659999999999998</v>
      </c>
      <c r="O132" s="91">
        <v>4.0679999999999996</v>
      </c>
      <c r="P132" s="90">
        <v>31323.743999999999</v>
      </c>
      <c r="Q132" s="90">
        <v>35635.679999999993</v>
      </c>
      <c r="R132" s="88">
        <v>4.0730000000000004</v>
      </c>
      <c r="S132" s="90">
        <v>35777.232000000004</v>
      </c>
      <c r="T132" s="90">
        <v>35679.480000000003</v>
      </c>
      <c r="U132" s="91">
        <v>0</v>
      </c>
      <c r="V132" s="91">
        <v>0</v>
      </c>
      <c r="W132" s="91">
        <v>0</v>
      </c>
      <c r="X132" s="91">
        <v>0</v>
      </c>
      <c r="Y132" s="91">
        <v>0</v>
      </c>
      <c r="Z132" s="91">
        <v>0</v>
      </c>
      <c r="AA132" s="88">
        <v>0</v>
      </c>
      <c r="AB132" s="88">
        <v>0</v>
      </c>
      <c r="AC132" s="91">
        <v>0</v>
      </c>
      <c r="AD132" s="91">
        <v>0</v>
      </c>
      <c r="AE132" s="92">
        <v>5.0489999999999997E-4</v>
      </c>
      <c r="AF132" s="92">
        <v>5.7589999999999996E-4</v>
      </c>
      <c r="AG132" s="92">
        <v>0</v>
      </c>
      <c r="AH132" s="92">
        <v>5.0489999999999997E-4</v>
      </c>
      <c r="AI132" s="92">
        <v>5.7589999999999996E-4</v>
      </c>
      <c r="AJ132" s="92">
        <v>5.4039999999999991E-4</v>
      </c>
      <c r="AK132" s="92">
        <v>1</v>
      </c>
      <c r="AL132" s="92">
        <v>0.999948845501475</v>
      </c>
      <c r="AM132" s="92">
        <v>1</v>
      </c>
      <c r="AN132" s="92">
        <v>1</v>
      </c>
      <c r="AO132" s="92">
        <v>0</v>
      </c>
      <c r="AP132" s="92">
        <v>0</v>
      </c>
      <c r="AQ132" s="88">
        <v>1</v>
      </c>
      <c r="AR132" s="88">
        <v>3</v>
      </c>
      <c r="AS132" s="91">
        <v>0</v>
      </c>
      <c r="AT132" s="91">
        <v>0</v>
      </c>
      <c r="AU132" s="91">
        <v>0</v>
      </c>
      <c r="AV132" s="91">
        <v>0</v>
      </c>
      <c r="AW132" s="91">
        <v>0</v>
      </c>
      <c r="AX132" s="91">
        <v>0</v>
      </c>
      <c r="AY132" s="91">
        <v>0</v>
      </c>
      <c r="AZ132" s="91">
        <v>0</v>
      </c>
      <c r="BA132" s="91">
        <v>0</v>
      </c>
      <c r="BB132" s="91">
        <v>0</v>
      </c>
      <c r="BC132" s="91">
        <v>0</v>
      </c>
      <c r="BD132" s="91">
        <v>0</v>
      </c>
      <c r="BE132" s="91">
        <v>3.5659999999999998</v>
      </c>
      <c r="BF132" s="91">
        <v>4.0679999999999996</v>
      </c>
      <c r="BG132" s="88">
        <v>1</v>
      </c>
      <c r="BH132"/>
      <c r="BI132"/>
      <c r="BJ132"/>
      <c r="BK132"/>
      <c r="BL132"/>
      <c r="BM132"/>
      <c r="BN132"/>
      <c r="BO132"/>
      <c r="BP132"/>
      <c r="BQ132"/>
    </row>
    <row r="133" spans="1:69">
      <c r="A133" s="95">
        <v>10597</v>
      </c>
      <c r="B133" s="95" t="s">
        <v>136</v>
      </c>
      <c r="C133" s="95">
        <v>1</v>
      </c>
      <c r="D133" s="95">
        <v>0</v>
      </c>
      <c r="E133" s="99">
        <v>13.13</v>
      </c>
      <c r="F133" s="99">
        <v>12.315</v>
      </c>
      <c r="G133" s="99">
        <v>12.32</v>
      </c>
      <c r="H133" s="91">
        <v>0</v>
      </c>
      <c r="I133" s="91">
        <v>0</v>
      </c>
      <c r="J133" s="91">
        <v>0</v>
      </c>
      <c r="K133" s="91">
        <v>0</v>
      </c>
      <c r="L133" s="90">
        <v>0</v>
      </c>
      <c r="M133" s="90">
        <v>0</v>
      </c>
      <c r="N133" s="91">
        <v>12.315</v>
      </c>
      <c r="O133" s="91">
        <v>12.32</v>
      </c>
      <c r="P133" s="90">
        <v>108174.95999999999</v>
      </c>
      <c r="Q133" s="90">
        <v>107923.2</v>
      </c>
      <c r="R133" s="88">
        <v>12.936999999999999</v>
      </c>
      <c r="S133" s="90">
        <v>113638.60799999999</v>
      </c>
      <c r="T133" s="90">
        <v>113328.12</v>
      </c>
      <c r="U133" s="91">
        <v>0</v>
      </c>
      <c r="V133" s="91">
        <v>0</v>
      </c>
      <c r="W133" s="91">
        <v>0</v>
      </c>
      <c r="X133" s="91">
        <v>0</v>
      </c>
      <c r="Y133" s="91">
        <v>0</v>
      </c>
      <c r="Z133" s="91">
        <v>0</v>
      </c>
      <c r="AA133" s="88">
        <v>0</v>
      </c>
      <c r="AB133" s="88">
        <v>0</v>
      </c>
      <c r="AC133" s="91">
        <v>0</v>
      </c>
      <c r="AD133" s="91">
        <v>0</v>
      </c>
      <c r="AE133" s="92">
        <v>1.7435E-3</v>
      </c>
      <c r="AF133" s="92">
        <v>1.7442E-3</v>
      </c>
      <c r="AG133" s="92">
        <v>0</v>
      </c>
      <c r="AH133" s="92">
        <v>1.7435E-3</v>
      </c>
      <c r="AI133" s="92">
        <v>1.7442E-3</v>
      </c>
      <c r="AJ133" s="92">
        <v>1.7438499999999999E-3</v>
      </c>
      <c r="AK133" s="92">
        <v>0.99999812241169306</v>
      </c>
      <c r="AL133" s="92">
        <v>0.9999936065746754</v>
      </c>
      <c r="AM133" s="92">
        <v>1</v>
      </c>
      <c r="AN133" s="92">
        <v>1</v>
      </c>
      <c r="AO133" s="92">
        <v>0</v>
      </c>
      <c r="AP133" s="92">
        <v>0</v>
      </c>
      <c r="AQ133" s="88">
        <v>1</v>
      </c>
      <c r="AR133" s="88">
        <v>3</v>
      </c>
      <c r="AS133" s="91">
        <v>0</v>
      </c>
      <c r="AT133" s="91">
        <v>0</v>
      </c>
      <c r="AU133" s="91">
        <v>0</v>
      </c>
      <c r="AV133" s="91">
        <v>0</v>
      </c>
      <c r="AW133" s="91">
        <v>0</v>
      </c>
      <c r="AX133" s="91">
        <v>0</v>
      </c>
      <c r="AY133" s="91">
        <v>0</v>
      </c>
      <c r="AZ133" s="91">
        <v>0</v>
      </c>
      <c r="BA133" s="91">
        <v>0</v>
      </c>
      <c r="BB133" s="91">
        <v>0</v>
      </c>
      <c r="BC133" s="91">
        <v>0</v>
      </c>
      <c r="BD133" s="91">
        <v>0</v>
      </c>
      <c r="BE133" s="91">
        <v>12.315</v>
      </c>
      <c r="BF133" s="91">
        <v>12.32</v>
      </c>
      <c r="BG133" s="88">
        <v>1</v>
      </c>
      <c r="BH133"/>
      <c r="BI133"/>
      <c r="BJ133"/>
      <c r="BK133"/>
      <c r="BL133"/>
      <c r="BM133"/>
      <c r="BN133"/>
      <c r="BO133"/>
      <c r="BP133"/>
      <c r="BQ133"/>
    </row>
    <row r="134" spans="1:69">
      <c r="A134" s="95">
        <v>10706</v>
      </c>
      <c r="B134" s="95" t="s">
        <v>137</v>
      </c>
      <c r="C134" s="95">
        <v>1</v>
      </c>
      <c r="D134" s="95">
        <v>0</v>
      </c>
      <c r="E134" s="99">
        <v>17.536000000000001</v>
      </c>
      <c r="F134" s="99">
        <v>16.753</v>
      </c>
      <c r="G134" s="99">
        <v>16.887</v>
      </c>
      <c r="H134" s="91">
        <v>0</v>
      </c>
      <c r="I134" s="91">
        <v>0</v>
      </c>
      <c r="J134" s="91">
        <v>0</v>
      </c>
      <c r="K134" s="91">
        <v>0</v>
      </c>
      <c r="L134" s="90">
        <v>0</v>
      </c>
      <c r="M134" s="90">
        <v>0</v>
      </c>
      <c r="N134" s="91">
        <v>16.753</v>
      </c>
      <c r="O134" s="91">
        <v>16.887</v>
      </c>
      <c r="P134" s="90">
        <v>147158.35200000001</v>
      </c>
      <c r="Q134" s="90">
        <v>147930.12</v>
      </c>
      <c r="R134" s="88">
        <v>17.277999999999999</v>
      </c>
      <c r="S134" s="90">
        <v>151769.95199999999</v>
      </c>
      <c r="T134" s="90">
        <v>151355.28</v>
      </c>
      <c r="U134" s="91">
        <v>0</v>
      </c>
      <c r="V134" s="91">
        <v>0</v>
      </c>
      <c r="W134" s="91">
        <v>0</v>
      </c>
      <c r="X134" s="91">
        <v>0</v>
      </c>
      <c r="Y134" s="91">
        <v>0</v>
      </c>
      <c r="Z134" s="91">
        <v>0</v>
      </c>
      <c r="AA134" s="88">
        <v>0</v>
      </c>
      <c r="AB134" s="88">
        <v>0</v>
      </c>
      <c r="AC134" s="91">
        <v>0</v>
      </c>
      <c r="AD134" s="91">
        <v>0</v>
      </c>
      <c r="AE134" s="92">
        <v>2.3717999999999999E-3</v>
      </c>
      <c r="AF134" s="92">
        <v>2.3908000000000002E-3</v>
      </c>
      <c r="AG134" s="92">
        <v>0</v>
      </c>
      <c r="AH134" s="92">
        <v>2.3717999999999999E-3</v>
      </c>
      <c r="AI134" s="92">
        <v>2.3908000000000002E-3</v>
      </c>
      <c r="AJ134" s="92">
        <v>2.3813000000000003E-3</v>
      </c>
      <c r="AK134" s="92">
        <v>0.99999338070793276</v>
      </c>
      <c r="AL134" s="92">
        <v>1</v>
      </c>
      <c r="AM134" s="92">
        <v>1</v>
      </c>
      <c r="AN134" s="92">
        <v>1</v>
      </c>
      <c r="AO134" s="92">
        <v>0</v>
      </c>
      <c r="AP134" s="92">
        <v>0</v>
      </c>
      <c r="AQ134" s="88">
        <v>3</v>
      </c>
      <c r="AR134" s="88">
        <v>3</v>
      </c>
      <c r="AS134" s="91">
        <v>0</v>
      </c>
      <c r="AT134" s="91">
        <v>0</v>
      </c>
      <c r="AU134" s="91">
        <v>0</v>
      </c>
      <c r="AV134" s="91">
        <v>0</v>
      </c>
      <c r="AW134" s="91">
        <v>0</v>
      </c>
      <c r="AX134" s="91">
        <v>0</v>
      </c>
      <c r="AY134" s="91">
        <v>0</v>
      </c>
      <c r="AZ134" s="91">
        <v>0</v>
      </c>
      <c r="BA134" s="91">
        <v>0</v>
      </c>
      <c r="BB134" s="91">
        <v>0</v>
      </c>
      <c r="BC134" s="91">
        <v>0</v>
      </c>
      <c r="BD134" s="91">
        <v>0</v>
      </c>
      <c r="BE134" s="91">
        <v>16.753</v>
      </c>
      <c r="BF134" s="91">
        <v>16.887</v>
      </c>
      <c r="BG134" s="88">
        <v>1</v>
      </c>
      <c r="BH134"/>
      <c r="BI134"/>
      <c r="BJ134"/>
      <c r="BK134"/>
      <c r="BL134"/>
      <c r="BM134"/>
      <c r="BN134"/>
      <c r="BO134"/>
      <c r="BP134"/>
      <c r="BQ134"/>
    </row>
    <row r="135" spans="1:69">
      <c r="A135" s="95">
        <v>11680</v>
      </c>
      <c r="B135" s="95" t="s">
        <v>138</v>
      </c>
      <c r="C135" s="95">
        <v>1</v>
      </c>
      <c r="D135" s="95">
        <v>0</v>
      </c>
      <c r="E135" s="99">
        <v>6.423</v>
      </c>
      <c r="F135" s="99">
        <v>6.5350000000000001</v>
      </c>
      <c r="G135" s="99">
        <v>6.5460000000000003</v>
      </c>
      <c r="H135" s="91">
        <v>0</v>
      </c>
      <c r="I135" s="91">
        <v>0</v>
      </c>
      <c r="J135" s="91">
        <v>0</v>
      </c>
      <c r="K135" s="91">
        <v>0</v>
      </c>
      <c r="L135" s="90">
        <v>0</v>
      </c>
      <c r="M135" s="90">
        <v>0</v>
      </c>
      <c r="N135" s="91">
        <v>6.5350000000000001</v>
      </c>
      <c r="O135" s="91">
        <v>6.5460000000000003</v>
      </c>
      <c r="P135" s="90">
        <v>57403.44</v>
      </c>
      <c r="Q135" s="90">
        <v>57342.96</v>
      </c>
      <c r="R135" s="88">
        <v>6.3289999999999997</v>
      </c>
      <c r="S135" s="90">
        <v>55593.935999999994</v>
      </c>
      <c r="T135" s="90">
        <v>55442.04</v>
      </c>
      <c r="U135" s="91">
        <v>0.20599999999999999</v>
      </c>
      <c r="V135" s="91">
        <v>0.217</v>
      </c>
      <c r="W135" s="91">
        <v>0</v>
      </c>
      <c r="X135" s="91">
        <v>0</v>
      </c>
      <c r="Y135" s="91">
        <v>0.20599999999999999</v>
      </c>
      <c r="Z135" s="91">
        <v>0.217</v>
      </c>
      <c r="AA135" s="88">
        <v>0</v>
      </c>
      <c r="AB135" s="88">
        <v>0</v>
      </c>
      <c r="AC135" s="91">
        <v>0</v>
      </c>
      <c r="AD135" s="91">
        <v>0</v>
      </c>
      <c r="AE135" s="92">
        <v>8.9599999999999999E-4</v>
      </c>
      <c r="AF135" s="92">
        <v>8.9599999999999999E-4</v>
      </c>
      <c r="AG135" s="92">
        <v>0</v>
      </c>
      <c r="AH135" s="92">
        <v>8.9599999999999999E-4</v>
      </c>
      <c r="AI135" s="92">
        <v>8.9599999999999999E-4</v>
      </c>
      <c r="AJ135" s="92">
        <v>8.9599999999999999E-4</v>
      </c>
      <c r="AK135" s="92">
        <v>0.96844300535577654</v>
      </c>
      <c r="AL135" s="92">
        <v>0.96681561869844179</v>
      </c>
      <c r="AM135" s="92">
        <v>1.0325485858745458</v>
      </c>
      <c r="AN135" s="92">
        <v>1.034286617159109</v>
      </c>
      <c r="AO135" s="92">
        <v>0</v>
      </c>
      <c r="AP135" s="92">
        <v>0</v>
      </c>
      <c r="AQ135" s="88">
        <v>1</v>
      </c>
      <c r="AR135" s="88">
        <v>3</v>
      </c>
      <c r="AS135" s="91">
        <v>0</v>
      </c>
      <c r="AT135" s="91">
        <v>0</v>
      </c>
      <c r="AU135" s="91">
        <v>0</v>
      </c>
      <c r="AV135" s="91">
        <v>0</v>
      </c>
      <c r="AW135" s="91">
        <v>0</v>
      </c>
      <c r="AX135" s="91">
        <v>0</v>
      </c>
      <c r="AY135" s="91">
        <v>0</v>
      </c>
      <c r="AZ135" s="91">
        <v>0</v>
      </c>
      <c r="BA135" s="91">
        <v>0</v>
      </c>
      <c r="BB135" s="91">
        <v>0</v>
      </c>
      <c r="BC135" s="91">
        <v>0</v>
      </c>
      <c r="BD135" s="91">
        <v>0</v>
      </c>
      <c r="BE135" s="91">
        <v>6.5350000000000001</v>
      </c>
      <c r="BF135" s="91">
        <v>6.5460000000000003</v>
      </c>
      <c r="BG135" s="88">
        <v>1</v>
      </c>
      <c r="BH135"/>
      <c r="BI135"/>
      <c r="BJ135"/>
      <c r="BK135"/>
      <c r="BL135"/>
      <c r="BM135"/>
      <c r="BN135"/>
      <c r="BO135"/>
      <c r="BP135"/>
      <c r="BQ135"/>
    </row>
    <row r="136" spans="1:69">
      <c r="A136" s="95">
        <v>12026</v>
      </c>
      <c r="B136" s="95" t="s">
        <v>139</v>
      </c>
      <c r="C136" s="95">
        <v>1</v>
      </c>
      <c r="D136" s="95">
        <v>0</v>
      </c>
      <c r="E136" s="99">
        <v>45.847000000000001</v>
      </c>
      <c r="F136" s="99">
        <v>45.774999999999999</v>
      </c>
      <c r="G136" s="99">
        <v>46.112000000000002</v>
      </c>
      <c r="H136" s="91">
        <v>0</v>
      </c>
      <c r="I136" s="91">
        <v>0</v>
      </c>
      <c r="J136" s="91">
        <v>0</v>
      </c>
      <c r="K136" s="91">
        <v>0</v>
      </c>
      <c r="L136" s="90">
        <v>0</v>
      </c>
      <c r="M136" s="90">
        <v>0</v>
      </c>
      <c r="N136" s="91">
        <v>45.774999999999999</v>
      </c>
      <c r="O136" s="91">
        <v>46.112000000000002</v>
      </c>
      <c r="P136" s="90">
        <v>402087.6</v>
      </c>
      <c r="Q136" s="90">
        <v>403941.12</v>
      </c>
      <c r="R136" s="88">
        <v>45.173000000000002</v>
      </c>
      <c r="S136" s="90">
        <v>396799.63200000004</v>
      </c>
      <c r="T136" s="90">
        <v>395715.48000000004</v>
      </c>
      <c r="U136" s="91">
        <v>0.60199999999999998</v>
      </c>
      <c r="V136" s="91">
        <v>0.93899999999999995</v>
      </c>
      <c r="W136" s="91">
        <v>0</v>
      </c>
      <c r="X136" s="91">
        <v>0</v>
      </c>
      <c r="Y136" s="91">
        <v>0.60199999999999998</v>
      </c>
      <c r="Z136" s="91">
        <v>0.93899999999999995</v>
      </c>
      <c r="AA136" s="88">
        <v>0</v>
      </c>
      <c r="AB136" s="88">
        <v>0</v>
      </c>
      <c r="AC136" s="91">
        <v>0</v>
      </c>
      <c r="AD136" s="91">
        <v>0</v>
      </c>
      <c r="AE136" s="92">
        <v>6.3953999999999999E-3</v>
      </c>
      <c r="AF136" s="92">
        <v>6.3953999999999999E-3</v>
      </c>
      <c r="AG136" s="92">
        <v>0</v>
      </c>
      <c r="AH136" s="92">
        <v>6.3953999999999999E-3</v>
      </c>
      <c r="AI136" s="92">
        <v>6.3953999999999999E-3</v>
      </c>
      <c r="AJ136" s="92">
        <v>6.3953999999999999E-3</v>
      </c>
      <c r="AK136" s="92">
        <v>0.98684968915346793</v>
      </c>
      <c r="AL136" s="92">
        <v>0.97963750262404559</v>
      </c>
      <c r="AM136" s="92">
        <v>1.0133265446173598</v>
      </c>
      <c r="AN136" s="92">
        <v>1.0207867531490049</v>
      </c>
      <c r="AO136" s="92">
        <v>0</v>
      </c>
      <c r="AP136" s="92">
        <v>0</v>
      </c>
      <c r="AQ136" s="88">
        <v>1</v>
      </c>
      <c r="AR136" s="88">
        <v>3</v>
      </c>
      <c r="AS136" s="91">
        <v>0</v>
      </c>
      <c r="AT136" s="91">
        <v>0</v>
      </c>
      <c r="AU136" s="91">
        <v>0</v>
      </c>
      <c r="AV136" s="91">
        <v>0</v>
      </c>
      <c r="AW136" s="91">
        <v>0</v>
      </c>
      <c r="AX136" s="91">
        <v>0</v>
      </c>
      <c r="AY136" s="91">
        <v>0</v>
      </c>
      <c r="AZ136" s="91">
        <v>0</v>
      </c>
      <c r="BA136" s="91">
        <v>0</v>
      </c>
      <c r="BB136" s="91">
        <v>0</v>
      </c>
      <c r="BC136" s="91">
        <v>0</v>
      </c>
      <c r="BD136" s="91">
        <v>0</v>
      </c>
      <c r="BE136" s="91">
        <v>45.774999999999999</v>
      </c>
      <c r="BF136" s="91">
        <v>46.112000000000002</v>
      </c>
      <c r="BG136" s="88">
        <v>0</v>
      </c>
      <c r="BH136"/>
      <c r="BI136"/>
      <c r="BJ136"/>
      <c r="BK136"/>
      <c r="BL136"/>
      <c r="BM136"/>
      <c r="BN136"/>
      <c r="BO136"/>
      <c r="BP136"/>
      <c r="BQ136"/>
    </row>
    <row r="137" spans="1:69" s="19" customFormat="1">
      <c r="A137" s="88">
        <v>10298</v>
      </c>
      <c r="B137" s="88" t="s">
        <v>140</v>
      </c>
      <c r="C137" s="88">
        <v>1</v>
      </c>
      <c r="D137" s="88">
        <v>0</v>
      </c>
      <c r="E137" s="91">
        <v>611.26099999999985</v>
      </c>
      <c r="F137" s="91">
        <v>678.46799999999996</v>
      </c>
      <c r="G137" s="91">
        <v>685.154</v>
      </c>
      <c r="H137" s="91">
        <v>0</v>
      </c>
      <c r="I137" s="91">
        <v>0</v>
      </c>
      <c r="J137" s="91">
        <v>13.179</v>
      </c>
      <c r="K137" s="91">
        <v>13.185</v>
      </c>
      <c r="L137" s="90">
        <v>115764.336</v>
      </c>
      <c r="M137" s="90">
        <v>115500.6</v>
      </c>
      <c r="N137" s="91">
        <v>665.21600000000001</v>
      </c>
      <c r="O137" s="91">
        <v>671.89300000000003</v>
      </c>
      <c r="P137" s="90">
        <v>5843257.3440000005</v>
      </c>
      <c r="Q137" s="90">
        <v>5885782.6800000006</v>
      </c>
      <c r="R137" s="88">
        <v>602.27600000000007</v>
      </c>
      <c r="S137" s="90">
        <v>5290392.3840000005</v>
      </c>
      <c r="T137" s="90">
        <v>5275937.7600000007</v>
      </c>
      <c r="U137" s="91">
        <v>67.096000000000004</v>
      </c>
      <c r="V137" s="91">
        <v>73.69</v>
      </c>
      <c r="W137" s="91">
        <v>67.096000000000004</v>
      </c>
      <c r="X137" s="91">
        <v>73.69</v>
      </c>
      <c r="Y137" s="91">
        <v>0</v>
      </c>
      <c r="Z137" s="91">
        <v>0</v>
      </c>
      <c r="AA137" s="88">
        <v>0</v>
      </c>
      <c r="AB137" s="88">
        <v>0</v>
      </c>
      <c r="AC137" s="91">
        <v>67.096000000000004</v>
      </c>
      <c r="AD137" s="91">
        <v>73.69</v>
      </c>
      <c r="AE137" s="92">
        <v>8.4679199999999996E-2</v>
      </c>
      <c r="AF137" s="92">
        <v>8.4690799999999997E-2</v>
      </c>
      <c r="AG137" s="92">
        <v>0</v>
      </c>
      <c r="AH137" s="92">
        <v>8.4679199999999996E-2</v>
      </c>
      <c r="AI137" s="92">
        <v>8.4690799999999997E-2</v>
      </c>
      <c r="AJ137" s="92">
        <v>8.4684999999999996E-2</v>
      </c>
      <c r="AK137" s="92">
        <v>0.901095967104662</v>
      </c>
      <c r="AL137" s="92">
        <v>0.8924341936859741</v>
      </c>
      <c r="AM137" s="92">
        <v>1.1045035830748693</v>
      </c>
      <c r="AN137" s="92">
        <v>1.1155898624550871</v>
      </c>
      <c r="AO137" s="92">
        <v>0</v>
      </c>
      <c r="AP137" s="92">
        <v>0</v>
      </c>
      <c r="AQ137" s="88">
        <v>3</v>
      </c>
      <c r="AR137" s="88">
        <v>3</v>
      </c>
      <c r="AS137" s="91">
        <v>14.374000000000001</v>
      </c>
      <c r="AT137" s="91">
        <v>4.4059999999999997</v>
      </c>
      <c r="AU137" s="91">
        <v>53.52</v>
      </c>
      <c r="AV137" s="91">
        <v>70.113</v>
      </c>
      <c r="AW137" s="91">
        <v>3.5760000000000001</v>
      </c>
      <c r="AX137" s="91">
        <v>3.577</v>
      </c>
      <c r="AY137" s="91">
        <v>0</v>
      </c>
      <c r="AZ137" s="91">
        <v>-1.7763568394002505E-15</v>
      </c>
      <c r="BA137" s="91">
        <v>0</v>
      </c>
      <c r="BB137" s="91">
        <v>-1.7763568394002505E-15</v>
      </c>
      <c r="BC137" s="91">
        <v>0</v>
      </c>
      <c r="BD137" s="91">
        <v>0</v>
      </c>
      <c r="BE137" s="91">
        <v>651.64</v>
      </c>
      <c r="BF137" s="91">
        <v>668.31500000000005</v>
      </c>
      <c r="BG137" s="88">
        <v>1</v>
      </c>
      <c r="BH137"/>
      <c r="BI137"/>
      <c r="BJ137"/>
      <c r="BK137"/>
      <c r="BL137"/>
      <c r="BM137"/>
      <c r="BN137"/>
      <c r="BO137"/>
      <c r="BP137"/>
      <c r="BQ137"/>
    </row>
    <row r="138" spans="1:69" s="19" customFormat="1">
      <c r="A138" s="88"/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  <c r="W138" s="91"/>
      <c r="X138" s="88"/>
      <c r="Y138" s="88"/>
      <c r="Z138" s="88"/>
      <c r="AA138" s="88"/>
      <c r="AB138" s="88"/>
      <c r="AC138" s="88"/>
      <c r="AD138" s="88"/>
      <c r="AE138" s="88"/>
      <c r="AF138" s="88"/>
      <c r="AG138" s="88"/>
      <c r="AH138" s="88"/>
      <c r="AI138" s="88"/>
      <c r="AJ138" s="88"/>
      <c r="AK138" s="88"/>
      <c r="AL138" s="88"/>
      <c r="AM138" s="88"/>
      <c r="AN138" s="88"/>
      <c r="AO138" s="88"/>
      <c r="AP138" s="88"/>
      <c r="AQ138" s="88"/>
      <c r="AR138" s="88"/>
      <c r="AS138" s="88"/>
      <c r="AT138" s="88"/>
      <c r="AU138" s="88"/>
      <c r="AV138" s="88"/>
      <c r="AW138" s="88"/>
      <c r="AX138" s="88"/>
      <c r="AY138" s="88"/>
      <c r="AZ138" s="88"/>
      <c r="BA138" s="88"/>
      <c r="BB138" s="88"/>
      <c r="BC138" s="88"/>
      <c r="BD138" s="88"/>
      <c r="BE138" s="88"/>
      <c r="BF138" s="88"/>
      <c r="BG138" s="88"/>
      <c r="BH138" s="88"/>
      <c r="BI138" s="88"/>
      <c r="BJ138" s="88"/>
      <c r="BK138" s="88"/>
      <c r="BL138" s="88"/>
      <c r="BM138" s="88"/>
      <c r="BN138" s="88"/>
    </row>
    <row r="139" spans="1:69" s="19" customFormat="1" ht="42.75" customHeight="1">
      <c r="A139" s="88"/>
      <c r="B139" s="88"/>
      <c r="C139" s="88"/>
      <c r="D139" s="88"/>
      <c r="E139" s="88"/>
      <c r="F139" s="88"/>
      <c r="G139" s="88"/>
      <c r="H139" s="88"/>
      <c r="I139" s="88"/>
      <c r="J139" s="93"/>
      <c r="K139" s="88"/>
      <c r="L139" s="88"/>
      <c r="M139" s="88"/>
      <c r="N139" s="88"/>
      <c r="O139" s="93"/>
      <c r="P139" s="88"/>
      <c r="Q139" s="93"/>
      <c r="R139" s="88"/>
      <c r="S139" s="88"/>
      <c r="T139" s="88"/>
      <c r="U139" s="88"/>
      <c r="V139" s="98"/>
      <c r="W139" s="93"/>
      <c r="X139" s="93"/>
      <c r="Y139" s="88"/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  <c r="AL139" s="88"/>
      <c r="AM139" s="88"/>
      <c r="AN139" s="88"/>
      <c r="AO139" s="88"/>
      <c r="AP139" s="88"/>
      <c r="AQ139" s="88"/>
      <c r="AR139" s="88"/>
      <c r="AS139" s="88"/>
      <c r="AT139" s="88"/>
      <c r="AU139" s="88"/>
      <c r="AV139" s="88"/>
      <c r="AW139" s="88"/>
      <c r="AX139" s="88"/>
      <c r="AY139" s="88"/>
      <c r="AZ139" s="88"/>
      <c r="BA139" s="88"/>
      <c r="BB139" s="88"/>
      <c r="BC139" s="88"/>
      <c r="BD139" s="88"/>
      <c r="BE139" s="88"/>
      <c r="BF139" s="88"/>
      <c r="BG139" s="88"/>
      <c r="BH139" s="88"/>
      <c r="BI139" s="88"/>
      <c r="BJ139" s="88"/>
      <c r="BK139" s="88"/>
      <c r="BL139" s="88"/>
      <c r="BM139" s="88"/>
      <c r="BN139" s="88"/>
    </row>
    <row r="140" spans="1:69">
      <c r="A140" s="88"/>
      <c r="B140" s="88"/>
      <c r="C140" s="88"/>
      <c r="D140" s="88"/>
      <c r="E140" s="88"/>
      <c r="F140" s="88"/>
      <c r="G140" s="88"/>
      <c r="H140" s="88"/>
      <c r="I140" s="88"/>
      <c r="J140" s="93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/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/>
      <c r="AN140" s="88"/>
      <c r="AO140" s="88"/>
      <c r="AP140" s="88"/>
      <c r="AQ140" s="88"/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/>
      <c r="BE140" s="88"/>
      <c r="BF140" s="88"/>
      <c r="BG140" s="88"/>
      <c r="BH140" s="88"/>
      <c r="BI140" s="88"/>
      <c r="BJ140" s="88"/>
      <c r="BK140" s="88"/>
      <c r="BL140" s="88"/>
      <c r="BM140" s="88"/>
      <c r="BN140" s="88"/>
    </row>
    <row r="141" spans="1:69">
      <c r="A141" s="3"/>
      <c r="B141" s="4"/>
      <c r="C141" s="5"/>
      <c r="D141" s="5"/>
      <c r="E141" s="7"/>
      <c r="F141" s="7"/>
      <c r="G141" s="7"/>
      <c r="H141" s="7"/>
      <c r="I141" s="7"/>
      <c r="J141" s="7"/>
      <c r="K141" s="8"/>
      <c r="L141" s="8"/>
      <c r="M141" s="7"/>
      <c r="N141" s="7"/>
      <c r="O141" s="8"/>
      <c r="P141" s="8"/>
      <c r="Q141" s="6"/>
      <c r="R141" s="7"/>
      <c r="S141" s="7"/>
      <c r="T141" s="9"/>
      <c r="U141" s="9"/>
      <c r="V141" s="73"/>
      <c r="W141" s="73"/>
      <c r="X141" s="74"/>
      <c r="Y141" s="74"/>
      <c r="Z141" s="7"/>
      <c r="AA141" s="7"/>
      <c r="AB141" s="20"/>
      <c r="AC141" s="20"/>
      <c r="AD141" s="16"/>
      <c r="AE141" s="16"/>
      <c r="AF141" s="10"/>
      <c r="AG141" s="17"/>
      <c r="AH141" s="17"/>
      <c r="AI141" s="17"/>
      <c r="AJ141" s="11"/>
      <c r="AK141" s="11"/>
      <c r="AL141" s="11"/>
      <c r="AM141" s="11"/>
      <c r="AN141" s="12"/>
      <c r="AO141" s="12"/>
      <c r="AP141" s="12"/>
      <c r="AQ141" s="12"/>
      <c r="AR141" s="12"/>
      <c r="AS141" s="12"/>
      <c r="AT141" s="12"/>
      <c r="AU141" s="12"/>
    </row>
    <row r="142" spans="1:69">
      <c r="A142" s="88"/>
      <c r="B142" s="88"/>
      <c r="C142" s="88"/>
      <c r="D142" s="88"/>
      <c r="E142" s="88"/>
      <c r="F142" s="232"/>
      <c r="G142" s="88"/>
      <c r="H142" s="88"/>
      <c r="I142" s="88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88"/>
      <c r="X142" s="88"/>
      <c r="Y142" s="88"/>
      <c r="Z142" s="88"/>
      <c r="AA142" s="94"/>
      <c r="AB142" s="88"/>
      <c r="AC142" s="88"/>
      <c r="AD142" s="88"/>
      <c r="AE142" s="88"/>
      <c r="AF142" s="88"/>
      <c r="AG142" s="88"/>
      <c r="AH142" s="88"/>
      <c r="AI142" s="88"/>
      <c r="AJ142" s="88"/>
      <c r="AK142" s="88"/>
      <c r="AL142" s="88"/>
      <c r="AM142" s="88"/>
      <c r="AN142" s="88"/>
      <c r="AO142" s="88"/>
      <c r="AP142" s="88"/>
      <c r="AQ142" s="88"/>
      <c r="AR142" s="88"/>
      <c r="AS142" s="88"/>
      <c r="AT142" s="88"/>
      <c r="AU142" s="88"/>
      <c r="AV142" s="88"/>
      <c r="AW142" s="88"/>
      <c r="AX142" s="88"/>
      <c r="AY142" s="88"/>
      <c r="AZ142" s="88"/>
      <c r="BA142" s="88"/>
      <c r="BB142" s="88"/>
      <c r="BC142" s="88"/>
      <c r="BD142" s="88"/>
      <c r="BE142" s="88"/>
      <c r="BF142" s="88"/>
      <c r="BG142" s="88"/>
      <c r="BH142" s="88"/>
      <c r="BI142" s="88"/>
      <c r="BJ142" s="88"/>
      <c r="BK142" s="88"/>
      <c r="BL142" s="88"/>
      <c r="BM142" s="88"/>
      <c r="BN142" s="88"/>
    </row>
    <row r="143" spans="1:69">
      <c r="A143" s="88"/>
      <c r="B143" s="88"/>
      <c r="C143" s="88"/>
      <c r="D143" s="88"/>
      <c r="E143" s="88"/>
      <c r="F143" s="232"/>
      <c r="G143" s="232"/>
      <c r="H143" s="232"/>
      <c r="I143" s="232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  <c r="Z143" s="88"/>
      <c r="AA143" s="93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/>
      <c r="AN143" s="88"/>
      <c r="AO143" s="88"/>
      <c r="AP143" s="88"/>
      <c r="AQ143" s="88"/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/>
      <c r="BE143" s="88"/>
      <c r="BF143" s="88"/>
      <c r="BG143" s="88"/>
      <c r="BH143" s="88"/>
      <c r="BI143" s="88"/>
      <c r="BJ143" s="88"/>
      <c r="BK143" s="88"/>
      <c r="BL143" s="88"/>
      <c r="BM143" s="88"/>
      <c r="BN143" s="88"/>
    </row>
    <row r="144" spans="1:69">
      <c r="A144" s="3"/>
      <c r="B144" s="4"/>
      <c r="C144" s="5"/>
      <c r="D144" s="5"/>
      <c r="E144" s="7"/>
      <c r="F144" s="232"/>
      <c r="G144" s="232"/>
      <c r="H144" s="232"/>
      <c r="I144" s="232"/>
      <c r="J144" s="7"/>
      <c r="K144" s="8"/>
      <c r="L144" s="8"/>
      <c r="M144" s="7"/>
      <c r="N144" s="7"/>
      <c r="O144" s="8"/>
      <c r="P144" s="8"/>
      <c r="Q144" s="6"/>
      <c r="R144" s="7"/>
      <c r="S144" s="7"/>
      <c r="T144" s="9"/>
      <c r="U144" s="9"/>
      <c r="V144" s="73"/>
      <c r="W144" s="73"/>
      <c r="X144" s="74"/>
      <c r="Y144" s="74"/>
      <c r="Z144" s="7"/>
      <c r="AA144" s="7"/>
      <c r="AB144" s="20"/>
      <c r="AC144" s="20"/>
      <c r="AD144" s="16"/>
      <c r="AE144" s="16"/>
      <c r="AF144" s="10"/>
      <c r="AG144" s="17"/>
      <c r="AH144" s="17"/>
      <c r="AI144" s="17"/>
      <c r="AJ144" s="11"/>
      <c r="AK144" s="11"/>
      <c r="AL144" s="11"/>
      <c r="AM144" s="11"/>
      <c r="AN144" s="12"/>
      <c r="AO144" s="12"/>
      <c r="AP144" s="12"/>
      <c r="AQ144" s="12"/>
      <c r="AR144" s="12"/>
      <c r="AS144" s="12"/>
      <c r="AT144" s="12"/>
      <c r="AU144" s="12"/>
    </row>
    <row r="145" spans="1:56">
      <c r="A145" s="3"/>
      <c r="B145" s="4"/>
      <c r="C145" s="5"/>
      <c r="D145" s="5"/>
      <c r="E145" s="7"/>
      <c r="F145" s="232"/>
      <c r="G145" s="232"/>
      <c r="H145" s="232"/>
      <c r="I145" s="232"/>
      <c r="J145" s="88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88"/>
      <c r="X145" s="88"/>
      <c r="Y145" s="88"/>
      <c r="Z145" s="88"/>
      <c r="AA145" s="88"/>
      <c r="AB145" s="88"/>
      <c r="AC145" s="88"/>
      <c r="AD145" s="88"/>
      <c r="AE145" s="88"/>
      <c r="AF145" s="88"/>
      <c r="AG145" s="88"/>
      <c r="AH145" s="88"/>
      <c r="AI145" s="88"/>
      <c r="AJ145" s="88"/>
      <c r="AK145" s="88"/>
      <c r="AL145" s="88"/>
      <c r="AM145" s="88"/>
      <c r="AN145" s="88"/>
      <c r="AO145" s="88"/>
      <c r="AP145" s="88"/>
      <c r="AQ145" s="88"/>
      <c r="AR145" s="88"/>
      <c r="AS145" s="88"/>
      <c r="AT145" s="88"/>
      <c r="AU145" s="88"/>
      <c r="AV145" s="88"/>
      <c r="AW145" s="88"/>
      <c r="AX145" s="88"/>
      <c r="AY145" s="88"/>
      <c r="AZ145" s="88"/>
      <c r="BA145" s="88"/>
      <c r="BB145" s="88"/>
      <c r="BC145" s="88"/>
      <c r="BD145" s="88"/>
    </row>
    <row r="146" spans="1:56">
      <c r="A146" s="3"/>
      <c r="B146" s="4"/>
      <c r="C146" s="5"/>
      <c r="D146" s="5"/>
      <c r="E146" s="7"/>
      <c r="F146" s="296"/>
      <c r="G146" s="232"/>
      <c r="H146" s="232"/>
      <c r="I146" s="232"/>
      <c r="J146" s="7"/>
      <c r="K146" s="8"/>
      <c r="L146" s="8"/>
      <c r="M146" s="7"/>
      <c r="N146" s="7"/>
      <c r="O146" s="8"/>
      <c r="P146" s="8"/>
      <c r="Q146" s="6"/>
      <c r="R146" s="7"/>
      <c r="S146" s="7"/>
      <c r="T146" s="9"/>
      <c r="U146" s="9"/>
      <c r="V146" s="73"/>
      <c r="W146" s="73"/>
      <c r="X146" s="74"/>
      <c r="Y146" s="74"/>
      <c r="Z146" s="7"/>
      <c r="AA146" s="7"/>
      <c r="AB146" s="20"/>
      <c r="AC146" s="20"/>
      <c r="AD146" s="16"/>
      <c r="AE146" s="16"/>
      <c r="AF146" s="10"/>
      <c r="AG146" s="17"/>
      <c r="AH146" s="17"/>
      <c r="AI146" s="17"/>
      <c r="AJ146" s="11"/>
      <c r="AK146" s="11"/>
      <c r="AL146" s="11"/>
      <c r="AM146" s="11"/>
      <c r="AN146" s="12"/>
      <c r="AO146" s="12"/>
      <c r="AP146" s="12"/>
      <c r="AQ146" s="12"/>
      <c r="AR146" s="12"/>
      <c r="AS146" s="12"/>
      <c r="AT146" s="12"/>
      <c r="AU146" s="12"/>
    </row>
    <row r="147" spans="1:56">
      <c r="A147" s="3"/>
      <c r="B147" s="4"/>
      <c r="C147" s="5"/>
      <c r="D147" s="5"/>
      <c r="E147" s="7"/>
      <c r="F147" s="232"/>
      <c r="G147" s="232"/>
      <c r="H147" s="232"/>
      <c r="I147" s="232"/>
      <c r="J147" s="7"/>
      <c r="K147" s="8"/>
      <c r="L147" s="8"/>
      <c r="M147" s="7"/>
      <c r="N147" s="7"/>
      <c r="O147" s="8"/>
      <c r="P147" s="8"/>
      <c r="Q147" s="6"/>
      <c r="R147" s="7"/>
      <c r="S147" s="7"/>
      <c r="T147" s="9"/>
      <c r="U147" s="9"/>
      <c r="V147" s="73"/>
      <c r="W147" s="73"/>
      <c r="X147" s="74"/>
      <c r="Y147" s="74"/>
      <c r="Z147" s="7"/>
      <c r="AA147" s="7"/>
      <c r="AB147" s="20"/>
      <c r="AC147" s="20"/>
      <c r="AD147" s="16"/>
      <c r="AE147" s="16"/>
      <c r="AF147" s="10"/>
      <c r="AG147" s="17"/>
      <c r="AH147" s="17"/>
      <c r="AI147" s="17"/>
      <c r="AJ147" s="11"/>
      <c r="AK147" s="11"/>
      <c r="AL147" s="11"/>
      <c r="AM147" s="11"/>
      <c r="AN147" s="12"/>
      <c r="AO147" s="12"/>
      <c r="AP147" s="12"/>
      <c r="AQ147" s="12"/>
      <c r="AR147" s="12"/>
      <c r="AS147" s="12"/>
      <c r="AT147" s="12"/>
      <c r="AU147" s="12"/>
    </row>
    <row r="148" spans="1:56">
      <c r="A148" s="3"/>
      <c r="B148" s="4"/>
      <c r="C148" s="5"/>
      <c r="D148" s="5"/>
      <c r="E148" s="7"/>
      <c r="F148" s="232"/>
      <c r="G148" s="232"/>
      <c r="H148" s="232"/>
      <c r="I148" s="232"/>
      <c r="J148" s="7"/>
      <c r="K148" s="8"/>
      <c r="L148" s="8"/>
      <c r="M148" s="7"/>
      <c r="N148" s="7"/>
      <c r="O148" s="8"/>
      <c r="P148" s="8"/>
      <c r="Q148" s="6"/>
      <c r="R148" s="7"/>
      <c r="S148" s="7"/>
      <c r="T148" s="9"/>
      <c r="U148" s="9"/>
      <c r="V148" s="73"/>
      <c r="W148" s="73"/>
      <c r="X148" s="74"/>
      <c r="Y148" s="74"/>
      <c r="Z148" s="7"/>
      <c r="AA148" s="7"/>
      <c r="AB148" s="20"/>
      <c r="AC148" s="20"/>
      <c r="AD148" s="16"/>
      <c r="AE148" s="16"/>
      <c r="AF148" s="10"/>
      <c r="AG148" s="17"/>
      <c r="AH148" s="17"/>
      <c r="AI148" s="17"/>
      <c r="AJ148" s="11"/>
      <c r="AK148" s="11"/>
      <c r="AL148" s="11"/>
      <c r="AM148" s="11"/>
      <c r="AN148" s="12"/>
      <c r="AO148" s="12"/>
      <c r="AP148" s="12"/>
      <c r="AQ148" s="12"/>
      <c r="AR148" s="12"/>
      <c r="AS148" s="12"/>
      <c r="AT148" s="12"/>
      <c r="AU148" s="12"/>
    </row>
    <row r="149" spans="1:56">
      <c r="A149" s="3"/>
      <c r="B149" s="4"/>
      <c r="C149" s="5"/>
      <c r="D149" s="5"/>
      <c r="E149" s="7"/>
      <c r="F149" s="232"/>
      <c r="G149" s="232"/>
      <c r="H149" s="232"/>
      <c r="I149" s="232"/>
      <c r="J149" s="7"/>
      <c r="K149" s="8"/>
      <c r="L149" s="8"/>
      <c r="M149" s="7"/>
      <c r="N149" s="7"/>
      <c r="O149" s="8"/>
      <c r="P149" s="8"/>
      <c r="Q149" s="6"/>
      <c r="R149" s="7"/>
      <c r="S149" s="7"/>
      <c r="T149" s="9"/>
      <c r="U149" s="9"/>
      <c r="V149" s="73"/>
      <c r="W149" s="73"/>
      <c r="X149" s="74"/>
      <c r="Y149" s="74"/>
      <c r="Z149" s="7"/>
      <c r="AA149" s="7"/>
      <c r="AB149" s="20"/>
      <c r="AC149" s="20"/>
      <c r="AD149" s="16"/>
      <c r="AE149" s="16"/>
      <c r="AF149" s="10"/>
      <c r="AG149" s="17"/>
      <c r="AH149" s="17"/>
      <c r="AI149" s="17"/>
      <c r="AJ149" s="11"/>
      <c r="AK149" s="11"/>
      <c r="AL149" s="11"/>
      <c r="AM149" s="11"/>
      <c r="AN149" s="12"/>
      <c r="AO149" s="12"/>
      <c r="AP149" s="12"/>
      <c r="AQ149" s="12"/>
      <c r="AR149" s="12"/>
      <c r="AS149" s="12"/>
      <c r="AT149" s="12"/>
      <c r="AU149" s="12"/>
    </row>
    <row r="150" spans="1:56">
      <c r="A150" s="3"/>
      <c r="B150" s="4"/>
      <c r="C150" s="5"/>
      <c r="D150" s="5"/>
      <c r="E150" s="7"/>
      <c r="F150" s="232"/>
      <c r="G150" s="232"/>
      <c r="H150" s="232"/>
      <c r="I150" s="232"/>
      <c r="J150" s="7"/>
      <c r="K150" s="8"/>
      <c r="L150" s="8"/>
      <c r="M150" s="7"/>
      <c r="N150" s="7"/>
      <c r="O150" s="8"/>
      <c r="P150" s="8"/>
      <c r="Q150" s="6"/>
      <c r="R150" s="7"/>
      <c r="S150" s="7"/>
      <c r="T150" s="9"/>
      <c r="U150" s="9"/>
      <c r="V150" s="73"/>
      <c r="W150" s="73"/>
      <c r="X150" s="74"/>
      <c r="Y150" s="74"/>
      <c r="Z150" s="7"/>
      <c r="AA150" s="7"/>
      <c r="AB150" s="20"/>
      <c r="AC150" s="20"/>
      <c r="AD150" s="16"/>
      <c r="AE150" s="16"/>
      <c r="AF150" s="10"/>
      <c r="AG150" s="17"/>
      <c r="AH150" s="17"/>
      <c r="AI150" s="17"/>
      <c r="AJ150" s="11"/>
      <c r="AK150" s="11"/>
      <c r="AL150" s="11"/>
      <c r="AM150" s="11"/>
      <c r="AN150" s="12"/>
      <c r="AO150" s="12"/>
      <c r="AP150" s="12"/>
      <c r="AQ150" s="12"/>
      <c r="AR150" s="12"/>
      <c r="AS150" s="12"/>
      <c r="AT150" s="12"/>
      <c r="AU150" s="12"/>
    </row>
    <row r="151" spans="1:56">
      <c r="A151" s="3"/>
      <c r="B151" s="4"/>
      <c r="C151" s="5"/>
      <c r="D151" s="5"/>
      <c r="E151" s="7"/>
      <c r="F151" s="232"/>
      <c r="G151" s="232"/>
      <c r="H151" s="232"/>
      <c r="I151" s="232"/>
      <c r="J151" s="7"/>
      <c r="K151" s="8"/>
      <c r="L151" s="8"/>
      <c r="M151" s="7"/>
      <c r="N151" s="7"/>
      <c r="O151" s="8"/>
      <c r="P151" s="8"/>
      <c r="Q151" s="6"/>
      <c r="R151" s="7"/>
      <c r="S151" s="7"/>
      <c r="T151" s="9"/>
      <c r="U151" s="9"/>
      <c r="V151" s="73"/>
      <c r="W151" s="73"/>
      <c r="X151" s="74"/>
      <c r="Y151" s="74"/>
      <c r="Z151" s="7"/>
      <c r="AA151" s="7"/>
      <c r="AB151" s="20"/>
      <c r="AC151" s="20"/>
      <c r="AD151" s="16"/>
      <c r="AE151" s="16"/>
      <c r="AF151" s="10"/>
      <c r="AG151" s="17"/>
      <c r="AH151" s="17"/>
      <c r="AI151" s="17"/>
      <c r="AJ151" s="11"/>
      <c r="AK151" s="11"/>
      <c r="AL151" s="11"/>
      <c r="AM151" s="11"/>
      <c r="AN151" s="12"/>
      <c r="AO151" s="12"/>
      <c r="AP151" s="12"/>
      <c r="AQ151" s="12"/>
      <c r="AR151" s="12"/>
      <c r="AS151" s="12"/>
      <c r="AT151" s="12"/>
      <c r="AU151" s="12"/>
    </row>
    <row r="152" spans="1:56">
      <c r="A152" s="3"/>
      <c r="B152" s="4"/>
      <c r="C152" s="5"/>
      <c r="D152" s="5"/>
      <c r="E152" s="7"/>
      <c r="F152" s="232"/>
      <c r="G152" s="232"/>
      <c r="H152" s="232"/>
      <c r="I152" s="232"/>
      <c r="J152" s="7"/>
      <c r="K152" s="8"/>
      <c r="L152" s="8"/>
      <c r="M152" s="7"/>
      <c r="N152" s="7"/>
      <c r="O152" s="8"/>
      <c r="P152" s="8"/>
      <c r="Q152" s="6"/>
      <c r="R152" s="7"/>
      <c r="S152" s="7"/>
      <c r="T152" s="9"/>
      <c r="U152" s="9"/>
      <c r="V152" s="73"/>
      <c r="W152" s="73"/>
      <c r="X152" s="74"/>
      <c r="Y152" s="74"/>
      <c r="Z152" s="7"/>
      <c r="AA152" s="7"/>
      <c r="AB152" s="20"/>
      <c r="AC152" s="20"/>
      <c r="AD152" s="16"/>
      <c r="AE152" s="16"/>
      <c r="AF152" s="10"/>
      <c r="AG152" s="17"/>
      <c r="AH152" s="17"/>
      <c r="AI152" s="17"/>
      <c r="AJ152" s="11"/>
      <c r="AK152" s="11"/>
      <c r="AL152" s="11"/>
      <c r="AM152" s="11"/>
      <c r="AN152" s="12"/>
      <c r="AO152" s="12"/>
      <c r="AP152" s="12"/>
      <c r="AQ152" s="12"/>
      <c r="AR152" s="12"/>
      <c r="AS152" s="12"/>
      <c r="AT152" s="12"/>
      <c r="AU152" s="12"/>
    </row>
    <row r="153" spans="1:56">
      <c r="A153" s="3"/>
      <c r="B153" s="4"/>
      <c r="C153" s="5"/>
      <c r="D153" s="5"/>
      <c r="E153" s="7"/>
      <c r="F153" s="232"/>
      <c r="G153" s="232"/>
      <c r="H153" s="232"/>
      <c r="I153" s="232"/>
      <c r="J153" s="7"/>
      <c r="K153" s="8"/>
      <c r="L153" s="8"/>
      <c r="M153" s="7"/>
      <c r="N153" s="7"/>
      <c r="O153" s="8"/>
      <c r="P153" s="8"/>
      <c r="Q153" s="6"/>
      <c r="R153" s="7"/>
      <c r="S153" s="7"/>
      <c r="T153" s="9"/>
      <c r="U153" s="9"/>
      <c r="V153" s="73"/>
      <c r="W153" s="73"/>
      <c r="X153" s="74"/>
      <c r="Y153" s="74"/>
      <c r="Z153" s="7"/>
      <c r="AA153" s="7"/>
      <c r="AB153" s="20"/>
      <c r="AC153" s="20"/>
      <c r="AD153" s="16"/>
      <c r="AE153" s="16"/>
      <c r="AF153" s="10"/>
      <c r="AG153" s="17"/>
      <c r="AH153" s="17"/>
      <c r="AI153" s="17"/>
      <c r="AJ153" s="11"/>
      <c r="AK153" s="11"/>
      <c r="AL153" s="11"/>
      <c r="AM153" s="11"/>
      <c r="AN153" s="12"/>
      <c r="AO153" s="12"/>
      <c r="AP153" s="12"/>
      <c r="AQ153" s="12"/>
      <c r="AR153" s="12"/>
      <c r="AS153" s="12"/>
      <c r="AT153" s="12"/>
      <c r="AU153" s="12"/>
    </row>
    <row r="154" spans="1:56">
      <c r="A154" s="3"/>
      <c r="B154" s="4"/>
      <c r="C154" s="5"/>
      <c r="D154" s="5"/>
      <c r="E154" s="7"/>
      <c r="F154" s="232"/>
      <c r="G154" s="232"/>
      <c r="H154" s="232"/>
      <c r="I154" s="232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/>
      <c r="W154" s="88"/>
      <c r="X154" s="88"/>
      <c r="Y154" s="88"/>
      <c r="Z154" s="88"/>
      <c r="AA154" s="88"/>
      <c r="AB154" s="88"/>
      <c r="AC154" s="88"/>
      <c r="AD154" s="92"/>
      <c r="AE154" s="88"/>
      <c r="AF154" s="88"/>
      <c r="AG154" s="88"/>
      <c r="AH154" s="88"/>
      <c r="AI154" s="88"/>
      <c r="AJ154" s="88"/>
      <c r="AK154" s="88"/>
      <c r="AL154" s="88"/>
      <c r="AM154" s="88"/>
      <c r="AN154" s="88"/>
      <c r="AO154" s="88"/>
      <c r="AP154" s="88"/>
      <c r="AQ154" s="88"/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/>
    </row>
    <row r="155" spans="1:56">
      <c r="A155" s="3"/>
      <c r="B155" s="4"/>
      <c r="C155" s="5"/>
      <c r="D155" s="5"/>
      <c r="E155" s="7"/>
      <c r="F155" s="232"/>
      <c r="G155" s="232"/>
      <c r="H155" s="232"/>
      <c r="I155" s="232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  <c r="Z155" s="88"/>
      <c r="AA155" s="88"/>
      <c r="AB155" s="88"/>
      <c r="AC155" s="88"/>
      <c r="AD155" s="92"/>
      <c r="AE155" s="88"/>
      <c r="AF155" s="88"/>
      <c r="AG155" s="88"/>
      <c r="AH155" s="88"/>
      <c r="AI155" s="88"/>
      <c r="AJ155" s="88"/>
      <c r="AK155" s="88"/>
      <c r="AL155" s="88"/>
      <c r="AM155" s="88"/>
      <c r="AN155" s="88"/>
      <c r="AO155" s="88"/>
      <c r="AP155" s="88"/>
      <c r="AQ155" s="88"/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/>
    </row>
    <row r="156" spans="1:56">
      <c r="A156" s="3"/>
      <c r="B156" s="4"/>
      <c r="C156" s="5"/>
      <c r="D156" s="5"/>
      <c r="E156" s="7"/>
      <c r="F156" s="232"/>
      <c r="G156" s="232"/>
      <c r="H156" s="232"/>
      <c r="I156" s="232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88"/>
      <c r="X156" s="88"/>
      <c r="Y156" s="88"/>
      <c r="Z156" s="88"/>
      <c r="AA156" s="88"/>
      <c r="AB156" s="88"/>
      <c r="AC156" s="88"/>
      <c r="AD156" s="92"/>
      <c r="AE156" s="88"/>
      <c r="AF156" s="88"/>
      <c r="AG156" s="88"/>
      <c r="AH156" s="88"/>
      <c r="AI156" s="88"/>
      <c r="AJ156" s="88"/>
      <c r="AK156" s="88"/>
      <c r="AL156" s="88"/>
      <c r="AM156" s="88"/>
      <c r="AN156" s="88"/>
      <c r="AO156" s="88"/>
      <c r="AP156" s="88"/>
      <c r="AQ156" s="88"/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/>
    </row>
    <row r="157" spans="1:56">
      <c r="A157" s="3"/>
      <c r="B157" s="4"/>
      <c r="C157" s="5"/>
      <c r="D157" s="5"/>
      <c r="E157" s="7"/>
      <c r="F157" s="232"/>
      <c r="G157" s="232"/>
      <c r="H157" s="232"/>
      <c r="I157" s="232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92"/>
      <c r="AE157" s="88"/>
      <c r="AF157" s="88"/>
      <c r="AG157" s="88"/>
      <c r="AH157" s="88"/>
      <c r="AI157" s="88"/>
      <c r="AJ157" s="88"/>
      <c r="AK157" s="88"/>
      <c r="AL157" s="88"/>
      <c r="AM157" s="88"/>
      <c r="AN157" s="88"/>
      <c r="AO157" s="88"/>
      <c r="AP157" s="88"/>
      <c r="AQ157" s="88"/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/>
      <c r="BD157" s="88"/>
    </row>
    <row r="158" spans="1:56">
      <c r="A158" s="3"/>
      <c r="B158" s="4"/>
      <c r="C158" s="5"/>
      <c r="D158" s="5"/>
      <c r="E158" s="7"/>
      <c r="F158" s="232"/>
      <c r="G158" s="232"/>
      <c r="H158" s="232"/>
      <c r="I158" s="232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  <c r="AC158" s="88"/>
      <c r="AD158" s="92"/>
      <c r="AE158" s="88"/>
      <c r="AF158" s="88"/>
      <c r="AG158" s="88"/>
      <c r="AH158" s="88"/>
      <c r="AI158" s="88"/>
      <c r="AJ158" s="88"/>
      <c r="AK158" s="88"/>
      <c r="AL158" s="88"/>
      <c r="AM158" s="88"/>
      <c r="AN158" s="88"/>
      <c r="AO158" s="88"/>
      <c r="AP158" s="88"/>
      <c r="AQ158" s="88"/>
      <c r="AR158" s="88"/>
      <c r="AS158" s="88"/>
      <c r="AT158" s="88"/>
      <c r="AU158" s="88"/>
      <c r="AV158" s="88"/>
      <c r="AW158" s="88"/>
      <c r="AX158" s="88"/>
      <c r="AY158" s="88"/>
      <c r="AZ158" s="88"/>
      <c r="BA158" s="88"/>
      <c r="BB158" s="88"/>
      <c r="BC158" s="88"/>
      <c r="BD158" s="88"/>
    </row>
    <row r="159" spans="1:56">
      <c r="A159" s="3"/>
      <c r="B159" s="4"/>
      <c r="C159" s="5"/>
      <c r="D159" s="5"/>
      <c r="E159" s="7"/>
      <c r="F159" s="232"/>
      <c r="G159" s="232"/>
      <c r="H159" s="232"/>
      <c r="I159" s="232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92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</row>
    <row r="160" spans="1:56">
      <c r="A160" s="3"/>
      <c r="B160" s="4"/>
      <c r="C160" s="5"/>
      <c r="D160" s="5"/>
      <c r="E160" s="7"/>
      <c r="F160" s="232"/>
      <c r="G160" s="232"/>
      <c r="H160" s="232"/>
      <c r="I160" s="232"/>
      <c r="J160" s="7"/>
      <c r="K160" s="8"/>
      <c r="L160" s="8"/>
      <c r="M160" s="7"/>
      <c r="N160" s="7"/>
      <c r="O160" s="8"/>
      <c r="P160" s="8"/>
      <c r="Q160" s="6"/>
      <c r="R160" s="7"/>
      <c r="S160" s="7"/>
      <c r="T160" s="9"/>
      <c r="U160" s="9"/>
      <c r="V160" s="73"/>
      <c r="W160" s="73"/>
      <c r="X160" s="74"/>
      <c r="Y160" s="74"/>
      <c r="Z160" s="7"/>
      <c r="AA160" s="7"/>
      <c r="AB160" s="20"/>
      <c r="AC160" s="88"/>
      <c r="AD160" s="92"/>
      <c r="AE160" s="16"/>
      <c r="AF160" s="10"/>
      <c r="AG160" s="17"/>
      <c r="AH160" s="17"/>
      <c r="AI160" s="17"/>
      <c r="AJ160" s="11"/>
      <c r="AK160" s="11"/>
      <c r="AL160" s="11"/>
      <c r="AM160" s="11"/>
      <c r="AN160" s="12"/>
      <c r="AO160" s="12"/>
      <c r="AP160" s="12"/>
      <c r="AQ160" s="12"/>
      <c r="AR160" s="12"/>
      <c r="AS160" s="12"/>
      <c r="AT160" s="12"/>
      <c r="AU160" s="12"/>
    </row>
    <row r="161" spans="1:47">
      <c r="A161" s="3"/>
      <c r="B161" s="4"/>
      <c r="C161" s="5"/>
      <c r="D161" s="5"/>
      <c r="E161" s="7"/>
      <c r="F161" s="232"/>
      <c r="G161" s="232"/>
      <c r="H161" s="232"/>
      <c r="I161" s="232"/>
      <c r="J161" s="7"/>
      <c r="K161" s="8"/>
      <c r="L161" s="8"/>
      <c r="M161" s="7"/>
      <c r="N161" s="7"/>
      <c r="O161" s="8"/>
      <c r="P161" s="8"/>
      <c r="Q161" s="6"/>
      <c r="R161" s="7"/>
      <c r="S161" s="7"/>
      <c r="T161" s="9"/>
      <c r="U161" s="9"/>
      <c r="V161" s="73"/>
      <c r="W161" s="73"/>
      <c r="X161" s="74"/>
      <c r="Y161" s="74"/>
      <c r="Z161" s="7"/>
      <c r="AA161" s="7"/>
      <c r="AB161" s="20"/>
      <c r="AC161" s="88"/>
      <c r="AD161" s="92"/>
      <c r="AE161" s="16"/>
      <c r="AF161" s="10"/>
      <c r="AG161" s="17"/>
      <c r="AH161" s="17"/>
      <c r="AI161" s="17"/>
      <c r="AJ161" s="11"/>
      <c r="AK161" s="11"/>
      <c r="AL161" s="11"/>
      <c r="AM161" s="11"/>
      <c r="AN161" s="12"/>
      <c r="AO161" s="12"/>
      <c r="AP161" s="12"/>
      <c r="AQ161" s="12"/>
      <c r="AR161" s="12"/>
      <c r="AS161" s="12"/>
      <c r="AT161" s="12"/>
      <c r="AU161" s="12"/>
    </row>
    <row r="162" spans="1:47">
      <c r="A162" s="3"/>
      <c r="B162" s="4"/>
      <c r="C162" s="5"/>
      <c r="D162" s="5"/>
      <c r="E162" s="7"/>
      <c r="F162" s="232"/>
      <c r="G162" s="232"/>
      <c r="H162" s="232"/>
      <c r="I162" s="232"/>
      <c r="J162" s="7"/>
      <c r="K162" s="8"/>
      <c r="L162" s="8"/>
      <c r="M162" s="7"/>
      <c r="N162" s="7"/>
      <c r="O162" s="8"/>
      <c r="P162" s="8"/>
      <c r="Q162" s="6"/>
      <c r="R162" s="7"/>
      <c r="S162" s="7"/>
      <c r="T162" s="9"/>
      <c r="U162" s="9"/>
      <c r="V162" s="73"/>
      <c r="W162" s="73"/>
      <c r="X162" s="74"/>
      <c r="Y162" s="74"/>
      <c r="Z162" s="7"/>
      <c r="AA162" s="7"/>
      <c r="AB162" s="20"/>
      <c r="AC162" s="88"/>
      <c r="AD162" s="92"/>
      <c r="AE162" s="16"/>
      <c r="AF162" s="10"/>
      <c r="AG162" s="17"/>
      <c r="AH162" s="17"/>
      <c r="AI162" s="17"/>
      <c r="AJ162" s="11"/>
      <c r="AK162" s="11"/>
      <c r="AL162" s="11"/>
      <c r="AM162" s="11"/>
      <c r="AN162" s="12"/>
      <c r="AO162" s="12"/>
      <c r="AP162" s="12"/>
      <c r="AQ162" s="12"/>
      <c r="AR162" s="12"/>
      <c r="AS162" s="12"/>
      <c r="AT162" s="12"/>
      <c r="AU162" s="12"/>
    </row>
    <row r="163" spans="1:47">
      <c r="A163" s="3"/>
      <c r="B163" s="4"/>
      <c r="C163" s="5"/>
      <c r="D163" s="5"/>
      <c r="E163" s="7"/>
      <c r="F163" s="296"/>
      <c r="G163" s="232"/>
      <c r="H163" s="232"/>
      <c r="I163" s="232"/>
      <c r="J163" s="7"/>
      <c r="K163" s="8"/>
      <c r="L163" s="8"/>
      <c r="M163" s="7"/>
      <c r="N163" s="7"/>
      <c r="O163" s="8"/>
      <c r="P163" s="8"/>
      <c r="Q163" s="6"/>
      <c r="R163" s="7"/>
      <c r="S163" s="7"/>
      <c r="T163" s="9"/>
      <c r="U163" s="9"/>
      <c r="V163" s="73"/>
      <c r="W163" s="73"/>
      <c r="X163" s="74"/>
      <c r="Y163" s="74"/>
      <c r="Z163" s="7"/>
      <c r="AA163" s="7"/>
      <c r="AB163" s="20"/>
      <c r="AC163" s="88"/>
      <c r="AD163" s="92"/>
      <c r="AE163" s="16"/>
      <c r="AF163" s="10"/>
      <c r="AG163" s="17"/>
      <c r="AH163" s="17"/>
      <c r="AI163" s="17"/>
      <c r="AJ163" s="11"/>
      <c r="AK163" s="11"/>
      <c r="AL163" s="11"/>
      <c r="AM163" s="11"/>
      <c r="AN163" s="12"/>
      <c r="AO163" s="12"/>
      <c r="AP163" s="12"/>
      <c r="AQ163" s="12"/>
      <c r="AR163" s="12"/>
      <c r="AS163" s="12"/>
      <c r="AT163" s="12"/>
      <c r="AU163" s="12"/>
    </row>
    <row r="164" spans="1:47">
      <c r="A164" s="3"/>
      <c r="B164" s="4"/>
      <c r="C164" s="5"/>
      <c r="D164" s="5"/>
      <c r="E164" s="7"/>
      <c r="F164" s="232"/>
      <c r="G164" s="232"/>
      <c r="H164" s="232"/>
      <c r="I164" s="232"/>
      <c r="J164" s="7"/>
      <c r="K164" s="8"/>
      <c r="L164" s="8"/>
      <c r="M164" s="7"/>
      <c r="N164" s="7"/>
      <c r="O164" s="8"/>
      <c r="P164" s="8"/>
      <c r="Q164" s="6"/>
      <c r="R164" s="7"/>
      <c r="S164" s="7"/>
      <c r="T164" s="9"/>
      <c r="U164" s="9"/>
      <c r="V164" s="73"/>
      <c r="W164" s="73"/>
      <c r="X164" s="74"/>
      <c r="Y164" s="74"/>
      <c r="Z164" s="7"/>
      <c r="AA164" s="7"/>
      <c r="AB164" s="20"/>
      <c r="AC164" s="88"/>
      <c r="AD164" s="92"/>
      <c r="AE164" s="16"/>
      <c r="AF164" s="10"/>
      <c r="AG164" s="17"/>
      <c r="AH164" s="17"/>
      <c r="AI164" s="17"/>
      <c r="AJ164" s="11"/>
      <c r="AK164" s="11"/>
      <c r="AL164" s="11"/>
      <c r="AM164" s="11"/>
      <c r="AN164" s="12"/>
      <c r="AO164" s="12"/>
      <c r="AP164" s="12"/>
      <c r="AQ164" s="12"/>
      <c r="AR164" s="12"/>
      <c r="AS164" s="12"/>
      <c r="AT164" s="12"/>
      <c r="AU164" s="12"/>
    </row>
    <row r="165" spans="1:47">
      <c r="A165" s="21"/>
      <c r="B165" s="21"/>
      <c r="C165" s="5"/>
      <c r="D165" s="5"/>
      <c r="E165" s="7"/>
      <c r="F165" s="232"/>
      <c r="G165" s="232"/>
      <c r="H165" s="232"/>
      <c r="I165" s="232"/>
      <c r="J165" s="7"/>
      <c r="K165" s="8"/>
      <c r="L165" s="8"/>
      <c r="M165" s="7"/>
      <c r="N165" s="7"/>
      <c r="O165" s="8"/>
      <c r="P165" s="8"/>
      <c r="Q165" s="6"/>
      <c r="R165" s="7"/>
      <c r="S165" s="7"/>
      <c r="T165" s="9"/>
      <c r="U165" s="9"/>
      <c r="V165" s="73"/>
      <c r="W165" s="73"/>
      <c r="X165" s="74"/>
      <c r="Y165" s="74"/>
      <c r="Z165" s="7"/>
      <c r="AA165" s="7"/>
      <c r="AB165" s="20"/>
      <c r="AC165" s="88"/>
      <c r="AD165" s="92"/>
      <c r="AE165" s="16"/>
      <c r="AF165" s="10"/>
      <c r="AG165" s="17"/>
      <c r="AH165" s="17"/>
      <c r="AI165" s="17"/>
      <c r="AJ165" s="11"/>
      <c r="AK165" s="11"/>
      <c r="AL165" s="11"/>
      <c r="AM165" s="11"/>
      <c r="AN165" s="12"/>
      <c r="AO165" s="12"/>
      <c r="AP165" s="12"/>
      <c r="AQ165" s="12"/>
      <c r="AR165" s="12"/>
      <c r="AS165" s="12"/>
      <c r="AT165" s="12"/>
      <c r="AU165" s="12"/>
    </row>
    <row r="166" spans="1:47">
      <c r="A166" s="21"/>
      <c r="B166" s="21"/>
      <c r="C166" s="5"/>
      <c r="D166" s="5"/>
      <c r="E166" s="7"/>
      <c r="F166" s="232"/>
      <c r="G166" s="232"/>
      <c r="H166" s="232"/>
      <c r="I166" s="232"/>
      <c r="J166" s="7"/>
      <c r="K166" s="8"/>
      <c r="L166" s="8"/>
      <c r="M166" s="7"/>
      <c r="N166" s="7"/>
      <c r="O166" s="8"/>
      <c r="P166" s="8"/>
      <c r="Q166" s="6"/>
      <c r="R166" s="7"/>
      <c r="S166" s="7"/>
      <c r="T166" s="9"/>
      <c r="U166" s="9"/>
      <c r="V166" s="73"/>
      <c r="W166" s="73"/>
      <c r="X166" s="74"/>
      <c r="Y166" s="74"/>
      <c r="Z166" s="7"/>
      <c r="AA166" s="7"/>
      <c r="AB166" s="20"/>
      <c r="AC166" s="88"/>
      <c r="AD166" s="92"/>
      <c r="AE166" s="16"/>
      <c r="AF166" s="10"/>
      <c r="AG166" s="17"/>
      <c r="AH166" s="17"/>
      <c r="AI166" s="17"/>
      <c r="AJ166" s="11"/>
      <c r="AK166" s="11"/>
      <c r="AL166" s="11"/>
      <c r="AM166" s="11"/>
      <c r="AN166" s="12"/>
      <c r="AO166" s="12"/>
      <c r="AP166" s="12"/>
      <c r="AQ166" s="12"/>
      <c r="AR166" s="12"/>
      <c r="AS166" s="12"/>
      <c r="AT166" s="12"/>
      <c r="AU166" s="12"/>
    </row>
    <row r="167" spans="1:47">
      <c r="A167" s="21"/>
      <c r="B167" s="21"/>
      <c r="C167" s="5"/>
      <c r="D167" s="5"/>
      <c r="E167" s="7"/>
      <c r="F167" s="232"/>
      <c r="G167" s="232"/>
      <c r="H167" s="232"/>
      <c r="I167" s="232"/>
      <c r="J167" s="7"/>
      <c r="K167" s="8"/>
      <c r="L167" s="8"/>
      <c r="M167" s="7"/>
      <c r="N167" s="7"/>
      <c r="O167" s="8"/>
      <c r="P167" s="8"/>
      <c r="Q167" s="6"/>
      <c r="R167" s="7"/>
      <c r="S167" s="7"/>
      <c r="T167" s="9"/>
      <c r="U167" s="9"/>
      <c r="V167" s="73"/>
      <c r="W167" s="73"/>
      <c r="X167" s="74"/>
      <c r="Y167" s="74"/>
      <c r="Z167" s="7"/>
      <c r="AA167" s="7"/>
      <c r="AB167" s="20"/>
      <c r="AC167" s="88"/>
      <c r="AD167" s="92"/>
      <c r="AE167" s="16"/>
      <c r="AF167" s="10"/>
      <c r="AG167" s="17"/>
      <c r="AH167" s="17"/>
      <c r="AI167" s="17"/>
      <c r="AJ167" s="11"/>
      <c r="AK167" s="11"/>
      <c r="AL167" s="11"/>
      <c r="AM167" s="11"/>
      <c r="AN167" s="12"/>
      <c r="AO167" s="12"/>
      <c r="AP167" s="12"/>
      <c r="AQ167" s="12"/>
      <c r="AR167" s="12"/>
      <c r="AS167" s="12"/>
      <c r="AT167" s="12"/>
      <c r="AU167" s="12"/>
    </row>
    <row r="168" spans="1:47">
      <c r="C168" s="5"/>
      <c r="D168" s="5"/>
      <c r="E168" s="7"/>
      <c r="F168" s="232"/>
      <c r="G168" s="232"/>
      <c r="H168" s="232"/>
      <c r="I168" s="232"/>
      <c r="J168" s="7"/>
      <c r="K168" s="8"/>
      <c r="L168" s="8"/>
      <c r="M168" s="7"/>
      <c r="N168" s="7"/>
      <c r="O168" s="8"/>
      <c r="P168" s="8"/>
      <c r="Q168" s="6"/>
      <c r="R168" s="7"/>
      <c r="S168" s="7"/>
      <c r="T168" s="9"/>
      <c r="U168" s="9"/>
      <c r="V168" s="73"/>
      <c r="W168" s="73"/>
      <c r="X168" s="74"/>
      <c r="Y168" s="74"/>
      <c r="Z168" s="7"/>
      <c r="AA168" s="7"/>
      <c r="AB168" s="20"/>
      <c r="AC168" s="20"/>
      <c r="AD168" s="16"/>
      <c r="AE168" s="16"/>
      <c r="AF168" s="10"/>
      <c r="AG168" s="17"/>
      <c r="AH168" s="17"/>
      <c r="AI168" s="17"/>
      <c r="AJ168" s="11"/>
      <c r="AK168" s="11"/>
      <c r="AL168" s="11"/>
      <c r="AM168" s="11"/>
      <c r="AN168" s="12"/>
      <c r="AO168" s="12"/>
      <c r="AP168" s="12"/>
      <c r="AQ168" s="12"/>
      <c r="AR168" s="12"/>
      <c r="AS168" s="12"/>
      <c r="AT168" s="12"/>
      <c r="AU168" s="12"/>
    </row>
    <row r="169" spans="1:47">
      <c r="C169" s="16" t="s">
        <v>141</v>
      </c>
      <c r="D169" s="16" t="s">
        <v>141</v>
      </c>
      <c r="E169" s="7" t="s">
        <v>141</v>
      </c>
      <c r="F169" s="232"/>
      <c r="G169" s="232"/>
      <c r="H169" s="232"/>
      <c r="I169" s="232"/>
      <c r="J169" s="7" t="s">
        <v>141</v>
      </c>
      <c r="K169" s="8" t="s">
        <v>141</v>
      </c>
      <c r="L169" s="8" t="s">
        <v>141</v>
      </c>
      <c r="M169" s="7" t="s">
        <v>141</v>
      </c>
      <c r="N169" s="7" t="s">
        <v>141</v>
      </c>
      <c r="O169" s="8" t="s">
        <v>141</v>
      </c>
      <c r="P169" s="8" t="s">
        <v>141</v>
      </c>
      <c r="Q169" s="6" t="s">
        <v>141</v>
      </c>
      <c r="R169" s="7" t="s">
        <v>141</v>
      </c>
      <c r="S169" s="7"/>
      <c r="T169" s="9" t="s">
        <v>141</v>
      </c>
      <c r="U169" s="9" t="s">
        <v>141</v>
      </c>
      <c r="V169" s="73" t="s">
        <v>141</v>
      </c>
      <c r="W169" s="73" t="s">
        <v>141</v>
      </c>
      <c r="X169" s="74"/>
      <c r="Y169" s="74"/>
      <c r="Z169" s="7"/>
      <c r="AA169" s="7"/>
      <c r="AB169" s="20"/>
      <c r="AC169" s="20"/>
      <c r="AD169" s="16"/>
      <c r="AE169" s="16"/>
      <c r="AF169" s="10"/>
      <c r="AG169" s="17"/>
      <c r="AH169" s="17"/>
      <c r="AI169" s="17"/>
      <c r="AJ169" s="11"/>
      <c r="AK169" s="11"/>
      <c r="AL169" s="11"/>
      <c r="AM169" s="11"/>
      <c r="AN169" s="12"/>
      <c r="AO169" s="12"/>
      <c r="AP169" s="12"/>
      <c r="AQ169" s="12"/>
      <c r="AR169" s="12"/>
      <c r="AS169" s="12"/>
      <c r="AT169" s="12"/>
      <c r="AU169" s="12"/>
    </row>
    <row r="170" spans="1:47">
      <c r="C170" s="16" t="s">
        <v>141</v>
      </c>
      <c r="D170" s="16" t="s">
        <v>141</v>
      </c>
      <c r="E170" s="7" t="s">
        <v>141</v>
      </c>
      <c r="F170" s="232"/>
      <c r="G170" s="232"/>
      <c r="H170" s="232"/>
      <c r="I170" s="232"/>
      <c r="J170" s="7" t="s">
        <v>141</v>
      </c>
      <c r="K170" s="8" t="s">
        <v>141</v>
      </c>
      <c r="L170" s="8" t="s">
        <v>141</v>
      </c>
      <c r="M170" s="7" t="s">
        <v>141</v>
      </c>
      <c r="N170" s="7" t="s">
        <v>141</v>
      </c>
      <c r="O170" s="8" t="s">
        <v>141</v>
      </c>
      <c r="P170" s="8" t="s">
        <v>141</v>
      </c>
      <c r="Q170" s="6" t="s">
        <v>141</v>
      </c>
      <c r="R170" s="7" t="s">
        <v>141</v>
      </c>
      <c r="S170" s="7"/>
      <c r="T170" s="9" t="s">
        <v>141</v>
      </c>
      <c r="U170" s="9" t="s">
        <v>141</v>
      </c>
      <c r="V170" s="73" t="s">
        <v>141</v>
      </c>
      <c r="W170" s="73" t="s">
        <v>141</v>
      </c>
      <c r="X170" s="74"/>
      <c r="Y170" s="74"/>
      <c r="Z170" s="7"/>
      <c r="AA170" s="7"/>
      <c r="AB170" s="20"/>
      <c r="AC170" s="20"/>
      <c r="AD170" s="16"/>
      <c r="AE170" s="16"/>
      <c r="AF170" s="10"/>
      <c r="AG170" s="17"/>
      <c r="AH170" s="17"/>
      <c r="AI170" s="17"/>
      <c r="AJ170" s="11"/>
      <c r="AK170" s="11"/>
      <c r="AL170" s="11"/>
      <c r="AM170" s="11"/>
      <c r="AN170" s="12"/>
      <c r="AO170" s="12"/>
      <c r="AP170" s="12"/>
      <c r="AQ170" s="12"/>
      <c r="AR170" s="12"/>
      <c r="AS170" s="12"/>
      <c r="AT170" s="12"/>
      <c r="AU170" s="12"/>
    </row>
    <row r="171" spans="1:47">
      <c r="C171" s="16" t="s">
        <v>141</v>
      </c>
      <c r="D171" s="16" t="s">
        <v>141</v>
      </c>
      <c r="E171" s="7" t="s">
        <v>141</v>
      </c>
      <c r="F171" s="232"/>
      <c r="G171" s="232"/>
      <c r="H171" s="232"/>
      <c r="I171" s="232"/>
      <c r="J171" s="7" t="s">
        <v>141</v>
      </c>
      <c r="K171" s="8" t="s">
        <v>141</v>
      </c>
      <c r="L171" s="8" t="s">
        <v>141</v>
      </c>
      <c r="M171" s="7" t="s">
        <v>141</v>
      </c>
      <c r="N171" s="7" t="s">
        <v>141</v>
      </c>
      <c r="O171" s="8" t="s">
        <v>141</v>
      </c>
      <c r="P171" s="8" t="s">
        <v>141</v>
      </c>
      <c r="Q171" s="6" t="s">
        <v>141</v>
      </c>
      <c r="R171" s="7" t="s">
        <v>141</v>
      </c>
      <c r="S171" s="7"/>
      <c r="T171" s="9" t="s">
        <v>141</v>
      </c>
      <c r="U171" s="9" t="s">
        <v>141</v>
      </c>
      <c r="V171" s="73" t="s">
        <v>141</v>
      </c>
      <c r="W171" s="73" t="s">
        <v>141</v>
      </c>
      <c r="X171" s="74"/>
      <c r="Y171" s="74"/>
      <c r="Z171" s="7"/>
      <c r="AA171" s="7"/>
      <c r="AB171" s="20"/>
      <c r="AC171" s="20"/>
      <c r="AD171" s="16"/>
      <c r="AE171" s="16"/>
      <c r="AF171" s="10"/>
      <c r="AG171" s="17"/>
      <c r="AH171" s="17"/>
      <c r="AI171" s="17"/>
      <c r="AJ171" s="11"/>
      <c r="AK171" s="11"/>
      <c r="AL171" s="11"/>
      <c r="AM171" s="11"/>
      <c r="AN171" s="12"/>
      <c r="AO171" s="12"/>
      <c r="AP171" s="12"/>
      <c r="AQ171" s="12"/>
      <c r="AR171" s="12"/>
      <c r="AS171" s="12"/>
      <c r="AT171" s="12"/>
      <c r="AU171" s="12"/>
    </row>
    <row r="172" spans="1:47">
      <c r="C172" s="16" t="s">
        <v>141</v>
      </c>
      <c r="D172" s="16" t="s">
        <v>141</v>
      </c>
      <c r="E172" s="7" t="s">
        <v>141</v>
      </c>
      <c r="F172" s="232"/>
      <c r="G172" s="232"/>
      <c r="H172" s="232"/>
      <c r="I172" s="232"/>
      <c r="J172" s="7" t="s">
        <v>141</v>
      </c>
      <c r="K172" s="8" t="s">
        <v>141</v>
      </c>
      <c r="L172" s="8" t="s">
        <v>141</v>
      </c>
      <c r="M172" s="7" t="s">
        <v>141</v>
      </c>
      <c r="N172" s="7" t="s">
        <v>141</v>
      </c>
      <c r="O172" s="8" t="s">
        <v>141</v>
      </c>
      <c r="P172" s="8" t="s">
        <v>141</v>
      </c>
      <c r="Q172" s="6" t="s">
        <v>141</v>
      </c>
      <c r="R172" s="7" t="s">
        <v>141</v>
      </c>
      <c r="S172" s="7"/>
      <c r="T172" s="9" t="s">
        <v>141</v>
      </c>
      <c r="U172" s="9" t="s">
        <v>141</v>
      </c>
      <c r="V172" s="73" t="s">
        <v>141</v>
      </c>
      <c r="W172" s="73" t="s">
        <v>141</v>
      </c>
      <c r="X172" s="74"/>
      <c r="Y172" s="74"/>
      <c r="Z172" s="7"/>
      <c r="AA172" s="7"/>
      <c r="AB172" s="20"/>
      <c r="AC172" s="20"/>
      <c r="AD172" s="16"/>
      <c r="AE172" s="16"/>
      <c r="AF172" s="10"/>
      <c r="AG172" s="17"/>
      <c r="AH172" s="17"/>
      <c r="AI172" s="17"/>
      <c r="AJ172" s="11"/>
      <c r="AK172" s="11"/>
      <c r="AL172" s="11"/>
      <c r="AM172" s="11"/>
      <c r="AN172" s="12"/>
      <c r="AO172" s="12"/>
      <c r="AP172" s="12"/>
      <c r="AQ172" s="12"/>
      <c r="AR172" s="12"/>
      <c r="AS172" s="12"/>
      <c r="AT172" s="12"/>
      <c r="AU172" s="12"/>
    </row>
    <row r="173" spans="1:47">
      <c r="C173" s="16" t="s">
        <v>141</v>
      </c>
      <c r="D173" s="16" t="s">
        <v>141</v>
      </c>
      <c r="E173" s="7" t="s">
        <v>141</v>
      </c>
      <c r="F173" s="232"/>
      <c r="G173" s="232"/>
      <c r="H173" s="232"/>
      <c r="I173" s="232"/>
      <c r="J173" s="7" t="s">
        <v>141</v>
      </c>
      <c r="K173" s="8" t="s">
        <v>141</v>
      </c>
      <c r="L173" s="8" t="s">
        <v>141</v>
      </c>
      <c r="M173" s="7" t="s">
        <v>141</v>
      </c>
      <c r="N173" s="7" t="s">
        <v>141</v>
      </c>
      <c r="O173" s="8" t="s">
        <v>141</v>
      </c>
      <c r="P173" s="8" t="s">
        <v>141</v>
      </c>
      <c r="Q173" s="6" t="s">
        <v>141</v>
      </c>
      <c r="R173" s="7" t="s">
        <v>141</v>
      </c>
      <c r="S173" s="7"/>
      <c r="T173" s="9" t="s">
        <v>141</v>
      </c>
      <c r="U173" s="9" t="s">
        <v>141</v>
      </c>
      <c r="V173" s="73" t="s">
        <v>141</v>
      </c>
      <c r="W173" s="73" t="s">
        <v>141</v>
      </c>
      <c r="X173" s="74"/>
      <c r="Y173" s="74"/>
      <c r="Z173" s="7"/>
      <c r="AA173" s="7"/>
      <c r="AB173" s="20"/>
      <c r="AC173" s="20"/>
      <c r="AD173" s="16"/>
      <c r="AE173" s="16"/>
      <c r="AF173" s="10"/>
      <c r="AG173" s="17"/>
      <c r="AH173" s="17"/>
      <c r="AI173" s="17"/>
      <c r="AJ173" s="11"/>
      <c r="AK173" s="11"/>
      <c r="AL173" s="11"/>
      <c r="AM173" s="11"/>
      <c r="AN173" s="12"/>
      <c r="AO173" s="12"/>
      <c r="AP173" s="12"/>
      <c r="AQ173" s="12"/>
      <c r="AR173" s="12"/>
      <c r="AS173" s="12"/>
      <c r="AT173" s="12"/>
      <c r="AU173" s="12"/>
    </row>
    <row r="174" spans="1:47">
      <c r="C174" s="16" t="s">
        <v>141</v>
      </c>
      <c r="D174" s="16" t="s">
        <v>141</v>
      </c>
      <c r="E174" s="7" t="s">
        <v>141</v>
      </c>
      <c r="F174" s="232"/>
      <c r="G174" s="232"/>
      <c r="H174" s="232"/>
      <c r="I174" s="232"/>
      <c r="J174" s="7" t="s">
        <v>141</v>
      </c>
      <c r="K174" s="8" t="s">
        <v>141</v>
      </c>
      <c r="L174" s="8" t="s">
        <v>141</v>
      </c>
      <c r="M174" s="7" t="s">
        <v>141</v>
      </c>
      <c r="N174" s="7" t="s">
        <v>141</v>
      </c>
      <c r="O174" s="8" t="s">
        <v>141</v>
      </c>
      <c r="P174" s="8" t="s">
        <v>141</v>
      </c>
      <c r="Q174" s="6" t="s">
        <v>141</v>
      </c>
      <c r="R174" s="7" t="s">
        <v>141</v>
      </c>
      <c r="S174" s="7"/>
      <c r="T174" s="9" t="s">
        <v>141</v>
      </c>
      <c r="U174" s="9" t="s">
        <v>141</v>
      </c>
      <c r="V174" s="73" t="s">
        <v>141</v>
      </c>
      <c r="W174" s="73" t="s">
        <v>141</v>
      </c>
      <c r="X174" s="74"/>
      <c r="Y174" s="74"/>
      <c r="Z174" s="7"/>
      <c r="AA174" s="7"/>
      <c r="AB174" s="20"/>
      <c r="AC174" s="20"/>
      <c r="AD174" s="16"/>
      <c r="AE174" s="16"/>
      <c r="AF174" s="10"/>
      <c r="AG174" s="17"/>
      <c r="AH174" s="17"/>
      <c r="AI174" s="17"/>
      <c r="AJ174" s="11"/>
      <c r="AK174" s="11"/>
      <c r="AL174" s="11"/>
      <c r="AM174" s="11"/>
      <c r="AN174" s="12"/>
      <c r="AO174" s="12"/>
      <c r="AP174" s="12"/>
      <c r="AQ174" s="12"/>
      <c r="AR174" s="12"/>
      <c r="AS174" s="12"/>
      <c r="AT174" s="12"/>
      <c r="AU174" s="12"/>
    </row>
    <row r="175" spans="1:47">
      <c r="C175" s="16" t="s">
        <v>141</v>
      </c>
      <c r="D175" s="16" t="s">
        <v>141</v>
      </c>
      <c r="E175" s="7" t="s">
        <v>141</v>
      </c>
      <c r="F175" s="232"/>
      <c r="G175" s="232"/>
      <c r="H175" s="232"/>
      <c r="I175" s="232"/>
      <c r="J175" s="7" t="s">
        <v>141</v>
      </c>
      <c r="K175" s="8" t="s">
        <v>141</v>
      </c>
      <c r="L175" s="8" t="s">
        <v>141</v>
      </c>
      <c r="M175" s="7" t="s">
        <v>141</v>
      </c>
      <c r="N175" s="7" t="s">
        <v>141</v>
      </c>
      <c r="O175" s="8" t="s">
        <v>141</v>
      </c>
      <c r="P175" s="8" t="s">
        <v>141</v>
      </c>
      <c r="Q175" s="6" t="s">
        <v>141</v>
      </c>
      <c r="R175" s="7" t="s">
        <v>141</v>
      </c>
      <c r="S175" s="7"/>
      <c r="T175" s="9" t="s">
        <v>141</v>
      </c>
      <c r="U175" s="9" t="s">
        <v>141</v>
      </c>
      <c r="V175" s="73" t="s">
        <v>141</v>
      </c>
      <c r="W175" s="73" t="s">
        <v>141</v>
      </c>
      <c r="X175" s="74"/>
      <c r="Y175" s="74"/>
      <c r="Z175" s="7"/>
      <c r="AA175" s="7"/>
      <c r="AB175" s="20"/>
      <c r="AC175" s="20"/>
      <c r="AD175" s="16"/>
      <c r="AE175" s="16"/>
      <c r="AF175" s="10"/>
      <c r="AG175" s="17"/>
      <c r="AH175" s="17"/>
      <c r="AI175" s="17"/>
      <c r="AJ175" s="11"/>
      <c r="AK175" s="11"/>
      <c r="AL175" s="11"/>
      <c r="AM175" s="11"/>
      <c r="AN175" s="12"/>
      <c r="AO175" s="12"/>
      <c r="AP175" s="12"/>
      <c r="AQ175" s="12"/>
      <c r="AR175" s="12"/>
      <c r="AS175" s="12"/>
      <c r="AT175" s="12"/>
      <c r="AU175" s="12"/>
    </row>
    <row r="176" spans="1:47">
      <c r="C176" s="16" t="s">
        <v>141</v>
      </c>
      <c r="D176" s="16" t="s">
        <v>141</v>
      </c>
      <c r="E176" s="7" t="s">
        <v>141</v>
      </c>
      <c r="F176" s="232"/>
      <c r="G176" s="232"/>
      <c r="H176" s="232"/>
      <c r="I176" s="232"/>
      <c r="J176" s="7" t="s">
        <v>141</v>
      </c>
      <c r="K176" s="8" t="s">
        <v>141</v>
      </c>
      <c r="L176" s="8" t="s">
        <v>141</v>
      </c>
      <c r="M176" s="7" t="s">
        <v>141</v>
      </c>
      <c r="N176" s="7" t="s">
        <v>141</v>
      </c>
      <c r="O176" s="8" t="s">
        <v>141</v>
      </c>
      <c r="P176" s="8" t="s">
        <v>141</v>
      </c>
      <c r="Q176" s="6" t="s">
        <v>141</v>
      </c>
      <c r="R176" s="7" t="s">
        <v>141</v>
      </c>
      <c r="S176" s="7"/>
      <c r="T176" s="9" t="s">
        <v>141</v>
      </c>
      <c r="U176" s="9" t="s">
        <v>141</v>
      </c>
      <c r="V176" s="73" t="s">
        <v>141</v>
      </c>
      <c r="W176" s="73" t="s">
        <v>141</v>
      </c>
      <c r="X176" s="74"/>
      <c r="Y176" s="74"/>
      <c r="Z176" s="7"/>
      <c r="AA176" s="7"/>
      <c r="AB176" s="20"/>
      <c r="AC176" s="20"/>
      <c r="AD176" s="16"/>
      <c r="AE176" s="16"/>
      <c r="AF176" s="10"/>
      <c r="AG176" s="17"/>
      <c r="AH176" s="17"/>
      <c r="AI176" s="17"/>
      <c r="AJ176" s="11"/>
      <c r="AK176" s="11"/>
      <c r="AL176" s="11"/>
      <c r="AM176" s="11"/>
      <c r="AN176" s="12"/>
      <c r="AO176" s="12"/>
      <c r="AP176" s="12"/>
      <c r="AQ176" s="12"/>
      <c r="AR176" s="12"/>
      <c r="AS176" s="12"/>
      <c r="AT176" s="12"/>
      <c r="AU176" s="12"/>
    </row>
    <row r="177" spans="3:47">
      <c r="C177" s="16" t="s">
        <v>141</v>
      </c>
      <c r="D177" s="16" t="s">
        <v>141</v>
      </c>
      <c r="E177" s="7" t="s">
        <v>141</v>
      </c>
      <c r="F177" s="232"/>
      <c r="G177" s="232"/>
      <c r="H177" s="232"/>
      <c r="I177" s="232"/>
      <c r="J177" s="7" t="s">
        <v>141</v>
      </c>
      <c r="K177" s="8" t="s">
        <v>141</v>
      </c>
      <c r="L177" s="8" t="s">
        <v>141</v>
      </c>
      <c r="M177" s="7" t="s">
        <v>141</v>
      </c>
      <c r="N177" s="7" t="s">
        <v>141</v>
      </c>
      <c r="O177" s="8" t="s">
        <v>141</v>
      </c>
      <c r="P177" s="8" t="s">
        <v>141</v>
      </c>
      <c r="Q177" s="6" t="s">
        <v>141</v>
      </c>
      <c r="R177" s="7" t="s">
        <v>141</v>
      </c>
      <c r="S177" s="7"/>
      <c r="T177" s="9" t="s">
        <v>141</v>
      </c>
      <c r="U177" s="9" t="s">
        <v>141</v>
      </c>
      <c r="V177" s="73" t="s">
        <v>141</v>
      </c>
      <c r="W177" s="73" t="s">
        <v>141</v>
      </c>
      <c r="X177" s="74"/>
      <c r="Y177" s="74"/>
      <c r="Z177" s="7"/>
      <c r="AA177" s="7"/>
      <c r="AB177" s="20"/>
      <c r="AC177" s="20"/>
      <c r="AD177" s="16"/>
      <c r="AE177" s="16"/>
      <c r="AF177" s="10"/>
      <c r="AG177" s="17"/>
      <c r="AH177" s="17"/>
      <c r="AI177" s="17"/>
      <c r="AJ177" s="11"/>
      <c r="AK177" s="11"/>
      <c r="AL177" s="11"/>
      <c r="AM177" s="11"/>
      <c r="AN177" s="12"/>
      <c r="AO177" s="12"/>
      <c r="AP177" s="12"/>
      <c r="AQ177" s="12"/>
      <c r="AR177" s="12"/>
      <c r="AS177" s="12"/>
      <c r="AT177" s="12"/>
      <c r="AU177" s="12"/>
    </row>
    <row r="178" spans="3:47">
      <c r="C178" s="16" t="s">
        <v>141</v>
      </c>
      <c r="D178" s="16" t="s">
        <v>141</v>
      </c>
      <c r="E178" s="7" t="s">
        <v>141</v>
      </c>
      <c r="F178" s="232"/>
      <c r="G178" s="232"/>
      <c r="H178" s="232"/>
      <c r="I178" s="232"/>
      <c r="J178" s="7" t="s">
        <v>141</v>
      </c>
      <c r="K178" s="8" t="s">
        <v>141</v>
      </c>
      <c r="L178" s="8" t="s">
        <v>141</v>
      </c>
      <c r="M178" s="7" t="s">
        <v>141</v>
      </c>
      <c r="N178" s="7" t="s">
        <v>141</v>
      </c>
      <c r="O178" s="8" t="s">
        <v>141</v>
      </c>
      <c r="P178" s="8" t="s">
        <v>141</v>
      </c>
      <c r="Q178" s="6" t="s">
        <v>141</v>
      </c>
      <c r="R178" s="7" t="s">
        <v>141</v>
      </c>
      <c r="S178" s="7"/>
      <c r="T178" s="9" t="s">
        <v>141</v>
      </c>
      <c r="U178" s="9" t="s">
        <v>141</v>
      </c>
      <c r="V178" s="73" t="s">
        <v>141</v>
      </c>
      <c r="W178" s="73" t="s">
        <v>141</v>
      </c>
      <c r="X178" s="74"/>
      <c r="Y178" s="74"/>
      <c r="Z178" s="7"/>
      <c r="AA178" s="7"/>
      <c r="AB178" s="20"/>
      <c r="AC178" s="20"/>
      <c r="AD178" s="16"/>
      <c r="AE178" s="16"/>
      <c r="AF178" s="10"/>
      <c r="AG178" s="17"/>
      <c r="AH178" s="17"/>
      <c r="AI178" s="17"/>
      <c r="AJ178" s="11"/>
      <c r="AK178" s="11"/>
      <c r="AL178" s="11"/>
      <c r="AM178" s="11"/>
      <c r="AN178" s="12"/>
      <c r="AO178" s="12"/>
      <c r="AP178" s="12"/>
      <c r="AQ178" s="12"/>
      <c r="AR178" s="12"/>
      <c r="AS178" s="12"/>
      <c r="AT178" s="12"/>
      <c r="AU178" s="12"/>
    </row>
    <row r="179" spans="3:47">
      <c r="C179" s="16" t="s">
        <v>141</v>
      </c>
      <c r="D179" s="16" t="s">
        <v>141</v>
      </c>
      <c r="E179" s="7" t="s">
        <v>141</v>
      </c>
      <c r="F179" s="232"/>
      <c r="G179" s="232"/>
      <c r="H179" s="232"/>
      <c r="I179" s="232"/>
      <c r="J179" s="7" t="s">
        <v>141</v>
      </c>
      <c r="K179" s="8" t="s">
        <v>141</v>
      </c>
      <c r="L179" s="8" t="s">
        <v>141</v>
      </c>
      <c r="M179" s="7" t="s">
        <v>141</v>
      </c>
      <c r="N179" s="7" t="s">
        <v>141</v>
      </c>
      <c r="O179" s="8" t="s">
        <v>141</v>
      </c>
      <c r="P179" s="8" t="s">
        <v>141</v>
      </c>
      <c r="Q179" s="6" t="s">
        <v>141</v>
      </c>
      <c r="R179" s="7" t="s">
        <v>141</v>
      </c>
      <c r="S179" s="7"/>
      <c r="T179" s="9" t="s">
        <v>141</v>
      </c>
      <c r="U179" s="9" t="s">
        <v>141</v>
      </c>
      <c r="V179" s="73" t="s">
        <v>141</v>
      </c>
      <c r="W179" s="73" t="s">
        <v>141</v>
      </c>
      <c r="X179" s="74"/>
      <c r="Y179" s="74"/>
      <c r="Z179" s="7"/>
      <c r="AA179" s="7"/>
      <c r="AB179" s="20"/>
      <c r="AC179" s="20"/>
      <c r="AD179" s="16"/>
      <c r="AE179" s="16"/>
      <c r="AF179" s="10"/>
      <c r="AG179" s="17"/>
      <c r="AH179" s="17"/>
      <c r="AI179" s="17"/>
      <c r="AJ179" s="11"/>
      <c r="AK179" s="11"/>
      <c r="AL179" s="11"/>
      <c r="AM179" s="11"/>
      <c r="AN179" s="12"/>
      <c r="AO179" s="12"/>
      <c r="AP179" s="12"/>
      <c r="AQ179" s="12"/>
      <c r="AR179" s="12"/>
      <c r="AS179" s="12"/>
      <c r="AT179" s="12"/>
      <c r="AU179" s="12"/>
    </row>
    <row r="180" spans="3:47">
      <c r="C180" s="16" t="s">
        <v>141</v>
      </c>
      <c r="D180" s="16" t="s">
        <v>141</v>
      </c>
      <c r="E180" s="7" t="s">
        <v>141</v>
      </c>
      <c r="F180" s="232"/>
      <c r="G180" s="232"/>
      <c r="H180" s="232"/>
      <c r="I180" s="232"/>
      <c r="J180" s="7" t="s">
        <v>141</v>
      </c>
      <c r="K180" s="8" t="s">
        <v>141</v>
      </c>
      <c r="L180" s="8" t="s">
        <v>141</v>
      </c>
      <c r="M180" s="7" t="s">
        <v>141</v>
      </c>
      <c r="N180" s="7" t="s">
        <v>141</v>
      </c>
      <c r="O180" s="8" t="s">
        <v>141</v>
      </c>
      <c r="P180" s="8" t="s">
        <v>141</v>
      </c>
      <c r="Q180" s="6" t="s">
        <v>141</v>
      </c>
      <c r="R180" s="7" t="s">
        <v>141</v>
      </c>
      <c r="S180" s="7"/>
      <c r="T180" s="9" t="s">
        <v>141</v>
      </c>
      <c r="U180" s="9" t="s">
        <v>141</v>
      </c>
      <c r="V180" s="73" t="s">
        <v>141</v>
      </c>
      <c r="W180" s="73" t="s">
        <v>141</v>
      </c>
      <c r="Z180" s="7"/>
      <c r="AA180" s="7"/>
      <c r="AB180" s="20"/>
      <c r="AC180" s="20"/>
      <c r="AD180" s="16"/>
      <c r="AE180" s="16"/>
      <c r="AF180" s="10"/>
      <c r="AG180" s="17"/>
      <c r="AH180" s="17"/>
      <c r="AI180" s="17"/>
      <c r="AJ180" s="11"/>
      <c r="AK180" s="11"/>
      <c r="AL180" s="11"/>
      <c r="AM180" s="11"/>
      <c r="AN180" s="12"/>
      <c r="AO180" s="12"/>
      <c r="AP180" s="12"/>
      <c r="AQ180" s="12"/>
      <c r="AR180" s="12"/>
      <c r="AS180" s="12"/>
      <c r="AT180" s="12"/>
      <c r="AU180" s="12"/>
    </row>
    <row r="181" spans="3:47">
      <c r="C181" s="16" t="s">
        <v>141</v>
      </c>
      <c r="D181" s="16" t="s">
        <v>141</v>
      </c>
      <c r="E181" s="7" t="s">
        <v>141</v>
      </c>
      <c r="F181" s="232"/>
      <c r="G181" s="232"/>
      <c r="H181" s="232"/>
      <c r="I181" s="232"/>
      <c r="J181" s="7" t="s">
        <v>141</v>
      </c>
      <c r="K181" s="8" t="s">
        <v>141</v>
      </c>
      <c r="L181" s="8" t="s">
        <v>141</v>
      </c>
      <c r="M181" s="7" t="s">
        <v>141</v>
      </c>
      <c r="N181" s="7" t="s">
        <v>141</v>
      </c>
      <c r="O181" s="8" t="s">
        <v>141</v>
      </c>
      <c r="P181" s="8" t="s">
        <v>141</v>
      </c>
      <c r="Q181" s="6" t="s">
        <v>141</v>
      </c>
      <c r="R181" s="7" t="s">
        <v>141</v>
      </c>
      <c r="S181" s="7"/>
      <c r="T181" s="9" t="s">
        <v>141</v>
      </c>
      <c r="U181" s="9" t="s">
        <v>141</v>
      </c>
      <c r="V181" s="73" t="s">
        <v>141</v>
      </c>
      <c r="W181" s="73" t="s">
        <v>141</v>
      </c>
      <c r="Z181" s="7"/>
      <c r="AA181" s="7"/>
      <c r="AB181" s="20"/>
      <c r="AC181" s="20"/>
      <c r="AD181" s="16"/>
      <c r="AE181" s="16"/>
      <c r="AF181" s="10"/>
      <c r="AG181" s="17"/>
      <c r="AH181" s="17"/>
      <c r="AI181" s="17"/>
      <c r="AJ181" s="11"/>
      <c r="AK181" s="11"/>
      <c r="AL181" s="11"/>
      <c r="AM181" s="11"/>
      <c r="AN181" s="12"/>
      <c r="AO181" s="12"/>
      <c r="AP181" s="12"/>
      <c r="AQ181" s="12"/>
      <c r="AR181" s="12"/>
      <c r="AS181" s="12"/>
      <c r="AT181" s="12"/>
      <c r="AU181" s="12"/>
    </row>
    <row r="182" spans="3:47">
      <c r="C182" s="16" t="s">
        <v>141</v>
      </c>
      <c r="D182" s="16" t="s">
        <v>141</v>
      </c>
      <c r="E182" s="7" t="s">
        <v>141</v>
      </c>
      <c r="F182" s="232"/>
      <c r="G182" s="232"/>
      <c r="H182" s="232"/>
      <c r="I182" s="232"/>
      <c r="J182" s="7" t="s">
        <v>141</v>
      </c>
      <c r="K182" s="8" t="s">
        <v>141</v>
      </c>
      <c r="L182" s="8" t="s">
        <v>141</v>
      </c>
      <c r="M182" s="7" t="s">
        <v>141</v>
      </c>
      <c r="N182" s="7" t="s">
        <v>141</v>
      </c>
      <c r="O182" s="8" t="s">
        <v>141</v>
      </c>
      <c r="P182" s="8" t="s">
        <v>141</v>
      </c>
      <c r="Q182" s="6" t="s">
        <v>141</v>
      </c>
      <c r="R182" s="7" t="s">
        <v>141</v>
      </c>
      <c r="S182" s="7"/>
      <c r="T182" s="9" t="s">
        <v>141</v>
      </c>
      <c r="U182" s="9" t="s">
        <v>141</v>
      </c>
      <c r="V182" s="73" t="s">
        <v>141</v>
      </c>
      <c r="W182" s="73" t="s">
        <v>141</v>
      </c>
      <c r="Z182" s="7"/>
      <c r="AA182" s="7"/>
      <c r="AB182" s="20"/>
      <c r="AC182" s="20"/>
      <c r="AD182" s="16"/>
      <c r="AE182" s="16"/>
      <c r="AF182" s="10"/>
      <c r="AG182" s="17"/>
      <c r="AH182" s="17"/>
      <c r="AI182" s="17"/>
      <c r="AJ182" s="11"/>
      <c r="AK182" s="11"/>
      <c r="AL182" s="11"/>
      <c r="AM182" s="11"/>
      <c r="AN182" s="12"/>
      <c r="AO182" s="12"/>
      <c r="AP182" s="12"/>
      <c r="AQ182" s="12"/>
      <c r="AR182" s="12"/>
      <c r="AS182" s="12"/>
      <c r="AT182" s="12"/>
      <c r="AU182" s="12"/>
    </row>
    <row r="183" spans="3:47">
      <c r="F183" s="232"/>
      <c r="G183" s="232"/>
      <c r="H183" s="232"/>
      <c r="I183" s="232"/>
    </row>
    <row r="184" spans="3:47">
      <c r="F184" s="232"/>
      <c r="G184" s="232"/>
      <c r="H184" s="232"/>
      <c r="I184" s="232"/>
    </row>
    <row r="185" spans="3:47">
      <c r="F185" s="232"/>
      <c r="G185" s="232"/>
      <c r="H185" s="232"/>
      <c r="I185" s="232"/>
    </row>
    <row r="186" spans="3:47">
      <c r="F186" s="232"/>
      <c r="G186" s="232"/>
      <c r="H186" s="232"/>
      <c r="I186" s="232"/>
    </row>
    <row r="187" spans="3:47">
      <c r="F187" s="232"/>
      <c r="G187" s="232"/>
      <c r="H187" s="232"/>
      <c r="I187" s="232"/>
    </row>
    <row r="188" spans="3:47">
      <c r="F188" s="296"/>
      <c r="G188" s="232"/>
      <c r="H188" s="232"/>
      <c r="I188" s="232"/>
    </row>
    <row r="189" spans="3:47">
      <c r="F189" s="232"/>
      <c r="G189" s="232"/>
      <c r="H189" s="232"/>
      <c r="I189" s="232"/>
    </row>
    <row r="190" spans="3:47">
      <c r="F190" s="232"/>
      <c r="G190" s="232"/>
      <c r="H190" s="232"/>
      <c r="I190" s="232"/>
    </row>
    <row r="191" spans="3:47">
      <c r="F191" s="232"/>
      <c r="G191" s="232"/>
      <c r="H191" s="232"/>
      <c r="I191" s="232"/>
    </row>
    <row r="192" spans="3:47">
      <c r="F192" s="232"/>
      <c r="G192" s="232"/>
      <c r="H192" s="232"/>
      <c r="I192" s="232"/>
    </row>
    <row r="193" spans="6:9">
      <c r="F193" s="232"/>
      <c r="G193" s="232"/>
      <c r="H193" s="232"/>
      <c r="I193" s="232"/>
    </row>
    <row r="194" spans="6:9">
      <c r="F194" s="232"/>
      <c r="G194" s="232"/>
      <c r="H194" s="232"/>
      <c r="I194" s="232"/>
    </row>
    <row r="195" spans="6:9">
      <c r="F195" s="232"/>
      <c r="G195" s="232"/>
      <c r="H195" s="232"/>
      <c r="I195" s="232"/>
    </row>
    <row r="196" spans="6:9">
      <c r="F196" s="232"/>
      <c r="G196" s="232"/>
      <c r="H196" s="232"/>
      <c r="I196" s="232"/>
    </row>
    <row r="197" spans="6:9">
      <c r="F197" s="232"/>
      <c r="G197" s="232"/>
      <c r="H197" s="232"/>
      <c r="I197" s="232"/>
    </row>
    <row r="198" spans="6:9">
      <c r="F198" s="232"/>
      <c r="G198" s="232"/>
      <c r="H198" s="232"/>
      <c r="I198" s="232"/>
    </row>
    <row r="199" spans="6:9">
      <c r="F199" s="232"/>
      <c r="G199" s="232"/>
      <c r="H199" s="232"/>
      <c r="I199" s="232"/>
    </row>
    <row r="200" spans="6:9">
      <c r="F200" s="232"/>
      <c r="G200" s="232"/>
      <c r="H200" s="232"/>
      <c r="I200" s="232"/>
    </row>
    <row r="201" spans="6:9">
      <c r="F201" s="232"/>
      <c r="G201" s="232"/>
      <c r="H201" s="232"/>
      <c r="I201" s="232"/>
    </row>
    <row r="202" spans="6:9">
      <c r="F202" s="232"/>
      <c r="G202" s="232"/>
      <c r="H202" s="232"/>
      <c r="I202" s="232"/>
    </row>
    <row r="203" spans="6:9">
      <c r="F203" s="232"/>
      <c r="G203" s="232"/>
      <c r="H203" s="232"/>
      <c r="I203" s="232"/>
    </row>
    <row r="204" spans="6:9">
      <c r="F204" s="232"/>
      <c r="G204" s="232"/>
      <c r="H204" s="232"/>
      <c r="I204" s="232"/>
    </row>
    <row r="205" spans="6:9">
      <c r="F205" s="232"/>
      <c r="G205" s="232"/>
      <c r="H205" s="232"/>
      <c r="I205" s="232"/>
    </row>
    <row r="206" spans="6:9">
      <c r="F206" s="232"/>
      <c r="G206" s="232"/>
      <c r="H206" s="232"/>
      <c r="I206" s="232"/>
    </row>
    <row r="207" spans="6:9">
      <c r="F207" s="232"/>
      <c r="G207" s="232"/>
      <c r="H207" s="232"/>
      <c r="I207" s="232"/>
    </row>
    <row r="208" spans="6:9">
      <c r="F208" s="232"/>
      <c r="G208" s="232"/>
      <c r="H208" s="232"/>
      <c r="I208" s="232"/>
    </row>
    <row r="209" spans="6:9">
      <c r="F209" s="232"/>
      <c r="G209" s="232"/>
      <c r="H209" s="232"/>
      <c r="I209" s="232"/>
    </row>
    <row r="210" spans="6:9">
      <c r="F210" s="232"/>
      <c r="G210" s="232"/>
      <c r="H210" s="232"/>
      <c r="I210" s="232"/>
    </row>
    <row r="211" spans="6:9">
      <c r="F211" s="232"/>
      <c r="G211" s="232"/>
      <c r="H211" s="232"/>
      <c r="I211" s="232"/>
    </row>
    <row r="212" spans="6:9">
      <c r="F212" s="232"/>
      <c r="G212" s="232"/>
      <c r="H212" s="232"/>
      <c r="I212" s="232"/>
    </row>
    <row r="213" spans="6:9">
      <c r="F213" s="232"/>
      <c r="G213" s="232"/>
      <c r="H213" s="232"/>
      <c r="I213" s="232"/>
    </row>
    <row r="214" spans="6:9">
      <c r="F214" s="232"/>
      <c r="G214" s="232"/>
      <c r="H214" s="232"/>
      <c r="I214" s="232"/>
    </row>
    <row r="215" spans="6:9">
      <c r="F215" s="232"/>
      <c r="G215" s="232"/>
      <c r="H215" s="232"/>
      <c r="I215" s="232"/>
    </row>
    <row r="216" spans="6:9">
      <c r="F216" s="232"/>
      <c r="G216" s="232"/>
      <c r="H216" s="232"/>
      <c r="I216" s="232"/>
    </row>
    <row r="217" spans="6:9">
      <c r="F217" s="232"/>
      <c r="G217" s="232"/>
      <c r="H217" s="232"/>
      <c r="I217" s="232"/>
    </row>
    <row r="218" spans="6:9">
      <c r="F218" s="232"/>
      <c r="G218" s="232"/>
      <c r="H218" s="232"/>
      <c r="I218" s="232"/>
    </row>
    <row r="219" spans="6:9">
      <c r="F219" s="232"/>
      <c r="G219" s="232"/>
      <c r="H219" s="232"/>
      <c r="I219" s="232"/>
    </row>
    <row r="220" spans="6:9">
      <c r="F220" s="232"/>
      <c r="G220" s="232"/>
      <c r="H220" s="232"/>
      <c r="I220" s="232"/>
    </row>
    <row r="221" spans="6:9">
      <c r="F221" s="232"/>
      <c r="G221" s="232"/>
      <c r="H221" s="232"/>
      <c r="I221" s="232"/>
    </row>
    <row r="222" spans="6:9">
      <c r="F222" s="232"/>
      <c r="G222" s="232"/>
      <c r="H222" s="232"/>
      <c r="I222" s="232"/>
    </row>
    <row r="223" spans="6:9">
      <c r="F223" s="232"/>
      <c r="G223" s="232"/>
      <c r="H223" s="232"/>
      <c r="I223" s="232"/>
    </row>
    <row r="224" spans="6:9">
      <c r="F224" s="232"/>
      <c r="G224" s="232"/>
      <c r="H224" s="232"/>
      <c r="I224" s="232"/>
    </row>
    <row r="225" spans="6:9">
      <c r="F225" s="232"/>
      <c r="G225" s="232"/>
      <c r="H225" s="232"/>
      <c r="I225" s="232"/>
    </row>
    <row r="226" spans="6:9">
      <c r="F226" s="232"/>
      <c r="G226" s="232"/>
      <c r="H226" s="232"/>
      <c r="I226" s="232"/>
    </row>
    <row r="227" spans="6:9">
      <c r="F227" s="232"/>
      <c r="G227" s="232"/>
      <c r="H227" s="232"/>
      <c r="I227" s="232"/>
    </row>
    <row r="228" spans="6:9">
      <c r="F228" s="232"/>
      <c r="G228" s="232"/>
      <c r="H228" s="232"/>
      <c r="I228" s="232"/>
    </row>
    <row r="229" spans="6:9">
      <c r="F229" s="232"/>
      <c r="G229" s="232"/>
      <c r="H229" s="232"/>
      <c r="I229" s="232"/>
    </row>
    <row r="230" spans="6:9">
      <c r="F230" s="232"/>
      <c r="G230" s="232"/>
      <c r="H230" s="232"/>
      <c r="I230" s="232"/>
    </row>
    <row r="231" spans="6:9">
      <c r="F231" s="232"/>
      <c r="G231" s="232"/>
      <c r="H231" s="232"/>
      <c r="I231" s="232"/>
    </row>
    <row r="232" spans="6:9">
      <c r="F232" s="232"/>
      <c r="G232" s="232"/>
      <c r="H232" s="232"/>
      <c r="I232" s="232"/>
    </row>
    <row r="233" spans="6:9">
      <c r="F233" s="232"/>
      <c r="G233" s="232"/>
      <c r="H233" s="232"/>
      <c r="I233" s="232"/>
    </row>
    <row r="234" spans="6:9">
      <c r="F234" s="232"/>
      <c r="G234" s="232"/>
      <c r="H234" s="232"/>
      <c r="I234" s="232"/>
    </row>
    <row r="235" spans="6:9">
      <c r="F235" s="232"/>
      <c r="G235" s="232"/>
      <c r="H235" s="232"/>
      <c r="I235" s="232"/>
    </row>
    <row r="236" spans="6:9">
      <c r="F236" s="232"/>
      <c r="G236" s="232"/>
      <c r="H236" s="232"/>
      <c r="I236" s="232"/>
    </row>
    <row r="237" spans="6:9">
      <c r="F237" s="232"/>
      <c r="G237" s="232"/>
      <c r="H237" s="232"/>
      <c r="I237" s="232"/>
    </row>
    <row r="238" spans="6:9">
      <c r="F238" s="232"/>
      <c r="G238" s="232"/>
      <c r="H238" s="232"/>
      <c r="I238" s="232"/>
    </row>
    <row r="239" spans="6:9">
      <c r="F239" s="232"/>
      <c r="G239" s="232"/>
      <c r="H239" s="232"/>
      <c r="I239" s="232"/>
    </row>
    <row r="240" spans="6:9">
      <c r="F240" s="232"/>
      <c r="G240" s="232"/>
      <c r="H240" s="232"/>
      <c r="I240" s="232"/>
    </row>
    <row r="241" spans="6:9">
      <c r="F241" s="232"/>
      <c r="G241" s="232"/>
      <c r="H241" s="232"/>
      <c r="I241" s="232"/>
    </row>
    <row r="242" spans="6:9">
      <c r="F242" s="232"/>
      <c r="G242" s="232"/>
      <c r="H242" s="232"/>
      <c r="I242" s="232"/>
    </row>
    <row r="243" spans="6:9">
      <c r="F243" s="232"/>
      <c r="G243" s="232"/>
      <c r="H243" s="232"/>
      <c r="I243" s="232"/>
    </row>
    <row r="244" spans="6:9">
      <c r="F244" s="232"/>
      <c r="G244" s="232"/>
      <c r="H244" s="232"/>
      <c r="I244" s="232"/>
    </row>
    <row r="245" spans="6:9">
      <c r="F245" s="232"/>
      <c r="G245" s="232"/>
      <c r="H245" s="232"/>
      <c r="I245" s="232"/>
    </row>
    <row r="246" spans="6:9">
      <c r="F246" s="232"/>
      <c r="G246" s="232"/>
      <c r="H246" s="232"/>
      <c r="I246" s="232"/>
    </row>
    <row r="247" spans="6:9">
      <c r="F247" s="232"/>
      <c r="G247" s="232"/>
      <c r="H247" s="232"/>
      <c r="I247" s="232"/>
    </row>
    <row r="248" spans="6:9">
      <c r="F248" s="232"/>
      <c r="G248" s="232"/>
      <c r="H248" s="232"/>
      <c r="I248" s="232"/>
    </row>
    <row r="249" spans="6:9">
      <c r="F249" s="232"/>
      <c r="G249" s="232"/>
      <c r="H249" s="232"/>
      <c r="I249" s="232"/>
    </row>
    <row r="250" spans="6:9">
      <c r="F250" s="232"/>
      <c r="G250" s="232"/>
      <c r="H250" s="232"/>
      <c r="I250" s="232"/>
    </row>
    <row r="251" spans="6:9">
      <c r="F251" s="232"/>
      <c r="G251" s="232"/>
      <c r="H251" s="232"/>
      <c r="I251" s="232"/>
    </row>
    <row r="252" spans="6:9">
      <c r="F252" s="232"/>
      <c r="G252" s="232"/>
      <c r="H252" s="232"/>
      <c r="I252" s="232"/>
    </row>
    <row r="253" spans="6:9">
      <c r="F253" s="232"/>
      <c r="G253" s="232"/>
      <c r="H253" s="232"/>
      <c r="I253" s="232"/>
    </row>
    <row r="254" spans="6:9">
      <c r="F254" s="232"/>
      <c r="G254" s="232"/>
      <c r="H254" s="232"/>
      <c r="I254" s="232"/>
    </row>
    <row r="255" spans="6:9">
      <c r="F255" s="232"/>
      <c r="G255" s="232"/>
      <c r="H255" s="232"/>
      <c r="I255" s="232"/>
    </row>
    <row r="256" spans="6:9">
      <c r="F256" s="232"/>
      <c r="G256" s="232"/>
      <c r="H256" s="232"/>
      <c r="I256" s="232"/>
    </row>
    <row r="257" spans="6:9">
      <c r="F257" s="232"/>
      <c r="G257" s="232"/>
      <c r="H257" s="232"/>
      <c r="I257" s="232"/>
    </row>
    <row r="258" spans="6:9">
      <c r="F258" s="232"/>
      <c r="G258" s="232"/>
      <c r="H258" s="232"/>
      <c r="I258" s="232"/>
    </row>
    <row r="259" spans="6:9">
      <c r="F259" s="232"/>
      <c r="G259" s="232"/>
      <c r="H259" s="232"/>
      <c r="I259" s="232"/>
    </row>
    <row r="260" spans="6:9">
      <c r="F260" s="232"/>
      <c r="G260" s="232"/>
      <c r="H260" s="232"/>
      <c r="I260" s="232"/>
    </row>
    <row r="261" spans="6:9">
      <c r="F261" s="296"/>
      <c r="G261" s="232"/>
      <c r="H261" s="232"/>
      <c r="I261" s="232"/>
    </row>
    <row r="262" spans="6:9">
      <c r="F262" s="296"/>
      <c r="G262" s="232"/>
      <c r="H262" s="232"/>
      <c r="I262" s="232"/>
    </row>
    <row r="263" spans="6:9">
      <c r="F263" s="296"/>
      <c r="G263" s="232"/>
      <c r="H263" s="232"/>
      <c r="I263" s="232"/>
    </row>
    <row r="264" spans="6:9">
      <c r="F264" s="296"/>
      <c r="G264" s="232"/>
      <c r="H264" s="232"/>
      <c r="I264" s="232"/>
    </row>
    <row r="265" spans="6:9">
      <c r="F265" s="296"/>
      <c r="G265" s="232"/>
      <c r="H265" s="232"/>
      <c r="I265" s="232"/>
    </row>
    <row r="266" spans="6:9">
      <c r="F266" s="296"/>
      <c r="G266" s="232"/>
      <c r="H266" s="232"/>
      <c r="I266" s="232"/>
    </row>
    <row r="267" spans="6:9">
      <c r="F267" s="296"/>
      <c r="G267" s="232"/>
      <c r="H267" s="232"/>
      <c r="I267" s="232"/>
    </row>
    <row r="268" spans="6:9">
      <c r="F268" s="296"/>
      <c r="G268" s="232"/>
      <c r="H268" s="232"/>
      <c r="I268" s="232"/>
    </row>
    <row r="269" spans="6:9">
      <c r="F269" s="296"/>
      <c r="G269" s="232"/>
      <c r="H269" s="232"/>
      <c r="I269" s="232"/>
    </row>
    <row r="270" spans="6:9">
      <c r="F270" s="296"/>
      <c r="G270" s="232"/>
      <c r="H270" s="232"/>
      <c r="I270" s="232"/>
    </row>
    <row r="271" spans="6:9">
      <c r="F271" s="296"/>
      <c r="G271" s="232"/>
      <c r="H271" s="232"/>
      <c r="I271" s="232"/>
    </row>
    <row r="272" spans="6:9">
      <c r="F272" s="296"/>
      <c r="G272" s="232"/>
      <c r="H272" s="232"/>
      <c r="I272" s="232"/>
    </row>
    <row r="273" spans="1:35">
      <c r="F273" s="296"/>
      <c r="G273" s="232"/>
      <c r="H273" s="232"/>
      <c r="I273" s="232"/>
    </row>
    <row r="274" spans="1:35">
      <c r="A274" s="2"/>
      <c r="B274" s="2"/>
      <c r="C274" s="2"/>
      <c r="D274" s="2"/>
      <c r="F274" s="296"/>
      <c r="G274" s="232"/>
      <c r="H274" s="232"/>
      <c r="I274" s="232"/>
      <c r="K274" s="2"/>
      <c r="L274" s="2"/>
      <c r="Q274" s="2"/>
      <c r="T274" s="2"/>
      <c r="U274" s="2"/>
      <c r="V274" s="2"/>
      <c r="W274" s="2"/>
      <c r="X274" s="2"/>
      <c r="Y274" s="2"/>
      <c r="AD274" s="2"/>
      <c r="AE274" s="2"/>
      <c r="AF274" s="2"/>
      <c r="AG274" s="2"/>
      <c r="AH274" s="2"/>
      <c r="AI274" s="2"/>
    </row>
    <row r="275" spans="1:35">
      <c r="A275" s="2"/>
      <c r="B275" s="2"/>
      <c r="C275" s="2"/>
      <c r="D275" s="2"/>
      <c r="F275" s="296"/>
      <c r="G275" s="232"/>
      <c r="H275" s="232"/>
      <c r="I275" s="232"/>
      <c r="K275" s="2"/>
      <c r="L275" s="2"/>
      <c r="Q275" s="2"/>
      <c r="T275" s="2"/>
      <c r="U275" s="2"/>
      <c r="V275" s="2"/>
      <c r="W275" s="2"/>
      <c r="X275" s="2"/>
      <c r="Y275" s="2"/>
      <c r="AD275" s="2"/>
      <c r="AE275" s="2"/>
      <c r="AF275" s="2"/>
      <c r="AG275" s="2"/>
      <c r="AH275" s="2"/>
      <c r="AI275" s="2"/>
    </row>
    <row r="276" spans="1:35">
      <c r="A276" s="2"/>
      <c r="B276" s="2"/>
      <c r="C276" s="2"/>
      <c r="D276" s="2"/>
      <c r="F276" s="232"/>
      <c r="G276" s="232"/>
      <c r="H276" s="232"/>
      <c r="I276" s="232"/>
      <c r="K276" s="2"/>
      <c r="L276" s="2"/>
      <c r="Q276" s="2"/>
      <c r="T276" s="2"/>
      <c r="U276" s="2"/>
      <c r="V276" s="2"/>
      <c r="W276" s="2"/>
      <c r="X276" s="2"/>
      <c r="Y276" s="2"/>
      <c r="AD276" s="2"/>
      <c r="AE276" s="2"/>
      <c r="AF276" s="2"/>
      <c r="AG276" s="2"/>
      <c r="AH276" s="2"/>
      <c r="AI276" s="2"/>
    </row>
    <row r="277" spans="1:35">
      <c r="A277" s="2"/>
      <c r="B277" s="2"/>
      <c r="C277" s="2"/>
      <c r="D277" s="2"/>
      <c r="K277" s="2"/>
      <c r="L277" s="2"/>
      <c r="Q277" s="2"/>
      <c r="T277" s="2"/>
      <c r="U277" s="2"/>
      <c r="V277" s="2"/>
      <c r="W277" s="2"/>
      <c r="X277" s="2"/>
      <c r="Y277" s="2"/>
      <c r="AD277" s="2"/>
      <c r="AE277" s="2"/>
      <c r="AF277" s="2"/>
      <c r="AG277" s="2"/>
      <c r="AH277" s="2"/>
      <c r="AI277" s="2"/>
    </row>
    <row r="278" spans="1:35">
      <c r="A278" s="2"/>
      <c r="B278" s="2"/>
      <c r="C278" s="2"/>
      <c r="D278" s="2"/>
      <c r="K278" s="2"/>
      <c r="L278" s="2"/>
      <c r="Q278" s="2"/>
      <c r="T278" s="2"/>
      <c r="U278" s="2"/>
      <c r="V278" s="2"/>
      <c r="W278" s="2"/>
      <c r="X278" s="2"/>
      <c r="Y278" s="2"/>
      <c r="AD278" s="2"/>
      <c r="AE278" s="2"/>
      <c r="AF278" s="2"/>
      <c r="AG278" s="2"/>
      <c r="AH278" s="2"/>
      <c r="AI278" s="2"/>
    </row>
    <row r="279" spans="1:35">
      <c r="A279" s="2"/>
      <c r="B279" s="2"/>
      <c r="C279" s="2"/>
      <c r="D279" s="2"/>
      <c r="K279" s="2"/>
      <c r="L279" s="2"/>
      <c r="Q279" s="2"/>
      <c r="T279" s="2"/>
      <c r="U279" s="2"/>
      <c r="V279" s="2"/>
      <c r="W279" s="2"/>
      <c r="X279" s="2"/>
      <c r="Y279" s="2"/>
      <c r="AD279" s="2"/>
      <c r="AE279" s="2"/>
      <c r="AF279" s="2"/>
      <c r="AG279" s="2"/>
      <c r="AH279" s="2"/>
      <c r="AI279" s="2"/>
    </row>
    <row r="280" spans="1:35">
      <c r="A280" s="2"/>
      <c r="B280" s="2"/>
      <c r="C280" s="2"/>
      <c r="D280" s="2"/>
      <c r="K280" s="2"/>
      <c r="L280" s="2"/>
      <c r="Q280" s="2"/>
      <c r="T280" s="2"/>
      <c r="U280" s="2"/>
      <c r="V280" s="2"/>
      <c r="W280" s="2"/>
      <c r="X280" s="2"/>
      <c r="Y280" s="2"/>
      <c r="AD280" s="2"/>
      <c r="AE280" s="2"/>
      <c r="AF280" s="2"/>
      <c r="AG280" s="2"/>
      <c r="AH280" s="2"/>
      <c r="AI280" s="2"/>
    </row>
    <row r="281" spans="1:35">
      <c r="A281" s="2"/>
      <c r="B281" s="2"/>
      <c r="C281" s="2"/>
      <c r="D281" s="2"/>
      <c r="K281" s="2"/>
      <c r="L281" s="2"/>
      <c r="Q281" s="2"/>
      <c r="T281" s="2"/>
      <c r="U281" s="2"/>
      <c r="V281" s="2"/>
      <c r="W281" s="2"/>
      <c r="X281" s="2"/>
      <c r="Y281" s="2"/>
      <c r="AD281" s="2"/>
      <c r="AE281" s="2"/>
      <c r="AF281" s="2"/>
      <c r="AG281" s="2"/>
      <c r="AH281" s="2"/>
      <c r="AI281" s="2"/>
    </row>
    <row r="282" spans="1:35">
      <c r="A282" s="2"/>
      <c r="B282" s="2"/>
      <c r="C282" s="2"/>
      <c r="D282" s="2"/>
      <c r="K282" s="2"/>
      <c r="L282" s="2"/>
      <c r="Q282" s="2"/>
      <c r="T282" s="2"/>
      <c r="U282" s="2"/>
      <c r="V282" s="2"/>
      <c r="W282" s="2"/>
      <c r="X282" s="2"/>
      <c r="Y282" s="2"/>
      <c r="AD282" s="2"/>
      <c r="AE282" s="2"/>
      <c r="AF282" s="2"/>
      <c r="AG282" s="2"/>
      <c r="AH282" s="2"/>
      <c r="AI282" s="2"/>
    </row>
    <row r="283" spans="1:35">
      <c r="A283" s="2"/>
      <c r="B283" s="2"/>
      <c r="C283" s="2"/>
      <c r="D283" s="2"/>
      <c r="K283" s="2"/>
      <c r="L283" s="2"/>
      <c r="Q283" s="2"/>
      <c r="T283" s="2"/>
      <c r="U283" s="2"/>
      <c r="V283" s="2"/>
      <c r="W283" s="2"/>
      <c r="X283" s="2"/>
      <c r="Y283" s="2"/>
      <c r="AD283" s="2"/>
      <c r="AE283" s="2"/>
      <c r="AF283" s="2"/>
      <c r="AG283" s="2"/>
      <c r="AH283" s="2"/>
      <c r="AI283" s="2"/>
    </row>
    <row r="284" spans="1:35">
      <c r="A284" s="2"/>
      <c r="B284" s="2"/>
      <c r="C284" s="2"/>
      <c r="D284" s="2"/>
      <c r="K284" s="2"/>
      <c r="L284" s="2"/>
      <c r="Q284" s="2"/>
      <c r="T284" s="2"/>
      <c r="U284" s="2"/>
      <c r="V284" s="2"/>
      <c r="W284" s="2"/>
      <c r="X284" s="2"/>
      <c r="Y284" s="2"/>
      <c r="AD284" s="2"/>
      <c r="AE284" s="2"/>
      <c r="AF284" s="2"/>
      <c r="AG284" s="2"/>
      <c r="AH284" s="2"/>
      <c r="AI284" s="2"/>
    </row>
    <row r="285" spans="1:35">
      <c r="A285" s="2"/>
      <c r="B285" s="2"/>
      <c r="C285" s="2"/>
      <c r="D285" s="2"/>
      <c r="K285" s="2"/>
      <c r="L285" s="2"/>
      <c r="Q285" s="2"/>
      <c r="T285" s="2"/>
      <c r="U285" s="2"/>
      <c r="V285" s="2"/>
      <c r="W285" s="2"/>
      <c r="X285" s="2"/>
      <c r="Y285" s="2"/>
      <c r="AD285" s="2"/>
      <c r="AE285" s="2"/>
      <c r="AF285" s="2"/>
      <c r="AG285" s="2"/>
      <c r="AH285" s="2"/>
      <c r="AI285" s="2"/>
    </row>
    <row r="286" spans="1:35">
      <c r="A286" s="2"/>
      <c r="B286" s="2"/>
      <c r="C286" s="2"/>
      <c r="D286" s="2"/>
      <c r="K286" s="2"/>
      <c r="L286" s="2"/>
      <c r="Q286" s="2"/>
      <c r="T286" s="2"/>
      <c r="U286" s="2"/>
      <c r="V286" s="2"/>
      <c r="W286" s="2"/>
      <c r="X286" s="2"/>
      <c r="Y286" s="2"/>
      <c r="AD286" s="2"/>
      <c r="AE286" s="2"/>
      <c r="AF286" s="2"/>
      <c r="AG286" s="2"/>
      <c r="AH286" s="2"/>
      <c r="AI286" s="2"/>
    </row>
    <row r="287" spans="1:35">
      <c r="A287" s="2"/>
      <c r="B287" s="2"/>
      <c r="C287" s="2"/>
      <c r="D287" s="2"/>
      <c r="K287" s="2"/>
      <c r="L287" s="2"/>
      <c r="Q287" s="2"/>
      <c r="T287" s="2"/>
      <c r="U287" s="2"/>
      <c r="V287" s="2"/>
      <c r="W287" s="2"/>
      <c r="X287" s="2"/>
      <c r="Y287" s="2"/>
      <c r="AD287" s="2"/>
      <c r="AE287" s="2"/>
      <c r="AF287" s="2"/>
      <c r="AG287" s="2"/>
      <c r="AH287" s="2"/>
      <c r="AI287" s="2"/>
    </row>
    <row r="288" spans="1:35">
      <c r="A288" s="2"/>
      <c r="B288" s="2"/>
      <c r="C288" s="2"/>
      <c r="D288" s="2"/>
      <c r="K288" s="2"/>
      <c r="L288" s="2"/>
      <c r="Q288" s="2"/>
      <c r="T288" s="2"/>
      <c r="U288" s="2"/>
      <c r="V288" s="2"/>
      <c r="W288" s="2"/>
      <c r="X288" s="2"/>
      <c r="Y288" s="2"/>
      <c r="AD288" s="2"/>
      <c r="AE288" s="2"/>
      <c r="AF288" s="2"/>
      <c r="AG288" s="2"/>
      <c r="AH288" s="2"/>
      <c r="AI288" s="2"/>
    </row>
    <row r="289" spans="1:35">
      <c r="A289" s="2"/>
      <c r="B289" s="2"/>
      <c r="C289" s="2"/>
      <c r="D289" s="2"/>
      <c r="K289" s="2"/>
      <c r="L289" s="2"/>
      <c r="Q289" s="2"/>
      <c r="T289" s="2"/>
      <c r="U289" s="2"/>
      <c r="V289" s="2"/>
      <c r="W289" s="2"/>
      <c r="X289" s="2"/>
      <c r="Y289" s="2"/>
      <c r="AD289" s="2"/>
      <c r="AE289" s="2"/>
      <c r="AF289" s="2"/>
      <c r="AG289" s="2"/>
      <c r="AH289" s="2"/>
      <c r="AI289" s="2"/>
    </row>
    <row r="290" spans="1:35">
      <c r="A290" s="2"/>
      <c r="B290" s="2"/>
      <c r="C290" s="2"/>
      <c r="D290" s="2"/>
      <c r="K290" s="2"/>
      <c r="L290" s="2"/>
      <c r="Q290" s="2"/>
      <c r="T290" s="2"/>
      <c r="U290" s="2"/>
      <c r="V290" s="2"/>
      <c r="W290" s="2"/>
      <c r="X290" s="2"/>
      <c r="Y290" s="2"/>
      <c r="AD290" s="2"/>
      <c r="AE290" s="2"/>
      <c r="AF290" s="2"/>
      <c r="AG290" s="2"/>
      <c r="AH290" s="2"/>
      <c r="AI290" s="2"/>
    </row>
    <row r="291" spans="1:35">
      <c r="A291" s="2"/>
      <c r="B291" s="2"/>
      <c r="C291" s="2"/>
      <c r="D291" s="2"/>
      <c r="K291" s="2"/>
      <c r="L291" s="2"/>
      <c r="Q291" s="2"/>
      <c r="T291" s="2"/>
      <c r="U291" s="2"/>
      <c r="V291" s="2"/>
      <c r="W291" s="2"/>
      <c r="X291" s="2"/>
      <c r="Y291" s="2"/>
      <c r="AD291" s="2"/>
      <c r="AE291" s="2"/>
      <c r="AF291" s="2"/>
      <c r="AG291" s="2"/>
      <c r="AH291" s="2"/>
      <c r="AI291" s="2"/>
    </row>
    <row r="292" spans="1:35">
      <c r="A292" s="2"/>
      <c r="B292" s="2"/>
      <c r="C292" s="2"/>
      <c r="D292" s="2"/>
      <c r="K292" s="2"/>
      <c r="L292" s="2"/>
      <c r="Q292" s="2"/>
      <c r="T292" s="2"/>
      <c r="U292" s="2"/>
      <c r="V292" s="2"/>
      <c r="W292" s="2"/>
      <c r="X292" s="2"/>
      <c r="Y292" s="2"/>
      <c r="AD292" s="2"/>
      <c r="AE292" s="2"/>
      <c r="AF292" s="2"/>
      <c r="AG292" s="2"/>
      <c r="AH292" s="2"/>
      <c r="AI292" s="2"/>
    </row>
    <row r="293" spans="1:35">
      <c r="A293" s="2"/>
      <c r="B293" s="2"/>
      <c r="C293" s="2"/>
      <c r="D293" s="2"/>
      <c r="K293" s="2"/>
      <c r="L293" s="2"/>
      <c r="Q293" s="2"/>
      <c r="T293" s="2"/>
      <c r="U293" s="2"/>
      <c r="V293" s="2"/>
      <c r="W293" s="2"/>
      <c r="X293" s="2"/>
      <c r="Y293" s="2"/>
      <c r="AD293" s="2"/>
      <c r="AE293" s="2"/>
      <c r="AF293" s="2"/>
      <c r="AG293" s="2"/>
      <c r="AH293" s="2"/>
      <c r="AI293" s="2"/>
    </row>
    <row r="294" spans="1:35">
      <c r="A294" s="2"/>
      <c r="B294" s="2"/>
      <c r="C294" s="2"/>
      <c r="D294" s="2"/>
      <c r="K294" s="2"/>
      <c r="L294" s="2"/>
      <c r="Q294" s="2"/>
      <c r="T294" s="2"/>
      <c r="U294" s="2"/>
      <c r="V294" s="2"/>
      <c r="W294" s="2"/>
      <c r="X294" s="2"/>
      <c r="Y294" s="2"/>
      <c r="AD294" s="2"/>
      <c r="AE294" s="2"/>
      <c r="AF294" s="2"/>
      <c r="AG294" s="2"/>
      <c r="AH294" s="2"/>
      <c r="AI294" s="2"/>
    </row>
    <row r="295" spans="1:35">
      <c r="A295" s="2"/>
      <c r="B295" s="2"/>
      <c r="C295" s="2"/>
      <c r="D295" s="2"/>
      <c r="K295" s="2"/>
      <c r="L295" s="2"/>
      <c r="Q295" s="2"/>
      <c r="T295" s="2"/>
      <c r="U295" s="2"/>
      <c r="V295" s="2"/>
      <c r="W295" s="2"/>
      <c r="X295" s="2"/>
      <c r="Y295" s="2"/>
      <c r="AD295" s="2"/>
      <c r="AE295" s="2"/>
      <c r="AF295" s="2"/>
      <c r="AG295" s="2"/>
      <c r="AH295" s="2"/>
      <c r="AI295" s="2"/>
    </row>
    <row r="296" spans="1:35">
      <c r="A296" s="2"/>
      <c r="B296" s="2"/>
      <c r="C296" s="2"/>
      <c r="D296" s="2"/>
      <c r="K296" s="2"/>
      <c r="L296" s="2"/>
      <c r="Q296" s="2"/>
      <c r="T296" s="2"/>
      <c r="U296" s="2"/>
      <c r="V296" s="2"/>
      <c r="W296" s="2"/>
      <c r="X296" s="2"/>
      <c r="Y296" s="2"/>
      <c r="AD296" s="2"/>
      <c r="AE296" s="2"/>
      <c r="AF296" s="2"/>
      <c r="AG296" s="2"/>
      <c r="AH296" s="2"/>
      <c r="AI296" s="2"/>
    </row>
    <row r="297" spans="1:35">
      <c r="A297" s="2"/>
      <c r="B297" s="2"/>
      <c r="C297" s="2"/>
      <c r="D297" s="2"/>
      <c r="K297" s="2"/>
      <c r="L297" s="2"/>
      <c r="Q297" s="2"/>
      <c r="T297" s="2"/>
      <c r="U297" s="2"/>
      <c r="V297" s="2"/>
      <c r="W297" s="2"/>
      <c r="X297" s="2"/>
      <c r="Y297" s="2"/>
      <c r="AD297" s="2"/>
      <c r="AE297" s="2"/>
      <c r="AF297" s="2"/>
      <c r="AG297" s="2"/>
      <c r="AH297" s="2"/>
      <c r="AI297" s="2"/>
    </row>
    <row r="298" spans="1:35">
      <c r="A298" s="2"/>
      <c r="B298" s="2"/>
      <c r="C298" s="2"/>
      <c r="D298" s="2"/>
      <c r="K298" s="2"/>
      <c r="L298" s="2"/>
      <c r="Q298" s="2"/>
      <c r="T298" s="2"/>
      <c r="U298" s="2"/>
      <c r="V298" s="2"/>
      <c r="W298" s="2"/>
      <c r="X298" s="2"/>
      <c r="Y298" s="2"/>
      <c r="AD298" s="2"/>
      <c r="AE298" s="2"/>
      <c r="AF298" s="2"/>
      <c r="AG298" s="2"/>
      <c r="AH298" s="2"/>
      <c r="AI298" s="2"/>
    </row>
    <row r="299" spans="1:35">
      <c r="A299" s="2"/>
      <c r="B299" s="2"/>
      <c r="C299" s="2"/>
      <c r="D299" s="2"/>
      <c r="K299" s="2"/>
      <c r="L299" s="2"/>
      <c r="Q299" s="2"/>
      <c r="T299" s="2"/>
      <c r="U299" s="2"/>
      <c r="V299" s="2"/>
      <c r="W299" s="2"/>
      <c r="X299" s="2"/>
      <c r="Y299" s="2"/>
      <c r="AD299" s="2"/>
      <c r="AE299" s="2"/>
      <c r="AF299" s="2"/>
      <c r="AG299" s="2"/>
      <c r="AH299" s="2"/>
      <c r="AI299" s="2"/>
    </row>
    <row r="300" spans="1:35">
      <c r="A300" s="2"/>
      <c r="B300" s="2"/>
      <c r="C300" s="2"/>
      <c r="D300" s="2"/>
      <c r="K300" s="2"/>
      <c r="L300" s="2"/>
      <c r="Q300" s="2"/>
      <c r="T300" s="2"/>
      <c r="U300" s="2"/>
      <c r="V300" s="2"/>
      <c r="W300" s="2"/>
      <c r="X300" s="2"/>
      <c r="Y300" s="2"/>
      <c r="AD300" s="2"/>
      <c r="AE300" s="2"/>
      <c r="AF300" s="2"/>
      <c r="AG300" s="2"/>
      <c r="AH300" s="2"/>
      <c r="AI300" s="2"/>
    </row>
    <row r="301" spans="1:35">
      <c r="A301" s="2"/>
      <c r="B301" s="2"/>
      <c r="C301" s="2"/>
      <c r="D301" s="2"/>
      <c r="K301" s="2"/>
      <c r="L301" s="2"/>
      <c r="Q301" s="2"/>
      <c r="T301" s="2"/>
      <c r="U301" s="2"/>
      <c r="V301" s="2"/>
      <c r="W301" s="2"/>
      <c r="X301" s="2"/>
      <c r="Y301" s="2"/>
      <c r="AD301" s="2"/>
      <c r="AE301" s="2"/>
      <c r="AF301" s="2"/>
      <c r="AG301" s="2"/>
      <c r="AH301" s="2"/>
      <c r="AI301" s="2"/>
    </row>
    <row r="302" spans="1:35">
      <c r="A302" s="2"/>
      <c r="B302" s="2"/>
      <c r="C302" s="2"/>
      <c r="D302" s="2"/>
      <c r="K302" s="2"/>
      <c r="L302" s="2"/>
      <c r="Q302" s="2"/>
      <c r="T302" s="2"/>
      <c r="U302" s="2"/>
      <c r="V302" s="2"/>
      <c r="W302" s="2"/>
      <c r="X302" s="2"/>
      <c r="Y302" s="2"/>
      <c r="AD302" s="2"/>
      <c r="AE302" s="2"/>
      <c r="AF302" s="2"/>
      <c r="AG302" s="2"/>
      <c r="AH302" s="2"/>
      <c r="AI302" s="2"/>
    </row>
    <row r="303" spans="1:35">
      <c r="A303" s="2"/>
      <c r="B303" s="2"/>
      <c r="C303" s="2"/>
      <c r="D303" s="2"/>
      <c r="K303" s="2"/>
      <c r="L303" s="2"/>
      <c r="Q303" s="2"/>
      <c r="T303" s="2"/>
      <c r="U303" s="2"/>
      <c r="V303" s="2"/>
      <c r="W303" s="2"/>
      <c r="X303" s="2"/>
      <c r="Y303" s="2"/>
      <c r="AD303" s="2"/>
      <c r="AE303" s="2"/>
      <c r="AF303" s="2"/>
      <c r="AG303" s="2"/>
      <c r="AH303" s="2"/>
      <c r="AI303" s="2"/>
    </row>
    <row r="304" spans="1:35">
      <c r="A304" s="2"/>
      <c r="B304" s="2"/>
      <c r="C304" s="2"/>
      <c r="D304" s="2"/>
      <c r="K304" s="2"/>
      <c r="L304" s="2"/>
      <c r="Q304" s="2"/>
      <c r="T304" s="2"/>
      <c r="U304" s="2"/>
      <c r="V304" s="2"/>
      <c r="W304" s="2"/>
      <c r="X304" s="2"/>
      <c r="Y304" s="2"/>
      <c r="AD304" s="2"/>
      <c r="AE304" s="2"/>
      <c r="AF304" s="2"/>
      <c r="AG304" s="2"/>
      <c r="AH304" s="2"/>
      <c r="AI304" s="2"/>
    </row>
    <row r="305" spans="1:35">
      <c r="A305" s="2"/>
      <c r="B305" s="2"/>
      <c r="C305" s="2"/>
      <c r="D305" s="2"/>
      <c r="K305" s="2"/>
      <c r="L305" s="2"/>
      <c r="Q305" s="2"/>
      <c r="T305" s="2"/>
      <c r="U305" s="2"/>
      <c r="V305" s="2"/>
      <c r="W305" s="2"/>
      <c r="X305" s="2"/>
      <c r="Y305" s="2"/>
      <c r="AD305" s="2"/>
      <c r="AE305" s="2"/>
      <c r="AF305" s="2"/>
      <c r="AG305" s="2"/>
      <c r="AH305" s="2"/>
      <c r="AI305" s="2"/>
    </row>
    <row r="306" spans="1:35">
      <c r="A306" s="2"/>
      <c r="B306" s="2"/>
      <c r="C306" s="2"/>
      <c r="D306" s="2"/>
      <c r="K306" s="2"/>
      <c r="L306" s="2"/>
      <c r="Q306" s="2"/>
      <c r="T306" s="2"/>
      <c r="U306" s="2"/>
      <c r="V306" s="2"/>
      <c r="W306" s="2"/>
      <c r="X306" s="2"/>
      <c r="Y306" s="2"/>
      <c r="AD306" s="2"/>
      <c r="AE306" s="2"/>
      <c r="AF306" s="2"/>
      <c r="AG306" s="2"/>
      <c r="AH306" s="2"/>
      <c r="AI306" s="2"/>
    </row>
    <row r="307" spans="1:35">
      <c r="A307" s="2"/>
      <c r="B307" s="2"/>
      <c r="C307" s="2"/>
      <c r="D307" s="2"/>
      <c r="K307" s="2"/>
      <c r="L307" s="2"/>
      <c r="Q307" s="2"/>
      <c r="T307" s="2"/>
      <c r="U307" s="2"/>
      <c r="V307" s="2"/>
      <c r="W307" s="2"/>
      <c r="X307" s="2"/>
      <c r="Y307" s="2"/>
      <c r="AD307" s="2"/>
      <c r="AE307" s="2"/>
      <c r="AF307" s="2"/>
      <c r="AG307" s="2"/>
      <c r="AH307" s="2"/>
      <c r="AI307" s="2"/>
    </row>
    <row r="308" spans="1:35">
      <c r="A308" s="2"/>
      <c r="B308" s="2"/>
      <c r="C308" s="2"/>
      <c r="D308" s="2"/>
      <c r="K308" s="2"/>
      <c r="L308" s="2"/>
      <c r="Q308" s="2"/>
      <c r="T308" s="2"/>
      <c r="U308" s="2"/>
      <c r="V308" s="2"/>
      <c r="W308" s="2"/>
      <c r="X308" s="2"/>
      <c r="Y308" s="2"/>
      <c r="AD308" s="2"/>
      <c r="AE308" s="2"/>
      <c r="AF308" s="2"/>
      <c r="AG308" s="2"/>
      <c r="AH308" s="2"/>
      <c r="AI308" s="2"/>
    </row>
    <row r="309" spans="1:35">
      <c r="A309" s="2"/>
      <c r="B309" s="2"/>
      <c r="C309" s="2"/>
      <c r="D309" s="2"/>
      <c r="K309" s="2"/>
      <c r="L309" s="2"/>
      <c r="Q309" s="2"/>
      <c r="T309" s="2"/>
      <c r="U309" s="2"/>
      <c r="V309" s="2"/>
      <c r="W309" s="2"/>
      <c r="X309" s="2"/>
      <c r="Y309" s="2"/>
      <c r="AD309" s="2"/>
      <c r="AE309" s="2"/>
      <c r="AF309" s="2"/>
      <c r="AG309" s="2"/>
      <c r="AH309" s="2"/>
      <c r="AI309" s="2"/>
    </row>
    <row r="310" spans="1:35">
      <c r="A310" s="2"/>
      <c r="B310" s="2"/>
      <c r="C310" s="2"/>
      <c r="D310" s="2"/>
      <c r="K310" s="2"/>
      <c r="L310" s="2"/>
      <c r="Q310" s="2"/>
      <c r="T310" s="2"/>
      <c r="U310" s="2"/>
      <c r="V310" s="2"/>
      <c r="W310" s="2"/>
      <c r="X310" s="2"/>
      <c r="Y310" s="2"/>
      <c r="AD310" s="2"/>
      <c r="AE310" s="2"/>
      <c r="AF310" s="2"/>
      <c r="AG310" s="2"/>
      <c r="AH310" s="2"/>
      <c r="AI310" s="2"/>
    </row>
    <row r="311" spans="1:35">
      <c r="A311" s="2"/>
      <c r="B311" s="2"/>
      <c r="C311" s="2"/>
      <c r="D311" s="2"/>
      <c r="K311" s="2"/>
      <c r="L311" s="2"/>
      <c r="Q311" s="2"/>
      <c r="T311" s="2"/>
      <c r="U311" s="2"/>
      <c r="V311" s="2"/>
      <c r="W311" s="2"/>
      <c r="X311" s="2"/>
      <c r="Y311" s="2"/>
      <c r="AD311" s="2"/>
      <c r="AE311" s="2"/>
      <c r="AF311" s="2"/>
      <c r="AG311" s="2"/>
      <c r="AH311" s="2"/>
      <c r="AI311" s="2"/>
    </row>
    <row r="312" spans="1:35">
      <c r="A312" s="2"/>
      <c r="B312" s="2"/>
      <c r="C312" s="2"/>
      <c r="D312" s="2"/>
      <c r="K312" s="2"/>
      <c r="L312" s="2"/>
      <c r="Q312" s="2"/>
      <c r="T312" s="2"/>
      <c r="U312" s="2"/>
      <c r="V312" s="2"/>
      <c r="W312" s="2"/>
      <c r="X312" s="2"/>
      <c r="Y312" s="2"/>
      <c r="AD312" s="2"/>
      <c r="AE312" s="2"/>
      <c r="AF312" s="2"/>
      <c r="AG312" s="2"/>
      <c r="AH312" s="2"/>
      <c r="AI312" s="2"/>
    </row>
    <row r="313" spans="1:35">
      <c r="A313" s="2"/>
      <c r="B313" s="2"/>
      <c r="C313" s="2"/>
      <c r="D313" s="2"/>
      <c r="K313" s="2"/>
      <c r="L313" s="2"/>
      <c r="Q313" s="2"/>
      <c r="T313" s="2"/>
      <c r="U313" s="2"/>
      <c r="V313" s="2"/>
      <c r="W313" s="2"/>
      <c r="X313" s="2"/>
      <c r="Y313" s="2"/>
      <c r="AD313" s="2"/>
      <c r="AE313" s="2"/>
      <c r="AF313" s="2"/>
      <c r="AG313" s="2"/>
      <c r="AH313" s="2"/>
      <c r="AI313" s="2"/>
    </row>
    <row r="314" spans="1:35">
      <c r="A314" s="2"/>
      <c r="B314" s="2"/>
      <c r="C314" s="2"/>
      <c r="D314" s="2"/>
      <c r="K314" s="2"/>
      <c r="L314" s="2"/>
      <c r="Q314" s="2"/>
      <c r="T314" s="2"/>
      <c r="U314" s="2"/>
      <c r="V314" s="2"/>
      <c r="W314" s="2"/>
      <c r="X314" s="2"/>
      <c r="Y314" s="2"/>
      <c r="AD314" s="2"/>
      <c r="AE314" s="2"/>
      <c r="AF314" s="2"/>
      <c r="AG314" s="2"/>
      <c r="AH314" s="2"/>
      <c r="AI314" s="2"/>
    </row>
    <row r="315" spans="1:35">
      <c r="A315" s="2"/>
      <c r="B315" s="2"/>
      <c r="C315" s="2"/>
      <c r="D315" s="2"/>
      <c r="K315" s="2"/>
      <c r="L315" s="2"/>
      <c r="Q315" s="2"/>
      <c r="T315" s="2"/>
      <c r="U315" s="2"/>
      <c r="V315" s="2"/>
      <c r="W315" s="2"/>
      <c r="X315" s="2"/>
      <c r="Y315" s="2"/>
      <c r="AD315" s="2"/>
      <c r="AE315" s="2"/>
      <c r="AF315" s="2"/>
      <c r="AG315" s="2"/>
      <c r="AH315" s="2"/>
      <c r="AI315" s="2"/>
    </row>
    <row r="316" spans="1:35">
      <c r="A316" s="2"/>
      <c r="B316" s="2"/>
      <c r="C316" s="2"/>
      <c r="D316" s="2"/>
      <c r="K316" s="2"/>
      <c r="L316" s="2"/>
      <c r="Q316" s="2"/>
      <c r="T316" s="2"/>
      <c r="U316" s="2"/>
      <c r="V316" s="2"/>
      <c r="W316" s="2"/>
      <c r="X316" s="2"/>
      <c r="Y316" s="2"/>
      <c r="AD316" s="2"/>
      <c r="AE316" s="2"/>
      <c r="AF316" s="2"/>
      <c r="AG316" s="2"/>
      <c r="AH316" s="2"/>
      <c r="AI316" s="2"/>
    </row>
    <row r="317" spans="1:35">
      <c r="A317" s="2"/>
      <c r="B317" s="2"/>
      <c r="C317" s="2"/>
      <c r="D317" s="2"/>
      <c r="K317" s="2"/>
      <c r="L317" s="2"/>
      <c r="Q317" s="2"/>
      <c r="T317" s="2"/>
      <c r="U317" s="2"/>
      <c r="V317" s="2"/>
      <c r="W317" s="2"/>
      <c r="X317" s="2"/>
      <c r="Y317" s="2"/>
      <c r="AD317" s="2"/>
      <c r="AE317" s="2"/>
      <c r="AF317" s="2"/>
      <c r="AG317" s="2"/>
      <c r="AH317" s="2"/>
      <c r="AI317" s="2"/>
    </row>
    <row r="318" spans="1:35">
      <c r="A318" s="2"/>
      <c r="B318" s="2"/>
      <c r="C318" s="2"/>
      <c r="D318" s="2"/>
      <c r="K318" s="2"/>
      <c r="L318" s="2"/>
      <c r="Q318" s="2"/>
      <c r="T318" s="2"/>
      <c r="U318" s="2"/>
      <c r="V318" s="2"/>
      <c r="W318" s="2"/>
      <c r="X318" s="2"/>
      <c r="Y318" s="2"/>
      <c r="AD318" s="2"/>
      <c r="AE318" s="2"/>
      <c r="AF318" s="2"/>
      <c r="AG318" s="2"/>
      <c r="AH318" s="2"/>
      <c r="AI318" s="2"/>
    </row>
    <row r="319" spans="1:35">
      <c r="A319" s="2"/>
      <c r="B319" s="2"/>
      <c r="C319" s="2"/>
      <c r="D319" s="2"/>
      <c r="K319" s="2"/>
      <c r="L319" s="2"/>
      <c r="Q319" s="2"/>
      <c r="T319" s="2"/>
      <c r="U319" s="2"/>
      <c r="V319" s="2"/>
      <c r="W319" s="2"/>
      <c r="X319" s="2"/>
      <c r="Y319" s="2"/>
      <c r="AD319" s="2"/>
      <c r="AE319" s="2"/>
      <c r="AF319" s="2"/>
      <c r="AG319" s="2"/>
      <c r="AH319" s="2"/>
      <c r="AI319" s="2"/>
    </row>
    <row r="320" spans="1:35">
      <c r="A320" s="2"/>
      <c r="B320" s="2"/>
      <c r="C320" s="2"/>
      <c r="D320" s="2"/>
      <c r="K320" s="2"/>
      <c r="L320" s="2"/>
      <c r="Q320" s="2"/>
      <c r="T320" s="2"/>
      <c r="U320" s="2"/>
      <c r="V320" s="2"/>
      <c r="W320" s="2"/>
      <c r="X320" s="2"/>
      <c r="Y320" s="2"/>
      <c r="AD320" s="2"/>
      <c r="AE320" s="2"/>
      <c r="AF320" s="2"/>
      <c r="AG320" s="2"/>
      <c r="AH320" s="2"/>
      <c r="AI320" s="2"/>
    </row>
    <row r="321" spans="1:35">
      <c r="A321" s="2"/>
      <c r="B321" s="2"/>
      <c r="C321" s="2"/>
      <c r="D321" s="2"/>
      <c r="K321" s="2"/>
      <c r="L321" s="2"/>
      <c r="Q321" s="2"/>
      <c r="T321" s="2"/>
      <c r="U321" s="2"/>
      <c r="V321" s="2"/>
      <c r="W321" s="2"/>
      <c r="X321" s="2"/>
      <c r="Y321" s="2"/>
      <c r="AD321" s="2"/>
      <c r="AE321" s="2"/>
      <c r="AF321" s="2"/>
      <c r="AG321" s="2"/>
      <c r="AH321" s="2"/>
      <c r="AI321" s="2"/>
    </row>
    <row r="322" spans="1:35">
      <c r="A322" s="2"/>
      <c r="B322" s="2"/>
      <c r="C322" s="2"/>
      <c r="D322" s="2"/>
      <c r="K322" s="2"/>
      <c r="L322" s="2"/>
      <c r="Q322" s="2"/>
      <c r="T322" s="2"/>
      <c r="U322" s="2"/>
      <c r="V322" s="2"/>
      <c r="W322" s="2"/>
      <c r="X322" s="2"/>
      <c r="Y322" s="2"/>
      <c r="AD322" s="2"/>
      <c r="AE322" s="2"/>
      <c r="AF322" s="2"/>
      <c r="AG322" s="2"/>
      <c r="AH322" s="2"/>
      <c r="AI322" s="2"/>
    </row>
    <row r="323" spans="1:35">
      <c r="A323" s="2"/>
      <c r="B323" s="2"/>
      <c r="C323" s="2"/>
      <c r="D323" s="2"/>
      <c r="K323" s="2"/>
      <c r="L323" s="2"/>
      <c r="Q323" s="2"/>
      <c r="T323" s="2"/>
      <c r="U323" s="2"/>
      <c r="V323" s="2"/>
      <c r="W323" s="2"/>
      <c r="X323" s="2"/>
      <c r="Y323" s="2"/>
      <c r="AD323" s="2"/>
      <c r="AE323" s="2"/>
      <c r="AF323" s="2"/>
      <c r="AG323" s="2"/>
      <c r="AH323" s="2"/>
      <c r="AI323" s="2"/>
    </row>
    <row r="324" spans="1:35">
      <c r="A324" s="2"/>
      <c r="B324" s="2"/>
      <c r="C324" s="2"/>
      <c r="D324" s="2"/>
      <c r="K324" s="2"/>
      <c r="L324" s="2"/>
      <c r="Q324" s="2"/>
      <c r="T324" s="2"/>
      <c r="U324" s="2"/>
      <c r="V324" s="2"/>
      <c r="W324" s="2"/>
      <c r="X324" s="2"/>
      <c r="Y324" s="2"/>
      <c r="AD324" s="2"/>
      <c r="AE324" s="2"/>
      <c r="AF324" s="2"/>
      <c r="AG324" s="2"/>
      <c r="AH324" s="2"/>
      <c r="AI324" s="2"/>
    </row>
    <row r="325" spans="1:35">
      <c r="A325" s="2"/>
      <c r="B325" s="2"/>
      <c r="C325" s="2"/>
      <c r="D325" s="2"/>
      <c r="K325" s="2"/>
      <c r="L325" s="2"/>
      <c r="Q325" s="2"/>
      <c r="T325" s="2"/>
      <c r="U325" s="2"/>
      <c r="V325" s="2"/>
      <c r="W325" s="2"/>
      <c r="X325" s="2"/>
      <c r="Y325" s="2"/>
      <c r="AD325" s="2"/>
      <c r="AE325" s="2"/>
      <c r="AF325" s="2"/>
      <c r="AG325" s="2"/>
      <c r="AH325" s="2"/>
      <c r="AI325" s="2"/>
    </row>
    <row r="326" spans="1:35">
      <c r="A326" s="2"/>
      <c r="B326" s="2"/>
      <c r="C326" s="2"/>
      <c r="D326" s="2"/>
      <c r="K326" s="2"/>
      <c r="L326" s="2"/>
      <c r="Q326" s="2"/>
      <c r="T326" s="2"/>
      <c r="U326" s="2"/>
      <c r="V326" s="2"/>
      <c r="W326" s="2"/>
      <c r="X326" s="2"/>
      <c r="Y326" s="2"/>
      <c r="AD326" s="2"/>
      <c r="AE326" s="2"/>
      <c r="AF326" s="2"/>
      <c r="AG326" s="2"/>
      <c r="AH326" s="2"/>
      <c r="AI326" s="2"/>
    </row>
    <row r="327" spans="1:35">
      <c r="A327" s="2"/>
      <c r="B327" s="2"/>
      <c r="C327" s="2"/>
      <c r="D327" s="2"/>
      <c r="K327" s="2"/>
      <c r="L327" s="2"/>
      <c r="Q327" s="2"/>
      <c r="T327" s="2"/>
      <c r="U327" s="2"/>
      <c r="V327" s="2"/>
      <c r="W327" s="2"/>
      <c r="X327" s="2"/>
      <c r="Y327" s="2"/>
      <c r="AD327" s="2"/>
      <c r="AE327" s="2"/>
      <c r="AF327" s="2"/>
      <c r="AG327" s="2"/>
      <c r="AH327" s="2"/>
      <c r="AI327" s="2"/>
    </row>
    <row r="328" spans="1:35">
      <c r="A328" s="2"/>
      <c r="B328" s="2"/>
      <c r="C328" s="2"/>
      <c r="D328" s="2"/>
      <c r="K328" s="2"/>
      <c r="L328" s="2"/>
      <c r="Q328" s="2"/>
      <c r="T328" s="2"/>
      <c r="U328" s="2"/>
      <c r="V328" s="2"/>
      <c r="W328" s="2"/>
      <c r="X328" s="2"/>
      <c r="Y328" s="2"/>
      <c r="AD328" s="2"/>
      <c r="AE328" s="2"/>
      <c r="AF328" s="2"/>
      <c r="AG328" s="2"/>
      <c r="AH328" s="2"/>
      <c r="AI328" s="2"/>
    </row>
    <row r="329" spans="1:35">
      <c r="A329" s="2"/>
      <c r="B329" s="2"/>
      <c r="C329" s="2"/>
      <c r="D329" s="2"/>
      <c r="K329" s="2"/>
      <c r="L329" s="2"/>
      <c r="Q329" s="2"/>
      <c r="T329" s="2"/>
      <c r="U329" s="2"/>
      <c r="V329" s="2"/>
      <c r="W329" s="2"/>
      <c r="X329" s="2"/>
      <c r="Y329" s="2"/>
      <c r="AD329" s="2"/>
      <c r="AE329" s="2"/>
      <c r="AF329" s="2"/>
      <c r="AG329" s="2"/>
      <c r="AH329" s="2"/>
      <c r="AI329" s="2"/>
    </row>
    <row r="330" spans="1:35">
      <c r="A330" s="2"/>
      <c r="B330" s="2"/>
      <c r="C330" s="2"/>
      <c r="D330" s="2"/>
      <c r="K330" s="2"/>
      <c r="L330" s="2"/>
      <c r="Q330" s="2"/>
      <c r="T330" s="2"/>
      <c r="U330" s="2"/>
      <c r="V330" s="2"/>
      <c r="W330" s="2"/>
      <c r="X330" s="2"/>
      <c r="Y330" s="2"/>
      <c r="AD330" s="2"/>
      <c r="AE330" s="2"/>
      <c r="AF330" s="2"/>
      <c r="AG330" s="2"/>
      <c r="AH330" s="2"/>
      <c r="AI330" s="2"/>
    </row>
    <row r="331" spans="1:35">
      <c r="A331" s="2"/>
      <c r="B331" s="2"/>
      <c r="C331" s="2"/>
      <c r="D331" s="2"/>
      <c r="K331" s="2"/>
      <c r="L331" s="2"/>
      <c r="Q331" s="2"/>
      <c r="T331" s="2"/>
      <c r="U331" s="2"/>
      <c r="V331" s="2"/>
      <c r="W331" s="2"/>
      <c r="X331" s="2"/>
      <c r="Y331" s="2"/>
      <c r="AD331" s="2"/>
      <c r="AE331" s="2"/>
      <c r="AF331" s="2"/>
      <c r="AG331" s="2"/>
      <c r="AH331" s="2"/>
      <c r="AI331" s="2"/>
    </row>
    <row r="332" spans="1:35">
      <c r="A332" s="2"/>
      <c r="B332" s="2"/>
      <c r="C332" s="2"/>
      <c r="D332" s="2"/>
      <c r="K332" s="2"/>
      <c r="L332" s="2"/>
      <c r="Q332" s="2"/>
      <c r="T332" s="2"/>
      <c r="U332" s="2"/>
      <c r="V332" s="2"/>
      <c r="W332" s="2"/>
      <c r="X332" s="2"/>
      <c r="Y332" s="2"/>
      <c r="AD332" s="2"/>
      <c r="AE332" s="2"/>
      <c r="AF332" s="2"/>
      <c r="AG332" s="2"/>
      <c r="AH332" s="2"/>
      <c r="AI332" s="2"/>
    </row>
    <row r="333" spans="1:35">
      <c r="A333" s="2"/>
      <c r="B333" s="2"/>
      <c r="C333" s="2"/>
      <c r="D333" s="2"/>
      <c r="K333" s="2"/>
      <c r="L333" s="2"/>
      <c r="Q333" s="2"/>
      <c r="T333" s="2"/>
      <c r="U333" s="2"/>
      <c r="V333" s="2"/>
      <c r="W333" s="2"/>
      <c r="X333" s="2"/>
      <c r="Y333" s="2"/>
      <c r="AD333" s="2"/>
      <c r="AE333" s="2"/>
      <c r="AF333" s="2"/>
      <c r="AG333" s="2"/>
      <c r="AH333" s="2"/>
      <c r="AI333" s="2"/>
    </row>
    <row r="334" spans="1:35">
      <c r="A334" s="2"/>
      <c r="B334" s="2"/>
      <c r="C334" s="2"/>
      <c r="D334" s="2"/>
      <c r="K334" s="2"/>
      <c r="L334" s="2"/>
      <c r="Q334" s="2"/>
      <c r="T334" s="2"/>
      <c r="U334" s="2"/>
      <c r="V334" s="2"/>
      <c r="W334" s="2"/>
      <c r="X334" s="2"/>
      <c r="Y334" s="2"/>
      <c r="AD334" s="2"/>
      <c r="AE334" s="2"/>
      <c r="AF334" s="2"/>
      <c r="AG334" s="2"/>
      <c r="AH334" s="2"/>
      <c r="AI334" s="2"/>
    </row>
    <row r="335" spans="1:35">
      <c r="A335" s="2"/>
      <c r="B335" s="2"/>
      <c r="C335" s="2"/>
      <c r="D335" s="2"/>
      <c r="K335" s="2"/>
      <c r="L335" s="2"/>
      <c r="Q335" s="2"/>
      <c r="T335" s="2"/>
      <c r="U335" s="2"/>
      <c r="V335" s="2"/>
      <c r="W335" s="2"/>
      <c r="X335" s="2"/>
      <c r="Y335" s="2"/>
      <c r="AD335" s="2"/>
      <c r="AE335" s="2"/>
      <c r="AF335" s="2"/>
      <c r="AG335" s="2"/>
      <c r="AH335" s="2"/>
      <c r="AI335" s="2"/>
    </row>
    <row r="336" spans="1:35">
      <c r="A336" s="2"/>
      <c r="B336" s="2"/>
      <c r="C336" s="2"/>
      <c r="D336" s="2"/>
      <c r="K336" s="2"/>
      <c r="L336" s="2"/>
      <c r="Q336" s="2"/>
      <c r="T336" s="2"/>
      <c r="U336" s="2"/>
      <c r="V336" s="2"/>
      <c r="W336" s="2"/>
      <c r="X336" s="2"/>
      <c r="Y336" s="2"/>
      <c r="AD336" s="2"/>
      <c r="AE336" s="2"/>
      <c r="AF336" s="2"/>
      <c r="AG336" s="2"/>
      <c r="AH336" s="2"/>
      <c r="AI336" s="2"/>
    </row>
    <row r="337" spans="1:35">
      <c r="A337" s="2"/>
      <c r="B337" s="2"/>
      <c r="C337" s="2"/>
      <c r="D337" s="2"/>
      <c r="K337" s="2"/>
      <c r="L337" s="2"/>
      <c r="Q337" s="2"/>
      <c r="T337" s="2"/>
      <c r="U337" s="2"/>
      <c r="V337" s="2"/>
      <c r="W337" s="2"/>
      <c r="X337" s="2"/>
      <c r="Y337" s="2"/>
      <c r="AD337" s="2"/>
      <c r="AE337" s="2"/>
      <c r="AF337" s="2"/>
      <c r="AG337" s="2"/>
      <c r="AH337" s="2"/>
      <c r="AI337" s="2"/>
    </row>
    <row r="338" spans="1:35">
      <c r="A338" s="2"/>
      <c r="B338" s="2"/>
      <c r="C338" s="2"/>
      <c r="D338" s="2"/>
      <c r="K338" s="2"/>
      <c r="L338" s="2"/>
      <c r="Q338" s="2"/>
      <c r="T338" s="2"/>
      <c r="U338" s="2"/>
      <c r="V338" s="2"/>
      <c r="W338" s="2"/>
      <c r="X338" s="2"/>
      <c r="Y338" s="2"/>
      <c r="AD338" s="2"/>
      <c r="AE338" s="2"/>
      <c r="AF338" s="2"/>
      <c r="AG338" s="2"/>
      <c r="AH338" s="2"/>
      <c r="AI338" s="2"/>
    </row>
    <row r="339" spans="1:35">
      <c r="A339" s="2"/>
      <c r="B339" s="2"/>
      <c r="C339" s="2"/>
      <c r="D339" s="2"/>
      <c r="K339" s="2"/>
      <c r="L339" s="2"/>
      <c r="Q339" s="2"/>
      <c r="T339" s="2"/>
      <c r="U339" s="2"/>
      <c r="V339" s="2"/>
      <c r="W339" s="2"/>
      <c r="X339" s="2"/>
      <c r="Y339" s="2"/>
      <c r="AD339" s="2"/>
      <c r="AE339" s="2"/>
      <c r="AF339" s="2"/>
      <c r="AG339" s="2"/>
      <c r="AH339" s="2"/>
      <c r="AI339" s="2"/>
    </row>
    <row r="340" spans="1:35">
      <c r="A340" s="2"/>
      <c r="B340" s="2"/>
      <c r="C340" s="2"/>
      <c r="D340" s="2"/>
      <c r="K340" s="2"/>
      <c r="L340" s="2"/>
      <c r="Q340" s="2"/>
      <c r="T340" s="2"/>
      <c r="U340" s="2"/>
      <c r="V340" s="2"/>
      <c r="W340" s="2"/>
      <c r="X340" s="2"/>
      <c r="Y340" s="2"/>
      <c r="AD340" s="2"/>
      <c r="AE340" s="2"/>
      <c r="AF340" s="2"/>
      <c r="AG340" s="2"/>
      <c r="AH340" s="2"/>
      <c r="AI340" s="2"/>
    </row>
    <row r="341" spans="1:35">
      <c r="A341" s="2"/>
      <c r="B341" s="2"/>
      <c r="C341" s="2"/>
      <c r="D341" s="2"/>
      <c r="K341" s="2"/>
      <c r="L341" s="2"/>
      <c r="Q341" s="2"/>
      <c r="T341" s="2"/>
      <c r="U341" s="2"/>
      <c r="V341" s="2"/>
      <c r="W341" s="2"/>
      <c r="X341" s="2"/>
      <c r="Y341" s="2"/>
      <c r="AD341" s="2"/>
      <c r="AE341" s="2"/>
      <c r="AF341" s="2"/>
      <c r="AG341" s="2"/>
      <c r="AH341" s="2"/>
      <c r="AI341" s="2"/>
    </row>
    <row r="342" spans="1:35">
      <c r="A342" s="2"/>
      <c r="B342" s="2"/>
      <c r="C342" s="2"/>
      <c r="D342" s="2"/>
      <c r="K342" s="2"/>
      <c r="L342" s="2"/>
      <c r="Q342" s="2"/>
      <c r="T342" s="2"/>
      <c r="U342" s="2"/>
      <c r="V342" s="2"/>
      <c r="W342" s="2"/>
      <c r="X342" s="2"/>
      <c r="Y342" s="2"/>
      <c r="AD342" s="2"/>
      <c r="AE342" s="2"/>
      <c r="AF342" s="2"/>
      <c r="AG342" s="2"/>
      <c r="AH342" s="2"/>
      <c r="AI342" s="2"/>
    </row>
    <row r="343" spans="1:35">
      <c r="A343" s="2"/>
      <c r="B343" s="2"/>
      <c r="C343" s="2"/>
      <c r="D343" s="2"/>
      <c r="K343" s="2"/>
      <c r="L343" s="2"/>
      <c r="Q343" s="2"/>
      <c r="T343" s="2"/>
      <c r="U343" s="2"/>
      <c r="V343" s="2"/>
      <c r="W343" s="2"/>
      <c r="X343" s="2"/>
      <c r="Y343" s="2"/>
      <c r="AD343" s="2"/>
      <c r="AE343" s="2"/>
      <c r="AF343" s="2"/>
      <c r="AG343" s="2"/>
      <c r="AH343" s="2"/>
      <c r="AI343" s="2"/>
    </row>
    <row r="344" spans="1:35">
      <c r="A344" s="2"/>
      <c r="B344" s="2"/>
      <c r="C344" s="2"/>
      <c r="D344" s="2"/>
      <c r="K344" s="2"/>
      <c r="L344" s="2"/>
      <c r="Q344" s="2"/>
      <c r="T344" s="2"/>
      <c r="U344" s="2"/>
      <c r="V344" s="2"/>
      <c r="W344" s="2"/>
      <c r="X344" s="2"/>
      <c r="Y344" s="2"/>
      <c r="AD344" s="2"/>
      <c r="AE344" s="2"/>
      <c r="AF344" s="2"/>
      <c r="AG344" s="2"/>
      <c r="AH344" s="2"/>
      <c r="AI344" s="2"/>
    </row>
    <row r="345" spans="1:35">
      <c r="A345" s="2"/>
      <c r="B345" s="2"/>
      <c r="C345" s="2"/>
      <c r="D345" s="2"/>
      <c r="K345" s="2"/>
      <c r="L345" s="2"/>
      <c r="Q345" s="2"/>
      <c r="T345" s="2"/>
      <c r="U345" s="2"/>
      <c r="V345" s="2"/>
      <c r="W345" s="2"/>
      <c r="X345" s="2"/>
      <c r="Y345" s="2"/>
      <c r="AD345" s="2"/>
      <c r="AE345" s="2"/>
      <c r="AF345" s="2"/>
      <c r="AG345" s="2"/>
      <c r="AH345" s="2"/>
      <c r="AI345" s="2"/>
    </row>
    <row r="346" spans="1:35">
      <c r="A346" s="2"/>
      <c r="B346" s="2"/>
      <c r="C346" s="2"/>
      <c r="D346" s="2"/>
      <c r="K346" s="2"/>
      <c r="L346" s="2"/>
      <c r="Q346" s="2"/>
      <c r="T346" s="2"/>
      <c r="U346" s="2"/>
      <c r="V346" s="2"/>
      <c r="W346" s="2"/>
      <c r="X346" s="2"/>
      <c r="Y346" s="2"/>
      <c r="AD346" s="2"/>
      <c r="AE346" s="2"/>
      <c r="AF346" s="2"/>
      <c r="AG346" s="2"/>
      <c r="AH346" s="2"/>
      <c r="AI346" s="2"/>
    </row>
    <row r="347" spans="1:35">
      <c r="A347" s="2"/>
      <c r="B347" s="2"/>
      <c r="C347" s="2"/>
      <c r="D347" s="2"/>
      <c r="K347" s="2"/>
      <c r="L347" s="2"/>
      <c r="Q347" s="2"/>
      <c r="T347" s="2"/>
      <c r="U347" s="2"/>
      <c r="V347" s="2"/>
      <c r="W347" s="2"/>
      <c r="X347" s="2"/>
      <c r="Y347" s="2"/>
      <c r="AD347" s="2"/>
      <c r="AE347" s="2"/>
      <c r="AF347" s="2"/>
      <c r="AG347" s="2"/>
      <c r="AH347" s="2"/>
      <c r="AI347" s="2"/>
    </row>
    <row r="348" spans="1:35">
      <c r="A348" s="2"/>
      <c r="B348" s="2"/>
      <c r="C348" s="2"/>
      <c r="D348" s="2"/>
      <c r="K348" s="2"/>
      <c r="L348" s="2"/>
      <c r="Q348" s="2"/>
      <c r="T348" s="2"/>
      <c r="U348" s="2"/>
      <c r="V348" s="2"/>
      <c r="W348" s="2"/>
      <c r="X348" s="2"/>
      <c r="Y348" s="2"/>
      <c r="AD348" s="2"/>
      <c r="AE348" s="2"/>
      <c r="AF348" s="2"/>
      <c r="AG348" s="2"/>
      <c r="AH348" s="2"/>
      <c r="AI348" s="2"/>
    </row>
    <row r="349" spans="1:35">
      <c r="A349" s="2"/>
      <c r="B349" s="2"/>
      <c r="C349" s="2"/>
      <c r="D349" s="2"/>
      <c r="K349" s="2"/>
      <c r="L349" s="2"/>
      <c r="Q349" s="2"/>
      <c r="T349" s="2"/>
      <c r="U349" s="2"/>
      <c r="V349" s="2"/>
      <c r="W349" s="2"/>
      <c r="X349" s="2"/>
      <c r="Y349" s="2"/>
      <c r="AD349" s="2"/>
      <c r="AE349" s="2"/>
      <c r="AF349" s="2"/>
      <c r="AG349" s="2"/>
      <c r="AH349" s="2"/>
      <c r="AI349" s="2"/>
    </row>
    <row r="350" spans="1:35">
      <c r="A350" s="2"/>
      <c r="B350" s="2"/>
      <c r="C350" s="2"/>
      <c r="D350" s="2"/>
      <c r="K350" s="2"/>
      <c r="L350" s="2"/>
      <c r="Q350" s="2"/>
      <c r="T350" s="2"/>
      <c r="U350" s="2"/>
      <c r="V350" s="2"/>
      <c r="W350" s="2"/>
      <c r="X350" s="2"/>
      <c r="Y350" s="2"/>
      <c r="AD350" s="2"/>
      <c r="AE350" s="2"/>
      <c r="AF350" s="2"/>
      <c r="AG350" s="2"/>
      <c r="AH350" s="2"/>
      <c r="AI350" s="2"/>
    </row>
    <row r="351" spans="1:35">
      <c r="A351" s="2"/>
      <c r="B351" s="2"/>
      <c r="C351" s="2"/>
      <c r="D351" s="2"/>
      <c r="K351" s="2"/>
      <c r="L351" s="2"/>
      <c r="Q351" s="2"/>
      <c r="T351" s="2"/>
      <c r="U351" s="2"/>
      <c r="V351" s="2"/>
      <c r="W351" s="2"/>
      <c r="X351" s="2"/>
      <c r="Y351" s="2"/>
      <c r="AD351" s="2"/>
      <c r="AE351" s="2"/>
      <c r="AF351" s="2"/>
      <c r="AG351" s="2"/>
      <c r="AH351" s="2"/>
      <c r="AI351" s="2"/>
    </row>
    <row r="352" spans="1:35">
      <c r="A352" s="2"/>
      <c r="B352" s="2"/>
      <c r="C352" s="2"/>
      <c r="D352" s="2"/>
      <c r="K352" s="2"/>
      <c r="L352" s="2"/>
      <c r="Q352" s="2"/>
      <c r="T352" s="2"/>
      <c r="U352" s="2"/>
      <c r="V352" s="2"/>
      <c r="W352" s="2"/>
      <c r="X352" s="2"/>
      <c r="Y352" s="2"/>
      <c r="AD352" s="2"/>
      <c r="AE352" s="2"/>
      <c r="AF352" s="2"/>
      <c r="AG352" s="2"/>
      <c r="AH352" s="2"/>
      <c r="AI352" s="2"/>
    </row>
    <row r="353" spans="1:35">
      <c r="A353" s="2"/>
      <c r="B353" s="2"/>
      <c r="C353" s="2"/>
      <c r="D353" s="2"/>
      <c r="K353" s="2"/>
      <c r="L353" s="2"/>
      <c r="Q353" s="2"/>
      <c r="T353" s="2"/>
      <c r="U353" s="2"/>
      <c r="V353" s="2"/>
      <c r="W353" s="2"/>
      <c r="X353" s="2"/>
      <c r="Y353" s="2"/>
      <c r="AD353" s="2"/>
      <c r="AE353" s="2"/>
      <c r="AF353" s="2"/>
      <c r="AG353" s="2"/>
      <c r="AH353" s="2"/>
      <c r="AI353" s="2"/>
    </row>
    <row r="354" spans="1:35">
      <c r="A354" s="2"/>
      <c r="B354" s="2"/>
      <c r="C354" s="2"/>
      <c r="D354" s="2"/>
      <c r="K354" s="2"/>
      <c r="L354" s="2"/>
      <c r="Q354" s="2"/>
      <c r="T354" s="2"/>
      <c r="U354" s="2"/>
      <c r="V354" s="2"/>
      <c r="W354" s="2"/>
      <c r="X354" s="2"/>
      <c r="Y354" s="2"/>
      <c r="AD354" s="2"/>
      <c r="AE354" s="2"/>
      <c r="AF354" s="2"/>
      <c r="AG354" s="2"/>
      <c r="AH354" s="2"/>
      <c r="AI354" s="2"/>
    </row>
    <row r="355" spans="1:35">
      <c r="A355" s="2"/>
      <c r="B355" s="2"/>
      <c r="C355" s="2"/>
      <c r="D355" s="2"/>
      <c r="K355" s="2"/>
      <c r="L355" s="2"/>
      <c r="Q355" s="2"/>
      <c r="T355" s="2"/>
      <c r="U355" s="2"/>
      <c r="V355" s="2"/>
      <c r="W355" s="2"/>
      <c r="X355" s="2"/>
      <c r="Y355" s="2"/>
      <c r="AD355" s="2"/>
      <c r="AE355" s="2"/>
      <c r="AF355" s="2"/>
      <c r="AG355" s="2"/>
      <c r="AH355" s="2"/>
      <c r="AI355" s="2"/>
    </row>
    <row r="356" spans="1:35">
      <c r="A356" s="2"/>
      <c r="B356" s="2"/>
      <c r="C356" s="2"/>
      <c r="D356" s="2"/>
      <c r="K356" s="2"/>
      <c r="L356" s="2"/>
      <c r="Q356" s="2"/>
      <c r="T356" s="2"/>
      <c r="U356" s="2"/>
      <c r="V356" s="2"/>
      <c r="W356" s="2"/>
      <c r="X356" s="2"/>
      <c r="Y356" s="2"/>
      <c r="AD356" s="2"/>
      <c r="AE356" s="2"/>
      <c r="AF356" s="2"/>
      <c r="AG356" s="2"/>
      <c r="AH356" s="2"/>
      <c r="AI356" s="2"/>
    </row>
    <row r="357" spans="1:35">
      <c r="A357" s="2"/>
      <c r="B357" s="2"/>
      <c r="C357" s="2"/>
      <c r="D357" s="2"/>
      <c r="K357" s="2"/>
      <c r="L357" s="2"/>
      <c r="Q357" s="2"/>
      <c r="T357" s="2"/>
      <c r="U357" s="2"/>
      <c r="V357" s="2"/>
      <c r="W357" s="2"/>
      <c r="X357" s="2"/>
      <c r="Y357" s="2"/>
      <c r="AD357" s="2"/>
      <c r="AE357" s="2"/>
      <c r="AF357" s="2"/>
      <c r="AG357" s="2"/>
      <c r="AH357" s="2"/>
      <c r="AI357" s="2"/>
    </row>
    <row r="358" spans="1:35">
      <c r="A358" s="2"/>
      <c r="B358" s="2"/>
      <c r="C358" s="2"/>
      <c r="D358" s="2"/>
      <c r="K358" s="2"/>
      <c r="L358" s="2"/>
      <c r="Q358" s="2"/>
      <c r="T358" s="2"/>
      <c r="U358" s="2"/>
      <c r="V358" s="2"/>
      <c r="W358" s="2"/>
      <c r="X358" s="2"/>
      <c r="Y358" s="2"/>
      <c r="AD358" s="2"/>
      <c r="AE358" s="2"/>
      <c r="AF358" s="2"/>
      <c r="AG358" s="2"/>
      <c r="AH358" s="2"/>
      <c r="AI358" s="2"/>
    </row>
    <row r="359" spans="1:35">
      <c r="A359" s="2"/>
      <c r="B359" s="2"/>
      <c r="C359" s="2"/>
      <c r="D359" s="2"/>
      <c r="K359" s="2"/>
      <c r="L359" s="2"/>
      <c r="Q359" s="2"/>
      <c r="T359" s="2"/>
      <c r="U359" s="2"/>
      <c r="V359" s="2"/>
      <c r="W359" s="2"/>
      <c r="X359" s="2"/>
      <c r="Y359" s="2"/>
      <c r="AD359" s="2"/>
      <c r="AE359" s="2"/>
      <c r="AF359" s="2"/>
      <c r="AG359" s="2"/>
      <c r="AH359" s="2"/>
      <c r="AI359" s="2"/>
    </row>
    <row r="360" spans="1:35">
      <c r="A360" s="2"/>
      <c r="B360" s="2"/>
      <c r="C360" s="2"/>
      <c r="D360" s="2"/>
      <c r="K360" s="2"/>
      <c r="L360" s="2"/>
      <c r="Q360" s="2"/>
      <c r="T360" s="2"/>
      <c r="U360" s="2"/>
      <c r="V360" s="2"/>
      <c r="W360" s="2"/>
      <c r="X360" s="2"/>
      <c r="Y360" s="2"/>
      <c r="AD360" s="2"/>
      <c r="AE360" s="2"/>
      <c r="AF360" s="2"/>
      <c r="AG360" s="2"/>
      <c r="AH360" s="2"/>
      <c r="AI360" s="2"/>
    </row>
    <row r="361" spans="1:35">
      <c r="A361" s="2"/>
      <c r="B361" s="2"/>
      <c r="C361" s="2"/>
      <c r="D361" s="2"/>
      <c r="K361" s="2"/>
      <c r="L361" s="2"/>
      <c r="Q361" s="2"/>
      <c r="T361" s="2"/>
      <c r="U361" s="2"/>
      <c r="V361" s="2"/>
      <c r="W361" s="2"/>
      <c r="X361" s="2"/>
      <c r="Y361" s="2"/>
      <c r="AD361" s="2"/>
      <c r="AE361" s="2"/>
      <c r="AF361" s="2"/>
      <c r="AG361" s="2"/>
      <c r="AH361" s="2"/>
      <c r="AI361" s="2"/>
    </row>
    <row r="362" spans="1:35">
      <c r="A362" s="2"/>
      <c r="B362" s="2"/>
      <c r="C362" s="2"/>
      <c r="D362" s="2"/>
      <c r="K362" s="2"/>
      <c r="L362" s="2"/>
      <c r="Q362" s="2"/>
      <c r="T362" s="2"/>
      <c r="U362" s="2"/>
      <c r="V362" s="2"/>
      <c r="W362" s="2"/>
      <c r="X362" s="2"/>
      <c r="Y362" s="2"/>
      <c r="AD362" s="2"/>
      <c r="AE362" s="2"/>
      <c r="AF362" s="2"/>
      <c r="AG362" s="2"/>
      <c r="AH362" s="2"/>
      <c r="AI362" s="2"/>
    </row>
    <row r="363" spans="1:35">
      <c r="A363" s="2"/>
      <c r="B363" s="2"/>
      <c r="C363" s="2"/>
      <c r="D363" s="2"/>
      <c r="K363" s="2"/>
      <c r="L363" s="2"/>
      <c r="Q363" s="2"/>
      <c r="T363" s="2"/>
      <c r="U363" s="2"/>
      <c r="V363" s="2"/>
      <c r="W363" s="2"/>
      <c r="X363" s="2"/>
      <c r="Y363" s="2"/>
      <c r="AD363" s="2"/>
      <c r="AE363" s="2"/>
      <c r="AF363" s="2"/>
      <c r="AG363" s="2"/>
      <c r="AH363" s="2"/>
      <c r="AI363" s="2"/>
    </row>
    <row r="364" spans="1:35">
      <c r="A364" s="2"/>
      <c r="B364" s="2"/>
      <c r="C364" s="2"/>
      <c r="D364" s="2"/>
      <c r="K364" s="2"/>
      <c r="L364" s="2"/>
      <c r="Q364" s="2"/>
      <c r="T364" s="2"/>
      <c r="U364" s="2"/>
      <c r="V364" s="2"/>
      <c r="W364" s="2"/>
      <c r="X364" s="2"/>
      <c r="Y364" s="2"/>
      <c r="AD364" s="2"/>
      <c r="AE364" s="2"/>
      <c r="AF364" s="2"/>
      <c r="AG364" s="2"/>
      <c r="AH364" s="2"/>
      <c r="AI364" s="2"/>
    </row>
    <row r="365" spans="1:35">
      <c r="A365" s="2"/>
      <c r="B365" s="2"/>
      <c r="C365" s="2"/>
      <c r="D365" s="2"/>
      <c r="K365" s="2"/>
      <c r="L365" s="2"/>
      <c r="Q365" s="2"/>
      <c r="T365" s="2"/>
      <c r="U365" s="2"/>
      <c r="V365" s="2"/>
      <c r="W365" s="2"/>
      <c r="X365" s="2"/>
      <c r="Y365" s="2"/>
      <c r="AD365" s="2"/>
      <c r="AE365" s="2"/>
      <c r="AF365" s="2"/>
      <c r="AG365" s="2"/>
      <c r="AH365" s="2"/>
      <c r="AI365" s="2"/>
    </row>
    <row r="366" spans="1:35">
      <c r="A366" s="2"/>
      <c r="B366" s="2"/>
      <c r="C366" s="2"/>
      <c r="D366" s="2"/>
      <c r="K366" s="2"/>
      <c r="L366" s="2"/>
      <c r="Q366" s="2"/>
      <c r="T366" s="2"/>
      <c r="U366" s="2"/>
      <c r="V366" s="2"/>
      <c r="W366" s="2"/>
      <c r="X366" s="2"/>
      <c r="Y366" s="2"/>
      <c r="AD366" s="2"/>
      <c r="AE366" s="2"/>
      <c r="AF366" s="2"/>
      <c r="AG366" s="2"/>
      <c r="AH366" s="2"/>
      <c r="AI366" s="2"/>
    </row>
    <row r="367" spans="1:35">
      <c r="A367" s="2"/>
      <c r="B367" s="2"/>
      <c r="C367" s="2"/>
      <c r="D367" s="2"/>
      <c r="K367" s="2"/>
      <c r="L367" s="2"/>
      <c r="Q367" s="2"/>
      <c r="T367" s="2"/>
      <c r="U367" s="2"/>
      <c r="V367" s="2"/>
      <c r="W367" s="2"/>
      <c r="X367" s="2"/>
      <c r="Y367" s="2"/>
      <c r="AD367" s="2"/>
      <c r="AE367" s="2"/>
      <c r="AF367" s="2"/>
      <c r="AG367" s="2"/>
      <c r="AH367" s="2"/>
      <c r="AI367" s="2"/>
    </row>
    <row r="368" spans="1:35">
      <c r="A368" s="2"/>
      <c r="B368" s="2"/>
      <c r="C368" s="2"/>
      <c r="D368" s="2"/>
      <c r="K368" s="2"/>
      <c r="L368" s="2"/>
      <c r="Q368" s="2"/>
      <c r="T368" s="2"/>
      <c r="U368" s="2"/>
      <c r="V368" s="2"/>
      <c r="W368" s="2"/>
      <c r="X368" s="2"/>
      <c r="Y368" s="2"/>
      <c r="AD368" s="2"/>
      <c r="AE368" s="2"/>
      <c r="AF368" s="2"/>
      <c r="AG368" s="2"/>
      <c r="AH368" s="2"/>
      <c r="AI368" s="2"/>
    </row>
    <row r="369" spans="1:35">
      <c r="A369" s="2"/>
      <c r="B369" s="2"/>
      <c r="C369" s="2"/>
      <c r="D369" s="2"/>
      <c r="K369" s="2"/>
      <c r="L369" s="2"/>
      <c r="Q369" s="2"/>
      <c r="T369" s="2"/>
      <c r="U369" s="2"/>
      <c r="V369" s="2"/>
      <c r="W369" s="2"/>
      <c r="X369" s="2"/>
      <c r="Y369" s="2"/>
      <c r="AD369" s="2"/>
      <c r="AE369" s="2"/>
      <c r="AF369" s="2"/>
      <c r="AG369" s="2"/>
      <c r="AH369" s="2"/>
      <c r="AI369" s="2"/>
    </row>
    <row r="370" spans="1:35">
      <c r="A370" s="2"/>
      <c r="B370" s="2"/>
      <c r="C370" s="2"/>
      <c r="D370" s="2"/>
      <c r="K370" s="2"/>
      <c r="L370" s="2"/>
      <c r="Q370" s="2"/>
      <c r="T370" s="2"/>
      <c r="U370" s="2"/>
      <c r="V370" s="2"/>
      <c r="W370" s="2"/>
      <c r="X370" s="2"/>
      <c r="Y370" s="2"/>
      <c r="AD370" s="2"/>
      <c r="AE370" s="2"/>
      <c r="AF370" s="2"/>
      <c r="AG370" s="2"/>
      <c r="AH370" s="2"/>
      <c r="AI370" s="2"/>
    </row>
    <row r="371" spans="1:35">
      <c r="A371" s="2"/>
      <c r="B371" s="2"/>
      <c r="C371" s="2"/>
      <c r="D371" s="2"/>
      <c r="K371" s="2"/>
      <c r="L371" s="2"/>
      <c r="Q371" s="2"/>
      <c r="T371" s="2"/>
      <c r="U371" s="2"/>
      <c r="V371" s="2"/>
      <c r="W371" s="2"/>
      <c r="X371" s="2"/>
      <c r="Y371" s="2"/>
      <c r="AD371" s="2"/>
      <c r="AE371" s="2"/>
      <c r="AF371" s="2"/>
      <c r="AG371" s="2"/>
      <c r="AH371" s="2"/>
      <c r="AI371" s="2"/>
    </row>
    <row r="372" spans="1:35">
      <c r="A372" s="2"/>
      <c r="B372" s="2"/>
      <c r="C372" s="2"/>
      <c r="D372" s="2"/>
      <c r="K372" s="2"/>
      <c r="L372" s="2"/>
      <c r="Q372" s="2"/>
      <c r="T372" s="2"/>
      <c r="U372" s="2"/>
      <c r="V372" s="2"/>
      <c r="W372" s="2"/>
      <c r="X372" s="2"/>
      <c r="Y372" s="2"/>
      <c r="AD372" s="2"/>
      <c r="AE372" s="2"/>
      <c r="AF372" s="2"/>
      <c r="AG372" s="2"/>
      <c r="AH372" s="2"/>
      <c r="AI372" s="2"/>
    </row>
    <row r="373" spans="1:35">
      <c r="A373" s="2"/>
      <c r="B373" s="2"/>
      <c r="C373" s="2"/>
      <c r="D373" s="2"/>
      <c r="K373" s="2"/>
      <c r="L373" s="2"/>
      <c r="Q373" s="2"/>
      <c r="T373" s="2"/>
      <c r="U373" s="2"/>
      <c r="V373" s="2"/>
      <c r="W373" s="2"/>
      <c r="X373" s="2"/>
      <c r="Y373" s="2"/>
      <c r="AD373" s="2"/>
      <c r="AE373" s="2"/>
      <c r="AF373" s="2"/>
      <c r="AG373" s="2"/>
      <c r="AH373" s="2"/>
      <c r="AI373" s="2"/>
    </row>
    <row r="374" spans="1:35">
      <c r="A374" s="2"/>
      <c r="B374" s="2"/>
      <c r="C374" s="2"/>
      <c r="D374" s="2"/>
      <c r="K374" s="2"/>
      <c r="L374" s="2"/>
      <c r="Q374" s="2"/>
      <c r="T374" s="2"/>
      <c r="U374" s="2"/>
      <c r="V374" s="2"/>
      <c r="W374" s="2"/>
      <c r="X374" s="2"/>
      <c r="Y374" s="2"/>
      <c r="AD374" s="2"/>
      <c r="AE374" s="2"/>
      <c r="AF374" s="2"/>
      <c r="AG374" s="2"/>
      <c r="AH374" s="2"/>
      <c r="AI374" s="2"/>
    </row>
    <row r="375" spans="1:35">
      <c r="A375" s="2"/>
      <c r="B375" s="2"/>
      <c r="C375" s="2"/>
      <c r="D375" s="2"/>
      <c r="K375" s="2"/>
      <c r="L375" s="2"/>
      <c r="Q375" s="2"/>
      <c r="T375" s="2"/>
      <c r="U375" s="2"/>
      <c r="V375" s="2"/>
      <c r="W375" s="2"/>
      <c r="X375" s="2"/>
      <c r="Y375" s="2"/>
      <c r="AD375" s="2"/>
      <c r="AE375" s="2"/>
      <c r="AF375" s="2"/>
      <c r="AG375" s="2"/>
      <c r="AH375" s="2"/>
      <c r="AI375" s="2"/>
    </row>
    <row r="376" spans="1:35">
      <c r="A376" s="2"/>
      <c r="B376" s="2"/>
      <c r="C376" s="2"/>
      <c r="D376" s="2"/>
      <c r="K376" s="2"/>
      <c r="L376" s="2"/>
      <c r="Q376" s="2"/>
      <c r="T376" s="2"/>
      <c r="U376" s="2"/>
      <c r="V376" s="2"/>
      <c r="W376" s="2"/>
      <c r="X376" s="2"/>
      <c r="Y376" s="2"/>
      <c r="AD376" s="2"/>
      <c r="AE376" s="2"/>
      <c r="AF376" s="2"/>
      <c r="AG376" s="2"/>
      <c r="AH376" s="2"/>
      <c r="AI376" s="2"/>
    </row>
    <row r="377" spans="1:35">
      <c r="A377" s="2"/>
      <c r="B377" s="2"/>
      <c r="C377" s="2"/>
      <c r="D377" s="2"/>
      <c r="K377" s="2"/>
      <c r="L377" s="2"/>
      <c r="Q377" s="2"/>
      <c r="T377" s="2"/>
      <c r="U377" s="2"/>
      <c r="V377" s="2"/>
      <c r="W377" s="2"/>
      <c r="X377" s="2"/>
      <c r="Y377" s="2"/>
      <c r="AD377" s="2"/>
      <c r="AE377" s="2"/>
      <c r="AF377" s="2"/>
      <c r="AG377" s="2"/>
      <c r="AH377" s="2"/>
      <c r="AI377" s="2"/>
    </row>
    <row r="378" spans="1:35">
      <c r="A378" s="2"/>
      <c r="B378" s="2"/>
      <c r="C378" s="2"/>
      <c r="D378" s="2"/>
      <c r="K378" s="2"/>
      <c r="L378" s="2"/>
      <c r="Q378" s="2"/>
      <c r="T378" s="2"/>
      <c r="U378" s="2"/>
      <c r="V378" s="2"/>
      <c r="W378" s="2"/>
      <c r="X378" s="2"/>
      <c r="Y378" s="2"/>
      <c r="AD378" s="2"/>
      <c r="AE378" s="2"/>
      <c r="AF378" s="2"/>
      <c r="AG378" s="2"/>
      <c r="AH378" s="2"/>
      <c r="AI378" s="2"/>
    </row>
    <row r="379" spans="1:35">
      <c r="A379" s="2"/>
      <c r="B379" s="2"/>
      <c r="C379" s="2"/>
      <c r="D379" s="2"/>
      <c r="K379" s="2"/>
      <c r="L379" s="2"/>
      <c r="Q379" s="2"/>
      <c r="T379" s="2"/>
      <c r="U379" s="2"/>
      <c r="V379" s="2"/>
      <c r="W379" s="2"/>
      <c r="X379" s="2"/>
      <c r="Y379" s="2"/>
      <c r="AD379" s="2"/>
      <c r="AE379" s="2"/>
      <c r="AF379" s="2"/>
      <c r="AG379" s="2"/>
      <c r="AH379" s="2"/>
      <c r="AI379" s="2"/>
    </row>
    <row r="380" spans="1:35">
      <c r="A380" s="2"/>
      <c r="B380" s="2"/>
      <c r="C380" s="2"/>
      <c r="D380" s="2"/>
      <c r="K380" s="2"/>
      <c r="L380" s="2"/>
      <c r="Q380" s="2"/>
      <c r="T380" s="2"/>
      <c r="U380" s="2"/>
      <c r="V380" s="2"/>
      <c r="W380" s="2"/>
      <c r="X380" s="2"/>
      <c r="Y380" s="2"/>
      <c r="AD380" s="2"/>
      <c r="AE380" s="2"/>
      <c r="AF380" s="2"/>
      <c r="AG380" s="2"/>
      <c r="AH380" s="2"/>
      <c r="AI380" s="2"/>
    </row>
    <row r="381" spans="1:35">
      <c r="A381" s="2"/>
      <c r="B381" s="2"/>
      <c r="C381" s="2"/>
      <c r="D381" s="2"/>
      <c r="K381" s="2"/>
      <c r="L381" s="2"/>
      <c r="Q381" s="2"/>
      <c r="T381" s="2"/>
      <c r="U381" s="2"/>
      <c r="V381" s="2"/>
      <c r="W381" s="2"/>
      <c r="X381" s="2"/>
      <c r="Y381" s="2"/>
      <c r="AD381" s="2"/>
      <c r="AE381" s="2"/>
      <c r="AF381" s="2"/>
      <c r="AG381" s="2"/>
      <c r="AH381" s="2"/>
      <c r="AI381" s="2"/>
    </row>
    <row r="382" spans="1:35">
      <c r="A382" s="2"/>
      <c r="B382" s="2"/>
      <c r="C382" s="2"/>
      <c r="D382" s="2"/>
      <c r="K382" s="2"/>
      <c r="L382" s="2"/>
      <c r="Q382" s="2"/>
      <c r="T382" s="2"/>
      <c r="U382" s="2"/>
      <c r="V382" s="2"/>
      <c r="W382" s="2"/>
      <c r="X382" s="2"/>
      <c r="Y382" s="2"/>
      <c r="AD382" s="2"/>
      <c r="AE382" s="2"/>
      <c r="AF382" s="2"/>
      <c r="AG382" s="2"/>
      <c r="AH382" s="2"/>
      <c r="AI382" s="2"/>
    </row>
    <row r="383" spans="1:35">
      <c r="A383" s="2"/>
      <c r="B383" s="2"/>
      <c r="C383" s="2"/>
      <c r="D383" s="2"/>
      <c r="K383" s="2"/>
      <c r="L383" s="2"/>
      <c r="Q383" s="2"/>
      <c r="T383" s="2"/>
      <c r="U383" s="2"/>
      <c r="V383" s="2"/>
      <c r="W383" s="2"/>
      <c r="X383" s="2"/>
      <c r="Y383" s="2"/>
      <c r="AD383" s="2"/>
      <c r="AE383" s="2"/>
      <c r="AF383" s="2"/>
      <c r="AG383" s="2"/>
      <c r="AH383" s="2"/>
      <c r="AI383" s="2"/>
    </row>
    <row r="384" spans="1:35">
      <c r="A384" s="2"/>
      <c r="B384" s="2"/>
      <c r="C384" s="2"/>
      <c r="D384" s="2"/>
      <c r="K384" s="2"/>
      <c r="L384" s="2"/>
      <c r="Q384" s="2"/>
      <c r="T384" s="2"/>
      <c r="U384" s="2"/>
      <c r="V384" s="2"/>
      <c r="W384" s="2"/>
      <c r="X384" s="2"/>
      <c r="Y384" s="2"/>
      <c r="AD384" s="2"/>
      <c r="AE384" s="2"/>
      <c r="AF384" s="2"/>
      <c r="AG384" s="2"/>
      <c r="AH384" s="2"/>
      <c r="AI384" s="2"/>
    </row>
    <row r="385" spans="1:35">
      <c r="A385" s="2"/>
      <c r="B385" s="2"/>
      <c r="C385" s="2"/>
      <c r="D385" s="2"/>
      <c r="K385" s="2"/>
      <c r="L385" s="2"/>
      <c r="Q385" s="2"/>
      <c r="T385" s="2"/>
      <c r="U385" s="2"/>
      <c r="V385" s="2"/>
      <c r="W385" s="2"/>
      <c r="X385" s="2"/>
      <c r="Y385" s="2"/>
      <c r="AD385" s="2"/>
      <c r="AE385" s="2"/>
      <c r="AF385" s="2"/>
      <c r="AG385" s="2"/>
      <c r="AH385" s="2"/>
      <c r="AI385" s="2"/>
    </row>
    <row r="386" spans="1:35">
      <c r="A386" s="2"/>
      <c r="B386" s="2"/>
      <c r="C386" s="2"/>
      <c r="D386" s="2"/>
      <c r="K386" s="2"/>
      <c r="L386" s="2"/>
      <c r="Q386" s="2"/>
      <c r="T386" s="2"/>
      <c r="U386" s="2"/>
      <c r="V386" s="2"/>
      <c r="W386" s="2"/>
      <c r="X386" s="2"/>
      <c r="Y386" s="2"/>
      <c r="AD386" s="2"/>
      <c r="AE386" s="2"/>
      <c r="AF386" s="2"/>
      <c r="AG386" s="2"/>
      <c r="AH386" s="2"/>
      <c r="AI386" s="2"/>
    </row>
    <row r="387" spans="1:35">
      <c r="A387" s="2"/>
      <c r="B387" s="2"/>
      <c r="C387" s="2"/>
      <c r="D387" s="2"/>
      <c r="K387" s="2"/>
      <c r="L387" s="2"/>
      <c r="Q387" s="2"/>
      <c r="T387" s="2"/>
      <c r="U387" s="2"/>
      <c r="V387" s="2"/>
      <c r="W387" s="2"/>
      <c r="X387" s="2"/>
      <c r="Y387" s="2"/>
      <c r="AD387" s="2"/>
      <c r="AE387" s="2"/>
      <c r="AF387" s="2"/>
      <c r="AG387" s="2"/>
      <c r="AH387" s="2"/>
      <c r="AI387" s="2"/>
    </row>
    <row r="388" spans="1:35">
      <c r="A388" s="2"/>
      <c r="B388" s="2"/>
      <c r="C388" s="2"/>
      <c r="D388" s="2"/>
      <c r="K388" s="2"/>
      <c r="L388" s="2"/>
      <c r="Q388" s="2"/>
      <c r="T388" s="2"/>
      <c r="U388" s="2"/>
      <c r="V388" s="2"/>
      <c r="W388" s="2"/>
      <c r="X388" s="2"/>
      <c r="Y388" s="2"/>
      <c r="AD388" s="2"/>
      <c r="AE388" s="2"/>
      <c r="AF388" s="2"/>
      <c r="AG388" s="2"/>
      <c r="AH388" s="2"/>
      <c r="AI388" s="2"/>
    </row>
    <row r="389" spans="1:35">
      <c r="A389" s="2"/>
      <c r="B389" s="2"/>
      <c r="C389" s="2"/>
      <c r="D389" s="2"/>
      <c r="K389" s="2"/>
      <c r="L389" s="2"/>
      <c r="Q389" s="2"/>
      <c r="T389" s="2"/>
      <c r="U389" s="2"/>
      <c r="V389" s="2"/>
      <c r="W389" s="2"/>
      <c r="X389" s="2"/>
      <c r="Y389" s="2"/>
      <c r="AD389" s="2"/>
      <c r="AE389" s="2"/>
      <c r="AF389" s="2"/>
      <c r="AG389" s="2"/>
      <c r="AH389" s="2"/>
      <c r="AI389" s="2"/>
    </row>
    <row r="390" spans="1:35">
      <c r="A390" s="2"/>
      <c r="B390" s="2"/>
      <c r="C390" s="2"/>
      <c r="D390" s="2"/>
      <c r="K390" s="2"/>
      <c r="L390" s="2"/>
      <c r="Q390" s="2"/>
      <c r="T390" s="2"/>
      <c r="U390" s="2"/>
      <c r="V390" s="2"/>
      <c r="W390" s="2"/>
      <c r="X390" s="2"/>
      <c r="Y390" s="2"/>
      <c r="AD390" s="2"/>
      <c r="AE390" s="2"/>
      <c r="AF390" s="2"/>
      <c r="AG390" s="2"/>
      <c r="AH390" s="2"/>
      <c r="AI390" s="2"/>
    </row>
    <row r="391" spans="1:35">
      <c r="A391" s="2"/>
      <c r="B391" s="2"/>
      <c r="C391" s="2"/>
      <c r="D391" s="2"/>
      <c r="K391" s="2"/>
      <c r="L391" s="2"/>
      <c r="Q391" s="2"/>
      <c r="T391" s="2"/>
      <c r="U391" s="2"/>
      <c r="V391" s="2"/>
      <c r="W391" s="2"/>
      <c r="X391" s="2"/>
      <c r="Y391" s="2"/>
      <c r="AD391" s="2"/>
      <c r="AE391" s="2"/>
      <c r="AF391" s="2"/>
      <c r="AG391" s="2"/>
      <c r="AH391" s="2"/>
      <c r="AI391" s="2"/>
    </row>
    <row r="392" spans="1:35">
      <c r="A392" s="2"/>
      <c r="B392" s="2"/>
      <c r="C392" s="2"/>
      <c r="D392" s="2"/>
      <c r="K392" s="2"/>
      <c r="L392" s="2"/>
      <c r="Q392" s="2"/>
      <c r="T392" s="2"/>
      <c r="U392" s="2"/>
      <c r="V392" s="2"/>
      <c r="W392" s="2"/>
      <c r="X392" s="2"/>
      <c r="Y392" s="2"/>
      <c r="AD392" s="2"/>
      <c r="AE392" s="2"/>
      <c r="AF392" s="2"/>
      <c r="AG392" s="2"/>
      <c r="AH392" s="2"/>
      <c r="AI392" s="2"/>
    </row>
    <row r="393" spans="1:35">
      <c r="A393" s="2"/>
      <c r="B393" s="2"/>
      <c r="C393" s="2"/>
      <c r="D393" s="2"/>
      <c r="K393" s="2"/>
      <c r="L393" s="2"/>
      <c r="Q393" s="2"/>
      <c r="T393" s="2"/>
      <c r="U393" s="2"/>
      <c r="V393" s="2"/>
      <c r="W393" s="2"/>
      <c r="X393" s="2"/>
      <c r="Y393" s="2"/>
      <c r="AD393" s="2"/>
      <c r="AE393" s="2"/>
      <c r="AF393" s="2"/>
      <c r="AG393" s="2"/>
      <c r="AH393" s="2"/>
      <c r="AI393" s="2"/>
    </row>
    <row r="394" spans="1:35">
      <c r="A394" s="2"/>
      <c r="B394" s="2"/>
      <c r="C394" s="2"/>
      <c r="D394" s="2"/>
      <c r="K394" s="2"/>
      <c r="L394" s="2"/>
      <c r="Q394" s="2"/>
      <c r="T394" s="2"/>
      <c r="U394" s="2"/>
      <c r="V394" s="2"/>
      <c r="W394" s="2"/>
      <c r="X394" s="2"/>
      <c r="Y394" s="2"/>
      <c r="AD394" s="2"/>
      <c r="AE394" s="2"/>
      <c r="AF394" s="2"/>
      <c r="AG394" s="2"/>
      <c r="AH394" s="2"/>
      <c r="AI394" s="2"/>
    </row>
    <row r="395" spans="1:35">
      <c r="A395" s="2"/>
      <c r="B395" s="2"/>
      <c r="C395" s="2"/>
      <c r="D395" s="2"/>
      <c r="K395" s="2"/>
      <c r="L395" s="2"/>
      <c r="Q395" s="2"/>
      <c r="T395" s="2"/>
      <c r="U395" s="2"/>
      <c r="V395" s="2"/>
      <c r="W395" s="2"/>
      <c r="X395" s="2"/>
      <c r="Y395" s="2"/>
      <c r="AD395" s="2"/>
      <c r="AE395" s="2"/>
      <c r="AF395" s="2"/>
      <c r="AG395" s="2"/>
      <c r="AH395" s="2"/>
      <c r="AI395" s="2"/>
    </row>
    <row r="396" spans="1:35">
      <c r="A396" s="2"/>
      <c r="B396" s="2"/>
      <c r="C396" s="2"/>
      <c r="D396" s="2"/>
      <c r="K396" s="2"/>
      <c r="L396" s="2"/>
      <c r="Q396" s="2"/>
      <c r="T396" s="2"/>
      <c r="U396" s="2"/>
      <c r="V396" s="2"/>
      <c r="W396" s="2"/>
      <c r="X396" s="2"/>
      <c r="Y396" s="2"/>
      <c r="AD396" s="2"/>
      <c r="AE396" s="2"/>
      <c r="AF396" s="2"/>
      <c r="AG396" s="2"/>
      <c r="AH396" s="2"/>
      <c r="AI396" s="2"/>
    </row>
    <row r="397" spans="1:35">
      <c r="A397" s="2"/>
      <c r="B397" s="2"/>
      <c r="C397" s="2"/>
      <c r="D397" s="2"/>
      <c r="K397" s="2"/>
      <c r="L397" s="2"/>
      <c r="Q397" s="2"/>
      <c r="T397" s="2"/>
      <c r="U397" s="2"/>
      <c r="V397" s="2"/>
      <c r="W397" s="2"/>
      <c r="X397" s="2"/>
      <c r="Y397" s="2"/>
      <c r="AD397" s="2"/>
      <c r="AE397" s="2"/>
      <c r="AF397" s="2"/>
      <c r="AG397" s="2"/>
      <c r="AH397" s="2"/>
      <c r="AI397" s="2"/>
    </row>
    <row r="398" spans="1:35">
      <c r="A398" s="2"/>
      <c r="B398" s="2"/>
      <c r="C398" s="2"/>
      <c r="D398" s="2"/>
      <c r="K398" s="2"/>
      <c r="L398" s="2"/>
      <c r="Q398" s="2"/>
      <c r="T398" s="2"/>
      <c r="U398" s="2"/>
      <c r="V398" s="2"/>
      <c r="W398" s="2"/>
      <c r="X398" s="2"/>
      <c r="Y398" s="2"/>
      <c r="AD398" s="2"/>
      <c r="AE398" s="2"/>
      <c r="AF398" s="2"/>
      <c r="AG398" s="2"/>
      <c r="AH398" s="2"/>
      <c r="AI398" s="2"/>
    </row>
    <row r="399" spans="1:35">
      <c r="A399" s="2"/>
      <c r="B399" s="2"/>
      <c r="C399" s="2"/>
      <c r="D399" s="2"/>
      <c r="K399" s="2"/>
      <c r="L399" s="2"/>
      <c r="Q399" s="2"/>
      <c r="T399" s="2"/>
      <c r="U399" s="2"/>
      <c r="V399" s="2"/>
      <c r="W399" s="2"/>
      <c r="X399" s="2"/>
      <c r="Y399" s="2"/>
      <c r="AD399" s="2"/>
      <c r="AE399" s="2"/>
      <c r="AF399" s="2"/>
      <c r="AG399" s="2"/>
      <c r="AH399" s="2"/>
      <c r="AI399" s="2"/>
    </row>
    <row r="400" spans="1:35">
      <c r="A400" s="2"/>
      <c r="B400" s="2"/>
      <c r="C400" s="2"/>
      <c r="D400" s="2"/>
      <c r="K400" s="2"/>
      <c r="L400" s="2"/>
      <c r="Q400" s="2"/>
      <c r="T400" s="2"/>
      <c r="U400" s="2"/>
      <c r="V400" s="2"/>
      <c r="W400" s="2"/>
      <c r="X400" s="2"/>
      <c r="Y400" s="2"/>
      <c r="AD400" s="2"/>
      <c r="AE400" s="2"/>
      <c r="AF400" s="2"/>
      <c r="AG400" s="2"/>
      <c r="AH400" s="2"/>
      <c r="AI400" s="2"/>
    </row>
    <row r="401" spans="1:35">
      <c r="A401" s="2"/>
      <c r="B401" s="2"/>
      <c r="C401" s="2"/>
      <c r="D401" s="2"/>
      <c r="K401" s="2"/>
      <c r="L401" s="2"/>
      <c r="Q401" s="2"/>
      <c r="T401" s="2"/>
      <c r="U401" s="2"/>
      <c r="V401" s="2"/>
      <c r="W401" s="2"/>
      <c r="X401" s="2"/>
      <c r="Y401" s="2"/>
      <c r="AD401" s="2"/>
      <c r="AE401" s="2"/>
      <c r="AF401" s="2"/>
      <c r="AG401" s="2"/>
      <c r="AH401" s="2"/>
      <c r="AI401" s="2"/>
    </row>
    <row r="402" spans="1:35">
      <c r="A402" s="2"/>
      <c r="B402" s="2"/>
      <c r="C402" s="2"/>
      <c r="D402" s="2"/>
      <c r="K402" s="2"/>
      <c r="L402" s="2"/>
      <c r="Q402" s="2"/>
      <c r="T402" s="2"/>
      <c r="U402" s="2"/>
      <c r="V402" s="2"/>
      <c r="W402" s="2"/>
      <c r="X402" s="2"/>
      <c r="Y402" s="2"/>
      <c r="AD402" s="2"/>
      <c r="AE402" s="2"/>
      <c r="AF402" s="2"/>
      <c r="AG402" s="2"/>
      <c r="AH402" s="2"/>
      <c r="AI402" s="2"/>
    </row>
    <row r="403" spans="1:35">
      <c r="A403" s="2"/>
      <c r="B403" s="2"/>
      <c r="C403" s="2"/>
      <c r="D403" s="2"/>
      <c r="K403" s="2"/>
      <c r="L403" s="2"/>
      <c r="Q403" s="2"/>
      <c r="T403" s="2"/>
      <c r="U403" s="2"/>
      <c r="V403" s="2"/>
      <c r="W403" s="2"/>
      <c r="X403" s="2"/>
      <c r="Y403" s="2"/>
      <c r="AD403" s="2"/>
      <c r="AE403" s="2"/>
      <c r="AF403" s="2"/>
      <c r="AG403" s="2"/>
      <c r="AH403" s="2"/>
      <c r="AI403" s="2"/>
    </row>
    <row r="404" spans="1:35">
      <c r="A404" s="2"/>
      <c r="B404" s="2"/>
      <c r="C404" s="2"/>
      <c r="D404" s="2"/>
      <c r="K404" s="2"/>
      <c r="L404" s="2"/>
      <c r="Q404" s="2"/>
      <c r="T404" s="2"/>
      <c r="U404" s="2"/>
      <c r="V404" s="2"/>
      <c r="W404" s="2"/>
      <c r="X404" s="2"/>
      <c r="Y404" s="2"/>
      <c r="AD404" s="2"/>
      <c r="AE404" s="2"/>
      <c r="AF404" s="2"/>
      <c r="AG404" s="2"/>
      <c r="AH404" s="2"/>
      <c r="AI404" s="2"/>
    </row>
    <row r="405" spans="1:35">
      <c r="A405" s="2"/>
      <c r="B405" s="2"/>
      <c r="C405" s="2"/>
      <c r="D405" s="2"/>
      <c r="K405" s="2"/>
      <c r="L405" s="2"/>
      <c r="Q405" s="2"/>
      <c r="T405" s="2"/>
      <c r="U405" s="2"/>
      <c r="V405" s="2"/>
      <c r="W405" s="2"/>
      <c r="X405" s="2"/>
      <c r="Y405" s="2"/>
      <c r="AD405" s="2"/>
      <c r="AE405" s="2"/>
      <c r="AF405" s="2"/>
      <c r="AG405" s="2"/>
      <c r="AH405" s="2"/>
      <c r="AI405" s="2"/>
    </row>
    <row r="406" spans="1:35">
      <c r="A406" s="2"/>
      <c r="B406" s="2"/>
      <c r="C406" s="2"/>
      <c r="D406" s="2"/>
      <c r="K406" s="2"/>
      <c r="L406" s="2"/>
      <c r="Q406" s="2"/>
      <c r="T406" s="2"/>
      <c r="U406" s="2"/>
      <c r="V406" s="2"/>
      <c r="W406" s="2"/>
      <c r="X406" s="2"/>
      <c r="Y406" s="2"/>
      <c r="AD406" s="2"/>
      <c r="AE406" s="2"/>
      <c r="AF406" s="2"/>
      <c r="AG406" s="2"/>
      <c r="AH406" s="2"/>
      <c r="AI406" s="2"/>
    </row>
    <row r="407" spans="1:35">
      <c r="A407" s="2"/>
      <c r="B407" s="2"/>
      <c r="C407" s="2"/>
      <c r="D407" s="2"/>
      <c r="K407" s="2"/>
      <c r="L407" s="2"/>
      <c r="Q407" s="2"/>
      <c r="T407" s="2"/>
      <c r="U407" s="2"/>
      <c r="V407" s="2"/>
      <c r="W407" s="2"/>
      <c r="X407" s="2"/>
      <c r="Y407" s="2"/>
      <c r="AD407" s="2"/>
      <c r="AE407" s="2"/>
      <c r="AF407" s="2"/>
      <c r="AG407" s="2"/>
      <c r="AH407" s="2"/>
      <c r="AI407" s="2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B0F0"/>
  </sheetPr>
  <dimension ref="A1:BB167"/>
  <sheetViews>
    <sheetView zoomScaleNormal="100" workbookViewId="0">
      <selection activeCell="B1" sqref="B1"/>
    </sheetView>
  </sheetViews>
  <sheetFormatPr defaultRowHeight="14.4"/>
  <cols>
    <col min="1" max="2" width="9.109375" style="120"/>
    <col min="3" max="3" width="30.109375" style="120" bestFit="1" customWidth="1"/>
    <col min="4" max="258" width="9.109375" style="120"/>
    <col min="259" max="259" width="30.109375" style="120" bestFit="1" customWidth="1"/>
    <col min="260" max="514" width="9.109375" style="120"/>
    <col min="515" max="515" width="30.109375" style="120" bestFit="1" customWidth="1"/>
    <col min="516" max="770" width="9.109375" style="120"/>
    <col min="771" max="771" width="30.109375" style="120" bestFit="1" customWidth="1"/>
    <col min="772" max="1026" width="9.109375" style="120"/>
    <col min="1027" max="1027" width="30.109375" style="120" bestFit="1" customWidth="1"/>
    <col min="1028" max="1282" width="9.109375" style="120"/>
    <col min="1283" max="1283" width="30.109375" style="120" bestFit="1" customWidth="1"/>
    <col min="1284" max="1538" width="9.109375" style="120"/>
    <col min="1539" max="1539" width="30.109375" style="120" bestFit="1" customWidth="1"/>
    <col min="1540" max="1794" width="9.109375" style="120"/>
    <col min="1795" max="1795" width="30.109375" style="120" bestFit="1" customWidth="1"/>
    <col min="1796" max="2050" width="9.109375" style="120"/>
    <col min="2051" max="2051" width="30.109375" style="120" bestFit="1" customWidth="1"/>
    <col min="2052" max="2306" width="9.109375" style="120"/>
    <col min="2307" max="2307" width="30.109375" style="120" bestFit="1" customWidth="1"/>
    <col min="2308" max="2562" width="9.109375" style="120"/>
    <col min="2563" max="2563" width="30.109375" style="120" bestFit="1" customWidth="1"/>
    <col min="2564" max="2818" width="9.109375" style="120"/>
    <col min="2819" max="2819" width="30.109375" style="120" bestFit="1" customWidth="1"/>
    <col min="2820" max="3074" width="9.109375" style="120"/>
    <col min="3075" max="3075" width="30.109375" style="120" bestFit="1" customWidth="1"/>
    <col min="3076" max="3330" width="9.109375" style="120"/>
    <col min="3331" max="3331" width="30.109375" style="120" bestFit="1" customWidth="1"/>
    <col min="3332" max="3586" width="9.109375" style="120"/>
    <col min="3587" max="3587" width="30.109375" style="120" bestFit="1" customWidth="1"/>
    <col min="3588" max="3842" width="9.109375" style="120"/>
    <col min="3843" max="3843" width="30.109375" style="120" bestFit="1" customWidth="1"/>
    <col min="3844" max="4098" width="9.109375" style="120"/>
    <col min="4099" max="4099" width="30.109375" style="120" bestFit="1" customWidth="1"/>
    <col min="4100" max="4354" width="9.109375" style="120"/>
    <col min="4355" max="4355" width="30.109375" style="120" bestFit="1" customWidth="1"/>
    <col min="4356" max="4610" width="9.109375" style="120"/>
    <col min="4611" max="4611" width="30.109375" style="120" bestFit="1" customWidth="1"/>
    <col min="4612" max="4866" width="9.109375" style="120"/>
    <col min="4867" max="4867" width="30.109375" style="120" bestFit="1" customWidth="1"/>
    <col min="4868" max="5122" width="9.109375" style="120"/>
    <col min="5123" max="5123" width="30.109375" style="120" bestFit="1" customWidth="1"/>
    <col min="5124" max="5378" width="9.109375" style="120"/>
    <col min="5379" max="5379" width="30.109375" style="120" bestFit="1" customWidth="1"/>
    <col min="5380" max="5634" width="9.109375" style="120"/>
    <col min="5635" max="5635" width="30.109375" style="120" bestFit="1" customWidth="1"/>
    <col min="5636" max="5890" width="9.109375" style="120"/>
    <col min="5891" max="5891" width="30.109375" style="120" bestFit="1" customWidth="1"/>
    <col min="5892" max="6146" width="9.109375" style="120"/>
    <col min="6147" max="6147" width="30.109375" style="120" bestFit="1" customWidth="1"/>
    <col min="6148" max="6402" width="9.109375" style="120"/>
    <col min="6403" max="6403" width="30.109375" style="120" bestFit="1" customWidth="1"/>
    <col min="6404" max="6658" width="9.109375" style="120"/>
    <col min="6659" max="6659" width="30.109375" style="120" bestFit="1" customWidth="1"/>
    <col min="6660" max="6914" width="9.109375" style="120"/>
    <col min="6915" max="6915" width="30.109375" style="120" bestFit="1" customWidth="1"/>
    <col min="6916" max="7170" width="9.109375" style="120"/>
    <col min="7171" max="7171" width="30.109375" style="120" bestFit="1" customWidth="1"/>
    <col min="7172" max="7426" width="9.109375" style="120"/>
    <col min="7427" max="7427" width="30.109375" style="120" bestFit="1" customWidth="1"/>
    <col min="7428" max="7682" width="9.109375" style="120"/>
    <col min="7683" max="7683" width="30.109375" style="120" bestFit="1" customWidth="1"/>
    <col min="7684" max="7938" width="9.109375" style="120"/>
    <col min="7939" max="7939" width="30.109375" style="120" bestFit="1" customWidth="1"/>
    <col min="7940" max="8194" width="9.109375" style="120"/>
    <col min="8195" max="8195" width="30.109375" style="120" bestFit="1" customWidth="1"/>
    <col min="8196" max="8450" width="9.109375" style="120"/>
    <col min="8451" max="8451" width="30.109375" style="120" bestFit="1" customWidth="1"/>
    <col min="8452" max="8706" width="9.109375" style="120"/>
    <col min="8707" max="8707" width="30.109375" style="120" bestFit="1" customWidth="1"/>
    <col min="8708" max="8962" width="9.109375" style="120"/>
    <col min="8963" max="8963" width="30.109375" style="120" bestFit="1" customWidth="1"/>
    <col min="8964" max="9218" width="9.109375" style="120"/>
    <col min="9219" max="9219" width="30.109375" style="120" bestFit="1" customWidth="1"/>
    <col min="9220" max="9474" width="9.109375" style="120"/>
    <col min="9475" max="9475" width="30.109375" style="120" bestFit="1" customWidth="1"/>
    <col min="9476" max="9730" width="9.109375" style="120"/>
    <col min="9731" max="9731" width="30.109375" style="120" bestFit="1" customWidth="1"/>
    <col min="9732" max="9986" width="9.109375" style="120"/>
    <col min="9987" max="9987" width="30.109375" style="120" bestFit="1" customWidth="1"/>
    <col min="9988" max="10242" width="9.109375" style="120"/>
    <col min="10243" max="10243" width="30.109375" style="120" bestFit="1" customWidth="1"/>
    <col min="10244" max="10498" width="9.109375" style="120"/>
    <col min="10499" max="10499" width="30.109375" style="120" bestFit="1" customWidth="1"/>
    <col min="10500" max="10754" width="9.109375" style="120"/>
    <col min="10755" max="10755" width="30.109375" style="120" bestFit="1" customWidth="1"/>
    <col min="10756" max="11010" width="9.109375" style="120"/>
    <col min="11011" max="11011" width="30.109375" style="120" bestFit="1" customWidth="1"/>
    <col min="11012" max="11266" width="9.109375" style="120"/>
    <col min="11267" max="11267" width="30.109375" style="120" bestFit="1" customWidth="1"/>
    <col min="11268" max="11522" width="9.109375" style="120"/>
    <col min="11523" max="11523" width="30.109375" style="120" bestFit="1" customWidth="1"/>
    <col min="11524" max="11778" width="9.109375" style="120"/>
    <col min="11779" max="11779" width="30.109375" style="120" bestFit="1" customWidth="1"/>
    <col min="11780" max="12034" width="9.109375" style="120"/>
    <col min="12035" max="12035" width="30.109375" style="120" bestFit="1" customWidth="1"/>
    <col min="12036" max="12290" width="9.109375" style="120"/>
    <col min="12291" max="12291" width="30.109375" style="120" bestFit="1" customWidth="1"/>
    <col min="12292" max="12546" width="9.109375" style="120"/>
    <col min="12547" max="12547" width="30.109375" style="120" bestFit="1" customWidth="1"/>
    <col min="12548" max="12802" width="9.109375" style="120"/>
    <col min="12803" max="12803" width="30.109375" style="120" bestFit="1" customWidth="1"/>
    <col min="12804" max="13058" width="9.109375" style="120"/>
    <col min="13059" max="13059" width="30.109375" style="120" bestFit="1" customWidth="1"/>
    <col min="13060" max="13314" width="9.109375" style="120"/>
    <col min="13315" max="13315" width="30.109375" style="120" bestFit="1" customWidth="1"/>
    <col min="13316" max="13570" width="9.109375" style="120"/>
    <col min="13571" max="13571" width="30.109375" style="120" bestFit="1" customWidth="1"/>
    <col min="13572" max="13826" width="9.109375" style="120"/>
    <col min="13827" max="13827" width="30.109375" style="120" bestFit="1" customWidth="1"/>
    <col min="13828" max="14082" width="9.109375" style="120"/>
    <col min="14083" max="14083" width="30.109375" style="120" bestFit="1" customWidth="1"/>
    <col min="14084" max="14338" width="9.109375" style="120"/>
    <col min="14339" max="14339" width="30.109375" style="120" bestFit="1" customWidth="1"/>
    <col min="14340" max="14594" width="9.109375" style="120"/>
    <col min="14595" max="14595" width="30.109375" style="120" bestFit="1" customWidth="1"/>
    <col min="14596" max="14850" width="9.109375" style="120"/>
    <col min="14851" max="14851" width="30.109375" style="120" bestFit="1" customWidth="1"/>
    <col min="14852" max="15106" width="9.109375" style="120"/>
    <col min="15107" max="15107" width="30.109375" style="120" bestFit="1" customWidth="1"/>
    <col min="15108" max="15362" width="9.109375" style="120"/>
    <col min="15363" max="15363" width="30.109375" style="120" bestFit="1" customWidth="1"/>
    <col min="15364" max="15618" width="9.109375" style="120"/>
    <col min="15619" max="15619" width="30.109375" style="120" bestFit="1" customWidth="1"/>
    <col min="15620" max="15874" width="9.109375" style="120"/>
    <col min="15875" max="15875" width="30.109375" style="120" bestFit="1" customWidth="1"/>
    <col min="15876" max="16130" width="9.109375" style="120"/>
    <col min="16131" max="16131" width="30.109375" style="120" bestFit="1" customWidth="1"/>
    <col min="16132" max="16384" width="9.109375" style="120"/>
  </cols>
  <sheetData>
    <row r="1" spans="1:54" s="142" customFormat="1">
      <c r="A1" s="120"/>
      <c r="B1" s="115" t="s">
        <v>242</v>
      </c>
      <c r="C1" s="120"/>
      <c r="D1" s="120"/>
      <c r="E1" s="120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8"/>
      <c r="Y1" s="208"/>
      <c r="Z1" s="208"/>
      <c r="AA1" s="208"/>
      <c r="AB1" s="208"/>
      <c r="AC1" s="208"/>
      <c r="AD1" s="208"/>
      <c r="AE1" s="208"/>
      <c r="AF1" s="208"/>
      <c r="AG1" s="208"/>
      <c r="AH1" s="208"/>
      <c r="AI1" s="208"/>
      <c r="AJ1" s="208"/>
      <c r="AK1" s="208"/>
      <c r="AL1" s="208"/>
      <c r="AM1" s="208"/>
      <c r="AN1" s="208"/>
      <c r="AO1" s="208"/>
      <c r="AP1" s="208"/>
      <c r="AQ1" s="208"/>
      <c r="AR1" s="208"/>
      <c r="AS1" s="208"/>
      <c r="AT1" s="208"/>
      <c r="AU1" s="208"/>
      <c r="AV1" s="208"/>
      <c r="AW1" s="208"/>
      <c r="AX1" s="208"/>
      <c r="AY1" s="208"/>
    </row>
    <row r="2" spans="1:54" s="142" customFormat="1">
      <c r="A2" s="119"/>
      <c r="B2" s="225"/>
      <c r="C2" s="225"/>
      <c r="D2" s="228">
        <v>44470</v>
      </c>
      <c r="E2" s="229">
        <v>44470</v>
      </c>
      <c r="F2" s="228">
        <v>44501</v>
      </c>
      <c r="G2" s="229">
        <v>44501</v>
      </c>
      <c r="H2" s="228">
        <v>44531</v>
      </c>
      <c r="I2" s="229">
        <v>44531</v>
      </c>
      <c r="J2" s="228">
        <v>44562</v>
      </c>
      <c r="K2" s="229">
        <v>44562</v>
      </c>
      <c r="L2" s="228">
        <v>44593</v>
      </c>
      <c r="M2" s="229">
        <v>44593</v>
      </c>
      <c r="N2" s="228">
        <v>44621</v>
      </c>
      <c r="O2" s="229">
        <v>44621</v>
      </c>
      <c r="P2" s="228">
        <v>44652</v>
      </c>
      <c r="Q2" s="229">
        <v>44652</v>
      </c>
      <c r="R2" s="228">
        <v>44682</v>
      </c>
      <c r="S2" s="229">
        <v>44682</v>
      </c>
      <c r="T2" s="228">
        <v>44713</v>
      </c>
      <c r="U2" s="229">
        <v>44713</v>
      </c>
      <c r="V2" s="228">
        <v>44743</v>
      </c>
      <c r="W2" s="229">
        <v>44743</v>
      </c>
      <c r="X2" s="228">
        <v>44774</v>
      </c>
      <c r="Y2" s="229">
        <v>44774</v>
      </c>
      <c r="Z2" s="228">
        <v>44805</v>
      </c>
      <c r="AA2" s="229">
        <v>44805</v>
      </c>
      <c r="AB2" s="228">
        <v>44835</v>
      </c>
      <c r="AC2" s="229">
        <v>44835</v>
      </c>
      <c r="AD2" s="228">
        <v>44866</v>
      </c>
      <c r="AE2" s="229">
        <v>44866</v>
      </c>
      <c r="AF2" s="228">
        <v>44896</v>
      </c>
      <c r="AG2" s="229">
        <v>44896</v>
      </c>
      <c r="AH2" s="228">
        <v>44927</v>
      </c>
      <c r="AI2" s="229">
        <v>44927</v>
      </c>
      <c r="AJ2" s="228">
        <v>44958</v>
      </c>
      <c r="AK2" s="229">
        <v>44958</v>
      </c>
      <c r="AL2" s="228">
        <v>44986</v>
      </c>
      <c r="AM2" s="229">
        <v>44986</v>
      </c>
      <c r="AN2" s="228">
        <v>45017</v>
      </c>
      <c r="AO2" s="229">
        <v>45017</v>
      </c>
      <c r="AP2" s="228">
        <v>45047</v>
      </c>
      <c r="AQ2" s="229">
        <v>45047</v>
      </c>
      <c r="AR2" s="228">
        <v>45078</v>
      </c>
      <c r="AS2" s="229">
        <v>45078</v>
      </c>
      <c r="AT2" s="228">
        <v>45108</v>
      </c>
      <c r="AU2" s="229">
        <v>45108</v>
      </c>
      <c r="AV2" s="228">
        <v>45139</v>
      </c>
      <c r="AW2" s="229">
        <v>45139</v>
      </c>
      <c r="AX2" s="228">
        <v>45170</v>
      </c>
      <c r="AY2" s="229">
        <v>45170</v>
      </c>
      <c r="BA2" s="159"/>
    </row>
    <row r="3" spans="1:54" s="142" customFormat="1">
      <c r="A3" s="120"/>
      <c r="B3" s="226" t="s">
        <v>2</v>
      </c>
      <c r="C3" s="226" t="s">
        <v>147</v>
      </c>
      <c r="D3" s="230" t="s">
        <v>143</v>
      </c>
      <c r="E3" s="231" t="s">
        <v>144</v>
      </c>
      <c r="F3" s="230" t="s">
        <v>143</v>
      </c>
      <c r="G3" s="231" t="s">
        <v>144</v>
      </c>
      <c r="H3" s="230" t="s">
        <v>143</v>
      </c>
      <c r="I3" s="231" t="s">
        <v>144</v>
      </c>
      <c r="J3" s="230" t="s">
        <v>143</v>
      </c>
      <c r="K3" s="231" t="s">
        <v>144</v>
      </c>
      <c r="L3" s="230" t="s">
        <v>143</v>
      </c>
      <c r="M3" s="231" t="s">
        <v>144</v>
      </c>
      <c r="N3" s="230" t="s">
        <v>143</v>
      </c>
      <c r="O3" s="231" t="s">
        <v>144</v>
      </c>
      <c r="P3" s="230" t="s">
        <v>143</v>
      </c>
      <c r="Q3" s="231" t="s">
        <v>144</v>
      </c>
      <c r="R3" s="230" t="s">
        <v>143</v>
      </c>
      <c r="S3" s="231" t="s">
        <v>144</v>
      </c>
      <c r="T3" s="230" t="s">
        <v>143</v>
      </c>
      <c r="U3" s="231" t="s">
        <v>144</v>
      </c>
      <c r="V3" s="230" t="s">
        <v>143</v>
      </c>
      <c r="W3" s="231" t="s">
        <v>144</v>
      </c>
      <c r="X3" s="230" t="s">
        <v>143</v>
      </c>
      <c r="Y3" s="231" t="s">
        <v>144</v>
      </c>
      <c r="Z3" s="230" t="s">
        <v>143</v>
      </c>
      <c r="AA3" s="231" t="s">
        <v>144</v>
      </c>
      <c r="AB3" s="230" t="s">
        <v>143</v>
      </c>
      <c r="AC3" s="231" t="s">
        <v>144</v>
      </c>
      <c r="AD3" s="230" t="s">
        <v>143</v>
      </c>
      <c r="AE3" s="231" t="s">
        <v>144</v>
      </c>
      <c r="AF3" s="230" t="s">
        <v>143</v>
      </c>
      <c r="AG3" s="231" t="s">
        <v>144</v>
      </c>
      <c r="AH3" s="230" t="s">
        <v>143</v>
      </c>
      <c r="AI3" s="231" t="s">
        <v>144</v>
      </c>
      <c r="AJ3" s="230" t="s">
        <v>143</v>
      </c>
      <c r="AK3" s="231" t="s">
        <v>144</v>
      </c>
      <c r="AL3" s="230" t="s">
        <v>143</v>
      </c>
      <c r="AM3" s="231" t="s">
        <v>144</v>
      </c>
      <c r="AN3" s="230" t="s">
        <v>143</v>
      </c>
      <c r="AO3" s="231" t="s">
        <v>144</v>
      </c>
      <c r="AP3" s="230" t="s">
        <v>143</v>
      </c>
      <c r="AQ3" s="231" t="s">
        <v>144</v>
      </c>
      <c r="AR3" s="230" t="s">
        <v>143</v>
      </c>
      <c r="AS3" s="231" t="s">
        <v>144</v>
      </c>
      <c r="AT3" s="230" t="s">
        <v>143</v>
      </c>
      <c r="AU3" s="231" t="s">
        <v>144</v>
      </c>
      <c r="AV3" s="230" t="s">
        <v>143</v>
      </c>
      <c r="AW3" s="231" t="s">
        <v>144</v>
      </c>
      <c r="AX3" s="230" t="s">
        <v>143</v>
      </c>
      <c r="AY3" s="231" t="s">
        <v>144</v>
      </c>
      <c r="BA3" s="156"/>
      <c r="BB3" s="160"/>
    </row>
    <row r="4" spans="1:54" s="142" customFormat="1">
      <c r="A4" s="120"/>
      <c r="B4" s="225">
        <v>10005</v>
      </c>
      <c r="C4" s="225" t="s">
        <v>7</v>
      </c>
      <c r="D4" s="227">
        <v>59.288675472045213</v>
      </c>
      <c r="E4" s="242">
        <v>82.743789476745974</v>
      </c>
      <c r="F4" s="242">
        <v>47.583454764893133</v>
      </c>
      <c r="G4" s="242">
        <v>63.89489865293038</v>
      </c>
      <c r="H4" s="242">
        <v>143.84047571134838</v>
      </c>
      <c r="I4" s="242">
        <v>123.08561082526919</v>
      </c>
      <c r="J4" s="242">
        <v>222.18541332428597</v>
      </c>
      <c r="K4" s="242">
        <v>153.3001423323708</v>
      </c>
      <c r="L4" s="242">
        <v>168.71284655895121</v>
      </c>
      <c r="M4" s="242">
        <v>112.4510510738684</v>
      </c>
      <c r="N4" s="242">
        <v>105.2022740982276</v>
      </c>
      <c r="O4" s="242">
        <v>112.09665583248957</v>
      </c>
      <c r="P4" s="242">
        <v>124.79746211710764</v>
      </c>
      <c r="Q4" s="242">
        <v>101.10706380837277</v>
      </c>
      <c r="R4" s="242">
        <v>-48.856070712449196</v>
      </c>
      <c r="S4" s="242">
        <v>29.024865218517192</v>
      </c>
      <c r="T4" s="242">
        <v>-96.860594042669618</v>
      </c>
      <c r="U4" s="242">
        <v>29.685516682421991</v>
      </c>
      <c r="V4" s="242">
        <v>-68.738330462401962</v>
      </c>
      <c r="W4" s="242">
        <v>-0.40094283436400247</v>
      </c>
      <c r="X4" s="242">
        <v>-51.505110326693199</v>
      </c>
      <c r="Y4" s="242">
        <v>-1.8771466413855933</v>
      </c>
      <c r="Z4" s="242">
        <v>-36.329555517366828</v>
      </c>
      <c r="AA4" s="242">
        <v>22.401613250142788</v>
      </c>
      <c r="AB4" s="242">
        <v>76.142675472045198</v>
      </c>
      <c r="AC4" s="242">
        <v>73.000789476745979</v>
      </c>
      <c r="AD4" s="242">
        <v>51.165454764893127</v>
      </c>
      <c r="AE4" s="242">
        <v>66.527898652930389</v>
      </c>
      <c r="AF4" s="242">
        <v>146.81447571134842</v>
      </c>
      <c r="AG4" s="242">
        <v>125.43161082526919</v>
      </c>
      <c r="AH4" s="242">
        <v>224.756413324286</v>
      </c>
      <c r="AI4" s="242">
        <v>155.1581423323708</v>
      </c>
      <c r="AJ4" s="242">
        <v>183.36884655895122</v>
      </c>
      <c r="AK4" s="242">
        <v>126.73405107386841</v>
      </c>
      <c r="AL4" s="242">
        <v>106.70427409822761</v>
      </c>
      <c r="AM4" s="242">
        <v>113.24665583248961</v>
      </c>
      <c r="AN4" s="242">
        <v>125.8354621171076</v>
      </c>
      <c r="AO4" s="242">
        <v>101.83406380837278</v>
      </c>
      <c r="AP4" s="242">
        <v>-48.34307071244919</v>
      </c>
      <c r="AQ4" s="242">
        <v>29.394865218517197</v>
      </c>
      <c r="AR4" s="242">
        <v>-96.860594042669618</v>
      </c>
      <c r="AS4" s="242">
        <v>29.685516682421991</v>
      </c>
      <c r="AT4" s="242">
        <v>-68.738330462401962</v>
      </c>
      <c r="AU4" s="242">
        <v>-0.40094283436400247</v>
      </c>
      <c r="AV4" s="242">
        <v>-60.164110326693191</v>
      </c>
      <c r="AW4" s="242">
        <v>6.7818533586143985</v>
      </c>
      <c r="AX4" s="242">
        <v>-27.132555517366825</v>
      </c>
      <c r="AY4" s="242">
        <v>13.204613250142785</v>
      </c>
      <c r="BA4" s="157"/>
      <c r="BB4" s="157"/>
    </row>
    <row r="5" spans="1:54">
      <c r="B5" s="225">
        <v>10015</v>
      </c>
      <c r="C5" s="225" t="s">
        <v>8</v>
      </c>
      <c r="D5" s="242">
        <v>-83.631169480282551</v>
      </c>
      <c r="E5" s="242">
        <v>-6.215493485673008</v>
      </c>
      <c r="F5" s="242">
        <v>-198.38714784910661</v>
      </c>
      <c r="G5" s="242">
        <v>-115.87705965698518</v>
      </c>
      <c r="H5" s="242">
        <v>-170.76446613709419</v>
      </c>
      <c r="I5" s="242">
        <v>-126.03799485809461</v>
      </c>
      <c r="J5" s="242">
        <v>-112.65827368644298</v>
      </c>
      <c r="K5" s="242">
        <v>-99.907949002725388</v>
      </c>
      <c r="L5" s="242">
        <v>-108.09623787903554</v>
      </c>
      <c r="M5" s="242">
        <v>-74.539266144354187</v>
      </c>
      <c r="N5" s="242">
        <v>-135.48234720649376</v>
      </c>
      <c r="O5" s="242">
        <v>-88.989607556724778</v>
      </c>
      <c r="P5" s="242">
        <v>-27.874866959933769</v>
      </c>
      <c r="Q5" s="242">
        <v>-15.096799210826404</v>
      </c>
      <c r="R5" s="242">
        <v>-20.974625539315355</v>
      </c>
      <c r="S5" s="242">
        <v>110.37890020288143</v>
      </c>
      <c r="T5" s="242">
        <v>67.959847470814793</v>
      </c>
      <c r="U5" s="242">
        <v>208.78689116768899</v>
      </c>
      <c r="V5" s="242">
        <v>248.46644802130106</v>
      </c>
      <c r="W5" s="242">
        <v>336.47673507538195</v>
      </c>
      <c r="X5" s="242">
        <v>232.2569567200066</v>
      </c>
      <c r="Y5" s="242">
        <v>295.70141356597287</v>
      </c>
      <c r="Z5" s="242">
        <v>39.445578505023377</v>
      </c>
      <c r="AA5" s="242">
        <v>168.54878602978863</v>
      </c>
      <c r="AB5" s="242">
        <v>-83.631169480282551</v>
      </c>
      <c r="AC5" s="242">
        <v>-6.215493485673008</v>
      </c>
      <c r="AD5" s="242">
        <v>-198.38714784910661</v>
      </c>
      <c r="AE5" s="242">
        <v>-115.87705965698518</v>
      </c>
      <c r="AF5" s="242">
        <v>-170.76446613709419</v>
      </c>
      <c r="AG5" s="242">
        <v>-126.03799485809461</v>
      </c>
      <c r="AH5" s="242">
        <v>-112.65827368644298</v>
      </c>
      <c r="AI5" s="242">
        <v>-99.907949002725388</v>
      </c>
      <c r="AJ5" s="242">
        <v>-110.94023787903554</v>
      </c>
      <c r="AK5" s="242">
        <v>-76.710266144354193</v>
      </c>
      <c r="AL5" s="242">
        <v>-135.48234720649376</v>
      </c>
      <c r="AM5" s="242">
        <v>-88.989607556724778</v>
      </c>
      <c r="AN5" s="242">
        <v>-27.874866959933769</v>
      </c>
      <c r="AO5" s="242">
        <v>-15.096799210826404</v>
      </c>
      <c r="AP5" s="242">
        <v>-20.974625539315355</v>
      </c>
      <c r="AQ5" s="242">
        <v>110.37890020288143</v>
      </c>
      <c r="AR5" s="242">
        <v>67.959847470814793</v>
      </c>
      <c r="AS5" s="242">
        <v>208.78689116768899</v>
      </c>
      <c r="AT5" s="242">
        <v>248.46644802130106</v>
      </c>
      <c r="AU5" s="242">
        <v>336.47673507538195</v>
      </c>
      <c r="AV5" s="242">
        <v>232.2569567200066</v>
      </c>
      <c r="AW5" s="242">
        <v>295.70141356597287</v>
      </c>
      <c r="AX5" s="242">
        <v>39.445578505023377</v>
      </c>
      <c r="AY5" s="242">
        <v>168.54878602978863</v>
      </c>
      <c r="BA5" s="158"/>
      <c r="BB5" s="158"/>
    </row>
    <row r="6" spans="1:54">
      <c r="B6" s="225">
        <v>10024</v>
      </c>
      <c r="C6" s="225" t="s">
        <v>9</v>
      </c>
      <c r="D6" s="242">
        <v>-15641.773277843706</v>
      </c>
      <c r="E6" s="242">
        <v>-6919.8163476274494</v>
      </c>
      <c r="F6" s="242">
        <v>-38199.051840206987</v>
      </c>
      <c r="G6" s="242">
        <v>-19542.962428021223</v>
      </c>
      <c r="H6" s="242">
        <v>-6660.8764868557337</v>
      </c>
      <c r="I6" s="242">
        <v>-8118.6275301032438</v>
      </c>
      <c r="J6" s="242">
        <v>7538.2423563333141</v>
      </c>
      <c r="K6" s="242">
        <v>1997.1384302280858</v>
      </c>
      <c r="L6" s="242">
        <v>-2601.176185663142</v>
      </c>
      <c r="M6" s="242">
        <v>-5347.7855603400458</v>
      </c>
      <c r="N6" s="242">
        <v>-17113.332708730624</v>
      </c>
      <c r="O6" s="242">
        <v>-9767.3041589074055</v>
      </c>
      <c r="P6" s="242">
        <v>1806.6283834307396</v>
      </c>
      <c r="Q6" s="242">
        <v>-542.05442939429486</v>
      </c>
      <c r="R6" s="242">
        <v>-13583.278273973832</v>
      </c>
      <c r="S6" s="242">
        <v>9500.2200364848104</v>
      </c>
      <c r="T6" s="242">
        <v>-3959.8674706569291</v>
      </c>
      <c r="U6" s="242">
        <v>23176.042626104747</v>
      </c>
      <c r="V6" s="242">
        <v>26763.192916166576</v>
      </c>
      <c r="W6" s="242">
        <v>34018.493421989559</v>
      </c>
      <c r="X6" s="242">
        <v>14636.922549568626</v>
      </c>
      <c r="Y6" s="242">
        <v>19880.286206158496</v>
      </c>
      <c r="Z6" s="242">
        <v>-15972.140629730566</v>
      </c>
      <c r="AA6" s="242">
        <v>-4716.7856111053989</v>
      </c>
      <c r="AB6" s="242">
        <v>-15424.482277843708</v>
      </c>
      <c r="AC6" s="242">
        <v>-6774.8383476274612</v>
      </c>
      <c r="AD6" s="242">
        <v>-38045.653840206985</v>
      </c>
      <c r="AE6" s="242">
        <v>-19434.308428021228</v>
      </c>
      <c r="AF6" s="242">
        <v>-6787.7494868557405</v>
      </c>
      <c r="AG6" s="242">
        <v>-8210.4305301032509</v>
      </c>
      <c r="AH6" s="242">
        <v>7493.8133563333104</v>
      </c>
      <c r="AI6" s="242">
        <v>1964.1424302280866</v>
      </c>
      <c r="AJ6" s="242">
        <v>-2653.7171856631321</v>
      </c>
      <c r="AK6" s="242">
        <v>-5386.1285603400465</v>
      </c>
      <c r="AL6" s="242">
        <v>-16945.726708730625</v>
      </c>
      <c r="AM6" s="242">
        <v>-9658.6331589074034</v>
      </c>
      <c r="AN6" s="242">
        <v>2281.9273834307241</v>
      </c>
      <c r="AO6" s="242">
        <v>-692.13842939429742</v>
      </c>
      <c r="AP6" s="242">
        <v>-13665.755273973831</v>
      </c>
      <c r="AQ6" s="242">
        <v>9902.7400364848072</v>
      </c>
      <c r="AR6" s="242">
        <v>-3772.5534706569306</v>
      </c>
      <c r="AS6" s="242">
        <v>23294.803626104745</v>
      </c>
      <c r="AT6" s="242">
        <v>26956.708916166579</v>
      </c>
      <c r="AU6" s="242">
        <v>34147.896421989579</v>
      </c>
      <c r="AV6" s="242">
        <v>14801.771549568628</v>
      </c>
      <c r="AW6" s="242">
        <v>19960.262206158506</v>
      </c>
      <c r="AX6" s="242">
        <v>-15849.187629730572</v>
      </c>
      <c r="AY6" s="242">
        <v>-4621.9296111053991</v>
      </c>
      <c r="BA6" s="158"/>
      <c r="BB6" s="158"/>
    </row>
    <row r="7" spans="1:54">
      <c r="B7" s="225">
        <v>10025</v>
      </c>
      <c r="C7" s="225" t="s">
        <v>10</v>
      </c>
      <c r="D7" s="242">
        <v>-2236.5661547959025</v>
      </c>
      <c r="E7" s="242">
        <v>707.62164819007558</v>
      </c>
      <c r="F7" s="242">
        <v>-11146.04680085287</v>
      </c>
      <c r="G7" s="242">
        <v>-4677.8401672686086</v>
      </c>
      <c r="H7" s="242">
        <v>-4256.4838710119693</v>
      </c>
      <c r="I7" s="242">
        <v>-2727.8043369603874</v>
      </c>
      <c r="J7" s="242">
        <v>365.91048148928166</v>
      </c>
      <c r="K7" s="242">
        <v>-42.929999692416459</v>
      </c>
      <c r="L7" s="242">
        <v>-2817.3541478090228</v>
      </c>
      <c r="M7" s="242">
        <v>-1910.9207387623683</v>
      </c>
      <c r="N7" s="242">
        <v>-7006.7299950795532</v>
      </c>
      <c r="O7" s="242">
        <v>-3202.5270866897936</v>
      </c>
      <c r="P7" s="242">
        <v>-1449.642567457151</v>
      </c>
      <c r="Q7" s="242">
        <v>-82.392218387456523</v>
      </c>
      <c r="R7" s="242">
        <v>-5130.815327046017</v>
      </c>
      <c r="S7" s="242">
        <v>2693.3714299746534</v>
      </c>
      <c r="T7" s="242">
        <v>-3596.4182483566146</v>
      </c>
      <c r="U7" s="242">
        <v>5414.7481254265585</v>
      </c>
      <c r="V7" s="242">
        <v>3722.2105084230352</v>
      </c>
      <c r="W7" s="242">
        <v>8188.6481615372777</v>
      </c>
      <c r="X7" s="242">
        <v>3180.6526695888679</v>
      </c>
      <c r="Y7" s="242">
        <v>5442.7439532677126</v>
      </c>
      <c r="Z7" s="242">
        <v>-1330.0488274576674</v>
      </c>
      <c r="AA7" s="242">
        <v>2928.1771229021469</v>
      </c>
      <c r="AB7" s="242">
        <v>-2439.5541547959037</v>
      </c>
      <c r="AC7" s="242">
        <v>537.51264819007702</v>
      </c>
      <c r="AD7" s="242">
        <v>-11351.63680085287</v>
      </c>
      <c r="AE7" s="242">
        <v>-4845.6131672686079</v>
      </c>
      <c r="AF7" s="242">
        <v>-4579.2348710119695</v>
      </c>
      <c r="AG7" s="242">
        <v>-2981.7353369603879</v>
      </c>
      <c r="AH7" s="242">
        <v>-21.19551851072174</v>
      </c>
      <c r="AI7" s="242">
        <v>-364.77699969241439</v>
      </c>
      <c r="AJ7" s="242">
        <v>-3093.8731478090194</v>
      </c>
      <c r="AK7" s="242">
        <v>-2118.1007387623686</v>
      </c>
      <c r="AL7" s="242">
        <v>-7295.8289950795515</v>
      </c>
      <c r="AM7" s="242">
        <v>-3410.8240866897941</v>
      </c>
      <c r="AN7" s="242">
        <v>-1532.9235674571501</v>
      </c>
      <c r="AO7" s="242">
        <v>-434.37121838745588</v>
      </c>
      <c r="AP7" s="242">
        <v>-5535.0413270460194</v>
      </c>
      <c r="AQ7" s="242">
        <v>2651.1734299746531</v>
      </c>
      <c r="AR7" s="242">
        <v>-3839.2332483566133</v>
      </c>
      <c r="AS7" s="242">
        <v>5233.5151254265584</v>
      </c>
      <c r="AT7" s="242">
        <v>3473.3295084230413</v>
      </c>
      <c r="AU7" s="242">
        <v>7970.5691615372798</v>
      </c>
      <c r="AV7" s="242">
        <v>2903.4806695888619</v>
      </c>
      <c r="AW7" s="242">
        <v>5240.4669532677108</v>
      </c>
      <c r="AX7" s="242">
        <v>-1577.3408274576686</v>
      </c>
      <c r="AY7" s="242">
        <v>2728.4001229021451</v>
      </c>
      <c r="BA7" s="158"/>
      <c r="BB7" s="158"/>
    </row>
    <row r="8" spans="1:54">
      <c r="B8" s="225">
        <v>10027</v>
      </c>
      <c r="C8" s="225" t="s">
        <v>11</v>
      </c>
      <c r="D8" s="242">
        <v>-4312.5579583059189</v>
      </c>
      <c r="E8" s="242">
        <v>-199.32071737378101</v>
      </c>
      <c r="F8" s="242">
        <v>-17555.404080931632</v>
      </c>
      <c r="G8" s="242">
        <v>-9830.3011496507334</v>
      </c>
      <c r="H8" s="242">
        <v>-11950.417803748473</v>
      </c>
      <c r="I8" s="242">
        <v>-9289.952746839077</v>
      </c>
      <c r="J8" s="242">
        <v>-6991.2989507697421</v>
      </c>
      <c r="K8" s="242">
        <v>-6013.1467375396169</v>
      </c>
      <c r="L8" s="242">
        <v>-6793.2535802585553</v>
      </c>
      <c r="M8" s="242">
        <v>-5379.5821729961426</v>
      </c>
      <c r="N8" s="242">
        <v>-13829.51584831467</v>
      </c>
      <c r="O8" s="242">
        <v>-8372.2371591384635</v>
      </c>
      <c r="P8" s="242">
        <v>-2662.9105511651505</v>
      </c>
      <c r="Q8" s="242">
        <v>-1123.3256684913213</v>
      </c>
      <c r="R8" s="242">
        <v>4635.6023897982268</v>
      </c>
      <c r="S8" s="242">
        <v>11355.826820419317</v>
      </c>
      <c r="T8" s="242">
        <v>12719.365136374363</v>
      </c>
      <c r="U8" s="242">
        <v>18531.621351286849</v>
      </c>
      <c r="V8" s="242">
        <v>15842.036742411103</v>
      </c>
      <c r="W8" s="242">
        <v>19190.060210864714</v>
      </c>
      <c r="X8" s="242">
        <v>11835.880329575681</v>
      </c>
      <c r="Y8" s="242">
        <v>13559.993228012079</v>
      </c>
      <c r="Z8" s="242">
        <v>3916.5106548944568</v>
      </c>
      <c r="AA8" s="242">
        <v>7669.3657790952002</v>
      </c>
      <c r="AB8" s="242">
        <v>-4307.0839583059205</v>
      </c>
      <c r="AC8" s="242">
        <v>-209.68671737378099</v>
      </c>
      <c r="AD8" s="242">
        <v>-17549.377080931634</v>
      </c>
      <c r="AE8" s="242">
        <v>-9833.9551496507338</v>
      </c>
      <c r="AF8" s="242">
        <v>-11949.586803748472</v>
      </c>
      <c r="AG8" s="242">
        <v>-9295.6807468390762</v>
      </c>
      <c r="AH8" s="242">
        <v>-6985.1929507697423</v>
      </c>
      <c r="AI8" s="242">
        <v>-6024.1497375396175</v>
      </c>
      <c r="AJ8" s="242">
        <v>-7171.676580258556</v>
      </c>
      <c r="AK8" s="242">
        <v>-5649.9971729961435</v>
      </c>
      <c r="AL8" s="242">
        <v>-13828.14284831467</v>
      </c>
      <c r="AM8" s="242">
        <v>-8378.1891591384629</v>
      </c>
      <c r="AN8" s="242">
        <v>-2524.7575511651521</v>
      </c>
      <c r="AO8" s="242">
        <v>-1258.7876684913208</v>
      </c>
      <c r="AP8" s="242">
        <v>4508.9823897982315</v>
      </c>
      <c r="AQ8" s="242">
        <v>11477.553820419316</v>
      </c>
      <c r="AR8" s="242">
        <v>12724.100136374364</v>
      </c>
      <c r="AS8" s="242">
        <v>18529.569351286853</v>
      </c>
      <c r="AT8" s="242">
        <v>15846.995742411105</v>
      </c>
      <c r="AU8" s="242">
        <v>19180.200210864721</v>
      </c>
      <c r="AV8" s="242">
        <v>11836.661329575683</v>
      </c>
      <c r="AW8" s="242">
        <v>13554.31922801208</v>
      </c>
      <c r="AX8" s="242">
        <v>3921.407654894454</v>
      </c>
      <c r="AY8" s="242">
        <v>7667.1597790952019</v>
      </c>
      <c r="BA8" s="158"/>
      <c r="BB8" s="158"/>
    </row>
    <row r="9" spans="1:54">
      <c r="B9" s="225">
        <v>10029</v>
      </c>
      <c r="C9" s="225" t="s">
        <v>12</v>
      </c>
      <c r="D9" s="242">
        <v>0</v>
      </c>
      <c r="E9" s="242">
        <v>0</v>
      </c>
      <c r="F9" s="242">
        <v>0</v>
      </c>
      <c r="G9" s="242">
        <v>0</v>
      </c>
      <c r="H9" s="242">
        <v>0</v>
      </c>
      <c r="I9" s="242">
        <v>0</v>
      </c>
      <c r="J9" s="242">
        <v>0</v>
      </c>
      <c r="K9" s="242">
        <v>0</v>
      </c>
      <c r="L9" s="242">
        <v>0</v>
      </c>
      <c r="M9" s="242">
        <v>0</v>
      </c>
      <c r="N9" s="242">
        <v>0</v>
      </c>
      <c r="O9" s="242">
        <v>0</v>
      </c>
      <c r="P9" s="242">
        <v>0</v>
      </c>
      <c r="Q9" s="242">
        <v>0</v>
      </c>
      <c r="R9" s="242">
        <v>0</v>
      </c>
      <c r="S9" s="242">
        <v>0</v>
      </c>
      <c r="T9" s="242">
        <v>0</v>
      </c>
      <c r="U9" s="242">
        <v>0</v>
      </c>
      <c r="V9" s="242">
        <v>0</v>
      </c>
      <c r="W9" s="242">
        <v>0</v>
      </c>
      <c r="X9" s="242">
        <v>0</v>
      </c>
      <c r="Y9" s="242">
        <v>0</v>
      </c>
      <c r="Z9" s="242">
        <v>0</v>
      </c>
      <c r="AA9" s="242">
        <v>0</v>
      </c>
      <c r="AB9" s="242">
        <v>0</v>
      </c>
      <c r="AC9" s="242">
        <v>0</v>
      </c>
      <c r="AD9" s="242">
        <v>0</v>
      </c>
      <c r="AE9" s="242">
        <v>0</v>
      </c>
      <c r="AF9" s="242">
        <v>0</v>
      </c>
      <c r="AG9" s="242">
        <v>0</v>
      </c>
      <c r="AH9" s="242">
        <v>0</v>
      </c>
      <c r="AI9" s="242">
        <v>0</v>
      </c>
      <c r="AJ9" s="242">
        <v>0</v>
      </c>
      <c r="AK9" s="242">
        <v>0</v>
      </c>
      <c r="AL9" s="242">
        <v>0</v>
      </c>
      <c r="AM9" s="242">
        <v>0</v>
      </c>
      <c r="AN9" s="242">
        <v>0</v>
      </c>
      <c r="AO9" s="242">
        <v>0</v>
      </c>
      <c r="AP9" s="242">
        <v>0</v>
      </c>
      <c r="AQ9" s="242">
        <v>0</v>
      </c>
      <c r="AR9" s="242">
        <v>0</v>
      </c>
      <c r="AS9" s="242">
        <v>0</v>
      </c>
      <c r="AT9" s="242">
        <v>0</v>
      </c>
      <c r="AU9" s="242">
        <v>0</v>
      </c>
      <c r="AV9" s="242">
        <v>0</v>
      </c>
      <c r="AW9" s="242">
        <v>0</v>
      </c>
      <c r="AX9" s="242">
        <v>0</v>
      </c>
      <c r="AY9" s="242">
        <v>0</v>
      </c>
      <c r="BA9" s="158"/>
      <c r="BB9" s="158"/>
    </row>
    <row r="10" spans="1:54">
      <c r="B10" s="225">
        <v>10044</v>
      </c>
      <c r="C10" s="225" t="s">
        <v>13</v>
      </c>
      <c r="D10" s="242">
        <v>964.96127822235576</v>
      </c>
      <c r="E10" s="242">
        <v>566.56048010533232</v>
      </c>
      <c r="F10" s="242">
        <v>-547.95751600056246</v>
      </c>
      <c r="G10" s="242">
        <v>-711.65194541285382</v>
      </c>
      <c r="H10" s="242">
        <v>2099.2463994622012</v>
      </c>
      <c r="I10" s="242">
        <v>371.9207264483457</v>
      </c>
      <c r="J10" s="242">
        <v>4191.5918682901311</v>
      </c>
      <c r="K10" s="242">
        <v>1112.7057581657882</v>
      </c>
      <c r="L10" s="242">
        <v>3481.8708791093804</v>
      </c>
      <c r="M10" s="242">
        <v>679.82611447600721</v>
      </c>
      <c r="N10" s="242">
        <v>1463.6314971532574</v>
      </c>
      <c r="O10" s="242">
        <v>482.05800526619623</v>
      </c>
      <c r="P10" s="242">
        <v>2876.1367242601782</v>
      </c>
      <c r="Q10" s="242">
        <v>826.98790085694964</v>
      </c>
      <c r="R10" s="242">
        <v>-1308.0834518290285</v>
      </c>
      <c r="S10" s="242">
        <v>-144.31508012972063</v>
      </c>
      <c r="T10" s="242">
        <v>-2420.8337642695024</v>
      </c>
      <c r="U10" s="242">
        <v>559.95130060537849</v>
      </c>
      <c r="V10" s="242">
        <v>236.79867813373858</v>
      </c>
      <c r="W10" s="242">
        <v>498.61944462181145</v>
      </c>
      <c r="X10" s="242">
        <v>765.73719988998891</v>
      </c>
      <c r="Y10" s="242">
        <v>626.58308342834061</v>
      </c>
      <c r="Z10" s="242">
        <v>-197.80907361333993</v>
      </c>
      <c r="AA10" s="242">
        <v>327.30930471759984</v>
      </c>
      <c r="AB10" s="242">
        <v>1450.4442782223578</v>
      </c>
      <c r="AC10" s="242">
        <v>305.02748010533196</v>
      </c>
      <c r="AD10" s="242">
        <v>-399.20451600056185</v>
      </c>
      <c r="AE10" s="242">
        <v>-635.16094541285383</v>
      </c>
      <c r="AF10" s="242">
        <v>2146.0183994622021</v>
      </c>
      <c r="AG10" s="242">
        <v>398.18672644834623</v>
      </c>
      <c r="AH10" s="242">
        <v>4243.0538682901306</v>
      </c>
      <c r="AI10" s="242">
        <v>1134.3357581657883</v>
      </c>
      <c r="AJ10" s="242">
        <v>3079.5898791093796</v>
      </c>
      <c r="AK10" s="242">
        <v>529.82711447600741</v>
      </c>
      <c r="AL10" s="242">
        <v>1499.375497153258</v>
      </c>
      <c r="AM10" s="242">
        <v>498.73900526619582</v>
      </c>
      <c r="AN10" s="242">
        <v>2953.22572426018</v>
      </c>
      <c r="AO10" s="242">
        <v>794.56890085695068</v>
      </c>
      <c r="AP10" s="242">
        <v>-1322.1354518290282</v>
      </c>
      <c r="AQ10" s="242">
        <v>-94.761080129721449</v>
      </c>
      <c r="AR10" s="242">
        <v>-2391.2877642695021</v>
      </c>
      <c r="AS10" s="242">
        <v>572.27130060537911</v>
      </c>
      <c r="AT10" s="242">
        <v>277.32567813373862</v>
      </c>
      <c r="AU10" s="242">
        <v>510.84044462181191</v>
      </c>
      <c r="AV10" s="242">
        <v>440.49119988998791</v>
      </c>
      <c r="AW10" s="242">
        <v>1005.6320834283415</v>
      </c>
      <c r="AX10" s="242">
        <v>153.82392638665988</v>
      </c>
      <c r="AY10" s="242">
        <v>14.433304717600549</v>
      </c>
      <c r="BA10" s="158"/>
      <c r="BB10" s="158"/>
    </row>
    <row r="11" spans="1:54">
      <c r="B11" s="225">
        <v>10046</v>
      </c>
      <c r="C11" s="225" t="s">
        <v>14</v>
      </c>
      <c r="D11" s="242">
        <v>0</v>
      </c>
      <c r="E11" s="242">
        <v>0</v>
      </c>
      <c r="F11" s="242">
        <v>0</v>
      </c>
      <c r="G11" s="242">
        <v>0</v>
      </c>
      <c r="H11" s="242">
        <v>0</v>
      </c>
      <c r="I11" s="242">
        <v>0</v>
      </c>
      <c r="J11" s="242">
        <v>0</v>
      </c>
      <c r="K11" s="242">
        <v>0</v>
      </c>
      <c r="L11" s="242">
        <v>0</v>
      </c>
      <c r="M11" s="242">
        <v>0</v>
      </c>
      <c r="N11" s="242">
        <v>0</v>
      </c>
      <c r="O11" s="242">
        <v>0</v>
      </c>
      <c r="P11" s="242">
        <v>0</v>
      </c>
      <c r="Q11" s="242">
        <v>0</v>
      </c>
      <c r="R11" s="242">
        <v>0</v>
      </c>
      <c r="S11" s="242">
        <v>0</v>
      </c>
      <c r="T11" s="242">
        <v>0</v>
      </c>
      <c r="U11" s="242">
        <v>0</v>
      </c>
      <c r="V11" s="242">
        <v>0</v>
      </c>
      <c r="W11" s="242">
        <v>0</v>
      </c>
      <c r="X11" s="242">
        <v>0</v>
      </c>
      <c r="Y11" s="242">
        <v>0</v>
      </c>
      <c r="Z11" s="242">
        <v>0</v>
      </c>
      <c r="AA11" s="242">
        <v>0</v>
      </c>
      <c r="AB11" s="242">
        <v>0</v>
      </c>
      <c r="AC11" s="242">
        <v>0</v>
      </c>
      <c r="AD11" s="242">
        <v>0</v>
      </c>
      <c r="AE11" s="242">
        <v>0</v>
      </c>
      <c r="AF11" s="242">
        <v>0</v>
      </c>
      <c r="AG11" s="242">
        <v>0</v>
      </c>
      <c r="AH11" s="242">
        <v>0</v>
      </c>
      <c r="AI11" s="242">
        <v>0</v>
      </c>
      <c r="AJ11" s="242">
        <v>0</v>
      </c>
      <c r="AK11" s="242">
        <v>0</v>
      </c>
      <c r="AL11" s="242">
        <v>0</v>
      </c>
      <c r="AM11" s="242">
        <v>0</v>
      </c>
      <c r="AN11" s="242">
        <v>0</v>
      </c>
      <c r="AO11" s="242">
        <v>0</v>
      </c>
      <c r="AP11" s="242">
        <v>0</v>
      </c>
      <c r="AQ11" s="242">
        <v>0</v>
      </c>
      <c r="AR11" s="242">
        <v>0</v>
      </c>
      <c r="AS11" s="242">
        <v>0</v>
      </c>
      <c r="AT11" s="242">
        <v>0</v>
      </c>
      <c r="AU11" s="242">
        <v>0</v>
      </c>
      <c r="AV11" s="242">
        <v>0</v>
      </c>
      <c r="AW11" s="242">
        <v>0</v>
      </c>
      <c r="AX11" s="242">
        <v>0</v>
      </c>
      <c r="AY11" s="242">
        <v>0</v>
      </c>
      <c r="BA11" s="158"/>
      <c r="BB11" s="158"/>
    </row>
    <row r="12" spans="1:54">
      <c r="B12" s="225">
        <v>10047</v>
      </c>
      <c r="C12" s="225" t="s">
        <v>15</v>
      </c>
      <c r="D12" s="242">
        <v>-1202.8794928787829</v>
      </c>
      <c r="E12" s="242">
        <v>8515.9098635991686</v>
      </c>
      <c r="F12" s="242">
        <v>-13988.281375876111</v>
      </c>
      <c r="G12" s="242">
        <v>-2669.0820779065325</v>
      </c>
      <c r="H12" s="242">
        <v>5503.7840353310748</v>
      </c>
      <c r="I12" s="242">
        <v>5673.4103753233503</v>
      </c>
      <c r="J12" s="242">
        <v>17245.782848547431</v>
      </c>
      <c r="K12" s="242">
        <v>9129.5374655804844</v>
      </c>
      <c r="L12" s="242">
        <v>15896.206636833354</v>
      </c>
      <c r="M12" s="242">
        <v>7443.6977565001944</v>
      </c>
      <c r="N12" s="242">
        <v>4294.4911061035964</v>
      </c>
      <c r="O12" s="242">
        <v>8615.1538200680588</v>
      </c>
      <c r="P12" s="242">
        <v>14161.424674552865</v>
      </c>
      <c r="Q12" s="242">
        <v>11675.655500348395</v>
      </c>
      <c r="R12" s="242">
        <v>-22205.449546367432</v>
      </c>
      <c r="S12" s="242">
        <v>1750.6189303084393</v>
      </c>
      <c r="T12" s="242">
        <v>-35175.298432900148</v>
      </c>
      <c r="U12" s="242">
        <v>2958.3391612054256</v>
      </c>
      <c r="V12" s="242">
        <v>-21433.744797766311</v>
      </c>
      <c r="W12" s="242">
        <v>1125.6150651280186</v>
      </c>
      <c r="X12" s="242">
        <v>-16586.312480204695</v>
      </c>
      <c r="Y12" s="242">
        <v>1565.1717045473706</v>
      </c>
      <c r="Z12" s="242">
        <v>-14283.930398016666</v>
      </c>
      <c r="AA12" s="242">
        <v>3875.3264500305231</v>
      </c>
      <c r="AB12" s="242">
        <v>1178.1925071212172</v>
      </c>
      <c r="AC12" s="242">
        <v>5992.007863599174</v>
      </c>
      <c r="AD12" s="242">
        <v>-14057.219375876106</v>
      </c>
      <c r="AE12" s="242">
        <v>-2730.6870779065357</v>
      </c>
      <c r="AF12" s="242">
        <v>5444.6180353310774</v>
      </c>
      <c r="AG12" s="242">
        <v>5625.0163753233501</v>
      </c>
      <c r="AH12" s="242">
        <v>17191.38484854743</v>
      </c>
      <c r="AI12" s="242">
        <v>9068.0714655804841</v>
      </c>
      <c r="AJ12" s="242">
        <v>13067.614636833358</v>
      </c>
      <c r="AK12" s="242">
        <v>6164.4997565001904</v>
      </c>
      <c r="AL12" s="242">
        <v>4220.4951061035827</v>
      </c>
      <c r="AM12" s="242">
        <v>8561.2588200680621</v>
      </c>
      <c r="AN12" s="242">
        <v>14160.939674552865</v>
      </c>
      <c r="AO12" s="242">
        <v>11543.029500348399</v>
      </c>
      <c r="AP12" s="242">
        <v>-22359.251546367428</v>
      </c>
      <c r="AQ12" s="242">
        <v>1744.3959303084412</v>
      </c>
      <c r="AR12" s="242">
        <v>-35265.269432900146</v>
      </c>
      <c r="AS12" s="242">
        <v>2892.401161205431</v>
      </c>
      <c r="AT12" s="242">
        <v>-21512.951797766313</v>
      </c>
      <c r="AU12" s="242">
        <v>1047.0440651280151</v>
      </c>
      <c r="AV12" s="242">
        <v>-18898.808480204694</v>
      </c>
      <c r="AW12" s="242">
        <v>3721.6117045473657</v>
      </c>
      <c r="AX12" s="242">
        <v>-12161.223398016671</v>
      </c>
      <c r="AY12" s="242">
        <v>1600.5944500305195</v>
      </c>
      <c r="BA12" s="158"/>
      <c r="BB12" s="158"/>
    </row>
    <row r="13" spans="1:54">
      <c r="B13" s="225">
        <v>10055</v>
      </c>
      <c r="C13" s="225" t="s">
        <v>16</v>
      </c>
      <c r="D13" s="242">
        <v>-12.438570919802174</v>
      </c>
      <c r="E13" s="242">
        <v>16.000233588768978</v>
      </c>
      <c r="F13" s="242">
        <v>-31.705107619330221</v>
      </c>
      <c r="G13" s="242">
        <v>3.9636531446555949</v>
      </c>
      <c r="H13" s="242">
        <v>68.421577707732581</v>
      </c>
      <c r="I13" s="242">
        <v>70.355510960633779</v>
      </c>
      <c r="J13" s="242">
        <v>98.918903498578999</v>
      </c>
      <c r="K13" s="242">
        <v>80.696902416826205</v>
      </c>
      <c r="L13" s="242">
        <v>74.096677138206815</v>
      </c>
      <c r="M13" s="242">
        <v>54.061696914512609</v>
      </c>
      <c r="N13" s="242">
        <v>11.851266226031413</v>
      </c>
      <c r="O13" s="242">
        <v>32.556873568974396</v>
      </c>
      <c r="P13" s="242">
        <v>23.044511126351409</v>
      </c>
      <c r="Q13" s="242">
        <v>24.407479365879183</v>
      </c>
      <c r="R13" s="242">
        <v>-71.943025620903796</v>
      </c>
      <c r="S13" s="242">
        <v>-7.6861185782941988</v>
      </c>
      <c r="T13" s="242">
        <v>-100.46441628874442</v>
      </c>
      <c r="U13" s="242">
        <v>-12.211799730817006</v>
      </c>
      <c r="V13" s="242">
        <v>-54.420137088653007</v>
      </c>
      <c r="W13" s="242">
        <v>-14.749046080645996</v>
      </c>
      <c r="X13" s="242">
        <v>-55.346616268369786</v>
      </c>
      <c r="Y13" s="242">
        <v>-20.225890084718401</v>
      </c>
      <c r="Z13" s="242">
        <v>-57.806233649220218</v>
      </c>
      <c r="AA13" s="242">
        <v>-16.6826264522158</v>
      </c>
      <c r="AB13" s="242">
        <v>-6.6335709198021959</v>
      </c>
      <c r="AC13" s="242">
        <v>10.195233588768986</v>
      </c>
      <c r="AD13" s="242">
        <v>-31.705107619330221</v>
      </c>
      <c r="AE13" s="242">
        <v>3.9636531446555949</v>
      </c>
      <c r="AF13" s="242">
        <v>68.421577707732581</v>
      </c>
      <c r="AG13" s="242">
        <v>70.355510960633779</v>
      </c>
      <c r="AH13" s="242">
        <v>98.918903498578999</v>
      </c>
      <c r="AI13" s="242">
        <v>80.696902416826205</v>
      </c>
      <c r="AJ13" s="242">
        <v>65.870677138206815</v>
      </c>
      <c r="AK13" s="242">
        <v>50.120696914512607</v>
      </c>
      <c r="AL13" s="242">
        <v>11.851266226031413</v>
      </c>
      <c r="AM13" s="242">
        <v>32.556873568974396</v>
      </c>
      <c r="AN13" s="242">
        <v>23.044511126351409</v>
      </c>
      <c r="AO13" s="242">
        <v>24.407479365879183</v>
      </c>
      <c r="AP13" s="242">
        <v>-71.943025620903796</v>
      </c>
      <c r="AQ13" s="242">
        <v>-7.6861185782941988</v>
      </c>
      <c r="AR13" s="242">
        <v>-100.46441628874442</v>
      </c>
      <c r="AS13" s="242">
        <v>-12.211799730817006</v>
      </c>
      <c r="AT13" s="242">
        <v>-54.420137088653007</v>
      </c>
      <c r="AU13" s="242">
        <v>-14.749046080645996</v>
      </c>
      <c r="AV13" s="242">
        <v>-60.05761626836977</v>
      </c>
      <c r="AW13" s="242">
        <v>-15.515890084718393</v>
      </c>
      <c r="AX13" s="242">
        <v>-53.415233649220227</v>
      </c>
      <c r="AY13" s="242">
        <v>-21.073626452215805</v>
      </c>
      <c r="BA13" s="158"/>
      <c r="BB13" s="158"/>
    </row>
    <row r="14" spans="1:54">
      <c r="B14" s="225">
        <v>10057</v>
      </c>
      <c r="C14" s="225" t="s">
        <v>17</v>
      </c>
      <c r="D14" s="242">
        <v>-434.33445045357075</v>
      </c>
      <c r="E14" s="242">
        <v>-100.08302687702871</v>
      </c>
      <c r="F14" s="242">
        <v>-1275.0916087652804</v>
      </c>
      <c r="G14" s="242">
        <v>-1013.500158951033</v>
      </c>
      <c r="H14" s="242">
        <v>1634.1457896189768</v>
      </c>
      <c r="I14" s="242">
        <v>267.8982518202738</v>
      </c>
      <c r="J14" s="242">
        <v>3299.0864828845069</v>
      </c>
      <c r="K14" s="242">
        <v>762.96320969603585</v>
      </c>
      <c r="L14" s="242">
        <v>2766.265113220541</v>
      </c>
      <c r="M14" s="242">
        <v>461.59375585630642</v>
      </c>
      <c r="N14" s="242">
        <v>617.25388416087844</v>
      </c>
      <c r="O14" s="242">
        <v>147.42187378433846</v>
      </c>
      <c r="P14" s="242">
        <v>1589.6391541503981</v>
      </c>
      <c r="Q14" s="242">
        <v>284.93977857408117</v>
      </c>
      <c r="R14" s="242">
        <v>-2594.8474676636197</v>
      </c>
      <c r="S14" s="242">
        <v>-566.89523815733355</v>
      </c>
      <c r="T14" s="242">
        <v>-3780.1542599759341</v>
      </c>
      <c r="U14" s="242">
        <v>-137.77825038589981</v>
      </c>
      <c r="V14" s="242">
        <v>-349.54319011864391</v>
      </c>
      <c r="W14" s="242">
        <v>185.35618710021936</v>
      </c>
      <c r="X14" s="242">
        <v>71.755505634329893</v>
      </c>
      <c r="Y14" s="242">
        <v>119.71656636127773</v>
      </c>
      <c r="Z14" s="242">
        <v>-1137.3398805566949</v>
      </c>
      <c r="AA14" s="242">
        <v>-181.23012201065103</v>
      </c>
      <c r="AB14" s="242">
        <v>-126.18245045357071</v>
      </c>
      <c r="AC14" s="242">
        <v>-408.23502687702876</v>
      </c>
      <c r="AD14" s="242">
        <v>-1275.0916087652804</v>
      </c>
      <c r="AE14" s="242">
        <v>-1013.500158951033</v>
      </c>
      <c r="AF14" s="242">
        <v>1634.1457896189768</v>
      </c>
      <c r="AG14" s="242">
        <v>267.8982518202738</v>
      </c>
      <c r="AH14" s="242">
        <v>3299.0864828845069</v>
      </c>
      <c r="AI14" s="242">
        <v>762.96320969603585</v>
      </c>
      <c r="AJ14" s="242">
        <v>2384.4431132205409</v>
      </c>
      <c r="AK14" s="242">
        <v>329.29375585630623</v>
      </c>
      <c r="AL14" s="242">
        <v>617.25388416087844</v>
      </c>
      <c r="AM14" s="242">
        <v>147.42187378433846</v>
      </c>
      <c r="AN14" s="242">
        <v>1589.6391541503981</v>
      </c>
      <c r="AO14" s="242">
        <v>284.93977857408117</v>
      </c>
      <c r="AP14" s="242">
        <v>-2594.8474676636197</v>
      </c>
      <c r="AQ14" s="242">
        <v>-566.89523815733355</v>
      </c>
      <c r="AR14" s="242">
        <v>-3780.1542599759341</v>
      </c>
      <c r="AS14" s="242">
        <v>-137.77825038589981</v>
      </c>
      <c r="AT14" s="242">
        <v>-349.54319011864391</v>
      </c>
      <c r="AU14" s="242">
        <v>185.35618710021936</v>
      </c>
      <c r="AV14" s="242">
        <v>-291.89849436567056</v>
      </c>
      <c r="AW14" s="242">
        <v>482.37056636127818</v>
      </c>
      <c r="AX14" s="242">
        <v>-827.67388055669562</v>
      </c>
      <c r="AY14" s="242">
        <v>-490.8961220106512</v>
      </c>
      <c r="BA14" s="158"/>
      <c r="BB14" s="158"/>
    </row>
    <row r="15" spans="1:54">
      <c r="B15" s="225">
        <v>10059</v>
      </c>
      <c r="C15" s="225" t="s">
        <v>18</v>
      </c>
      <c r="D15" s="242">
        <v>94.046170851950592</v>
      </c>
      <c r="E15" s="242">
        <v>183.52378320871321</v>
      </c>
      <c r="F15" s="242">
        <v>-283.09529098988423</v>
      </c>
      <c r="G15" s="242">
        <v>-129.33022328769584</v>
      </c>
      <c r="H15" s="242">
        <v>727.15186181656691</v>
      </c>
      <c r="I15" s="242">
        <v>352.4524256403829</v>
      </c>
      <c r="J15" s="242">
        <v>1672.5902112484564</v>
      </c>
      <c r="K15" s="242">
        <v>766.18250078512256</v>
      </c>
      <c r="L15" s="242">
        <v>1700.2392953971344</v>
      </c>
      <c r="M15" s="242">
        <v>692.05949029128169</v>
      </c>
      <c r="N15" s="242">
        <v>585.56448185635099</v>
      </c>
      <c r="O15" s="242">
        <v>435.86944219077327</v>
      </c>
      <c r="P15" s="242">
        <v>1082.8838437123109</v>
      </c>
      <c r="Q15" s="242">
        <v>581.78335337006274</v>
      </c>
      <c r="R15" s="242">
        <v>-816.78015450587964</v>
      </c>
      <c r="S15" s="242">
        <v>29.028206274098693</v>
      </c>
      <c r="T15" s="242">
        <v>-1563.7795319066454</v>
      </c>
      <c r="U15" s="242">
        <v>-9.7059498018572867</v>
      </c>
      <c r="V15" s="242">
        <v>-1042.44053171624</v>
      </c>
      <c r="W15" s="242">
        <v>-231.04852917437529</v>
      </c>
      <c r="X15" s="242">
        <v>-853.8468265513402</v>
      </c>
      <c r="Y15" s="242">
        <v>-249.3635621390049</v>
      </c>
      <c r="Z15" s="242">
        <v>-660.58125777236683</v>
      </c>
      <c r="AA15" s="242">
        <v>-98.442028960315611</v>
      </c>
      <c r="AB15" s="242">
        <v>221.44917085195038</v>
      </c>
      <c r="AC15" s="242">
        <v>56.121783208713168</v>
      </c>
      <c r="AD15" s="242">
        <v>-283.09529098988423</v>
      </c>
      <c r="AE15" s="242">
        <v>-129.33022328769584</v>
      </c>
      <c r="AF15" s="242">
        <v>727.15186181656691</v>
      </c>
      <c r="AG15" s="242">
        <v>352.4524256403829</v>
      </c>
      <c r="AH15" s="242">
        <v>1672.5902112484564</v>
      </c>
      <c r="AI15" s="242">
        <v>766.18250078512256</v>
      </c>
      <c r="AJ15" s="242">
        <v>1529.6672953971338</v>
      </c>
      <c r="AK15" s="242">
        <v>629.45249029128172</v>
      </c>
      <c r="AL15" s="242">
        <v>585.56448185635099</v>
      </c>
      <c r="AM15" s="242">
        <v>435.86944219077327</v>
      </c>
      <c r="AN15" s="242">
        <v>1082.8838437123109</v>
      </c>
      <c r="AO15" s="242">
        <v>581.78335337006274</v>
      </c>
      <c r="AP15" s="242">
        <v>-816.78015450587964</v>
      </c>
      <c r="AQ15" s="242">
        <v>29.028206274098693</v>
      </c>
      <c r="AR15" s="242">
        <v>-1563.7795319066454</v>
      </c>
      <c r="AS15" s="242">
        <v>-9.7059498018572867</v>
      </c>
      <c r="AT15" s="242">
        <v>-1042.44053171624</v>
      </c>
      <c r="AU15" s="242">
        <v>-231.04852917437529</v>
      </c>
      <c r="AV15" s="242">
        <v>-961.53982655133996</v>
      </c>
      <c r="AW15" s="242">
        <v>-141.66956213900471</v>
      </c>
      <c r="AX15" s="242">
        <v>-551.15425777236669</v>
      </c>
      <c r="AY15" s="242">
        <v>-207.86902896031575</v>
      </c>
      <c r="BA15" s="158"/>
      <c r="BB15" s="158"/>
    </row>
    <row r="16" spans="1:54">
      <c r="B16" s="225">
        <v>10061</v>
      </c>
      <c r="C16" s="225" t="s">
        <v>19</v>
      </c>
      <c r="D16" s="242">
        <v>136.10825737278356</v>
      </c>
      <c r="E16" s="242">
        <v>294.5583475122412</v>
      </c>
      <c r="F16" s="242">
        <v>-186.11409373298648</v>
      </c>
      <c r="G16" s="242">
        <v>-76.051407452908279</v>
      </c>
      <c r="H16" s="242">
        <v>467.57161686217751</v>
      </c>
      <c r="I16" s="242">
        <v>129.2267114316478</v>
      </c>
      <c r="J16" s="242">
        <v>1676.4525103367041</v>
      </c>
      <c r="K16" s="242">
        <v>655.21463374537643</v>
      </c>
      <c r="L16" s="242">
        <v>1384.0542843203743</v>
      </c>
      <c r="M16" s="242">
        <v>515.19956256425257</v>
      </c>
      <c r="N16" s="242">
        <v>396.86908725070771</v>
      </c>
      <c r="O16" s="242">
        <v>379.58730346054563</v>
      </c>
      <c r="P16" s="242">
        <v>889.4630661345077</v>
      </c>
      <c r="Q16" s="242">
        <v>439.16043075605262</v>
      </c>
      <c r="R16" s="242">
        <v>-916.6964314093857</v>
      </c>
      <c r="S16" s="242">
        <v>-6.7551588513715615</v>
      </c>
      <c r="T16" s="242">
        <v>-1687.8554126526587</v>
      </c>
      <c r="U16" s="242">
        <v>104.60480555643858</v>
      </c>
      <c r="V16" s="242">
        <v>-745.95073553717657</v>
      </c>
      <c r="W16" s="242">
        <v>36.800442005672267</v>
      </c>
      <c r="X16" s="242">
        <v>-698.53246185063836</v>
      </c>
      <c r="Y16" s="242">
        <v>-70.790384218506006</v>
      </c>
      <c r="Z16" s="242">
        <v>-522.39486479714969</v>
      </c>
      <c r="AA16" s="242">
        <v>103.08038544203418</v>
      </c>
      <c r="AB16" s="242">
        <v>342.31325737278348</v>
      </c>
      <c r="AC16" s="242">
        <v>161.64034751224108</v>
      </c>
      <c r="AD16" s="242">
        <v>-140.93509373298639</v>
      </c>
      <c r="AE16" s="242">
        <v>-47.121407452908443</v>
      </c>
      <c r="AF16" s="242">
        <v>510.2466168621786</v>
      </c>
      <c r="AG16" s="242">
        <v>159.11271143164777</v>
      </c>
      <c r="AH16" s="242">
        <v>1698.054510336704</v>
      </c>
      <c r="AI16" s="242">
        <v>668.38563374537671</v>
      </c>
      <c r="AJ16" s="242">
        <v>1368.4372843203751</v>
      </c>
      <c r="AK16" s="242">
        <v>548.80056256425269</v>
      </c>
      <c r="AL16" s="242">
        <v>415.90108725070741</v>
      </c>
      <c r="AM16" s="242">
        <v>392.01930346054587</v>
      </c>
      <c r="AN16" s="242">
        <v>926.01806613450708</v>
      </c>
      <c r="AO16" s="242">
        <v>432.47643075605288</v>
      </c>
      <c r="AP16" s="242">
        <v>-917.61643140938577</v>
      </c>
      <c r="AQ16" s="242">
        <v>20.580841148628224</v>
      </c>
      <c r="AR16" s="242">
        <v>-1674.2434126526587</v>
      </c>
      <c r="AS16" s="242">
        <v>113.21080555643834</v>
      </c>
      <c r="AT16" s="242">
        <v>-731.15873553717665</v>
      </c>
      <c r="AU16" s="242">
        <v>45.338442005672277</v>
      </c>
      <c r="AV16" s="242">
        <v>-832.71146185063844</v>
      </c>
      <c r="AW16" s="242">
        <v>83.341615781494056</v>
      </c>
      <c r="AX16" s="242">
        <v>-364.25886479714973</v>
      </c>
      <c r="AY16" s="242">
        <v>-38.823614557965811</v>
      </c>
      <c r="BA16" s="158"/>
      <c r="BB16" s="158"/>
    </row>
    <row r="17" spans="2:54">
      <c r="B17" s="225">
        <v>10062</v>
      </c>
      <c r="C17" s="225" t="s">
        <v>20</v>
      </c>
      <c r="D17" s="242">
        <v>588.27877275186211</v>
      </c>
      <c r="E17" s="242">
        <v>-98.239646470553453</v>
      </c>
      <c r="F17" s="242">
        <v>291.91369753759727</v>
      </c>
      <c r="G17" s="242">
        <v>-126.19327750789694</v>
      </c>
      <c r="H17" s="242">
        <v>1583.0060554869538</v>
      </c>
      <c r="I17" s="242">
        <v>506.95894424732955</v>
      </c>
      <c r="J17" s="242">
        <v>2230.1711509774777</v>
      </c>
      <c r="K17" s="242">
        <v>919.68033511265071</v>
      </c>
      <c r="L17" s="242">
        <v>1860.8440003634284</v>
      </c>
      <c r="M17" s="242">
        <v>678.34418645409369</v>
      </c>
      <c r="N17" s="242">
        <v>863.36667591217883</v>
      </c>
      <c r="O17" s="242">
        <v>89.592226456587241</v>
      </c>
      <c r="P17" s="242">
        <v>319.26837199233819</v>
      </c>
      <c r="Q17" s="242">
        <v>-279.41389612801072</v>
      </c>
      <c r="R17" s="242">
        <v>-1796.7865265543396</v>
      </c>
      <c r="S17" s="242">
        <v>-1455.8412360491347</v>
      </c>
      <c r="T17" s="242">
        <v>-1993.8270700120975</v>
      </c>
      <c r="U17" s="242">
        <v>-1396.6428715824711</v>
      </c>
      <c r="V17" s="242">
        <v>-1024.0595683541392</v>
      </c>
      <c r="W17" s="242">
        <v>-999.90838843869801</v>
      </c>
      <c r="X17" s="242">
        <v>-96.955194562697216</v>
      </c>
      <c r="Y17" s="242">
        <v>-347.00668106045896</v>
      </c>
      <c r="Z17" s="242">
        <v>-127.56373731547274</v>
      </c>
      <c r="AA17" s="242">
        <v>-405.29229510299524</v>
      </c>
      <c r="AB17" s="242">
        <v>573.5007727518614</v>
      </c>
      <c r="AC17" s="242">
        <v>-84.014646470553316</v>
      </c>
      <c r="AD17" s="242">
        <v>292.12169753759736</v>
      </c>
      <c r="AE17" s="242">
        <v>-133.35827750789713</v>
      </c>
      <c r="AF17" s="242">
        <v>1572.0880554869532</v>
      </c>
      <c r="AG17" s="242">
        <v>493.74594424732936</v>
      </c>
      <c r="AH17" s="242">
        <v>2223.9471509774776</v>
      </c>
      <c r="AI17" s="242">
        <v>906.8933351126509</v>
      </c>
      <c r="AJ17" s="242">
        <v>1710.9600003634289</v>
      </c>
      <c r="AK17" s="242">
        <v>583.24618645409373</v>
      </c>
      <c r="AL17" s="242">
        <v>862.8766759121786</v>
      </c>
      <c r="AM17" s="242">
        <v>83.153226456587163</v>
      </c>
      <c r="AN17" s="242">
        <v>358.35137199233873</v>
      </c>
      <c r="AO17" s="242">
        <v>-319.15389612801073</v>
      </c>
      <c r="AP17" s="242">
        <v>-1823.4745265543397</v>
      </c>
      <c r="AQ17" s="242">
        <v>-1427.3442360491347</v>
      </c>
      <c r="AR17" s="242">
        <v>-1984.5440700120971</v>
      </c>
      <c r="AS17" s="242">
        <v>-1400.7778715824713</v>
      </c>
      <c r="AT17" s="242">
        <v>-1014.3495683541391</v>
      </c>
      <c r="AU17" s="242">
        <v>-1006.640388438698</v>
      </c>
      <c r="AV17" s="242">
        <v>-70.148194562696972</v>
      </c>
      <c r="AW17" s="242">
        <v>-370.22568106045901</v>
      </c>
      <c r="AX17" s="242">
        <v>-133.48873731547292</v>
      </c>
      <c r="AY17" s="242">
        <v>-395.52029510299531</v>
      </c>
      <c r="BA17" s="158"/>
      <c r="BB17" s="158"/>
    </row>
    <row r="18" spans="2:54">
      <c r="B18" s="225">
        <v>10064</v>
      </c>
      <c r="C18" s="225" t="s">
        <v>21</v>
      </c>
      <c r="D18" s="242">
        <v>1166.6151091510983</v>
      </c>
      <c r="E18" s="242">
        <v>1013.9100144573108</v>
      </c>
      <c r="F18" s="242">
        <v>82.678398321665554</v>
      </c>
      <c r="G18" s="242">
        <v>212.76306388113699</v>
      </c>
      <c r="H18" s="242">
        <v>2341.1140596226996</v>
      </c>
      <c r="I18" s="242">
        <v>1341.9225891701817</v>
      </c>
      <c r="J18" s="242">
        <v>3694.5678192867008</v>
      </c>
      <c r="K18" s="242">
        <v>2006.3919158395579</v>
      </c>
      <c r="L18" s="242">
        <v>3328.3699536959693</v>
      </c>
      <c r="M18" s="242">
        <v>1571.081063385519</v>
      </c>
      <c r="N18" s="242">
        <v>1617.028947088018</v>
      </c>
      <c r="O18" s="242">
        <v>1083.7806205668339</v>
      </c>
      <c r="P18" s="242">
        <v>2428.0311694900965</v>
      </c>
      <c r="Q18" s="242">
        <v>1183.3672252674646</v>
      </c>
      <c r="R18" s="242">
        <v>-316.64538699631248</v>
      </c>
      <c r="S18" s="242">
        <v>708.37379857215001</v>
      </c>
      <c r="T18" s="242">
        <v>-1054.619189373464</v>
      </c>
      <c r="U18" s="242">
        <v>735.59895134937688</v>
      </c>
      <c r="V18" s="242">
        <v>946.66023003969349</v>
      </c>
      <c r="W18" s="242">
        <v>1042.0978125139259</v>
      </c>
      <c r="X18" s="242">
        <v>1184.4398695020336</v>
      </c>
      <c r="Y18" s="242">
        <v>888.83203027083073</v>
      </c>
      <c r="Z18" s="242">
        <v>380.55636638675605</v>
      </c>
      <c r="AA18" s="242">
        <v>653.15314109516021</v>
      </c>
      <c r="AB18" s="242">
        <v>1734.7131091510983</v>
      </c>
      <c r="AC18" s="242">
        <v>1038.0370144573112</v>
      </c>
      <c r="AD18" s="242">
        <v>445.0823983216651</v>
      </c>
      <c r="AE18" s="242">
        <v>454.7750638811367</v>
      </c>
      <c r="AF18" s="242">
        <v>2759.0600596226996</v>
      </c>
      <c r="AG18" s="242">
        <v>1617.9075891701814</v>
      </c>
      <c r="AH18" s="242">
        <v>4102.4718192867012</v>
      </c>
      <c r="AI18" s="242">
        <v>2310.2959158395574</v>
      </c>
      <c r="AJ18" s="242">
        <v>3423.31495369597</v>
      </c>
      <c r="AK18" s="242">
        <v>1701.9190633855196</v>
      </c>
      <c r="AL18" s="242">
        <v>2031.4059470880175</v>
      </c>
      <c r="AM18" s="242">
        <v>1340.2516205668335</v>
      </c>
      <c r="AN18" s="242">
        <v>2861.2221694900963</v>
      </c>
      <c r="AO18" s="242">
        <v>1441.3152252674645</v>
      </c>
      <c r="AP18" s="242">
        <v>136.16561300368721</v>
      </c>
      <c r="AQ18" s="242">
        <v>1023.4037985721498</v>
      </c>
      <c r="AR18" s="242">
        <v>-650.85918937346469</v>
      </c>
      <c r="AS18" s="242">
        <v>952.27695134937676</v>
      </c>
      <c r="AT18" s="242">
        <v>1391.345230039693</v>
      </c>
      <c r="AU18" s="242">
        <v>1310.5278125139262</v>
      </c>
      <c r="AV18" s="242">
        <v>1386.9588695020338</v>
      </c>
      <c r="AW18" s="242">
        <v>1358.5370302708307</v>
      </c>
      <c r="AX18" s="242">
        <v>988.55736638675535</v>
      </c>
      <c r="AY18" s="242">
        <v>714.99714109516026</v>
      </c>
      <c r="BA18" s="158"/>
      <c r="BB18" s="158"/>
    </row>
    <row r="19" spans="2:54">
      <c r="B19" s="225">
        <v>10065</v>
      </c>
      <c r="C19" s="225" t="s">
        <v>22</v>
      </c>
      <c r="D19" s="242">
        <v>-108.97808206910292</v>
      </c>
      <c r="E19" s="242">
        <v>-3.0372704017993328</v>
      </c>
      <c r="F19" s="242">
        <v>-276.04913892603713</v>
      </c>
      <c r="G19" s="242">
        <v>-151.00835081905063</v>
      </c>
      <c r="H19" s="242">
        <v>99.493049897049104</v>
      </c>
      <c r="I19" s="242">
        <v>48.955935114280123</v>
      </c>
      <c r="J19" s="242">
        <v>682.88710652431826</v>
      </c>
      <c r="K19" s="242">
        <v>321.99151318697488</v>
      </c>
      <c r="L19" s="242">
        <v>658.89443603606821</v>
      </c>
      <c r="M19" s="242">
        <v>365.45352572901402</v>
      </c>
      <c r="N19" s="242">
        <v>334.59072408341797</v>
      </c>
      <c r="O19" s="242">
        <v>330.53178245875313</v>
      </c>
      <c r="P19" s="242">
        <v>384.99849993337807</v>
      </c>
      <c r="Q19" s="242">
        <v>266.35861706545251</v>
      </c>
      <c r="R19" s="242">
        <v>-149.06844727940279</v>
      </c>
      <c r="S19" s="242">
        <v>32.573577565396022</v>
      </c>
      <c r="T19" s="242">
        <v>-447.48051178050093</v>
      </c>
      <c r="U19" s="242">
        <v>87.057496997055296</v>
      </c>
      <c r="V19" s="242">
        <v>-289.68074570477779</v>
      </c>
      <c r="W19" s="242">
        <v>-103.32837438570039</v>
      </c>
      <c r="X19" s="242">
        <v>-266.14075704893799</v>
      </c>
      <c r="Y19" s="242">
        <v>-24.968716161785096</v>
      </c>
      <c r="Z19" s="242">
        <v>-326.18193740589459</v>
      </c>
      <c r="AA19" s="242">
        <v>-96.799895859238632</v>
      </c>
      <c r="AB19" s="242">
        <v>-73.851082069102858</v>
      </c>
      <c r="AC19" s="242">
        <v>-43.387270401799356</v>
      </c>
      <c r="AD19" s="242">
        <v>-278.49213892603711</v>
      </c>
      <c r="AE19" s="242">
        <v>-152.62235081905067</v>
      </c>
      <c r="AF19" s="242">
        <v>97.841049897049061</v>
      </c>
      <c r="AG19" s="242">
        <v>47.936935114280004</v>
      </c>
      <c r="AH19" s="242">
        <v>683.4181065243182</v>
      </c>
      <c r="AI19" s="242">
        <v>321.86251318697475</v>
      </c>
      <c r="AJ19" s="242">
        <v>596.30543603606827</v>
      </c>
      <c r="AK19" s="242">
        <v>336.675525729014</v>
      </c>
      <c r="AL19" s="242">
        <v>315.94972408341812</v>
      </c>
      <c r="AM19" s="242">
        <v>318.73778245875314</v>
      </c>
      <c r="AN19" s="242">
        <v>417.96649993337792</v>
      </c>
      <c r="AO19" s="242">
        <v>232.50261706545251</v>
      </c>
      <c r="AP19" s="242">
        <v>-183.91144727940286</v>
      </c>
      <c r="AQ19" s="242">
        <v>65.410577565396011</v>
      </c>
      <c r="AR19" s="242">
        <v>-449.64851178050094</v>
      </c>
      <c r="AS19" s="242">
        <v>86.311496997055201</v>
      </c>
      <c r="AT19" s="242">
        <v>-291.66274570477776</v>
      </c>
      <c r="AU19" s="242">
        <v>-105.04737438570066</v>
      </c>
      <c r="AV19" s="242">
        <v>-307.03875704893801</v>
      </c>
      <c r="AW19" s="242">
        <v>12.289283838214715</v>
      </c>
      <c r="AX19" s="242">
        <v>-295.49093740589456</v>
      </c>
      <c r="AY19" s="242">
        <v>-131.40989585923876</v>
      </c>
      <c r="BA19" s="158"/>
      <c r="BB19" s="158"/>
    </row>
    <row r="20" spans="2:54">
      <c r="B20" s="225">
        <v>10066</v>
      </c>
      <c r="C20" s="225" t="s">
        <v>23</v>
      </c>
      <c r="D20" s="242">
        <v>-1328.614281938464</v>
      </c>
      <c r="E20" s="242">
        <v>-1342.2762865567265</v>
      </c>
      <c r="F20" s="242">
        <v>-721.54857810408612</v>
      </c>
      <c r="G20" s="242">
        <v>-1162.1052842638128</v>
      </c>
      <c r="H20" s="242">
        <v>3832.7138018999322</v>
      </c>
      <c r="I20" s="242">
        <v>1506.1382850397749</v>
      </c>
      <c r="J20" s="242">
        <v>7296.3842103536535</v>
      </c>
      <c r="K20" s="242">
        <v>2867.9287204026396</v>
      </c>
      <c r="L20" s="242">
        <v>5929.3427211288235</v>
      </c>
      <c r="M20" s="242">
        <v>2105.3558744977745</v>
      </c>
      <c r="N20" s="242">
        <v>2112.4715597988852</v>
      </c>
      <c r="O20" s="242">
        <v>1016.0185881894968</v>
      </c>
      <c r="P20" s="242">
        <v>2738.2429228395622</v>
      </c>
      <c r="Q20" s="242">
        <v>518.14834290045565</v>
      </c>
      <c r="R20" s="242">
        <v>-3070.9586563883167</v>
      </c>
      <c r="S20" s="242">
        <v>-1375.2739348501973</v>
      </c>
      <c r="T20" s="242">
        <v>-5486.9227757816643</v>
      </c>
      <c r="U20" s="242">
        <v>-1363.9706427486271</v>
      </c>
      <c r="V20" s="242">
        <v>-3719.5614930257143</v>
      </c>
      <c r="W20" s="242">
        <v>-2255.978018243216</v>
      </c>
      <c r="X20" s="242">
        <v>-3560.5348653150868</v>
      </c>
      <c r="Y20" s="242">
        <v>-2477.1005189959506</v>
      </c>
      <c r="Z20" s="242">
        <v>-3186.8808820358845</v>
      </c>
      <c r="AA20" s="242">
        <v>-2205.3936444901037</v>
      </c>
      <c r="AB20" s="242">
        <v>-612.69628193846256</v>
      </c>
      <c r="AC20" s="242">
        <v>-1443.5152865567261</v>
      </c>
      <c r="AD20" s="242">
        <v>-456.76757810408708</v>
      </c>
      <c r="AE20" s="242">
        <v>-982.49228426381342</v>
      </c>
      <c r="AF20" s="242">
        <v>4008.4618018999317</v>
      </c>
      <c r="AG20" s="242">
        <v>1631.960285039775</v>
      </c>
      <c r="AH20" s="242">
        <v>7383.677210353655</v>
      </c>
      <c r="AI20" s="242">
        <v>2927.6877204026396</v>
      </c>
      <c r="AJ20" s="242">
        <v>5328.1147211288226</v>
      </c>
      <c r="AK20" s="242">
        <v>1877.4848744977753</v>
      </c>
      <c r="AL20" s="242">
        <v>2107.5245597988851</v>
      </c>
      <c r="AM20" s="242">
        <v>1012.8655881894965</v>
      </c>
      <c r="AN20" s="242">
        <v>2771.1229228395632</v>
      </c>
      <c r="AO20" s="242">
        <v>477.17134290045487</v>
      </c>
      <c r="AP20" s="242">
        <v>-3114.1106563883186</v>
      </c>
      <c r="AQ20" s="242">
        <v>-1340.2229348501969</v>
      </c>
      <c r="AR20" s="242">
        <v>-5492.0107757816641</v>
      </c>
      <c r="AS20" s="242">
        <v>-1366.9986427486274</v>
      </c>
      <c r="AT20" s="242">
        <v>-3724.7314930257144</v>
      </c>
      <c r="AU20" s="242">
        <v>-2258.9250182432161</v>
      </c>
      <c r="AV20" s="242">
        <v>-3844.4788653150863</v>
      </c>
      <c r="AW20" s="242">
        <v>-2201.2765189959509</v>
      </c>
      <c r="AX20" s="242">
        <v>-2919.815882035884</v>
      </c>
      <c r="AY20" s="242">
        <v>-2480.5886444901053</v>
      </c>
      <c r="BA20" s="158"/>
      <c r="BB20" s="158"/>
    </row>
    <row r="21" spans="2:54">
      <c r="B21" s="225">
        <v>10067</v>
      </c>
      <c r="C21" s="225" t="s">
        <v>24</v>
      </c>
      <c r="D21" s="242">
        <v>21.448965493386822</v>
      </c>
      <c r="E21" s="242">
        <v>-24.411883118354581</v>
      </c>
      <c r="F21" s="242">
        <v>-1037.4735930102106</v>
      </c>
      <c r="G21" s="242">
        <v>-439.42356181915602</v>
      </c>
      <c r="H21" s="242">
        <v>1070.6598466272953</v>
      </c>
      <c r="I21" s="242">
        <v>384.89566400048807</v>
      </c>
      <c r="J21" s="242">
        <v>2796.1547314914405</v>
      </c>
      <c r="K21" s="242">
        <v>1439.633507680981</v>
      </c>
      <c r="L21" s="242">
        <v>2422.1604654992134</v>
      </c>
      <c r="M21" s="242">
        <v>1070.8048040625058</v>
      </c>
      <c r="N21" s="242">
        <v>684.29044491250261</v>
      </c>
      <c r="O21" s="242">
        <v>311.37062801044067</v>
      </c>
      <c r="P21" s="242">
        <v>1331.3559259007425</v>
      </c>
      <c r="Q21" s="242">
        <v>634.58805822156364</v>
      </c>
      <c r="R21" s="242">
        <v>-1759.1405281152547</v>
      </c>
      <c r="S21" s="242">
        <v>-232.08540056140691</v>
      </c>
      <c r="T21" s="242">
        <v>-2866.0601383604562</v>
      </c>
      <c r="U21" s="242">
        <v>-282.75417441638228</v>
      </c>
      <c r="V21" s="242">
        <v>-1563.8119867227833</v>
      </c>
      <c r="W21" s="242">
        <v>-33.982893819696983</v>
      </c>
      <c r="X21" s="242">
        <v>-1150.8674524449407</v>
      </c>
      <c r="Y21" s="242">
        <v>-210.52612432184878</v>
      </c>
      <c r="Z21" s="242">
        <v>-1084.0234490695648</v>
      </c>
      <c r="AA21" s="242">
        <v>-410.96683559703797</v>
      </c>
      <c r="AB21" s="242">
        <v>191.02796549338746</v>
      </c>
      <c r="AC21" s="242">
        <v>67.864116881644804</v>
      </c>
      <c r="AD21" s="242">
        <v>-881.97559301021101</v>
      </c>
      <c r="AE21" s="242">
        <v>-345.81056181915665</v>
      </c>
      <c r="AF21" s="242">
        <v>1219.9108466272955</v>
      </c>
      <c r="AG21" s="242">
        <v>478.61566400048832</v>
      </c>
      <c r="AH21" s="242">
        <v>2948.2917314914412</v>
      </c>
      <c r="AI21" s="242">
        <v>1546.7815076809811</v>
      </c>
      <c r="AJ21" s="242">
        <v>2318.1814654992131</v>
      </c>
      <c r="AK21" s="242">
        <v>998.26880406250575</v>
      </c>
      <c r="AL21" s="242">
        <v>832.68244491250334</v>
      </c>
      <c r="AM21" s="242">
        <v>395.84462801044083</v>
      </c>
      <c r="AN21" s="242">
        <v>1521.7929259007424</v>
      </c>
      <c r="AO21" s="242">
        <v>679.62805822156452</v>
      </c>
      <c r="AP21" s="242">
        <v>-1636.2395281152549</v>
      </c>
      <c r="AQ21" s="242">
        <v>-95.788400561407343</v>
      </c>
      <c r="AR21" s="242">
        <v>-2721.4911383604558</v>
      </c>
      <c r="AS21" s="242">
        <v>-212.99317441638186</v>
      </c>
      <c r="AT21" s="242">
        <v>-1432.7299867227839</v>
      </c>
      <c r="AU21" s="242">
        <v>69.760106180302955</v>
      </c>
      <c r="AV21" s="242">
        <v>-1016.5004524449414</v>
      </c>
      <c r="AW21" s="242">
        <v>-140.11212432184857</v>
      </c>
      <c r="AX21" s="242">
        <v>-939.44744906956566</v>
      </c>
      <c r="AY21" s="242">
        <v>-333.75183559703783</v>
      </c>
      <c r="BA21" s="158"/>
      <c r="BB21" s="158"/>
    </row>
    <row r="22" spans="2:54">
      <c r="B22" s="225">
        <v>10068</v>
      </c>
      <c r="C22" s="225" t="s">
        <v>25</v>
      </c>
      <c r="D22" s="242">
        <v>-43.491698660992597</v>
      </c>
      <c r="E22" s="242">
        <v>3.3885437617716434</v>
      </c>
      <c r="F22" s="242">
        <v>-176.84732904447878</v>
      </c>
      <c r="G22" s="242">
        <v>-63.455799583490375</v>
      </c>
      <c r="H22" s="242">
        <v>238.66670767875257</v>
      </c>
      <c r="I22" s="242">
        <v>87.090593300914179</v>
      </c>
      <c r="J22" s="242">
        <v>462.76391160467938</v>
      </c>
      <c r="K22" s="242">
        <v>234.64674997848056</v>
      </c>
      <c r="L22" s="242">
        <v>390.9629862449093</v>
      </c>
      <c r="M22" s="242">
        <v>158.42888695473744</v>
      </c>
      <c r="N22" s="242">
        <v>92.357175720990654</v>
      </c>
      <c r="O22" s="242">
        <v>60.329633201362753</v>
      </c>
      <c r="P22" s="242">
        <v>151.60637102583064</v>
      </c>
      <c r="Q22" s="242">
        <v>83.016872700485351</v>
      </c>
      <c r="R22" s="242">
        <v>-446.81222776796687</v>
      </c>
      <c r="S22" s="242">
        <v>-84.49351541912165</v>
      </c>
      <c r="T22" s="242">
        <v>-574.27611843554041</v>
      </c>
      <c r="U22" s="242">
        <v>-68.001773697747808</v>
      </c>
      <c r="V22" s="242">
        <v>-292.05589686470466</v>
      </c>
      <c r="W22" s="242">
        <v>-28.803633134614529</v>
      </c>
      <c r="X22" s="242">
        <v>-271.48109276479636</v>
      </c>
      <c r="Y22" s="242">
        <v>-57.858197864490762</v>
      </c>
      <c r="Z22" s="242">
        <v>-281.13194310984625</v>
      </c>
      <c r="AA22" s="242">
        <v>-99.540055772810774</v>
      </c>
      <c r="AB22" s="242">
        <v>-45.828330872620882</v>
      </c>
      <c r="AC22" s="242">
        <v>2.0820364367896218</v>
      </c>
      <c r="AD22" s="242">
        <v>-179.67768518092294</v>
      </c>
      <c r="AE22" s="242">
        <v>-65.237790319026999</v>
      </c>
      <c r="AF22" s="242">
        <v>236.08760949020984</v>
      </c>
      <c r="AG22" s="242">
        <v>85.155125371277904</v>
      </c>
      <c r="AH22" s="242">
        <v>460.64264782451744</v>
      </c>
      <c r="AI22" s="242">
        <v>233.03917412623707</v>
      </c>
      <c r="AJ22" s="242">
        <v>343.44563414757886</v>
      </c>
      <c r="AK22" s="242">
        <v>128.5113720173548</v>
      </c>
      <c r="AL22" s="242">
        <v>89.987704319941713</v>
      </c>
      <c r="AM22" s="242">
        <v>58.840908003759637</v>
      </c>
      <c r="AN22" s="242">
        <v>149.76052011982154</v>
      </c>
      <c r="AO22" s="242">
        <v>81.867347585107836</v>
      </c>
      <c r="AP22" s="242">
        <v>-449.60879550727043</v>
      </c>
      <c r="AQ22" s="242">
        <v>-85.847063200374009</v>
      </c>
      <c r="AR22" s="242">
        <v>-577.43846476587714</v>
      </c>
      <c r="AS22" s="242">
        <v>-69.2739127010218</v>
      </c>
      <c r="AT22" s="242">
        <v>-294.86016831277061</v>
      </c>
      <c r="AU22" s="242">
        <v>-30.209704710226447</v>
      </c>
      <c r="AV22" s="242">
        <v>-274.22130008775184</v>
      </c>
      <c r="AW22" s="242">
        <v>-59.186962262855445</v>
      </c>
      <c r="AX22" s="242">
        <v>-283.53169110487045</v>
      </c>
      <c r="AY22" s="242">
        <v>-100.90046182177832</v>
      </c>
      <c r="BA22" s="158"/>
      <c r="BB22" s="158"/>
    </row>
    <row r="23" spans="2:54">
      <c r="B23" s="225">
        <v>10070</v>
      </c>
      <c r="C23" s="225" t="s">
        <v>26</v>
      </c>
      <c r="D23" s="242">
        <v>11.496854561596592</v>
      </c>
      <c r="E23" s="242">
        <v>18.045784863642993</v>
      </c>
      <c r="F23" s="242">
        <v>-5.7936146642194331</v>
      </c>
      <c r="G23" s="242">
        <v>4.8085882934132087</v>
      </c>
      <c r="H23" s="242">
        <v>50.302265027532172</v>
      </c>
      <c r="I23" s="242">
        <v>41.593786468088595</v>
      </c>
      <c r="J23" s="242">
        <v>90.88274995971301</v>
      </c>
      <c r="K23" s="242">
        <v>54.434933382531383</v>
      </c>
      <c r="L23" s="242">
        <v>74.985141819519626</v>
      </c>
      <c r="M23" s="242">
        <v>39.419301476192203</v>
      </c>
      <c r="N23" s="242">
        <v>23.196566033375802</v>
      </c>
      <c r="O23" s="242">
        <v>26.608949952196795</v>
      </c>
      <c r="P23" s="242">
        <v>44.397467468415812</v>
      </c>
      <c r="Q23" s="242">
        <v>25.940155173522399</v>
      </c>
      <c r="R23" s="242">
        <v>-28.797051445778607</v>
      </c>
      <c r="S23" s="242">
        <v>8.8537158904725999</v>
      </c>
      <c r="T23" s="242">
        <v>-59.568991976386798</v>
      </c>
      <c r="U23" s="242">
        <v>12.33817329210099</v>
      </c>
      <c r="V23" s="242">
        <v>-18.589236952190987</v>
      </c>
      <c r="W23" s="242">
        <v>9.0094549486379947</v>
      </c>
      <c r="X23" s="242">
        <v>-8.9721650076805872</v>
      </c>
      <c r="Y23" s="242">
        <v>6.348460703835201</v>
      </c>
      <c r="Z23" s="242">
        <v>-11.639997684049405</v>
      </c>
      <c r="AA23" s="242">
        <v>6.9842158905574081</v>
      </c>
      <c r="AB23" s="242">
        <v>17.4448545615966</v>
      </c>
      <c r="AC23" s="242">
        <v>12.352784863642995</v>
      </c>
      <c r="AD23" s="242">
        <v>-5.6226146642194408</v>
      </c>
      <c r="AE23" s="242">
        <v>4.9245882934132084</v>
      </c>
      <c r="AF23" s="242">
        <v>50.513265027532185</v>
      </c>
      <c r="AG23" s="242">
        <v>41.755786468088573</v>
      </c>
      <c r="AH23" s="242">
        <v>91.104749959713018</v>
      </c>
      <c r="AI23" s="242">
        <v>54.589933382531385</v>
      </c>
      <c r="AJ23" s="242">
        <v>67.664141819519628</v>
      </c>
      <c r="AK23" s="242">
        <v>36.205301476192204</v>
      </c>
      <c r="AL23" s="242">
        <v>23.366566033375818</v>
      </c>
      <c r="AM23" s="242">
        <v>26.727949952196795</v>
      </c>
      <c r="AN23" s="242">
        <v>44.555467468415799</v>
      </c>
      <c r="AO23" s="242">
        <v>26.037155173522393</v>
      </c>
      <c r="AP23" s="242">
        <v>-28.652051445778596</v>
      </c>
      <c r="AQ23" s="242">
        <v>8.9467158904726034</v>
      </c>
      <c r="AR23" s="242">
        <v>-59.430991976386821</v>
      </c>
      <c r="AS23" s="242">
        <v>12.429173292100984</v>
      </c>
      <c r="AT23" s="242">
        <v>-18.433236952190981</v>
      </c>
      <c r="AU23" s="242">
        <v>9.1064549486379889</v>
      </c>
      <c r="AV23" s="242">
        <v>-14.489165007680583</v>
      </c>
      <c r="AW23" s="242">
        <v>12.115460703835211</v>
      </c>
      <c r="AX23" s="242">
        <v>-6.1309976840494187</v>
      </c>
      <c r="AY23" s="242">
        <v>1.7052158905573975</v>
      </c>
      <c r="BA23" s="158"/>
      <c r="BB23" s="158"/>
    </row>
    <row r="24" spans="2:54">
      <c r="B24" s="225">
        <v>10071</v>
      </c>
      <c r="C24" s="225" t="s">
        <v>27</v>
      </c>
      <c r="D24" s="242">
        <v>16.594759284426118</v>
      </c>
      <c r="E24" s="242">
        <v>46.700330246724718</v>
      </c>
      <c r="F24" s="242">
        <v>-122.82493573759609</v>
      </c>
      <c r="G24" s="242">
        <v>-66.907110505032961</v>
      </c>
      <c r="H24" s="242">
        <v>238.97410135755865</v>
      </c>
      <c r="I24" s="242">
        <v>114.72430534446494</v>
      </c>
      <c r="J24" s="242">
        <v>434.27473649760225</v>
      </c>
      <c r="K24" s="242">
        <v>192.73573307095012</v>
      </c>
      <c r="L24" s="242">
        <v>334.10630801716093</v>
      </c>
      <c r="M24" s="242">
        <v>124.69875059440375</v>
      </c>
      <c r="N24" s="242">
        <v>152.45237896945252</v>
      </c>
      <c r="O24" s="242">
        <v>108.16924866221558</v>
      </c>
      <c r="P24" s="242">
        <v>221.5022742261325</v>
      </c>
      <c r="Q24" s="242">
        <v>104.97367652641577</v>
      </c>
      <c r="R24" s="242">
        <v>-235.12589265650729</v>
      </c>
      <c r="S24" s="242">
        <v>-31.194504371907044</v>
      </c>
      <c r="T24" s="242">
        <v>-402.19211269288314</v>
      </c>
      <c r="U24" s="242">
        <v>-29.362104734476759</v>
      </c>
      <c r="V24" s="242">
        <v>-256.99548696336558</v>
      </c>
      <c r="W24" s="242">
        <v>-80.731505185516482</v>
      </c>
      <c r="X24" s="242">
        <v>-195.82675656657887</v>
      </c>
      <c r="Y24" s="242">
        <v>-65.478035495871495</v>
      </c>
      <c r="Z24" s="242">
        <v>-171.48560181389348</v>
      </c>
      <c r="AA24" s="242">
        <v>-49.793599843895379</v>
      </c>
      <c r="AB24" s="242">
        <v>43.594759284426118</v>
      </c>
      <c r="AC24" s="242">
        <v>19.700330246724718</v>
      </c>
      <c r="AD24" s="242">
        <v>-122.82493573759609</v>
      </c>
      <c r="AE24" s="242">
        <v>-66.907110505032961</v>
      </c>
      <c r="AF24" s="242">
        <v>238.97410135755865</v>
      </c>
      <c r="AG24" s="242">
        <v>114.72430534446494</v>
      </c>
      <c r="AH24" s="242">
        <v>434.27473649760225</v>
      </c>
      <c r="AI24" s="242">
        <v>192.73573307095012</v>
      </c>
      <c r="AJ24" s="242">
        <v>295.8813080171609</v>
      </c>
      <c r="AK24" s="242">
        <v>109.33775059440376</v>
      </c>
      <c r="AL24" s="242">
        <v>152.45237896945252</v>
      </c>
      <c r="AM24" s="242">
        <v>108.16924866221558</v>
      </c>
      <c r="AN24" s="242">
        <v>221.5022742261325</v>
      </c>
      <c r="AO24" s="242">
        <v>104.97367652641577</v>
      </c>
      <c r="AP24" s="242">
        <v>-235.12589265650729</v>
      </c>
      <c r="AQ24" s="242">
        <v>-31.194504371907044</v>
      </c>
      <c r="AR24" s="242">
        <v>-402.19211269288314</v>
      </c>
      <c r="AS24" s="242">
        <v>-29.362104734476759</v>
      </c>
      <c r="AT24" s="242">
        <v>-256.99548696336558</v>
      </c>
      <c r="AU24" s="242">
        <v>-80.731505185516482</v>
      </c>
      <c r="AV24" s="242">
        <v>-219.07575656657889</v>
      </c>
      <c r="AW24" s="242">
        <v>-42.228035495871495</v>
      </c>
      <c r="AX24" s="242">
        <v>-148.85060181389349</v>
      </c>
      <c r="AY24" s="242">
        <v>-72.42859984389537</v>
      </c>
      <c r="BA24" s="158"/>
      <c r="BB24" s="158"/>
    </row>
    <row r="25" spans="2:54">
      <c r="B25" s="225">
        <v>10072</v>
      </c>
      <c r="C25" s="225" t="s">
        <v>28</v>
      </c>
      <c r="D25" s="242">
        <v>1140.7012616374432</v>
      </c>
      <c r="E25" s="242">
        <v>824.59940545140944</v>
      </c>
      <c r="F25" s="242">
        <v>-941.6097992064806</v>
      </c>
      <c r="G25" s="242">
        <v>-272.21967235371631</v>
      </c>
      <c r="H25" s="242">
        <v>1954.6161896358117</v>
      </c>
      <c r="I25" s="242">
        <v>819.15463869348059</v>
      </c>
      <c r="J25" s="242">
        <v>4686.8412532123093</v>
      </c>
      <c r="K25" s="242">
        <v>2484.0495072259182</v>
      </c>
      <c r="L25" s="242">
        <v>3840.4283468324538</v>
      </c>
      <c r="M25" s="242">
        <v>1378.3450908100131</v>
      </c>
      <c r="N25" s="242">
        <v>1199.2409025461475</v>
      </c>
      <c r="O25" s="242">
        <v>671.9455361744167</v>
      </c>
      <c r="P25" s="242">
        <v>2215.2309039909469</v>
      </c>
      <c r="Q25" s="242">
        <v>1153.4978852220875</v>
      </c>
      <c r="R25" s="242">
        <v>-2853.3140533437836</v>
      </c>
      <c r="S25" s="242">
        <v>-150.44433141643822</v>
      </c>
      <c r="T25" s="242">
        <v>-4389.1081722797171</v>
      </c>
      <c r="U25" s="242">
        <v>-216.18706889813075</v>
      </c>
      <c r="V25" s="242">
        <v>-1982.728297040172</v>
      </c>
      <c r="W25" s="242">
        <v>79.30216152705998</v>
      </c>
      <c r="X25" s="242">
        <v>-1624.6380859465226</v>
      </c>
      <c r="Y25" s="242">
        <v>-110.88087105857539</v>
      </c>
      <c r="Z25" s="242">
        <v>-1127.6652388785806</v>
      </c>
      <c r="AA25" s="242">
        <v>22.024322132539055</v>
      </c>
      <c r="AB25" s="242">
        <v>1153.7542616374431</v>
      </c>
      <c r="AC25" s="242">
        <v>826.01540545140961</v>
      </c>
      <c r="AD25" s="242">
        <v>-928.87379920647982</v>
      </c>
      <c r="AE25" s="242">
        <v>-267.80467235371634</v>
      </c>
      <c r="AF25" s="242">
        <v>1967.7961896358138</v>
      </c>
      <c r="AG25" s="242">
        <v>825.85363869348112</v>
      </c>
      <c r="AH25" s="242">
        <v>4745.4792532123083</v>
      </c>
      <c r="AI25" s="242">
        <v>2519.2455072259163</v>
      </c>
      <c r="AJ25" s="242">
        <v>3833.5993468324523</v>
      </c>
      <c r="AK25" s="242">
        <v>1360.3210908100136</v>
      </c>
      <c r="AL25" s="242">
        <v>1235.1129025461469</v>
      </c>
      <c r="AM25" s="242">
        <v>691.446536174416</v>
      </c>
      <c r="AN25" s="242">
        <v>2270.4149039909462</v>
      </c>
      <c r="AO25" s="242">
        <v>1137.6638852220876</v>
      </c>
      <c r="AP25" s="242">
        <v>-2861.6890533437836</v>
      </c>
      <c r="AQ25" s="242">
        <v>-116.059331416438</v>
      </c>
      <c r="AR25" s="242">
        <v>-4371.2701722797156</v>
      </c>
      <c r="AS25" s="242">
        <v>-210.27506889813048</v>
      </c>
      <c r="AT25" s="242">
        <v>-1944.1882970401712</v>
      </c>
      <c r="AU25" s="242">
        <v>96.429161527059478</v>
      </c>
      <c r="AV25" s="242">
        <v>-1594.3770859465221</v>
      </c>
      <c r="AW25" s="242">
        <v>-98.955871058576122</v>
      </c>
      <c r="AX25" s="242">
        <v>-1118.0702388785812</v>
      </c>
      <c r="AY25" s="242">
        <v>23.829322132539346</v>
      </c>
      <c r="BA25" s="158"/>
      <c r="BB25" s="158"/>
    </row>
    <row r="26" spans="2:54">
      <c r="B26" s="225">
        <v>10074</v>
      </c>
      <c r="C26" s="225" t="s">
        <v>29</v>
      </c>
      <c r="D26" s="242">
        <v>1183.2111435055212</v>
      </c>
      <c r="E26" s="242">
        <v>809.86121752563668</v>
      </c>
      <c r="F26" s="242">
        <v>-584.77823790984803</v>
      </c>
      <c r="G26" s="242">
        <v>-753.09749509836547</v>
      </c>
      <c r="H26" s="242">
        <v>2101.9476427859227</v>
      </c>
      <c r="I26" s="242">
        <v>416.49190181848644</v>
      </c>
      <c r="J26" s="242">
        <v>5265.1663242673949</v>
      </c>
      <c r="K26" s="242">
        <v>1669.8451968350073</v>
      </c>
      <c r="L26" s="242">
        <v>5822.4947133206915</v>
      </c>
      <c r="M26" s="242">
        <v>1933.0722651082087</v>
      </c>
      <c r="N26" s="242">
        <v>2731.7197567697604</v>
      </c>
      <c r="O26" s="242">
        <v>1530.2239823697873</v>
      </c>
      <c r="P26" s="242">
        <v>4072.8349022818002</v>
      </c>
      <c r="Q26" s="242">
        <v>1628.0225707110167</v>
      </c>
      <c r="R26" s="242">
        <v>-2552.0838617634909</v>
      </c>
      <c r="S26" s="242">
        <v>-603.87597738242857</v>
      </c>
      <c r="T26" s="242">
        <v>-4099.6364248894151</v>
      </c>
      <c r="U26" s="242">
        <v>107.51850491230744</v>
      </c>
      <c r="V26" s="242">
        <v>-1128.9075152847108</v>
      </c>
      <c r="W26" s="242">
        <v>-165.8752926685238</v>
      </c>
      <c r="X26" s="242">
        <v>-22.021660403928763</v>
      </c>
      <c r="Y26" s="242">
        <v>42.682842072845233</v>
      </c>
      <c r="Z26" s="242">
        <v>-822.8998120008655</v>
      </c>
      <c r="AA26" s="242">
        <v>65.485281482147002</v>
      </c>
      <c r="AB26" s="242">
        <v>1718.2671435055217</v>
      </c>
      <c r="AC26" s="242">
        <v>402.79021752563585</v>
      </c>
      <c r="AD26" s="242">
        <v>-501.06623790984668</v>
      </c>
      <c r="AE26" s="242">
        <v>-701.88849509836291</v>
      </c>
      <c r="AF26" s="242">
        <v>2201.6466427859214</v>
      </c>
      <c r="AG26" s="242">
        <v>485.64490181848669</v>
      </c>
      <c r="AH26" s="242">
        <v>5371.0633242673921</v>
      </c>
      <c r="AI26" s="242">
        <v>1733.2291968350073</v>
      </c>
      <c r="AJ26" s="242">
        <v>5315.1067133206889</v>
      </c>
      <c r="AK26" s="242">
        <v>1752.4222651082091</v>
      </c>
      <c r="AL26" s="242">
        <v>2818.3087567697621</v>
      </c>
      <c r="AM26" s="242">
        <v>1586.5909823697875</v>
      </c>
      <c r="AN26" s="242">
        <v>4188.498902281799</v>
      </c>
      <c r="AO26" s="242">
        <v>1640.0645707110161</v>
      </c>
      <c r="AP26" s="242">
        <v>-2500.9918617634903</v>
      </c>
      <c r="AQ26" s="242">
        <v>-539.61697738242947</v>
      </c>
      <c r="AR26" s="242">
        <v>-4008.3524248894137</v>
      </c>
      <c r="AS26" s="242">
        <v>149.10950491230687</v>
      </c>
      <c r="AT26" s="242">
        <v>-1041.1335152847096</v>
      </c>
      <c r="AU26" s="242">
        <v>-125.46729266852435</v>
      </c>
      <c r="AV26" s="242">
        <v>-375.37766040393035</v>
      </c>
      <c r="AW26" s="242">
        <v>537.91884207284602</v>
      </c>
      <c r="AX26" s="242">
        <v>-329.58281200086458</v>
      </c>
      <c r="AY26" s="242">
        <v>-309.74271851785306</v>
      </c>
      <c r="BA26" s="158"/>
      <c r="BB26" s="158"/>
    </row>
    <row r="27" spans="2:54">
      <c r="B27" s="225">
        <v>10076</v>
      </c>
      <c r="C27" s="225" t="s">
        <v>30</v>
      </c>
      <c r="D27" s="242">
        <v>-61.694039439664493</v>
      </c>
      <c r="E27" s="242">
        <v>190.94619203722209</v>
      </c>
      <c r="F27" s="242">
        <v>-407.24840083590698</v>
      </c>
      <c r="G27" s="242">
        <v>-64.963850887064382</v>
      </c>
      <c r="H27" s="242">
        <v>281.75740699369453</v>
      </c>
      <c r="I27" s="242">
        <v>341.02965649376415</v>
      </c>
      <c r="J27" s="242">
        <v>879.92846943937457</v>
      </c>
      <c r="K27" s="242">
        <v>502.53463898080054</v>
      </c>
      <c r="L27" s="242">
        <v>766.08166801366792</v>
      </c>
      <c r="M27" s="242">
        <v>453.41370151399019</v>
      </c>
      <c r="N27" s="242">
        <v>64.836446680425979</v>
      </c>
      <c r="O27" s="242">
        <v>322.74467839357158</v>
      </c>
      <c r="P27" s="242">
        <v>376.67337126390589</v>
      </c>
      <c r="Q27" s="242">
        <v>268.05014850117334</v>
      </c>
      <c r="R27" s="242">
        <v>-469.67656872373209</v>
      </c>
      <c r="S27" s="242">
        <v>16.681323009672496</v>
      </c>
      <c r="T27" s="242">
        <v>-830.83153990341475</v>
      </c>
      <c r="U27" s="242">
        <v>187.93048233350532</v>
      </c>
      <c r="V27" s="242">
        <v>-208.11994340727369</v>
      </c>
      <c r="W27" s="242">
        <v>65.572222843818736</v>
      </c>
      <c r="X27" s="242">
        <v>-329.23826873501844</v>
      </c>
      <c r="Y27" s="242">
        <v>-17.614745155787659</v>
      </c>
      <c r="Z27" s="242">
        <v>-412.45113425767931</v>
      </c>
      <c r="AA27" s="242">
        <v>74.914792499000214</v>
      </c>
      <c r="AB27" s="242">
        <v>84.064960560335294</v>
      </c>
      <c r="AC27" s="242">
        <v>85.725192037222314</v>
      </c>
      <c r="AD27" s="242">
        <v>-383.32240083590682</v>
      </c>
      <c r="AE27" s="242">
        <v>-47.593850887064036</v>
      </c>
      <c r="AF27" s="242">
        <v>304.21340699369512</v>
      </c>
      <c r="AG27" s="242">
        <v>359.10765649376435</v>
      </c>
      <c r="AH27" s="242">
        <v>903.98346943937486</v>
      </c>
      <c r="AI27" s="242">
        <v>519.01363898080012</v>
      </c>
      <c r="AJ27" s="242">
        <v>690.99266801366798</v>
      </c>
      <c r="AK27" s="242">
        <v>433.76970151399041</v>
      </c>
      <c r="AL27" s="242">
        <v>87.821446680426106</v>
      </c>
      <c r="AM27" s="242">
        <v>340.32867839357141</v>
      </c>
      <c r="AN27" s="242">
        <v>454.08337126390575</v>
      </c>
      <c r="AO27" s="242">
        <v>231.97114850117362</v>
      </c>
      <c r="AP27" s="242">
        <v>-497.0605687237321</v>
      </c>
      <c r="AQ27" s="242">
        <v>84.592323009672327</v>
      </c>
      <c r="AR27" s="242">
        <v>-806.39153990341447</v>
      </c>
      <c r="AS27" s="242">
        <v>204.80948233350546</v>
      </c>
      <c r="AT27" s="242">
        <v>-182.66994340727342</v>
      </c>
      <c r="AU27" s="242">
        <v>80.646222843818578</v>
      </c>
      <c r="AV27" s="242">
        <v>-422.95026873501865</v>
      </c>
      <c r="AW27" s="242">
        <v>116.62625484421278</v>
      </c>
      <c r="AX27" s="242">
        <v>-273.34413425767957</v>
      </c>
      <c r="AY27" s="242">
        <v>-22.871207500999844</v>
      </c>
      <c r="BA27" s="158"/>
      <c r="BB27" s="158"/>
    </row>
    <row r="28" spans="2:54">
      <c r="B28" s="225">
        <v>10078</v>
      </c>
      <c r="C28" s="225" t="s">
        <v>31</v>
      </c>
      <c r="D28" s="242">
        <v>423.67400474851297</v>
      </c>
      <c r="E28" s="242">
        <v>140.01918016184391</v>
      </c>
      <c r="F28" s="242">
        <v>296.1966622195846</v>
      </c>
      <c r="G28" s="242">
        <v>16.298096016785621</v>
      </c>
      <c r="H28" s="242">
        <v>756.30739193883733</v>
      </c>
      <c r="I28" s="242">
        <v>173.76610229924881</v>
      </c>
      <c r="J28" s="242">
        <v>1333.0844326534043</v>
      </c>
      <c r="K28" s="242">
        <v>440.87108922371112</v>
      </c>
      <c r="L28" s="242">
        <v>1137.189319956597</v>
      </c>
      <c r="M28" s="242">
        <v>370.97017120211763</v>
      </c>
      <c r="N28" s="242">
        <v>722.66481810962659</v>
      </c>
      <c r="O28" s="242">
        <v>282.80381997709435</v>
      </c>
      <c r="P28" s="242">
        <v>884.97610384594623</v>
      </c>
      <c r="Q28" s="242">
        <v>273.30447408153918</v>
      </c>
      <c r="R28" s="242">
        <v>5.2304275382311971</v>
      </c>
      <c r="S28" s="242">
        <v>8.9805599359208372</v>
      </c>
      <c r="T28" s="242">
        <v>-300.93988536161442</v>
      </c>
      <c r="U28" s="242">
        <v>17.932535845708003</v>
      </c>
      <c r="V28" s="242">
        <v>-19.42361282742786</v>
      </c>
      <c r="W28" s="242">
        <v>-77.334096752696041</v>
      </c>
      <c r="X28" s="242">
        <v>102.69158149521536</v>
      </c>
      <c r="Y28" s="242">
        <v>-50.046974124038343</v>
      </c>
      <c r="Z28" s="242">
        <v>198.87381927394449</v>
      </c>
      <c r="AA28" s="242">
        <v>5.8768197793192485</v>
      </c>
      <c r="AB28" s="242">
        <v>691.41100474851282</v>
      </c>
      <c r="AC28" s="242">
        <v>192.91818016184379</v>
      </c>
      <c r="AD28" s="242">
        <v>498.39666221958487</v>
      </c>
      <c r="AE28" s="242">
        <v>126.50209601678557</v>
      </c>
      <c r="AF28" s="242">
        <v>998.02439193883743</v>
      </c>
      <c r="AG28" s="242">
        <v>253.30310229924862</v>
      </c>
      <c r="AH28" s="242">
        <v>1547.835432653404</v>
      </c>
      <c r="AI28" s="242">
        <v>562.55508922371109</v>
      </c>
      <c r="AJ28" s="242">
        <v>1300.2043199565969</v>
      </c>
      <c r="AK28" s="242">
        <v>470.08417120211766</v>
      </c>
      <c r="AL28" s="242">
        <v>941.79981810962636</v>
      </c>
      <c r="AM28" s="242">
        <v>396.99781997709431</v>
      </c>
      <c r="AN28" s="242">
        <v>1084.9961038459462</v>
      </c>
      <c r="AO28" s="242">
        <v>371.4234740815391</v>
      </c>
      <c r="AP28" s="242">
        <v>232.14442753823118</v>
      </c>
      <c r="AQ28" s="242">
        <v>129.25355993592086</v>
      </c>
      <c r="AR28" s="242">
        <v>-65.535885361614419</v>
      </c>
      <c r="AS28" s="242">
        <v>125.97453584570803</v>
      </c>
      <c r="AT28" s="242">
        <v>233.54838717257212</v>
      </c>
      <c r="AU28" s="242">
        <v>39.908903247304011</v>
      </c>
      <c r="AV28" s="242">
        <v>293.99158149521509</v>
      </c>
      <c r="AW28" s="242">
        <v>105.23602587596167</v>
      </c>
      <c r="AX28" s="242">
        <v>466.06081927394462</v>
      </c>
      <c r="AY28" s="242">
        <v>64.49381977931921</v>
      </c>
      <c r="BA28" s="158"/>
      <c r="BB28" s="158"/>
    </row>
    <row r="29" spans="2:54">
      <c r="B29" s="225">
        <v>10079</v>
      </c>
      <c r="C29" s="225" t="s">
        <v>32</v>
      </c>
      <c r="D29" s="242">
        <v>2397.5216771303676</v>
      </c>
      <c r="E29" s="242">
        <v>2851.6060003399725</v>
      </c>
      <c r="F29" s="242">
        <v>-5644.4588529783359</v>
      </c>
      <c r="G29" s="242">
        <v>-4692.3769007523879</v>
      </c>
      <c r="H29" s="242">
        <v>1818.4877204899458</v>
      </c>
      <c r="I29" s="242">
        <v>-2702.4446307436883</v>
      </c>
      <c r="J29" s="242">
        <v>12413.36104457394</v>
      </c>
      <c r="K29" s="242">
        <v>2664.7431644303761</v>
      </c>
      <c r="L29" s="242">
        <v>11486.890259401203</v>
      </c>
      <c r="M29" s="242">
        <v>2656.3502947816232</v>
      </c>
      <c r="N29" s="242">
        <v>4304.0875611403972</v>
      </c>
      <c r="O29" s="242">
        <v>2036.2455412155796</v>
      </c>
      <c r="P29" s="242">
        <v>9145.4330855268745</v>
      </c>
      <c r="Q29" s="242">
        <v>3372.7191802114758</v>
      </c>
      <c r="R29" s="242">
        <v>-7537.8588377614724</v>
      </c>
      <c r="S29" s="242">
        <v>-556.17035485647648</v>
      </c>
      <c r="T29" s="242">
        <v>-14179.927092097496</v>
      </c>
      <c r="U29" s="242">
        <v>448.99146391655086</v>
      </c>
      <c r="V29" s="242">
        <v>-6640.8542473205089</v>
      </c>
      <c r="W29" s="242">
        <v>-1106.1260192155205</v>
      </c>
      <c r="X29" s="242">
        <v>-3678.3359941257222</v>
      </c>
      <c r="Y29" s="242">
        <v>286.97285433960496</v>
      </c>
      <c r="Z29" s="242">
        <v>-2697.4127260264213</v>
      </c>
      <c r="AA29" s="242">
        <v>496.63955264396282</v>
      </c>
      <c r="AB29" s="242">
        <v>3666.1040208768536</v>
      </c>
      <c r="AC29" s="242">
        <v>1937.8902146656765</v>
      </c>
      <c r="AD29" s="242">
        <v>-5510.764742299667</v>
      </c>
      <c r="AE29" s="242">
        <v>-4610.3015394383219</v>
      </c>
      <c r="AF29" s="242">
        <v>1978.125891136784</v>
      </c>
      <c r="AG29" s="242">
        <v>-2603.8578799995084</v>
      </c>
      <c r="AH29" s="242">
        <v>12628.807757147621</v>
      </c>
      <c r="AI29" s="242">
        <v>2787.5867061928693</v>
      </c>
      <c r="AJ29" s="242">
        <v>11486.950527605321</v>
      </c>
      <c r="AK29" s="242">
        <v>2926.1952122236944</v>
      </c>
      <c r="AL29" s="242">
        <v>4476.0841764994766</v>
      </c>
      <c r="AM29" s="242">
        <v>2145.3922585090586</v>
      </c>
      <c r="AN29" s="242">
        <v>9332.9569001925156</v>
      </c>
      <c r="AO29" s="242">
        <v>3472.9517007117502</v>
      </c>
      <c r="AP29" s="242">
        <v>-7386.9749795943135</v>
      </c>
      <c r="AQ29" s="242">
        <v>-463.68971832532043</v>
      </c>
      <c r="AR29" s="242">
        <v>-14042.918598980628</v>
      </c>
      <c r="AS29" s="242">
        <v>545.13604278886123</v>
      </c>
      <c r="AT29" s="242">
        <v>-6496.8258337950756</v>
      </c>
      <c r="AU29" s="242">
        <v>-1017.5798106643888</v>
      </c>
      <c r="AV29" s="242">
        <v>-4516.0360797209869</v>
      </c>
      <c r="AW29" s="242">
        <v>1391.1740428033772</v>
      </c>
      <c r="AX29" s="242">
        <v>-1560.06589783237</v>
      </c>
      <c r="AY29" s="242">
        <v>-385.71528326577391</v>
      </c>
      <c r="BA29" s="158"/>
      <c r="BB29" s="158"/>
    </row>
    <row r="30" spans="2:54">
      <c r="B30" s="225">
        <v>10080</v>
      </c>
      <c r="C30" s="225" t="s">
        <v>33</v>
      </c>
      <c r="D30" s="242">
        <v>-14.850805402953029</v>
      </c>
      <c r="E30" s="242">
        <v>210.08717529791375</v>
      </c>
      <c r="F30" s="242">
        <v>-248.80236169372165</v>
      </c>
      <c r="G30" s="242">
        <v>-52.870206338346634</v>
      </c>
      <c r="H30" s="242">
        <v>388.25000598501538</v>
      </c>
      <c r="I30" s="242">
        <v>149.20032557286231</v>
      </c>
      <c r="J30" s="242">
        <v>1191.7442078537738</v>
      </c>
      <c r="K30" s="242">
        <v>512.51994009389705</v>
      </c>
      <c r="L30" s="242">
        <v>1103.6487800984014</v>
      </c>
      <c r="M30" s="242">
        <v>430.18848471169554</v>
      </c>
      <c r="N30" s="242">
        <v>215.41790646436857</v>
      </c>
      <c r="O30" s="242">
        <v>241.76582345112638</v>
      </c>
      <c r="P30" s="242">
        <v>557.22979665028879</v>
      </c>
      <c r="Q30" s="242">
        <v>291.57952812431495</v>
      </c>
      <c r="R30" s="242">
        <v>-1173.1997321334829</v>
      </c>
      <c r="S30" s="242">
        <v>-197.55732553430516</v>
      </c>
      <c r="T30" s="242">
        <v>-1842.5418785187467</v>
      </c>
      <c r="U30" s="242">
        <v>-205.81995116780217</v>
      </c>
      <c r="V30" s="242">
        <v>-1126.4365533880182</v>
      </c>
      <c r="W30" s="242">
        <v>-234.4181157540761</v>
      </c>
      <c r="X30" s="242">
        <v>-946.80892212247863</v>
      </c>
      <c r="Y30" s="242">
        <v>-223.13107911839029</v>
      </c>
      <c r="Z30" s="242">
        <v>-864.75319766606117</v>
      </c>
      <c r="AA30" s="242">
        <v>-208.39890033575489</v>
      </c>
      <c r="AB30" s="242">
        <v>94.502878491232877</v>
      </c>
      <c r="AC30" s="242">
        <v>105.80792163542264</v>
      </c>
      <c r="AD30" s="242">
        <v>-245.86753976194404</v>
      </c>
      <c r="AE30" s="242">
        <v>-50.888201706115069</v>
      </c>
      <c r="AF30" s="242">
        <v>390.7694568907441</v>
      </c>
      <c r="AG30" s="242">
        <v>150.94359160804424</v>
      </c>
      <c r="AH30" s="242">
        <v>1194.6075759636929</v>
      </c>
      <c r="AI30" s="242">
        <v>514.29615216777506</v>
      </c>
      <c r="AJ30" s="242">
        <v>981.82610404973593</v>
      </c>
      <c r="AK30" s="242">
        <v>384.68822724300412</v>
      </c>
      <c r="AL30" s="242">
        <v>218.33517076384396</v>
      </c>
      <c r="AM30" s="242">
        <v>243.7334608523247</v>
      </c>
      <c r="AN30" s="242">
        <v>560.54587119728376</v>
      </c>
      <c r="AO30" s="242">
        <v>293.56376556662622</v>
      </c>
      <c r="AP30" s="242">
        <v>-1177.1910160031348</v>
      </c>
      <c r="AQ30" s="242">
        <v>-199.8920994249313</v>
      </c>
      <c r="AR30" s="242">
        <v>-1846.5680516839152</v>
      </c>
      <c r="AS30" s="242">
        <v>-208.0390206694392</v>
      </c>
      <c r="AT30" s="242">
        <v>-1130.4236891120513</v>
      </c>
      <c r="AU30" s="242">
        <v>-236.76715154188219</v>
      </c>
      <c r="AV30" s="242">
        <v>-1038.8310257839566</v>
      </c>
      <c r="AW30" s="242">
        <v>-137.36346131757273</v>
      </c>
      <c r="AX30" s="242">
        <v>-784.20107166357366</v>
      </c>
      <c r="AY30" s="242">
        <v>-294.95910336023849</v>
      </c>
      <c r="BA30" s="158"/>
      <c r="BB30" s="158"/>
    </row>
    <row r="31" spans="2:54">
      <c r="B31" s="225">
        <v>10081</v>
      </c>
      <c r="C31" s="225" t="s">
        <v>34</v>
      </c>
      <c r="D31" s="242">
        <v>-532.10395117555299</v>
      </c>
      <c r="E31" s="242">
        <v>-258.30497329107038</v>
      </c>
      <c r="F31" s="242">
        <v>-672.70473300753565</v>
      </c>
      <c r="G31" s="242">
        <v>-426.60339502929128</v>
      </c>
      <c r="H31" s="242">
        <v>1209.6338375825653</v>
      </c>
      <c r="I31" s="242">
        <v>759.24957191850535</v>
      </c>
      <c r="J31" s="242">
        <v>2173.9511982252575</v>
      </c>
      <c r="K31" s="242">
        <v>1026.0778758666092</v>
      </c>
      <c r="L31" s="242">
        <v>1397.3445544311876</v>
      </c>
      <c r="M31" s="242">
        <v>531.82799903651085</v>
      </c>
      <c r="N31" s="242">
        <v>185.5158810294256</v>
      </c>
      <c r="O31" s="242">
        <v>272.75491495182359</v>
      </c>
      <c r="P31" s="242">
        <v>781.92190572850541</v>
      </c>
      <c r="Q31" s="242">
        <v>240.15945567065933</v>
      </c>
      <c r="R31" s="242">
        <v>-1509.2351148506987</v>
      </c>
      <c r="S31" s="242">
        <v>-629.79483414082642</v>
      </c>
      <c r="T31" s="242">
        <v>-2427.6284510801415</v>
      </c>
      <c r="U31" s="242">
        <v>-761.65888672804203</v>
      </c>
      <c r="V31" s="242">
        <v>-441.87904943395097</v>
      </c>
      <c r="W31" s="242">
        <v>-296.12574271298672</v>
      </c>
      <c r="X31" s="242">
        <v>-212.36330732314036</v>
      </c>
      <c r="Y31" s="242">
        <v>-309.11717225155962</v>
      </c>
      <c r="Z31" s="242">
        <v>-651.36772498488244</v>
      </c>
      <c r="AA31" s="242">
        <v>-191.66790205192638</v>
      </c>
      <c r="AB31" s="242">
        <v>-384.91110922845974</v>
      </c>
      <c r="AC31" s="242">
        <v>-404.40760012231613</v>
      </c>
      <c r="AD31" s="242">
        <v>-678.4123220416468</v>
      </c>
      <c r="AE31" s="242">
        <v>-427.04889271317506</v>
      </c>
      <c r="AF31" s="242">
        <v>1205.9890630354303</v>
      </c>
      <c r="AG31" s="242">
        <v>758.76570493609643</v>
      </c>
      <c r="AH31" s="242">
        <v>2169.4208822802175</v>
      </c>
      <c r="AI31" s="242">
        <v>1025.6759819035487</v>
      </c>
      <c r="AJ31" s="242">
        <v>1195.7212164068546</v>
      </c>
      <c r="AK31" s="242">
        <v>458.29637030216509</v>
      </c>
      <c r="AL31" s="242">
        <v>178.92351317916336</v>
      </c>
      <c r="AM31" s="242">
        <v>272.38273365242276</v>
      </c>
      <c r="AN31" s="242">
        <v>784.4604430020031</v>
      </c>
      <c r="AO31" s="242">
        <v>239.8720743918152</v>
      </c>
      <c r="AP31" s="242">
        <v>-1498.9342567855247</v>
      </c>
      <c r="AQ31" s="242">
        <v>-630.1332210861392</v>
      </c>
      <c r="AR31" s="242">
        <v>-2411.4190376627248</v>
      </c>
      <c r="AS31" s="242">
        <v>-761.97692147886028</v>
      </c>
      <c r="AT31" s="242">
        <v>-438.58011729596728</v>
      </c>
      <c r="AU31" s="242">
        <v>-296.47726060688956</v>
      </c>
      <c r="AV31" s="242">
        <v>-377.33035915387791</v>
      </c>
      <c r="AW31" s="242">
        <v>-134.16636335115072</v>
      </c>
      <c r="AX31" s="242">
        <v>-488.02966198363811</v>
      </c>
      <c r="AY31" s="242">
        <v>-345.94600356416777</v>
      </c>
      <c r="BA31" s="158"/>
      <c r="BB31" s="158"/>
    </row>
    <row r="32" spans="2:54">
      <c r="B32" s="225">
        <v>10082</v>
      </c>
      <c r="C32" s="225" t="s">
        <v>35</v>
      </c>
      <c r="D32" s="242">
        <v>-3.5251427299505451</v>
      </c>
      <c r="E32" s="242">
        <v>5.2438083971922467</v>
      </c>
      <c r="F32" s="242">
        <v>-1.5500269048325563</v>
      </c>
      <c r="G32" s="242">
        <v>5.7074132861639022</v>
      </c>
      <c r="H32" s="242">
        <v>12.340394426933145</v>
      </c>
      <c r="I32" s="242">
        <v>12.748377740158439</v>
      </c>
      <c r="J32" s="242">
        <v>21.126725874644755</v>
      </c>
      <c r="K32" s="242">
        <v>16.182475604206548</v>
      </c>
      <c r="L32" s="242">
        <v>20.647669284551704</v>
      </c>
      <c r="M32" s="242">
        <v>14.218674228628149</v>
      </c>
      <c r="N32" s="242">
        <v>4.9300665565078532</v>
      </c>
      <c r="O32" s="242">
        <v>9.6102183922435955</v>
      </c>
      <c r="P32" s="242">
        <v>6.5038777815878532</v>
      </c>
      <c r="Q32" s="242">
        <v>7.7986198414697974</v>
      </c>
      <c r="R32" s="242">
        <v>-15.896506405225949</v>
      </c>
      <c r="S32" s="242">
        <v>1.0067203554264488</v>
      </c>
      <c r="T32" s="242">
        <v>-24.957354072186103</v>
      </c>
      <c r="U32" s="242">
        <v>-0.3004499327042538</v>
      </c>
      <c r="V32" s="242">
        <v>-16.33528427216325</v>
      </c>
      <c r="W32" s="242">
        <v>-1.2650115201615009</v>
      </c>
      <c r="X32" s="242">
        <v>-15.009154067092446</v>
      </c>
      <c r="Y32" s="242">
        <v>-2.1194725211795991</v>
      </c>
      <c r="Z32" s="242">
        <v>-14.022558412305056</v>
      </c>
      <c r="AA32" s="242">
        <v>-1.1391566130539488</v>
      </c>
      <c r="AB32" s="242">
        <v>-2.0961427299505431</v>
      </c>
      <c r="AC32" s="242">
        <v>3.8148083971922446</v>
      </c>
      <c r="AD32" s="242">
        <v>-1.5500269048325563</v>
      </c>
      <c r="AE32" s="242">
        <v>5.7074132861639022</v>
      </c>
      <c r="AF32" s="242">
        <v>12.340394426933145</v>
      </c>
      <c r="AG32" s="242">
        <v>12.748377740158439</v>
      </c>
      <c r="AH32" s="242">
        <v>21.126725874644755</v>
      </c>
      <c r="AI32" s="242">
        <v>16.182475604206548</v>
      </c>
      <c r="AJ32" s="242">
        <v>18.524669284551706</v>
      </c>
      <c r="AK32" s="242">
        <v>13.174674228628152</v>
      </c>
      <c r="AL32" s="242">
        <v>4.9300665565078532</v>
      </c>
      <c r="AM32" s="242">
        <v>9.6102183922435955</v>
      </c>
      <c r="AN32" s="242">
        <v>6.5038777815878532</v>
      </c>
      <c r="AO32" s="242">
        <v>7.7986198414697974</v>
      </c>
      <c r="AP32" s="242">
        <v>-15.896506405225949</v>
      </c>
      <c r="AQ32" s="242">
        <v>1.0067203554264488</v>
      </c>
      <c r="AR32" s="242">
        <v>-24.957354072186103</v>
      </c>
      <c r="AS32" s="242">
        <v>-0.3004499327042538</v>
      </c>
      <c r="AT32" s="242">
        <v>-16.33528427216325</v>
      </c>
      <c r="AU32" s="242">
        <v>-1.2650115201615009</v>
      </c>
      <c r="AV32" s="242">
        <v>-16.192154067092446</v>
      </c>
      <c r="AW32" s="242">
        <v>-0.93647252117959923</v>
      </c>
      <c r="AX32" s="242">
        <v>-12.877558412305056</v>
      </c>
      <c r="AY32" s="242">
        <v>-2.2841566130539483</v>
      </c>
      <c r="BA32" s="158"/>
      <c r="BB32" s="158"/>
    </row>
    <row r="33" spans="2:54">
      <c r="B33" s="225">
        <v>10083</v>
      </c>
      <c r="C33" s="225" t="s">
        <v>36</v>
      </c>
      <c r="D33" s="242">
        <v>231.822089710608</v>
      </c>
      <c r="E33" s="242">
        <v>282.74621877977188</v>
      </c>
      <c r="F33" s="242">
        <v>-109.6344654888785</v>
      </c>
      <c r="G33" s="242">
        <v>-34.506535120290209</v>
      </c>
      <c r="H33" s="242">
        <v>898.89651913595299</v>
      </c>
      <c r="I33" s="242">
        <v>464.5136636645143</v>
      </c>
      <c r="J33" s="242">
        <v>2030.0171314426802</v>
      </c>
      <c r="K33" s="242">
        <v>969.94489773488112</v>
      </c>
      <c r="L33" s="242">
        <v>1663.5788889145101</v>
      </c>
      <c r="M33" s="242">
        <v>660.49194957193754</v>
      </c>
      <c r="N33" s="242">
        <v>471.74577467179142</v>
      </c>
      <c r="O33" s="242">
        <v>349.4264355981627</v>
      </c>
      <c r="P33" s="242">
        <v>1036.803465016631</v>
      </c>
      <c r="Q33" s="242">
        <v>476.79075732288516</v>
      </c>
      <c r="R33" s="242">
        <v>-685.48196707156603</v>
      </c>
      <c r="S33" s="242">
        <v>52.995703328478385</v>
      </c>
      <c r="T33" s="242">
        <v>-1365.0924487723405</v>
      </c>
      <c r="U33" s="242">
        <v>134.05222302825246</v>
      </c>
      <c r="V33" s="242">
        <v>-453.41834493070473</v>
      </c>
      <c r="W33" s="242">
        <v>60.408791253385516</v>
      </c>
      <c r="X33" s="242">
        <v>-350.89041572039605</v>
      </c>
      <c r="Y33" s="242">
        <v>-29.34359622929037</v>
      </c>
      <c r="Z33" s="242">
        <v>-341.18093813424593</v>
      </c>
      <c r="AA33" s="242">
        <v>112.47289525958945</v>
      </c>
      <c r="AB33" s="242">
        <v>382.51908971060766</v>
      </c>
      <c r="AC33" s="242">
        <v>148.63021877977189</v>
      </c>
      <c r="AD33" s="242">
        <v>-99.512465488878206</v>
      </c>
      <c r="AE33" s="242">
        <v>-28.047535120289922</v>
      </c>
      <c r="AF33" s="242">
        <v>908.61551913595304</v>
      </c>
      <c r="AG33" s="242">
        <v>471.37466366451417</v>
      </c>
      <c r="AH33" s="242">
        <v>2040.0791314426801</v>
      </c>
      <c r="AI33" s="242">
        <v>976.4638977348809</v>
      </c>
      <c r="AJ33" s="242">
        <v>1511.3208889145103</v>
      </c>
      <c r="AK33" s="242">
        <v>604.27094957193754</v>
      </c>
      <c r="AL33" s="242">
        <v>481.84577467179133</v>
      </c>
      <c r="AM33" s="242">
        <v>355.90743559816292</v>
      </c>
      <c r="AN33" s="242">
        <v>1047.3114650166308</v>
      </c>
      <c r="AO33" s="242">
        <v>482.86375732288548</v>
      </c>
      <c r="AP33" s="242">
        <v>-650.87996707156617</v>
      </c>
      <c r="AQ33" s="242">
        <v>73.597703328478701</v>
      </c>
      <c r="AR33" s="242">
        <v>-1330.7674487723407</v>
      </c>
      <c r="AS33" s="242">
        <v>154.93122302825236</v>
      </c>
      <c r="AT33" s="242">
        <v>-418.4623449307046</v>
      </c>
      <c r="AU33" s="242">
        <v>80.656791253385563</v>
      </c>
      <c r="AV33" s="242">
        <v>-449.63241572039578</v>
      </c>
      <c r="AW33" s="242">
        <v>124.60140377070934</v>
      </c>
      <c r="AX33" s="242">
        <v>-175.95993813424593</v>
      </c>
      <c r="AY33" s="242">
        <v>2.455895259589397</v>
      </c>
      <c r="BA33" s="158"/>
      <c r="BB33" s="158"/>
    </row>
    <row r="34" spans="2:54">
      <c r="B34" s="225">
        <v>10086</v>
      </c>
      <c r="C34" s="225" t="s">
        <v>37</v>
      </c>
      <c r="D34" s="242">
        <v>42.560558230469724</v>
      </c>
      <c r="E34" s="242">
        <v>159.77226033131831</v>
      </c>
      <c r="F34" s="242">
        <v>-178.73417227230266</v>
      </c>
      <c r="G34" s="242">
        <v>-34.291031088570662</v>
      </c>
      <c r="H34" s="242">
        <v>349.91868984998973</v>
      </c>
      <c r="I34" s="242">
        <v>220.22051813138364</v>
      </c>
      <c r="J34" s="242">
        <v>769.38556550188355</v>
      </c>
      <c r="K34" s="242">
        <v>385.54216117090618</v>
      </c>
      <c r="L34" s="242">
        <v>702.87289803904832</v>
      </c>
      <c r="M34" s="242">
        <v>335.16494497245981</v>
      </c>
      <c r="N34" s="242">
        <v>294.56359421739626</v>
      </c>
      <c r="O34" s="242">
        <v>273.04263077356563</v>
      </c>
      <c r="P34" s="242">
        <v>377.4016048790761</v>
      </c>
      <c r="Q34" s="242">
        <v>229.63108818759076</v>
      </c>
      <c r="R34" s="242">
        <v>-472.72342396873887</v>
      </c>
      <c r="S34" s="242">
        <v>-3.4327382594883602</v>
      </c>
      <c r="T34" s="242">
        <v>-814.31732515767112</v>
      </c>
      <c r="U34" s="242">
        <v>-25.320059036070575</v>
      </c>
      <c r="V34" s="242">
        <v>-523.41153861208454</v>
      </c>
      <c r="W34" s="242">
        <v>-125.22047767107904</v>
      </c>
      <c r="X34" s="242">
        <v>-415.06276325374756</v>
      </c>
      <c r="Y34" s="242">
        <v>-120.87874115822149</v>
      </c>
      <c r="Z34" s="242">
        <v>-343.9730375257875</v>
      </c>
      <c r="AA34" s="242">
        <v>-60.521523691626726</v>
      </c>
      <c r="AB34" s="242">
        <v>103.04255823046969</v>
      </c>
      <c r="AC34" s="242">
        <v>104.77726033131842</v>
      </c>
      <c r="AD34" s="242">
        <v>-175.14317227230254</v>
      </c>
      <c r="AE34" s="242">
        <v>-31.873031088570542</v>
      </c>
      <c r="AF34" s="242">
        <v>354.21468984999001</v>
      </c>
      <c r="AG34" s="242">
        <v>223.35951813138354</v>
      </c>
      <c r="AH34" s="242">
        <v>773.90256550188337</v>
      </c>
      <c r="AI34" s="242">
        <v>388.56916117090623</v>
      </c>
      <c r="AJ34" s="242">
        <v>626.49089803904849</v>
      </c>
      <c r="AK34" s="242">
        <v>303.10794497245979</v>
      </c>
      <c r="AL34" s="242">
        <v>298.47359421739634</v>
      </c>
      <c r="AM34" s="242">
        <v>275.67563077356567</v>
      </c>
      <c r="AN34" s="242">
        <v>380.72760487907613</v>
      </c>
      <c r="AO34" s="242">
        <v>231.69108818759071</v>
      </c>
      <c r="AP34" s="242">
        <v>-469.7704239687389</v>
      </c>
      <c r="AQ34" s="242">
        <v>-1.5527382594883647</v>
      </c>
      <c r="AR34" s="242">
        <v>-811.53632515767117</v>
      </c>
      <c r="AS34" s="242">
        <v>-23.598059036070595</v>
      </c>
      <c r="AT34" s="242">
        <v>-520.54953861208469</v>
      </c>
      <c r="AU34" s="242">
        <v>-123.51147767107898</v>
      </c>
      <c r="AV34" s="242">
        <v>-460.0227632537476</v>
      </c>
      <c r="AW34" s="242">
        <v>-71.29874115822156</v>
      </c>
      <c r="AX34" s="242">
        <v>-293.55203752578768</v>
      </c>
      <c r="AY34" s="242">
        <v>-106.49052369162666</v>
      </c>
      <c r="BA34" s="158"/>
      <c r="BB34" s="158"/>
    </row>
    <row r="35" spans="2:54">
      <c r="B35" s="225">
        <v>10087</v>
      </c>
      <c r="C35" s="225" t="s">
        <v>38</v>
      </c>
      <c r="D35" s="242">
        <v>-4877.8868425856635</v>
      </c>
      <c r="E35" s="242">
        <v>25.027333278560036</v>
      </c>
      <c r="F35" s="242">
        <v>-8478.6756260989241</v>
      </c>
      <c r="G35" s="242">
        <v>-2785.3915208977833</v>
      </c>
      <c r="H35" s="242">
        <v>-2550.9947993018068</v>
      </c>
      <c r="I35" s="242">
        <v>-968.64271984244988</v>
      </c>
      <c r="J35" s="242">
        <v>3558.7830293010811</v>
      </c>
      <c r="K35" s="242">
        <v>2000.0464737061011</v>
      </c>
      <c r="L35" s="242">
        <v>3982.2934207854632</v>
      </c>
      <c r="M35" s="242">
        <v>2626.8078531533611</v>
      </c>
      <c r="N35" s="242">
        <v>-1486.7377144295642</v>
      </c>
      <c r="O35" s="242">
        <v>1030.035302474691</v>
      </c>
      <c r="P35" s="242">
        <v>379.07442172119772</v>
      </c>
      <c r="Q35" s="242">
        <v>2046.6959609819005</v>
      </c>
      <c r="R35" s="242">
        <v>-12238.798195101474</v>
      </c>
      <c r="S35" s="242">
        <v>-1417.8911905836503</v>
      </c>
      <c r="T35" s="242">
        <v>-16720.654741755236</v>
      </c>
      <c r="U35" s="242">
        <v>-2302.3363158084248</v>
      </c>
      <c r="V35" s="242">
        <v>-13766.141655326095</v>
      </c>
      <c r="W35" s="242">
        <v>-2833.6035620179409</v>
      </c>
      <c r="X35" s="242">
        <v>-12242.891133064044</v>
      </c>
      <c r="Y35" s="242">
        <v>-2907.4319877770777</v>
      </c>
      <c r="Z35" s="242">
        <v>-9641.0308475503825</v>
      </c>
      <c r="AA35" s="242">
        <v>-2311.0615065145885</v>
      </c>
      <c r="AB35" s="242">
        <v>-4877.8868425856635</v>
      </c>
      <c r="AC35" s="242">
        <v>25.027333278560036</v>
      </c>
      <c r="AD35" s="242">
        <v>-8478.6756260989241</v>
      </c>
      <c r="AE35" s="242">
        <v>-2785.3915208977833</v>
      </c>
      <c r="AF35" s="242">
        <v>-2550.9947993018068</v>
      </c>
      <c r="AG35" s="242">
        <v>-968.64271984244988</v>
      </c>
      <c r="AH35" s="242">
        <v>3558.7830293010811</v>
      </c>
      <c r="AI35" s="242">
        <v>2000.0464737061011</v>
      </c>
      <c r="AJ35" s="242">
        <v>3169.0674207854645</v>
      </c>
      <c r="AK35" s="242">
        <v>2048.5628531533603</v>
      </c>
      <c r="AL35" s="242">
        <v>-1486.7377144295642</v>
      </c>
      <c r="AM35" s="242">
        <v>1030.035302474691</v>
      </c>
      <c r="AN35" s="242">
        <v>379.07442172119772</v>
      </c>
      <c r="AO35" s="242">
        <v>2046.6959609819005</v>
      </c>
      <c r="AP35" s="242">
        <v>-12238.798195101474</v>
      </c>
      <c r="AQ35" s="242">
        <v>-1417.8911905836503</v>
      </c>
      <c r="AR35" s="242">
        <v>-16720.654741755236</v>
      </c>
      <c r="AS35" s="242">
        <v>-2302.3363158084248</v>
      </c>
      <c r="AT35" s="242">
        <v>-13766.141655326095</v>
      </c>
      <c r="AU35" s="242">
        <v>-2833.6035620179409</v>
      </c>
      <c r="AV35" s="242">
        <v>-12242.891133064044</v>
      </c>
      <c r="AW35" s="242">
        <v>-2907.4319877770777</v>
      </c>
      <c r="AX35" s="242">
        <v>-9641.0308475503825</v>
      </c>
      <c r="AY35" s="242">
        <v>-2311.0615065145885</v>
      </c>
      <c r="BA35" s="158"/>
      <c r="BB35" s="158"/>
    </row>
    <row r="36" spans="2:54">
      <c r="B36" s="225">
        <v>10089</v>
      </c>
      <c r="C36" s="225" t="s">
        <v>39</v>
      </c>
      <c r="D36" s="242">
        <v>-4937.7571044177894</v>
      </c>
      <c r="E36" s="242">
        <v>112.33721802464788</v>
      </c>
      <c r="F36" s="242">
        <v>-11511.436445291525</v>
      </c>
      <c r="G36" s="242">
        <v>-4881.6161890568765</v>
      </c>
      <c r="H36" s="242">
        <v>6273.516225470572</v>
      </c>
      <c r="I36" s="242">
        <v>5066.3721825116372</v>
      </c>
      <c r="J36" s="242">
        <v>17044.200613336907</v>
      </c>
      <c r="K36" s="242">
        <v>8621.3702142428374</v>
      </c>
      <c r="L36" s="242">
        <v>7994.5590567509353</v>
      </c>
      <c r="M36" s="242">
        <v>2785.7302773576412</v>
      </c>
      <c r="N36" s="242">
        <v>-2858.4651333377042</v>
      </c>
      <c r="O36" s="242">
        <v>866.88351116097328</v>
      </c>
      <c r="P36" s="242">
        <v>2895.2343321063745</v>
      </c>
      <c r="Q36" s="242">
        <v>702.69842273473114</v>
      </c>
      <c r="R36" s="242">
        <v>-10693.67089355291</v>
      </c>
      <c r="S36" s="242">
        <v>-478.78324970818358</v>
      </c>
      <c r="T36" s="242">
        <v>-15067.37517716398</v>
      </c>
      <c r="U36" s="242">
        <v>3216.5146680632351</v>
      </c>
      <c r="V36" s="242">
        <v>776.20590234070551</v>
      </c>
      <c r="W36" s="242">
        <v>4185.4357076306951</v>
      </c>
      <c r="X36" s="242">
        <v>2489.5637302764662</v>
      </c>
      <c r="Y36" s="242">
        <v>3350.9988737602944</v>
      </c>
      <c r="Z36" s="242">
        <v>-6635.076329532305</v>
      </c>
      <c r="AA36" s="242">
        <v>1072.8965003163721</v>
      </c>
      <c r="AB36" s="242">
        <v>-3322.9961044177835</v>
      </c>
      <c r="AC36" s="242">
        <v>-1686.9167819753529</v>
      </c>
      <c r="AD36" s="242">
        <v>-11614.915445291525</v>
      </c>
      <c r="AE36" s="242">
        <v>-4988.1221890568777</v>
      </c>
      <c r="AF36" s="242">
        <v>6009.3552254705792</v>
      </c>
      <c r="AG36" s="242">
        <v>4855.7801825116403</v>
      </c>
      <c r="AH36" s="242">
        <v>16867.55361333691</v>
      </c>
      <c r="AI36" s="242">
        <v>8443.8512142428372</v>
      </c>
      <c r="AJ36" s="242">
        <v>7530.0670567509296</v>
      </c>
      <c r="AK36" s="242">
        <v>2923.4632773576413</v>
      </c>
      <c r="AL36" s="242">
        <v>-2947.886133337699</v>
      </c>
      <c r="AM36" s="242">
        <v>796.24651116097084</v>
      </c>
      <c r="AN36" s="242">
        <v>3046.9823321063741</v>
      </c>
      <c r="AO36" s="242">
        <v>435.59542273473562</v>
      </c>
      <c r="AP36" s="242">
        <v>-10925.13689355291</v>
      </c>
      <c r="AQ36" s="242">
        <v>-380.52324970818518</v>
      </c>
      <c r="AR36" s="242">
        <v>-15114.801177163979</v>
      </c>
      <c r="AS36" s="242">
        <v>3151.5846680632385</v>
      </c>
      <c r="AT36" s="242">
        <v>759.89490234070399</v>
      </c>
      <c r="AU36" s="242">
        <v>4088.5097076306956</v>
      </c>
      <c r="AV36" s="242">
        <v>285.04873027647409</v>
      </c>
      <c r="AW36" s="242">
        <v>5391.371873760294</v>
      </c>
      <c r="AX36" s="242">
        <v>-4951.9463295323076</v>
      </c>
      <c r="AY36" s="242">
        <v>-809.37949968362955</v>
      </c>
      <c r="BA36" s="158"/>
      <c r="BB36" s="158"/>
    </row>
    <row r="37" spans="2:54">
      <c r="B37" s="225">
        <v>10091</v>
      </c>
      <c r="C37" s="225" t="s">
        <v>40</v>
      </c>
      <c r="D37" s="242">
        <v>-279.92044996971754</v>
      </c>
      <c r="E37" s="242">
        <v>56.120095345646405</v>
      </c>
      <c r="F37" s="242">
        <v>-572.43824107220371</v>
      </c>
      <c r="G37" s="242">
        <v>-20.845798033440587</v>
      </c>
      <c r="H37" s="242">
        <v>752.96360878417727</v>
      </c>
      <c r="I37" s="242">
        <v>483.20142685768906</v>
      </c>
      <c r="J37" s="242">
        <v>1621.6501726623046</v>
      </c>
      <c r="K37" s="242">
        <v>1035.7434254392051</v>
      </c>
      <c r="L37" s="242">
        <v>1480.4103706650599</v>
      </c>
      <c r="M37" s="242">
        <v>859.37939881266266</v>
      </c>
      <c r="N37" s="242">
        <v>247.99488697506558</v>
      </c>
      <c r="O37" s="242">
        <v>348.03746104756283</v>
      </c>
      <c r="P37" s="242">
        <v>544.64542013990558</v>
      </c>
      <c r="Q37" s="242">
        <v>383.52679818958518</v>
      </c>
      <c r="R37" s="242">
        <v>-1376.3944181909924</v>
      </c>
      <c r="S37" s="242">
        <v>-121.45450565634656</v>
      </c>
      <c r="T37" s="242">
        <v>-1756.6373857104913</v>
      </c>
      <c r="U37" s="242">
        <v>-50.612840085622793</v>
      </c>
      <c r="V37" s="242">
        <v>-864.03724144307989</v>
      </c>
      <c r="W37" s="242">
        <v>61.741370826135608</v>
      </c>
      <c r="X37" s="242">
        <v>-910.45828877457188</v>
      </c>
      <c r="Y37" s="242">
        <v>-140.07092092269068</v>
      </c>
      <c r="Z37" s="242">
        <v>-906.78868720132186</v>
      </c>
      <c r="AA37" s="242">
        <v>-249.71223892183571</v>
      </c>
      <c r="AB37" s="242">
        <v>-279.92044996971754</v>
      </c>
      <c r="AC37" s="242">
        <v>56.120095345646405</v>
      </c>
      <c r="AD37" s="242">
        <v>-572.43824107220371</v>
      </c>
      <c r="AE37" s="242">
        <v>-20.845798033440587</v>
      </c>
      <c r="AF37" s="242">
        <v>752.96360878417727</v>
      </c>
      <c r="AG37" s="242">
        <v>483.20142685768906</v>
      </c>
      <c r="AH37" s="242">
        <v>1621.6501726623046</v>
      </c>
      <c r="AI37" s="242">
        <v>1035.7434254392051</v>
      </c>
      <c r="AJ37" s="242">
        <v>1321.3903706650594</v>
      </c>
      <c r="AK37" s="242">
        <v>751.8423988126624</v>
      </c>
      <c r="AL37" s="242">
        <v>247.99488697506558</v>
      </c>
      <c r="AM37" s="242">
        <v>348.03746104756283</v>
      </c>
      <c r="AN37" s="242">
        <v>544.64542013990558</v>
      </c>
      <c r="AO37" s="242">
        <v>383.52679818958518</v>
      </c>
      <c r="AP37" s="242">
        <v>-1376.3944181909924</v>
      </c>
      <c r="AQ37" s="242">
        <v>-121.45450565634656</v>
      </c>
      <c r="AR37" s="242">
        <v>-1756.6373857104913</v>
      </c>
      <c r="AS37" s="242">
        <v>-50.612840085622793</v>
      </c>
      <c r="AT37" s="242">
        <v>-864.03724144307989</v>
      </c>
      <c r="AU37" s="242">
        <v>61.741370826135608</v>
      </c>
      <c r="AV37" s="242">
        <v>-910.45828877457188</v>
      </c>
      <c r="AW37" s="242">
        <v>-140.07092092269068</v>
      </c>
      <c r="AX37" s="242">
        <v>-906.78868720132186</v>
      </c>
      <c r="AY37" s="242">
        <v>-249.71223892183571</v>
      </c>
      <c r="BA37" s="158"/>
      <c r="BB37" s="158"/>
    </row>
    <row r="38" spans="2:54">
      <c r="B38" s="225">
        <v>10094</v>
      </c>
      <c r="C38" s="225" t="s">
        <v>41</v>
      </c>
      <c r="D38" s="242">
        <v>90.009107223281489</v>
      </c>
      <c r="E38" s="242">
        <v>85.365999406552191</v>
      </c>
      <c r="F38" s="242">
        <v>-107.43621785592063</v>
      </c>
      <c r="G38" s="242">
        <v>-18.571769192972056</v>
      </c>
      <c r="H38" s="242">
        <v>278.92233638467724</v>
      </c>
      <c r="I38" s="242">
        <v>60.164054329230339</v>
      </c>
      <c r="J38" s="242">
        <v>528.94656019040485</v>
      </c>
      <c r="K38" s="242">
        <v>247.78703243753444</v>
      </c>
      <c r="L38" s="242">
        <v>480.44357867274402</v>
      </c>
      <c r="M38" s="242">
        <v>208.29490678957211</v>
      </c>
      <c r="N38" s="242">
        <v>212.15293801092389</v>
      </c>
      <c r="O38" s="242">
        <v>114.52211563857963</v>
      </c>
      <c r="P38" s="242">
        <v>359.24440665680379</v>
      </c>
      <c r="Q38" s="242">
        <v>210.60755984511775</v>
      </c>
      <c r="R38" s="242">
        <v>-311.40273084309774</v>
      </c>
      <c r="S38" s="242">
        <v>46.606874104178473</v>
      </c>
      <c r="T38" s="242">
        <v>-572.95844584732208</v>
      </c>
      <c r="U38" s="242">
        <v>-49.228731635184204</v>
      </c>
      <c r="V38" s="242">
        <v>-301.07043726648317</v>
      </c>
      <c r="W38" s="242">
        <v>-24.113230838401478</v>
      </c>
      <c r="X38" s="242">
        <v>-193.03596200400443</v>
      </c>
      <c r="Y38" s="242">
        <v>-6.3959596708755271</v>
      </c>
      <c r="Z38" s="242">
        <v>-92.781515824992994</v>
      </c>
      <c r="AA38" s="242">
        <v>13.741697923794163</v>
      </c>
      <c r="AB38" s="242">
        <v>88.009107223281489</v>
      </c>
      <c r="AC38" s="242">
        <v>87.365999406552191</v>
      </c>
      <c r="AD38" s="242">
        <v>-107.43621785592063</v>
      </c>
      <c r="AE38" s="242">
        <v>-18.571769192972056</v>
      </c>
      <c r="AF38" s="242">
        <v>278.92233638467724</v>
      </c>
      <c r="AG38" s="242">
        <v>60.164054329230339</v>
      </c>
      <c r="AH38" s="242">
        <v>528.94656019040485</v>
      </c>
      <c r="AI38" s="242">
        <v>247.78703243753444</v>
      </c>
      <c r="AJ38" s="242">
        <v>429.17657867274397</v>
      </c>
      <c r="AK38" s="242">
        <v>176.58690678957214</v>
      </c>
      <c r="AL38" s="242">
        <v>212.15293801092389</v>
      </c>
      <c r="AM38" s="242">
        <v>114.52211563857963</v>
      </c>
      <c r="AN38" s="242">
        <v>359.24440665680379</v>
      </c>
      <c r="AO38" s="242">
        <v>210.60755984511775</v>
      </c>
      <c r="AP38" s="242">
        <v>-311.40273084309774</v>
      </c>
      <c r="AQ38" s="242">
        <v>46.606874104178473</v>
      </c>
      <c r="AR38" s="242">
        <v>-572.95844584732208</v>
      </c>
      <c r="AS38" s="242">
        <v>-49.228731635184204</v>
      </c>
      <c r="AT38" s="242">
        <v>-301.07043726648317</v>
      </c>
      <c r="AU38" s="242">
        <v>-24.113230838401478</v>
      </c>
      <c r="AV38" s="242">
        <v>-192.03596200400443</v>
      </c>
      <c r="AW38" s="242">
        <v>-8.3959596708755271</v>
      </c>
      <c r="AX38" s="242">
        <v>-92.781515824992994</v>
      </c>
      <c r="AY38" s="242">
        <v>13.741697923794163</v>
      </c>
      <c r="BA38" s="158"/>
      <c r="BB38" s="158"/>
    </row>
    <row r="39" spans="2:54">
      <c r="B39" s="225">
        <v>10095</v>
      </c>
      <c r="C39" s="225" t="s">
        <v>42</v>
      </c>
      <c r="D39" s="242">
        <v>213.57830252613553</v>
      </c>
      <c r="E39" s="242">
        <v>134.41008880223262</v>
      </c>
      <c r="F39" s="242">
        <v>-119.32491348958251</v>
      </c>
      <c r="G39" s="242">
        <v>-135.82227557929389</v>
      </c>
      <c r="H39" s="242">
        <v>134.34605566346158</v>
      </c>
      <c r="I39" s="242">
        <v>-89.252881124273472</v>
      </c>
      <c r="J39" s="242">
        <v>677.36601976803036</v>
      </c>
      <c r="K39" s="242">
        <v>162.17052228440843</v>
      </c>
      <c r="L39" s="242">
        <v>759.35956623405855</v>
      </c>
      <c r="M39" s="242">
        <v>212.07917975526675</v>
      </c>
      <c r="N39" s="242">
        <v>410.28613024839728</v>
      </c>
      <c r="O39" s="242">
        <v>159.77833819563625</v>
      </c>
      <c r="P39" s="242">
        <v>568.93089698731706</v>
      </c>
      <c r="Q39" s="242">
        <v>217.35399122087006</v>
      </c>
      <c r="R39" s="242">
        <v>-79.641620883409132</v>
      </c>
      <c r="S39" s="242">
        <v>98.651874564858417</v>
      </c>
      <c r="T39" s="242">
        <v>-340.56808977594415</v>
      </c>
      <c r="U39" s="242">
        <v>126.62236026367918</v>
      </c>
      <c r="V39" s="242">
        <v>-76.121550071561842</v>
      </c>
      <c r="W39" s="242">
        <v>80.808592677211436</v>
      </c>
      <c r="X39" s="242">
        <v>-21.672197390992324</v>
      </c>
      <c r="Y39" s="242">
        <v>32.566058604499631</v>
      </c>
      <c r="Z39" s="242">
        <v>-2.884488291360185</v>
      </c>
      <c r="AA39" s="242">
        <v>67.950149172018996</v>
      </c>
      <c r="AB39" s="242">
        <v>256.14330252613559</v>
      </c>
      <c r="AC39" s="242">
        <v>82.950088802232699</v>
      </c>
      <c r="AD39" s="242">
        <v>-125.57091348958261</v>
      </c>
      <c r="AE39" s="242">
        <v>-139.53127557929395</v>
      </c>
      <c r="AF39" s="242">
        <v>126.56005566346175</v>
      </c>
      <c r="AG39" s="242">
        <v>-94.271881124273477</v>
      </c>
      <c r="AH39" s="242">
        <v>684.57801976803012</v>
      </c>
      <c r="AI39" s="242">
        <v>166.3985222844085</v>
      </c>
      <c r="AJ39" s="242">
        <v>677.52456623405851</v>
      </c>
      <c r="AK39" s="242">
        <v>177.33917975526697</v>
      </c>
      <c r="AL39" s="242">
        <v>417.3721302483973</v>
      </c>
      <c r="AM39" s="242">
        <v>163.8723381956363</v>
      </c>
      <c r="AN39" s="242">
        <v>573.35089698731713</v>
      </c>
      <c r="AO39" s="242">
        <v>219.76299122087005</v>
      </c>
      <c r="AP39" s="242">
        <v>-76.075620883409101</v>
      </c>
      <c r="AQ39" s="242">
        <v>100.66187456485841</v>
      </c>
      <c r="AR39" s="242">
        <v>-338.47808977594423</v>
      </c>
      <c r="AS39" s="242">
        <v>127.78736026367915</v>
      </c>
      <c r="AT39" s="242">
        <v>-73.380550071561856</v>
      </c>
      <c r="AU39" s="242">
        <v>82.371592677211424</v>
      </c>
      <c r="AV39" s="242">
        <v>-66.965197390992444</v>
      </c>
      <c r="AW39" s="242">
        <v>80.936058604499635</v>
      </c>
      <c r="AX39" s="242">
        <v>43.363511708639862</v>
      </c>
      <c r="AY39" s="242">
        <v>21.833149172019034</v>
      </c>
      <c r="BA39" s="158"/>
      <c r="BB39" s="158"/>
    </row>
    <row r="40" spans="2:54">
      <c r="B40" s="225">
        <v>10097</v>
      </c>
      <c r="C40" s="225" t="s">
        <v>43</v>
      </c>
      <c r="D40" s="242">
        <v>21.514929655054743</v>
      </c>
      <c r="E40" s="242">
        <v>72.318482512743401</v>
      </c>
      <c r="F40" s="242">
        <v>-77.299976222317468</v>
      </c>
      <c r="G40" s="242">
        <v>32.114842155099382</v>
      </c>
      <c r="H40" s="242">
        <v>344.60532848318496</v>
      </c>
      <c r="I40" s="242">
        <v>251.83294438366852</v>
      </c>
      <c r="J40" s="242">
        <v>536.4810913065586</v>
      </c>
      <c r="K40" s="242">
        <v>391.9210113031213</v>
      </c>
      <c r="L40" s="242">
        <v>410.73623088805823</v>
      </c>
      <c r="M40" s="242">
        <v>233.37873633915484</v>
      </c>
      <c r="N40" s="242">
        <v>168.9971920715011</v>
      </c>
      <c r="O40" s="242">
        <v>161.09038496464564</v>
      </c>
      <c r="P40" s="242">
        <v>178.59628565718106</v>
      </c>
      <c r="Q40" s="242">
        <v>160.22381462753071</v>
      </c>
      <c r="R40" s="242">
        <v>-375.12681195377377</v>
      </c>
      <c r="S40" s="242">
        <v>-55.752362086803316</v>
      </c>
      <c r="T40" s="242">
        <v>-521.35343866900075</v>
      </c>
      <c r="U40" s="242">
        <v>-89.534145431095567</v>
      </c>
      <c r="V40" s="242">
        <v>-378.89992488980954</v>
      </c>
      <c r="W40" s="242">
        <v>-112.92132090202904</v>
      </c>
      <c r="X40" s="242">
        <v>-350.28779175623276</v>
      </c>
      <c r="Y40" s="242">
        <v>-120.21575671010157</v>
      </c>
      <c r="Z40" s="242">
        <v>-272.93908920505248</v>
      </c>
      <c r="AA40" s="242">
        <v>-96.737482165061692</v>
      </c>
      <c r="AB40" s="242">
        <v>23.240929655054742</v>
      </c>
      <c r="AC40" s="242">
        <v>73.404482512743414</v>
      </c>
      <c r="AD40" s="242">
        <v>-75.41697622231743</v>
      </c>
      <c r="AE40" s="242">
        <v>33.461842155099475</v>
      </c>
      <c r="AF40" s="242">
        <v>347.16132848318477</v>
      </c>
      <c r="AG40" s="242">
        <v>253.73794438366849</v>
      </c>
      <c r="AH40" s="242">
        <v>539.0910913065585</v>
      </c>
      <c r="AI40" s="242">
        <v>393.86901130312128</v>
      </c>
      <c r="AJ40" s="242">
        <v>376.93323088805835</v>
      </c>
      <c r="AK40" s="242">
        <v>208.25373633915484</v>
      </c>
      <c r="AL40" s="242">
        <v>171.03919207150113</v>
      </c>
      <c r="AM40" s="242">
        <v>162.48238496464558</v>
      </c>
      <c r="AN40" s="242">
        <v>180.28928565718104</v>
      </c>
      <c r="AO40" s="242">
        <v>161.37581462753076</v>
      </c>
      <c r="AP40" s="242">
        <v>-373.85781195377376</v>
      </c>
      <c r="AQ40" s="242">
        <v>-54.885362086803354</v>
      </c>
      <c r="AR40" s="242">
        <v>-520.11243866900077</v>
      </c>
      <c r="AS40" s="242">
        <v>-88.794145431095558</v>
      </c>
      <c r="AT40" s="242">
        <v>-377.63892488980957</v>
      </c>
      <c r="AU40" s="242">
        <v>-112.13532090202904</v>
      </c>
      <c r="AV40" s="242">
        <v>-349.01579175623272</v>
      </c>
      <c r="AW40" s="242">
        <v>-119.49975671010162</v>
      </c>
      <c r="AX40" s="242">
        <v>-271.75208920505247</v>
      </c>
      <c r="AY40" s="242">
        <v>-95.948482165061705</v>
      </c>
      <c r="BA40" s="158"/>
      <c r="BB40" s="158"/>
    </row>
    <row r="41" spans="2:54">
      <c r="B41" s="225">
        <v>10101</v>
      </c>
      <c r="C41" s="225" t="s">
        <v>44</v>
      </c>
      <c r="D41" s="242">
        <v>-36.443908962733985</v>
      </c>
      <c r="E41" s="242">
        <v>682.35498747035308</v>
      </c>
      <c r="F41" s="242">
        <v>432.05208831653727</v>
      </c>
      <c r="G41" s="242">
        <v>1852.3054253554583</v>
      </c>
      <c r="H41" s="242">
        <v>11683.889514958828</v>
      </c>
      <c r="I41" s="242">
        <v>4787.9052704093519</v>
      </c>
      <c r="J41" s="242">
        <v>18179.034836442403</v>
      </c>
      <c r="K41" s="242">
        <v>9612.4359154132835</v>
      </c>
      <c r="L41" s="242">
        <v>17446.750819188317</v>
      </c>
      <c r="M41" s="242">
        <v>8886.7785445381414</v>
      </c>
      <c r="N41" s="242">
        <v>7952.305804305528</v>
      </c>
      <c r="O41" s="242">
        <v>4960.9317439046354</v>
      </c>
      <c r="P41" s="242">
        <v>6236.4691637444412</v>
      </c>
      <c r="Q41" s="242">
        <v>4007.8134504453665</v>
      </c>
      <c r="R41" s="242">
        <v>-12068.215780710783</v>
      </c>
      <c r="S41" s="242">
        <v>-1364.2650727315158</v>
      </c>
      <c r="T41" s="242">
        <v>-19533.253447216193</v>
      </c>
      <c r="U41" s="242">
        <v>-3615.2486191844455</v>
      </c>
      <c r="V41" s="242">
        <v>-15587.092478417188</v>
      </c>
      <c r="W41" s="242">
        <v>-4868.4384698515405</v>
      </c>
      <c r="X41" s="242">
        <v>-13781.093522759616</v>
      </c>
      <c r="Y41" s="242">
        <v>-4929.9127954444994</v>
      </c>
      <c r="Z41" s="242">
        <v>-9163.7846745414863</v>
      </c>
      <c r="AA41" s="242">
        <v>-3751.7943532253521</v>
      </c>
      <c r="AB41" s="242">
        <v>-102.46690896273503</v>
      </c>
      <c r="AC41" s="242">
        <v>630.76498747035293</v>
      </c>
      <c r="AD41" s="242">
        <v>368.36308831653878</v>
      </c>
      <c r="AE41" s="242">
        <v>1801.516425355454</v>
      </c>
      <c r="AF41" s="242">
        <v>11616.976514958827</v>
      </c>
      <c r="AG41" s="242">
        <v>4735.5412704093505</v>
      </c>
      <c r="AH41" s="242">
        <v>18114.740836442408</v>
      </c>
      <c r="AI41" s="242">
        <v>9557.7159154132823</v>
      </c>
      <c r="AJ41" s="242">
        <v>16243.592819188314</v>
      </c>
      <c r="AK41" s="242">
        <v>8111.3355445381421</v>
      </c>
      <c r="AL41" s="242">
        <v>7883.8938043055241</v>
      </c>
      <c r="AM41" s="242">
        <v>4911.8877439046337</v>
      </c>
      <c r="AN41" s="242">
        <v>6241.8601637444408</v>
      </c>
      <c r="AO41" s="242">
        <v>3889.9114504453682</v>
      </c>
      <c r="AP41" s="242">
        <v>-12201.581780710781</v>
      </c>
      <c r="AQ41" s="242">
        <v>-1347.5480727315189</v>
      </c>
      <c r="AR41" s="242">
        <v>-19598.182447216193</v>
      </c>
      <c r="AS41" s="242">
        <v>-3662.5246191844471</v>
      </c>
      <c r="AT41" s="242">
        <v>-15649.85547841719</v>
      </c>
      <c r="AU41" s="242">
        <v>-4922.0824698515389</v>
      </c>
      <c r="AV41" s="242">
        <v>-13848.590522759616</v>
      </c>
      <c r="AW41" s="242">
        <v>-4978.4497954444996</v>
      </c>
      <c r="AX41" s="242">
        <v>-9226.5016745414869</v>
      </c>
      <c r="AY41" s="242">
        <v>-3801.7283532253532</v>
      </c>
      <c r="BA41" s="158"/>
      <c r="BB41" s="158"/>
    </row>
    <row r="42" spans="2:54">
      <c r="B42" s="225">
        <v>10103</v>
      </c>
      <c r="C42" s="225" t="s">
        <v>45</v>
      </c>
      <c r="D42" s="242">
        <v>-13958.736228289279</v>
      </c>
      <c r="E42" s="242">
        <v>4586.135131952964</v>
      </c>
      <c r="F42" s="242">
        <v>-10623.516095177387</v>
      </c>
      <c r="G42" s="242">
        <v>5714.5631397553007</v>
      </c>
      <c r="H42" s="242">
        <v>14754.692057165958</v>
      </c>
      <c r="I42" s="242">
        <v>14486.667383237196</v>
      </c>
      <c r="J42" s="242">
        <v>26086.577369304039</v>
      </c>
      <c r="K42" s="242">
        <v>28740.421533148881</v>
      </c>
      <c r="L42" s="242">
        <v>13037.420416320318</v>
      </c>
      <c r="M42" s="242">
        <v>11334.809909933312</v>
      </c>
      <c r="N42" s="242">
        <v>-4846.8329891962348</v>
      </c>
      <c r="O42" s="242">
        <v>2827.2805518644527</v>
      </c>
      <c r="P42" s="242">
        <v>-1022.2383211114284</v>
      </c>
      <c r="Q42" s="242">
        <v>5054.229240975219</v>
      </c>
      <c r="R42" s="242">
        <v>-12589.725372319808</v>
      </c>
      <c r="S42" s="242">
        <v>19769.922738460191</v>
      </c>
      <c r="T42" s="242">
        <v>-40903.093986128981</v>
      </c>
      <c r="U42" s="242">
        <v>336.98526847580797</v>
      </c>
      <c r="V42" s="242">
        <v>-29644.557941375693</v>
      </c>
      <c r="W42" s="242">
        <v>3767.1861766028233</v>
      </c>
      <c r="X42" s="242">
        <v>-22833.635670350028</v>
      </c>
      <c r="Y42" s="242">
        <v>2431.0454051127381</v>
      </c>
      <c r="Z42" s="242">
        <v>-25215.605469261922</v>
      </c>
      <c r="AA42" s="242">
        <v>-3895.0061647192269</v>
      </c>
      <c r="AB42" s="242">
        <v>-12957.783687905132</v>
      </c>
      <c r="AC42" s="242">
        <v>5375.3477118712326</v>
      </c>
      <c r="AD42" s="242">
        <v>-9294.6443292125914</v>
      </c>
      <c r="AE42" s="242">
        <v>6780.982731942051</v>
      </c>
      <c r="AF42" s="242">
        <v>16418.246983438876</v>
      </c>
      <c r="AG42" s="242">
        <v>15798.316459721616</v>
      </c>
      <c r="AH42" s="242">
        <v>27713.260804381644</v>
      </c>
      <c r="AI42" s="242">
        <v>30139.369287315611</v>
      </c>
      <c r="AJ42" s="242">
        <v>14290.896194721347</v>
      </c>
      <c r="AK42" s="242">
        <v>12274.91674373408</v>
      </c>
      <c r="AL42" s="242">
        <v>-3659.3847324215822</v>
      </c>
      <c r="AM42" s="242">
        <v>3682.1333478295346</v>
      </c>
      <c r="AN42" s="242">
        <v>-2110.242129888713</v>
      </c>
      <c r="AO42" s="242">
        <v>7831.5437970808998</v>
      </c>
      <c r="AP42" s="242">
        <v>-8513.0725609508663</v>
      </c>
      <c r="AQ42" s="242">
        <v>18063.347691999581</v>
      </c>
      <c r="AR42" s="242">
        <v>-39956.183484310037</v>
      </c>
      <c r="AS42" s="242">
        <v>1028.9583274973484</v>
      </c>
      <c r="AT42" s="242">
        <v>-28682.10357562171</v>
      </c>
      <c r="AU42" s="242">
        <v>4594.8969311512556</v>
      </c>
      <c r="AV42" s="242">
        <v>-21779.544804419478</v>
      </c>
      <c r="AW42" s="242">
        <v>3192.3332527292441</v>
      </c>
      <c r="AX42" s="242">
        <v>-24389.159912940318</v>
      </c>
      <c r="AY42" s="242">
        <v>-3233.8497196619428</v>
      </c>
      <c r="BA42" s="158"/>
      <c r="BB42" s="158"/>
    </row>
    <row r="43" spans="2:54">
      <c r="B43" s="225">
        <v>10105</v>
      </c>
      <c r="C43" s="225" t="s">
        <v>46</v>
      </c>
      <c r="D43" s="242">
        <v>-1147.8996873547185</v>
      </c>
      <c r="E43" s="242">
        <v>2599.7030888355839</v>
      </c>
      <c r="F43" s="242">
        <v>-4487.3157964998336</v>
      </c>
      <c r="G43" s="242">
        <v>-400.22368084588197</v>
      </c>
      <c r="H43" s="242">
        <v>-1201.0518323915276</v>
      </c>
      <c r="I43" s="242">
        <v>-305.65089120944867</v>
      </c>
      <c r="J43" s="242">
        <v>863.39386707911581</v>
      </c>
      <c r="K43" s="242">
        <v>2159.9711904070718</v>
      </c>
      <c r="L43" s="242">
        <v>2166.8054554235223</v>
      </c>
      <c r="M43" s="242">
        <v>1975.0285628414513</v>
      </c>
      <c r="N43" s="242">
        <v>617.49123285648602</v>
      </c>
      <c r="O43" s="242">
        <v>1864.3686130191945</v>
      </c>
      <c r="P43" s="242">
        <v>3061.3087523741488</v>
      </c>
      <c r="Q43" s="242">
        <v>3541.1129574102169</v>
      </c>
      <c r="R43" s="242">
        <v>-7319.9910431762619</v>
      </c>
      <c r="S43" s="242">
        <v>582.40943177279769</v>
      </c>
      <c r="T43" s="242">
        <v>-5901.5251609443476</v>
      </c>
      <c r="U43" s="242">
        <v>2481.9199060631036</v>
      </c>
      <c r="V43" s="242">
        <v>-5241.5496408943691</v>
      </c>
      <c r="W43" s="242">
        <v>2069.6577382330652</v>
      </c>
      <c r="X43" s="242">
        <v>-3597.6265086889725</v>
      </c>
      <c r="Y43" s="242">
        <v>1654.9953172913938</v>
      </c>
      <c r="Z43" s="242">
        <v>-2158.979904311087</v>
      </c>
      <c r="AA43" s="242">
        <v>1931.6615705309796</v>
      </c>
      <c r="AB43" s="242">
        <v>-718.99662093759252</v>
      </c>
      <c r="AC43" s="242">
        <v>2790.9232799715046</v>
      </c>
      <c r="AD43" s="242">
        <v>-3921.3584542976369</v>
      </c>
      <c r="AE43" s="242">
        <v>-80.252653769570315</v>
      </c>
      <c r="AF43" s="242">
        <v>-728.63156648754739</v>
      </c>
      <c r="AG43" s="242">
        <v>39.943613407580415</v>
      </c>
      <c r="AH43" s="242">
        <v>1224.197625308745</v>
      </c>
      <c r="AI43" s="242">
        <v>2410.8294310922502</v>
      </c>
      <c r="AJ43" s="242">
        <v>2465.0934050521682</v>
      </c>
      <c r="AK43" s="242">
        <v>2184.0723871205228</v>
      </c>
      <c r="AL43" s="242">
        <v>1025.7135322187205</v>
      </c>
      <c r="AM43" s="242">
        <v>2098.7181020063254</v>
      </c>
      <c r="AN43" s="242">
        <v>2767.2645117333468</v>
      </c>
      <c r="AO43" s="242">
        <v>4263.9322358782665</v>
      </c>
      <c r="AP43" s="242">
        <v>-6285.2325585083126</v>
      </c>
      <c r="AQ43" s="242">
        <v>379.87410519232799</v>
      </c>
      <c r="AR43" s="242">
        <v>-5255.8722818927145</v>
      </c>
      <c r="AS43" s="242">
        <v>2668.8505108332502</v>
      </c>
      <c r="AT43" s="242">
        <v>-4668.8807149109889</v>
      </c>
      <c r="AU43" s="242">
        <v>2286.3667018067572</v>
      </c>
      <c r="AV43" s="242">
        <v>-3060.8908045107873</v>
      </c>
      <c r="AW43" s="242">
        <v>1864.3000644401054</v>
      </c>
      <c r="AX43" s="242">
        <v>-1703.7982859460062</v>
      </c>
      <c r="AY43" s="242">
        <v>2142.3935140440535</v>
      </c>
      <c r="BA43" s="158"/>
      <c r="BB43" s="158"/>
    </row>
    <row r="44" spans="2:54">
      <c r="B44" s="225">
        <v>10106</v>
      </c>
      <c r="C44" s="225" t="s">
        <v>47</v>
      </c>
      <c r="D44" s="242">
        <v>0</v>
      </c>
      <c r="E44" s="242">
        <v>0</v>
      </c>
      <c r="F44" s="242">
        <v>0</v>
      </c>
      <c r="G44" s="242">
        <v>0</v>
      </c>
      <c r="H44" s="242">
        <v>0</v>
      </c>
      <c r="I44" s="242">
        <v>0</v>
      </c>
      <c r="J44" s="242">
        <v>0</v>
      </c>
      <c r="K44" s="242">
        <v>0</v>
      </c>
      <c r="L44" s="242">
        <v>0</v>
      </c>
      <c r="M44" s="242">
        <v>0</v>
      </c>
      <c r="N44" s="242">
        <v>0</v>
      </c>
      <c r="O44" s="242">
        <v>0</v>
      </c>
      <c r="P44" s="242">
        <v>0</v>
      </c>
      <c r="Q44" s="242">
        <v>0</v>
      </c>
      <c r="R44" s="242">
        <v>0</v>
      </c>
      <c r="S44" s="242">
        <v>0</v>
      </c>
      <c r="T44" s="242">
        <v>0</v>
      </c>
      <c r="U44" s="242">
        <v>0</v>
      </c>
      <c r="V44" s="242">
        <v>0</v>
      </c>
      <c r="W44" s="242">
        <v>0</v>
      </c>
      <c r="X44" s="242">
        <v>0</v>
      </c>
      <c r="Y44" s="242">
        <v>0</v>
      </c>
      <c r="Z44" s="242">
        <v>0</v>
      </c>
      <c r="AA44" s="242">
        <v>0</v>
      </c>
      <c r="AB44" s="242">
        <v>0</v>
      </c>
      <c r="AC44" s="242">
        <v>0</v>
      </c>
      <c r="AD44" s="242">
        <v>0</v>
      </c>
      <c r="AE44" s="242">
        <v>0</v>
      </c>
      <c r="AF44" s="242">
        <v>0</v>
      </c>
      <c r="AG44" s="242">
        <v>0</v>
      </c>
      <c r="AH44" s="242">
        <v>0</v>
      </c>
      <c r="AI44" s="242">
        <v>0</v>
      </c>
      <c r="AJ44" s="242">
        <v>0</v>
      </c>
      <c r="AK44" s="242">
        <v>0</v>
      </c>
      <c r="AL44" s="242">
        <v>0</v>
      </c>
      <c r="AM44" s="242">
        <v>0</v>
      </c>
      <c r="AN44" s="242">
        <v>0</v>
      </c>
      <c r="AO44" s="242">
        <v>0</v>
      </c>
      <c r="AP44" s="242">
        <v>0</v>
      </c>
      <c r="AQ44" s="242">
        <v>0</v>
      </c>
      <c r="AR44" s="242">
        <v>0</v>
      </c>
      <c r="AS44" s="242">
        <v>0</v>
      </c>
      <c r="AT44" s="242">
        <v>0</v>
      </c>
      <c r="AU44" s="242">
        <v>0</v>
      </c>
      <c r="AV44" s="242">
        <v>0</v>
      </c>
      <c r="AW44" s="242">
        <v>0</v>
      </c>
      <c r="AX44" s="242">
        <v>0</v>
      </c>
      <c r="AY44" s="242">
        <v>0</v>
      </c>
      <c r="BA44" s="158"/>
      <c r="BB44" s="158"/>
    </row>
    <row r="45" spans="2:54">
      <c r="B45" s="225">
        <v>10109</v>
      </c>
      <c r="C45" s="225" t="s">
        <v>48</v>
      </c>
      <c r="D45" s="242">
        <v>-593.16117296937045</v>
      </c>
      <c r="E45" s="242">
        <v>228.61047449798707</v>
      </c>
      <c r="F45" s="242">
        <v>-1959.0427071902932</v>
      </c>
      <c r="G45" s="242">
        <v>-859.16987656837773</v>
      </c>
      <c r="H45" s="242">
        <v>-379.49300169787239</v>
      </c>
      <c r="I45" s="242">
        <v>-21.421642561282169</v>
      </c>
      <c r="J45" s="242">
        <v>869.61203357999057</v>
      </c>
      <c r="K45" s="242">
        <v>247.04384995594773</v>
      </c>
      <c r="L45" s="242">
        <v>132.41508221412641</v>
      </c>
      <c r="M45" s="242">
        <v>-164.27785505327847</v>
      </c>
      <c r="N45" s="242">
        <v>-567.86833917566491</v>
      </c>
      <c r="O45" s="242">
        <v>79.389360491436037</v>
      </c>
      <c r="P45" s="242">
        <v>1788.194075247015</v>
      </c>
      <c r="Q45" s="242">
        <v>1296.9689368756253</v>
      </c>
      <c r="R45" s="242">
        <v>549.02662822636557</v>
      </c>
      <c r="S45" s="242">
        <v>1663.571815740946</v>
      </c>
      <c r="T45" s="242">
        <v>154.64182813627212</v>
      </c>
      <c r="U45" s="242">
        <v>2390.54482060186</v>
      </c>
      <c r="V45" s="242">
        <v>855.72720996742191</v>
      </c>
      <c r="W45" s="242">
        <v>1554.2477113653085</v>
      </c>
      <c r="X45" s="242">
        <v>1147.5187663448687</v>
      </c>
      <c r="Y45" s="242">
        <v>1480.5472699577085</v>
      </c>
      <c r="Z45" s="242">
        <v>-81.932417826716119</v>
      </c>
      <c r="AA45" s="242">
        <v>1106.0009742083776</v>
      </c>
      <c r="AB45" s="242">
        <v>-327.16717296937077</v>
      </c>
      <c r="AC45" s="242">
        <v>36.465474497987088</v>
      </c>
      <c r="AD45" s="242">
        <v>-1919.8177071902928</v>
      </c>
      <c r="AE45" s="242">
        <v>-831.59487656837791</v>
      </c>
      <c r="AF45" s="242">
        <v>-363.83000169787283</v>
      </c>
      <c r="AG45" s="242">
        <v>-8.6866425612824969</v>
      </c>
      <c r="AH45" s="242">
        <v>893.64003357999081</v>
      </c>
      <c r="AI45" s="242">
        <v>261.21084995594765</v>
      </c>
      <c r="AJ45" s="242">
        <v>129.89008221412678</v>
      </c>
      <c r="AK45" s="242">
        <v>-115.18285505327822</v>
      </c>
      <c r="AL45" s="242">
        <v>-529.20933917566435</v>
      </c>
      <c r="AM45" s="242">
        <v>107.46036049143595</v>
      </c>
      <c r="AN45" s="242">
        <v>1869.4090752470152</v>
      </c>
      <c r="AO45" s="242">
        <v>1293.4269368756263</v>
      </c>
      <c r="AP45" s="242">
        <v>564.21562822636588</v>
      </c>
      <c r="AQ45" s="242">
        <v>1729.8488157409452</v>
      </c>
      <c r="AR45" s="242">
        <v>199.57782813627182</v>
      </c>
      <c r="AS45" s="242">
        <v>2423.7848206018607</v>
      </c>
      <c r="AT45" s="242">
        <v>892.9032099674223</v>
      </c>
      <c r="AU45" s="242">
        <v>1576.6217113653083</v>
      </c>
      <c r="AV45" s="242">
        <v>870.04676634486896</v>
      </c>
      <c r="AW45" s="242">
        <v>1819.8672699577082</v>
      </c>
      <c r="AX45" s="242">
        <v>232.93558217328427</v>
      </c>
      <c r="AY45" s="242">
        <v>872.88997420837768</v>
      </c>
      <c r="BA45" s="158"/>
      <c r="BB45" s="158"/>
    </row>
    <row r="46" spans="2:54">
      <c r="B46" s="225">
        <v>10111</v>
      </c>
      <c r="C46" s="225" t="s">
        <v>49</v>
      </c>
      <c r="D46" s="242">
        <v>-327.55483178167424</v>
      </c>
      <c r="E46" s="242">
        <v>-35.097145939812094</v>
      </c>
      <c r="F46" s="242">
        <v>-487.75057322753059</v>
      </c>
      <c r="G46" s="242">
        <v>-171.26875631382882</v>
      </c>
      <c r="H46" s="242">
        <v>114.90842528477538</v>
      </c>
      <c r="I46" s="242">
        <v>205.67715182579764</v>
      </c>
      <c r="J46" s="242">
        <v>368.41870042830806</v>
      </c>
      <c r="K46" s="242">
        <v>264.03406763012242</v>
      </c>
      <c r="L46" s="242">
        <v>111.3617129109939</v>
      </c>
      <c r="M46" s="242">
        <v>61.320545441335184</v>
      </c>
      <c r="N46" s="242">
        <v>-153.54781299384695</v>
      </c>
      <c r="O46" s="242">
        <v>63.511538156588813</v>
      </c>
      <c r="P46" s="242">
        <v>147.30038719879281</v>
      </c>
      <c r="Q46" s="242">
        <v>145.42478469627838</v>
      </c>
      <c r="R46" s="242">
        <v>-338.55234044583767</v>
      </c>
      <c r="S46" s="242">
        <v>106.55495581114155</v>
      </c>
      <c r="T46" s="242">
        <v>-438.52302297062897</v>
      </c>
      <c r="U46" s="242">
        <v>241.76332414691592</v>
      </c>
      <c r="V46" s="242">
        <v>96.911360394643907</v>
      </c>
      <c r="W46" s="242">
        <v>360.90748820360795</v>
      </c>
      <c r="X46" s="242">
        <v>138.69465520713061</v>
      </c>
      <c r="Y46" s="242">
        <v>303.73635052552333</v>
      </c>
      <c r="Z46" s="242">
        <v>-146.63936518381047</v>
      </c>
      <c r="AA46" s="242">
        <v>202.85617628433852</v>
      </c>
      <c r="AB46" s="242">
        <v>-281.27459470231361</v>
      </c>
      <c r="AC46" s="242">
        <v>-76.755205692943719</v>
      </c>
      <c r="AD46" s="242">
        <v>-487.60618967636378</v>
      </c>
      <c r="AE46" s="242">
        <v>-171.28950978800242</v>
      </c>
      <c r="AF46" s="242">
        <v>100.48458710547879</v>
      </c>
      <c r="AG46" s="242">
        <v>193.68595229941116</v>
      </c>
      <c r="AH46" s="242">
        <v>358.59817434586898</v>
      </c>
      <c r="AI46" s="242">
        <v>256.69390857471376</v>
      </c>
      <c r="AJ46" s="242">
        <v>90.268719947492627</v>
      </c>
      <c r="AK46" s="242">
        <v>59.614488542853678</v>
      </c>
      <c r="AL46" s="242">
        <v>-154.63226121845355</v>
      </c>
      <c r="AM46" s="242">
        <v>62.564810105689958</v>
      </c>
      <c r="AN46" s="242">
        <v>148.41258128854633</v>
      </c>
      <c r="AO46" s="242">
        <v>146.13685661454497</v>
      </c>
      <c r="AP46" s="242">
        <v>-334.09262754359884</v>
      </c>
      <c r="AQ46" s="242">
        <v>109.45453622911123</v>
      </c>
      <c r="AR46" s="242">
        <v>-434.08214309675282</v>
      </c>
      <c r="AS46" s="242">
        <v>244.55637627314377</v>
      </c>
      <c r="AT46" s="242">
        <v>101.07296218766896</v>
      </c>
      <c r="AU46" s="242">
        <v>363.57076504446263</v>
      </c>
      <c r="AV46" s="242">
        <v>72.371232953238859</v>
      </c>
      <c r="AW46" s="242">
        <v>376.31263717491004</v>
      </c>
      <c r="AX46" s="242">
        <v>-85.269459685676338</v>
      </c>
      <c r="AY46" s="242">
        <v>147.71932855270131</v>
      </c>
      <c r="BA46" s="158"/>
      <c r="BB46" s="158"/>
    </row>
    <row r="47" spans="2:54">
      <c r="B47" s="225">
        <v>10112</v>
      </c>
      <c r="C47" s="225" t="s">
        <v>50</v>
      </c>
      <c r="D47" s="242">
        <v>1738.5537181312975</v>
      </c>
      <c r="E47" s="242">
        <v>1598.6068252683344</v>
      </c>
      <c r="F47" s="242">
        <v>-3458.5585089788292</v>
      </c>
      <c r="G47" s="242">
        <v>-1027.602066028041</v>
      </c>
      <c r="H47" s="242">
        <v>5217.2041258190147</v>
      </c>
      <c r="I47" s="242">
        <v>1346.9668256247824</v>
      </c>
      <c r="J47" s="242">
        <v>9964.718008771837</v>
      </c>
      <c r="K47" s="242">
        <v>4966.1808430888777</v>
      </c>
      <c r="L47" s="242">
        <v>8015.9728962711488</v>
      </c>
      <c r="M47" s="242">
        <v>3255.3310255806118</v>
      </c>
      <c r="N47" s="242">
        <v>3790.7820973520465</v>
      </c>
      <c r="O47" s="242">
        <v>2159.0953898455955</v>
      </c>
      <c r="P47" s="242">
        <v>7086.896009222728</v>
      </c>
      <c r="Q47" s="242">
        <v>3965.0226302015035</v>
      </c>
      <c r="R47" s="242">
        <v>-5498.2558666502082</v>
      </c>
      <c r="S47" s="242">
        <v>1291.8454821278137</v>
      </c>
      <c r="T47" s="242">
        <v>-8106.4827893333895</v>
      </c>
      <c r="U47" s="242">
        <v>1251.0363691643088</v>
      </c>
      <c r="V47" s="242">
        <v>-3663.1177331655308</v>
      </c>
      <c r="W47" s="242">
        <v>1386.5337382984089</v>
      </c>
      <c r="X47" s="242">
        <v>-1660.0663665216016</v>
      </c>
      <c r="Y47" s="242">
        <v>1705.2687531619486</v>
      </c>
      <c r="Z47" s="242">
        <v>-1525.72647764875</v>
      </c>
      <c r="AA47" s="242">
        <v>767.4991287950088</v>
      </c>
      <c r="AB47" s="242">
        <v>1849.7321529251894</v>
      </c>
      <c r="AC47" s="242">
        <v>1664.8279921843186</v>
      </c>
      <c r="AD47" s="242">
        <v>-3363.1558371906576</v>
      </c>
      <c r="AE47" s="242">
        <v>-960.57713189682909</v>
      </c>
      <c r="AF47" s="242">
        <v>5329.9195493217267</v>
      </c>
      <c r="AG47" s="242">
        <v>1418.5524005232619</v>
      </c>
      <c r="AH47" s="242">
        <v>10086.307891141121</v>
      </c>
      <c r="AI47" s="242">
        <v>5045.2572730255342</v>
      </c>
      <c r="AJ47" s="242">
        <v>7323.5745233367088</v>
      </c>
      <c r="AK47" s="242">
        <v>2817.294041200128</v>
      </c>
      <c r="AL47" s="242">
        <v>3903.6758532561944</v>
      </c>
      <c r="AM47" s="242">
        <v>2229.0299765432337</v>
      </c>
      <c r="AN47" s="242">
        <v>7207.041722465794</v>
      </c>
      <c r="AO47" s="242">
        <v>4037.5508185333747</v>
      </c>
      <c r="AP47" s="242">
        <v>-5381.2246504688628</v>
      </c>
      <c r="AQ47" s="242">
        <v>1378.5577199754243</v>
      </c>
      <c r="AR47" s="242">
        <v>-7988.9884226488357</v>
      </c>
      <c r="AS47" s="242">
        <v>1332.2996064742401</v>
      </c>
      <c r="AT47" s="242">
        <v>-3540.3546281958406</v>
      </c>
      <c r="AU47" s="242">
        <v>1471.5580657331211</v>
      </c>
      <c r="AV47" s="242">
        <v>-1529.1389870653402</v>
      </c>
      <c r="AW47" s="242">
        <v>1786.643560744451</v>
      </c>
      <c r="AX47" s="242">
        <v>-1399.5134690498562</v>
      </c>
      <c r="AY47" s="242">
        <v>851.8550585717785</v>
      </c>
      <c r="BA47" s="158"/>
      <c r="BB47" s="158"/>
    </row>
    <row r="48" spans="2:54">
      <c r="B48" s="225">
        <v>10113</v>
      </c>
      <c r="C48" s="225" t="s">
        <v>51</v>
      </c>
      <c r="D48" s="242">
        <v>-2466.3160369582311</v>
      </c>
      <c r="E48" s="242">
        <v>-489.31555886428214</v>
      </c>
      <c r="F48" s="242">
        <v>-10080.255347839982</v>
      </c>
      <c r="G48" s="242">
        <v>-6039.1894386595868</v>
      </c>
      <c r="H48" s="242">
        <v>-8310.3737266839944</v>
      </c>
      <c r="I48" s="242">
        <v>-6333.1140930428583</v>
      </c>
      <c r="J48" s="242">
        <v>-4840.0877832683436</v>
      </c>
      <c r="K48" s="242">
        <v>-4895.6901391877682</v>
      </c>
      <c r="L48" s="242">
        <v>-4981.0865243762619</v>
      </c>
      <c r="M48" s="242">
        <v>-4475.0383478508684</v>
      </c>
      <c r="N48" s="242">
        <v>-6608.4140038751302</v>
      </c>
      <c r="O48" s="242">
        <v>-3851.56942775885</v>
      </c>
      <c r="P48" s="242">
        <v>1274.9744864698696</v>
      </c>
      <c r="Q48" s="242">
        <v>238.50412084007348</v>
      </c>
      <c r="R48" s="242">
        <v>3034.7816143337914</v>
      </c>
      <c r="S48" s="242">
        <v>4823.5923969566429</v>
      </c>
      <c r="T48" s="242">
        <v>5516.8515772841602</v>
      </c>
      <c r="U48" s="242">
        <v>9574.17958753128</v>
      </c>
      <c r="V48" s="242">
        <v>14434.957432434661</v>
      </c>
      <c r="W48" s="242">
        <v>12630.878206463689</v>
      </c>
      <c r="X48" s="242">
        <v>11778.071267155607</v>
      </c>
      <c r="Y48" s="242">
        <v>9159.9300296598503</v>
      </c>
      <c r="Z48" s="242">
        <v>-485.5866543034208</v>
      </c>
      <c r="AA48" s="242">
        <v>1712.1408920442955</v>
      </c>
      <c r="AB48" s="242">
        <v>-1898.1290369582293</v>
      </c>
      <c r="AC48" s="242">
        <v>-1116.8565588642832</v>
      </c>
      <c r="AD48" s="242">
        <v>-10118.976347839984</v>
      </c>
      <c r="AE48" s="242">
        <v>-6083.7714386595871</v>
      </c>
      <c r="AF48" s="242">
        <v>-8347.0467266839951</v>
      </c>
      <c r="AG48" s="242">
        <v>-6367.1080930428598</v>
      </c>
      <c r="AH48" s="242">
        <v>-4861.1867832683438</v>
      </c>
      <c r="AI48" s="242">
        <v>-4940.2551391877687</v>
      </c>
      <c r="AJ48" s="242">
        <v>-5230.2145243762616</v>
      </c>
      <c r="AK48" s="242">
        <v>-4560.1933478508681</v>
      </c>
      <c r="AL48" s="242">
        <v>-6649.1650038751304</v>
      </c>
      <c r="AM48" s="242">
        <v>-3887.1404277588499</v>
      </c>
      <c r="AN48" s="242">
        <v>1381.1304864698704</v>
      </c>
      <c r="AO48" s="242">
        <v>103.45612084007553</v>
      </c>
      <c r="AP48" s="242">
        <v>2977.154614333791</v>
      </c>
      <c r="AQ48" s="242">
        <v>4936.9413969566431</v>
      </c>
      <c r="AR48" s="242">
        <v>5596.8755772841578</v>
      </c>
      <c r="AS48" s="242">
        <v>9620.7155875312801</v>
      </c>
      <c r="AT48" s="242">
        <v>14570.963432434655</v>
      </c>
      <c r="AU48" s="242">
        <v>12693.068206463688</v>
      </c>
      <c r="AV48" s="242">
        <v>10687.268267155607</v>
      </c>
      <c r="AW48" s="242">
        <v>10392.319029659853</v>
      </c>
      <c r="AX48" s="242">
        <v>238.09434569657969</v>
      </c>
      <c r="AY48" s="242">
        <v>977.26989204429628</v>
      </c>
      <c r="BA48" s="158"/>
      <c r="BB48" s="158"/>
    </row>
    <row r="49" spans="2:54">
      <c r="B49" s="225">
        <v>10116</v>
      </c>
      <c r="C49" s="225" t="s">
        <v>52</v>
      </c>
      <c r="D49" s="242">
        <v>6.9365534819569206</v>
      </c>
      <c r="E49" s="242">
        <v>22.199080169474499</v>
      </c>
      <c r="F49" s="242">
        <v>-15.564834491887098</v>
      </c>
      <c r="G49" s="242">
        <v>4.5828728946438133</v>
      </c>
      <c r="H49" s="242">
        <v>2.7002979111523047</v>
      </c>
      <c r="I49" s="242">
        <v>3.5614158321348981</v>
      </c>
      <c r="J49" s="242">
        <v>25.615132848479504</v>
      </c>
      <c r="K49" s="242">
        <v>21.195071947195117</v>
      </c>
      <c r="L49" s="242">
        <v>33.115578082451421</v>
      </c>
      <c r="M49" s="242">
        <v>22.372773770342306</v>
      </c>
      <c r="N49" s="242">
        <v>17.446776107769722</v>
      </c>
      <c r="O49" s="242">
        <v>17.705810796471198</v>
      </c>
      <c r="P49" s="242">
        <v>33.67550103312972</v>
      </c>
      <c r="Q49" s="242">
        <v>29.057614106051595</v>
      </c>
      <c r="R49" s="242">
        <v>-23.243851506969889</v>
      </c>
      <c r="S49" s="242">
        <v>10.821701804590909</v>
      </c>
      <c r="T49" s="242">
        <v>-33.13243979605619</v>
      </c>
      <c r="U49" s="242">
        <v>15.442405118221501</v>
      </c>
      <c r="V49" s="242">
        <v>-23.899925784656489</v>
      </c>
      <c r="W49" s="242">
        <v>2.3656190816170053</v>
      </c>
      <c r="X49" s="242">
        <v>-30.432344748962876</v>
      </c>
      <c r="Y49" s="242">
        <v>-0.56476703418319119</v>
      </c>
      <c r="Z49" s="242">
        <v>-6.9458567997320984</v>
      </c>
      <c r="AA49" s="242">
        <v>7.7646565290541147</v>
      </c>
      <c r="AB49" s="242">
        <v>6.9365534819569206</v>
      </c>
      <c r="AC49" s="242">
        <v>22.199080169474499</v>
      </c>
      <c r="AD49" s="242">
        <v>-15.564834491887098</v>
      </c>
      <c r="AE49" s="242">
        <v>4.5828728946438133</v>
      </c>
      <c r="AF49" s="242">
        <v>2.7002979111523047</v>
      </c>
      <c r="AG49" s="242">
        <v>3.5614158321348981</v>
      </c>
      <c r="AH49" s="242">
        <v>25.615132848479504</v>
      </c>
      <c r="AI49" s="242">
        <v>21.195071947195117</v>
      </c>
      <c r="AJ49" s="242">
        <v>29.367578082451416</v>
      </c>
      <c r="AK49" s="242">
        <v>19.720773770342305</v>
      </c>
      <c r="AL49" s="242">
        <v>17.446776107769722</v>
      </c>
      <c r="AM49" s="242">
        <v>17.705810796471198</v>
      </c>
      <c r="AN49" s="242">
        <v>33.67550103312972</v>
      </c>
      <c r="AO49" s="242">
        <v>29.057614106051595</v>
      </c>
      <c r="AP49" s="242">
        <v>-23.243851506969889</v>
      </c>
      <c r="AQ49" s="242">
        <v>10.821701804590909</v>
      </c>
      <c r="AR49" s="242">
        <v>-33.13243979605619</v>
      </c>
      <c r="AS49" s="242">
        <v>15.442405118221501</v>
      </c>
      <c r="AT49" s="242">
        <v>-23.899925784656489</v>
      </c>
      <c r="AU49" s="242">
        <v>2.3656190816170053</v>
      </c>
      <c r="AV49" s="242">
        <v>-30.432344748962876</v>
      </c>
      <c r="AW49" s="242">
        <v>-0.56476703418319119</v>
      </c>
      <c r="AX49" s="242">
        <v>-6.9458567997320984</v>
      </c>
      <c r="AY49" s="242">
        <v>7.7646565290541147</v>
      </c>
      <c r="BA49" s="158"/>
      <c r="BB49" s="158"/>
    </row>
    <row r="50" spans="2:54">
      <c r="B50" s="225">
        <v>10118</v>
      </c>
      <c r="C50" s="225" t="s">
        <v>53</v>
      </c>
      <c r="D50" s="242">
        <v>0</v>
      </c>
      <c r="E50" s="242">
        <v>0</v>
      </c>
      <c r="F50" s="242">
        <v>0</v>
      </c>
      <c r="G50" s="242">
        <v>0</v>
      </c>
      <c r="H50" s="242">
        <v>0</v>
      </c>
      <c r="I50" s="242">
        <v>0</v>
      </c>
      <c r="J50" s="242">
        <v>0</v>
      </c>
      <c r="K50" s="242">
        <v>0</v>
      </c>
      <c r="L50" s="242">
        <v>0</v>
      </c>
      <c r="M50" s="242">
        <v>0</v>
      </c>
      <c r="N50" s="242">
        <v>0</v>
      </c>
      <c r="O50" s="242">
        <v>0</v>
      </c>
      <c r="P50" s="242">
        <v>0</v>
      </c>
      <c r="Q50" s="242">
        <v>0</v>
      </c>
      <c r="R50" s="242">
        <v>0</v>
      </c>
      <c r="S50" s="242">
        <v>0</v>
      </c>
      <c r="T50" s="242">
        <v>0</v>
      </c>
      <c r="U50" s="242">
        <v>0</v>
      </c>
      <c r="V50" s="242">
        <v>0</v>
      </c>
      <c r="W50" s="242">
        <v>0</v>
      </c>
      <c r="X50" s="242">
        <v>0</v>
      </c>
      <c r="Y50" s="242">
        <v>0</v>
      </c>
      <c r="Z50" s="242">
        <v>0</v>
      </c>
      <c r="AA50" s="242">
        <v>0</v>
      </c>
      <c r="AB50" s="242">
        <v>0</v>
      </c>
      <c r="AC50" s="242">
        <v>0</v>
      </c>
      <c r="AD50" s="242">
        <v>0</v>
      </c>
      <c r="AE50" s="242">
        <v>0</v>
      </c>
      <c r="AF50" s="242">
        <v>0</v>
      </c>
      <c r="AG50" s="242">
        <v>0</v>
      </c>
      <c r="AH50" s="242">
        <v>0</v>
      </c>
      <c r="AI50" s="242">
        <v>0</v>
      </c>
      <c r="AJ50" s="242">
        <v>0</v>
      </c>
      <c r="AK50" s="242">
        <v>0</v>
      </c>
      <c r="AL50" s="242">
        <v>0</v>
      </c>
      <c r="AM50" s="242">
        <v>0</v>
      </c>
      <c r="AN50" s="242">
        <v>0</v>
      </c>
      <c r="AO50" s="242">
        <v>0</v>
      </c>
      <c r="AP50" s="242">
        <v>0</v>
      </c>
      <c r="AQ50" s="242">
        <v>0</v>
      </c>
      <c r="AR50" s="242">
        <v>0</v>
      </c>
      <c r="AS50" s="242">
        <v>0</v>
      </c>
      <c r="AT50" s="242">
        <v>0</v>
      </c>
      <c r="AU50" s="242">
        <v>0</v>
      </c>
      <c r="AV50" s="242">
        <v>0</v>
      </c>
      <c r="AW50" s="242">
        <v>0</v>
      </c>
      <c r="AX50" s="242">
        <v>0</v>
      </c>
      <c r="AY50" s="242">
        <v>0</v>
      </c>
      <c r="BA50" s="158"/>
      <c r="BB50" s="158"/>
    </row>
    <row r="51" spans="2:54">
      <c r="B51" s="225">
        <v>10121</v>
      </c>
      <c r="C51" s="225" t="s">
        <v>54</v>
      </c>
      <c r="D51" s="242">
        <v>0</v>
      </c>
      <c r="E51" s="242">
        <v>0</v>
      </c>
      <c r="F51" s="242">
        <v>0</v>
      </c>
      <c r="G51" s="242">
        <v>0</v>
      </c>
      <c r="H51" s="242">
        <v>0</v>
      </c>
      <c r="I51" s="242">
        <v>0</v>
      </c>
      <c r="J51" s="242">
        <v>0</v>
      </c>
      <c r="K51" s="242">
        <v>0</v>
      </c>
      <c r="L51" s="242">
        <v>0</v>
      </c>
      <c r="M51" s="242">
        <v>0</v>
      </c>
      <c r="N51" s="242">
        <v>0</v>
      </c>
      <c r="O51" s="242">
        <v>0</v>
      </c>
      <c r="P51" s="242">
        <v>0</v>
      </c>
      <c r="Q51" s="242">
        <v>0</v>
      </c>
      <c r="R51" s="242">
        <v>0</v>
      </c>
      <c r="S51" s="242">
        <v>0</v>
      </c>
      <c r="T51" s="242">
        <v>0</v>
      </c>
      <c r="U51" s="242">
        <v>0</v>
      </c>
      <c r="V51" s="242">
        <v>0</v>
      </c>
      <c r="W51" s="242">
        <v>0</v>
      </c>
      <c r="X51" s="242">
        <v>0</v>
      </c>
      <c r="Y51" s="242">
        <v>0</v>
      </c>
      <c r="Z51" s="242">
        <v>0</v>
      </c>
      <c r="AA51" s="242">
        <v>0</v>
      </c>
      <c r="AB51" s="242">
        <v>0</v>
      </c>
      <c r="AC51" s="242">
        <v>0</v>
      </c>
      <c r="AD51" s="242">
        <v>0</v>
      </c>
      <c r="AE51" s="242">
        <v>0</v>
      </c>
      <c r="AF51" s="242">
        <v>0</v>
      </c>
      <c r="AG51" s="242">
        <v>0</v>
      </c>
      <c r="AH51" s="242">
        <v>0</v>
      </c>
      <c r="AI51" s="242">
        <v>0</v>
      </c>
      <c r="AJ51" s="242">
        <v>0</v>
      </c>
      <c r="AK51" s="242">
        <v>0</v>
      </c>
      <c r="AL51" s="242">
        <v>0</v>
      </c>
      <c r="AM51" s="242">
        <v>0</v>
      </c>
      <c r="AN51" s="242">
        <v>0</v>
      </c>
      <c r="AO51" s="242">
        <v>0</v>
      </c>
      <c r="AP51" s="242">
        <v>0</v>
      </c>
      <c r="AQ51" s="242">
        <v>0</v>
      </c>
      <c r="AR51" s="242">
        <v>0</v>
      </c>
      <c r="AS51" s="242">
        <v>0</v>
      </c>
      <c r="AT51" s="242">
        <v>0</v>
      </c>
      <c r="AU51" s="242">
        <v>0</v>
      </c>
      <c r="AV51" s="242">
        <v>0</v>
      </c>
      <c r="AW51" s="242">
        <v>0</v>
      </c>
      <c r="AX51" s="242">
        <v>0</v>
      </c>
      <c r="AY51" s="242">
        <v>0</v>
      </c>
      <c r="BA51" s="158"/>
      <c r="BB51" s="158"/>
    </row>
    <row r="52" spans="2:54">
      <c r="B52" s="225">
        <v>10123</v>
      </c>
      <c r="C52" s="225" t="s">
        <v>55</v>
      </c>
      <c r="D52" s="242">
        <v>-7971.8279422470077</v>
      </c>
      <c r="E52" s="242">
        <v>19089.966515250249</v>
      </c>
      <c r="F52" s="242">
        <v>-28470.122471364695</v>
      </c>
      <c r="G52" s="242">
        <v>327.64132190158125</v>
      </c>
      <c r="H52" s="242">
        <v>-8319.8767537003878</v>
      </c>
      <c r="I52" s="242">
        <v>-1916.5006938690931</v>
      </c>
      <c r="J52" s="242">
        <v>7794.4548698157305</v>
      </c>
      <c r="K52" s="242">
        <v>16965.932686650223</v>
      </c>
      <c r="L52" s="242">
        <v>10977.554042152842</v>
      </c>
      <c r="M52" s="242">
        <v>10766.704034758324</v>
      </c>
      <c r="N52" s="242">
        <v>-4147.6530326382635</v>
      </c>
      <c r="O52" s="242">
        <v>7294.0045002298139</v>
      </c>
      <c r="P52" s="242">
        <v>17414.306155683211</v>
      </c>
      <c r="Q52" s="242">
        <v>22167.136761133239</v>
      </c>
      <c r="R52" s="242">
        <v>-36081.304147238741</v>
      </c>
      <c r="S52" s="242">
        <v>18765.592093899329</v>
      </c>
      <c r="T52" s="242">
        <v>-50044.014227803535</v>
      </c>
      <c r="U52" s="242">
        <v>12623.738970370425</v>
      </c>
      <c r="V52" s="242">
        <v>-35256.561527911734</v>
      </c>
      <c r="W52" s="242">
        <v>17301.267729850224</v>
      </c>
      <c r="X52" s="242">
        <v>-24419.159192196879</v>
      </c>
      <c r="Y52" s="242">
        <v>13158.733145645863</v>
      </c>
      <c r="Z52" s="242">
        <v>-15306.653214317572</v>
      </c>
      <c r="AA52" s="242">
        <v>14245.611035753587</v>
      </c>
      <c r="AB52" s="242">
        <v>-5833.1404138158396</v>
      </c>
      <c r="AC52" s="242">
        <v>20776.239374205579</v>
      </c>
      <c r="AD52" s="242">
        <v>-26271.391837437885</v>
      </c>
      <c r="AE52" s="242">
        <v>2092.1226556278416</v>
      </c>
      <c r="AF52" s="242">
        <v>-5949.2833486925956</v>
      </c>
      <c r="AG52" s="242">
        <v>-47.378970689867856</v>
      </c>
      <c r="AH52" s="242">
        <v>10049.095336534941</v>
      </c>
      <c r="AI52" s="242">
        <v>18904.92348802874</v>
      </c>
      <c r="AJ52" s="242">
        <v>13057.911154741392</v>
      </c>
      <c r="AK52" s="242">
        <v>12326.971869199726</v>
      </c>
      <c r="AL52" s="242">
        <v>-1896.9247487769026</v>
      </c>
      <c r="AM52" s="242">
        <v>8914.3204638429743</v>
      </c>
      <c r="AN52" s="242">
        <v>15481.852184279283</v>
      </c>
      <c r="AO52" s="242">
        <v>27878.46725983503</v>
      </c>
      <c r="AP52" s="242">
        <v>-30139.963035244815</v>
      </c>
      <c r="AQ52" s="242">
        <v>16557.043649113351</v>
      </c>
      <c r="AR52" s="242">
        <v>-47967.168266459819</v>
      </c>
      <c r="AS52" s="242">
        <v>14141.43409596775</v>
      </c>
      <c r="AT52" s="242">
        <v>-33224.907480977723</v>
      </c>
      <c r="AU52" s="242">
        <v>19048.490210213451</v>
      </c>
      <c r="AV52" s="242">
        <v>-22224.97282150817</v>
      </c>
      <c r="AW52" s="242">
        <v>14743.423302254392</v>
      </c>
      <c r="AX52" s="242">
        <v>-13258.481654807183</v>
      </c>
      <c r="AY52" s="242">
        <v>15884.148283361901</v>
      </c>
      <c r="BA52" s="158"/>
      <c r="BB52" s="158"/>
    </row>
    <row r="53" spans="2:54">
      <c r="B53" s="225">
        <v>10136</v>
      </c>
      <c r="C53" s="225" t="s">
        <v>56</v>
      </c>
      <c r="D53" s="242">
        <v>0</v>
      </c>
      <c r="E53" s="242">
        <v>0</v>
      </c>
      <c r="F53" s="242">
        <v>0</v>
      </c>
      <c r="G53" s="242">
        <v>0</v>
      </c>
      <c r="H53" s="242">
        <v>0</v>
      </c>
      <c r="I53" s="242">
        <v>0</v>
      </c>
      <c r="J53" s="242">
        <v>0</v>
      </c>
      <c r="K53" s="242">
        <v>0</v>
      </c>
      <c r="L53" s="242">
        <v>0</v>
      </c>
      <c r="M53" s="242">
        <v>0</v>
      </c>
      <c r="N53" s="242">
        <v>0</v>
      </c>
      <c r="O53" s="242">
        <v>0</v>
      </c>
      <c r="P53" s="242">
        <v>0</v>
      </c>
      <c r="Q53" s="242">
        <v>0</v>
      </c>
      <c r="R53" s="242">
        <v>0</v>
      </c>
      <c r="S53" s="242">
        <v>0</v>
      </c>
      <c r="T53" s="242">
        <v>0</v>
      </c>
      <c r="U53" s="242">
        <v>0</v>
      </c>
      <c r="V53" s="242">
        <v>0</v>
      </c>
      <c r="W53" s="242">
        <v>0</v>
      </c>
      <c r="X53" s="242">
        <v>0</v>
      </c>
      <c r="Y53" s="242">
        <v>0</v>
      </c>
      <c r="Z53" s="242">
        <v>0</v>
      </c>
      <c r="AA53" s="242">
        <v>0</v>
      </c>
      <c r="AB53" s="242">
        <v>0</v>
      </c>
      <c r="AC53" s="242">
        <v>0</v>
      </c>
      <c r="AD53" s="242">
        <v>0</v>
      </c>
      <c r="AE53" s="242">
        <v>0</v>
      </c>
      <c r="AF53" s="242">
        <v>0</v>
      </c>
      <c r="AG53" s="242">
        <v>0</v>
      </c>
      <c r="AH53" s="242">
        <v>0</v>
      </c>
      <c r="AI53" s="242">
        <v>0</v>
      </c>
      <c r="AJ53" s="242">
        <v>0</v>
      </c>
      <c r="AK53" s="242">
        <v>0</v>
      </c>
      <c r="AL53" s="242">
        <v>0</v>
      </c>
      <c r="AM53" s="242">
        <v>0</v>
      </c>
      <c r="AN53" s="242">
        <v>0</v>
      </c>
      <c r="AO53" s="242">
        <v>0</v>
      </c>
      <c r="AP53" s="242">
        <v>0</v>
      </c>
      <c r="AQ53" s="242">
        <v>0</v>
      </c>
      <c r="AR53" s="242">
        <v>0</v>
      </c>
      <c r="AS53" s="242">
        <v>0</v>
      </c>
      <c r="AT53" s="242">
        <v>0</v>
      </c>
      <c r="AU53" s="242">
        <v>0</v>
      </c>
      <c r="AV53" s="242">
        <v>0</v>
      </c>
      <c r="AW53" s="242">
        <v>0</v>
      </c>
      <c r="AX53" s="242">
        <v>0</v>
      </c>
      <c r="AY53" s="242">
        <v>0</v>
      </c>
      <c r="BA53" s="158"/>
      <c r="BB53" s="158"/>
    </row>
    <row r="54" spans="2:54">
      <c r="B54" s="225">
        <v>10142</v>
      </c>
      <c r="C54" s="225" t="s">
        <v>57</v>
      </c>
      <c r="D54" s="242">
        <v>-46.283695655757583</v>
      </c>
      <c r="E54" s="242">
        <v>99.429453555436226</v>
      </c>
      <c r="F54" s="242">
        <v>-348.90813739636792</v>
      </c>
      <c r="G54" s="242">
        <v>-109.15334358969051</v>
      </c>
      <c r="H54" s="242">
        <v>130.12242407433087</v>
      </c>
      <c r="I54" s="242">
        <v>144.02706596668725</v>
      </c>
      <c r="J54" s="242">
        <v>383.37591456044879</v>
      </c>
      <c r="K54" s="242">
        <v>257.34373527663774</v>
      </c>
      <c r="L54" s="242">
        <v>265.07040870722881</v>
      </c>
      <c r="M54" s="242">
        <v>145.12883290730576</v>
      </c>
      <c r="N54" s="242">
        <v>-126.26083512402556</v>
      </c>
      <c r="O54" s="242">
        <v>9.2870778899780362</v>
      </c>
      <c r="P54" s="242">
        <v>168.69616282937432</v>
      </c>
      <c r="Q54" s="242">
        <v>96.481116998529046</v>
      </c>
      <c r="R54" s="242">
        <v>309.35646899372523</v>
      </c>
      <c r="S54" s="242">
        <v>378.18083654182726</v>
      </c>
      <c r="T54" s="242">
        <v>625.05002663355958</v>
      </c>
      <c r="U54" s="242">
        <v>761.4678865678037</v>
      </c>
      <c r="V54" s="242">
        <v>919.23239251360906</v>
      </c>
      <c r="W54" s="242">
        <v>776.21620684954257</v>
      </c>
      <c r="X54" s="242">
        <v>832.14789201924282</v>
      </c>
      <c r="Y54" s="242">
        <v>560.27843302774204</v>
      </c>
      <c r="Z54" s="242">
        <v>169.99785986651955</v>
      </c>
      <c r="AA54" s="242">
        <v>258.03687295978534</v>
      </c>
      <c r="AB54" s="242">
        <v>-3.2126956557576705</v>
      </c>
      <c r="AC54" s="242">
        <v>65.857453555436223</v>
      </c>
      <c r="AD54" s="242">
        <v>-343.50713739636785</v>
      </c>
      <c r="AE54" s="242">
        <v>-105.15434358969048</v>
      </c>
      <c r="AF54" s="242">
        <v>136.16242407433083</v>
      </c>
      <c r="AG54" s="242">
        <v>148.7640659666871</v>
      </c>
      <c r="AH54" s="242">
        <v>389.58191456044892</v>
      </c>
      <c r="AI54" s="242">
        <v>261.90073527663765</v>
      </c>
      <c r="AJ54" s="242">
        <v>233.32340870722874</v>
      </c>
      <c r="AK54" s="242">
        <v>133.67883290730572</v>
      </c>
      <c r="AL54" s="242">
        <v>-120.80183512402562</v>
      </c>
      <c r="AM54" s="242">
        <v>13.199077889978071</v>
      </c>
      <c r="AN54" s="242">
        <v>174.46516282937432</v>
      </c>
      <c r="AO54" s="242">
        <v>100.02511699852903</v>
      </c>
      <c r="AP54" s="242">
        <v>332.38946899372536</v>
      </c>
      <c r="AQ54" s="242">
        <v>392.54783654182722</v>
      </c>
      <c r="AR54" s="242">
        <v>648.85202663355972</v>
      </c>
      <c r="AS54" s="242">
        <v>776.73988656780364</v>
      </c>
      <c r="AT54" s="242">
        <v>943.28639251360914</v>
      </c>
      <c r="AU54" s="242">
        <v>791.64620684954264</v>
      </c>
      <c r="AV54" s="242">
        <v>787.05689201924292</v>
      </c>
      <c r="AW54" s="242">
        <v>644.116433027742</v>
      </c>
      <c r="AX54" s="242">
        <v>240.07485986651955</v>
      </c>
      <c r="AY54" s="242">
        <v>224.48987295978532</v>
      </c>
      <c r="BA54" s="158"/>
      <c r="BB54" s="158"/>
    </row>
    <row r="55" spans="2:54">
      <c r="B55" s="225">
        <v>10144</v>
      </c>
      <c r="C55" s="225" t="s">
        <v>58</v>
      </c>
      <c r="D55" s="242">
        <v>25.000043816566631</v>
      </c>
      <c r="E55" s="242">
        <v>105.4090074794824</v>
      </c>
      <c r="F55" s="242">
        <v>-79.919846354973515</v>
      </c>
      <c r="G55" s="242">
        <v>-4.0149760638169028</v>
      </c>
      <c r="H55" s="242">
        <v>464.14770508135553</v>
      </c>
      <c r="I55" s="242">
        <v>285.88224695429631</v>
      </c>
      <c r="J55" s="242">
        <v>911.99047107840738</v>
      </c>
      <c r="K55" s="242">
        <v>453.51589809975337</v>
      </c>
      <c r="L55" s="242">
        <v>687.03281196674925</v>
      </c>
      <c r="M55" s="242">
        <v>308.73046858550549</v>
      </c>
      <c r="N55" s="242">
        <v>204.81267712441468</v>
      </c>
      <c r="O55" s="242">
        <v>195.01860092909203</v>
      </c>
      <c r="P55" s="242">
        <v>360.62339729201449</v>
      </c>
      <c r="Q55" s="242">
        <v>192.70664995610593</v>
      </c>
      <c r="R55" s="242">
        <v>-583.12551455977155</v>
      </c>
      <c r="S55" s="242">
        <v>-154.73786457174344</v>
      </c>
      <c r="T55" s="242">
        <v>-806.9989994633172</v>
      </c>
      <c r="U55" s="242">
        <v>-90.57688070212248</v>
      </c>
      <c r="V55" s="242">
        <v>-581.79585090935234</v>
      </c>
      <c r="W55" s="242">
        <v>-190.02917695865494</v>
      </c>
      <c r="X55" s="242">
        <v>-465.93561631227635</v>
      </c>
      <c r="Y55" s="242">
        <v>-179.32777252501194</v>
      </c>
      <c r="Z55" s="242">
        <v>-443.54274203329851</v>
      </c>
      <c r="AA55" s="242">
        <v>-155.77810669693133</v>
      </c>
      <c r="AB55" s="242">
        <v>85.950043816566449</v>
      </c>
      <c r="AC55" s="242">
        <v>47.480007479482424</v>
      </c>
      <c r="AD55" s="242">
        <v>-78.327846354973644</v>
      </c>
      <c r="AE55" s="242">
        <v>-2.9669760638169009</v>
      </c>
      <c r="AF55" s="242">
        <v>465.4617050813556</v>
      </c>
      <c r="AG55" s="242">
        <v>286.82824695429645</v>
      </c>
      <c r="AH55" s="242">
        <v>913.13247107840766</v>
      </c>
      <c r="AI55" s="242">
        <v>454.25589809975338</v>
      </c>
      <c r="AJ55" s="242">
        <v>626.59881196674928</v>
      </c>
      <c r="AK55" s="242">
        <v>289.38446858550549</v>
      </c>
      <c r="AL55" s="242">
        <v>205.48767712441486</v>
      </c>
      <c r="AM55" s="242">
        <v>195.47060092909203</v>
      </c>
      <c r="AN55" s="242">
        <v>361.09239729201454</v>
      </c>
      <c r="AO55" s="242">
        <v>192.987649956106</v>
      </c>
      <c r="AP55" s="242">
        <v>-582.89151455977162</v>
      </c>
      <c r="AQ55" s="242">
        <v>-154.59686457174348</v>
      </c>
      <c r="AR55" s="242">
        <v>-806.9989994633172</v>
      </c>
      <c r="AS55" s="242">
        <v>-90.57688070212248</v>
      </c>
      <c r="AT55" s="242">
        <v>-581.79585090935234</v>
      </c>
      <c r="AU55" s="242">
        <v>-190.02917695865494</v>
      </c>
      <c r="AV55" s="242">
        <v>-511.57561631227645</v>
      </c>
      <c r="AW55" s="242">
        <v>-133.68777252501195</v>
      </c>
      <c r="AX55" s="242">
        <v>-400.04074203329856</v>
      </c>
      <c r="AY55" s="242">
        <v>-199.27910669693131</v>
      </c>
      <c r="BA55" s="158"/>
      <c r="BB55" s="158"/>
    </row>
    <row r="56" spans="2:54">
      <c r="B56" s="225">
        <v>10156</v>
      </c>
      <c r="C56" s="225" t="s">
        <v>59</v>
      </c>
      <c r="D56" s="242">
        <v>-53.930636631008383</v>
      </c>
      <c r="E56" s="242">
        <v>749.82026340583889</v>
      </c>
      <c r="F56" s="242">
        <v>-809.88249810291563</v>
      </c>
      <c r="G56" s="242">
        <v>926.65561650119525</v>
      </c>
      <c r="H56" s="242">
        <v>4869.5845743540776</v>
      </c>
      <c r="I56" s="242">
        <v>2875.0851930210883</v>
      </c>
      <c r="J56" s="242">
        <v>7862.0993964780682</v>
      </c>
      <c r="K56" s="242">
        <v>4725.258346153425</v>
      </c>
      <c r="L56" s="242">
        <v>6649.0239255962424</v>
      </c>
      <c r="M56" s="242">
        <v>3877.3368241922253</v>
      </c>
      <c r="N56" s="242">
        <v>2215.2636338378725</v>
      </c>
      <c r="O56" s="242">
        <v>1882.6327505270401</v>
      </c>
      <c r="P56" s="242">
        <v>2161.7625362217532</v>
      </c>
      <c r="Q56" s="242">
        <v>1777.0736197371471</v>
      </c>
      <c r="R56" s="242">
        <v>-5633.698233368581</v>
      </c>
      <c r="S56" s="242">
        <v>-505.086220244164</v>
      </c>
      <c r="T56" s="242">
        <v>-8181.1110407756587</v>
      </c>
      <c r="U56" s="242">
        <v>-1147.9542048076719</v>
      </c>
      <c r="V56" s="242">
        <v>-5791.8654844576195</v>
      </c>
      <c r="W56" s="242">
        <v>-1290.079687282926</v>
      </c>
      <c r="X56" s="242">
        <v>-4965.0735625307589</v>
      </c>
      <c r="Y56" s="242">
        <v>-958.44294371893466</v>
      </c>
      <c r="Z56" s="242">
        <v>-4116.2769651073631</v>
      </c>
      <c r="AA56" s="242">
        <v>-1438.406067677487</v>
      </c>
      <c r="AB56" s="242">
        <v>-23.998636631007685</v>
      </c>
      <c r="AC56" s="242">
        <v>761.72226340583893</v>
      </c>
      <c r="AD56" s="242">
        <v>-792.55449810291429</v>
      </c>
      <c r="AE56" s="242">
        <v>936.16461650119345</v>
      </c>
      <c r="AF56" s="242">
        <v>4824.1585743540782</v>
      </c>
      <c r="AG56" s="242">
        <v>2839.525193021087</v>
      </c>
      <c r="AH56" s="242">
        <v>7820.0373964780665</v>
      </c>
      <c r="AI56" s="242">
        <v>4689.3503461534274</v>
      </c>
      <c r="AJ56" s="242">
        <v>6176.3609255962419</v>
      </c>
      <c r="AK56" s="242">
        <v>3557.009824192226</v>
      </c>
      <c r="AL56" s="242">
        <v>2232.6516338378733</v>
      </c>
      <c r="AM56" s="242">
        <v>1891.6127505270397</v>
      </c>
      <c r="AN56" s="242">
        <v>2213.292536221752</v>
      </c>
      <c r="AO56" s="242">
        <v>1763.7756197371482</v>
      </c>
      <c r="AP56" s="242">
        <v>-5629.0382333685793</v>
      </c>
      <c r="AQ56" s="242">
        <v>-462.25922024416468</v>
      </c>
      <c r="AR56" s="242">
        <v>-8149.7810407756588</v>
      </c>
      <c r="AS56" s="242">
        <v>-1132.7122048076717</v>
      </c>
      <c r="AT56" s="242">
        <v>-5754.1094844576201</v>
      </c>
      <c r="AU56" s="242">
        <v>-1272.3716872829254</v>
      </c>
      <c r="AV56" s="242">
        <v>-4928.5935625307611</v>
      </c>
      <c r="AW56" s="242">
        <v>-939.74394371893413</v>
      </c>
      <c r="AX56" s="242">
        <v>-4085.9079651073625</v>
      </c>
      <c r="AY56" s="242">
        <v>-1423.3870676774868</v>
      </c>
      <c r="BA56" s="158"/>
      <c r="BB56" s="158"/>
    </row>
    <row r="57" spans="2:54">
      <c r="B57" s="225">
        <v>10157</v>
      </c>
      <c r="C57" s="225" t="s">
        <v>60</v>
      </c>
      <c r="D57" s="242">
        <v>-1485.7508066438495</v>
      </c>
      <c r="E57" s="242">
        <v>1089.9769926329709</v>
      </c>
      <c r="F57" s="242">
        <v>-1775.7604372672595</v>
      </c>
      <c r="G57" s="242">
        <v>640.27743277749869</v>
      </c>
      <c r="H57" s="242">
        <v>1678.8085277896771</v>
      </c>
      <c r="I57" s="242">
        <v>1737.4913029165627</v>
      </c>
      <c r="J57" s="242">
        <v>2174.1148855431184</v>
      </c>
      <c r="K57" s="242">
        <v>2784.3404826875294</v>
      </c>
      <c r="L57" s="242">
        <v>2326.0983370474014</v>
      </c>
      <c r="M57" s="242">
        <v>1970.3601672567056</v>
      </c>
      <c r="N57" s="242">
        <v>-29.900692807246742</v>
      </c>
      <c r="O57" s="242">
        <v>894.61139486929369</v>
      </c>
      <c r="P57" s="242">
        <v>1206.3617313362838</v>
      </c>
      <c r="Q57" s="242">
        <v>1722.9710268387353</v>
      </c>
      <c r="R57" s="242">
        <v>-4278.8341981553531</v>
      </c>
      <c r="S57" s="242">
        <v>757.92890485985026</v>
      </c>
      <c r="T57" s="242">
        <v>-5830.1867176951528</v>
      </c>
      <c r="U57" s="242">
        <v>123.63146358827635</v>
      </c>
      <c r="V57" s="242">
        <v>-3781.5065707975464</v>
      </c>
      <c r="W57" s="242">
        <v>991.92134005374464</v>
      </c>
      <c r="X57" s="242">
        <v>-2981.2917715588374</v>
      </c>
      <c r="Y57" s="242">
        <v>591.24590879442167</v>
      </c>
      <c r="Z57" s="242">
        <v>-2791.3162623128655</v>
      </c>
      <c r="AA57" s="242">
        <v>127.7924668389569</v>
      </c>
      <c r="AB57" s="242">
        <v>-1304.1779041149421</v>
      </c>
      <c r="AC57" s="242">
        <v>1233.1402427038411</v>
      </c>
      <c r="AD57" s="242">
        <v>-1555.3030156176173</v>
      </c>
      <c r="AE57" s="242">
        <v>817.194513651335</v>
      </c>
      <c r="AF57" s="242">
        <v>1951.1678815830819</v>
      </c>
      <c r="AG57" s="242">
        <v>1952.2361780229012</v>
      </c>
      <c r="AH57" s="242">
        <v>2415.3238274147989</v>
      </c>
      <c r="AI57" s="242">
        <v>2991.7801726971747</v>
      </c>
      <c r="AJ57" s="242">
        <v>2548.2862309314869</v>
      </c>
      <c r="AK57" s="242">
        <v>2137.0010876697688</v>
      </c>
      <c r="AL57" s="242">
        <v>186.23735988295266</v>
      </c>
      <c r="AM57" s="242">
        <v>1050.2107800235808</v>
      </c>
      <c r="AN57" s="242">
        <v>1047.8711599817425</v>
      </c>
      <c r="AO57" s="242">
        <v>2219.016283132516</v>
      </c>
      <c r="AP57" s="242">
        <v>-3808.2576663348063</v>
      </c>
      <c r="AQ57" s="242">
        <v>590.72430507331865</v>
      </c>
      <c r="AR57" s="242">
        <v>-5667.248928846845</v>
      </c>
      <c r="AS57" s="242">
        <v>242.70138620819307</v>
      </c>
      <c r="AT57" s="242">
        <v>-3606.9172414428267</v>
      </c>
      <c r="AU57" s="242">
        <v>1142.0681632988035</v>
      </c>
      <c r="AV57" s="242">
        <v>-2795.2163021149645</v>
      </c>
      <c r="AW57" s="242">
        <v>725.63374783721883</v>
      </c>
      <c r="AX57" s="242">
        <v>-2632.2715092120643</v>
      </c>
      <c r="AY57" s="242">
        <v>255.02826931959771</v>
      </c>
      <c r="BA57" s="158"/>
      <c r="BB57" s="158"/>
    </row>
    <row r="58" spans="2:54">
      <c r="B58" s="225">
        <v>10158</v>
      </c>
      <c r="C58" s="225" t="s">
        <v>61</v>
      </c>
      <c r="D58" s="242">
        <v>-245.38641019585657</v>
      </c>
      <c r="E58" s="242">
        <v>28.295836761051646</v>
      </c>
      <c r="F58" s="242">
        <v>-293.62508358670277</v>
      </c>
      <c r="G58" s="242">
        <v>-5.8621701620182876</v>
      </c>
      <c r="H58" s="242">
        <v>156.04463522046444</v>
      </c>
      <c r="I58" s="242">
        <v>263.32231048637027</v>
      </c>
      <c r="J58" s="242">
        <v>441.83846281115927</v>
      </c>
      <c r="K58" s="242">
        <v>368.8507840682247</v>
      </c>
      <c r="L58" s="242">
        <v>227.25707013812541</v>
      </c>
      <c r="M58" s="242">
        <v>214.31748445004951</v>
      </c>
      <c r="N58" s="242">
        <v>-15.936968237041356</v>
      </c>
      <c r="O58" s="242">
        <v>198.07464110549085</v>
      </c>
      <c r="P58" s="242">
        <v>53.838407266198715</v>
      </c>
      <c r="Q58" s="242">
        <v>146.61587731558933</v>
      </c>
      <c r="R58" s="242">
        <v>-417.04051819582287</v>
      </c>
      <c r="S58" s="242">
        <v>12.438395830974287</v>
      </c>
      <c r="T58" s="242">
        <v>-626.82926522206844</v>
      </c>
      <c r="U58" s="242">
        <v>-8.1482135667877174</v>
      </c>
      <c r="V58" s="242">
        <v>-410.77803894206477</v>
      </c>
      <c r="W58" s="242">
        <v>-56.4747701101345</v>
      </c>
      <c r="X58" s="242">
        <v>-351.26979984657225</v>
      </c>
      <c r="Y58" s="242">
        <v>-52.555621929898734</v>
      </c>
      <c r="Z58" s="242">
        <v>-407.52502330887012</v>
      </c>
      <c r="AA58" s="242">
        <v>-78.01681381410674</v>
      </c>
      <c r="AB58" s="242">
        <v>-215.44641019585652</v>
      </c>
      <c r="AC58" s="242">
        <v>-1.6451632389483848</v>
      </c>
      <c r="AD58" s="242">
        <v>-293.62508358670277</v>
      </c>
      <c r="AE58" s="242">
        <v>-5.8621701620182876</v>
      </c>
      <c r="AF58" s="242">
        <v>156.04463522046444</v>
      </c>
      <c r="AG58" s="242">
        <v>263.32231048637027</v>
      </c>
      <c r="AH58" s="242">
        <v>441.83846281115927</v>
      </c>
      <c r="AI58" s="242">
        <v>368.8507840682247</v>
      </c>
      <c r="AJ58" s="242">
        <v>184.9780701381253</v>
      </c>
      <c r="AK58" s="242">
        <v>192.29248445004953</v>
      </c>
      <c r="AL58" s="242">
        <v>-15.936968237041356</v>
      </c>
      <c r="AM58" s="242">
        <v>198.07464110549085</v>
      </c>
      <c r="AN58" s="242">
        <v>53.838407266198715</v>
      </c>
      <c r="AO58" s="242">
        <v>146.61587731558933</v>
      </c>
      <c r="AP58" s="242">
        <v>-417.04051819582287</v>
      </c>
      <c r="AQ58" s="242">
        <v>12.438395830974287</v>
      </c>
      <c r="AR58" s="242">
        <v>-626.82926522206844</v>
      </c>
      <c r="AS58" s="242">
        <v>-8.1482135667877174</v>
      </c>
      <c r="AT58" s="242">
        <v>-410.77803894206477</v>
      </c>
      <c r="AU58" s="242">
        <v>-56.4747701101345</v>
      </c>
      <c r="AV58" s="242">
        <v>-381.22779984657222</v>
      </c>
      <c r="AW58" s="242">
        <v>-22.598621929898741</v>
      </c>
      <c r="AX58" s="242">
        <v>-381.42402330887012</v>
      </c>
      <c r="AY58" s="242">
        <v>-104.11681381410676</v>
      </c>
      <c r="BA58" s="158"/>
      <c r="BB58" s="158"/>
    </row>
    <row r="59" spans="2:54">
      <c r="B59" s="225">
        <v>10170</v>
      </c>
      <c r="C59" s="225" t="s">
        <v>62</v>
      </c>
      <c r="D59" s="242">
        <v>-4528.8271590129443</v>
      </c>
      <c r="E59" s="242">
        <v>7384.9904561116127</v>
      </c>
      <c r="F59" s="242">
        <v>-17079.368460782061</v>
      </c>
      <c r="G59" s="242">
        <v>-3700.471690796905</v>
      </c>
      <c r="H59" s="242">
        <v>123.96030629637971</v>
      </c>
      <c r="I59" s="242">
        <v>2102.5172101852149</v>
      </c>
      <c r="J59" s="242">
        <v>10532.173639981629</v>
      </c>
      <c r="K59" s="242">
        <v>13488.569498591729</v>
      </c>
      <c r="L59" s="242">
        <v>12359.799784047347</v>
      </c>
      <c r="M59" s="242">
        <v>10363.69985221175</v>
      </c>
      <c r="N59" s="242">
        <v>2630.5375315027341</v>
      </c>
      <c r="O59" s="242">
        <v>6332.0822695673523</v>
      </c>
      <c r="P59" s="242">
        <v>6947.2903339723925</v>
      </c>
      <c r="Q59" s="242">
        <v>9153.1267658269026</v>
      </c>
      <c r="R59" s="242">
        <v>-23296.586224848303</v>
      </c>
      <c r="S59" s="242">
        <v>1464.0459868124199</v>
      </c>
      <c r="T59" s="242">
        <v>-28245.456097757575</v>
      </c>
      <c r="U59" s="242">
        <v>598.65511577665166</v>
      </c>
      <c r="V59" s="242">
        <v>-15753.55463900404</v>
      </c>
      <c r="W59" s="242">
        <v>7012.6045390826766</v>
      </c>
      <c r="X59" s="242">
        <v>-10008.179003959078</v>
      </c>
      <c r="Y59" s="242">
        <v>6067.4587828381882</v>
      </c>
      <c r="Z59" s="242">
        <v>-8748.9289988710661</v>
      </c>
      <c r="AA59" s="242">
        <v>4438.2626527700922</v>
      </c>
      <c r="AB59" s="242">
        <v>-3683.9490041345853</v>
      </c>
      <c r="AC59" s="242">
        <v>8303.7916744808099</v>
      </c>
      <c r="AD59" s="242">
        <v>-16577.821625436802</v>
      </c>
      <c r="AE59" s="242">
        <v>-3067.242370275264</v>
      </c>
      <c r="AF59" s="242">
        <v>1287.0935847624351</v>
      </c>
      <c r="AG59" s="242">
        <v>3065.8344861486476</v>
      </c>
      <c r="AH59" s="242">
        <v>11958.315733915239</v>
      </c>
      <c r="AI59" s="242">
        <v>14817.230935260006</v>
      </c>
      <c r="AJ59" s="242">
        <v>13758.734293596441</v>
      </c>
      <c r="AK59" s="242">
        <v>11438.125576816041</v>
      </c>
      <c r="AL59" s="242">
        <v>3812.4119572613781</v>
      </c>
      <c r="AM59" s="242">
        <v>7285.2731988763517</v>
      </c>
      <c r="AN59" s="242">
        <v>6292.3325643209027</v>
      </c>
      <c r="AO59" s="242">
        <v>11877.184406154902</v>
      </c>
      <c r="AP59" s="242">
        <v>-21673.753703930437</v>
      </c>
      <c r="AQ59" s="242">
        <v>721.14631738644675</v>
      </c>
      <c r="AR59" s="242">
        <v>-28097.513052393959</v>
      </c>
      <c r="AS59" s="242">
        <v>1196.5645550495356</v>
      </c>
      <c r="AT59" s="242">
        <v>-15204.037624208366</v>
      </c>
      <c r="AU59" s="242">
        <v>7959.3304533821865</v>
      </c>
      <c r="AV59" s="242">
        <v>-9228.804447233917</v>
      </c>
      <c r="AW59" s="242">
        <v>6936.9447036471502</v>
      </c>
      <c r="AX59" s="242">
        <v>-8065.6783916814747</v>
      </c>
      <c r="AY59" s="242">
        <v>5248.6166301567428</v>
      </c>
      <c r="BA59" s="158"/>
      <c r="BB59" s="158"/>
    </row>
    <row r="60" spans="2:54">
      <c r="B60" s="225">
        <v>10172</v>
      </c>
      <c r="C60" s="225" t="s">
        <v>63</v>
      </c>
      <c r="D60" s="242">
        <v>-49.961694802826059</v>
      </c>
      <c r="E60" s="242">
        <v>69.581065143269825</v>
      </c>
      <c r="F60" s="242">
        <v>-689.58147849106626</v>
      </c>
      <c r="G60" s="242">
        <v>-306.48959656985198</v>
      </c>
      <c r="H60" s="242">
        <v>-13.445661370942162</v>
      </c>
      <c r="I60" s="242">
        <v>-156.57594858094626</v>
      </c>
      <c r="J60" s="242">
        <v>440.18526313557004</v>
      </c>
      <c r="K60" s="242">
        <v>142.11450997274596</v>
      </c>
      <c r="L60" s="242">
        <v>385.70662120964448</v>
      </c>
      <c r="M60" s="242">
        <v>112.05033855645797</v>
      </c>
      <c r="N60" s="242">
        <v>-120.36647206493762</v>
      </c>
      <c r="O60" s="242">
        <v>-65.226075567248017</v>
      </c>
      <c r="P60" s="242">
        <v>340.52733040066187</v>
      </c>
      <c r="Q60" s="242">
        <v>216.12300789173605</v>
      </c>
      <c r="R60" s="242">
        <v>-633.02825539315427</v>
      </c>
      <c r="S60" s="242">
        <v>73.775002028814015</v>
      </c>
      <c r="T60" s="242">
        <v>-862.96252529185222</v>
      </c>
      <c r="U60" s="242">
        <v>89.330911676889855</v>
      </c>
      <c r="V60" s="242">
        <v>-320.95651978699016</v>
      </c>
      <c r="W60" s="242">
        <v>147.26035075381992</v>
      </c>
      <c r="X60" s="242">
        <v>-240.89943279993395</v>
      </c>
      <c r="Y60" s="242">
        <v>103.35413565972817</v>
      </c>
      <c r="Z60" s="242">
        <v>-280.5002149497659</v>
      </c>
      <c r="AA60" s="242">
        <v>19.893860297886022</v>
      </c>
      <c r="AB60" s="242">
        <v>-49.522196305443231</v>
      </c>
      <c r="AC60" s="242">
        <v>70.077110246437769</v>
      </c>
      <c r="AD60" s="242">
        <v>-690.52657431512171</v>
      </c>
      <c r="AE60" s="242">
        <v>-306.74682456675191</v>
      </c>
      <c r="AF60" s="242">
        <v>-12.880019568730859</v>
      </c>
      <c r="AG60" s="242">
        <v>-156.52768491383267</v>
      </c>
      <c r="AH60" s="242">
        <v>441.91526165768528</v>
      </c>
      <c r="AI60" s="242">
        <v>142.92651732366744</v>
      </c>
      <c r="AJ60" s="242">
        <v>390.96090997848455</v>
      </c>
      <c r="AK60" s="242">
        <v>115.13636558017379</v>
      </c>
      <c r="AL60" s="242">
        <v>-119.9239666424296</v>
      </c>
      <c r="AM60" s="242">
        <v>-64.92079791155561</v>
      </c>
      <c r="AN60" s="242">
        <v>342.00143449889038</v>
      </c>
      <c r="AO60" s="242">
        <v>217.05188574271415</v>
      </c>
      <c r="AP60" s="242">
        <v>-633.92010377400038</v>
      </c>
      <c r="AQ60" s="242">
        <v>74.335326048339539</v>
      </c>
      <c r="AR60" s="242">
        <v>-864.64809782640214</v>
      </c>
      <c r="AS60" s="242">
        <v>89.736581544114188</v>
      </c>
      <c r="AT60" s="242">
        <v>-321.09366447614639</v>
      </c>
      <c r="AU60" s="242">
        <v>147.98693076174163</v>
      </c>
      <c r="AV60" s="242">
        <v>-240.78842519195314</v>
      </c>
      <c r="AW60" s="242">
        <v>103.98132021361175</v>
      </c>
      <c r="AX60" s="242">
        <v>-280.60961643794917</v>
      </c>
      <c r="AY60" s="242">
        <v>20.296895931588097</v>
      </c>
      <c r="BA60" s="158"/>
      <c r="BB60" s="158"/>
    </row>
    <row r="61" spans="2:54">
      <c r="B61" s="225">
        <v>10173</v>
      </c>
      <c r="C61" s="225" t="s">
        <v>64</v>
      </c>
      <c r="D61" s="242">
        <v>0</v>
      </c>
      <c r="E61" s="242">
        <v>0</v>
      </c>
      <c r="F61" s="242">
        <v>0</v>
      </c>
      <c r="G61" s="242">
        <v>0</v>
      </c>
      <c r="H61" s="242">
        <v>0</v>
      </c>
      <c r="I61" s="242">
        <v>0</v>
      </c>
      <c r="J61" s="242">
        <v>0</v>
      </c>
      <c r="K61" s="242">
        <v>0</v>
      </c>
      <c r="L61" s="242">
        <v>0</v>
      </c>
      <c r="M61" s="242">
        <v>0</v>
      </c>
      <c r="N61" s="242">
        <v>0</v>
      </c>
      <c r="O61" s="242">
        <v>0</v>
      </c>
      <c r="P61" s="242">
        <v>0</v>
      </c>
      <c r="Q61" s="242">
        <v>0</v>
      </c>
      <c r="R61" s="242">
        <v>0</v>
      </c>
      <c r="S61" s="242">
        <v>0</v>
      </c>
      <c r="T61" s="242">
        <v>0</v>
      </c>
      <c r="U61" s="242">
        <v>0</v>
      </c>
      <c r="V61" s="242">
        <v>0</v>
      </c>
      <c r="W61" s="242">
        <v>0</v>
      </c>
      <c r="X61" s="242">
        <v>0</v>
      </c>
      <c r="Y61" s="242">
        <v>0</v>
      </c>
      <c r="Z61" s="242">
        <v>0</v>
      </c>
      <c r="AA61" s="242">
        <v>0</v>
      </c>
      <c r="AB61" s="242">
        <v>0</v>
      </c>
      <c r="AC61" s="242">
        <v>0</v>
      </c>
      <c r="AD61" s="242">
        <v>0</v>
      </c>
      <c r="AE61" s="242">
        <v>0</v>
      </c>
      <c r="AF61" s="242">
        <v>0</v>
      </c>
      <c r="AG61" s="242">
        <v>0</v>
      </c>
      <c r="AH61" s="242">
        <v>0</v>
      </c>
      <c r="AI61" s="242">
        <v>0</v>
      </c>
      <c r="AJ61" s="242">
        <v>0</v>
      </c>
      <c r="AK61" s="242">
        <v>0</v>
      </c>
      <c r="AL61" s="242">
        <v>0</v>
      </c>
      <c r="AM61" s="242">
        <v>0</v>
      </c>
      <c r="AN61" s="242">
        <v>0</v>
      </c>
      <c r="AO61" s="242">
        <v>0</v>
      </c>
      <c r="AP61" s="242">
        <v>0</v>
      </c>
      <c r="AQ61" s="242">
        <v>0</v>
      </c>
      <c r="AR61" s="242">
        <v>0</v>
      </c>
      <c r="AS61" s="242">
        <v>0</v>
      </c>
      <c r="AT61" s="242">
        <v>0</v>
      </c>
      <c r="AU61" s="242">
        <v>0</v>
      </c>
      <c r="AV61" s="242">
        <v>0</v>
      </c>
      <c r="AW61" s="242">
        <v>0</v>
      </c>
      <c r="AX61" s="242">
        <v>0</v>
      </c>
      <c r="AY61" s="242">
        <v>0</v>
      </c>
      <c r="BA61" s="158"/>
      <c r="BB61" s="158"/>
    </row>
    <row r="62" spans="2:54">
      <c r="B62" s="225">
        <v>10174</v>
      </c>
      <c r="C62" s="225" t="s">
        <v>65</v>
      </c>
      <c r="D62" s="242">
        <v>-32.333740993648888</v>
      </c>
      <c r="E62" s="242">
        <v>16.772967582865505</v>
      </c>
      <c r="F62" s="242">
        <v>-47.253463245884916</v>
      </c>
      <c r="G62" s="242">
        <v>-0.1636685144277692</v>
      </c>
      <c r="H62" s="242">
        <v>54.847937578283705</v>
      </c>
      <c r="I62" s="242">
        <v>67.454753315133104</v>
      </c>
      <c r="J62" s="242">
        <v>100.46857573046049</v>
      </c>
      <c r="K62" s="242">
        <v>83.796067261136898</v>
      </c>
      <c r="L62" s="242">
        <v>76.256649264596632</v>
      </c>
      <c r="M62" s="242">
        <v>57.74828436989371</v>
      </c>
      <c r="N62" s="242">
        <v>-3.8070582441656597</v>
      </c>
      <c r="O62" s="242">
        <v>33.003913515112799</v>
      </c>
      <c r="P62" s="242">
        <v>16.839881185674329</v>
      </c>
      <c r="Q62" s="242">
        <v>26.753120894860402</v>
      </c>
      <c r="R62" s="242">
        <v>-76.870954602498074</v>
      </c>
      <c r="S62" s="242">
        <v>1.2450866325971077</v>
      </c>
      <c r="T62" s="242">
        <v>-96.147583147727801</v>
      </c>
      <c r="U62" s="242">
        <v>11.549524456158508</v>
      </c>
      <c r="V62" s="242">
        <v>-45.490362463923475</v>
      </c>
      <c r="W62" s="242">
        <v>4.0040760888230125</v>
      </c>
      <c r="X62" s="242">
        <v>-51.093607235265068</v>
      </c>
      <c r="Y62" s="242">
        <v>-8.4416047532407816</v>
      </c>
      <c r="Z62" s="242">
        <v>-63.135382553439911</v>
      </c>
      <c r="AA62" s="242">
        <v>-8.1074428948420802</v>
      </c>
      <c r="AB62" s="242">
        <v>-25.067740993648869</v>
      </c>
      <c r="AC62" s="242">
        <v>9.6979675828654877</v>
      </c>
      <c r="AD62" s="242">
        <v>-47.145463245884912</v>
      </c>
      <c r="AE62" s="242">
        <v>-8.0668514427770788E-2</v>
      </c>
      <c r="AF62" s="242">
        <v>54.95193757828369</v>
      </c>
      <c r="AG62" s="242">
        <v>67.541753315133093</v>
      </c>
      <c r="AH62" s="242">
        <v>100.57557573046051</v>
      </c>
      <c r="AI62" s="242">
        <v>83.880067261136901</v>
      </c>
      <c r="AJ62" s="242">
        <v>66.926649264596648</v>
      </c>
      <c r="AK62" s="242">
        <v>52.877284369893701</v>
      </c>
      <c r="AL62" s="242">
        <v>-3.7010582441656652</v>
      </c>
      <c r="AM62" s="242">
        <v>33.087913515112803</v>
      </c>
      <c r="AN62" s="242">
        <v>16.950881185674348</v>
      </c>
      <c r="AO62" s="242">
        <v>26.83212089486041</v>
      </c>
      <c r="AP62" s="242">
        <v>-76.758954602498079</v>
      </c>
      <c r="AQ62" s="242">
        <v>1.3230866325971107</v>
      </c>
      <c r="AR62" s="242">
        <v>-96.033583147727796</v>
      </c>
      <c r="AS62" s="242">
        <v>11.626524456158506</v>
      </c>
      <c r="AT62" s="242">
        <v>-45.374362463923489</v>
      </c>
      <c r="AU62" s="242">
        <v>4.0770760888229916</v>
      </c>
      <c r="AV62" s="242">
        <v>-57.997607235265065</v>
      </c>
      <c r="AW62" s="242">
        <v>-1.3476047532407733</v>
      </c>
      <c r="AX62" s="242">
        <v>-56.703382553439894</v>
      </c>
      <c r="AY62" s="242">
        <v>-14.349442894842085</v>
      </c>
      <c r="BA62" s="158"/>
      <c r="BB62" s="158"/>
    </row>
    <row r="63" spans="2:54">
      <c r="B63" s="225">
        <v>10177</v>
      </c>
      <c r="C63" s="225" t="s">
        <v>66</v>
      </c>
      <c r="D63" s="242">
        <v>-504.87088776883775</v>
      </c>
      <c r="E63" s="242">
        <v>40.785018635999222</v>
      </c>
      <c r="F63" s="242">
        <v>-865.71010450848189</v>
      </c>
      <c r="G63" s="242">
        <v>-131.48218815844621</v>
      </c>
      <c r="H63" s="242">
        <v>839.14046888588746</v>
      </c>
      <c r="I63" s="242">
        <v>592.68337929343943</v>
      </c>
      <c r="J63" s="242">
        <v>1741.1132873372549</v>
      </c>
      <c r="K63" s="242">
        <v>1223.4090102043901</v>
      </c>
      <c r="L63" s="242">
        <v>1516.0643211371826</v>
      </c>
      <c r="M63" s="242">
        <v>1056.8944372405776</v>
      </c>
      <c r="N63" s="242">
        <v>238.70714191593515</v>
      </c>
      <c r="O63" s="242">
        <v>465.82242966131162</v>
      </c>
      <c r="P63" s="242">
        <v>510.36191509329501</v>
      </c>
      <c r="Q63" s="242">
        <v>564.33136555967121</v>
      </c>
      <c r="R63" s="242">
        <v>-1751.6103311340253</v>
      </c>
      <c r="S63" s="242">
        <v>-167.53609546490407</v>
      </c>
      <c r="T63" s="242">
        <v>-2440.7368974641458</v>
      </c>
      <c r="U63" s="242">
        <v>-277.92873766110347</v>
      </c>
      <c r="V63" s="242">
        <v>-1436.6096357910806</v>
      </c>
      <c r="W63" s="242">
        <v>-115.42879659273285</v>
      </c>
      <c r="X63" s="242">
        <v>-1416.1776530148672</v>
      </c>
      <c r="Y63" s="242">
        <v>-238.32635939742272</v>
      </c>
      <c r="Z63" s="242">
        <v>-1181.2874987765772</v>
      </c>
      <c r="AA63" s="242">
        <v>-241.25909743120064</v>
      </c>
      <c r="AB63" s="242">
        <v>-245.86633758889775</v>
      </c>
      <c r="AC63" s="242">
        <v>252.77430275169399</v>
      </c>
      <c r="AD63" s="242">
        <v>-500.10973453720453</v>
      </c>
      <c r="AE63" s="242">
        <v>167.51259774134905</v>
      </c>
      <c r="AF63" s="242">
        <v>1245.5874634052834</v>
      </c>
      <c r="AG63" s="242">
        <v>916.89744106609896</v>
      </c>
      <c r="AH63" s="242">
        <v>2301.5493901891273</v>
      </c>
      <c r="AI63" s="242">
        <v>1703.9606537769459</v>
      </c>
      <c r="AJ63" s="242">
        <v>1928.883581760027</v>
      </c>
      <c r="AK63" s="242">
        <v>1354.7326918582189</v>
      </c>
      <c r="AL63" s="242">
        <v>1004.6944402368699</v>
      </c>
      <c r="AM63" s="242">
        <v>1007.2336195205989</v>
      </c>
      <c r="AN63" s="242">
        <v>1249.4522428325095</v>
      </c>
      <c r="AO63" s="242">
        <v>1150.6539557375831</v>
      </c>
      <c r="AP63" s="242">
        <v>-994.81803112382613</v>
      </c>
      <c r="AQ63" s="242">
        <v>433.22290688274279</v>
      </c>
      <c r="AR63" s="242">
        <v>-1583.9619894942011</v>
      </c>
      <c r="AS63" s="242">
        <v>322.27372370120975</v>
      </c>
      <c r="AT63" s="242">
        <v>-763.30118765233692</v>
      </c>
      <c r="AU63" s="242">
        <v>431.19767605177049</v>
      </c>
      <c r="AV63" s="242">
        <v>-889.22595639132078</v>
      </c>
      <c r="AW63" s="242">
        <v>128.49867855891353</v>
      </c>
      <c r="AX63" s="242">
        <v>-638.06852225729654</v>
      </c>
      <c r="AY63" s="242">
        <v>137.81232912904989</v>
      </c>
      <c r="BA63" s="158"/>
      <c r="BB63" s="158"/>
    </row>
    <row r="64" spans="2:54">
      <c r="B64" s="225">
        <v>10179</v>
      </c>
      <c r="C64" s="225" t="s">
        <v>67</v>
      </c>
      <c r="D64" s="242">
        <v>0</v>
      </c>
      <c r="E64" s="242">
        <v>0</v>
      </c>
      <c r="F64" s="242">
        <v>0</v>
      </c>
      <c r="G64" s="242">
        <v>0</v>
      </c>
      <c r="H64" s="242">
        <v>0</v>
      </c>
      <c r="I64" s="242">
        <v>0</v>
      </c>
      <c r="J64" s="242">
        <v>0</v>
      </c>
      <c r="K64" s="242">
        <v>0</v>
      </c>
      <c r="L64" s="242">
        <v>0</v>
      </c>
      <c r="M64" s="242">
        <v>0</v>
      </c>
      <c r="N64" s="242">
        <v>0</v>
      </c>
      <c r="O64" s="242">
        <v>0</v>
      </c>
      <c r="P64" s="242">
        <v>0</v>
      </c>
      <c r="Q64" s="242">
        <v>0</v>
      </c>
      <c r="R64" s="242">
        <v>0</v>
      </c>
      <c r="S64" s="242">
        <v>0</v>
      </c>
      <c r="T64" s="242">
        <v>0</v>
      </c>
      <c r="U64" s="242">
        <v>0</v>
      </c>
      <c r="V64" s="242">
        <v>0</v>
      </c>
      <c r="W64" s="242">
        <v>0</v>
      </c>
      <c r="X64" s="242">
        <v>0</v>
      </c>
      <c r="Y64" s="242">
        <v>0</v>
      </c>
      <c r="Z64" s="242">
        <v>0</v>
      </c>
      <c r="AA64" s="242">
        <v>0</v>
      </c>
      <c r="AB64" s="242">
        <v>0</v>
      </c>
      <c r="AC64" s="242">
        <v>0</v>
      </c>
      <c r="AD64" s="242">
        <v>0</v>
      </c>
      <c r="AE64" s="242">
        <v>0</v>
      </c>
      <c r="AF64" s="242">
        <v>0</v>
      </c>
      <c r="AG64" s="242">
        <v>0</v>
      </c>
      <c r="AH64" s="242">
        <v>0</v>
      </c>
      <c r="AI64" s="242">
        <v>0</v>
      </c>
      <c r="AJ64" s="242">
        <v>0</v>
      </c>
      <c r="AK64" s="242">
        <v>0</v>
      </c>
      <c r="AL64" s="242">
        <v>0</v>
      </c>
      <c r="AM64" s="242">
        <v>0</v>
      </c>
      <c r="AN64" s="242">
        <v>0</v>
      </c>
      <c r="AO64" s="242">
        <v>0</v>
      </c>
      <c r="AP64" s="242">
        <v>0</v>
      </c>
      <c r="AQ64" s="242">
        <v>0</v>
      </c>
      <c r="AR64" s="242">
        <v>0</v>
      </c>
      <c r="AS64" s="242">
        <v>0</v>
      </c>
      <c r="AT64" s="242">
        <v>0</v>
      </c>
      <c r="AU64" s="242">
        <v>0</v>
      </c>
      <c r="AV64" s="242">
        <v>0</v>
      </c>
      <c r="AW64" s="242">
        <v>0</v>
      </c>
      <c r="AX64" s="242">
        <v>0</v>
      </c>
      <c r="AY64" s="242">
        <v>0</v>
      </c>
      <c r="BA64" s="158"/>
      <c r="BB64" s="158"/>
    </row>
    <row r="65" spans="2:54">
      <c r="B65" s="225">
        <v>10183</v>
      </c>
      <c r="C65" s="225" t="s">
        <v>68</v>
      </c>
      <c r="D65" s="242">
        <v>-4127.4714697912714</v>
      </c>
      <c r="E65" s="242">
        <v>2658.6791178452659</v>
      </c>
      <c r="F65" s="242">
        <v>-10890.526505690603</v>
      </c>
      <c r="G65" s="242">
        <v>-3339.3876937619771</v>
      </c>
      <c r="H65" s="242">
        <v>-4492.9744130696345</v>
      </c>
      <c r="I65" s="242">
        <v>-2460.5236932649786</v>
      </c>
      <c r="J65" s="242">
        <v>1303.4169605726165</v>
      </c>
      <c r="K65" s="242">
        <v>3512.3715455745551</v>
      </c>
      <c r="L65" s="242">
        <v>-58.837555324123969</v>
      </c>
      <c r="M65" s="242">
        <v>546.24148241038347</v>
      </c>
      <c r="N65" s="242">
        <v>-5428.2679548534688</v>
      </c>
      <c r="O65" s="242">
        <v>-1512.4025850180988</v>
      </c>
      <c r="P65" s="242">
        <v>219.92210352847178</v>
      </c>
      <c r="Q65" s="242">
        <v>2360.7402792980538</v>
      </c>
      <c r="R65" s="242">
        <v>-8925.256521620955</v>
      </c>
      <c r="S65" s="242">
        <v>3927.7185656101574</v>
      </c>
      <c r="T65" s="242">
        <v>-7743.1232800652215</v>
      </c>
      <c r="U65" s="242">
        <v>5804.9221430867856</v>
      </c>
      <c r="V65" s="242">
        <v>152.54469345701</v>
      </c>
      <c r="W65" s="242">
        <v>11228.130769019468</v>
      </c>
      <c r="X65" s="242">
        <v>1847.973439371257</v>
      </c>
      <c r="Y65" s="242">
        <v>8510.5048275680347</v>
      </c>
      <c r="Z65" s="242">
        <v>-2093.6289803024702</v>
      </c>
      <c r="AA65" s="242">
        <v>4498.0612895193444</v>
      </c>
      <c r="AB65" s="242">
        <v>-3750.0371549458177</v>
      </c>
      <c r="AC65" s="242">
        <v>2956.2715583964891</v>
      </c>
      <c r="AD65" s="242">
        <v>-10536.004825556243</v>
      </c>
      <c r="AE65" s="242">
        <v>-3054.8840454541532</v>
      </c>
      <c r="AF65" s="242">
        <v>-4075.2804379740228</v>
      </c>
      <c r="AG65" s="242">
        <v>-2131.1880590549736</v>
      </c>
      <c r="AH65" s="242">
        <v>1734.0791916141752</v>
      </c>
      <c r="AI65" s="242">
        <v>3882.7410642702962</v>
      </c>
      <c r="AJ65" s="242">
        <v>301.17671422074636</v>
      </c>
      <c r="AK65" s="242">
        <v>816.25218456903349</v>
      </c>
      <c r="AL65" s="242">
        <v>-5067.1876942009294</v>
      </c>
      <c r="AM65" s="242">
        <v>-1252.4582307057353</v>
      </c>
      <c r="AN65" s="242">
        <v>-226.95335928732675</v>
      </c>
      <c r="AO65" s="242">
        <v>3428.6403570787152</v>
      </c>
      <c r="AP65" s="242">
        <v>-7650.2836545479768</v>
      </c>
      <c r="AQ65" s="242">
        <v>3363.7738808882823</v>
      </c>
      <c r="AR65" s="242">
        <v>-7269.9045235412523</v>
      </c>
      <c r="AS65" s="242">
        <v>6150.7358497773803</v>
      </c>
      <c r="AT65" s="242">
        <v>694.50165836324959</v>
      </c>
      <c r="AU65" s="242">
        <v>11694.21375883887</v>
      </c>
      <c r="AV65" s="242">
        <v>2407.1568935191644</v>
      </c>
      <c r="AW65" s="242">
        <v>8914.3595444526654</v>
      </c>
      <c r="AX65" s="242">
        <v>-1668.6121343119921</v>
      </c>
      <c r="AY65" s="242">
        <v>4838.074766311729</v>
      </c>
      <c r="BA65" s="158"/>
      <c r="BB65" s="158"/>
    </row>
    <row r="66" spans="2:54">
      <c r="B66" s="225">
        <v>10186</v>
      </c>
      <c r="C66" s="225" t="s">
        <v>69</v>
      </c>
      <c r="D66" s="242">
        <v>-430.30844681735834</v>
      </c>
      <c r="E66" s="242">
        <v>454.58070262937781</v>
      </c>
      <c r="F66" s="242">
        <v>-2194.8760565788525</v>
      </c>
      <c r="G66" s="242">
        <v>-506.69429497182682</v>
      </c>
      <c r="H66" s="242">
        <v>730.17452644071273</v>
      </c>
      <c r="I66" s="242">
        <v>648.43114600219451</v>
      </c>
      <c r="J66" s="242">
        <v>2069.3602724693437</v>
      </c>
      <c r="K66" s="242">
        <v>1624.3466356804938</v>
      </c>
      <c r="L66" s="242">
        <v>1873.4707981668807</v>
      </c>
      <c r="M66" s="242">
        <v>1063.9800621603836</v>
      </c>
      <c r="N66" s="242">
        <v>187.36895341603304</v>
      </c>
      <c r="O66" s="242">
        <v>591.39235317302155</v>
      </c>
      <c r="P66" s="242">
        <v>987.10168583451195</v>
      </c>
      <c r="Q66" s="242">
        <v>1194.3610301293979</v>
      </c>
      <c r="R66" s="242">
        <v>-2857.7302879093504</v>
      </c>
      <c r="S66" s="242">
        <v>260.6656857966027</v>
      </c>
      <c r="T66" s="242">
        <v>-3729.1420271569286</v>
      </c>
      <c r="U66" s="242">
        <v>53.927802222349783</v>
      </c>
      <c r="V66" s="242">
        <v>-2187.6833049483048</v>
      </c>
      <c r="W66" s="242">
        <v>142.08641544488091</v>
      </c>
      <c r="X66" s="242">
        <v>-2243.9483155451999</v>
      </c>
      <c r="Y66" s="242">
        <v>-171.89068479223715</v>
      </c>
      <c r="Z66" s="242">
        <v>-1523.4151842409365</v>
      </c>
      <c r="AA66" s="242">
        <v>-33.162674435118788</v>
      </c>
      <c r="AB66" s="242">
        <v>-501.72717007637948</v>
      </c>
      <c r="AC66" s="242">
        <v>488.79124271411547</v>
      </c>
      <c r="AD66" s="242">
        <v>-2230.1449738247939</v>
      </c>
      <c r="AE66" s="242">
        <v>-526.13385852450483</v>
      </c>
      <c r="AF66" s="242">
        <v>705.49517539629051</v>
      </c>
      <c r="AG66" s="242">
        <v>630.5668539182625</v>
      </c>
      <c r="AH66" s="242">
        <v>2053.6188388935834</v>
      </c>
      <c r="AI66" s="242">
        <v>1612.6781716540918</v>
      </c>
      <c r="AJ66" s="242">
        <v>1597.3090872081075</v>
      </c>
      <c r="AK66" s="242">
        <v>838.86244904555497</v>
      </c>
      <c r="AL66" s="242">
        <v>163.578341469919</v>
      </c>
      <c r="AM66" s="242">
        <v>578.17375857125808</v>
      </c>
      <c r="AN66" s="242">
        <v>971.40793635107821</v>
      </c>
      <c r="AO66" s="242">
        <v>1186.4108371824245</v>
      </c>
      <c r="AP66" s="242">
        <v>-2894.7072136628349</v>
      </c>
      <c r="AQ66" s="242">
        <v>247.76153669889936</v>
      </c>
      <c r="AR66" s="242">
        <v>-3772.3672470549554</v>
      </c>
      <c r="AS66" s="242">
        <v>41.661004781460178</v>
      </c>
      <c r="AT66" s="242">
        <v>-2222.6162678406308</v>
      </c>
      <c r="AU66" s="242">
        <v>128.63322498568959</v>
      </c>
      <c r="AV66" s="242">
        <v>-2225.065987919681</v>
      </c>
      <c r="AW66" s="242">
        <v>-238.2990683093285</v>
      </c>
      <c r="AX66" s="242">
        <v>-1602.3801126408016</v>
      </c>
      <c r="AY66" s="242">
        <v>3.403153829409348</v>
      </c>
      <c r="BA66" s="158"/>
      <c r="BB66" s="158"/>
    </row>
    <row r="67" spans="2:54">
      <c r="B67" s="225">
        <v>10190</v>
      </c>
      <c r="C67" s="225" t="s">
        <v>70</v>
      </c>
      <c r="D67" s="242">
        <v>554.27007653995406</v>
      </c>
      <c r="E67" s="242">
        <v>708.95608175716461</v>
      </c>
      <c r="F67" s="242">
        <v>941.37650512465143</v>
      </c>
      <c r="G67" s="242">
        <v>950.9002628836231</v>
      </c>
      <c r="H67" s="242">
        <v>2034.9991520027347</v>
      </c>
      <c r="I67" s="242">
        <v>1558.7759061553525</v>
      </c>
      <c r="J67" s="242">
        <v>2528.5787440036424</v>
      </c>
      <c r="K67" s="242">
        <v>1852.8517387696618</v>
      </c>
      <c r="L67" s="242">
        <v>2238.1540915655291</v>
      </c>
      <c r="M67" s="242">
        <v>1613.4770869123797</v>
      </c>
      <c r="N67" s="242">
        <v>1260.2089663609163</v>
      </c>
      <c r="O67" s="242">
        <v>1120.8206340523598</v>
      </c>
      <c r="P67" s="242">
        <v>949.32174874079624</v>
      </c>
      <c r="Q67" s="242">
        <v>870.8801096074078</v>
      </c>
      <c r="R67" s="242">
        <v>-130.2691814525956</v>
      </c>
      <c r="S67" s="242">
        <v>469.03878250170078</v>
      </c>
      <c r="T67" s="242">
        <v>-414.31898428822751</v>
      </c>
      <c r="U67" s="242">
        <v>388.33627336660311</v>
      </c>
      <c r="V67" s="242">
        <v>292.90207315835414</v>
      </c>
      <c r="W67" s="242">
        <v>612.36398095952336</v>
      </c>
      <c r="X67" s="242">
        <v>363.12299611917297</v>
      </c>
      <c r="Y67" s="242">
        <v>564.77061345254447</v>
      </c>
      <c r="Z67" s="242">
        <v>135.33356107195414</v>
      </c>
      <c r="AA67" s="242">
        <v>346.62089175489655</v>
      </c>
      <c r="AB67" s="242">
        <v>554.27007653995406</v>
      </c>
      <c r="AC67" s="242">
        <v>708.95608175716461</v>
      </c>
      <c r="AD67" s="242">
        <v>941.37650512465143</v>
      </c>
      <c r="AE67" s="242">
        <v>950.9002628836231</v>
      </c>
      <c r="AF67" s="242">
        <v>2034.9991520027347</v>
      </c>
      <c r="AG67" s="242">
        <v>1558.7759061553525</v>
      </c>
      <c r="AH67" s="242">
        <v>2528.5787440036424</v>
      </c>
      <c r="AI67" s="242">
        <v>1852.8517387696618</v>
      </c>
      <c r="AJ67" s="242">
        <v>2101.4920915655289</v>
      </c>
      <c r="AK67" s="242">
        <v>1514.9220869123799</v>
      </c>
      <c r="AL67" s="242">
        <v>1260.2089663609163</v>
      </c>
      <c r="AM67" s="242">
        <v>1120.8206340523598</v>
      </c>
      <c r="AN67" s="242">
        <v>949.32174874079624</v>
      </c>
      <c r="AO67" s="242">
        <v>870.8801096074078</v>
      </c>
      <c r="AP67" s="242">
        <v>-130.2691814525956</v>
      </c>
      <c r="AQ67" s="242">
        <v>469.03878250170078</v>
      </c>
      <c r="AR67" s="242">
        <v>-414.31898428822751</v>
      </c>
      <c r="AS67" s="242">
        <v>388.33627336660311</v>
      </c>
      <c r="AT67" s="242">
        <v>292.90207315835414</v>
      </c>
      <c r="AU67" s="242">
        <v>612.36398095952336</v>
      </c>
      <c r="AV67" s="242">
        <v>363.12299611917297</v>
      </c>
      <c r="AW67" s="242">
        <v>564.77061345254447</v>
      </c>
      <c r="AX67" s="242">
        <v>135.33356107195414</v>
      </c>
      <c r="AY67" s="242">
        <v>346.62089175489655</v>
      </c>
      <c r="BA67" s="158"/>
      <c r="BB67" s="158"/>
    </row>
    <row r="68" spans="2:54">
      <c r="B68" s="225">
        <v>10191</v>
      </c>
      <c r="C68" s="225" t="s">
        <v>71</v>
      </c>
      <c r="D68" s="242">
        <v>77.818094665875833</v>
      </c>
      <c r="E68" s="242">
        <v>6055.9882431368205</v>
      </c>
      <c r="F68" s="242">
        <v>-6325.6852140917545</v>
      </c>
      <c r="G68" s="242">
        <v>-284.89032126159873</v>
      </c>
      <c r="H68" s="242">
        <v>6614.816698357783</v>
      </c>
      <c r="I68" s="242">
        <v>4786.0879992825576</v>
      </c>
      <c r="J68" s="242">
        <v>23478.789126012351</v>
      </c>
      <c r="K68" s="242">
        <v>12222.251361827082</v>
      </c>
      <c r="L68" s="242">
        <v>19076.639849379804</v>
      </c>
      <c r="M68" s="242">
        <v>9227.2164356127432</v>
      </c>
      <c r="N68" s="242">
        <v>5001.7648713810195</v>
      </c>
      <c r="O68" s="242">
        <v>7110.2393791686773</v>
      </c>
      <c r="P68" s="242">
        <v>13475.748394303824</v>
      </c>
      <c r="Q68" s="242">
        <v>9090.8792889610195</v>
      </c>
      <c r="R68" s="242">
        <v>-16279.610455000242</v>
      </c>
      <c r="S68" s="242">
        <v>1197.1168456864434</v>
      </c>
      <c r="T68" s="242">
        <v>-28926.674454985114</v>
      </c>
      <c r="U68" s="242">
        <v>1001.1674752072577</v>
      </c>
      <c r="V68" s="242">
        <v>-18918.854720642928</v>
      </c>
      <c r="W68" s="242">
        <v>-2124.3179330582134</v>
      </c>
      <c r="X68" s="242">
        <v>-15821.020334797497</v>
      </c>
      <c r="Y68" s="242">
        <v>-2419.5171075204344</v>
      </c>
      <c r="Z68" s="242">
        <v>-13598.698869435473</v>
      </c>
      <c r="AA68" s="242">
        <v>-338.80199483371689</v>
      </c>
      <c r="AB68" s="242">
        <v>2129.2440946658826</v>
      </c>
      <c r="AC68" s="242">
        <v>3729.1792431368194</v>
      </c>
      <c r="AD68" s="242">
        <v>-6543.3892140917596</v>
      </c>
      <c r="AE68" s="242">
        <v>-437.25932126159751</v>
      </c>
      <c r="AF68" s="242">
        <v>6230.2426983577898</v>
      </c>
      <c r="AG68" s="242">
        <v>4497.7089992825568</v>
      </c>
      <c r="AH68" s="242">
        <v>23114.975126012338</v>
      </c>
      <c r="AI68" s="242">
        <v>11971.174361827078</v>
      </c>
      <c r="AJ68" s="242">
        <v>16670.053849379801</v>
      </c>
      <c r="AK68" s="242">
        <v>8272.181435612747</v>
      </c>
      <c r="AL68" s="242">
        <v>4778.2478713810269</v>
      </c>
      <c r="AM68" s="242">
        <v>6954.6023791686748</v>
      </c>
      <c r="AN68" s="242">
        <v>13330.580394303826</v>
      </c>
      <c r="AO68" s="242">
        <v>8891.6872889610167</v>
      </c>
      <c r="AP68" s="242">
        <v>-16484.185455000239</v>
      </c>
      <c r="AQ68" s="242">
        <v>1164.8868456864438</v>
      </c>
      <c r="AR68" s="242">
        <v>-29068.873454985107</v>
      </c>
      <c r="AS68" s="242">
        <v>902.90347520725845</v>
      </c>
      <c r="AT68" s="242">
        <v>-19060.981720642929</v>
      </c>
      <c r="AU68" s="242">
        <v>-2221.1759330582136</v>
      </c>
      <c r="AV68" s="242">
        <v>-17845.163334797493</v>
      </c>
      <c r="AW68" s="242">
        <v>-638.86010752043512</v>
      </c>
      <c r="AX68" s="242">
        <v>-11870.633869435478</v>
      </c>
      <c r="AY68" s="242">
        <v>-2302.2979948337161</v>
      </c>
      <c r="BA68" s="158"/>
      <c r="BB68" s="158"/>
    </row>
    <row r="69" spans="2:54">
      <c r="B69" s="225">
        <v>10197</v>
      </c>
      <c r="C69" s="225" t="s">
        <v>72</v>
      </c>
      <c r="D69" s="242">
        <v>-5258.5211533069269</v>
      </c>
      <c r="E69" s="242">
        <v>-2211.8749379493829</v>
      </c>
      <c r="F69" s="242">
        <v>-8889.8345450127672</v>
      </c>
      <c r="G69" s="242">
        <v>-5131.73193853252</v>
      </c>
      <c r="H69" s="242">
        <v>-7019.3015670825607</v>
      </c>
      <c r="I69" s="242">
        <v>-4764.2291531193978</v>
      </c>
      <c r="J69" s="242">
        <v>-5691.8717166299357</v>
      </c>
      <c r="K69" s="242">
        <v>-4292.8197979295683</v>
      </c>
      <c r="L69" s="242">
        <v>-5683.5219029860182</v>
      </c>
      <c r="M69" s="242">
        <v>-4005.5525959420547</v>
      </c>
      <c r="N69" s="242">
        <v>-7919.9458838005212</v>
      </c>
      <c r="O69" s="242">
        <v>-4491.6556426971883</v>
      </c>
      <c r="P69" s="242">
        <v>-1399.1127925887977</v>
      </c>
      <c r="Q69" s="242">
        <v>-672.66571154386384</v>
      </c>
      <c r="R69" s="242">
        <v>7004.4760009221663</v>
      </c>
      <c r="S69" s="242">
        <v>7983.4295044786177</v>
      </c>
      <c r="T69" s="242">
        <v>4454.623447859829</v>
      </c>
      <c r="U69" s="242">
        <v>8200.2131816893743</v>
      </c>
      <c r="V69" s="242">
        <v>11482.627276845196</v>
      </c>
      <c r="W69" s="242">
        <v>11579.889488169621</v>
      </c>
      <c r="X69" s="242">
        <v>11339.255532711688</v>
      </c>
      <c r="Y69" s="242">
        <v>10280.395481135565</v>
      </c>
      <c r="Z69" s="242">
        <v>3199.4179185386092</v>
      </c>
      <c r="AA69" s="242">
        <v>6252.3166885391129</v>
      </c>
      <c r="AB69" s="242">
        <v>-5651.2911533069291</v>
      </c>
      <c r="AC69" s="242">
        <v>-2896.3439379493821</v>
      </c>
      <c r="AD69" s="242">
        <v>-9343.1645450127653</v>
      </c>
      <c r="AE69" s="242">
        <v>-5508.0739385325178</v>
      </c>
      <c r="AF69" s="242">
        <v>-7296.3805670825623</v>
      </c>
      <c r="AG69" s="242">
        <v>-5003.1401531193978</v>
      </c>
      <c r="AH69" s="242">
        <v>-5270.5987166299328</v>
      </c>
      <c r="AI69" s="242">
        <v>-3922.2157979295716</v>
      </c>
      <c r="AJ69" s="242">
        <v>-5573.2399029860171</v>
      </c>
      <c r="AK69" s="242">
        <v>-3880.4665959420554</v>
      </c>
      <c r="AL69" s="242">
        <v>-7937.8538838005206</v>
      </c>
      <c r="AM69" s="242">
        <v>-4505.3286426971872</v>
      </c>
      <c r="AN69" s="242">
        <v>-1086.4367925888018</v>
      </c>
      <c r="AO69" s="242">
        <v>-600.22971154386232</v>
      </c>
      <c r="AP69" s="242">
        <v>7216.6570009221632</v>
      </c>
      <c r="AQ69" s="242">
        <v>8299.0685044786132</v>
      </c>
      <c r="AR69" s="242">
        <v>4655.430447859826</v>
      </c>
      <c r="AS69" s="242">
        <v>8343.2121816893705</v>
      </c>
      <c r="AT69" s="242">
        <v>11851.692276845191</v>
      </c>
      <c r="AU69" s="242">
        <v>11860.68648816962</v>
      </c>
      <c r="AV69" s="242">
        <v>10868.308532711688</v>
      </c>
      <c r="AW69" s="242">
        <v>11693.926481135568</v>
      </c>
      <c r="AX69" s="242">
        <v>4059.1439185386043</v>
      </c>
      <c r="AY69" s="242">
        <v>5706.2916885391114</v>
      </c>
      <c r="BA69" s="158"/>
      <c r="BB69" s="158"/>
    </row>
    <row r="70" spans="2:54">
      <c r="B70" s="225">
        <v>10202</v>
      </c>
      <c r="C70" s="225" t="s">
        <v>73</v>
      </c>
      <c r="D70" s="242">
        <v>1017.6361383131016</v>
      </c>
      <c r="E70" s="242">
        <v>793.52745361360985</v>
      </c>
      <c r="F70" s="242">
        <v>190.57050313660238</v>
      </c>
      <c r="G70" s="242">
        <v>126.80073081598675</v>
      </c>
      <c r="H70" s="242">
        <v>1715.6744625899501</v>
      </c>
      <c r="I70" s="242">
        <v>882.69167164680221</v>
      </c>
      <c r="J70" s="242">
        <v>3227.9617677218821</v>
      </c>
      <c r="K70" s="242">
        <v>1296.4054395916824</v>
      </c>
      <c r="L70" s="242">
        <v>2183.4604933273013</v>
      </c>
      <c r="M70" s="242">
        <v>646.65480331080516</v>
      </c>
      <c r="N70" s="242">
        <v>750.78037274229882</v>
      </c>
      <c r="O70" s="242">
        <v>426.21553870728076</v>
      </c>
      <c r="P70" s="242">
        <v>1208.1709430544188</v>
      </c>
      <c r="Q70" s="242">
        <v>319.59632935761147</v>
      </c>
      <c r="R70" s="242">
        <v>-1894.8318745428096</v>
      </c>
      <c r="S70" s="242">
        <v>-710.96572430634615</v>
      </c>
      <c r="T70" s="242">
        <v>-3010.148260177164</v>
      </c>
      <c r="U70" s="242">
        <v>-561.27329646617818</v>
      </c>
      <c r="V70" s="242">
        <v>-1618.8318862720298</v>
      </c>
      <c r="W70" s="242">
        <v>-756.20470700337364</v>
      </c>
      <c r="X70" s="242">
        <v>81.62479581207208</v>
      </c>
      <c r="Y70" s="242">
        <v>156.0566468414163</v>
      </c>
      <c r="Z70" s="242">
        <v>517.80530503655064</v>
      </c>
      <c r="AA70" s="242">
        <v>823.35552471249821</v>
      </c>
      <c r="AB70" s="242">
        <v>1293.5901383131013</v>
      </c>
      <c r="AC70" s="242">
        <v>517.83745361361025</v>
      </c>
      <c r="AD70" s="242">
        <v>199.29450313660254</v>
      </c>
      <c r="AE70" s="242">
        <v>124.84473081598662</v>
      </c>
      <c r="AF70" s="242">
        <v>1730.3104625899505</v>
      </c>
      <c r="AG70" s="242">
        <v>888.8186716468017</v>
      </c>
      <c r="AH70" s="242">
        <v>3247.9057677218834</v>
      </c>
      <c r="AI70" s="242">
        <v>1298.1594395916823</v>
      </c>
      <c r="AJ70" s="242">
        <v>1903.9804933273017</v>
      </c>
      <c r="AK70" s="242">
        <v>535.39580331080515</v>
      </c>
      <c r="AL70" s="242">
        <v>753.24537274229897</v>
      </c>
      <c r="AM70" s="242">
        <v>423.12653870728082</v>
      </c>
      <c r="AN70" s="242">
        <v>1243.4599430544195</v>
      </c>
      <c r="AO70" s="242">
        <v>274.37932935761182</v>
      </c>
      <c r="AP70" s="242">
        <v>-1937.0168745428109</v>
      </c>
      <c r="AQ70" s="242">
        <v>-692.05172430634593</v>
      </c>
      <c r="AR70" s="242">
        <v>-3019.7382601771642</v>
      </c>
      <c r="AS70" s="242">
        <v>-574.54529646617812</v>
      </c>
      <c r="AT70" s="242">
        <v>-1622.5238862720298</v>
      </c>
      <c r="AU70" s="242">
        <v>-773.05870700337346</v>
      </c>
      <c r="AV70" s="242">
        <v>-171.18520418792741</v>
      </c>
      <c r="AW70" s="242">
        <v>404.8416468414157</v>
      </c>
      <c r="AX70" s="242">
        <v>795.90130503655018</v>
      </c>
      <c r="AY70" s="242">
        <v>546.68052471249894</v>
      </c>
      <c r="BA70" s="158"/>
      <c r="BB70" s="158"/>
    </row>
    <row r="71" spans="2:54">
      <c r="B71" s="225">
        <v>10203</v>
      </c>
      <c r="C71" s="225" t="s">
        <v>74</v>
      </c>
      <c r="D71" s="242">
        <v>42.28964623521415</v>
      </c>
      <c r="E71" s="242">
        <v>92.769255935422507</v>
      </c>
      <c r="F71" s="242">
        <v>305.36004442821559</v>
      </c>
      <c r="G71" s="242">
        <v>406.14393975146209</v>
      </c>
      <c r="H71" s="242">
        <v>1511.3663798764874</v>
      </c>
      <c r="I71" s="242">
        <v>959.35521089116446</v>
      </c>
      <c r="J71" s="242">
        <v>1869.3339997943203</v>
      </c>
      <c r="K71" s="242">
        <v>1241.5655095135703</v>
      </c>
      <c r="L71" s="242">
        <v>1204.7543619487269</v>
      </c>
      <c r="M71" s="242">
        <v>657.13088324609294</v>
      </c>
      <c r="N71" s="242">
        <v>550.31564277101188</v>
      </c>
      <c r="O71" s="242">
        <v>367.97737328618041</v>
      </c>
      <c r="P71" s="242">
        <v>770.76073475313137</v>
      </c>
      <c r="Q71" s="242">
        <v>495.88706372406205</v>
      </c>
      <c r="R71" s="242">
        <v>-775.77294226654703</v>
      </c>
      <c r="S71" s="242">
        <v>-1.3633659049835387</v>
      </c>
      <c r="T71" s="242">
        <v>-1144.1256700791882</v>
      </c>
      <c r="U71" s="242">
        <v>-82.698886225990918</v>
      </c>
      <c r="V71" s="242">
        <v>-377.58205894159164</v>
      </c>
      <c r="W71" s="242">
        <v>59.75502577375164</v>
      </c>
      <c r="X71" s="242">
        <v>-302.11952933579005</v>
      </c>
      <c r="Y71" s="242">
        <v>-50.346742651484192</v>
      </c>
      <c r="Z71" s="242">
        <v>-492.67182602746198</v>
      </c>
      <c r="AA71" s="242">
        <v>-124.94060310823875</v>
      </c>
      <c r="AB71" s="242">
        <v>53.179646235214022</v>
      </c>
      <c r="AC71" s="242">
        <v>99.146255935422687</v>
      </c>
      <c r="AD71" s="242">
        <v>318.85304442821553</v>
      </c>
      <c r="AE71" s="242">
        <v>415.48393975146223</v>
      </c>
      <c r="AF71" s="242">
        <v>1527.6113798764873</v>
      </c>
      <c r="AG71" s="242">
        <v>970.89221089116427</v>
      </c>
      <c r="AH71" s="242">
        <v>1884.9989997943203</v>
      </c>
      <c r="AI71" s="242">
        <v>1252.7825095135704</v>
      </c>
      <c r="AJ71" s="242">
        <v>1218.3403619487271</v>
      </c>
      <c r="AK71" s="242">
        <v>666.05188324609321</v>
      </c>
      <c r="AL71" s="242">
        <v>563.27364277101196</v>
      </c>
      <c r="AM71" s="242">
        <v>376.20937328618061</v>
      </c>
      <c r="AN71" s="242">
        <v>781.67273475313164</v>
      </c>
      <c r="AO71" s="242">
        <v>502.74506372406199</v>
      </c>
      <c r="AP71" s="242">
        <v>-765.85294226654696</v>
      </c>
      <c r="AQ71" s="242">
        <v>5.0516340950166523</v>
      </c>
      <c r="AR71" s="242">
        <v>-1133.8896700791884</v>
      </c>
      <c r="AS71" s="242">
        <v>-76.92588622599078</v>
      </c>
      <c r="AT71" s="242">
        <v>-365.79905894159174</v>
      </c>
      <c r="AU71" s="242">
        <v>66.746025773751626</v>
      </c>
      <c r="AV71" s="242">
        <v>-290.49852933578995</v>
      </c>
      <c r="AW71" s="242">
        <v>-44.299742651484166</v>
      </c>
      <c r="AX71" s="242">
        <v>-483.68182602746219</v>
      </c>
      <c r="AY71" s="242">
        <v>-119.19760310823881</v>
      </c>
      <c r="BA71" s="158"/>
      <c r="BB71" s="158"/>
    </row>
    <row r="72" spans="2:54">
      <c r="B72" s="225">
        <v>10204</v>
      </c>
      <c r="C72" s="225" t="s">
        <v>75</v>
      </c>
      <c r="D72" s="242">
        <v>-2898.9834221238689</v>
      </c>
      <c r="E72" s="242">
        <v>1583.2093406795138</v>
      </c>
      <c r="F72" s="242">
        <v>-4511.8779128970982</v>
      </c>
      <c r="G72" s="242">
        <v>-87.346649535955294</v>
      </c>
      <c r="H72" s="242">
        <v>1203.6145277897122</v>
      </c>
      <c r="I72" s="242">
        <v>1656.97449844517</v>
      </c>
      <c r="J72" s="242">
        <v>4291.4861319946758</v>
      </c>
      <c r="K72" s="242">
        <v>5255.4127507230314</v>
      </c>
      <c r="L72" s="242">
        <v>3618.7621125438218</v>
      </c>
      <c r="M72" s="242">
        <v>3100.3554057240199</v>
      </c>
      <c r="N72" s="242">
        <v>-812.08926511908976</v>
      </c>
      <c r="O72" s="242">
        <v>982.73249462895365</v>
      </c>
      <c r="P72" s="242">
        <v>720.16801166833284</v>
      </c>
      <c r="Q72" s="242">
        <v>1965.773410276448</v>
      </c>
      <c r="R72" s="242">
        <v>-5849.5207370087919</v>
      </c>
      <c r="S72" s="242">
        <v>2561.639905091979</v>
      </c>
      <c r="T72" s="242">
        <v>-8395.2030892292478</v>
      </c>
      <c r="U72" s="242">
        <v>1365.6155987681923</v>
      </c>
      <c r="V72" s="242">
        <v>-5178.9293624721868</v>
      </c>
      <c r="W72" s="242">
        <v>2806.9433483878329</v>
      </c>
      <c r="X72" s="242">
        <v>-3903.0015095532308</v>
      </c>
      <c r="Y72" s="242">
        <v>1876.3893248856493</v>
      </c>
      <c r="Z72" s="242">
        <v>-4757.5084335983083</v>
      </c>
      <c r="AA72" s="242">
        <v>233.01577096636538</v>
      </c>
      <c r="AB72" s="242">
        <v>-2636.5499520224876</v>
      </c>
      <c r="AC72" s="242">
        <v>1790.1280382594505</v>
      </c>
      <c r="AD72" s="242">
        <v>-4212.781805741819</v>
      </c>
      <c r="AE72" s="242">
        <v>152.6779764561561</v>
      </c>
      <c r="AF72" s="242">
        <v>1575.986343474091</v>
      </c>
      <c r="AG72" s="242">
        <v>1950.5753531193914</v>
      </c>
      <c r="AH72" s="242">
        <v>4659.765949704477</v>
      </c>
      <c r="AI72" s="242">
        <v>5572.1333939534579</v>
      </c>
      <c r="AJ72" s="242">
        <v>3941.3284671664787</v>
      </c>
      <c r="AK72" s="242">
        <v>3342.2801716910108</v>
      </c>
      <c r="AL72" s="242">
        <v>-506.00561366260081</v>
      </c>
      <c r="AM72" s="242">
        <v>1203.0843825987868</v>
      </c>
      <c r="AN72" s="242">
        <v>433.56789581586236</v>
      </c>
      <c r="AO72" s="242">
        <v>2709.0405000890914</v>
      </c>
      <c r="AP72" s="242">
        <v>-4995.6453935377303</v>
      </c>
      <c r="AQ72" s="242">
        <v>2208.8297136050187</v>
      </c>
      <c r="AR72" s="242">
        <v>-8124.0218367911912</v>
      </c>
      <c r="AS72" s="242">
        <v>1563.7865140113863</v>
      </c>
      <c r="AT72" s="242">
        <v>-4895.8995025655877</v>
      </c>
      <c r="AU72" s="242">
        <v>3050.3490279075086</v>
      </c>
      <c r="AV72" s="242">
        <v>-3604.6948572082802</v>
      </c>
      <c r="AW72" s="242">
        <v>2091.8330182458903</v>
      </c>
      <c r="AX72" s="242">
        <v>-4521.4228837886658</v>
      </c>
      <c r="AY72" s="242">
        <v>421.88421081407796</v>
      </c>
      <c r="BA72" s="158"/>
      <c r="BB72" s="158"/>
    </row>
    <row r="73" spans="2:54">
      <c r="B73" s="225">
        <v>10209</v>
      </c>
      <c r="C73" s="225" t="s">
        <v>76</v>
      </c>
      <c r="D73" s="242">
        <v>494.94820085422543</v>
      </c>
      <c r="E73" s="242">
        <v>2865.0283775529424</v>
      </c>
      <c r="F73" s="242">
        <v>-5883.4426182608368</v>
      </c>
      <c r="G73" s="242">
        <v>808.92450633988483</v>
      </c>
      <c r="H73" s="242">
        <v>17311.686256967252</v>
      </c>
      <c r="I73" s="242">
        <v>11143.627551388185</v>
      </c>
      <c r="J73" s="242">
        <v>24163.544341567271</v>
      </c>
      <c r="K73" s="242">
        <v>15745.59283328227</v>
      </c>
      <c r="L73" s="242">
        <v>19388.166622939469</v>
      </c>
      <c r="M73" s="242">
        <v>11474.052043816591</v>
      </c>
      <c r="N73" s="242">
        <v>4050.0806002702957</v>
      </c>
      <c r="O73" s="242">
        <v>5521.8917999995901</v>
      </c>
      <c r="P73" s="242">
        <v>8387.9596163066963</v>
      </c>
      <c r="Q73" s="242">
        <v>7245.0653266206318</v>
      </c>
      <c r="R73" s="242">
        <v>-12275.376789845461</v>
      </c>
      <c r="S73" s="242">
        <v>2094.7535063226314</v>
      </c>
      <c r="T73" s="242">
        <v>-15550.583555615609</v>
      </c>
      <c r="U73" s="242">
        <v>3133.1612304640985</v>
      </c>
      <c r="V73" s="242">
        <v>-6336.7767726553648</v>
      </c>
      <c r="W73" s="242">
        <v>2648.6936092937067</v>
      </c>
      <c r="X73" s="242">
        <v>-3449.3182098243997</v>
      </c>
      <c r="Y73" s="242">
        <v>3032.4029888595323</v>
      </c>
      <c r="Z73" s="242">
        <v>-5723.7192126217706</v>
      </c>
      <c r="AA73" s="242">
        <v>1600.2511933552996</v>
      </c>
      <c r="AB73" s="242">
        <v>557.27420085421909</v>
      </c>
      <c r="AC73" s="242">
        <v>2854.417377552938</v>
      </c>
      <c r="AD73" s="242">
        <v>-5788.8766182608451</v>
      </c>
      <c r="AE73" s="242">
        <v>856.32650633988669</v>
      </c>
      <c r="AF73" s="242">
        <v>17532.453256967237</v>
      </c>
      <c r="AG73" s="242">
        <v>11283.953551388186</v>
      </c>
      <c r="AH73" s="242">
        <v>24383.239341567263</v>
      </c>
      <c r="AI73" s="242">
        <v>15863.497833282261</v>
      </c>
      <c r="AJ73" s="242">
        <v>17607.895622939468</v>
      </c>
      <c r="AK73" s="242">
        <v>10235.941043816594</v>
      </c>
      <c r="AL73" s="242">
        <v>4131.3716002702859</v>
      </c>
      <c r="AM73" s="242">
        <v>5569.2307999995901</v>
      </c>
      <c r="AN73" s="242">
        <v>8738.0966163066914</v>
      </c>
      <c r="AO73" s="242">
        <v>6967.3253266206339</v>
      </c>
      <c r="AP73" s="242">
        <v>-12531.034789845471</v>
      </c>
      <c r="AQ73" s="242">
        <v>2371.1305063226282</v>
      </c>
      <c r="AR73" s="242">
        <v>-15493.226555615613</v>
      </c>
      <c r="AS73" s="242">
        <v>3136.8922304640982</v>
      </c>
      <c r="AT73" s="242">
        <v>-6249.6007726553726</v>
      </c>
      <c r="AU73" s="242">
        <v>2639.6106092937043</v>
      </c>
      <c r="AV73" s="242">
        <v>-3370.7372098244014</v>
      </c>
      <c r="AW73" s="242">
        <v>3036.7479888595335</v>
      </c>
      <c r="AX73" s="242">
        <v>-5688.8052126217735</v>
      </c>
      <c r="AY73" s="242">
        <v>1594.5181933552994</v>
      </c>
      <c r="BA73" s="158"/>
      <c r="BB73" s="158"/>
    </row>
    <row r="74" spans="2:54">
      <c r="B74" s="225">
        <v>10230</v>
      </c>
      <c r="C74" s="225" t="s">
        <v>77</v>
      </c>
      <c r="D74" s="242">
        <v>-344.40274444532315</v>
      </c>
      <c r="E74" s="242">
        <v>-348.49201724096201</v>
      </c>
      <c r="F74" s="242">
        <v>-441.58786982620222</v>
      </c>
      <c r="G74" s="242">
        <v>-267.30933944251183</v>
      </c>
      <c r="H74" s="242">
        <v>1615.1432484513098</v>
      </c>
      <c r="I74" s="242">
        <v>909.3067643406871</v>
      </c>
      <c r="J74" s="242">
        <v>2580.5176155442855</v>
      </c>
      <c r="K74" s="242">
        <v>1200.3464207531474</v>
      </c>
      <c r="L74" s="242">
        <v>1519.7234418472053</v>
      </c>
      <c r="M74" s="242">
        <v>755.46990941221429</v>
      </c>
      <c r="N74" s="242">
        <v>514.15805262313097</v>
      </c>
      <c r="O74" s="242">
        <v>349.71756376620397</v>
      </c>
      <c r="P74" s="242">
        <v>765.39080029244997</v>
      </c>
      <c r="Q74" s="242">
        <v>385.69530497839401</v>
      </c>
      <c r="R74" s="242">
        <v>-1230.5625212865198</v>
      </c>
      <c r="S74" s="242">
        <v>-337.03312082834054</v>
      </c>
      <c r="T74" s="242">
        <v>-2260.3185290621618</v>
      </c>
      <c r="U74" s="242">
        <v>-633.40072074768591</v>
      </c>
      <c r="V74" s="242">
        <v>-854.89767812234641</v>
      </c>
      <c r="W74" s="242">
        <v>-340.73217216665853</v>
      </c>
      <c r="X74" s="242">
        <v>-716.13255126087279</v>
      </c>
      <c r="Y74" s="242">
        <v>-384.15475864174823</v>
      </c>
      <c r="Z74" s="242">
        <v>-1056.3502129550288</v>
      </c>
      <c r="AA74" s="242">
        <v>-668.19033834573179</v>
      </c>
      <c r="AB74" s="242">
        <v>-337.1547444453231</v>
      </c>
      <c r="AC74" s="242">
        <v>-321.98101724096205</v>
      </c>
      <c r="AD74" s="242">
        <v>-412.34286982620142</v>
      </c>
      <c r="AE74" s="242">
        <v>-248.74833944251213</v>
      </c>
      <c r="AF74" s="242">
        <v>1661.9082484513092</v>
      </c>
      <c r="AG74" s="242">
        <v>942.8077643406873</v>
      </c>
      <c r="AH74" s="242">
        <v>2628.9526155442859</v>
      </c>
      <c r="AI74" s="242">
        <v>1229.9154207531478</v>
      </c>
      <c r="AJ74" s="242">
        <v>1368.8614418472043</v>
      </c>
      <c r="AK74" s="242">
        <v>652.19090941221384</v>
      </c>
      <c r="AL74" s="242">
        <v>541.73005262313109</v>
      </c>
      <c r="AM74" s="242">
        <v>368.85656376620409</v>
      </c>
      <c r="AN74" s="242">
        <v>839.79480029245042</v>
      </c>
      <c r="AO74" s="242">
        <v>349.3163049783941</v>
      </c>
      <c r="AP74" s="242">
        <v>-1254.5435212865204</v>
      </c>
      <c r="AQ74" s="242">
        <v>-277.70912082834047</v>
      </c>
      <c r="AR74" s="242">
        <v>-2188.1535290621623</v>
      </c>
      <c r="AS74" s="242">
        <v>-598.02972074768559</v>
      </c>
      <c r="AT74" s="242">
        <v>-827.15867812234592</v>
      </c>
      <c r="AU74" s="242">
        <v>-329.98317216665828</v>
      </c>
      <c r="AV74" s="242">
        <v>-667.8235512608735</v>
      </c>
      <c r="AW74" s="242">
        <v>-392.82575864174805</v>
      </c>
      <c r="AX74" s="242">
        <v>-1049.0982129550293</v>
      </c>
      <c r="AY74" s="242">
        <v>-646.96933834573179</v>
      </c>
      <c r="BA74" s="158"/>
      <c r="BB74" s="158"/>
    </row>
    <row r="75" spans="2:54">
      <c r="B75" s="225">
        <v>10231</v>
      </c>
      <c r="C75" s="225" t="s">
        <v>78</v>
      </c>
      <c r="D75" s="242">
        <v>5241.5806577697676</v>
      </c>
      <c r="E75" s="242">
        <v>4386.8582816074231</v>
      </c>
      <c r="F75" s="242">
        <v>2193.1628251293405</v>
      </c>
      <c r="G75" s="242">
        <v>1867.7718659436468</v>
      </c>
      <c r="H75" s="242">
        <v>6925.879241819337</v>
      </c>
      <c r="I75" s="242">
        <v>4796.3365380806063</v>
      </c>
      <c r="J75" s="242">
        <v>12381.735488501306</v>
      </c>
      <c r="K75" s="242">
        <v>6720.2422417728085</v>
      </c>
      <c r="L75" s="242">
        <v>7719.8679094352046</v>
      </c>
      <c r="M75" s="242">
        <v>3453.3738856901819</v>
      </c>
      <c r="N75" s="242">
        <v>4433.3652625168743</v>
      </c>
      <c r="O75" s="242">
        <v>3632.0292834025367</v>
      </c>
      <c r="P75" s="242">
        <v>7170.8512022695522</v>
      </c>
      <c r="Q75" s="242">
        <v>3554.2542169541766</v>
      </c>
      <c r="R75" s="242">
        <v>-152.38148937364531</v>
      </c>
      <c r="S75" s="242">
        <v>1479.8676409258314</v>
      </c>
      <c r="T75" s="242">
        <v>-2358.536044264205</v>
      </c>
      <c r="U75" s="242">
        <v>2906.9220251304232</v>
      </c>
      <c r="V75" s="242">
        <v>5007.3661074307347</v>
      </c>
      <c r="W75" s="242">
        <v>4172.0463048006823</v>
      </c>
      <c r="X75" s="242">
        <v>6075.2432072564843</v>
      </c>
      <c r="Y75" s="242">
        <v>4407.5349145606069</v>
      </c>
      <c r="Z75" s="242">
        <v>4096.0812287860444</v>
      </c>
      <c r="AA75" s="242">
        <v>4902.1411990053639</v>
      </c>
      <c r="AB75" s="242">
        <v>6476.7616577697681</v>
      </c>
      <c r="AC75" s="242">
        <v>3507.880281607424</v>
      </c>
      <c r="AD75" s="242">
        <v>2386.6878251293419</v>
      </c>
      <c r="AE75" s="242">
        <v>1985.0828659436484</v>
      </c>
      <c r="AF75" s="242">
        <v>7012.0062418193374</v>
      </c>
      <c r="AG75" s="242">
        <v>4855.4095380806066</v>
      </c>
      <c r="AH75" s="242">
        <v>12513.467488501303</v>
      </c>
      <c r="AI75" s="242">
        <v>6787.548241772809</v>
      </c>
      <c r="AJ75" s="242">
        <v>7674.9759094352048</v>
      </c>
      <c r="AK75" s="242">
        <v>3656.6388856901849</v>
      </c>
      <c r="AL75" s="242">
        <v>4629.5852625168754</v>
      </c>
      <c r="AM75" s="242">
        <v>3762.2512834025383</v>
      </c>
      <c r="AN75" s="242">
        <v>7573.6202022695525</v>
      </c>
      <c r="AO75" s="242">
        <v>3515.9552169541757</v>
      </c>
      <c r="AP75" s="242">
        <v>-72.386489373646327</v>
      </c>
      <c r="AQ75" s="242">
        <v>1773.7466409258323</v>
      </c>
      <c r="AR75" s="242">
        <v>-2120.2570442642063</v>
      </c>
      <c r="AS75" s="242">
        <v>3050.2630251304236</v>
      </c>
      <c r="AT75" s="242">
        <v>5272.6611074307366</v>
      </c>
      <c r="AU75" s="242">
        <v>4307.2053048006819</v>
      </c>
      <c r="AV75" s="242">
        <v>5235.3772072564825</v>
      </c>
      <c r="AW75" s="242">
        <v>5639.8799145606081</v>
      </c>
      <c r="AX75" s="242">
        <v>5365.3692287860449</v>
      </c>
      <c r="AY75" s="242">
        <v>4013.1591990053657</v>
      </c>
      <c r="BA75" s="158"/>
      <c r="BB75" s="158"/>
    </row>
    <row r="76" spans="2:54">
      <c r="B76" s="225">
        <v>10234</v>
      </c>
      <c r="C76" s="225" t="s">
        <v>79</v>
      </c>
      <c r="D76" s="242">
        <v>3691.6649466039817</v>
      </c>
      <c r="E76" s="242">
        <v>2772.0290639718605</v>
      </c>
      <c r="F76" s="242">
        <v>844.444361799342</v>
      </c>
      <c r="G76" s="242">
        <v>1469.252881467366</v>
      </c>
      <c r="H76" s="242">
        <v>11379.008264750573</v>
      </c>
      <c r="I76" s="242">
        <v>6023.9200656810135</v>
      </c>
      <c r="J76" s="242">
        <v>14488.519698505112</v>
      </c>
      <c r="K76" s="242">
        <v>10102.359834815492</v>
      </c>
      <c r="L76" s="242">
        <v>13349.626948386314</v>
      </c>
      <c r="M76" s="242">
        <v>7150.178345878292</v>
      </c>
      <c r="N76" s="242">
        <v>8295.0254788037419</v>
      </c>
      <c r="O76" s="242">
        <v>4391.5395505862125</v>
      </c>
      <c r="P76" s="242">
        <v>8082.992140091701</v>
      </c>
      <c r="Q76" s="242">
        <v>4827.94709284698</v>
      </c>
      <c r="R76" s="242">
        <v>-3865.3145536610136</v>
      </c>
      <c r="S76" s="242">
        <v>2081.5929851619294</v>
      </c>
      <c r="T76" s="242">
        <v>-4243.2936172415903</v>
      </c>
      <c r="U76" s="242">
        <v>1882.1602000701932</v>
      </c>
      <c r="V76" s="242">
        <v>2120.166104377211</v>
      </c>
      <c r="W76" s="242">
        <v>4052.3301280035248</v>
      </c>
      <c r="X76" s="242">
        <v>3545.8579697644345</v>
      </c>
      <c r="Y76" s="242">
        <v>3342.5346804111559</v>
      </c>
      <c r="Z76" s="242">
        <v>456.41588041535942</v>
      </c>
      <c r="AA76" s="242">
        <v>1662.3125452133572</v>
      </c>
      <c r="AB76" s="242">
        <v>4251.1779466039807</v>
      </c>
      <c r="AC76" s="242">
        <v>3053.4310639718624</v>
      </c>
      <c r="AD76" s="242">
        <v>1400.9343617993436</v>
      </c>
      <c r="AE76" s="242">
        <v>1800.2778814673638</v>
      </c>
      <c r="AF76" s="242">
        <v>11967.426264750571</v>
      </c>
      <c r="AG76" s="242">
        <v>6392.4240656810143</v>
      </c>
      <c r="AH76" s="242">
        <v>15068.030698505103</v>
      </c>
      <c r="AI76" s="242">
        <v>10481.864834815489</v>
      </c>
      <c r="AJ76" s="242">
        <v>13628.042948386315</v>
      </c>
      <c r="AK76" s="242">
        <v>7294.7063458782941</v>
      </c>
      <c r="AL76" s="242">
        <v>8876.2974788037391</v>
      </c>
      <c r="AM76" s="242">
        <v>4705.0435505862097</v>
      </c>
      <c r="AN76" s="242">
        <v>8812.7791400917013</v>
      </c>
      <c r="AO76" s="242">
        <v>4965.4840928469803</v>
      </c>
      <c r="AP76" s="242">
        <v>-3519.8715536610107</v>
      </c>
      <c r="AQ76" s="242">
        <v>2559.2399851619302</v>
      </c>
      <c r="AR76" s="242">
        <v>-3662.9436172415881</v>
      </c>
      <c r="AS76" s="242">
        <v>2155.881200070191</v>
      </c>
      <c r="AT76" s="242">
        <v>2700.3471043772115</v>
      </c>
      <c r="AU76" s="242">
        <v>4348.1641280035201</v>
      </c>
      <c r="AV76" s="242">
        <v>4145.8049697644346</v>
      </c>
      <c r="AW76" s="242">
        <v>3615.7516804111547</v>
      </c>
      <c r="AX76" s="242">
        <v>1000.280880415361</v>
      </c>
      <c r="AY76" s="242">
        <v>1964.3395452133554</v>
      </c>
      <c r="BA76" s="158"/>
      <c r="BB76" s="158"/>
    </row>
    <row r="77" spans="2:54">
      <c r="B77" s="225">
        <v>10235</v>
      </c>
      <c r="C77" s="225" t="s">
        <v>80</v>
      </c>
      <c r="D77" s="242">
        <v>-42.978706641759345</v>
      </c>
      <c r="E77" s="242">
        <v>707.28867937120958</v>
      </c>
      <c r="F77" s="242">
        <v>-1207.0697176756385</v>
      </c>
      <c r="G77" s="242">
        <v>-638.1277643593512</v>
      </c>
      <c r="H77" s="242">
        <v>1733.7533362672457</v>
      </c>
      <c r="I77" s="242">
        <v>456.9876775272005</v>
      </c>
      <c r="J77" s="242">
        <v>5541.609247372855</v>
      </c>
      <c r="K77" s="242">
        <v>2158.0183550663678</v>
      </c>
      <c r="L77" s="242">
        <v>5244.4955239710307</v>
      </c>
      <c r="M77" s="242">
        <v>1882.1173476827562</v>
      </c>
      <c r="N77" s="242">
        <v>1050.2704173776929</v>
      </c>
      <c r="O77" s="242">
        <v>775.87399394318345</v>
      </c>
      <c r="P77" s="242">
        <v>2420.5451802691314</v>
      </c>
      <c r="Q77" s="242">
        <v>1036.9456619918556</v>
      </c>
      <c r="R77" s="242">
        <v>-4311.634714050917</v>
      </c>
      <c r="S77" s="242">
        <v>-611.71535783397485</v>
      </c>
      <c r="T77" s="242">
        <v>-6843.3228988596511</v>
      </c>
      <c r="U77" s="242">
        <v>-371.44124138642746</v>
      </c>
      <c r="V77" s="242">
        <v>-3939.8381502536886</v>
      </c>
      <c r="W77" s="242">
        <v>-853.26492627740754</v>
      </c>
      <c r="X77" s="242">
        <v>-3063.3491340940145</v>
      </c>
      <c r="Y77" s="242">
        <v>-773.91114659203231</v>
      </c>
      <c r="Z77" s="242">
        <v>-2889.4775246776426</v>
      </c>
      <c r="AA77" s="242">
        <v>-586.9533322358202</v>
      </c>
      <c r="AB77" s="242">
        <v>386.75635435328695</v>
      </c>
      <c r="AC77" s="242">
        <v>217.02453402484571</v>
      </c>
      <c r="AD77" s="242">
        <v>-1257.5480730472464</v>
      </c>
      <c r="AE77" s="242">
        <v>-669.66275148020577</v>
      </c>
      <c r="AF77" s="242">
        <v>1693.4304251673457</v>
      </c>
      <c r="AG77" s="242">
        <v>425.0367750237674</v>
      </c>
      <c r="AH77" s="242">
        <v>5516.6843876107596</v>
      </c>
      <c r="AI77" s="242">
        <v>2135.0403902589569</v>
      </c>
      <c r="AJ77" s="242">
        <v>4577.7326582092846</v>
      </c>
      <c r="AK77" s="242">
        <v>1593.0819863345214</v>
      </c>
      <c r="AL77" s="242">
        <v>1012.1406663729213</v>
      </c>
      <c r="AM77" s="242">
        <v>752.14941646119405</v>
      </c>
      <c r="AN77" s="242">
        <v>2394.0501608111208</v>
      </c>
      <c r="AO77" s="242">
        <v>1019.5028868430163</v>
      </c>
      <c r="AP77" s="242">
        <v>-4367.7523236536563</v>
      </c>
      <c r="AQ77" s="242">
        <v>-635.92427612701067</v>
      </c>
      <c r="AR77" s="242">
        <v>-6910.7194759829581</v>
      </c>
      <c r="AS77" s="242">
        <v>-393.78518560432622</v>
      </c>
      <c r="AT77" s="242">
        <v>-3995.3413525925607</v>
      </c>
      <c r="AU77" s="242">
        <v>-878.84820723539724</v>
      </c>
      <c r="AV77" s="242">
        <v>-3539.931516882878</v>
      </c>
      <c r="AW77" s="242">
        <v>-374.10383639563315</v>
      </c>
      <c r="AX77" s="242">
        <v>-2529.6263740364575</v>
      </c>
      <c r="AY77" s="242">
        <v>-1017.610853875276</v>
      </c>
      <c r="BA77" s="158"/>
      <c r="BB77" s="158"/>
    </row>
    <row r="78" spans="2:54">
      <c r="B78" s="225">
        <v>10236</v>
      </c>
      <c r="C78" s="225" t="s">
        <v>81</v>
      </c>
      <c r="D78" s="242">
        <v>0</v>
      </c>
      <c r="E78" s="242">
        <v>0</v>
      </c>
      <c r="F78" s="242">
        <v>0</v>
      </c>
      <c r="G78" s="242">
        <v>0</v>
      </c>
      <c r="H78" s="242">
        <v>0</v>
      </c>
      <c r="I78" s="242">
        <v>0</v>
      </c>
      <c r="J78" s="242">
        <v>0</v>
      </c>
      <c r="K78" s="242">
        <v>0</v>
      </c>
      <c r="L78" s="242">
        <v>0</v>
      </c>
      <c r="M78" s="242">
        <v>0</v>
      </c>
      <c r="N78" s="242">
        <v>0</v>
      </c>
      <c r="O78" s="242">
        <v>0</v>
      </c>
      <c r="P78" s="242">
        <v>0</v>
      </c>
      <c r="Q78" s="242">
        <v>0</v>
      </c>
      <c r="R78" s="242">
        <v>0</v>
      </c>
      <c r="S78" s="242">
        <v>0</v>
      </c>
      <c r="T78" s="242">
        <v>0</v>
      </c>
      <c r="U78" s="242">
        <v>0</v>
      </c>
      <c r="V78" s="242">
        <v>0</v>
      </c>
      <c r="W78" s="242">
        <v>0</v>
      </c>
      <c r="X78" s="242">
        <v>0</v>
      </c>
      <c r="Y78" s="242">
        <v>0</v>
      </c>
      <c r="Z78" s="242">
        <v>0</v>
      </c>
      <c r="AA78" s="242">
        <v>0</v>
      </c>
      <c r="AB78" s="242">
        <v>0</v>
      </c>
      <c r="AC78" s="242">
        <v>0</v>
      </c>
      <c r="AD78" s="242">
        <v>0</v>
      </c>
      <c r="AE78" s="242">
        <v>0</v>
      </c>
      <c r="AF78" s="242">
        <v>0</v>
      </c>
      <c r="AG78" s="242">
        <v>0</v>
      </c>
      <c r="AH78" s="242">
        <v>0</v>
      </c>
      <c r="AI78" s="242">
        <v>0</v>
      </c>
      <c r="AJ78" s="242">
        <v>0</v>
      </c>
      <c r="AK78" s="242">
        <v>0</v>
      </c>
      <c r="AL78" s="242">
        <v>0</v>
      </c>
      <c r="AM78" s="242">
        <v>0</v>
      </c>
      <c r="AN78" s="242">
        <v>0</v>
      </c>
      <c r="AO78" s="242">
        <v>0</v>
      </c>
      <c r="AP78" s="242">
        <v>0</v>
      </c>
      <c r="AQ78" s="242">
        <v>0</v>
      </c>
      <c r="AR78" s="242">
        <v>0</v>
      </c>
      <c r="AS78" s="242">
        <v>0</v>
      </c>
      <c r="AT78" s="242">
        <v>0</v>
      </c>
      <c r="AU78" s="242">
        <v>0</v>
      </c>
      <c r="AV78" s="242">
        <v>0</v>
      </c>
      <c r="AW78" s="242">
        <v>0</v>
      </c>
      <c r="AX78" s="242">
        <v>0</v>
      </c>
      <c r="AY78" s="242">
        <v>0</v>
      </c>
      <c r="BA78" s="158"/>
      <c r="BB78" s="158"/>
    </row>
    <row r="79" spans="2:54">
      <c r="B79" s="225">
        <v>10237</v>
      </c>
      <c r="C79" s="225" t="s">
        <v>82</v>
      </c>
      <c r="D79" s="242">
        <v>-2075.8629146054845</v>
      </c>
      <c r="E79" s="242">
        <v>2717.1409619693713</v>
      </c>
      <c r="F79" s="242">
        <v>-3073.2977025175605</v>
      </c>
      <c r="G79" s="242">
        <v>1509.9938771772722</v>
      </c>
      <c r="H79" s="242">
        <v>3352.2007415788285</v>
      </c>
      <c r="I79" s="242">
        <v>3439.788965417194</v>
      </c>
      <c r="J79" s="242">
        <v>3291.8828776197879</v>
      </c>
      <c r="K79" s="242">
        <v>4591.877405780253</v>
      </c>
      <c r="L79" s="242">
        <v>3971.8145836455624</v>
      </c>
      <c r="M79" s="242">
        <v>3413.5614767818988</v>
      </c>
      <c r="N79" s="242">
        <v>309.5510824086341</v>
      </c>
      <c r="O79" s="242">
        <v>1986.6623974263566</v>
      </c>
      <c r="P79" s="242">
        <v>3349.2819901062685</v>
      </c>
      <c r="Q79" s="242">
        <v>4067.475177750066</v>
      </c>
      <c r="R79" s="242">
        <v>-7479.6369175012296</v>
      </c>
      <c r="S79" s="242">
        <v>2111.3479193350522</v>
      </c>
      <c r="T79" s="242">
        <v>-10842.501360343567</v>
      </c>
      <c r="U79" s="242">
        <v>517.3251084578842</v>
      </c>
      <c r="V79" s="242">
        <v>-9168.2084056590757</v>
      </c>
      <c r="W79" s="242">
        <v>286.233063348016</v>
      </c>
      <c r="X79" s="242">
        <v>-7338.7527128042602</v>
      </c>
      <c r="Y79" s="242">
        <v>-16.488371617315352</v>
      </c>
      <c r="Z79" s="242">
        <v>-5007.3415719059467</v>
      </c>
      <c r="AA79" s="242">
        <v>539.39933440223831</v>
      </c>
      <c r="AB79" s="242">
        <v>-1579.4433950330749</v>
      </c>
      <c r="AC79" s="242">
        <v>3108.5486600937729</v>
      </c>
      <c r="AD79" s="242">
        <v>-2488.3907283068002</v>
      </c>
      <c r="AE79" s="242">
        <v>1979.381723981407</v>
      </c>
      <c r="AF79" s="242">
        <v>4065.8038009641677</v>
      </c>
      <c r="AG79" s="242">
        <v>4002.4375314710178</v>
      </c>
      <c r="AH79" s="242">
        <v>3894.5075347929887</v>
      </c>
      <c r="AI79" s="242">
        <v>5110.134610949206</v>
      </c>
      <c r="AJ79" s="242">
        <v>4536.2190291813567</v>
      </c>
      <c r="AK79" s="242">
        <v>3836.8648109337464</v>
      </c>
      <c r="AL79" s="242">
        <v>883.83070666849017</v>
      </c>
      <c r="AM79" s="242">
        <v>2400.0905528541698</v>
      </c>
      <c r="AN79" s="242">
        <v>3161.507631370896</v>
      </c>
      <c r="AO79" s="242">
        <v>5187.4681150670531</v>
      </c>
      <c r="AP79" s="242">
        <v>-6404.5026308124052</v>
      </c>
      <c r="AQ79" s="242">
        <v>1868.5516492369516</v>
      </c>
      <c r="AR79" s="242">
        <v>-10406.479548985801</v>
      </c>
      <c r="AS79" s="242">
        <v>835.9564321424059</v>
      </c>
      <c r="AT79" s="242">
        <v>-8768.4474944649537</v>
      </c>
      <c r="AU79" s="242">
        <v>630.02744697496018</v>
      </c>
      <c r="AV79" s="242">
        <v>-6900.5670214894017</v>
      </c>
      <c r="AW79" s="242">
        <v>299.97907211008351</v>
      </c>
      <c r="AX79" s="242">
        <v>-4581.9243634262257</v>
      </c>
      <c r="AY79" s="242">
        <v>879.73310118601512</v>
      </c>
      <c r="BA79" s="158"/>
      <c r="BB79" s="158"/>
    </row>
    <row r="80" spans="2:54">
      <c r="B80" s="225">
        <v>10239</v>
      </c>
      <c r="C80" s="225" t="s">
        <v>83</v>
      </c>
      <c r="D80" s="242">
        <v>0</v>
      </c>
      <c r="E80" s="242">
        <v>0</v>
      </c>
      <c r="F80" s="242">
        <v>0</v>
      </c>
      <c r="G80" s="242">
        <v>0</v>
      </c>
      <c r="H80" s="242">
        <v>0</v>
      </c>
      <c r="I80" s="242">
        <v>0</v>
      </c>
      <c r="J80" s="242">
        <v>0</v>
      </c>
      <c r="K80" s="242">
        <v>0</v>
      </c>
      <c r="L80" s="242">
        <v>0</v>
      </c>
      <c r="M80" s="242">
        <v>0</v>
      </c>
      <c r="N80" s="242">
        <v>0</v>
      </c>
      <c r="O80" s="242">
        <v>0</v>
      </c>
      <c r="P80" s="242">
        <v>0</v>
      </c>
      <c r="Q80" s="242">
        <v>0</v>
      </c>
      <c r="R80" s="242">
        <v>0</v>
      </c>
      <c r="S80" s="242">
        <v>0</v>
      </c>
      <c r="T80" s="242">
        <v>0</v>
      </c>
      <c r="U80" s="242">
        <v>0</v>
      </c>
      <c r="V80" s="242">
        <v>0</v>
      </c>
      <c r="W80" s="242">
        <v>0</v>
      </c>
      <c r="X80" s="242">
        <v>0</v>
      </c>
      <c r="Y80" s="242">
        <v>0</v>
      </c>
      <c r="Z80" s="242">
        <v>0</v>
      </c>
      <c r="AA80" s="242">
        <v>0</v>
      </c>
      <c r="AB80" s="242">
        <v>0</v>
      </c>
      <c r="AC80" s="242">
        <v>0</v>
      </c>
      <c r="AD80" s="242">
        <v>0</v>
      </c>
      <c r="AE80" s="242">
        <v>0</v>
      </c>
      <c r="AF80" s="242">
        <v>0</v>
      </c>
      <c r="AG80" s="242">
        <v>0</v>
      </c>
      <c r="AH80" s="242">
        <v>0</v>
      </c>
      <c r="AI80" s="242">
        <v>0</v>
      </c>
      <c r="AJ80" s="242">
        <v>0</v>
      </c>
      <c r="AK80" s="242">
        <v>0</v>
      </c>
      <c r="AL80" s="242">
        <v>0</v>
      </c>
      <c r="AM80" s="242">
        <v>0</v>
      </c>
      <c r="AN80" s="242">
        <v>0</v>
      </c>
      <c r="AO80" s="242">
        <v>0</v>
      </c>
      <c r="AP80" s="242">
        <v>0</v>
      </c>
      <c r="AQ80" s="242">
        <v>0</v>
      </c>
      <c r="AR80" s="242">
        <v>0</v>
      </c>
      <c r="AS80" s="242">
        <v>0</v>
      </c>
      <c r="AT80" s="242">
        <v>0</v>
      </c>
      <c r="AU80" s="242">
        <v>0</v>
      </c>
      <c r="AV80" s="242">
        <v>0</v>
      </c>
      <c r="AW80" s="242">
        <v>0</v>
      </c>
      <c r="AX80" s="242">
        <v>0</v>
      </c>
      <c r="AY80" s="242">
        <v>0</v>
      </c>
      <c r="BA80" s="158"/>
      <c r="BB80" s="158"/>
    </row>
    <row r="81" spans="2:54">
      <c r="B81" s="225">
        <v>10242</v>
      </c>
      <c r="C81" s="225" t="s">
        <v>84</v>
      </c>
      <c r="D81" s="242">
        <v>-1476.2079878319355</v>
      </c>
      <c r="E81" s="242">
        <v>-546.77466333527514</v>
      </c>
      <c r="F81" s="242">
        <v>-2339.6492405623144</v>
      </c>
      <c r="G81" s="242">
        <v>-1073.6221289569869</v>
      </c>
      <c r="H81" s="242">
        <v>-1181.3589331567296</v>
      </c>
      <c r="I81" s="242">
        <v>-751.8298628581756</v>
      </c>
      <c r="J81" s="242">
        <v>-447.913891325652</v>
      </c>
      <c r="K81" s="242">
        <v>-191.68183386424062</v>
      </c>
      <c r="L81" s="242">
        <v>-404.60430511122013</v>
      </c>
      <c r="M81" s="242">
        <v>-159.70349879457399</v>
      </c>
      <c r="N81" s="242">
        <v>-1474.6839660940818</v>
      </c>
      <c r="O81" s="242">
        <v>-614.24277380869603</v>
      </c>
      <c r="P81" s="242">
        <v>-759.66635889476265</v>
      </c>
      <c r="Q81" s="242">
        <v>-280.44803516605612</v>
      </c>
      <c r="R81" s="242">
        <v>1192.6112205667168</v>
      </c>
      <c r="S81" s="242">
        <v>2295.0062473357966</v>
      </c>
      <c r="T81" s="242">
        <v>2862.8787937608622</v>
      </c>
      <c r="U81" s="242">
        <v>3677.9166231046265</v>
      </c>
      <c r="V81" s="242">
        <v>4952.9928046297146</v>
      </c>
      <c r="W81" s="242">
        <v>5235.4795645712165</v>
      </c>
      <c r="X81" s="242">
        <v>4002.6249275814889</v>
      </c>
      <c r="Y81" s="242">
        <v>3928.0151288071515</v>
      </c>
      <c r="Z81" s="242">
        <v>1324.6159118894825</v>
      </c>
      <c r="AA81" s="242">
        <v>1917.7693506845053</v>
      </c>
      <c r="AB81" s="242">
        <v>-1453.5869878319359</v>
      </c>
      <c r="AC81" s="242">
        <v>-531.56866333527523</v>
      </c>
      <c r="AD81" s="242">
        <v>-2318.5622405623144</v>
      </c>
      <c r="AE81" s="242">
        <v>-1056.8831289569869</v>
      </c>
      <c r="AF81" s="242">
        <v>-1160.2619331567294</v>
      </c>
      <c r="AG81" s="242">
        <v>-735.09986285817558</v>
      </c>
      <c r="AH81" s="242">
        <v>-426.95689132565212</v>
      </c>
      <c r="AI81" s="242">
        <v>-174.81083386424052</v>
      </c>
      <c r="AJ81" s="242">
        <v>-444.76830511122034</v>
      </c>
      <c r="AK81" s="242">
        <v>-190.60649879457378</v>
      </c>
      <c r="AL81" s="242">
        <v>-1453.0959660940821</v>
      </c>
      <c r="AM81" s="242">
        <v>-598.00477380869597</v>
      </c>
      <c r="AN81" s="242">
        <v>-737.47535889476239</v>
      </c>
      <c r="AO81" s="242">
        <v>-264.81203516605615</v>
      </c>
      <c r="AP81" s="242">
        <v>1307.6332205667168</v>
      </c>
      <c r="AQ81" s="242">
        <v>2384.1692473357971</v>
      </c>
      <c r="AR81" s="242">
        <v>2982.2517937608618</v>
      </c>
      <c r="AS81" s="242">
        <v>3762.7286231046264</v>
      </c>
      <c r="AT81" s="242">
        <v>5067.3028046297159</v>
      </c>
      <c r="AU81" s="242">
        <v>5325.3545645712165</v>
      </c>
      <c r="AV81" s="242">
        <v>4121.530927581488</v>
      </c>
      <c r="AW81" s="242">
        <v>4013.2921288071516</v>
      </c>
      <c r="AX81" s="242">
        <v>1439.1469118894825</v>
      </c>
      <c r="AY81" s="242">
        <v>2007.4213506845053</v>
      </c>
      <c r="BA81" s="158"/>
      <c r="BB81" s="158"/>
    </row>
    <row r="82" spans="2:54">
      <c r="B82" s="225">
        <v>10244</v>
      </c>
      <c r="C82" s="225" t="s">
        <v>85</v>
      </c>
      <c r="D82" s="242">
        <v>-3188.5130299153534</v>
      </c>
      <c r="E82" s="242">
        <v>308.71063443350067</v>
      </c>
      <c r="F82" s="242">
        <v>-1548.9833964288337</v>
      </c>
      <c r="G82" s="242">
        <v>4290.4583396681337</v>
      </c>
      <c r="H82" s="242">
        <v>20290.141299408133</v>
      </c>
      <c r="I82" s="242">
        <v>15167.978966076058</v>
      </c>
      <c r="J82" s="242">
        <v>27576.981733940382</v>
      </c>
      <c r="K82" s="242">
        <v>19722.080399200684</v>
      </c>
      <c r="L82" s="242">
        <v>21455.674240743178</v>
      </c>
      <c r="M82" s="242">
        <v>15985.755704230167</v>
      </c>
      <c r="N82" s="242">
        <v>8209.3958494966064</v>
      </c>
      <c r="O82" s="242">
        <v>8222.3608750511703</v>
      </c>
      <c r="P82" s="242">
        <v>5402.093821022645</v>
      </c>
      <c r="Q82" s="242">
        <v>5679.2683272751055</v>
      </c>
      <c r="R82" s="242">
        <v>-18676.159672821934</v>
      </c>
      <c r="S82" s="242">
        <v>-4466.5463541654572</v>
      </c>
      <c r="T82" s="242">
        <v>-25651.026557990415</v>
      </c>
      <c r="U82" s="242">
        <v>-7177.8418982351559</v>
      </c>
      <c r="V82" s="242">
        <v>-19354.685416528118</v>
      </c>
      <c r="W82" s="242">
        <v>-7741.5607839420991</v>
      </c>
      <c r="X82" s="242">
        <v>-17407.842847206197</v>
      </c>
      <c r="Y82" s="242">
        <v>-7188.774118247331</v>
      </c>
      <c r="Z82" s="242">
        <v>-14602.067184725969</v>
      </c>
      <c r="AA82" s="242">
        <v>-6908.3607704836995</v>
      </c>
      <c r="AB82" s="242">
        <v>-2964.0280299153455</v>
      </c>
      <c r="AC82" s="242">
        <v>421.77263443349511</v>
      </c>
      <c r="AD82" s="242">
        <v>-1328.3603964288268</v>
      </c>
      <c r="AE82" s="242">
        <v>4437.0763396681359</v>
      </c>
      <c r="AF82" s="242">
        <v>20492.798299408132</v>
      </c>
      <c r="AG82" s="242">
        <v>15301.824966076063</v>
      </c>
      <c r="AH82" s="242">
        <v>27802.827733940379</v>
      </c>
      <c r="AI82" s="242">
        <v>19832.832399200684</v>
      </c>
      <c r="AJ82" s="242">
        <v>20597.430240743179</v>
      </c>
      <c r="AK82" s="242">
        <v>15343.61070423017</v>
      </c>
      <c r="AL82" s="242">
        <v>8414.5578494966103</v>
      </c>
      <c r="AM82" s="242">
        <v>8355.076875051167</v>
      </c>
      <c r="AN82" s="242">
        <v>5908.6598210226439</v>
      </c>
      <c r="AO82" s="242">
        <v>5541.270327275106</v>
      </c>
      <c r="AP82" s="242">
        <v>-19209.907672821933</v>
      </c>
      <c r="AQ82" s="242">
        <v>-4448.5953541654599</v>
      </c>
      <c r="AR82" s="242">
        <v>-25905.917557990415</v>
      </c>
      <c r="AS82" s="242">
        <v>-7406.7118982351531</v>
      </c>
      <c r="AT82" s="242">
        <v>-19598.434416528122</v>
      </c>
      <c r="AU82" s="242">
        <v>-8013.6017839421002</v>
      </c>
      <c r="AV82" s="242">
        <v>-17644.918847206198</v>
      </c>
      <c r="AW82" s="242">
        <v>-7467.4841182473319</v>
      </c>
      <c r="AX82" s="242">
        <v>-14881.198184725967</v>
      </c>
      <c r="AY82" s="242">
        <v>-7112.9987704836967</v>
      </c>
      <c r="BA82" s="158"/>
      <c r="BB82" s="158"/>
    </row>
    <row r="83" spans="2:54">
      <c r="B83" s="225">
        <v>10246</v>
      </c>
      <c r="C83" s="225" t="s">
        <v>86</v>
      </c>
      <c r="D83" s="242">
        <v>-31.170690647877109</v>
      </c>
      <c r="E83" s="242">
        <v>348.6354727848834</v>
      </c>
      <c r="F83" s="242">
        <v>78.192975951070366</v>
      </c>
      <c r="G83" s="242">
        <v>308.83923744483536</v>
      </c>
      <c r="H83" s="242">
        <v>1208.0935565755408</v>
      </c>
      <c r="I83" s="242">
        <v>882.57839093089615</v>
      </c>
      <c r="J83" s="242">
        <v>2178.6836417072982</v>
      </c>
      <c r="K83" s="242">
        <v>1239.5657130434934</v>
      </c>
      <c r="L83" s="242">
        <v>2053.9651511716661</v>
      </c>
      <c r="M83" s="242">
        <v>1102.3333633583106</v>
      </c>
      <c r="N83" s="242">
        <v>489.46036878098539</v>
      </c>
      <c r="O83" s="242">
        <v>665.79239191270972</v>
      </c>
      <c r="P83" s="242">
        <v>821.88867126586501</v>
      </c>
      <c r="Q83" s="242">
        <v>553.91792271308259</v>
      </c>
      <c r="R83" s="242">
        <v>-1779.1121312972018</v>
      </c>
      <c r="S83" s="242">
        <v>-402.08713302725505</v>
      </c>
      <c r="T83" s="242">
        <v>-2419.1554249832648</v>
      </c>
      <c r="U83" s="242">
        <v>-247.69711945811559</v>
      </c>
      <c r="V83" s="242">
        <v>-1596.2718060109896</v>
      </c>
      <c r="W83" s="242">
        <v>-434.31035890478893</v>
      </c>
      <c r="X83" s="242">
        <v>-1368.8007989916205</v>
      </c>
      <c r="Y83" s="242">
        <v>-430.87996669880545</v>
      </c>
      <c r="Z83" s="242">
        <v>-1231.6691230850647</v>
      </c>
      <c r="AA83" s="242">
        <v>-239.00092239520927</v>
      </c>
      <c r="AB83" s="242">
        <v>137.55630935212321</v>
      </c>
      <c r="AC83" s="242">
        <v>180.83247278488307</v>
      </c>
      <c r="AD83" s="242">
        <v>81.518975951070388</v>
      </c>
      <c r="AE83" s="242">
        <v>309.63123744483528</v>
      </c>
      <c r="AF83" s="242">
        <v>1208.9655565755411</v>
      </c>
      <c r="AG83" s="242">
        <v>882.63339093089644</v>
      </c>
      <c r="AH83" s="242">
        <v>2180.865641707298</v>
      </c>
      <c r="AI83" s="242">
        <v>1238.7447130434934</v>
      </c>
      <c r="AJ83" s="242">
        <v>1842.3371511716664</v>
      </c>
      <c r="AK83" s="242">
        <v>1018.817363358311</v>
      </c>
      <c r="AL83" s="242">
        <v>491.07836878098487</v>
      </c>
      <c r="AM83" s="242">
        <v>666.89039191270967</v>
      </c>
      <c r="AN83" s="242">
        <v>842.17067126586471</v>
      </c>
      <c r="AO83" s="242">
        <v>536.32292271308233</v>
      </c>
      <c r="AP83" s="242">
        <v>-1794.4821312972022</v>
      </c>
      <c r="AQ83" s="242">
        <v>-384.91813302725541</v>
      </c>
      <c r="AR83" s="242">
        <v>-2417.1894249832649</v>
      </c>
      <c r="AS83" s="242">
        <v>-246.97911945811575</v>
      </c>
      <c r="AT83" s="242">
        <v>-1593.4158060109899</v>
      </c>
      <c r="AU83" s="242">
        <v>-435.36035890478865</v>
      </c>
      <c r="AV83" s="242">
        <v>-1499.488798991621</v>
      </c>
      <c r="AW83" s="242">
        <v>-298.38596669880553</v>
      </c>
      <c r="AX83" s="242">
        <v>-1098.2521230850648</v>
      </c>
      <c r="AY83" s="242">
        <v>-369.72692239520939</v>
      </c>
      <c r="BA83" s="158"/>
      <c r="BB83" s="158"/>
    </row>
    <row r="84" spans="2:54">
      <c r="B84" s="225">
        <v>10247</v>
      </c>
      <c r="C84" s="225" t="s">
        <v>87</v>
      </c>
      <c r="D84" s="242">
        <v>124.72354890785209</v>
      </c>
      <c r="E84" s="242">
        <v>3066.979679570286</v>
      </c>
      <c r="F84" s="242">
        <v>475.72117610168061</v>
      </c>
      <c r="G84" s="242">
        <v>1118.8678224672949</v>
      </c>
      <c r="H84" s="242">
        <v>10527.185215770027</v>
      </c>
      <c r="I84" s="242">
        <v>3153.4716649954134</v>
      </c>
      <c r="J84" s="242">
        <v>18652.191196240543</v>
      </c>
      <c r="K84" s="242">
        <v>8860.0867894390794</v>
      </c>
      <c r="L84" s="242">
        <v>15844.619195981675</v>
      </c>
      <c r="M84" s="242">
        <v>8446.5949802753203</v>
      </c>
      <c r="N84" s="242">
        <v>5251.206801881046</v>
      </c>
      <c r="O84" s="242">
        <v>4184.6109949596248</v>
      </c>
      <c r="P84" s="242">
        <v>8069.9391131450939</v>
      </c>
      <c r="Q84" s="242">
        <v>5984.7083582771374</v>
      </c>
      <c r="R84" s="242">
        <v>-11522.13880469992</v>
      </c>
      <c r="S84" s="242">
        <v>-1995.8838156862948</v>
      </c>
      <c r="T84" s="242">
        <v>-18846.32158831376</v>
      </c>
      <c r="U84" s="242">
        <v>-2094.5526009451441</v>
      </c>
      <c r="V84" s="242">
        <v>-12211.374913306758</v>
      </c>
      <c r="W84" s="242">
        <v>-3068.4078928116251</v>
      </c>
      <c r="X84" s="242">
        <v>-11297.611679260455</v>
      </c>
      <c r="Y84" s="242">
        <v>-1855.5376125153889</v>
      </c>
      <c r="Z84" s="242">
        <v>-7750.80766510584</v>
      </c>
      <c r="AA84" s="242">
        <v>-3154.5477300374805</v>
      </c>
      <c r="AB84" s="242">
        <v>57.818548907853256</v>
      </c>
      <c r="AC84" s="242">
        <v>3001.0846795702855</v>
      </c>
      <c r="AD84" s="242">
        <v>434.04917610168195</v>
      </c>
      <c r="AE84" s="242">
        <v>1057.5618224672944</v>
      </c>
      <c r="AF84" s="242">
        <v>10465.416215770034</v>
      </c>
      <c r="AG84" s="242">
        <v>3081.0036649954127</v>
      </c>
      <c r="AH84" s="242">
        <v>18599.121196240543</v>
      </c>
      <c r="AI84" s="242">
        <v>8778.2217894390778</v>
      </c>
      <c r="AJ84" s="242">
        <v>15103.032195981668</v>
      </c>
      <c r="AK84" s="242">
        <v>7939.906980275322</v>
      </c>
      <c r="AL84" s="242">
        <v>5179.1628018810516</v>
      </c>
      <c r="AM84" s="242">
        <v>4121.0789949596256</v>
      </c>
      <c r="AN84" s="242">
        <v>8042.1121131450964</v>
      </c>
      <c r="AO84" s="242">
        <v>5889.3713582771343</v>
      </c>
      <c r="AP84" s="242">
        <v>-11608.791804699918</v>
      </c>
      <c r="AQ84" s="242">
        <v>-2046.7368156862976</v>
      </c>
      <c r="AR84" s="242">
        <v>-18908.742588313758</v>
      </c>
      <c r="AS84" s="242">
        <v>-2159.4666009451466</v>
      </c>
      <c r="AT84" s="242">
        <v>-12258.913913306758</v>
      </c>
      <c r="AU84" s="242">
        <v>-3152.5498928116249</v>
      </c>
      <c r="AV84" s="242">
        <v>-11356.572679260455</v>
      </c>
      <c r="AW84" s="242">
        <v>-1931.7976125153909</v>
      </c>
      <c r="AX84" s="242">
        <v>-7808.820665105839</v>
      </c>
      <c r="AY84" s="242">
        <v>-3220.1627300374803</v>
      </c>
      <c r="BA84" s="158"/>
      <c r="BB84" s="158"/>
    </row>
    <row r="85" spans="2:54">
      <c r="B85" s="225">
        <v>10256</v>
      </c>
      <c r="C85" s="225" t="s">
        <v>88</v>
      </c>
      <c r="D85" s="242">
        <v>845.11492293371339</v>
      </c>
      <c r="E85" s="242">
        <v>2130.3907662676829</v>
      </c>
      <c r="F85" s="242">
        <v>-1492.1562619750803</v>
      </c>
      <c r="G85" s="242">
        <v>1652.0621564846333</v>
      </c>
      <c r="H85" s="242">
        <v>7392.7778134497385</v>
      </c>
      <c r="I85" s="242">
        <v>5175.1584832060125</v>
      </c>
      <c r="J85" s="242">
        <v>9769.2831669945735</v>
      </c>
      <c r="K85" s="242">
        <v>6780.4215045733908</v>
      </c>
      <c r="L85" s="242">
        <v>7403.1314086639395</v>
      </c>
      <c r="M85" s="242">
        <v>4398.9437793603684</v>
      </c>
      <c r="N85" s="242">
        <v>4960.253259868663</v>
      </c>
      <c r="O85" s="242">
        <v>4686.1805337317219</v>
      </c>
      <c r="P85" s="242">
        <v>6651.1931409533809</v>
      </c>
      <c r="Q85" s="242">
        <v>4912.9658140868905</v>
      </c>
      <c r="R85" s="242">
        <v>-1951.9776169328106</v>
      </c>
      <c r="S85" s="242">
        <v>3080.5712709723284</v>
      </c>
      <c r="T85" s="242">
        <v>-7010.9681237892692</v>
      </c>
      <c r="U85" s="242">
        <v>1050.992852160105</v>
      </c>
      <c r="V85" s="242">
        <v>-2210.4930291601013</v>
      </c>
      <c r="W85" s="242">
        <v>2648.2552654924093</v>
      </c>
      <c r="X85" s="242">
        <v>-1471.1054419653701</v>
      </c>
      <c r="Y85" s="242">
        <v>2200.8881768300562</v>
      </c>
      <c r="Z85" s="242">
        <v>-3240.6898478306393</v>
      </c>
      <c r="AA85" s="242">
        <v>-68.54475067016574</v>
      </c>
      <c r="AB85" s="242">
        <v>1257.7289229337111</v>
      </c>
      <c r="AC85" s="242">
        <v>2401.7407662676851</v>
      </c>
      <c r="AD85" s="242">
        <v>-1145.377261975078</v>
      </c>
      <c r="AE85" s="242">
        <v>1902.0291564846302</v>
      </c>
      <c r="AF85" s="242">
        <v>7681.7588134497346</v>
      </c>
      <c r="AG85" s="242">
        <v>5375.9884832060143</v>
      </c>
      <c r="AH85" s="242">
        <v>10063.694166994574</v>
      </c>
      <c r="AI85" s="242">
        <v>6973.6965045733923</v>
      </c>
      <c r="AJ85" s="242">
        <v>9183.8844086639438</v>
      </c>
      <c r="AK85" s="242">
        <v>5588.6067793603652</v>
      </c>
      <c r="AL85" s="242">
        <v>5250.7292598686581</v>
      </c>
      <c r="AM85" s="242">
        <v>4879.739533731723</v>
      </c>
      <c r="AN85" s="242">
        <v>7073.6401409533773</v>
      </c>
      <c r="AO85" s="242">
        <v>4985.2398140868918</v>
      </c>
      <c r="AP85" s="242">
        <v>-2012.2416169328135</v>
      </c>
      <c r="AQ85" s="242">
        <v>3192.8252709723311</v>
      </c>
      <c r="AR85" s="242">
        <v>-6954.5611237892699</v>
      </c>
      <c r="AS85" s="242">
        <v>1058.8298521601046</v>
      </c>
      <c r="AT85" s="242">
        <v>-2159.3740291601025</v>
      </c>
      <c r="AU85" s="242">
        <v>2646.9682654924072</v>
      </c>
      <c r="AV85" s="242">
        <v>-1417.7244419653725</v>
      </c>
      <c r="AW85" s="242">
        <v>2196.2651768300548</v>
      </c>
      <c r="AX85" s="242">
        <v>-3198.9898478306422</v>
      </c>
      <c r="AY85" s="242">
        <v>-49.206750670162364</v>
      </c>
      <c r="BA85" s="158"/>
      <c r="BB85" s="158"/>
    </row>
    <row r="86" spans="2:54">
      <c r="B86" s="225">
        <v>10258</v>
      </c>
      <c r="C86" s="225" t="s">
        <v>89</v>
      </c>
      <c r="D86" s="242">
        <v>-1080.2439606402277</v>
      </c>
      <c r="E86" s="242">
        <v>-266.24026898220836</v>
      </c>
      <c r="F86" s="242">
        <v>-1283.3031410823132</v>
      </c>
      <c r="G86" s="242">
        <v>972.27748518960652</v>
      </c>
      <c r="H86" s="242">
        <v>9937.8005311901725</v>
      </c>
      <c r="I86" s="242">
        <v>6832.6842491762782</v>
      </c>
      <c r="J86" s="242">
        <v>13492.477398789248</v>
      </c>
      <c r="K86" s="242">
        <v>9564.1452655720877</v>
      </c>
      <c r="L86" s="242">
        <v>8448.7576171708752</v>
      </c>
      <c r="M86" s="242">
        <v>5880.9785937638717</v>
      </c>
      <c r="N86" s="242">
        <v>3386.5236795268702</v>
      </c>
      <c r="O86" s="242">
        <v>3328.012394450805</v>
      </c>
      <c r="P86" s="242">
        <v>1844.2308075199489</v>
      </c>
      <c r="Q86" s="242">
        <v>1723.8533468115502</v>
      </c>
      <c r="R86" s="242">
        <v>-8183.321359739346</v>
      </c>
      <c r="S86" s="242">
        <v>-2108.9564140356524</v>
      </c>
      <c r="T86" s="242">
        <v>-10800.920767328746</v>
      </c>
      <c r="U86" s="242">
        <v>-3064.2897718685053</v>
      </c>
      <c r="V86" s="242">
        <v>-5003.293986314362</v>
      </c>
      <c r="W86" s="242">
        <v>-1063.8645681205617</v>
      </c>
      <c r="X86" s="242">
        <v>-3373.0052178696096</v>
      </c>
      <c r="Y86" s="242">
        <v>-264.11994156533729</v>
      </c>
      <c r="Z86" s="242">
        <v>-4980.4201250757851</v>
      </c>
      <c r="AA86" s="242">
        <v>-1969.8806846959724</v>
      </c>
      <c r="AB86" s="242">
        <v>-1212.6009606402276</v>
      </c>
      <c r="AC86" s="242">
        <v>-60.635268982210619</v>
      </c>
      <c r="AD86" s="242">
        <v>-1222.0551410823136</v>
      </c>
      <c r="AE86" s="242">
        <v>1013.189485189605</v>
      </c>
      <c r="AF86" s="242">
        <v>10050.064531190172</v>
      </c>
      <c r="AG86" s="242">
        <v>6912.102249176276</v>
      </c>
      <c r="AH86" s="242">
        <v>13611.349398789247</v>
      </c>
      <c r="AI86" s="242">
        <v>9642.6322655720887</v>
      </c>
      <c r="AJ86" s="242">
        <v>7782.5586171708783</v>
      </c>
      <c r="AK86" s="242">
        <v>5373.1585937638683</v>
      </c>
      <c r="AL86" s="242">
        <v>3452.8226795268693</v>
      </c>
      <c r="AM86" s="242">
        <v>3372.7303944508039</v>
      </c>
      <c r="AN86" s="242">
        <v>1937.0698075199489</v>
      </c>
      <c r="AO86" s="242">
        <v>1709.2153468115494</v>
      </c>
      <c r="AP86" s="242">
        <v>-8196.1173597393463</v>
      </c>
      <c r="AQ86" s="242">
        <v>-2053.8174140356514</v>
      </c>
      <c r="AR86" s="242">
        <v>-10774.676767328745</v>
      </c>
      <c r="AS86" s="242">
        <v>-3055.814771868505</v>
      </c>
      <c r="AT86" s="242">
        <v>-4954.8439863143612</v>
      </c>
      <c r="AU86" s="242">
        <v>-1044.2335681205623</v>
      </c>
      <c r="AV86" s="242">
        <v>-3139.2032178696099</v>
      </c>
      <c r="AW86" s="242">
        <v>-421.45394156533803</v>
      </c>
      <c r="AX86" s="242">
        <v>-5132.0051250757861</v>
      </c>
      <c r="AY86" s="242">
        <v>-1770.1486846959742</v>
      </c>
      <c r="BA86" s="158"/>
      <c r="BB86" s="158"/>
    </row>
    <row r="87" spans="2:54">
      <c r="B87" s="225">
        <v>10259</v>
      </c>
      <c r="C87" s="225" t="s">
        <v>90</v>
      </c>
      <c r="D87" s="242">
        <v>1509.4462411569475</v>
      </c>
      <c r="E87" s="242">
        <v>1818.1277622234766</v>
      </c>
      <c r="F87" s="242">
        <v>510.40891427332463</v>
      </c>
      <c r="G87" s="242">
        <v>918.83925170847579</v>
      </c>
      <c r="H87" s="242">
        <v>3761.5505024253162</v>
      </c>
      <c r="I87" s="242">
        <v>2602.6904340917336</v>
      </c>
      <c r="J87" s="242">
        <v>6023.0835540562075</v>
      </c>
      <c r="K87" s="242">
        <v>3121.9929417584444</v>
      </c>
      <c r="L87" s="242">
        <v>7758.862707101347</v>
      </c>
      <c r="M87" s="242">
        <v>4259.8614015910553</v>
      </c>
      <c r="N87" s="242">
        <v>3074.2228528884989</v>
      </c>
      <c r="O87" s="242">
        <v>2813.586093648315</v>
      </c>
      <c r="P87" s="242">
        <v>3352.8141474470576</v>
      </c>
      <c r="Q87" s="242">
        <v>1931.166286398894</v>
      </c>
      <c r="R87" s="242">
        <v>-2348.5338067836437</v>
      </c>
      <c r="S87" s="242">
        <v>484.02402284791151</v>
      </c>
      <c r="T87" s="242">
        <v>-3682.7672468537257</v>
      </c>
      <c r="U87" s="242">
        <v>1128.1400508617389</v>
      </c>
      <c r="V87" s="242">
        <v>-401.95957168724817</v>
      </c>
      <c r="W87" s="242">
        <v>820.38211908928315</v>
      </c>
      <c r="X87" s="242">
        <v>222.83372190257978</v>
      </c>
      <c r="Y87" s="242">
        <v>863.45385121053368</v>
      </c>
      <c r="Z87" s="242">
        <v>-1273.5982982340465</v>
      </c>
      <c r="AA87" s="242">
        <v>669.25350710625935</v>
      </c>
      <c r="AB87" s="242">
        <v>2178.636241156948</v>
      </c>
      <c r="AC87" s="242">
        <v>1321.5547622234762</v>
      </c>
      <c r="AD87" s="242">
        <v>640.01891427332339</v>
      </c>
      <c r="AE87" s="242">
        <v>999.52825170847427</v>
      </c>
      <c r="AF87" s="242">
        <v>3915.3545024253162</v>
      </c>
      <c r="AG87" s="242">
        <v>2713.3544340917342</v>
      </c>
      <c r="AH87" s="242">
        <v>6179.8075540562095</v>
      </c>
      <c r="AI87" s="242">
        <v>3217.320941758444</v>
      </c>
      <c r="AJ87" s="242">
        <v>7191.482707101346</v>
      </c>
      <c r="AK87" s="242">
        <v>4059.1934015910556</v>
      </c>
      <c r="AL87" s="242">
        <v>3204.5128528884979</v>
      </c>
      <c r="AM87" s="242">
        <v>2901.8160936483146</v>
      </c>
      <c r="AN87" s="242">
        <v>3511.5551474470576</v>
      </c>
      <c r="AO87" s="242">
        <v>1933.500286398893</v>
      </c>
      <c r="AP87" s="242">
        <v>-2312.2808067836449</v>
      </c>
      <c r="AQ87" s="242">
        <v>585.06002284791248</v>
      </c>
      <c r="AR87" s="242">
        <v>-3588.3902468537253</v>
      </c>
      <c r="AS87" s="242">
        <v>1182.5360508617396</v>
      </c>
      <c r="AT87" s="242">
        <v>-285.58457168724817</v>
      </c>
      <c r="AU87" s="242">
        <v>874.07111908928164</v>
      </c>
      <c r="AV87" s="242">
        <v>-214.55627809742145</v>
      </c>
      <c r="AW87" s="242">
        <v>1470.8308512105332</v>
      </c>
      <c r="AX87" s="242">
        <v>-701.5192982340468</v>
      </c>
      <c r="AY87" s="242">
        <v>229.75350710625844</v>
      </c>
      <c r="BA87" s="158"/>
      <c r="BB87" s="158"/>
    </row>
    <row r="88" spans="2:54">
      <c r="B88" s="225">
        <v>10260</v>
      </c>
      <c r="C88" s="225" t="s">
        <v>91</v>
      </c>
      <c r="D88" s="242">
        <v>-433.92736460113156</v>
      </c>
      <c r="E88" s="242">
        <v>-215.24032947875548</v>
      </c>
      <c r="F88" s="242">
        <v>-2084.0659248075735</v>
      </c>
      <c r="G88" s="242">
        <v>-891.33889708496281</v>
      </c>
      <c r="H88" s="242">
        <v>1759.4616778046238</v>
      </c>
      <c r="I88" s="242">
        <v>314.81445736664682</v>
      </c>
      <c r="J88" s="242">
        <v>3933.2382627962943</v>
      </c>
      <c r="K88" s="242">
        <v>1710.6303474366514</v>
      </c>
      <c r="L88" s="242">
        <v>3375.4473671703163</v>
      </c>
      <c r="M88" s="242">
        <v>1331.757253826524</v>
      </c>
      <c r="N88" s="242">
        <v>733.8173066185991</v>
      </c>
      <c r="O88" s="242">
        <v>312.59701815111202</v>
      </c>
      <c r="P88" s="242">
        <v>1638.4256597921976</v>
      </c>
      <c r="Q88" s="242">
        <v>762.41840070571561</v>
      </c>
      <c r="R88" s="242">
        <v>-3660.5854071100002</v>
      </c>
      <c r="S88" s="242">
        <v>-556.05205227679107</v>
      </c>
      <c r="T88" s="242">
        <v>-4606.4253018919644</v>
      </c>
      <c r="U88" s="242">
        <v>-324.58671273228538</v>
      </c>
      <c r="V88" s="242">
        <v>-1894.2069121270652</v>
      </c>
      <c r="W88" s="242">
        <v>-115.36200553483104</v>
      </c>
      <c r="X88" s="242">
        <v>-1257.5335700509277</v>
      </c>
      <c r="Y88" s="242">
        <v>-35.2423633922308</v>
      </c>
      <c r="Z88" s="242">
        <v>-1858.9115468510226</v>
      </c>
      <c r="AA88" s="242">
        <v>-526.24114282175833</v>
      </c>
      <c r="AB88" s="242">
        <v>-422.64836460112929</v>
      </c>
      <c r="AC88" s="242">
        <v>-218.52232947875473</v>
      </c>
      <c r="AD88" s="242">
        <v>-2074.3589248075714</v>
      </c>
      <c r="AE88" s="242">
        <v>-890.42889708496295</v>
      </c>
      <c r="AF88" s="242">
        <v>1767.1296778046235</v>
      </c>
      <c r="AG88" s="242">
        <v>315.14445736664675</v>
      </c>
      <c r="AH88" s="242">
        <v>3942.943262796296</v>
      </c>
      <c r="AI88" s="242">
        <v>1708.9203474366504</v>
      </c>
      <c r="AJ88" s="242">
        <v>3008.2263671703149</v>
      </c>
      <c r="AK88" s="242">
        <v>1092.3602538265231</v>
      </c>
      <c r="AL88" s="242">
        <v>741.72130661859956</v>
      </c>
      <c r="AM88" s="242">
        <v>312.80201815111104</v>
      </c>
      <c r="AN88" s="242">
        <v>1687.9916597921983</v>
      </c>
      <c r="AO88" s="242">
        <v>723.58340070571558</v>
      </c>
      <c r="AP88" s="242">
        <v>-3688.7824071099985</v>
      </c>
      <c r="AQ88" s="242">
        <v>-519.86105227679036</v>
      </c>
      <c r="AR88" s="242">
        <v>-4594.6993018919638</v>
      </c>
      <c r="AS88" s="242">
        <v>-325.58171273228527</v>
      </c>
      <c r="AT88" s="242">
        <v>-1881.7349121270636</v>
      </c>
      <c r="AU88" s="242">
        <v>-119.83900553482999</v>
      </c>
      <c r="AV88" s="242">
        <v>-1246.9045700509287</v>
      </c>
      <c r="AW88" s="242">
        <v>-37.87536339223152</v>
      </c>
      <c r="AX88" s="242">
        <v>-1847.9105468510206</v>
      </c>
      <c r="AY88" s="242">
        <v>-526.51214282175806</v>
      </c>
      <c r="BA88" s="158"/>
      <c r="BB88" s="158"/>
    </row>
    <row r="89" spans="2:54">
      <c r="B89" s="225">
        <v>10273</v>
      </c>
      <c r="C89" s="225" t="s">
        <v>92</v>
      </c>
      <c r="D89" s="242">
        <v>-536.42513230516397</v>
      </c>
      <c r="E89" s="242">
        <v>-344.42012530626232</v>
      </c>
      <c r="F89" s="242">
        <v>-1648.4807380386208</v>
      </c>
      <c r="G89" s="242">
        <v>-834.90935569380883</v>
      </c>
      <c r="H89" s="242">
        <v>-754.49821427305505</v>
      </c>
      <c r="I89" s="242">
        <v>-597.88611475149287</v>
      </c>
      <c r="J89" s="242">
        <v>-155.4215951486417</v>
      </c>
      <c r="K89" s="242">
        <v>-290.64646218558732</v>
      </c>
      <c r="L89" s="242">
        <v>-384.68853332094614</v>
      </c>
      <c r="M89" s="242">
        <v>-291.51104981549497</v>
      </c>
      <c r="N89" s="242">
        <v>-1259.3587284922169</v>
      </c>
      <c r="O89" s="242">
        <v>-567.43093070493126</v>
      </c>
      <c r="P89" s="242">
        <v>-456.29779315557721</v>
      </c>
      <c r="Q89" s="242">
        <v>-265.34764510808168</v>
      </c>
      <c r="R89" s="242">
        <v>-549.47101661504712</v>
      </c>
      <c r="S89" s="242">
        <v>21.000759716251423</v>
      </c>
      <c r="T89" s="242">
        <v>-181.89952988060895</v>
      </c>
      <c r="U89" s="242">
        <v>746.51029759176572</v>
      </c>
      <c r="V89" s="242">
        <v>1231.3464225632943</v>
      </c>
      <c r="W89" s="242">
        <v>1271.1224897879079</v>
      </c>
      <c r="X89" s="242">
        <v>1166.0601768032207</v>
      </c>
      <c r="Y89" s="242">
        <v>1071.2012613022437</v>
      </c>
      <c r="Z89" s="242">
        <v>49.492337179599417</v>
      </c>
      <c r="AA89" s="242">
        <v>481.38630302472825</v>
      </c>
      <c r="AB89" s="242">
        <v>-472.03413230516412</v>
      </c>
      <c r="AC89" s="242">
        <v>-296.15712530626229</v>
      </c>
      <c r="AD89" s="242">
        <v>-1559.2357380386209</v>
      </c>
      <c r="AE89" s="242">
        <v>-772.3003556938088</v>
      </c>
      <c r="AF89" s="242">
        <v>-655.04921427305521</v>
      </c>
      <c r="AG89" s="242">
        <v>-524.60411475149272</v>
      </c>
      <c r="AH89" s="242">
        <v>-72.001595148641627</v>
      </c>
      <c r="AI89" s="242">
        <v>-224.36046218558772</v>
      </c>
      <c r="AJ89" s="242">
        <v>-423.53453332094591</v>
      </c>
      <c r="AK89" s="242">
        <v>-320.76104981549474</v>
      </c>
      <c r="AL89" s="242">
        <v>-1235.171728492217</v>
      </c>
      <c r="AM89" s="242">
        <v>-549.23893070493125</v>
      </c>
      <c r="AN89" s="242">
        <v>-409.04879315557719</v>
      </c>
      <c r="AO89" s="242">
        <v>-310.26164510808178</v>
      </c>
      <c r="AP89" s="242">
        <v>-593.54901661504755</v>
      </c>
      <c r="AQ89" s="242">
        <v>67.195759716251587</v>
      </c>
      <c r="AR89" s="242">
        <v>-180.42552988060879</v>
      </c>
      <c r="AS89" s="242">
        <v>747.36429759176599</v>
      </c>
      <c r="AT89" s="242">
        <v>1232.9004225632943</v>
      </c>
      <c r="AU89" s="242">
        <v>1271.6794897879081</v>
      </c>
      <c r="AV89" s="242">
        <v>1167.5551768032205</v>
      </c>
      <c r="AW89" s="242">
        <v>1071.8182613022434</v>
      </c>
      <c r="AX89" s="242">
        <v>50.889337179599352</v>
      </c>
      <c r="AY89" s="242">
        <v>482.32030302472867</v>
      </c>
      <c r="BA89" s="158"/>
      <c r="BB89" s="158"/>
    </row>
    <row r="90" spans="2:54">
      <c r="B90" s="225">
        <v>10278</v>
      </c>
      <c r="C90" s="225" t="s">
        <v>93</v>
      </c>
      <c r="D90" s="242">
        <v>0</v>
      </c>
      <c r="E90" s="242">
        <v>0</v>
      </c>
      <c r="F90" s="242">
        <v>0</v>
      </c>
      <c r="G90" s="242">
        <v>0</v>
      </c>
      <c r="H90" s="242">
        <v>0</v>
      </c>
      <c r="I90" s="242">
        <v>0</v>
      </c>
      <c r="J90" s="242">
        <v>0</v>
      </c>
      <c r="K90" s="242">
        <v>0</v>
      </c>
      <c r="L90" s="242">
        <v>0</v>
      </c>
      <c r="M90" s="242">
        <v>0</v>
      </c>
      <c r="N90" s="242">
        <v>0</v>
      </c>
      <c r="O90" s="242">
        <v>0</v>
      </c>
      <c r="P90" s="242">
        <v>0</v>
      </c>
      <c r="Q90" s="242">
        <v>0</v>
      </c>
      <c r="R90" s="242">
        <v>0</v>
      </c>
      <c r="S90" s="242">
        <v>0</v>
      </c>
      <c r="T90" s="242">
        <v>0</v>
      </c>
      <c r="U90" s="242">
        <v>0</v>
      </c>
      <c r="V90" s="242">
        <v>0</v>
      </c>
      <c r="W90" s="242">
        <v>0</v>
      </c>
      <c r="X90" s="242">
        <v>0</v>
      </c>
      <c r="Y90" s="242">
        <v>0</v>
      </c>
      <c r="Z90" s="242">
        <v>0</v>
      </c>
      <c r="AA90" s="242">
        <v>0</v>
      </c>
      <c r="AB90" s="242">
        <v>0</v>
      </c>
      <c r="AC90" s="242">
        <v>0</v>
      </c>
      <c r="AD90" s="242">
        <v>0</v>
      </c>
      <c r="AE90" s="242">
        <v>0</v>
      </c>
      <c r="AF90" s="242">
        <v>0</v>
      </c>
      <c r="AG90" s="242">
        <v>0</v>
      </c>
      <c r="AH90" s="242">
        <v>0</v>
      </c>
      <c r="AI90" s="242">
        <v>0</v>
      </c>
      <c r="AJ90" s="242">
        <v>0</v>
      </c>
      <c r="AK90" s="242">
        <v>0</v>
      </c>
      <c r="AL90" s="242">
        <v>0</v>
      </c>
      <c r="AM90" s="242">
        <v>0</v>
      </c>
      <c r="AN90" s="242">
        <v>0</v>
      </c>
      <c r="AO90" s="242">
        <v>0</v>
      </c>
      <c r="AP90" s="242">
        <v>0</v>
      </c>
      <c r="AQ90" s="242">
        <v>0</v>
      </c>
      <c r="AR90" s="242">
        <v>0</v>
      </c>
      <c r="AS90" s="242">
        <v>0</v>
      </c>
      <c r="AT90" s="242">
        <v>0</v>
      </c>
      <c r="AU90" s="242">
        <v>0</v>
      </c>
      <c r="AV90" s="242">
        <v>0</v>
      </c>
      <c r="AW90" s="242">
        <v>0</v>
      </c>
      <c r="AX90" s="242">
        <v>0</v>
      </c>
      <c r="AY90" s="242">
        <v>0</v>
      </c>
      <c r="BA90" s="158"/>
      <c r="BB90" s="158"/>
    </row>
    <row r="91" spans="2:54">
      <c r="B91" s="225">
        <v>10279</v>
      </c>
      <c r="C91" s="225" t="s">
        <v>94</v>
      </c>
      <c r="D91" s="242">
        <v>3152.0818694638911</v>
      </c>
      <c r="E91" s="242">
        <v>5592.8145038128841</v>
      </c>
      <c r="F91" s="242">
        <v>-88.992060146549193</v>
      </c>
      <c r="G91" s="242">
        <v>1092.3019519866139</v>
      </c>
      <c r="H91" s="242">
        <v>2111.2405734671556</v>
      </c>
      <c r="I91" s="242">
        <v>7300.0929936587199</v>
      </c>
      <c r="J91" s="242">
        <v>14640.836592944001</v>
      </c>
      <c r="K91" s="242">
        <v>5619.3287650947241</v>
      </c>
      <c r="L91" s="242">
        <v>10279.763302749125</v>
      </c>
      <c r="M91" s="242">
        <v>6326.8304783332842</v>
      </c>
      <c r="N91" s="242">
        <v>4112.1057378533988</v>
      </c>
      <c r="O91" s="242">
        <v>3001.6778939618489</v>
      </c>
      <c r="P91" s="242">
        <v>9837.1873593615492</v>
      </c>
      <c r="Q91" s="242">
        <v>1196.958629120385</v>
      </c>
      <c r="R91" s="242">
        <v>-2136.0827814512813</v>
      </c>
      <c r="S91" s="242">
        <v>292.6245489084049</v>
      </c>
      <c r="T91" s="242">
        <v>-9515.4965076923472</v>
      </c>
      <c r="U91" s="242">
        <v>4916.089442424829</v>
      </c>
      <c r="V91" s="242">
        <v>-123.9659759340575</v>
      </c>
      <c r="W91" s="242">
        <v>1438.1547901026588</v>
      </c>
      <c r="X91" s="242">
        <v>2592.2541671299441</v>
      </c>
      <c r="Y91" s="242">
        <v>155.20954296530363</v>
      </c>
      <c r="Z91" s="242">
        <v>-2447.5398575254112</v>
      </c>
      <c r="AA91" s="242">
        <v>4170.7253101466104</v>
      </c>
      <c r="AB91" s="242">
        <v>4486.680571536177</v>
      </c>
      <c r="AC91" s="242">
        <v>35.013763276385362</v>
      </c>
      <c r="AD91" s="242">
        <v>-1651.3792887799791</v>
      </c>
      <c r="AE91" s="242">
        <v>-666.39109129098142</v>
      </c>
      <c r="AF91" s="242">
        <v>-482.68719995751235</v>
      </c>
      <c r="AG91" s="242">
        <v>7104.2223777526451</v>
      </c>
      <c r="AH91" s="242">
        <v>14179.244806924133</v>
      </c>
      <c r="AI91" s="242">
        <v>3996.34722372943</v>
      </c>
      <c r="AJ91" s="242">
        <v>8302.4380828185604</v>
      </c>
      <c r="AK91" s="242">
        <v>5243.5888768506575</v>
      </c>
      <c r="AL91" s="242">
        <v>3615.5506961547435</v>
      </c>
      <c r="AM91" s="242">
        <v>2827.9144326608039</v>
      </c>
      <c r="AN91" s="242">
        <v>10518.096765080467</v>
      </c>
      <c r="AO91" s="242">
        <v>591.18348891712594</v>
      </c>
      <c r="AP91" s="242">
        <v>-994.71198708925658</v>
      </c>
      <c r="AQ91" s="242">
        <v>-113.11225104565347</v>
      </c>
      <c r="AR91" s="242">
        <v>-9065.0925655816536</v>
      </c>
      <c r="AS91" s="242">
        <v>5215.7372000235337</v>
      </c>
      <c r="AT91" s="242">
        <v>913.15795283214538</v>
      </c>
      <c r="AU91" s="242">
        <v>1072.5224719474991</v>
      </c>
      <c r="AV91" s="242">
        <v>-193.18368781241224</v>
      </c>
      <c r="AW91" s="242">
        <v>2900.2576456996376</v>
      </c>
      <c r="AX91" s="242">
        <v>979.68470455744318</v>
      </c>
      <c r="AY91" s="242">
        <v>83.238427625552504</v>
      </c>
      <c r="BA91" s="158"/>
      <c r="BB91" s="158"/>
    </row>
    <row r="92" spans="2:54">
      <c r="B92" s="225">
        <v>10284</v>
      </c>
      <c r="C92" s="225" t="s">
        <v>95</v>
      </c>
      <c r="D92" s="242">
        <v>352.17720446568364</v>
      </c>
      <c r="E92" s="242">
        <v>858.25051626674076</v>
      </c>
      <c r="F92" s="242">
        <v>128.96287215591201</v>
      </c>
      <c r="G92" s="242">
        <v>549.9049086628911</v>
      </c>
      <c r="H92" s="242">
        <v>1941.1510697264775</v>
      </c>
      <c r="I92" s="242">
        <v>1546.4857290225473</v>
      </c>
      <c r="J92" s="242">
        <v>3278.9875652962037</v>
      </c>
      <c r="K92" s="242">
        <v>2064.2926706844764</v>
      </c>
      <c r="L92" s="242">
        <v>2329.9142599877746</v>
      </c>
      <c r="M92" s="242">
        <v>1414.8368282185525</v>
      </c>
      <c r="N92" s="242">
        <v>961.51723698840669</v>
      </c>
      <c r="O92" s="242">
        <v>1193.620004059746</v>
      </c>
      <c r="P92" s="242">
        <v>1261.5033396322069</v>
      </c>
      <c r="Q92" s="242">
        <v>1001.8011519116526</v>
      </c>
      <c r="R92" s="242">
        <v>-1398.0413662352862</v>
      </c>
      <c r="S92" s="242">
        <v>24.170895835527972</v>
      </c>
      <c r="T92" s="242">
        <v>-2386.7569952368599</v>
      </c>
      <c r="U92" s="242">
        <v>-20.814945262061428</v>
      </c>
      <c r="V92" s="242">
        <v>-1540.7935975536761</v>
      </c>
      <c r="W92" s="242">
        <v>-298.05545189732766</v>
      </c>
      <c r="X92" s="242">
        <v>-1212.7252925895382</v>
      </c>
      <c r="Y92" s="242">
        <v>-287.21848380970596</v>
      </c>
      <c r="Z92" s="242">
        <v>-1214.8668635532499</v>
      </c>
      <c r="AA92" s="242">
        <v>-133.24012679986572</v>
      </c>
      <c r="AB92" s="242">
        <v>604.28020446568371</v>
      </c>
      <c r="AC92" s="242">
        <v>690.43251626674055</v>
      </c>
      <c r="AD92" s="242">
        <v>177.84687215591202</v>
      </c>
      <c r="AE92" s="242">
        <v>585.07390866289097</v>
      </c>
      <c r="AF92" s="242">
        <v>1988.6850697264772</v>
      </c>
      <c r="AG92" s="242">
        <v>1582.8057290225479</v>
      </c>
      <c r="AH92" s="242">
        <v>3328.243565296204</v>
      </c>
      <c r="AI92" s="242">
        <v>2098.6986706844764</v>
      </c>
      <c r="AJ92" s="242">
        <v>2362.3642599877753</v>
      </c>
      <c r="AK92" s="242">
        <v>1500.6468282185524</v>
      </c>
      <c r="AL92" s="242">
        <v>1009.3392369884068</v>
      </c>
      <c r="AM92" s="242">
        <v>1229.0650040597457</v>
      </c>
      <c r="AN92" s="242">
        <v>1311.2483396322077</v>
      </c>
      <c r="AO92" s="242">
        <v>1035.1281519116524</v>
      </c>
      <c r="AP92" s="242">
        <v>-1348.6193662352862</v>
      </c>
      <c r="AQ92" s="242">
        <v>57.631895835528212</v>
      </c>
      <c r="AR92" s="242">
        <v>-2337.7399952368596</v>
      </c>
      <c r="AS92" s="242">
        <v>12.858054737938346</v>
      </c>
      <c r="AT92" s="242">
        <v>-1490.3925975536763</v>
      </c>
      <c r="AU92" s="242">
        <v>-265.95445189732754</v>
      </c>
      <c r="AV92" s="242">
        <v>-1312.4732925895382</v>
      </c>
      <c r="AW92" s="242">
        <v>-105.06848380970587</v>
      </c>
      <c r="AX92" s="242">
        <v>-1021.1618635532495</v>
      </c>
      <c r="AY92" s="242">
        <v>-244.82612679986596</v>
      </c>
      <c r="BA92" s="158"/>
      <c r="BB92" s="158"/>
    </row>
    <row r="93" spans="2:54">
      <c r="B93" s="225">
        <v>10285</v>
      </c>
      <c r="C93" s="225" t="s">
        <v>96</v>
      </c>
      <c r="D93" s="242">
        <v>0</v>
      </c>
      <c r="E93" s="242">
        <v>0</v>
      </c>
      <c r="F93" s="242">
        <v>0</v>
      </c>
      <c r="G93" s="242">
        <v>0</v>
      </c>
      <c r="H93" s="242">
        <v>0</v>
      </c>
      <c r="I93" s="242">
        <v>0</v>
      </c>
      <c r="J93" s="242">
        <v>0</v>
      </c>
      <c r="K93" s="242">
        <v>0</v>
      </c>
      <c r="L93" s="242">
        <v>0</v>
      </c>
      <c r="M93" s="242">
        <v>0</v>
      </c>
      <c r="N93" s="242">
        <v>0</v>
      </c>
      <c r="O93" s="242">
        <v>0</v>
      </c>
      <c r="P93" s="242">
        <v>0</v>
      </c>
      <c r="Q93" s="242">
        <v>0</v>
      </c>
      <c r="R93" s="242">
        <v>0</v>
      </c>
      <c r="S93" s="242">
        <v>0</v>
      </c>
      <c r="T93" s="242">
        <v>0</v>
      </c>
      <c r="U93" s="242">
        <v>0</v>
      </c>
      <c r="V93" s="242">
        <v>0</v>
      </c>
      <c r="W93" s="242">
        <v>0</v>
      </c>
      <c r="X93" s="242">
        <v>0</v>
      </c>
      <c r="Y93" s="242">
        <v>0</v>
      </c>
      <c r="Z93" s="242">
        <v>0</v>
      </c>
      <c r="AA93" s="242">
        <v>0</v>
      </c>
      <c r="AB93" s="242">
        <v>0</v>
      </c>
      <c r="AC93" s="242">
        <v>0</v>
      </c>
      <c r="AD93" s="242">
        <v>0</v>
      </c>
      <c r="AE93" s="242">
        <v>0</v>
      </c>
      <c r="AF93" s="242">
        <v>0</v>
      </c>
      <c r="AG93" s="242">
        <v>0</v>
      </c>
      <c r="AH93" s="242">
        <v>0</v>
      </c>
      <c r="AI93" s="242">
        <v>0</v>
      </c>
      <c r="AJ93" s="242">
        <v>0</v>
      </c>
      <c r="AK93" s="242">
        <v>0</v>
      </c>
      <c r="AL93" s="242">
        <v>0</v>
      </c>
      <c r="AM93" s="242">
        <v>0</v>
      </c>
      <c r="AN93" s="242">
        <v>0</v>
      </c>
      <c r="AO93" s="242">
        <v>0</v>
      </c>
      <c r="AP93" s="242">
        <v>0</v>
      </c>
      <c r="AQ93" s="242">
        <v>0</v>
      </c>
      <c r="AR93" s="242">
        <v>0</v>
      </c>
      <c r="AS93" s="242">
        <v>0</v>
      </c>
      <c r="AT93" s="242">
        <v>0</v>
      </c>
      <c r="AU93" s="242">
        <v>0</v>
      </c>
      <c r="AV93" s="242">
        <v>0</v>
      </c>
      <c r="AW93" s="242">
        <v>0</v>
      </c>
      <c r="AX93" s="242">
        <v>0</v>
      </c>
      <c r="AY93" s="242">
        <v>0</v>
      </c>
      <c r="BA93" s="158"/>
      <c r="BB93" s="158"/>
    </row>
    <row r="94" spans="2:54">
      <c r="B94" s="225">
        <v>10286</v>
      </c>
      <c r="C94" s="225" t="s">
        <v>97</v>
      </c>
      <c r="D94" s="242">
        <v>-1264.571706824634</v>
      </c>
      <c r="E94" s="242">
        <v>1198.7462701181612</v>
      </c>
      <c r="F94" s="242">
        <v>-3205.2022173324731</v>
      </c>
      <c r="G94" s="242">
        <v>-1284.2099811817425</v>
      </c>
      <c r="H94" s="242">
        <v>6432.8320635333839</v>
      </c>
      <c r="I94" s="242">
        <v>2532.6418563185962</v>
      </c>
      <c r="J94" s="242">
        <v>12915.718852540991</v>
      </c>
      <c r="K94" s="242">
        <v>7038.7899697608573</v>
      </c>
      <c r="L94" s="242">
        <v>9603.6076720323417</v>
      </c>
      <c r="M94" s="242">
        <v>5565.7944869915045</v>
      </c>
      <c r="N94" s="242">
        <v>5374.1521154485345</v>
      </c>
      <c r="O94" s="242">
        <v>4321.6603510278946</v>
      </c>
      <c r="P94" s="242">
        <v>1342.7048009529935</v>
      </c>
      <c r="Q94" s="242">
        <v>1553.7357392445119</v>
      </c>
      <c r="R94" s="242">
        <v>-10066.398704418116</v>
      </c>
      <c r="S94" s="242">
        <v>-2559.6028378202955</v>
      </c>
      <c r="T94" s="242">
        <v>-16952.114986773286</v>
      </c>
      <c r="U94" s="242">
        <v>-4506.8047874815693</v>
      </c>
      <c r="V94" s="242">
        <v>-4374.3408566393591</v>
      </c>
      <c r="W94" s="242">
        <v>849.99798184211795</v>
      </c>
      <c r="X94" s="242">
        <v>-8227.2596159140339</v>
      </c>
      <c r="Y94" s="242">
        <v>-1437.4514988613555</v>
      </c>
      <c r="Z94" s="242">
        <v>-4079.355210065165</v>
      </c>
      <c r="AA94" s="242">
        <v>-773.84524769132076</v>
      </c>
      <c r="AB94" s="242">
        <v>-1264.571706824634</v>
      </c>
      <c r="AC94" s="242">
        <v>1198.7462701181612</v>
      </c>
      <c r="AD94" s="242">
        <v>-3205.2022173324731</v>
      </c>
      <c r="AE94" s="242">
        <v>-1284.2099811817425</v>
      </c>
      <c r="AF94" s="242">
        <v>6432.8320635333839</v>
      </c>
      <c r="AG94" s="242">
        <v>2532.6418563185962</v>
      </c>
      <c r="AH94" s="242">
        <v>12915.718852540991</v>
      </c>
      <c r="AI94" s="242">
        <v>7038.7899697608573</v>
      </c>
      <c r="AJ94" s="242">
        <v>9603.6076720323417</v>
      </c>
      <c r="AK94" s="242">
        <v>5565.7944869915045</v>
      </c>
      <c r="AL94" s="242">
        <v>5374.1521154485345</v>
      </c>
      <c r="AM94" s="242">
        <v>4321.6603510278946</v>
      </c>
      <c r="AN94" s="242">
        <v>1342.7048009529881</v>
      </c>
      <c r="AO94" s="242">
        <v>1553.7357392445101</v>
      </c>
      <c r="AP94" s="242">
        <v>-10066.398704418114</v>
      </c>
      <c r="AQ94" s="242">
        <v>-2559.6028378202755</v>
      </c>
      <c r="AR94" s="242">
        <v>-16952.114986773286</v>
      </c>
      <c r="AS94" s="242">
        <v>-4506.8047874815693</v>
      </c>
      <c r="AT94" s="242">
        <v>-4374.3408566393591</v>
      </c>
      <c r="AU94" s="242">
        <v>849.99798184211795</v>
      </c>
      <c r="AV94" s="242">
        <v>-8227.2596159140339</v>
      </c>
      <c r="AW94" s="242">
        <v>-1437.4514988613555</v>
      </c>
      <c r="AX94" s="242">
        <v>-4079.355210065165</v>
      </c>
      <c r="AY94" s="242">
        <v>-773.84524769132076</v>
      </c>
      <c r="BA94" s="158"/>
      <c r="BB94" s="158"/>
    </row>
    <row r="95" spans="2:54">
      <c r="B95" s="225">
        <v>10288</v>
      </c>
      <c r="C95" s="225" t="s">
        <v>98</v>
      </c>
      <c r="D95" s="242">
        <v>0</v>
      </c>
      <c r="E95" s="242">
        <v>0</v>
      </c>
      <c r="F95" s="242">
        <v>0</v>
      </c>
      <c r="G95" s="242">
        <v>0</v>
      </c>
      <c r="H95" s="242">
        <v>0</v>
      </c>
      <c r="I95" s="242">
        <v>0</v>
      </c>
      <c r="J95" s="242">
        <v>0</v>
      </c>
      <c r="K95" s="242">
        <v>0</v>
      </c>
      <c r="L95" s="242">
        <v>0</v>
      </c>
      <c r="M95" s="242">
        <v>0</v>
      </c>
      <c r="N95" s="242">
        <v>0</v>
      </c>
      <c r="O95" s="242">
        <v>0</v>
      </c>
      <c r="P95" s="242">
        <v>0</v>
      </c>
      <c r="Q95" s="242">
        <v>0</v>
      </c>
      <c r="R95" s="242">
        <v>0</v>
      </c>
      <c r="S95" s="242">
        <v>0</v>
      </c>
      <c r="T95" s="242">
        <v>0</v>
      </c>
      <c r="U95" s="242">
        <v>0</v>
      </c>
      <c r="V95" s="242">
        <v>0</v>
      </c>
      <c r="W95" s="242">
        <v>0</v>
      </c>
      <c r="X95" s="242">
        <v>0</v>
      </c>
      <c r="Y95" s="242">
        <v>0</v>
      </c>
      <c r="Z95" s="242">
        <v>0</v>
      </c>
      <c r="AA95" s="242">
        <v>0</v>
      </c>
      <c r="AB95" s="242">
        <v>0</v>
      </c>
      <c r="AC95" s="242">
        <v>0</v>
      </c>
      <c r="AD95" s="242">
        <v>0</v>
      </c>
      <c r="AE95" s="242">
        <v>0</v>
      </c>
      <c r="AF95" s="242">
        <v>0</v>
      </c>
      <c r="AG95" s="242">
        <v>0</v>
      </c>
      <c r="AH95" s="242">
        <v>0</v>
      </c>
      <c r="AI95" s="242">
        <v>0</v>
      </c>
      <c r="AJ95" s="242">
        <v>0</v>
      </c>
      <c r="AK95" s="242">
        <v>0</v>
      </c>
      <c r="AL95" s="242">
        <v>0</v>
      </c>
      <c r="AM95" s="242">
        <v>0</v>
      </c>
      <c r="AN95" s="242">
        <v>0</v>
      </c>
      <c r="AO95" s="242">
        <v>0</v>
      </c>
      <c r="AP95" s="242">
        <v>0</v>
      </c>
      <c r="AQ95" s="242">
        <v>0</v>
      </c>
      <c r="AR95" s="242">
        <v>0</v>
      </c>
      <c r="AS95" s="242">
        <v>0</v>
      </c>
      <c r="AT95" s="242">
        <v>0</v>
      </c>
      <c r="AU95" s="242">
        <v>0</v>
      </c>
      <c r="AV95" s="242">
        <v>0</v>
      </c>
      <c r="AW95" s="242">
        <v>0</v>
      </c>
      <c r="AX95" s="242">
        <v>0</v>
      </c>
      <c r="AY95" s="242">
        <v>0</v>
      </c>
      <c r="BA95" s="158"/>
      <c r="BB95" s="158"/>
    </row>
    <row r="96" spans="2:54">
      <c r="B96" s="225">
        <v>10291</v>
      </c>
      <c r="C96" s="225" t="s">
        <v>99</v>
      </c>
      <c r="D96" s="242">
        <v>-3722.7599201307421</v>
      </c>
      <c r="E96" s="242">
        <v>-85.204040116470424</v>
      </c>
      <c r="F96" s="242">
        <v>-8597.4590193705953</v>
      </c>
      <c r="G96" s="242">
        <v>-4655.3136515999031</v>
      </c>
      <c r="H96" s="242">
        <v>1792.9595639312538</v>
      </c>
      <c r="I96" s="242">
        <v>422.60936519862662</v>
      </c>
      <c r="J96" s="242">
        <v>9746.4361731944482</v>
      </c>
      <c r="K96" s="242">
        <v>3257.5827489167641</v>
      </c>
      <c r="L96" s="242">
        <v>7707.6443418414528</v>
      </c>
      <c r="M96" s="242">
        <v>1991.4072663770239</v>
      </c>
      <c r="N96" s="242">
        <v>-1434.7697892553151</v>
      </c>
      <c r="O96" s="242">
        <v>138.72281169295093</v>
      </c>
      <c r="P96" s="242">
        <v>4743.8811641015564</v>
      </c>
      <c r="Q96" s="242">
        <v>2107.3323641464031</v>
      </c>
      <c r="R96" s="242">
        <v>-8389.1662921444295</v>
      </c>
      <c r="S96" s="242">
        <v>34.951684911677148</v>
      </c>
      <c r="T96" s="242">
        <v>-12584.17657941801</v>
      </c>
      <c r="U96" s="242">
        <v>2059.1087648624343</v>
      </c>
      <c r="V96" s="242">
        <v>-3544.9475482310372</v>
      </c>
      <c r="W96" s="242">
        <v>1551.6333141161158</v>
      </c>
      <c r="X96" s="242">
        <v>-2063.7947867149487</v>
      </c>
      <c r="Y96" s="242">
        <v>1109.5953836185581</v>
      </c>
      <c r="Z96" s="242">
        <v>-7307.644961263235</v>
      </c>
      <c r="AA96" s="242">
        <v>-1003.3320808176395</v>
      </c>
      <c r="AB96" s="242">
        <v>-1868.2219201307416</v>
      </c>
      <c r="AC96" s="242">
        <v>-742.77304011646629</v>
      </c>
      <c r="AD96" s="242">
        <v>-7961.487019370601</v>
      </c>
      <c r="AE96" s="242">
        <v>-4144.723651599903</v>
      </c>
      <c r="AF96" s="242">
        <v>2370.3845639312494</v>
      </c>
      <c r="AG96" s="242">
        <v>882.96636519862659</v>
      </c>
      <c r="AH96" s="242">
        <v>10334.306173194451</v>
      </c>
      <c r="AI96" s="242">
        <v>3772.9617489167649</v>
      </c>
      <c r="AJ96" s="242">
        <v>7876.1463418414532</v>
      </c>
      <c r="AK96" s="242">
        <v>2508.104266377024</v>
      </c>
      <c r="AL96" s="242">
        <v>-732.80578925531518</v>
      </c>
      <c r="AM96" s="242">
        <v>643.33181169295131</v>
      </c>
      <c r="AN96" s="242">
        <v>5490.7131641015585</v>
      </c>
      <c r="AO96" s="242">
        <v>2560.8203641464042</v>
      </c>
      <c r="AP96" s="242">
        <v>-7752.1342921444302</v>
      </c>
      <c r="AQ96" s="242">
        <v>665.94968491167674</v>
      </c>
      <c r="AR96" s="242">
        <v>-11872.877579418007</v>
      </c>
      <c r="AS96" s="242">
        <v>2574.181764862431</v>
      </c>
      <c r="AT96" s="242">
        <v>-2850.4965482310363</v>
      </c>
      <c r="AU96" s="242">
        <v>2134.5373141161144</v>
      </c>
      <c r="AV96" s="242">
        <v>-2712.4987867149466</v>
      </c>
      <c r="AW96" s="242">
        <v>3029.2933836185548</v>
      </c>
      <c r="AX96" s="242">
        <v>-5460.858961263235</v>
      </c>
      <c r="AY96" s="242">
        <v>-1609.6870808176391</v>
      </c>
      <c r="BA96" s="158"/>
      <c r="BB96" s="158"/>
    </row>
    <row r="97" spans="2:54">
      <c r="B97" s="225">
        <v>10294</v>
      </c>
      <c r="C97" s="225" t="s">
        <v>100</v>
      </c>
      <c r="D97" s="242">
        <v>-744.71412077061177</v>
      </c>
      <c r="E97" s="242">
        <v>815.37790036573824</v>
      </c>
      <c r="F97" s="242">
        <v>-1357.6559573374943</v>
      </c>
      <c r="G97" s="242">
        <v>-147.95142950162335</v>
      </c>
      <c r="H97" s="242">
        <v>3851.9026476697945</v>
      </c>
      <c r="I97" s="242">
        <v>2642.1642124379468</v>
      </c>
      <c r="J97" s="242">
        <v>7913.8898935583384</v>
      </c>
      <c r="K97" s="242">
        <v>4374.9972700736507</v>
      </c>
      <c r="L97" s="242">
        <v>7752.4470141655293</v>
      </c>
      <c r="M97" s="242">
        <v>3931.9159526285966</v>
      </c>
      <c r="N97" s="242">
        <v>2330.4458912536429</v>
      </c>
      <c r="O97" s="242">
        <v>2480.1499794114243</v>
      </c>
      <c r="P97" s="242">
        <v>3331.7126743608442</v>
      </c>
      <c r="Q97" s="242">
        <v>2325.5785081220311</v>
      </c>
      <c r="R97" s="242">
        <v>-5606.5975637221472</v>
      </c>
      <c r="S97" s="242">
        <v>-857.55023345293284</v>
      </c>
      <c r="T97" s="242">
        <v>-9547.8739040656237</v>
      </c>
      <c r="U97" s="242">
        <v>-1098.0617910518204</v>
      </c>
      <c r="V97" s="242">
        <v>-7114.9994110643784</v>
      </c>
      <c r="W97" s="242">
        <v>-2375.395231185159</v>
      </c>
      <c r="X97" s="242">
        <v>-6138.6120866045076</v>
      </c>
      <c r="Y97" s="242">
        <v>-2252.3350814856631</v>
      </c>
      <c r="Z97" s="242">
        <v>-5046.614608006892</v>
      </c>
      <c r="AA97" s="242">
        <v>-1561.6748948616669</v>
      </c>
      <c r="AB97" s="242">
        <v>-146.3571207706118</v>
      </c>
      <c r="AC97" s="242">
        <v>235.29690036573811</v>
      </c>
      <c r="AD97" s="242">
        <v>-1322.7939573374933</v>
      </c>
      <c r="AE97" s="242">
        <v>-133.08642950162175</v>
      </c>
      <c r="AF97" s="242">
        <v>3905.539647669797</v>
      </c>
      <c r="AG97" s="242">
        <v>2678.3552124379457</v>
      </c>
      <c r="AH97" s="242">
        <v>7976.8088935583401</v>
      </c>
      <c r="AI97" s="242">
        <v>4406.3522700736503</v>
      </c>
      <c r="AJ97" s="242">
        <v>7004.0990141655311</v>
      </c>
      <c r="AK97" s="242">
        <v>3579.7799526285962</v>
      </c>
      <c r="AL97" s="242">
        <v>2364.3748912536466</v>
      </c>
      <c r="AM97" s="242">
        <v>2501.0489794114237</v>
      </c>
      <c r="AN97" s="242">
        <v>3396.6856743608441</v>
      </c>
      <c r="AO97" s="242">
        <v>2291.2885081220302</v>
      </c>
      <c r="AP97" s="242">
        <v>-5640.7645637221485</v>
      </c>
      <c r="AQ97" s="242">
        <v>-824.5862334529329</v>
      </c>
      <c r="AR97" s="242">
        <v>-9551.6489040656252</v>
      </c>
      <c r="AS97" s="242">
        <v>-1105.5807910518206</v>
      </c>
      <c r="AT97" s="242">
        <v>-7115.3794110643794</v>
      </c>
      <c r="AU97" s="242">
        <v>-2391.9152311851594</v>
      </c>
      <c r="AV97" s="242">
        <v>-6590.8890866045076</v>
      </c>
      <c r="AW97" s="242">
        <v>-1815.8270814856623</v>
      </c>
      <c r="AX97" s="242">
        <v>-4591.3556080068938</v>
      </c>
      <c r="AY97" s="242">
        <v>-2029.9908948616667</v>
      </c>
      <c r="BA97" s="158"/>
      <c r="BB97" s="158"/>
    </row>
    <row r="98" spans="2:54">
      <c r="B98" s="225">
        <v>10304</v>
      </c>
      <c r="C98" s="225" t="s">
        <v>101</v>
      </c>
      <c r="D98" s="242">
        <v>-22.143334658490858</v>
      </c>
      <c r="E98" s="242">
        <v>315.33611816033454</v>
      </c>
      <c r="F98" s="242">
        <v>-198.438848410834</v>
      </c>
      <c r="G98" s="242">
        <v>238.51676176853107</v>
      </c>
      <c r="H98" s="242">
        <v>1327.7524869332528</v>
      </c>
      <c r="I98" s="242">
        <v>598.63259627438674</v>
      </c>
      <c r="J98" s="242">
        <v>2733.2359280501123</v>
      </c>
      <c r="K98" s="242">
        <v>1479.3985300084282</v>
      </c>
      <c r="L98" s="242">
        <v>2547.7200592434547</v>
      </c>
      <c r="M98" s="242">
        <v>1377.3312099082982</v>
      </c>
      <c r="N98" s="242">
        <v>1039.4262237189196</v>
      </c>
      <c r="O98" s="242">
        <v>661.19169980335164</v>
      </c>
      <c r="P98" s="242">
        <v>1147.5000808363993</v>
      </c>
      <c r="Q98" s="242">
        <v>807.72430404146371</v>
      </c>
      <c r="R98" s="242">
        <v>-2245.5026934627294</v>
      </c>
      <c r="S98" s="242">
        <v>-219.26349515830452</v>
      </c>
      <c r="T98" s="242">
        <v>-3264.7269912653192</v>
      </c>
      <c r="U98" s="242">
        <v>-367.47426675720681</v>
      </c>
      <c r="V98" s="242">
        <v>-2528.7477430649351</v>
      </c>
      <c r="W98" s="242">
        <v>-495.0130348732564</v>
      </c>
      <c r="X98" s="242">
        <v>-2162.9574643063397</v>
      </c>
      <c r="Y98" s="242">
        <v>-491.82966998836673</v>
      </c>
      <c r="Z98" s="242">
        <v>-1337.5240511412321</v>
      </c>
      <c r="AA98" s="242">
        <v>-371.08257487939682</v>
      </c>
      <c r="AB98" s="242">
        <v>-22.214127928262315</v>
      </c>
      <c r="AC98" s="242">
        <v>316.08807421044276</v>
      </c>
      <c r="AD98" s="242">
        <v>-201.05698522950115</v>
      </c>
      <c r="AE98" s="242">
        <v>237.63181735530998</v>
      </c>
      <c r="AF98" s="242">
        <v>1325.4798978019962</v>
      </c>
      <c r="AG98" s="242">
        <v>596.24778869656802</v>
      </c>
      <c r="AH98" s="242">
        <v>2733.7983453691404</v>
      </c>
      <c r="AI98" s="242">
        <v>1478.8410748949664</v>
      </c>
      <c r="AJ98" s="242">
        <v>2357.6689466594717</v>
      </c>
      <c r="AK98" s="242">
        <v>1251.637120284001</v>
      </c>
      <c r="AL98" s="242">
        <v>1039.5633953126244</v>
      </c>
      <c r="AM98" s="242">
        <v>661.29334861773259</v>
      </c>
      <c r="AN98" s="242">
        <v>1149.9849754003435</v>
      </c>
      <c r="AO98" s="242">
        <v>809.49415334919786</v>
      </c>
      <c r="AP98" s="242">
        <v>-2249.7890998985513</v>
      </c>
      <c r="AQ98" s="242">
        <v>-219.0327818458195</v>
      </c>
      <c r="AR98" s="242">
        <v>-3269.9450692473401</v>
      </c>
      <c r="AS98" s="242">
        <v>-366.73910077685105</v>
      </c>
      <c r="AT98" s="242">
        <v>-2532.4003717533315</v>
      </c>
      <c r="AU98" s="242">
        <v>-494.5494643269285</v>
      </c>
      <c r="AV98" s="242">
        <v>-2165.6767082440747</v>
      </c>
      <c r="AW98" s="242">
        <v>-491.50225637855601</v>
      </c>
      <c r="AX98" s="242">
        <v>-1338.6115391113781</v>
      </c>
      <c r="AY98" s="242">
        <v>-370.58501117320293</v>
      </c>
      <c r="BA98" s="158"/>
      <c r="BB98" s="158"/>
    </row>
    <row r="99" spans="2:54">
      <c r="B99" s="225">
        <v>10306</v>
      </c>
      <c r="C99" s="225" t="s">
        <v>102</v>
      </c>
      <c r="D99" s="242">
        <v>-6564.3866636771354</v>
      </c>
      <c r="E99" s="242">
        <v>-2731.6785076870515</v>
      </c>
      <c r="F99" s="242">
        <v>4889.818621880142</v>
      </c>
      <c r="G99" s="242">
        <v>6156.2186482955931</v>
      </c>
      <c r="H99" s="242">
        <v>4489.9971100897837</v>
      </c>
      <c r="I99" s="242">
        <v>3987.4287833653125</v>
      </c>
      <c r="J99" s="242">
        <v>12320.415905316717</v>
      </c>
      <c r="K99" s="242">
        <v>11584.03072137323</v>
      </c>
      <c r="L99" s="242">
        <v>12108.565506051713</v>
      </c>
      <c r="M99" s="242">
        <v>9325.447061862702</v>
      </c>
      <c r="N99" s="242">
        <v>9098.785338155456</v>
      </c>
      <c r="O99" s="242">
        <v>7540.4154662412875</v>
      </c>
      <c r="P99" s="242">
        <v>-7175.2610983677978</v>
      </c>
      <c r="Q99" s="242">
        <v>-4334.1021791827461</v>
      </c>
      <c r="R99" s="242">
        <v>-12755.844600898545</v>
      </c>
      <c r="S99" s="242">
        <v>-6173.8698172375098</v>
      </c>
      <c r="T99" s="242">
        <v>-14424.252199248729</v>
      </c>
      <c r="U99" s="242">
        <v>-5802.5440286835328</v>
      </c>
      <c r="V99" s="242">
        <v>-8391.7770779749208</v>
      </c>
      <c r="W99" s="242">
        <v>-2630.1267587763709</v>
      </c>
      <c r="X99" s="242">
        <v>-7622.5980350570471</v>
      </c>
      <c r="Y99" s="242">
        <v>-2539.1463888156445</v>
      </c>
      <c r="Z99" s="242">
        <v>-1614.9029423050451</v>
      </c>
      <c r="AA99" s="242">
        <v>1259.6059891465356</v>
      </c>
      <c r="AB99" s="242">
        <v>-6564.3866636771354</v>
      </c>
      <c r="AC99" s="242">
        <v>-2731.6785076870515</v>
      </c>
      <c r="AD99" s="242">
        <v>4889.818621880142</v>
      </c>
      <c r="AE99" s="242">
        <v>6156.2186482955931</v>
      </c>
      <c r="AF99" s="242">
        <v>4489.9971100897837</v>
      </c>
      <c r="AG99" s="242">
        <v>3987.4287833653125</v>
      </c>
      <c r="AH99" s="242">
        <v>12320.415905316717</v>
      </c>
      <c r="AI99" s="242">
        <v>11584.03072137323</v>
      </c>
      <c r="AJ99" s="242">
        <v>12108.565506051713</v>
      </c>
      <c r="AK99" s="242">
        <v>9325.447061862702</v>
      </c>
      <c r="AL99" s="242">
        <v>9098.785338155456</v>
      </c>
      <c r="AM99" s="242">
        <v>7540.4154662412875</v>
      </c>
      <c r="AN99" s="242">
        <v>-7223.1121117011307</v>
      </c>
      <c r="AO99" s="242">
        <v>-4286.2511658494132</v>
      </c>
      <c r="AP99" s="242">
        <v>-12755.844600898545</v>
      </c>
      <c r="AQ99" s="242">
        <v>-6173.8698172375098</v>
      </c>
      <c r="AR99" s="242">
        <v>-14424.252199248729</v>
      </c>
      <c r="AS99" s="242">
        <v>-5802.5440286835328</v>
      </c>
      <c r="AT99" s="242">
        <v>-8391.7770779749208</v>
      </c>
      <c r="AU99" s="242">
        <v>-2630.1267587763709</v>
      </c>
      <c r="AV99" s="242">
        <v>-7622.5980350570471</v>
      </c>
      <c r="AW99" s="242">
        <v>-2539.1463888156445</v>
      </c>
      <c r="AX99" s="242">
        <v>-1614.9029423050451</v>
      </c>
      <c r="AY99" s="242">
        <v>1259.6059891465356</v>
      </c>
      <c r="BA99" s="158"/>
      <c r="BB99" s="158"/>
    </row>
    <row r="100" spans="2:54">
      <c r="B100" s="225">
        <v>10307</v>
      </c>
      <c r="C100" s="225" t="s">
        <v>103</v>
      </c>
      <c r="D100" s="242">
        <v>76.036343514406326</v>
      </c>
      <c r="E100" s="242">
        <v>1600.3494573306889</v>
      </c>
      <c r="F100" s="242">
        <v>-5.5916604812737205</v>
      </c>
      <c r="G100" s="242">
        <v>299.5088748179478</v>
      </c>
      <c r="H100" s="242">
        <v>7853.0345386212211</v>
      </c>
      <c r="I100" s="242">
        <v>3443.6936330630124</v>
      </c>
      <c r="J100" s="242">
        <v>15328.031817274434</v>
      </c>
      <c r="K100" s="242">
        <v>6349.7262349918165</v>
      </c>
      <c r="L100" s="242">
        <v>15253.501778512589</v>
      </c>
      <c r="M100" s="242">
        <v>6091.1462185051241</v>
      </c>
      <c r="N100" s="242">
        <v>3453.8949961606268</v>
      </c>
      <c r="O100" s="242">
        <v>2758.0757799512467</v>
      </c>
      <c r="P100" s="242">
        <v>6021.2186521419426</v>
      </c>
      <c r="Q100" s="242">
        <v>2856.504419478113</v>
      </c>
      <c r="R100" s="242">
        <v>-11518.492073178353</v>
      </c>
      <c r="S100" s="242">
        <v>-2088.8346310108118</v>
      </c>
      <c r="T100" s="242">
        <v>-17085.259187991702</v>
      </c>
      <c r="U100" s="242">
        <v>-1484.8493315161377</v>
      </c>
      <c r="V100" s="242">
        <v>-10692.731248243399</v>
      </c>
      <c r="W100" s="242">
        <v>-2209.3001357277608</v>
      </c>
      <c r="X100" s="242">
        <v>-8379.8205545508063</v>
      </c>
      <c r="Y100" s="242">
        <v>-1994.262810777187</v>
      </c>
      <c r="Z100" s="242">
        <v>-7785.8580585966047</v>
      </c>
      <c r="AA100" s="242">
        <v>-1813.8944233167585</v>
      </c>
      <c r="AB100" s="242">
        <v>1171.2851247632389</v>
      </c>
      <c r="AC100" s="242">
        <v>506.56986210592004</v>
      </c>
      <c r="AD100" s="242">
        <v>-10.413290255048196</v>
      </c>
      <c r="AE100" s="242">
        <v>296.74699525597316</v>
      </c>
      <c r="AF100" s="242">
        <v>7848.2682621701642</v>
      </c>
      <c r="AG100" s="242">
        <v>3438.3725499777429</v>
      </c>
      <c r="AH100" s="242">
        <v>15330.15438813233</v>
      </c>
      <c r="AI100" s="242">
        <v>6347.6267489126512</v>
      </c>
      <c r="AJ100" s="242">
        <v>13848.346201247296</v>
      </c>
      <c r="AK100" s="242">
        <v>5588.3455243191493</v>
      </c>
      <c r="AL100" s="242">
        <v>3452.4118679469902</v>
      </c>
      <c r="AM100" s="242">
        <v>2757.6593523824049</v>
      </c>
      <c r="AN100" s="242">
        <v>6027.4595903638256</v>
      </c>
      <c r="AO100" s="242">
        <v>2859.4735929782055</v>
      </c>
      <c r="AP100" s="242">
        <v>-11526.123453789292</v>
      </c>
      <c r="AQ100" s="242">
        <v>-2088.3277521670916</v>
      </c>
      <c r="AR100" s="242">
        <v>-17097.104690286076</v>
      </c>
      <c r="AS100" s="242">
        <v>-1482.7281385586975</v>
      </c>
      <c r="AT100" s="242">
        <v>-10698.366777068248</v>
      </c>
      <c r="AU100" s="242">
        <v>-2208.1990662107128</v>
      </c>
      <c r="AV100" s="242">
        <v>-9325.9432497492198</v>
      </c>
      <c r="AW100" s="242">
        <v>-1050.9497479559268</v>
      </c>
      <c r="AX100" s="242">
        <v>-6889.0057825319163</v>
      </c>
      <c r="AY100" s="242">
        <v>-2712.0347019533365</v>
      </c>
      <c r="BA100" s="158"/>
      <c r="BB100" s="158"/>
    </row>
    <row r="101" spans="2:54">
      <c r="B101" s="225">
        <v>10326</v>
      </c>
      <c r="C101" s="225" t="s">
        <v>104</v>
      </c>
      <c r="D101" s="242">
        <v>247.60143100548339</v>
      </c>
      <c r="E101" s="242">
        <v>2214.0407573595476</v>
      </c>
      <c r="F101" s="242">
        <v>-2716.0731096399813</v>
      </c>
      <c r="G101" s="242">
        <v>-651.32605064665586</v>
      </c>
      <c r="H101" s="242">
        <v>-577.39888352850357</v>
      </c>
      <c r="I101" s="242">
        <v>25.512657365348787</v>
      </c>
      <c r="J101" s="242">
        <v>2745.3853292565782</v>
      </c>
      <c r="K101" s="242">
        <v>1333.4427926286317</v>
      </c>
      <c r="L101" s="242">
        <v>3209.4581672431523</v>
      </c>
      <c r="M101" s="242">
        <v>1664.1337151006328</v>
      </c>
      <c r="N101" s="242">
        <v>1032.9529412432421</v>
      </c>
      <c r="O101" s="242">
        <v>1986.1130971223483</v>
      </c>
      <c r="P101" s="242">
        <v>3384.5238402514005</v>
      </c>
      <c r="Q101" s="242">
        <v>2663.4773404416692</v>
      </c>
      <c r="R101" s="242">
        <v>-1827.2249664553565</v>
      </c>
      <c r="S101" s="242">
        <v>2049.5381373776863</v>
      </c>
      <c r="T101" s="242">
        <v>-4081.3542400108563</v>
      </c>
      <c r="U101" s="242">
        <v>2304.1375638482295</v>
      </c>
      <c r="V101" s="242">
        <v>-1205.5905122478362</v>
      </c>
      <c r="W101" s="242">
        <v>1982.6421000879036</v>
      </c>
      <c r="X101" s="242">
        <v>-583.91578171511537</v>
      </c>
      <c r="Y101" s="242">
        <v>1931.4747462161822</v>
      </c>
      <c r="Z101" s="242">
        <v>-119.14931517405239</v>
      </c>
      <c r="AA101" s="242">
        <v>2777.0877869911865</v>
      </c>
      <c r="AB101" s="242">
        <v>1714.5304310054835</v>
      </c>
      <c r="AC101" s="242">
        <v>2362.1887573595468</v>
      </c>
      <c r="AD101" s="242">
        <v>-1710.7771096399829</v>
      </c>
      <c r="AE101" s="242">
        <v>75.149949353344709</v>
      </c>
      <c r="AF101" s="242">
        <v>374.90311647149429</v>
      </c>
      <c r="AG101" s="242">
        <v>782.4626573653477</v>
      </c>
      <c r="AH101" s="242">
        <v>3496.5853292565789</v>
      </c>
      <c r="AI101" s="242">
        <v>1861.5497926286334</v>
      </c>
      <c r="AJ101" s="242">
        <v>3419.921167243152</v>
      </c>
      <c r="AK101" s="242">
        <v>1933.5117151006352</v>
      </c>
      <c r="AL101" s="242">
        <v>1717.4869412432417</v>
      </c>
      <c r="AM101" s="242">
        <v>2485.6210971223463</v>
      </c>
      <c r="AN101" s="242">
        <v>4477.7578402514009</v>
      </c>
      <c r="AO101" s="242">
        <v>3305.208340441669</v>
      </c>
      <c r="AP101" s="242">
        <v>-1111.5109664553584</v>
      </c>
      <c r="AQ101" s="242">
        <v>2638.7361373776848</v>
      </c>
      <c r="AR101" s="242">
        <v>-4079.5552400108572</v>
      </c>
      <c r="AS101" s="242">
        <v>2304.3665638482289</v>
      </c>
      <c r="AT101" s="242">
        <v>-1200.7215122478374</v>
      </c>
      <c r="AU101" s="242">
        <v>1976.2251000879041</v>
      </c>
      <c r="AV101" s="242">
        <v>-1098.7487817151159</v>
      </c>
      <c r="AW101" s="242">
        <v>2444.6977462161822</v>
      </c>
      <c r="AX101" s="242">
        <v>408.56068482594674</v>
      </c>
      <c r="AY101" s="242">
        <v>2251.4437869911862</v>
      </c>
      <c r="BA101" s="158"/>
      <c r="BB101" s="158"/>
    </row>
    <row r="102" spans="2:54">
      <c r="B102" s="225">
        <v>10331</v>
      </c>
      <c r="C102" s="225" t="s">
        <v>105</v>
      </c>
      <c r="D102" s="242">
        <v>0</v>
      </c>
      <c r="E102" s="242">
        <v>0</v>
      </c>
      <c r="F102" s="242">
        <v>0</v>
      </c>
      <c r="G102" s="242">
        <v>0</v>
      </c>
      <c r="H102" s="242">
        <v>0</v>
      </c>
      <c r="I102" s="242">
        <v>0</v>
      </c>
      <c r="J102" s="242">
        <v>0</v>
      </c>
      <c r="K102" s="242">
        <v>0</v>
      </c>
      <c r="L102" s="242">
        <v>0</v>
      </c>
      <c r="M102" s="242">
        <v>0</v>
      </c>
      <c r="N102" s="242">
        <v>0</v>
      </c>
      <c r="O102" s="242">
        <v>0</v>
      </c>
      <c r="P102" s="242">
        <v>0</v>
      </c>
      <c r="Q102" s="242">
        <v>0</v>
      </c>
      <c r="R102" s="242">
        <v>0</v>
      </c>
      <c r="S102" s="242">
        <v>0</v>
      </c>
      <c r="T102" s="242">
        <v>0</v>
      </c>
      <c r="U102" s="242">
        <v>0</v>
      </c>
      <c r="V102" s="242">
        <v>0</v>
      </c>
      <c r="W102" s="242">
        <v>0</v>
      </c>
      <c r="X102" s="242">
        <v>0</v>
      </c>
      <c r="Y102" s="242">
        <v>0</v>
      </c>
      <c r="Z102" s="242">
        <v>0</v>
      </c>
      <c r="AA102" s="242">
        <v>0</v>
      </c>
      <c r="AB102" s="242">
        <v>0</v>
      </c>
      <c r="AC102" s="242">
        <v>0</v>
      </c>
      <c r="AD102" s="242">
        <v>0</v>
      </c>
      <c r="AE102" s="242">
        <v>0</v>
      </c>
      <c r="AF102" s="242">
        <v>0</v>
      </c>
      <c r="AG102" s="242">
        <v>0</v>
      </c>
      <c r="AH102" s="242">
        <v>0</v>
      </c>
      <c r="AI102" s="242">
        <v>0</v>
      </c>
      <c r="AJ102" s="242">
        <v>0</v>
      </c>
      <c r="AK102" s="242">
        <v>0</v>
      </c>
      <c r="AL102" s="242">
        <v>0</v>
      </c>
      <c r="AM102" s="242">
        <v>0</v>
      </c>
      <c r="AN102" s="242">
        <v>0</v>
      </c>
      <c r="AO102" s="242">
        <v>0</v>
      </c>
      <c r="AP102" s="242">
        <v>0</v>
      </c>
      <c r="AQ102" s="242">
        <v>0</v>
      </c>
      <c r="AR102" s="242">
        <v>0</v>
      </c>
      <c r="AS102" s="242">
        <v>0</v>
      </c>
      <c r="AT102" s="242">
        <v>0</v>
      </c>
      <c r="AU102" s="242">
        <v>0</v>
      </c>
      <c r="AV102" s="242">
        <v>0</v>
      </c>
      <c r="AW102" s="242">
        <v>0</v>
      </c>
      <c r="AX102" s="242">
        <v>0</v>
      </c>
      <c r="AY102" s="242">
        <v>0</v>
      </c>
      <c r="BA102" s="158"/>
      <c r="BB102" s="158"/>
    </row>
    <row r="103" spans="2:54">
      <c r="B103" s="225">
        <v>10333</v>
      </c>
      <c r="C103" s="225" t="s">
        <v>106</v>
      </c>
      <c r="D103" s="242">
        <v>0</v>
      </c>
      <c r="E103" s="242">
        <v>0</v>
      </c>
      <c r="F103" s="242">
        <v>0</v>
      </c>
      <c r="G103" s="242">
        <v>0</v>
      </c>
      <c r="H103" s="242">
        <v>0</v>
      </c>
      <c r="I103" s="242">
        <v>0</v>
      </c>
      <c r="J103" s="242">
        <v>0</v>
      </c>
      <c r="K103" s="242">
        <v>0</v>
      </c>
      <c r="L103" s="242">
        <v>0</v>
      </c>
      <c r="M103" s="242">
        <v>0</v>
      </c>
      <c r="N103" s="242">
        <v>0</v>
      </c>
      <c r="O103" s="242">
        <v>0</v>
      </c>
      <c r="P103" s="242">
        <v>0</v>
      </c>
      <c r="Q103" s="242">
        <v>0</v>
      </c>
      <c r="R103" s="242">
        <v>0</v>
      </c>
      <c r="S103" s="242">
        <v>0</v>
      </c>
      <c r="T103" s="242">
        <v>0</v>
      </c>
      <c r="U103" s="242">
        <v>0</v>
      </c>
      <c r="V103" s="242">
        <v>0</v>
      </c>
      <c r="W103" s="242">
        <v>0</v>
      </c>
      <c r="X103" s="242">
        <v>0</v>
      </c>
      <c r="Y103" s="242">
        <v>0</v>
      </c>
      <c r="Z103" s="242">
        <v>0</v>
      </c>
      <c r="AA103" s="242">
        <v>0</v>
      </c>
      <c r="AB103" s="242">
        <v>0</v>
      </c>
      <c r="AC103" s="242">
        <v>0</v>
      </c>
      <c r="AD103" s="242">
        <v>0</v>
      </c>
      <c r="AE103" s="242">
        <v>0</v>
      </c>
      <c r="AF103" s="242">
        <v>0</v>
      </c>
      <c r="AG103" s="242">
        <v>0</v>
      </c>
      <c r="AH103" s="242">
        <v>0</v>
      </c>
      <c r="AI103" s="242">
        <v>0</v>
      </c>
      <c r="AJ103" s="242">
        <v>0</v>
      </c>
      <c r="AK103" s="242">
        <v>0</v>
      </c>
      <c r="AL103" s="242">
        <v>0</v>
      </c>
      <c r="AM103" s="242">
        <v>0</v>
      </c>
      <c r="AN103" s="242">
        <v>0</v>
      </c>
      <c r="AO103" s="242">
        <v>0</v>
      </c>
      <c r="AP103" s="242">
        <v>0</v>
      </c>
      <c r="AQ103" s="242">
        <v>0</v>
      </c>
      <c r="AR103" s="242">
        <v>0</v>
      </c>
      <c r="AS103" s="242">
        <v>0</v>
      </c>
      <c r="AT103" s="242">
        <v>0</v>
      </c>
      <c r="AU103" s="242">
        <v>0</v>
      </c>
      <c r="AV103" s="242">
        <v>0</v>
      </c>
      <c r="AW103" s="242">
        <v>0</v>
      </c>
      <c r="AX103" s="242">
        <v>0</v>
      </c>
      <c r="AY103" s="242">
        <v>0</v>
      </c>
      <c r="BA103" s="158"/>
      <c r="BB103" s="158"/>
    </row>
    <row r="104" spans="2:54">
      <c r="B104" s="225">
        <v>10338</v>
      </c>
      <c r="C104" s="225" t="s">
        <v>107</v>
      </c>
      <c r="D104" s="242">
        <v>-171.20044985747427</v>
      </c>
      <c r="E104" s="242">
        <v>36.167236923182713</v>
      </c>
      <c r="F104" s="242">
        <v>-348.91878278959246</v>
      </c>
      <c r="G104" s="242">
        <v>-99.350360083513806</v>
      </c>
      <c r="H104" s="242">
        <v>159.86614808559193</v>
      </c>
      <c r="I104" s="242">
        <v>223.36140304391665</v>
      </c>
      <c r="J104" s="242">
        <v>397.76437030448039</v>
      </c>
      <c r="K104" s="242">
        <v>334.00908903921845</v>
      </c>
      <c r="L104" s="242">
        <v>266.21578813339852</v>
      </c>
      <c r="M104" s="242">
        <v>196.89204066639695</v>
      </c>
      <c r="N104" s="242">
        <v>-100.84480451553259</v>
      </c>
      <c r="O104" s="242">
        <v>69.843507656356451</v>
      </c>
      <c r="P104" s="242">
        <v>245.41535083938732</v>
      </c>
      <c r="Q104" s="242">
        <v>209.81914218083017</v>
      </c>
      <c r="R104" s="242">
        <v>127.44812045990102</v>
      </c>
      <c r="S104" s="242">
        <v>316.44412534664855</v>
      </c>
      <c r="T104" s="242">
        <v>241.36483454983613</v>
      </c>
      <c r="U104" s="242">
        <v>518.22263600032932</v>
      </c>
      <c r="V104" s="242">
        <v>455.44352574328832</v>
      </c>
      <c r="W104" s="242">
        <v>492.12569718991153</v>
      </c>
      <c r="X104" s="242">
        <v>400.02645027401741</v>
      </c>
      <c r="Y104" s="242">
        <v>358.2880482365797</v>
      </c>
      <c r="Z104" s="242">
        <v>-79.923189410869895</v>
      </c>
      <c r="AA104" s="242">
        <v>128.59051018972912</v>
      </c>
      <c r="AB104" s="242">
        <v>-128.6414498574743</v>
      </c>
      <c r="AC104" s="242">
        <v>13.472236923182777</v>
      </c>
      <c r="AD104" s="242">
        <v>-337.87378278959238</v>
      </c>
      <c r="AE104" s="242">
        <v>-90.813360083513885</v>
      </c>
      <c r="AF104" s="242">
        <v>171.84214808559182</v>
      </c>
      <c r="AG104" s="242">
        <v>233.3444030439166</v>
      </c>
      <c r="AH104" s="242">
        <v>410.11237030448035</v>
      </c>
      <c r="AI104" s="242">
        <v>343.67908903921841</v>
      </c>
      <c r="AJ104" s="242">
        <v>247.9377881333985</v>
      </c>
      <c r="AK104" s="242">
        <v>192.64704066639695</v>
      </c>
      <c r="AL104" s="242">
        <v>-89.647804515532584</v>
      </c>
      <c r="AM104" s="242">
        <v>78.547507656356402</v>
      </c>
      <c r="AN104" s="242">
        <v>257.49535083938724</v>
      </c>
      <c r="AO104" s="242">
        <v>218.01614218083017</v>
      </c>
      <c r="AP104" s="242">
        <v>140.36912045990107</v>
      </c>
      <c r="AQ104" s="242">
        <v>325.22612534664859</v>
      </c>
      <c r="AR104" s="242">
        <v>255.13883454983625</v>
      </c>
      <c r="AS104" s="242">
        <v>527.46063600032915</v>
      </c>
      <c r="AT104" s="242">
        <v>469.45352574328831</v>
      </c>
      <c r="AU104" s="242">
        <v>501.41369718991155</v>
      </c>
      <c r="AV104" s="242">
        <v>359.60745027401754</v>
      </c>
      <c r="AW104" s="242">
        <v>421.26204823657974</v>
      </c>
      <c r="AX104" s="242">
        <v>-31.162189410869928</v>
      </c>
      <c r="AY104" s="242">
        <v>99.869510189729112</v>
      </c>
      <c r="BA104" s="158"/>
      <c r="BB104" s="158"/>
    </row>
    <row r="105" spans="2:54">
      <c r="B105" s="225">
        <v>10342</v>
      </c>
      <c r="C105" s="225" t="s">
        <v>108</v>
      </c>
      <c r="D105" s="242">
        <v>89.421298662904519</v>
      </c>
      <c r="E105" s="242">
        <v>262.02358486077173</v>
      </c>
      <c r="F105" s="242">
        <v>-2273.1120004394761</v>
      </c>
      <c r="G105" s="242">
        <v>-1846.2485523237738</v>
      </c>
      <c r="H105" s="242">
        <v>2467.2060557646328</v>
      </c>
      <c r="I105" s="242">
        <v>101.98088388511314</v>
      </c>
      <c r="J105" s="242">
        <v>6527.7400015605435</v>
      </c>
      <c r="K105" s="242">
        <v>1717.5677759097052</v>
      </c>
      <c r="L105" s="242">
        <v>5863.3741614327573</v>
      </c>
      <c r="M105" s="242">
        <v>1271.6934513338947</v>
      </c>
      <c r="N105" s="242">
        <v>616.80510991455776</v>
      </c>
      <c r="O105" s="242">
        <v>27.643484214484488</v>
      </c>
      <c r="P105" s="242">
        <v>3388.0200701959948</v>
      </c>
      <c r="Q105" s="242">
        <v>880.61824733650519</v>
      </c>
      <c r="R105" s="242">
        <v>-4594.071162620703</v>
      </c>
      <c r="S105" s="242">
        <v>-962.02997990706172</v>
      </c>
      <c r="T105" s="242">
        <v>-6853.6338433115743</v>
      </c>
      <c r="U105" s="242">
        <v>8.8620360780114424</v>
      </c>
      <c r="V105" s="242">
        <v>-1628.1250120799996</v>
      </c>
      <c r="W105" s="242">
        <v>127.62781442121923</v>
      </c>
      <c r="X105" s="242">
        <v>-553.43685126142373</v>
      </c>
      <c r="Y105" s="242">
        <v>23.510017798667832</v>
      </c>
      <c r="Z105" s="242">
        <v>-1906.9891439246039</v>
      </c>
      <c r="AA105" s="242">
        <v>-86.821826354607765</v>
      </c>
      <c r="AB105" s="242">
        <v>791.14329866290427</v>
      </c>
      <c r="AC105" s="242">
        <v>-290.54341513922736</v>
      </c>
      <c r="AD105" s="242">
        <v>-2184.4600004394742</v>
      </c>
      <c r="AE105" s="242">
        <v>-1785.9955523237732</v>
      </c>
      <c r="AF105" s="242">
        <v>2569.3690557646332</v>
      </c>
      <c r="AG105" s="242">
        <v>174.12088388511438</v>
      </c>
      <c r="AH105" s="242">
        <v>6634.6640015605426</v>
      </c>
      <c r="AI105" s="242">
        <v>1790.7687759097062</v>
      </c>
      <c r="AJ105" s="242">
        <v>5189.418161432759</v>
      </c>
      <c r="AK105" s="242">
        <v>1057.2674513338952</v>
      </c>
      <c r="AL105" s="242">
        <v>708.3261099145584</v>
      </c>
      <c r="AM105" s="242">
        <v>87.271484214485099</v>
      </c>
      <c r="AN105" s="242">
        <v>3493.3210701959961</v>
      </c>
      <c r="AO105" s="242">
        <v>919.07324733650512</v>
      </c>
      <c r="AP105" s="242">
        <v>-4529.2541626207021</v>
      </c>
      <c r="AQ105" s="242">
        <v>-889.47997990706244</v>
      </c>
      <c r="AR105" s="242">
        <v>-6768.0108433115729</v>
      </c>
      <c r="AS105" s="242">
        <v>64.240036078010235</v>
      </c>
      <c r="AT105" s="242">
        <v>-1534.5630120799979</v>
      </c>
      <c r="AU105" s="242">
        <v>189.77981442121927</v>
      </c>
      <c r="AV105" s="242">
        <v>-1114.5138512614212</v>
      </c>
      <c r="AW105" s="242">
        <v>740.34001779866776</v>
      </c>
      <c r="AX105" s="242">
        <v>-1229.6871439246042</v>
      </c>
      <c r="AY105" s="242">
        <v>-622.31482635460816</v>
      </c>
      <c r="BA105" s="158"/>
      <c r="BB105" s="158"/>
    </row>
    <row r="106" spans="2:54">
      <c r="B106" s="225">
        <v>10343</v>
      </c>
      <c r="C106" s="225" t="s">
        <v>109</v>
      </c>
      <c r="D106" s="242">
        <v>-1310.2276738784244</v>
      </c>
      <c r="E106" s="242">
        <v>-158.97570787861514</v>
      </c>
      <c r="F106" s="242">
        <v>-1767.3335952369016</v>
      </c>
      <c r="G106" s="242">
        <v>-471.98584256318009</v>
      </c>
      <c r="H106" s="242">
        <v>173.04681409669138</v>
      </c>
      <c r="I106" s="242">
        <v>298.98138389323685</v>
      </c>
      <c r="J106" s="242">
        <v>1099.6740861837807</v>
      </c>
      <c r="K106" s="242">
        <v>1106.7627434598326</v>
      </c>
      <c r="L106" s="242">
        <v>916.46016097754091</v>
      </c>
      <c r="M106" s="242">
        <v>850.59631837070174</v>
      </c>
      <c r="N106" s="242">
        <v>-396.01185648945375</v>
      </c>
      <c r="O106" s="242">
        <v>316.69499064426464</v>
      </c>
      <c r="P106" s="242">
        <v>321.9859423259868</v>
      </c>
      <c r="Q106" s="242">
        <v>714.40137398679599</v>
      </c>
      <c r="R106" s="242">
        <v>-971.70091671220234</v>
      </c>
      <c r="S106" s="242">
        <v>1126.713834752461</v>
      </c>
      <c r="T106" s="242">
        <v>-1874.3417300684814</v>
      </c>
      <c r="U106" s="242">
        <v>876.73405744979846</v>
      </c>
      <c r="V106" s="242">
        <v>-823.3792613251635</v>
      </c>
      <c r="W106" s="242">
        <v>1014.326904279143</v>
      </c>
      <c r="X106" s="242">
        <v>-905.55227836024915</v>
      </c>
      <c r="Y106" s="242">
        <v>694.62758274608723</v>
      </c>
      <c r="Z106" s="242">
        <v>-1216.4400919056561</v>
      </c>
      <c r="AA106" s="242">
        <v>169.2266123144941</v>
      </c>
      <c r="AB106" s="242">
        <v>-1311.2276738784244</v>
      </c>
      <c r="AC106" s="242">
        <v>-157.97570787861514</v>
      </c>
      <c r="AD106" s="242">
        <v>-1767.3335952369016</v>
      </c>
      <c r="AE106" s="242">
        <v>-471.98584256318009</v>
      </c>
      <c r="AF106" s="242">
        <v>173.04681409669138</v>
      </c>
      <c r="AG106" s="242">
        <v>298.98138389323685</v>
      </c>
      <c r="AH106" s="242">
        <v>3034.6500861837803</v>
      </c>
      <c r="AI106" s="242">
        <v>2824.3857434598322</v>
      </c>
      <c r="AJ106" s="242">
        <v>2383.5431609775414</v>
      </c>
      <c r="AK106" s="242">
        <v>2059.8143183707016</v>
      </c>
      <c r="AL106" s="242">
        <v>1448.2391435105465</v>
      </c>
      <c r="AM106" s="242">
        <v>1683.3609906442643</v>
      </c>
      <c r="AN106" s="242">
        <v>2085.7919423259873</v>
      </c>
      <c r="AO106" s="242">
        <v>1977.7393739867962</v>
      </c>
      <c r="AP106" s="242">
        <v>828.97908328779795</v>
      </c>
      <c r="AQ106" s="242">
        <v>2659.7018347524604</v>
      </c>
      <c r="AR106" s="242">
        <v>-212.70573006848099</v>
      </c>
      <c r="AS106" s="242">
        <v>2131.0830574497986</v>
      </c>
      <c r="AT106" s="242">
        <v>638.3667386748366</v>
      </c>
      <c r="AU106" s="242">
        <v>2153.6899042791424</v>
      </c>
      <c r="AV106" s="242">
        <v>836.98872163975102</v>
      </c>
      <c r="AW106" s="242">
        <v>2021.619582746087</v>
      </c>
      <c r="AX106" s="242">
        <v>431.5759080943435</v>
      </c>
      <c r="AY106" s="242">
        <v>1541.1446123144942</v>
      </c>
      <c r="BA106" s="158"/>
      <c r="BB106" s="158"/>
    </row>
    <row r="107" spans="2:54">
      <c r="B107" s="225">
        <v>10349</v>
      </c>
      <c r="C107" s="225" t="s">
        <v>110</v>
      </c>
      <c r="D107" s="242">
        <v>-6059.7714532932441</v>
      </c>
      <c r="E107" s="242">
        <v>17516.683891194203</v>
      </c>
      <c r="F107" s="242">
        <v>65800.630181343353</v>
      </c>
      <c r="G107" s="242">
        <v>52868.442856413545</v>
      </c>
      <c r="H107" s="242">
        <v>92218.524571404734</v>
      </c>
      <c r="I107" s="242">
        <v>42940.716541056259</v>
      </c>
      <c r="J107" s="242">
        <v>158232.35850966073</v>
      </c>
      <c r="K107" s="242">
        <v>88894.905909203517</v>
      </c>
      <c r="L107" s="242">
        <v>128124.61082524637</v>
      </c>
      <c r="M107" s="242">
        <v>76583.771450430446</v>
      </c>
      <c r="N107" s="242">
        <v>102913.38622078075</v>
      </c>
      <c r="O107" s="242">
        <v>76409.884488040741</v>
      </c>
      <c r="P107" s="242">
        <v>-10126.134265777306</v>
      </c>
      <c r="Q107" s="242">
        <v>202.49866283257143</v>
      </c>
      <c r="R107" s="242">
        <v>-191335.26913677028</v>
      </c>
      <c r="S107" s="242">
        <v>-83728.592695893429</v>
      </c>
      <c r="T107" s="242">
        <v>-271322.99045023677</v>
      </c>
      <c r="U107" s="242">
        <v>-109146.98220290265</v>
      </c>
      <c r="V107" s="242">
        <v>-123949.72227716666</v>
      </c>
      <c r="W107" s="242">
        <v>-42870.689428358266</v>
      </c>
      <c r="X107" s="242">
        <v>-96581.056078944588</v>
      </c>
      <c r="Y107" s="242">
        <v>-21656.493306903198</v>
      </c>
      <c r="Z107" s="242">
        <v>20118.042906896502</v>
      </c>
      <c r="AA107" s="242">
        <v>33954.296066677853</v>
      </c>
      <c r="AB107" s="242">
        <v>-6016.0948245598993</v>
      </c>
      <c r="AC107" s="242">
        <v>17390.593511202067</v>
      </c>
      <c r="AD107" s="242">
        <v>65326.935236631893</v>
      </c>
      <c r="AE107" s="242">
        <v>52487.836001291464</v>
      </c>
      <c r="AF107" s="242">
        <v>91554.620581377269</v>
      </c>
      <c r="AG107" s="242">
        <v>42631.590590589098</v>
      </c>
      <c r="AH107" s="242">
        <v>157093.15784985581</v>
      </c>
      <c r="AI107" s="242">
        <v>88254.911651927105</v>
      </c>
      <c r="AJ107" s="242">
        <v>127202.17542737219</v>
      </c>
      <c r="AK107" s="242">
        <v>76032.409948998858</v>
      </c>
      <c r="AL107" s="242">
        <v>102172.47695477892</v>
      </c>
      <c r="AM107" s="242">
        <v>75859.777662859953</v>
      </c>
      <c r="AN107" s="242">
        <v>-10053.190532590146</v>
      </c>
      <c r="AO107" s="242">
        <v>201.0640268571733</v>
      </c>
      <c r="AP107" s="242">
        <v>-189957.63389581535</v>
      </c>
      <c r="AQ107" s="242">
        <v>-83125.734874024754</v>
      </c>
      <c r="AR107" s="242">
        <v>-269369.45100467122</v>
      </c>
      <c r="AS107" s="242">
        <v>-108361.11833363015</v>
      </c>
      <c r="AT107" s="242">
        <v>-123057.25034212389</v>
      </c>
      <c r="AU107" s="242">
        <v>-42561.99988052393</v>
      </c>
      <c r="AV107" s="242">
        <v>-95885.634773188736</v>
      </c>
      <c r="AW107" s="242">
        <v>-21500.543611813293</v>
      </c>
      <c r="AX107" s="242">
        <v>19973.245398822852</v>
      </c>
      <c r="AY107" s="242">
        <v>33709.859015427588</v>
      </c>
      <c r="BA107" s="158"/>
      <c r="BB107" s="158"/>
    </row>
    <row r="108" spans="2:54">
      <c r="B108" s="225">
        <v>10352</v>
      </c>
      <c r="C108" s="225" t="s">
        <v>111</v>
      </c>
      <c r="D108" s="242">
        <v>327.66700816024058</v>
      </c>
      <c r="E108" s="242">
        <v>338.46662651317911</v>
      </c>
      <c r="F108" s="242">
        <v>-440.01070215920845</v>
      </c>
      <c r="G108" s="242">
        <v>-320.41791590386038</v>
      </c>
      <c r="H108" s="242">
        <v>1565.0860501577472</v>
      </c>
      <c r="I108" s="242">
        <v>707.28704410871524</v>
      </c>
      <c r="J108" s="242">
        <v>4301.1828269538901</v>
      </c>
      <c r="K108" s="242">
        <v>1942.0681880081447</v>
      </c>
      <c r="L108" s="242">
        <v>3506.7341699662602</v>
      </c>
      <c r="M108" s="242">
        <v>1369.2271937987266</v>
      </c>
      <c r="N108" s="242">
        <v>1290.7812703459786</v>
      </c>
      <c r="O108" s="242">
        <v>808.91720614819042</v>
      </c>
      <c r="P108" s="242">
        <v>2221.4217741310977</v>
      </c>
      <c r="Q108" s="242">
        <v>901.46803765436698</v>
      </c>
      <c r="R108" s="242">
        <v>-1778.8744700092857</v>
      </c>
      <c r="S108" s="242">
        <v>-362.20877811613218</v>
      </c>
      <c r="T108" s="242">
        <v>-3245.0440930632603</v>
      </c>
      <c r="U108" s="242">
        <v>-318.97436371794674</v>
      </c>
      <c r="V108" s="242">
        <v>-1899.0682620298221</v>
      </c>
      <c r="W108" s="242">
        <v>-598.68352113558603</v>
      </c>
      <c r="X108" s="242">
        <v>-1318.7807177814911</v>
      </c>
      <c r="Y108" s="242">
        <v>-530.14416359609368</v>
      </c>
      <c r="Z108" s="242">
        <v>-1412.2114799911978</v>
      </c>
      <c r="AA108" s="242">
        <v>-435.74723086827726</v>
      </c>
      <c r="AB108" s="242">
        <v>608.84200816024077</v>
      </c>
      <c r="AC108" s="242">
        <v>87.289626513178973</v>
      </c>
      <c r="AD108" s="242">
        <v>-419.32370215920855</v>
      </c>
      <c r="AE108" s="242">
        <v>-307.51191590386043</v>
      </c>
      <c r="AF108" s="242">
        <v>1589.3540501577472</v>
      </c>
      <c r="AG108" s="242">
        <v>724.21304410871562</v>
      </c>
      <c r="AH108" s="242">
        <v>4329.4178269538888</v>
      </c>
      <c r="AI108" s="242">
        <v>1959.8441880081446</v>
      </c>
      <c r="AJ108" s="242">
        <v>3177.4111699662599</v>
      </c>
      <c r="AK108" s="242">
        <v>1253.7191937987268</v>
      </c>
      <c r="AL108" s="242">
        <v>1312.6612703459787</v>
      </c>
      <c r="AM108" s="242">
        <v>822.65920614819061</v>
      </c>
      <c r="AN108" s="242">
        <v>2241.8047741310975</v>
      </c>
      <c r="AO108" s="242">
        <v>912.83803765436687</v>
      </c>
      <c r="AP108" s="242">
        <v>-1762.1354700092861</v>
      </c>
      <c r="AQ108" s="242">
        <v>-352.73777811613218</v>
      </c>
      <c r="AR108" s="242">
        <v>-3229.5010930632607</v>
      </c>
      <c r="AS108" s="242">
        <v>-310.01236371794676</v>
      </c>
      <c r="AT108" s="242">
        <v>-1882.6002620298223</v>
      </c>
      <c r="AU108" s="242">
        <v>-589.45652113558572</v>
      </c>
      <c r="AV108" s="242">
        <v>-1531.8267177814914</v>
      </c>
      <c r="AW108" s="242">
        <v>-290.70916359609373</v>
      </c>
      <c r="AX108" s="242">
        <v>-1180.7724799911985</v>
      </c>
      <c r="AY108" s="242">
        <v>-643.1822308682772</v>
      </c>
      <c r="BA108" s="158"/>
      <c r="BB108" s="158"/>
    </row>
    <row r="109" spans="2:54">
      <c r="B109" s="225">
        <v>10354</v>
      </c>
      <c r="C109" s="225" t="s">
        <v>112</v>
      </c>
      <c r="D109" s="242">
        <v>-13428.634452905419</v>
      </c>
      <c r="E109" s="242">
        <v>26727.881989132249</v>
      </c>
      <c r="F109" s="242">
        <v>-30909.541041839344</v>
      </c>
      <c r="G109" s="242">
        <v>9274.9469106025645</v>
      </c>
      <c r="H109" s="242">
        <v>15202.747750400071</v>
      </c>
      <c r="I109" s="242">
        <v>18815.133462711383</v>
      </c>
      <c r="J109" s="242">
        <v>36092.39897482167</v>
      </c>
      <c r="K109" s="242">
        <v>46131.271245266238</v>
      </c>
      <c r="L109" s="242">
        <v>33001.070793838109</v>
      </c>
      <c r="M109" s="242">
        <v>28476.496274391058</v>
      </c>
      <c r="N109" s="242">
        <v>3487.9058858150383</v>
      </c>
      <c r="O109" s="242">
        <v>17628.113714256164</v>
      </c>
      <c r="P109" s="242">
        <v>18200.559052423545</v>
      </c>
      <c r="Q109" s="242">
        <v>27184.301837016756</v>
      </c>
      <c r="R109" s="242">
        <v>-65205.93668177673</v>
      </c>
      <c r="S109" s="242">
        <v>17149.650376361838</v>
      </c>
      <c r="T109" s="242">
        <v>-86650.031207086256</v>
      </c>
      <c r="U109" s="242">
        <v>9021.5601872043917</v>
      </c>
      <c r="V109" s="242">
        <v>-70994.360284238661</v>
      </c>
      <c r="W109" s="242">
        <v>8975.215763654458</v>
      </c>
      <c r="X109" s="242">
        <v>-56589.25424136396</v>
      </c>
      <c r="Y109" s="242">
        <v>4415.2425597886177</v>
      </c>
      <c r="Z109" s="242">
        <v>-36871.052432127588</v>
      </c>
      <c r="AA109" s="242">
        <v>9459.3809510804131</v>
      </c>
      <c r="AB109" s="242">
        <v>-10477.361017395422</v>
      </c>
      <c r="AC109" s="242">
        <v>28832.743020248672</v>
      </c>
      <c r="AD109" s="242">
        <v>-27529.146976847143</v>
      </c>
      <c r="AE109" s="242">
        <v>11784.869256247446</v>
      </c>
      <c r="AF109" s="242">
        <v>18859.017047911038</v>
      </c>
      <c r="AG109" s="242">
        <v>21657.318708637176</v>
      </c>
      <c r="AH109" s="242">
        <v>39412.887428232032</v>
      </c>
      <c r="AI109" s="242">
        <v>48897.064606239772</v>
      </c>
      <c r="AJ109" s="242">
        <v>35953.816341496378</v>
      </c>
      <c r="AK109" s="242">
        <v>30668.880043422367</v>
      </c>
      <c r="AL109" s="242">
        <v>6707.8263062569895</v>
      </c>
      <c r="AM109" s="242">
        <v>19856.180765106881</v>
      </c>
      <c r="AN109" s="242">
        <v>15195.514860068826</v>
      </c>
      <c r="AO109" s="242">
        <v>34804.004317537256</v>
      </c>
      <c r="AP109" s="242">
        <v>-57075.548365697381</v>
      </c>
      <c r="AQ109" s="242">
        <v>13939.581669454201</v>
      </c>
      <c r="AR109" s="242">
        <v>-83565.25109880339</v>
      </c>
      <c r="AS109" s="242">
        <v>10845.237324554022</v>
      </c>
      <c r="AT109" s="242">
        <v>-68181.256933074095</v>
      </c>
      <c r="AU109" s="242">
        <v>10977.662670655074</v>
      </c>
      <c r="AV109" s="242">
        <v>-53670.64684318236</v>
      </c>
      <c r="AW109" s="242">
        <v>6253.5870149449765</v>
      </c>
      <c r="AX109" s="242">
        <v>-34146.574874189566</v>
      </c>
      <c r="AY109" s="242">
        <v>11407.094869577792</v>
      </c>
      <c r="BA109" s="158"/>
      <c r="BB109" s="158"/>
    </row>
    <row r="110" spans="2:54">
      <c r="B110" s="225">
        <v>10360</v>
      </c>
      <c r="C110" s="225" t="s">
        <v>113</v>
      </c>
      <c r="D110" s="242">
        <v>-855.15599439855509</v>
      </c>
      <c r="E110" s="242">
        <v>-136.83620825032267</v>
      </c>
      <c r="F110" s="242">
        <v>-1533.1006788751138</v>
      </c>
      <c r="G110" s="242">
        <v>-669.84815696337569</v>
      </c>
      <c r="H110" s="242">
        <v>-657.95969350643509</v>
      </c>
      <c r="I110" s="242">
        <v>-286.89091224838489</v>
      </c>
      <c r="J110" s="242">
        <v>-54.230218771474938</v>
      </c>
      <c r="K110" s="242">
        <v>26.5198639198195</v>
      </c>
      <c r="L110" s="242">
        <v>-129.61046754098697</v>
      </c>
      <c r="M110" s="242">
        <v>-69.020323148730085</v>
      </c>
      <c r="N110" s="242">
        <v>-988.56581883128547</v>
      </c>
      <c r="O110" s="242">
        <v>-330.75633348013162</v>
      </c>
      <c r="P110" s="242">
        <v>87.614271417234249</v>
      </c>
      <c r="Q110" s="242">
        <v>195.08236497474581</v>
      </c>
      <c r="R110" s="242">
        <v>369.51770315135172</v>
      </c>
      <c r="S110" s="242">
        <v>1028.0547254229075</v>
      </c>
      <c r="T110" s="242">
        <v>1751.7005627129738</v>
      </c>
      <c r="U110" s="242">
        <v>2596.3555609547939</v>
      </c>
      <c r="V110" s="242">
        <v>2542.3084748719734</v>
      </c>
      <c r="W110" s="242">
        <v>2690.8470471515811</v>
      </c>
      <c r="X110" s="242">
        <v>2160.8192566760385</v>
      </c>
      <c r="Y110" s="242">
        <v>2029.5217285079477</v>
      </c>
      <c r="Z110" s="242">
        <v>143.72874445765865</v>
      </c>
      <c r="AA110" s="242">
        <v>878.36180711741986</v>
      </c>
      <c r="AB110" s="242">
        <v>-748.33099439855505</v>
      </c>
      <c r="AC110" s="242">
        <v>-188.41820825032255</v>
      </c>
      <c r="AD110" s="242">
        <v>-1502.4796788751137</v>
      </c>
      <c r="AE110" s="242">
        <v>-645.69515696337567</v>
      </c>
      <c r="AF110" s="242">
        <v>-626.25769350643532</v>
      </c>
      <c r="AG110" s="242">
        <v>-260.40191224838463</v>
      </c>
      <c r="AH110" s="242">
        <v>-21.660218771474774</v>
      </c>
      <c r="AI110" s="242">
        <v>52.08886391981946</v>
      </c>
      <c r="AJ110" s="242">
        <v>-151.18146754098689</v>
      </c>
      <c r="AK110" s="242">
        <v>-64.366323148730089</v>
      </c>
      <c r="AL110" s="242">
        <v>-957.91581883128538</v>
      </c>
      <c r="AM110" s="242">
        <v>-306.6853334801317</v>
      </c>
      <c r="AN110" s="242">
        <v>121.42127141723449</v>
      </c>
      <c r="AO110" s="242">
        <v>218.19136497474597</v>
      </c>
      <c r="AP110" s="242">
        <v>407.16570315135186</v>
      </c>
      <c r="AQ110" s="242">
        <v>1054.9127254229077</v>
      </c>
      <c r="AR110" s="242">
        <v>1794.5465627129734</v>
      </c>
      <c r="AS110" s="242">
        <v>2628.1765609547947</v>
      </c>
      <c r="AT110" s="242">
        <v>2586.2354748719731</v>
      </c>
      <c r="AU110" s="242">
        <v>2723.4050471515811</v>
      </c>
      <c r="AV110" s="242">
        <v>2005.9612566760384</v>
      </c>
      <c r="AW110" s="242">
        <v>2257.1057285079478</v>
      </c>
      <c r="AX110" s="242">
        <v>304.06274445765848</v>
      </c>
      <c r="AY110" s="242">
        <v>780.02080711741996</v>
      </c>
      <c r="BA110" s="158"/>
      <c r="BB110" s="158"/>
    </row>
    <row r="111" spans="2:54">
      <c r="B111" s="225">
        <v>10363</v>
      </c>
      <c r="C111" s="225" t="s">
        <v>114</v>
      </c>
      <c r="D111" s="242">
        <v>-729.54919713362324</v>
      </c>
      <c r="E111" s="242">
        <v>2023.9140894512093</v>
      </c>
      <c r="F111" s="242">
        <v>-6560.0531714507524</v>
      </c>
      <c r="G111" s="242">
        <v>-2998.8071099303852</v>
      </c>
      <c r="H111" s="242">
        <v>5866.3409899390463</v>
      </c>
      <c r="I111" s="242">
        <v>2824.7520461813583</v>
      </c>
      <c r="J111" s="242">
        <v>14495.709478938465</v>
      </c>
      <c r="K111" s="242">
        <v>5821.319331209801</v>
      </c>
      <c r="L111" s="242">
        <v>13630.633745374103</v>
      </c>
      <c r="M111" s="242">
        <v>5023.9433818331381</v>
      </c>
      <c r="N111" s="242">
        <v>3780.061102835527</v>
      </c>
      <c r="O111" s="242">
        <v>3601.7156308741978</v>
      </c>
      <c r="P111" s="242">
        <v>8449.0840752862023</v>
      </c>
      <c r="Q111" s="242">
        <v>3708.0554211138042</v>
      </c>
      <c r="R111" s="242">
        <v>-11655.459623243034</v>
      </c>
      <c r="S111" s="242">
        <v>-1312.9323049976083</v>
      </c>
      <c r="T111" s="242">
        <v>-18569.44987346074</v>
      </c>
      <c r="U111" s="242">
        <v>7.670784769437887</v>
      </c>
      <c r="V111" s="242">
        <v>-8766.961042106901</v>
      </c>
      <c r="W111" s="242">
        <v>-1129.1279236068403</v>
      </c>
      <c r="X111" s="242">
        <v>-6009.2728387871684</v>
      </c>
      <c r="Y111" s="242">
        <v>-992.98816090264881</v>
      </c>
      <c r="Z111" s="242">
        <v>-7928.0141943744238</v>
      </c>
      <c r="AA111" s="242">
        <v>-980.08132367581493</v>
      </c>
      <c r="AB111" s="242">
        <v>792.30240803088964</v>
      </c>
      <c r="AC111" s="242">
        <v>496.15240863321014</v>
      </c>
      <c r="AD111" s="242">
        <v>-6591.2085401473087</v>
      </c>
      <c r="AE111" s="242">
        <v>-3016.0352231390498</v>
      </c>
      <c r="AF111" s="242">
        <v>5833.3316405673759</v>
      </c>
      <c r="AG111" s="242">
        <v>2797.59426011904</v>
      </c>
      <c r="AH111" s="242">
        <v>14537.142716116701</v>
      </c>
      <c r="AI111" s="242">
        <v>5839.3870393786274</v>
      </c>
      <c r="AJ111" s="242">
        <v>11801.121295310557</v>
      </c>
      <c r="AK111" s="242">
        <v>4313.8773831974067</v>
      </c>
      <c r="AL111" s="242">
        <v>3792.9406718417231</v>
      </c>
      <c r="AM111" s="242">
        <v>3612.9313538742608</v>
      </c>
      <c r="AN111" s="242">
        <v>8468.63279996032</v>
      </c>
      <c r="AO111" s="242">
        <v>3716.4477475467902</v>
      </c>
      <c r="AP111" s="242">
        <v>-11689.762326358956</v>
      </c>
      <c r="AQ111" s="242">
        <v>-1319.5249248648979</v>
      </c>
      <c r="AR111" s="242">
        <v>-18619.87583275231</v>
      </c>
      <c r="AS111" s="242">
        <v>4.8709813827445032</v>
      </c>
      <c r="AT111" s="242">
        <v>-8734.5033750636649</v>
      </c>
      <c r="AU111" s="242">
        <v>-1100.2144118886426</v>
      </c>
      <c r="AV111" s="242">
        <v>-7475.4534945205742</v>
      </c>
      <c r="AW111" s="242">
        <v>537.83492546562047</v>
      </c>
      <c r="AX111" s="242">
        <v>-6575.3146731667002</v>
      </c>
      <c r="AY111" s="242">
        <v>-2357.2212762202107</v>
      </c>
      <c r="BA111" s="158"/>
      <c r="BB111" s="158"/>
    </row>
    <row r="112" spans="2:54">
      <c r="B112" s="225">
        <v>10369</v>
      </c>
      <c r="C112" s="225" t="s">
        <v>115</v>
      </c>
      <c r="D112" s="242">
        <v>-2106.8037875212012</v>
      </c>
      <c r="E112" s="242">
        <v>-544.69655471014767</v>
      </c>
      <c r="F112" s="242">
        <v>-4078.2258228485389</v>
      </c>
      <c r="G112" s="242">
        <v>-2125.2510543087828</v>
      </c>
      <c r="H112" s="242">
        <v>-2498.3130813767339</v>
      </c>
      <c r="I112" s="242">
        <v>-1594.1294733474697</v>
      </c>
      <c r="J112" s="242">
        <v>-760.23270460117692</v>
      </c>
      <c r="K112" s="242">
        <v>-745.42936625051107</v>
      </c>
      <c r="L112" s="242">
        <v>-1048.3985750854681</v>
      </c>
      <c r="M112" s="242">
        <v>-875.64169537787393</v>
      </c>
      <c r="N112" s="242">
        <v>-2663.0455699515969</v>
      </c>
      <c r="O112" s="242">
        <v>-1199.8392372289068</v>
      </c>
      <c r="P112" s="242">
        <v>-35.403360127757878</v>
      </c>
      <c r="Q112" s="242">
        <v>55.865201924249959</v>
      </c>
      <c r="R112" s="242">
        <v>324.63573023547906</v>
      </c>
      <c r="S112" s="242">
        <v>1958.8292782273952</v>
      </c>
      <c r="T112" s="242">
        <v>391.15369821541572</v>
      </c>
      <c r="U112" s="242">
        <v>3156.6067089775715</v>
      </c>
      <c r="V112" s="242">
        <v>5102.513493300039</v>
      </c>
      <c r="W112" s="242">
        <v>5413.252822332498</v>
      </c>
      <c r="X112" s="242">
        <v>5952.7370011836374</v>
      </c>
      <c r="Y112" s="242">
        <v>5317.4977473559793</v>
      </c>
      <c r="Z112" s="242">
        <v>1135.398956471533</v>
      </c>
      <c r="AA112" s="242">
        <v>2663.5810065777359</v>
      </c>
      <c r="AB112" s="242">
        <v>-1904.6797875212005</v>
      </c>
      <c r="AC112" s="242">
        <v>-746.82155471014767</v>
      </c>
      <c r="AD112" s="242">
        <v>-4078.2258228485389</v>
      </c>
      <c r="AE112" s="242">
        <v>-2125.2510543087828</v>
      </c>
      <c r="AF112" s="242">
        <v>-2498.3130813767339</v>
      </c>
      <c r="AG112" s="242">
        <v>-1594.1294733474697</v>
      </c>
      <c r="AH112" s="242">
        <v>-760.23270460117692</v>
      </c>
      <c r="AI112" s="242">
        <v>-745.42936625051107</v>
      </c>
      <c r="AJ112" s="242">
        <v>-1247.8455750854682</v>
      </c>
      <c r="AK112" s="242">
        <v>-968.16169537787391</v>
      </c>
      <c r="AL112" s="242">
        <v>-2663.0455699515969</v>
      </c>
      <c r="AM112" s="242">
        <v>-1199.8392372289068</v>
      </c>
      <c r="AN112" s="242">
        <v>-11.803360127757514</v>
      </c>
      <c r="AO112" s="242">
        <v>32.26520192425005</v>
      </c>
      <c r="AP112" s="242">
        <v>301.0357302354787</v>
      </c>
      <c r="AQ112" s="242">
        <v>1982.4292782273947</v>
      </c>
      <c r="AR112" s="242">
        <v>391.15369821541572</v>
      </c>
      <c r="AS112" s="242">
        <v>3156.6067089775715</v>
      </c>
      <c r="AT112" s="242">
        <v>5102.513493300039</v>
      </c>
      <c r="AU112" s="242">
        <v>5413.252822332498</v>
      </c>
      <c r="AV112" s="242">
        <v>5403.1310011836376</v>
      </c>
      <c r="AW112" s="242">
        <v>5867.1047473559793</v>
      </c>
      <c r="AX112" s="242">
        <v>1505.8559564715315</v>
      </c>
      <c r="AY112" s="242">
        <v>2293.1240065777356</v>
      </c>
      <c r="BA112" s="158"/>
      <c r="BB112" s="158"/>
    </row>
    <row r="113" spans="2:54">
      <c r="B113" s="225">
        <v>10370</v>
      </c>
      <c r="C113" s="225" t="s">
        <v>116</v>
      </c>
      <c r="D113" s="242">
        <v>-17775.359184009103</v>
      </c>
      <c r="E113" s="242">
        <v>2924.505542653038</v>
      </c>
      <c r="F113" s="242">
        <v>-17450.904588079444</v>
      </c>
      <c r="G113" s="242">
        <v>1466.3495850603795</v>
      </c>
      <c r="H113" s="242">
        <v>8380.6822543739399</v>
      </c>
      <c r="I113" s="242">
        <v>9707.6060747616284</v>
      </c>
      <c r="J113" s="242">
        <v>14637.074736208626</v>
      </c>
      <c r="K113" s="242">
        <v>19438.877430406566</v>
      </c>
      <c r="L113" s="242">
        <v>14837.685376393129</v>
      </c>
      <c r="M113" s="242">
        <v>12819.558956059649</v>
      </c>
      <c r="N113" s="242">
        <v>11729.350934335685</v>
      </c>
      <c r="O113" s="242">
        <v>15306.541306327759</v>
      </c>
      <c r="P113" s="242">
        <v>14100.636565689143</v>
      </c>
      <c r="Q113" s="242">
        <v>16606.96620629519</v>
      </c>
      <c r="R113" s="242">
        <v>-28127.53509028635</v>
      </c>
      <c r="S113" s="242">
        <v>9051.9300744989378</v>
      </c>
      <c r="T113" s="242">
        <v>-42009.280367853549</v>
      </c>
      <c r="U113" s="242">
        <v>2141.2163730254251</v>
      </c>
      <c r="V113" s="242">
        <v>-30750.61941104327</v>
      </c>
      <c r="W113" s="242">
        <v>5345.062015046482</v>
      </c>
      <c r="X113" s="242">
        <v>-27519.693009142153</v>
      </c>
      <c r="Y113" s="242">
        <v>682.11033321056311</v>
      </c>
      <c r="Z113" s="242">
        <v>-16851.76377054106</v>
      </c>
      <c r="AA113" s="242">
        <v>4202.9389470930328</v>
      </c>
      <c r="AB113" s="242">
        <v>-16211.86304885651</v>
      </c>
      <c r="AC113" s="242">
        <v>3897.3810185967086</v>
      </c>
      <c r="AD113" s="242">
        <v>-15525.75054629751</v>
      </c>
      <c r="AE113" s="242">
        <v>2773.9412225698543</v>
      </c>
      <c r="AF113" s="242">
        <v>10321.177476756566</v>
      </c>
      <c r="AG113" s="242">
        <v>11190.056802145155</v>
      </c>
      <c r="AH113" s="242">
        <v>16292.494567053189</v>
      </c>
      <c r="AI113" s="242">
        <v>20757.433650565465</v>
      </c>
      <c r="AJ113" s="242">
        <v>16317.205398673061</v>
      </c>
      <c r="AK113" s="242">
        <v>13903.251891996326</v>
      </c>
      <c r="AL113" s="242">
        <v>13543.032648092892</v>
      </c>
      <c r="AM113" s="242">
        <v>16506.942921149654</v>
      </c>
      <c r="AN113" s="242">
        <v>12743.504402234634</v>
      </c>
      <c r="AO113" s="242">
        <v>20378.666909921987</v>
      </c>
      <c r="AP113" s="242">
        <v>-23879.084621997768</v>
      </c>
      <c r="AQ113" s="242">
        <v>7676.2579737363631</v>
      </c>
      <c r="AR113" s="242">
        <v>-40030.971901377328</v>
      </c>
      <c r="AS113" s="242">
        <v>3083.0822291900258</v>
      </c>
      <c r="AT113" s="242">
        <v>-28946.44772460487</v>
      </c>
      <c r="AU113" s="242">
        <v>6408.9327585670035</v>
      </c>
      <c r="AV113" s="242">
        <v>-25737.345408973</v>
      </c>
      <c r="AW113" s="242">
        <v>1653.9783792488233</v>
      </c>
      <c r="AX113" s="242">
        <v>-15235.268971871832</v>
      </c>
      <c r="AY113" s="242">
        <v>5224.8294977082332</v>
      </c>
      <c r="BA113" s="158"/>
      <c r="BB113" s="158"/>
    </row>
    <row r="114" spans="2:54">
      <c r="B114" s="225">
        <v>10371</v>
      </c>
      <c r="C114" s="225" t="s">
        <v>117</v>
      </c>
      <c r="D114" s="242">
        <v>306.95336971618872</v>
      </c>
      <c r="E114" s="242">
        <v>338.57950772577669</v>
      </c>
      <c r="F114" s="242">
        <v>132.87726004114211</v>
      </c>
      <c r="G114" s="242">
        <v>308.36384233857189</v>
      </c>
      <c r="H114" s="242">
        <v>1536.8696250494795</v>
      </c>
      <c r="I114" s="242">
        <v>482.30606691131561</v>
      </c>
      <c r="J114" s="242">
        <v>2264.8239953161346</v>
      </c>
      <c r="K114" s="242">
        <v>1216.4573075497797</v>
      </c>
      <c r="L114" s="242">
        <v>2359.0720229258955</v>
      </c>
      <c r="M114" s="242">
        <v>1171.5796416585645</v>
      </c>
      <c r="N114" s="242">
        <v>1164.0885376760443</v>
      </c>
      <c r="O114" s="242">
        <v>655.69177973065052</v>
      </c>
      <c r="P114" s="242">
        <v>1076.6059119272841</v>
      </c>
      <c r="Q114" s="242">
        <v>656.31014030696906</v>
      </c>
      <c r="R114" s="242">
        <v>-1295.6012238925177</v>
      </c>
      <c r="S114" s="242">
        <v>211.95937668671922</v>
      </c>
      <c r="T114" s="242">
        <v>-1826.0860898564788</v>
      </c>
      <c r="U114" s="242">
        <v>194.18954398128699</v>
      </c>
      <c r="V114" s="242">
        <v>-1008.9036041418894</v>
      </c>
      <c r="W114" s="242">
        <v>210.06497177671554</v>
      </c>
      <c r="X114" s="242">
        <v>-779.30437581691695</v>
      </c>
      <c r="Y114" s="242">
        <v>163.53122554334141</v>
      </c>
      <c r="Z114" s="242">
        <v>-509.74886578327551</v>
      </c>
      <c r="AA114" s="242">
        <v>103.78603712239828</v>
      </c>
      <c r="AB114" s="242">
        <v>315.47236971618804</v>
      </c>
      <c r="AC114" s="242">
        <v>343.63450772577653</v>
      </c>
      <c r="AD114" s="242">
        <v>144.81526004114221</v>
      </c>
      <c r="AE114" s="242">
        <v>316.35284233857192</v>
      </c>
      <c r="AF114" s="242">
        <v>1547.9266250494793</v>
      </c>
      <c r="AG114" s="242">
        <v>489.47406691131528</v>
      </c>
      <c r="AH114" s="242">
        <v>2282.9809953161348</v>
      </c>
      <c r="AI114" s="242">
        <v>1228.8003075497795</v>
      </c>
      <c r="AJ114" s="242">
        <v>2207.3950229258958</v>
      </c>
      <c r="AK114" s="242">
        <v>1075.4986416585648</v>
      </c>
      <c r="AL114" s="242">
        <v>1182.8425376760442</v>
      </c>
      <c r="AM114" s="242">
        <v>667.22777973065058</v>
      </c>
      <c r="AN114" s="242">
        <v>1092.5909119272837</v>
      </c>
      <c r="AO114" s="242">
        <v>666.21614030696901</v>
      </c>
      <c r="AP114" s="242">
        <v>-1282.1682238925177</v>
      </c>
      <c r="AQ114" s="242">
        <v>221.16537668671936</v>
      </c>
      <c r="AR114" s="242">
        <v>-1812.2150898564787</v>
      </c>
      <c r="AS114" s="242">
        <v>202.7315439812869</v>
      </c>
      <c r="AT114" s="242">
        <v>-993.33960414189005</v>
      </c>
      <c r="AU114" s="242">
        <v>220.36397177671552</v>
      </c>
      <c r="AV114" s="242">
        <v>-763.63437581691687</v>
      </c>
      <c r="AW114" s="242">
        <v>172.98622554334133</v>
      </c>
      <c r="AX114" s="242">
        <v>-496.38486578327502</v>
      </c>
      <c r="AY114" s="242">
        <v>112.62003712239812</v>
      </c>
      <c r="BA114" s="158"/>
      <c r="BB114" s="158"/>
    </row>
    <row r="115" spans="2:54">
      <c r="B115" s="225">
        <v>10376</v>
      </c>
      <c r="C115" s="225" t="s">
        <v>118</v>
      </c>
      <c r="D115" s="242">
        <v>-1296.7549588246584</v>
      </c>
      <c r="E115" s="242">
        <v>984.68160449101379</v>
      </c>
      <c r="F115" s="242">
        <v>-3672.881983187337</v>
      </c>
      <c r="G115" s="242">
        <v>-1357.0611196862155</v>
      </c>
      <c r="H115" s="242">
        <v>3525.5787151267796</v>
      </c>
      <c r="I115" s="242">
        <v>2362.8318078310003</v>
      </c>
      <c r="J115" s="242">
        <v>10786.465460243369</v>
      </c>
      <c r="K115" s="242">
        <v>5701.7914853740949</v>
      </c>
      <c r="L115" s="242">
        <v>11893.221574725761</v>
      </c>
      <c r="M115" s="242">
        <v>5921.8671085060814</v>
      </c>
      <c r="N115" s="242">
        <v>2752.0023800945637</v>
      </c>
      <c r="O115" s="242">
        <v>2925.5748527702617</v>
      </c>
      <c r="P115" s="242">
        <v>6410.2486396537606</v>
      </c>
      <c r="Q115" s="242">
        <v>3830.0536682426518</v>
      </c>
      <c r="R115" s="242">
        <v>-7042.2495545434504</v>
      </c>
      <c r="S115" s="242">
        <v>-66.551120570677085</v>
      </c>
      <c r="T115" s="242">
        <v>-12799.245731115217</v>
      </c>
      <c r="U115" s="242">
        <v>-230.39956496989544</v>
      </c>
      <c r="V115" s="242">
        <v>-8398.0170861945517</v>
      </c>
      <c r="W115" s="242">
        <v>-1777.0878511320097</v>
      </c>
      <c r="X115" s="242">
        <v>-7017.1581254121593</v>
      </c>
      <c r="Y115" s="242">
        <v>-1724.6279207829029</v>
      </c>
      <c r="Z115" s="242">
        <v>-6080.4987406544897</v>
      </c>
      <c r="AA115" s="242">
        <v>-856.2629906361708</v>
      </c>
      <c r="AB115" s="242">
        <v>-73.777958824655798</v>
      </c>
      <c r="AC115" s="242">
        <v>236.81260449101319</v>
      </c>
      <c r="AD115" s="242">
        <v>-3414.363983187337</v>
      </c>
      <c r="AE115" s="242">
        <v>-1157.9831196862142</v>
      </c>
      <c r="AF115" s="242">
        <v>3770.97371512678</v>
      </c>
      <c r="AG115" s="242">
        <v>2554.3088078309993</v>
      </c>
      <c r="AH115" s="242">
        <v>10774.09446024337</v>
      </c>
      <c r="AI115" s="242">
        <v>5683.5494853740929</v>
      </c>
      <c r="AJ115" s="242">
        <v>10394.988574725761</v>
      </c>
      <c r="AK115" s="242">
        <v>5233.8771085060798</v>
      </c>
      <c r="AL115" s="242">
        <v>2741.2543800945641</v>
      </c>
      <c r="AM115" s="242">
        <v>2915.6828527702655</v>
      </c>
      <c r="AN115" s="242">
        <v>6433.5016396537649</v>
      </c>
      <c r="AO115" s="242">
        <v>3779.5296682426524</v>
      </c>
      <c r="AP115" s="242">
        <v>-7088.6435545434506</v>
      </c>
      <c r="AQ115" s="242">
        <v>-48.568120570676911</v>
      </c>
      <c r="AR115" s="242">
        <v>-12818.872731115218</v>
      </c>
      <c r="AS115" s="242">
        <v>-247.01456496989704</v>
      </c>
      <c r="AT115" s="242">
        <v>-8413.3780861945525</v>
      </c>
      <c r="AU115" s="242">
        <v>-1799.2908511320093</v>
      </c>
      <c r="AV115" s="242">
        <v>-7868.746125412159</v>
      </c>
      <c r="AW115" s="242">
        <v>-910.59792078290411</v>
      </c>
      <c r="AX115" s="242">
        <v>-5275.6217406544893</v>
      </c>
      <c r="AY115" s="242">
        <v>-1703.74999063617</v>
      </c>
      <c r="BA115" s="158"/>
      <c r="BB115" s="158"/>
    </row>
    <row r="116" spans="2:54">
      <c r="B116" s="225">
        <v>10378</v>
      </c>
      <c r="C116" s="225" t="s">
        <v>119</v>
      </c>
      <c r="D116" s="242">
        <v>-66.016404778950914</v>
      </c>
      <c r="E116" s="242">
        <v>-5.472116171849791</v>
      </c>
      <c r="F116" s="242">
        <v>-3.8809080679291128</v>
      </c>
      <c r="G116" s="242">
        <v>84.570479823483083</v>
      </c>
      <c r="H116" s="242">
        <v>526.62989401926632</v>
      </c>
      <c r="I116" s="242">
        <v>357.89249303050997</v>
      </c>
      <c r="J116" s="242">
        <v>629.82441464102271</v>
      </c>
      <c r="K116" s="242">
        <v>428.62986851157495</v>
      </c>
      <c r="L116" s="242">
        <v>520.05612506818943</v>
      </c>
      <c r="M116" s="242">
        <v>336.09022995492137</v>
      </c>
      <c r="N116" s="242">
        <v>181.59503280922274</v>
      </c>
      <c r="O116" s="242">
        <v>164.52717798558433</v>
      </c>
      <c r="P116" s="242">
        <v>137.7662278925427</v>
      </c>
      <c r="Q116" s="242">
        <v>102.94180665148417</v>
      </c>
      <c r="R116" s="242">
        <v>-385.60342811471753</v>
      </c>
      <c r="S116" s="242">
        <v>-98.039595239117943</v>
      </c>
      <c r="T116" s="242">
        <v>-466.19798941366696</v>
      </c>
      <c r="U116" s="242">
        <v>-83.461460016398291</v>
      </c>
      <c r="V116" s="242">
        <v>-253.20313358200917</v>
      </c>
      <c r="W116" s="242">
        <v>-44.236703047733499</v>
      </c>
      <c r="X116" s="242">
        <v>-239.15977796539596</v>
      </c>
      <c r="Y116" s="242">
        <v>-62.849488379928346</v>
      </c>
      <c r="Z116" s="242">
        <v>-247.18814476538159</v>
      </c>
      <c r="AA116" s="242">
        <v>-100.69455882132951</v>
      </c>
      <c r="AB116" s="242">
        <v>-63.422878937672294</v>
      </c>
      <c r="AC116" s="242">
        <v>-3.8389966655863077</v>
      </c>
      <c r="AD116" s="242">
        <v>-1.9526751702624097</v>
      </c>
      <c r="AE116" s="242">
        <v>86.141986771830489</v>
      </c>
      <c r="AF116" s="242">
        <v>528.73157037785927</v>
      </c>
      <c r="AG116" s="242">
        <v>359.36389208328262</v>
      </c>
      <c r="AH116" s="242">
        <v>632.27446680590128</v>
      </c>
      <c r="AI116" s="242">
        <v>430.34218662239221</v>
      </c>
      <c r="AJ116" s="242">
        <v>487.25711099519151</v>
      </c>
      <c r="AK116" s="242">
        <v>313.47134375188426</v>
      </c>
      <c r="AL116" s="242">
        <v>183.96492925843575</v>
      </c>
      <c r="AM116" s="242">
        <v>166.22363408738192</v>
      </c>
      <c r="AN116" s="242">
        <v>140.61283971303567</v>
      </c>
      <c r="AO116" s="242">
        <v>104.80766281495096</v>
      </c>
      <c r="AP116" s="242">
        <v>-383.44285391919539</v>
      </c>
      <c r="AQ116" s="242">
        <v>-96.353756075057333</v>
      </c>
      <c r="AR116" s="242">
        <v>-464.12574916141966</v>
      </c>
      <c r="AS116" s="242">
        <v>-81.900564268853827</v>
      </c>
      <c r="AT116" s="242">
        <v>-250.9983371680587</v>
      </c>
      <c r="AU116" s="242">
        <v>-42.640256729442513</v>
      </c>
      <c r="AV116" s="242">
        <v>-236.75193345761284</v>
      </c>
      <c r="AW116" s="242">
        <v>-61.350061678701991</v>
      </c>
      <c r="AX116" s="242">
        <v>-244.72795576164992</v>
      </c>
      <c r="AY116" s="242">
        <v>-99.014863358055266</v>
      </c>
      <c r="BA116" s="158"/>
      <c r="BB116" s="158"/>
    </row>
    <row r="117" spans="2:54">
      <c r="B117" s="225">
        <v>10379</v>
      </c>
      <c r="C117" s="225" t="s">
        <v>120</v>
      </c>
      <c r="D117" s="242">
        <v>18.522571438537625</v>
      </c>
      <c r="E117" s="242">
        <v>88.036444546437451</v>
      </c>
      <c r="F117" s="242">
        <v>-34.456990124962886</v>
      </c>
      <c r="G117" s="242">
        <v>116.42031689082478</v>
      </c>
      <c r="H117" s="242">
        <v>568.18390341701206</v>
      </c>
      <c r="I117" s="242">
        <v>155.4989343692871</v>
      </c>
      <c r="J117" s="242">
        <v>944.0566854883125</v>
      </c>
      <c r="K117" s="242">
        <v>524.28687466946258</v>
      </c>
      <c r="L117" s="242">
        <v>835.53316787747531</v>
      </c>
      <c r="M117" s="242">
        <v>407.12202158326249</v>
      </c>
      <c r="N117" s="242">
        <v>270.41050536473767</v>
      </c>
      <c r="O117" s="242">
        <v>164.87311452229983</v>
      </c>
      <c r="P117" s="242">
        <v>413.5542980547375</v>
      </c>
      <c r="Q117" s="242">
        <v>274.92718390014977</v>
      </c>
      <c r="R117" s="242">
        <v>-742.22503003741258</v>
      </c>
      <c r="S117" s="242">
        <v>-25.251940431712455</v>
      </c>
      <c r="T117" s="242">
        <v>-1149.9857162216756</v>
      </c>
      <c r="U117" s="242">
        <v>-144.71728401243774</v>
      </c>
      <c r="V117" s="242">
        <v>-757.75403430568758</v>
      </c>
      <c r="W117" s="242">
        <v>-75.777891922625031</v>
      </c>
      <c r="X117" s="242">
        <v>-627.25992874378744</v>
      </c>
      <c r="Y117" s="242">
        <v>-70.375961120299962</v>
      </c>
      <c r="Z117" s="242">
        <v>-505.12137080183788</v>
      </c>
      <c r="AA117" s="242">
        <v>-164.36460381641257</v>
      </c>
      <c r="AB117" s="242">
        <v>19.166963565570541</v>
      </c>
      <c r="AC117" s="242">
        <v>88.798101830886708</v>
      </c>
      <c r="AD117" s="242">
        <v>-35.667209187795379</v>
      </c>
      <c r="AE117" s="242">
        <v>116.27160510673571</v>
      </c>
      <c r="AF117" s="242">
        <v>567.14612338927327</v>
      </c>
      <c r="AG117" s="242">
        <v>153.77312915953735</v>
      </c>
      <c r="AH117" s="242">
        <v>944.75047239514447</v>
      </c>
      <c r="AI117" s="242">
        <v>524.15262427895755</v>
      </c>
      <c r="AJ117" s="242">
        <v>766.49209047598742</v>
      </c>
      <c r="AK117" s="242">
        <v>362.26664746655865</v>
      </c>
      <c r="AL117" s="242">
        <v>270.74343583540985</v>
      </c>
      <c r="AM117" s="242">
        <v>165.06012308218692</v>
      </c>
      <c r="AN117" s="242">
        <v>416.01216306744982</v>
      </c>
      <c r="AO117" s="242">
        <v>276.54739279921739</v>
      </c>
      <c r="AP117" s="242">
        <v>-744.52587196203967</v>
      </c>
      <c r="AQ117" s="242">
        <v>-24.458325029378557</v>
      </c>
      <c r="AR117" s="242">
        <v>-1153.343394834314</v>
      </c>
      <c r="AS117" s="242">
        <v>-144.03985740094276</v>
      </c>
      <c r="AT117" s="242">
        <v>-759.11465402895942</v>
      </c>
      <c r="AU117" s="242">
        <v>-74.529937172024347</v>
      </c>
      <c r="AV117" s="242">
        <v>-627.93528395097906</v>
      </c>
      <c r="AW117" s="242">
        <v>-69.22911426355472</v>
      </c>
      <c r="AX117" s="242">
        <v>-505.54133128131321</v>
      </c>
      <c r="AY117" s="242">
        <v>-163.84227876840362</v>
      </c>
      <c r="BA117" s="158"/>
      <c r="BB117" s="158"/>
    </row>
    <row r="118" spans="2:54">
      <c r="B118" s="225">
        <v>10388</v>
      </c>
      <c r="C118" s="225" t="s">
        <v>121</v>
      </c>
      <c r="D118" s="242">
        <v>-2445.2733112976202</v>
      </c>
      <c r="E118" s="242">
        <v>-17690.60492679551</v>
      </c>
      <c r="F118" s="242">
        <v>-22504.156919516339</v>
      </c>
      <c r="G118" s="242">
        <v>-18354.558828576883</v>
      </c>
      <c r="H118" s="242">
        <v>-18107.000571133365</v>
      </c>
      <c r="I118" s="242">
        <v>-17025.355644825548</v>
      </c>
      <c r="J118" s="242">
        <v>-128.30873417169641</v>
      </c>
      <c r="K118" s="242">
        <v>-13965.512548777009</v>
      </c>
      <c r="L118" s="242">
        <v>127.04127937711019</v>
      </c>
      <c r="M118" s="242">
        <v>-3864.3504888229945</v>
      </c>
      <c r="N118" s="242">
        <v>5096.6902837227826</v>
      </c>
      <c r="O118" s="242">
        <v>-10322.599866465058</v>
      </c>
      <c r="P118" s="242">
        <v>-2883.5264700569023</v>
      </c>
      <c r="Q118" s="242">
        <v>21092.409781438691</v>
      </c>
      <c r="R118" s="242">
        <v>6080.0057946817105</v>
      </c>
      <c r="S118" s="242">
        <v>2445.8405289753464</v>
      </c>
      <c r="T118" s="242">
        <v>21602.883607137534</v>
      </c>
      <c r="U118" s="242">
        <v>-12625.738799365059</v>
      </c>
      <c r="V118" s="242">
        <v>3545.0198414472834</v>
      </c>
      <c r="W118" s="242">
        <v>32359.69803526601</v>
      </c>
      <c r="X118" s="242">
        <v>33857.522988816068</v>
      </c>
      <c r="Y118" s="242">
        <v>8515.3285012714732</v>
      </c>
      <c r="Z118" s="242">
        <v>37573.175494717245</v>
      </c>
      <c r="AA118" s="242">
        <v>3038.6622711281161</v>
      </c>
      <c r="AB118" s="242">
        <v>-16287.324311297714</v>
      </c>
      <c r="AC118" s="242">
        <v>-5333.2629267955053</v>
      </c>
      <c r="AD118" s="242">
        <v>-22917.430919516373</v>
      </c>
      <c r="AE118" s="242">
        <v>-19110.125828576893</v>
      </c>
      <c r="AF118" s="242">
        <v>-18414.95757113336</v>
      </c>
      <c r="AG118" s="242">
        <v>-17724.106644825479</v>
      </c>
      <c r="AH118" s="242">
        <v>-356.39573417163774</v>
      </c>
      <c r="AI118" s="242">
        <v>-14704.008548777052</v>
      </c>
      <c r="AJ118" s="242">
        <v>1709.4792793770757</v>
      </c>
      <c r="AK118" s="242">
        <v>-6703.287488823029</v>
      </c>
      <c r="AL118" s="242">
        <v>5213.1752837227687</v>
      </c>
      <c r="AM118" s="242">
        <v>-11333.55886646509</v>
      </c>
      <c r="AN118" s="242">
        <v>-2088.8094700568981</v>
      </c>
      <c r="AO118" s="242">
        <v>19345.490781438639</v>
      </c>
      <c r="AP118" s="242">
        <v>4008.2427946816752</v>
      </c>
      <c r="AQ118" s="242">
        <v>3350.9565289753264</v>
      </c>
      <c r="AR118" s="242">
        <v>24230.489607137562</v>
      </c>
      <c r="AS118" s="242">
        <v>-13903.888799365024</v>
      </c>
      <c r="AT118" s="242">
        <v>3624.3078414472257</v>
      </c>
      <c r="AU118" s="242">
        <v>33318.014035266002</v>
      </c>
      <c r="AV118" s="242">
        <v>57830.632988816054</v>
      </c>
      <c r="AW118" s="242">
        <v>-14063.054498728558</v>
      </c>
      <c r="AX118" s="242">
        <v>18361.087494717256</v>
      </c>
      <c r="AY118" s="242">
        <v>24280.330271128121</v>
      </c>
      <c r="BA118" s="158"/>
      <c r="BB118" s="158"/>
    </row>
    <row r="119" spans="2:54">
      <c r="B119" s="225">
        <v>10391</v>
      </c>
      <c r="C119" s="225" t="s">
        <v>122</v>
      </c>
      <c r="D119" s="242">
        <v>-469.22359392674298</v>
      </c>
      <c r="E119" s="242">
        <v>622.14682022988472</v>
      </c>
      <c r="F119" s="242">
        <v>-3155.3314544910445</v>
      </c>
      <c r="G119" s="242">
        <v>-577.80559160020312</v>
      </c>
      <c r="H119" s="242">
        <v>775.34162431833465</v>
      </c>
      <c r="I119" s="242">
        <v>447.71423185805725</v>
      </c>
      <c r="J119" s="242">
        <v>3493.5612244879085</v>
      </c>
      <c r="K119" s="242">
        <v>2353.9285810139263</v>
      </c>
      <c r="L119" s="242">
        <v>3094.5931025527334</v>
      </c>
      <c r="M119" s="242">
        <v>1930.9634278796902</v>
      </c>
      <c r="N119" s="242">
        <v>-566.34643789218535</v>
      </c>
      <c r="O119" s="242">
        <v>250.3470108677202</v>
      </c>
      <c r="P119" s="242">
        <v>2994.3223613519349</v>
      </c>
      <c r="Q119" s="242">
        <v>2147.3680471670314</v>
      </c>
      <c r="R119" s="242">
        <v>560.68300428768271</v>
      </c>
      <c r="S119" s="242">
        <v>3559.0652792021083</v>
      </c>
      <c r="T119" s="242">
        <v>3772.8400779416443</v>
      </c>
      <c r="U119" s="242">
        <v>6562.3344312527461</v>
      </c>
      <c r="V119" s="242">
        <v>4472.9371626307966</v>
      </c>
      <c r="W119" s="242">
        <v>6286.7224608557754</v>
      </c>
      <c r="X119" s="242">
        <v>3522.4044184822178</v>
      </c>
      <c r="Y119" s="242">
        <v>4353.3490067265766</v>
      </c>
      <c r="Z119" s="242">
        <v>813.87516990115364</v>
      </c>
      <c r="AA119" s="242">
        <v>2147.7684534217942</v>
      </c>
      <c r="AB119" s="242">
        <v>-455.99359392674342</v>
      </c>
      <c r="AC119" s="242">
        <v>601.85082022988354</v>
      </c>
      <c r="AD119" s="242">
        <v>-3146.9034544910428</v>
      </c>
      <c r="AE119" s="242">
        <v>-581.86759160020301</v>
      </c>
      <c r="AF119" s="242">
        <v>776.20362431833382</v>
      </c>
      <c r="AG119" s="242">
        <v>439.79823185805799</v>
      </c>
      <c r="AH119" s="242">
        <v>3502.4212244879091</v>
      </c>
      <c r="AI119" s="242">
        <v>2338.0155810139277</v>
      </c>
      <c r="AJ119" s="242">
        <v>2872.1511025527343</v>
      </c>
      <c r="AK119" s="242">
        <v>1765.3614278796895</v>
      </c>
      <c r="AL119" s="242">
        <v>-565.73243789218577</v>
      </c>
      <c r="AM119" s="242">
        <v>243.21001086772048</v>
      </c>
      <c r="AN119" s="242">
        <v>3077.6243613519346</v>
      </c>
      <c r="AO119" s="242">
        <v>2068.9340471670312</v>
      </c>
      <c r="AP119" s="242">
        <v>503.20700428768396</v>
      </c>
      <c r="AQ119" s="242">
        <v>3609.4542792021093</v>
      </c>
      <c r="AR119" s="242">
        <v>3785.7000779416448</v>
      </c>
      <c r="AS119" s="242">
        <v>6554.3124312527452</v>
      </c>
      <c r="AT119" s="242">
        <v>4484.7891626307955</v>
      </c>
      <c r="AU119" s="242">
        <v>6267.7734608557766</v>
      </c>
      <c r="AV119" s="242">
        <v>3529.3094184822166</v>
      </c>
      <c r="AW119" s="242">
        <v>4339.3490067265748</v>
      </c>
      <c r="AX119" s="242">
        <v>828.02416990115489</v>
      </c>
      <c r="AY119" s="242">
        <v>2138.4544534217921</v>
      </c>
      <c r="BA119" s="158"/>
      <c r="BB119" s="158"/>
    </row>
    <row r="120" spans="2:54">
      <c r="B120" s="225">
        <v>10406</v>
      </c>
      <c r="C120" s="225" t="s">
        <v>123</v>
      </c>
      <c r="D120" s="242">
        <v>69.670711831646059</v>
      </c>
      <c r="E120" s="242">
        <v>89.278593260835237</v>
      </c>
      <c r="F120" s="242">
        <v>80.802358430948033</v>
      </c>
      <c r="G120" s="242">
        <v>102.8300015795771</v>
      </c>
      <c r="H120" s="242">
        <v>171.40165945446529</v>
      </c>
      <c r="I120" s="242">
        <v>165.099164208247</v>
      </c>
      <c r="J120" s="242">
        <v>193.07547583435775</v>
      </c>
      <c r="K120" s="242">
        <v>156.14740898673796</v>
      </c>
      <c r="L120" s="242">
        <v>219.64281110407131</v>
      </c>
      <c r="M120" s="242">
        <v>169.17197570482034</v>
      </c>
      <c r="N120" s="242">
        <v>129.81763258988366</v>
      </c>
      <c r="O120" s="242">
        <v>136.89616834444035</v>
      </c>
      <c r="P120" s="242">
        <v>109.82734525000365</v>
      </c>
      <c r="Q120" s="242">
        <v>98.857775014992185</v>
      </c>
      <c r="R120" s="242">
        <v>-12.700557851004589</v>
      </c>
      <c r="S120" s="242">
        <v>52.119436245899024</v>
      </c>
      <c r="T120" s="242">
        <v>-68.708346048572935</v>
      </c>
      <c r="U120" s="242">
        <v>35.945723359396737</v>
      </c>
      <c r="V120" s="242">
        <v>-17.441521224354261</v>
      </c>
      <c r="W120" s="242">
        <v>31.789443428476488</v>
      </c>
      <c r="X120" s="242">
        <v>1.6836809252269518</v>
      </c>
      <c r="Y120" s="242">
        <v>33.737988182655599</v>
      </c>
      <c r="Z120" s="242">
        <v>0.11044390364551759</v>
      </c>
      <c r="AA120" s="242">
        <v>46.106059277503448</v>
      </c>
      <c r="AB120" s="242">
        <v>82.033711831646059</v>
      </c>
      <c r="AC120" s="242">
        <v>81.066593260835219</v>
      </c>
      <c r="AD120" s="242">
        <v>83.638358430947989</v>
      </c>
      <c r="AE120" s="242">
        <v>105.09000157957709</v>
      </c>
      <c r="AF120" s="242">
        <v>174.87865945446532</v>
      </c>
      <c r="AG120" s="242">
        <v>168.04116420824701</v>
      </c>
      <c r="AH120" s="242">
        <v>196.41047583435773</v>
      </c>
      <c r="AI120" s="242">
        <v>158.76440898673792</v>
      </c>
      <c r="AJ120" s="242">
        <v>207.98681110407131</v>
      </c>
      <c r="AK120" s="242">
        <v>164.12197570482033</v>
      </c>
      <c r="AL120" s="242">
        <v>132.75963258988367</v>
      </c>
      <c r="AM120" s="242">
        <v>139.2501683444404</v>
      </c>
      <c r="AN120" s="242">
        <v>112.19834525000363</v>
      </c>
      <c r="AO120" s="242">
        <v>100.61277501499218</v>
      </c>
      <c r="AP120" s="242">
        <v>-10.743557851004596</v>
      </c>
      <c r="AQ120" s="242">
        <v>53.598436245899038</v>
      </c>
      <c r="AR120" s="242">
        <v>-66.992346048572927</v>
      </c>
      <c r="AS120" s="242">
        <v>37.216723359396752</v>
      </c>
      <c r="AT120" s="242">
        <v>-15.522521224354279</v>
      </c>
      <c r="AU120" s="242">
        <v>33.121443428476482</v>
      </c>
      <c r="AV120" s="242">
        <v>-4.3093190747730432</v>
      </c>
      <c r="AW120" s="242">
        <v>43.068988182655616</v>
      </c>
      <c r="AX120" s="242">
        <v>9.8714439036455133</v>
      </c>
      <c r="AY120" s="242">
        <v>39.553059277503451</v>
      </c>
      <c r="BA120" s="158"/>
      <c r="BB120" s="158"/>
    </row>
    <row r="121" spans="2:54">
      <c r="B121" s="225">
        <v>10408</v>
      </c>
      <c r="C121" s="225" t="s">
        <v>124</v>
      </c>
      <c r="D121" s="242">
        <v>86.520065780971436</v>
      </c>
      <c r="E121" s="242">
        <v>244.98808200799175</v>
      </c>
      <c r="F121" s="242">
        <v>-62.604540391154728</v>
      </c>
      <c r="G121" s="242">
        <v>92.445254879237666</v>
      </c>
      <c r="H121" s="242">
        <v>42.063327272740366</v>
      </c>
      <c r="I121" s="242">
        <v>150.91685852455839</v>
      </c>
      <c r="J121" s="242">
        <v>195.38430543869936</v>
      </c>
      <c r="K121" s="242">
        <v>196.87267894963662</v>
      </c>
      <c r="L121" s="242">
        <v>214.95692668429325</v>
      </c>
      <c r="M121" s="242">
        <v>188.37002380512547</v>
      </c>
      <c r="N121" s="242">
        <v>69.103169941322676</v>
      </c>
      <c r="O121" s="242">
        <v>193.49492469803482</v>
      </c>
      <c r="P121" s="242">
        <v>201.39006128776259</v>
      </c>
      <c r="Q121" s="242">
        <v>228.33314692978132</v>
      </c>
      <c r="R121" s="242">
        <v>-124.44400251421087</v>
      </c>
      <c r="S121" s="242">
        <v>153.36851864388228</v>
      </c>
      <c r="T121" s="242">
        <v>-274.77438906481234</v>
      </c>
      <c r="U121" s="242">
        <v>160.13841698979223</v>
      </c>
      <c r="V121" s="242">
        <v>-149.76989277084476</v>
      </c>
      <c r="W121" s="242">
        <v>122.74939774390549</v>
      </c>
      <c r="X121" s="242">
        <v>-99.876554944120358</v>
      </c>
      <c r="Y121" s="242">
        <v>112.42432579211726</v>
      </c>
      <c r="Z121" s="242">
        <v>-290.13086415472219</v>
      </c>
      <c r="AA121" s="242">
        <v>-22.767785489614766</v>
      </c>
      <c r="AB121" s="242">
        <v>122.37706578097141</v>
      </c>
      <c r="AC121" s="242">
        <v>209.13108200799178</v>
      </c>
      <c r="AD121" s="242">
        <v>-62.604540391154728</v>
      </c>
      <c r="AE121" s="242">
        <v>92.445254879237666</v>
      </c>
      <c r="AF121" s="242">
        <v>42.063327272740366</v>
      </c>
      <c r="AG121" s="242">
        <v>150.91685852455839</v>
      </c>
      <c r="AH121" s="242">
        <v>195.38430543869936</v>
      </c>
      <c r="AI121" s="242">
        <v>196.87267894963662</v>
      </c>
      <c r="AJ121" s="242">
        <v>184.91292668429315</v>
      </c>
      <c r="AK121" s="242">
        <v>174.37502380512547</v>
      </c>
      <c r="AL121" s="242">
        <v>69.103169941322676</v>
      </c>
      <c r="AM121" s="242">
        <v>193.49492469803482</v>
      </c>
      <c r="AN121" s="242">
        <v>201.39006128776259</v>
      </c>
      <c r="AO121" s="242">
        <v>228.33314692978132</v>
      </c>
      <c r="AP121" s="242">
        <v>-124.44400251421087</v>
      </c>
      <c r="AQ121" s="242">
        <v>153.36851864388228</v>
      </c>
      <c r="AR121" s="242">
        <v>-274.77438906481234</v>
      </c>
      <c r="AS121" s="242">
        <v>160.13841698979223</v>
      </c>
      <c r="AT121" s="242">
        <v>-149.76989277084476</v>
      </c>
      <c r="AU121" s="242">
        <v>122.74939774390549</v>
      </c>
      <c r="AV121" s="242">
        <v>-130.18155494412031</v>
      </c>
      <c r="AW121" s="242">
        <v>142.72932579211727</v>
      </c>
      <c r="AX121" s="242">
        <v>-270.32486415472221</v>
      </c>
      <c r="AY121" s="242">
        <v>-42.574785489614783</v>
      </c>
      <c r="BA121" s="158"/>
      <c r="BB121" s="158"/>
    </row>
    <row r="122" spans="2:54">
      <c r="B122" s="225">
        <v>10409</v>
      </c>
      <c r="C122" s="225" t="s">
        <v>125</v>
      </c>
      <c r="D122" s="242">
        <v>728.09771301624278</v>
      </c>
      <c r="E122" s="242">
        <v>1834.975647021316</v>
      </c>
      <c r="F122" s="242">
        <v>-879.55584421239655</v>
      </c>
      <c r="G122" s="242">
        <v>96.664988718352106</v>
      </c>
      <c r="H122" s="242">
        <v>688.82982296491355</v>
      </c>
      <c r="I122" s="242">
        <v>886.62630134682331</v>
      </c>
      <c r="J122" s="242">
        <v>3075.2527506594115</v>
      </c>
      <c r="K122" s="242">
        <v>2039.2211881024477</v>
      </c>
      <c r="L122" s="242">
        <v>2731.3735061749376</v>
      </c>
      <c r="M122" s="242">
        <v>1607.9061300955236</v>
      </c>
      <c r="N122" s="242">
        <v>881.69025305740615</v>
      </c>
      <c r="O122" s="242">
        <v>1475.4525919638318</v>
      </c>
      <c r="P122" s="242">
        <v>2542.7474375032452</v>
      </c>
      <c r="Q122" s="242">
        <v>2153.5430891888209</v>
      </c>
      <c r="R122" s="242">
        <v>-1698.8382356476868</v>
      </c>
      <c r="S122" s="242">
        <v>1294.8411577178877</v>
      </c>
      <c r="T122" s="242">
        <v>-3181.5453975849487</v>
      </c>
      <c r="U122" s="242">
        <v>1291.6775379153078</v>
      </c>
      <c r="V122" s="242">
        <v>-1584.2292168965741</v>
      </c>
      <c r="W122" s="242">
        <v>781.7547720565226</v>
      </c>
      <c r="X122" s="242">
        <v>-1142.9964206537552</v>
      </c>
      <c r="Y122" s="242">
        <v>1013.9428910108409</v>
      </c>
      <c r="Z122" s="242">
        <v>-837.76006501444954</v>
      </c>
      <c r="AA122" s="242">
        <v>1083.1392344943688</v>
      </c>
      <c r="AB122" s="242">
        <v>1020.8937130162412</v>
      </c>
      <c r="AC122" s="242">
        <v>1542.180647021316</v>
      </c>
      <c r="AD122" s="242">
        <v>-879.55584421239655</v>
      </c>
      <c r="AE122" s="242">
        <v>96.664988718352106</v>
      </c>
      <c r="AF122" s="242">
        <v>688.82982296491355</v>
      </c>
      <c r="AG122" s="242">
        <v>886.62630134682331</v>
      </c>
      <c r="AH122" s="242">
        <v>3075.2527506594115</v>
      </c>
      <c r="AI122" s="242">
        <v>2039.2211881024477</v>
      </c>
      <c r="AJ122" s="242">
        <v>2287.987506174939</v>
      </c>
      <c r="AK122" s="242">
        <v>1374.3381300955243</v>
      </c>
      <c r="AL122" s="242">
        <v>881.69025305740615</v>
      </c>
      <c r="AM122" s="242">
        <v>1475.4525919638318</v>
      </c>
      <c r="AN122" s="242">
        <v>2628.6994375032464</v>
      </c>
      <c r="AO122" s="242">
        <v>2067.5910891888207</v>
      </c>
      <c r="AP122" s="242">
        <v>-1784.790235647688</v>
      </c>
      <c r="AQ122" s="242">
        <v>1380.7931577178879</v>
      </c>
      <c r="AR122" s="242">
        <v>-3181.5453975849487</v>
      </c>
      <c r="AS122" s="242">
        <v>1291.6775379153078</v>
      </c>
      <c r="AT122" s="242">
        <v>-1584.2292168965741</v>
      </c>
      <c r="AU122" s="242">
        <v>781.7547720565226</v>
      </c>
      <c r="AV122" s="242">
        <v>-1411.3434206537549</v>
      </c>
      <c r="AW122" s="242">
        <v>1282.2888910108404</v>
      </c>
      <c r="AX122" s="242">
        <v>-575.3650650144491</v>
      </c>
      <c r="AY122" s="242">
        <v>820.74523449436856</v>
      </c>
      <c r="BA122" s="158"/>
      <c r="BB122" s="158"/>
    </row>
    <row r="123" spans="2:54">
      <c r="B123" s="225">
        <v>10426</v>
      </c>
      <c r="C123" s="225" t="s">
        <v>126</v>
      </c>
      <c r="D123" s="242">
        <v>5116.4931556761185</v>
      </c>
      <c r="E123" s="242">
        <v>5177.026045470343</v>
      </c>
      <c r="F123" s="242">
        <v>4438.3801397260777</v>
      </c>
      <c r="G123" s="242">
        <v>5421.5199128100712</v>
      </c>
      <c r="H123" s="242">
        <v>7193.5298941034553</v>
      </c>
      <c r="I123" s="242">
        <v>7247.7084273965493</v>
      </c>
      <c r="J123" s="242">
        <v>9251.8162662800405</v>
      </c>
      <c r="K123" s="242">
        <v>7728.1233561609861</v>
      </c>
      <c r="L123" s="242">
        <v>7985.0382931277518</v>
      </c>
      <c r="M123" s="242">
        <v>6866.7519047234618</v>
      </c>
      <c r="N123" s="242">
        <v>5974.6711247355634</v>
      </c>
      <c r="O123" s="242">
        <v>6357.7754899359734</v>
      </c>
      <c r="P123" s="242">
        <v>6250.7019770952838</v>
      </c>
      <c r="Q123" s="242">
        <v>6028.4003398915183</v>
      </c>
      <c r="R123" s="242">
        <v>3016.5966434844686</v>
      </c>
      <c r="S123" s="242">
        <v>5001.5949384653604</v>
      </c>
      <c r="T123" s="242">
        <v>2707.7814490674191</v>
      </c>
      <c r="U123" s="242">
        <v>4731.4414474224486</v>
      </c>
      <c r="V123" s="242">
        <v>4334.1003318103703</v>
      </c>
      <c r="W123" s="242">
        <v>4896.9831690864712</v>
      </c>
      <c r="X123" s="242">
        <v>5207.4162641303465</v>
      </c>
      <c r="Y123" s="242">
        <v>4782.8443245208036</v>
      </c>
      <c r="Z123" s="242">
        <v>4171.6570636252018</v>
      </c>
      <c r="AA123" s="242">
        <v>5021.0836618946187</v>
      </c>
      <c r="AB123" s="242">
        <v>7351.3101556761176</v>
      </c>
      <c r="AC123" s="242">
        <v>6850.2080454703419</v>
      </c>
      <c r="AD123" s="242">
        <v>6572.6971397260786</v>
      </c>
      <c r="AE123" s="242">
        <v>7195.2019128100701</v>
      </c>
      <c r="AF123" s="242">
        <v>9279.5118941034561</v>
      </c>
      <c r="AG123" s="242">
        <v>9069.7264273965484</v>
      </c>
      <c r="AH123" s="242">
        <v>11418.727266280041</v>
      </c>
      <c r="AI123" s="242">
        <v>9469.2133561609862</v>
      </c>
      <c r="AJ123" s="242">
        <v>9900.3262931277532</v>
      </c>
      <c r="AK123" s="242">
        <v>8403.2819047234607</v>
      </c>
      <c r="AL123" s="242">
        <v>8114.9901247355647</v>
      </c>
      <c r="AM123" s="242">
        <v>8125.4574899359723</v>
      </c>
      <c r="AN123" s="242">
        <v>8418.4299770952821</v>
      </c>
      <c r="AO123" s="242">
        <v>7768.6733398915176</v>
      </c>
      <c r="AP123" s="242">
        <v>5198.0236434844683</v>
      </c>
      <c r="AQ123" s="242">
        <v>6728.1669384653605</v>
      </c>
      <c r="AR123" s="242">
        <v>5009.4674490674188</v>
      </c>
      <c r="AS123" s="242">
        <v>6337.7544474224487</v>
      </c>
      <c r="AT123" s="242">
        <v>6615.1693318103698</v>
      </c>
      <c r="AU123" s="242">
        <v>6523.9141690864717</v>
      </c>
      <c r="AV123" s="242">
        <v>7573.4782641303464</v>
      </c>
      <c r="AW123" s="242">
        <v>6324.7823245208037</v>
      </c>
      <c r="AX123" s="242">
        <v>6344.5290636252012</v>
      </c>
      <c r="AY123" s="242">
        <v>6756.2116618946175</v>
      </c>
      <c r="BA123" s="158"/>
      <c r="BB123" s="158"/>
    </row>
    <row r="124" spans="2:54">
      <c r="B124" s="225">
        <v>10434</v>
      </c>
      <c r="C124" s="225" t="s">
        <v>127</v>
      </c>
      <c r="D124" s="242">
        <v>-738.76396227126315</v>
      </c>
      <c r="E124" s="242">
        <v>-289.97639777285167</v>
      </c>
      <c r="F124" s="242">
        <v>-2056.015153371176</v>
      </c>
      <c r="G124" s="242">
        <v>-738.46371688345425</v>
      </c>
      <c r="H124" s="242">
        <v>2528.3883949483297</v>
      </c>
      <c r="I124" s="242">
        <v>668.60959572902721</v>
      </c>
      <c r="J124" s="242">
        <v>4440.1411667337852</v>
      </c>
      <c r="K124" s="242">
        <v>2050.9938252465454</v>
      </c>
      <c r="L124" s="242">
        <v>3843.914137144935</v>
      </c>
      <c r="M124" s="242">
        <v>1446.7460103680532</v>
      </c>
      <c r="N124" s="242">
        <v>732.90915908162606</v>
      </c>
      <c r="O124" s="242">
        <v>425.16606577111816</v>
      </c>
      <c r="P124" s="242">
        <v>1417.4364261770279</v>
      </c>
      <c r="Q124" s="242">
        <v>663.81646101929891</v>
      </c>
      <c r="R124" s="242">
        <v>-4074.8445518649933</v>
      </c>
      <c r="S124" s="242">
        <v>-566.26299100763026</v>
      </c>
      <c r="T124" s="242">
        <v>-4938.2945166377049</v>
      </c>
      <c r="U124" s="242">
        <v>-439.39017136270832</v>
      </c>
      <c r="V124" s="242">
        <v>-1113.5843169222535</v>
      </c>
      <c r="W124" s="242">
        <v>400.38469498006725</v>
      </c>
      <c r="X124" s="242">
        <v>-1125.7990755321989</v>
      </c>
      <c r="Y124" s="242">
        <v>94.106632610202723</v>
      </c>
      <c r="Z124" s="242">
        <v>-2341.4866435829135</v>
      </c>
      <c r="AA124" s="242">
        <v>-742.55182663113192</v>
      </c>
      <c r="AB124" s="242">
        <v>-660.802962271262</v>
      </c>
      <c r="AC124" s="242">
        <v>-250.48239777285198</v>
      </c>
      <c r="AD124" s="242">
        <v>-1966.8611533711774</v>
      </c>
      <c r="AE124" s="242">
        <v>-680.8037168834544</v>
      </c>
      <c r="AF124" s="242">
        <v>2649.4353949483284</v>
      </c>
      <c r="AG124" s="242">
        <v>746.71259572902818</v>
      </c>
      <c r="AH124" s="242">
        <v>4559.2681667337856</v>
      </c>
      <c r="AI124" s="242">
        <v>2126.3298252465465</v>
      </c>
      <c r="AJ124" s="242">
        <v>3483.0021371449366</v>
      </c>
      <c r="AK124" s="242">
        <v>1218.2870103680534</v>
      </c>
      <c r="AL124" s="242">
        <v>825.83415908162715</v>
      </c>
      <c r="AM124" s="242">
        <v>481.01806577111802</v>
      </c>
      <c r="AN124" s="242">
        <v>1517.1864261770261</v>
      </c>
      <c r="AO124" s="242">
        <v>682.81146101929789</v>
      </c>
      <c r="AP124" s="242">
        <v>-4030.6305518649933</v>
      </c>
      <c r="AQ124" s="242">
        <v>-504.43299100763033</v>
      </c>
      <c r="AR124" s="242">
        <v>-4862.5825166377072</v>
      </c>
      <c r="AS124" s="242">
        <v>-401.61217136270898</v>
      </c>
      <c r="AT124" s="242">
        <v>-1141.1843169222539</v>
      </c>
      <c r="AU124" s="242">
        <v>376.64869498006738</v>
      </c>
      <c r="AV124" s="242">
        <v>-1155.607075532198</v>
      </c>
      <c r="AW124" s="242">
        <v>72.578632610203385</v>
      </c>
      <c r="AX124" s="242">
        <v>-2369.0866435829139</v>
      </c>
      <c r="AY124" s="242">
        <v>-764.63182663113184</v>
      </c>
      <c r="BA124" s="158"/>
      <c r="BB124" s="158"/>
    </row>
    <row r="125" spans="2:54">
      <c r="B125" s="225">
        <v>10436</v>
      </c>
      <c r="C125" s="225" t="s">
        <v>128</v>
      </c>
      <c r="D125" s="242">
        <v>-1111.0931974202749</v>
      </c>
      <c r="E125" s="242">
        <v>55.154168311019021</v>
      </c>
      <c r="F125" s="242">
        <v>-2780.3943025465169</v>
      </c>
      <c r="G125" s="242">
        <v>-699.85059346975231</v>
      </c>
      <c r="H125" s="242">
        <v>610.89114083990717</v>
      </c>
      <c r="I125" s="242">
        <v>657.47671853260272</v>
      </c>
      <c r="J125" s="242">
        <v>2006.7177852508203</v>
      </c>
      <c r="K125" s="242">
        <v>1677.8298608941959</v>
      </c>
      <c r="L125" s="242">
        <v>1467.8293900499439</v>
      </c>
      <c r="M125" s="242">
        <v>1080.9643622723088</v>
      </c>
      <c r="N125" s="242">
        <v>-547.54504955678658</v>
      </c>
      <c r="O125" s="242">
        <v>427.82558012515256</v>
      </c>
      <c r="P125" s="242">
        <v>581.54542862881226</v>
      </c>
      <c r="Q125" s="242">
        <v>883.53885886993567</v>
      </c>
      <c r="R125" s="242">
        <v>-94.585636239205996</v>
      </c>
      <c r="S125" s="242">
        <v>2595.9550215543641</v>
      </c>
      <c r="T125" s="242">
        <v>1683.1909401582452</v>
      </c>
      <c r="U125" s="242">
        <v>4157.0907789011399</v>
      </c>
      <c r="V125" s="242">
        <v>5535.656791056259</v>
      </c>
      <c r="W125" s="242">
        <v>6244.0773586753203</v>
      </c>
      <c r="X125" s="242">
        <v>2727.9021751805158</v>
      </c>
      <c r="Y125" s="242">
        <v>3704.1096895433275</v>
      </c>
      <c r="Z125" s="242">
        <v>177.71729686728486</v>
      </c>
      <c r="AA125" s="242">
        <v>1674.7704939998357</v>
      </c>
      <c r="AB125" s="242">
        <v>-1118.2291974202753</v>
      </c>
      <c r="AC125" s="242">
        <v>41.243168311018962</v>
      </c>
      <c r="AD125" s="242">
        <v>-2784.6223025465169</v>
      </c>
      <c r="AE125" s="242">
        <v>-704.4075934697521</v>
      </c>
      <c r="AF125" s="242">
        <v>628.59514083990871</v>
      </c>
      <c r="AG125" s="242">
        <v>669.94371853260327</v>
      </c>
      <c r="AH125" s="242">
        <v>2025.6477852508206</v>
      </c>
      <c r="AI125" s="242">
        <v>1686.6978608941963</v>
      </c>
      <c r="AJ125" s="242">
        <v>1216.7683900499451</v>
      </c>
      <c r="AK125" s="242">
        <v>896.57136227230876</v>
      </c>
      <c r="AL125" s="242">
        <v>-550.72804955678657</v>
      </c>
      <c r="AM125" s="242">
        <v>426.33258012515216</v>
      </c>
      <c r="AN125" s="242">
        <v>625.48142862881286</v>
      </c>
      <c r="AO125" s="242">
        <v>826.14485886993543</v>
      </c>
      <c r="AP125" s="242">
        <v>-124.36963623920565</v>
      </c>
      <c r="AQ125" s="242">
        <v>2655.9220215543628</v>
      </c>
      <c r="AR125" s="242">
        <v>1730.3999401582478</v>
      </c>
      <c r="AS125" s="242">
        <v>4185.9337789011406</v>
      </c>
      <c r="AT125" s="242">
        <v>5609.7297910562593</v>
      </c>
      <c r="AU125" s="242">
        <v>6289.6443586753194</v>
      </c>
      <c r="AV125" s="242">
        <v>2767.4991751805173</v>
      </c>
      <c r="AW125" s="242">
        <v>3728.2156895433272</v>
      </c>
      <c r="AX125" s="242">
        <v>187.16729686728377</v>
      </c>
      <c r="AY125" s="242">
        <v>1678.9364939998359</v>
      </c>
      <c r="BA125" s="158"/>
      <c r="BB125" s="158"/>
    </row>
    <row r="126" spans="2:54">
      <c r="B126" s="225">
        <v>10440</v>
      </c>
      <c r="C126" s="225" t="s">
        <v>129</v>
      </c>
      <c r="D126" s="242">
        <v>75.374860497237478</v>
      </c>
      <c r="E126" s="242">
        <v>216.83951006594793</v>
      </c>
      <c r="F126" s="242">
        <v>87.265463110261408</v>
      </c>
      <c r="G126" s="242">
        <v>179.54620831439547</v>
      </c>
      <c r="H126" s="242">
        <v>966.59700495107927</v>
      </c>
      <c r="I126" s="242">
        <v>667.07041434214943</v>
      </c>
      <c r="J126" s="242">
        <v>1514.053290776468</v>
      </c>
      <c r="K126" s="242">
        <v>889.69679491217039</v>
      </c>
      <c r="L126" s="242">
        <v>1431.8200417652661</v>
      </c>
      <c r="M126" s="242">
        <v>776.87376547883923</v>
      </c>
      <c r="N126" s="242">
        <v>451.94833867040916</v>
      </c>
      <c r="O126" s="242">
        <v>421.85047492356489</v>
      </c>
      <c r="P126" s="242">
        <v>778.71909727584898</v>
      </c>
      <c r="Q126" s="242">
        <v>491.66274777544641</v>
      </c>
      <c r="R126" s="242">
        <v>-658.29901702298957</v>
      </c>
      <c r="S126" s="242">
        <v>-24.758334189626567</v>
      </c>
      <c r="T126" s="242">
        <v>-1154.7918486784051</v>
      </c>
      <c r="U126" s="242">
        <v>-58.113156900764125</v>
      </c>
      <c r="V126" s="242">
        <v>-865.02450298647591</v>
      </c>
      <c r="W126" s="242">
        <v>-240.80641599223213</v>
      </c>
      <c r="X126" s="242">
        <v>-701.40268813866146</v>
      </c>
      <c r="Y126" s="242">
        <v>-231.77025695121267</v>
      </c>
      <c r="Z126" s="242">
        <v>-575.32272359161857</v>
      </c>
      <c r="AA126" s="242">
        <v>-133.22475938529351</v>
      </c>
      <c r="AB126" s="242">
        <v>167.15186049723752</v>
      </c>
      <c r="AC126" s="242">
        <v>139.48951006594802</v>
      </c>
      <c r="AD126" s="242">
        <v>97.900463110261626</v>
      </c>
      <c r="AE126" s="242">
        <v>186.75220831439538</v>
      </c>
      <c r="AF126" s="242">
        <v>979.92200495107954</v>
      </c>
      <c r="AG126" s="242">
        <v>676.8314143421494</v>
      </c>
      <c r="AH126" s="242">
        <v>1527.9602907764681</v>
      </c>
      <c r="AI126" s="242">
        <v>899.17979491217056</v>
      </c>
      <c r="AJ126" s="242">
        <v>1321.728041765266</v>
      </c>
      <c r="AK126" s="242">
        <v>732.12576547883941</v>
      </c>
      <c r="AL126" s="242">
        <v>462.40433867040883</v>
      </c>
      <c r="AM126" s="242">
        <v>428.98447492356468</v>
      </c>
      <c r="AN126" s="242">
        <v>788.61209727584901</v>
      </c>
      <c r="AO126" s="242">
        <v>497.85074777544628</v>
      </c>
      <c r="AP126" s="242">
        <v>-650.84201702298969</v>
      </c>
      <c r="AQ126" s="242">
        <v>-19.945334189626465</v>
      </c>
      <c r="AR126" s="242">
        <v>-1148.0408486784052</v>
      </c>
      <c r="AS126" s="242">
        <v>-53.732156900764039</v>
      </c>
      <c r="AT126" s="242">
        <v>-858.38650298647576</v>
      </c>
      <c r="AU126" s="242">
        <v>-236.6874159922321</v>
      </c>
      <c r="AV126" s="242">
        <v>-757.31668813866145</v>
      </c>
      <c r="AW126" s="242">
        <v>-164.90525695121266</v>
      </c>
      <c r="AX126" s="242">
        <v>-505.07072359161862</v>
      </c>
      <c r="AY126" s="242">
        <v>-192.72575938529349</v>
      </c>
      <c r="BA126" s="158"/>
      <c r="BB126" s="158"/>
    </row>
    <row r="127" spans="2:54">
      <c r="B127" s="225">
        <v>10442</v>
      </c>
      <c r="C127" s="225" t="s">
        <v>130</v>
      </c>
      <c r="D127" s="242">
        <v>-1359.9663355488374</v>
      </c>
      <c r="E127" s="242">
        <v>-140.80054062001136</v>
      </c>
      <c r="F127" s="242">
        <v>-1906.4976600770069</v>
      </c>
      <c r="G127" s="242">
        <v>-636.46513123461591</v>
      </c>
      <c r="H127" s="242">
        <v>957.70972594472096</v>
      </c>
      <c r="I127" s="242">
        <v>1143.0699520932776</v>
      </c>
      <c r="J127" s="242">
        <v>2023.1338469275997</v>
      </c>
      <c r="K127" s="242">
        <v>1335.9582007789818</v>
      </c>
      <c r="L127" s="242">
        <v>341.02037425159233</v>
      </c>
      <c r="M127" s="242">
        <v>100.756490307901</v>
      </c>
      <c r="N127" s="242">
        <v>-720.0252421766354</v>
      </c>
      <c r="O127" s="242">
        <v>150.49517105764653</v>
      </c>
      <c r="P127" s="242">
        <v>371.11393636528373</v>
      </c>
      <c r="Q127" s="242">
        <v>393.98496515117495</v>
      </c>
      <c r="R127" s="242">
        <v>-1534.3941486261474</v>
      </c>
      <c r="S127" s="242">
        <v>239.03546235371005</v>
      </c>
      <c r="T127" s="242">
        <v>-1882.8365127600173</v>
      </c>
      <c r="U127" s="242">
        <v>715.13488277172291</v>
      </c>
      <c r="V127" s="242">
        <v>-229.63175315979242</v>
      </c>
      <c r="W127" s="242">
        <v>721.80504576787416</v>
      </c>
      <c r="X127" s="242">
        <v>-346.60238583669252</v>
      </c>
      <c r="Y127" s="242">
        <v>367.70563765988982</v>
      </c>
      <c r="Z127" s="242">
        <v>-1198.4301422550961</v>
      </c>
      <c r="AA127" s="242">
        <v>200.4595214119804</v>
      </c>
      <c r="AB127" s="242">
        <v>-1145.201335548838</v>
      </c>
      <c r="AC127" s="242">
        <v>-293.77454062001152</v>
      </c>
      <c r="AD127" s="242">
        <v>-1885.6626600770069</v>
      </c>
      <c r="AE127" s="242">
        <v>-620.88613123461573</v>
      </c>
      <c r="AF127" s="242">
        <v>938.75272594472062</v>
      </c>
      <c r="AG127" s="242">
        <v>1127.7019520932772</v>
      </c>
      <c r="AH127" s="242">
        <v>2009.9838469275992</v>
      </c>
      <c r="AI127" s="242">
        <v>1326.361200778982</v>
      </c>
      <c r="AJ127" s="242">
        <v>251.89437425159213</v>
      </c>
      <c r="AK127" s="242">
        <v>88.456490307901277</v>
      </c>
      <c r="AL127" s="242">
        <v>-708.55324217663565</v>
      </c>
      <c r="AM127" s="242">
        <v>159.12217105764648</v>
      </c>
      <c r="AN127" s="242">
        <v>388.36093636528403</v>
      </c>
      <c r="AO127" s="242">
        <v>405.31896515117523</v>
      </c>
      <c r="AP127" s="242">
        <v>-1516.8891486261482</v>
      </c>
      <c r="AQ127" s="242">
        <v>250.90046235370983</v>
      </c>
      <c r="AR127" s="242">
        <v>-1870.098512760017</v>
      </c>
      <c r="AS127" s="242">
        <v>723.61888277172329</v>
      </c>
      <c r="AT127" s="242">
        <v>-210.49075315979189</v>
      </c>
      <c r="AU127" s="242">
        <v>733.91004576787418</v>
      </c>
      <c r="AV127" s="242">
        <v>-566.93038583669295</v>
      </c>
      <c r="AW127" s="242">
        <v>620.35763765988986</v>
      </c>
      <c r="AX127" s="242">
        <v>-975.86714225509604</v>
      </c>
      <c r="AY127" s="242">
        <v>10.851521411980684</v>
      </c>
      <c r="BA127" s="158"/>
      <c r="BB127" s="158"/>
    </row>
    <row r="128" spans="2:54">
      <c r="B128" s="225">
        <v>10446</v>
      </c>
      <c r="C128" s="225" t="s">
        <v>131</v>
      </c>
      <c r="D128" s="242">
        <v>-5128.7882515246311</v>
      </c>
      <c r="E128" s="242">
        <v>5211.5628269051304</v>
      </c>
      <c r="F128" s="242">
        <v>-14230.45922500547</v>
      </c>
      <c r="G128" s="242">
        <v>-2308.0689488198368</v>
      </c>
      <c r="H128" s="242">
        <v>-7320.2434921775421</v>
      </c>
      <c r="I128" s="242">
        <v>-1051.6793431962578</v>
      </c>
      <c r="J128" s="242">
        <v>1122.6793986937773</v>
      </c>
      <c r="K128" s="242">
        <v>3325.6231527664931</v>
      </c>
      <c r="L128" s="242">
        <v>3358.6802460550643</v>
      </c>
      <c r="M128" s="242">
        <v>3644.9767814867737</v>
      </c>
      <c r="N128" s="242">
        <v>-5542.0901905860374</v>
      </c>
      <c r="O128" s="242">
        <v>2884.3154502305515</v>
      </c>
      <c r="P128" s="242">
        <v>721.89744133204294</v>
      </c>
      <c r="Q128" s="242">
        <v>4237.5732441189211</v>
      </c>
      <c r="R128" s="242">
        <v>-9949.3503166746232</v>
      </c>
      <c r="S128" s="242">
        <v>7572.7430122093174</v>
      </c>
      <c r="T128" s="242">
        <v>-16649.316991869433</v>
      </c>
      <c r="U128" s="242">
        <v>8075.3446164991474</v>
      </c>
      <c r="V128" s="242">
        <v>-12896.768587614832</v>
      </c>
      <c r="W128" s="242">
        <v>3024.4986502253778</v>
      </c>
      <c r="X128" s="242">
        <v>-7347.6145387433207</v>
      </c>
      <c r="Y128" s="242">
        <v>5791.7309189199113</v>
      </c>
      <c r="Z128" s="242">
        <v>-5117.9190116536265</v>
      </c>
      <c r="AA128" s="242">
        <v>8137.1956579012476</v>
      </c>
      <c r="AB128" s="242">
        <v>-4587.4072515246298</v>
      </c>
      <c r="AC128" s="242">
        <v>3132.6718269051344</v>
      </c>
      <c r="AD128" s="242">
        <v>-15015.742225005473</v>
      </c>
      <c r="AE128" s="242">
        <v>-2856.0349488198335</v>
      </c>
      <c r="AF128" s="242">
        <v>-8049.6124921775481</v>
      </c>
      <c r="AG128" s="242">
        <v>-1608.0833431962528</v>
      </c>
      <c r="AH128" s="242">
        <v>378.83439869377617</v>
      </c>
      <c r="AI128" s="242">
        <v>3122.8271527664911</v>
      </c>
      <c r="AJ128" s="242">
        <v>1347.9882460550616</v>
      </c>
      <c r="AK128" s="242">
        <v>2484.9257814867742</v>
      </c>
      <c r="AL128" s="242">
        <v>-5997.3591905860376</v>
      </c>
      <c r="AM128" s="242">
        <v>2686.2894502305535</v>
      </c>
      <c r="AN128" s="242">
        <v>662.37944133204292</v>
      </c>
      <c r="AO128" s="242">
        <v>3837.5912441189248</v>
      </c>
      <c r="AP128" s="242">
        <v>-11690.496316674631</v>
      </c>
      <c r="AQ128" s="242">
        <v>6564.4780122093143</v>
      </c>
      <c r="AR128" s="242">
        <v>-16977.944991869444</v>
      </c>
      <c r="AS128" s="242">
        <v>7861.933616499151</v>
      </c>
      <c r="AT128" s="242">
        <v>-13635.961587614831</v>
      </c>
      <c r="AU128" s="242">
        <v>2352.4956502253772</v>
      </c>
      <c r="AV128" s="242">
        <v>-9311.867538743325</v>
      </c>
      <c r="AW128" s="242">
        <v>6988.7499189199116</v>
      </c>
      <c r="AX128" s="242">
        <v>-4157.7760116536301</v>
      </c>
      <c r="AY128" s="242">
        <v>6227.5486579012504</v>
      </c>
      <c r="BA128" s="158"/>
      <c r="BB128" s="158"/>
    </row>
    <row r="129" spans="2:54">
      <c r="B129" s="225">
        <v>10448</v>
      </c>
      <c r="C129" s="225" t="s">
        <v>132</v>
      </c>
      <c r="D129" s="242">
        <v>0</v>
      </c>
      <c r="E129" s="242">
        <v>0</v>
      </c>
      <c r="F129" s="242">
        <v>0</v>
      </c>
      <c r="G129" s="242">
        <v>0</v>
      </c>
      <c r="H129" s="242">
        <v>0</v>
      </c>
      <c r="I129" s="242">
        <v>0</v>
      </c>
      <c r="J129" s="242">
        <v>0</v>
      </c>
      <c r="K129" s="242">
        <v>0</v>
      </c>
      <c r="L129" s="242">
        <v>0</v>
      </c>
      <c r="M129" s="242">
        <v>0</v>
      </c>
      <c r="N129" s="242">
        <v>0</v>
      </c>
      <c r="O129" s="242">
        <v>0</v>
      </c>
      <c r="P129" s="242">
        <v>0</v>
      </c>
      <c r="Q129" s="242">
        <v>0</v>
      </c>
      <c r="R129" s="242">
        <v>0</v>
      </c>
      <c r="S129" s="242">
        <v>0</v>
      </c>
      <c r="T129" s="242">
        <v>0</v>
      </c>
      <c r="U129" s="242">
        <v>0</v>
      </c>
      <c r="V129" s="242">
        <v>0</v>
      </c>
      <c r="W129" s="242">
        <v>0</v>
      </c>
      <c r="X129" s="242">
        <v>0</v>
      </c>
      <c r="Y129" s="242">
        <v>0</v>
      </c>
      <c r="Z129" s="242">
        <v>0</v>
      </c>
      <c r="AA129" s="242">
        <v>0</v>
      </c>
      <c r="AB129" s="242">
        <v>0</v>
      </c>
      <c r="AC129" s="242">
        <v>0</v>
      </c>
      <c r="AD129" s="242">
        <v>0</v>
      </c>
      <c r="AE129" s="242">
        <v>0</v>
      </c>
      <c r="AF129" s="242">
        <v>0</v>
      </c>
      <c r="AG129" s="242">
        <v>0</v>
      </c>
      <c r="AH129" s="242">
        <v>0</v>
      </c>
      <c r="AI129" s="242">
        <v>0</v>
      </c>
      <c r="AJ129" s="242">
        <v>0</v>
      </c>
      <c r="AK129" s="242">
        <v>0</v>
      </c>
      <c r="AL129" s="242">
        <v>0</v>
      </c>
      <c r="AM129" s="242">
        <v>0</v>
      </c>
      <c r="AN129" s="242">
        <v>0</v>
      </c>
      <c r="AO129" s="242">
        <v>0</v>
      </c>
      <c r="AP129" s="242">
        <v>0</v>
      </c>
      <c r="AQ129" s="242">
        <v>0</v>
      </c>
      <c r="AR129" s="242">
        <v>0</v>
      </c>
      <c r="AS129" s="242">
        <v>0</v>
      </c>
      <c r="AT129" s="242">
        <v>0</v>
      </c>
      <c r="AU129" s="242">
        <v>0</v>
      </c>
      <c r="AV129" s="242">
        <v>0</v>
      </c>
      <c r="AW129" s="242">
        <v>0</v>
      </c>
      <c r="AX129" s="242">
        <v>0</v>
      </c>
      <c r="AY129" s="242">
        <v>0</v>
      </c>
      <c r="BA129" s="158"/>
      <c r="BB129" s="158"/>
    </row>
    <row r="130" spans="2:54">
      <c r="B130" s="225">
        <v>10451</v>
      </c>
      <c r="C130" s="225" t="s">
        <v>133</v>
      </c>
      <c r="D130" s="242">
        <v>-672.45476815553775</v>
      </c>
      <c r="E130" s="242">
        <v>1971.4711465823684</v>
      </c>
      <c r="F130" s="242">
        <v>-3272.4822645597342</v>
      </c>
      <c r="G130" s="242">
        <v>-371.23974727397217</v>
      </c>
      <c r="H130" s="242">
        <v>-2319.4952337575978</v>
      </c>
      <c r="I130" s="242">
        <v>-666.28286529928664</v>
      </c>
      <c r="J130" s="242">
        <v>586.56251814806092</v>
      </c>
      <c r="K130" s="242">
        <v>649.03054278749187</v>
      </c>
      <c r="L130" s="242">
        <v>1303.0235447171017</v>
      </c>
      <c r="M130" s="242">
        <v>1055.750990533219</v>
      </c>
      <c r="N130" s="242">
        <v>-665.8646032083052</v>
      </c>
      <c r="O130" s="242">
        <v>1219.9315833339024</v>
      </c>
      <c r="P130" s="242">
        <v>1704.4333905460535</v>
      </c>
      <c r="Q130" s="242">
        <v>2169.0597738746656</v>
      </c>
      <c r="R130" s="242">
        <v>-2899.5900487898598</v>
      </c>
      <c r="S130" s="242">
        <v>1659.6266194690688</v>
      </c>
      <c r="T130" s="242">
        <v>-5159.0331892259255</v>
      </c>
      <c r="U130" s="242">
        <v>1844.5697865747279</v>
      </c>
      <c r="V130" s="242">
        <v>-5486.6887765204747</v>
      </c>
      <c r="W130" s="242">
        <v>-631.82170731614588</v>
      </c>
      <c r="X130" s="242">
        <v>-1759.1962062929906</v>
      </c>
      <c r="Y130" s="242">
        <v>1699.4703944165885</v>
      </c>
      <c r="Z130" s="242">
        <v>-1848.3100708677666</v>
      </c>
      <c r="AA130" s="242">
        <v>1926.3184196722641</v>
      </c>
      <c r="AB130" s="242">
        <v>-435.75976815553804</v>
      </c>
      <c r="AC130" s="242">
        <v>1373.9361465823686</v>
      </c>
      <c r="AD130" s="242">
        <v>-3466.4822645597342</v>
      </c>
      <c r="AE130" s="242">
        <v>-526.92474727397257</v>
      </c>
      <c r="AF130" s="242">
        <v>-2521.255233757598</v>
      </c>
      <c r="AG130" s="242">
        <v>-825.36286529928657</v>
      </c>
      <c r="AH130" s="242">
        <v>392.56251814806092</v>
      </c>
      <c r="AI130" s="242">
        <v>482.19054278749172</v>
      </c>
      <c r="AJ130" s="242">
        <v>686.14954471710189</v>
      </c>
      <c r="AK130" s="242">
        <v>706.48399053321828</v>
      </c>
      <c r="AL130" s="242">
        <v>-875.38460320830563</v>
      </c>
      <c r="AM130" s="242">
        <v>1069.0965833339014</v>
      </c>
      <c r="AN130" s="242">
        <v>1536.4653905460546</v>
      </c>
      <c r="AO130" s="242">
        <v>1987.8277738746656</v>
      </c>
      <c r="AP130" s="242">
        <v>-3127.3820487898611</v>
      </c>
      <c r="AQ130" s="242">
        <v>1526.5786194690691</v>
      </c>
      <c r="AR130" s="242">
        <v>-5360.7931892259257</v>
      </c>
      <c r="AS130" s="242">
        <v>1697.1297865747283</v>
      </c>
      <c r="AT130" s="242">
        <v>-2896.7327765204736</v>
      </c>
      <c r="AU130" s="242">
        <v>1369.2672926838541</v>
      </c>
      <c r="AV130" s="242">
        <v>-2421.8622062929917</v>
      </c>
      <c r="AW130" s="242">
        <v>2001.2953944165874</v>
      </c>
      <c r="AX130" s="242">
        <v>-1605.3430708677661</v>
      </c>
      <c r="AY130" s="242">
        <v>1334.1504196722626</v>
      </c>
      <c r="BA130" s="158"/>
      <c r="BB130" s="158"/>
    </row>
    <row r="131" spans="2:54">
      <c r="B131" s="225">
        <v>10482</v>
      </c>
      <c r="C131" s="225" t="s">
        <v>134</v>
      </c>
      <c r="D131" s="242">
        <v>-103.06714517903561</v>
      </c>
      <c r="E131" s="242">
        <v>170.34362393124616</v>
      </c>
      <c r="F131" s="242">
        <v>-338.22316353636597</v>
      </c>
      <c r="G131" s="242">
        <v>-59.058926688846441</v>
      </c>
      <c r="H131" s="242">
        <v>-166.4549944100952</v>
      </c>
      <c r="I131" s="242">
        <v>-34.535990866950897</v>
      </c>
      <c r="J131" s="242">
        <v>132.18504445315875</v>
      </c>
      <c r="K131" s="242">
        <v>99.664821925675824</v>
      </c>
      <c r="L131" s="242">
        <v>177.3475643273606</v>
      </c>
      <c r="M131" s="242">
        <v>123.02066072507978</v>
      </c>
      <c r="N131" s="242">
        <v>-44.169048171239638</v>
      </c>
      <c r="O131" s="242">
        <v>143.94044399783411</v>
      </c>
      <c r="P131" s="242">
        <v>205.06587205896028</v>
      </c>
      <c r="Q131" s="242">
        <v>228.01948680653697</v>
      </c>
      <c r="R131" s="242">
        <v>-317.09007927493667</v>
      </c>
      <c r="S131" s="242">
        <v>149.85918638546923</v>
      </c>
      <c r="T131" s="242">
        <v>-508.28055823159661</v>
      </c>
      <c r="U131" s="242">
        <v>180.33863142047369</v>
      </c>
      <c r="V131" s="242">
        <v>-227.00582264936111</v>
      </c>
      <c r="W131" s="242">
        <v>114.44298594700251</v>
      </c>
      <c r="X131" s="242">
        <v>-170.27343751375906</v>
      </c>
      <c r="Y131" s="242">
        <v>84.64503510132613</v>
      </c>
      <c r="Z131" s="242">
        <v>-192.18179990957833</v>
      </c>
      <c r="AA131" s="242">
        <v>153.22560075624335</v>
      </c>
      <c r="AB131" s="242">
        <v>-35.052145179035506</v>
      </c>
      <c r="AC131" s="242">
        <v>134.59462393124613</v>
      </c>
      <c r="AD131" s="242">
        <v>-320.80616353636583</v>
      </c>
      <c r="AE131" s="242">
        <v>-44.630926688846444</v>
      </c>
      <c r="AF131" s="242">
        <v>-145.2199944100953</v>
      </c>
      <c r="AG131" s="242">
        <v>-21.092990866950913</v>
      </c>
      <c r="AH131" s="242">
        <v>145.77704445315885</v>
      </c>
      <c r="AI131" s="242">
        <v>116.44682192567575</v>
      </c>
      <c r="AJ131" s="242">
        <v>160.03256432736077</v>
      </c>
      <c r="AK131" s="242">
        <v>122.91466072507978</v>
      </c>
      <c r="AL131" s="242">
        <v>-29.953048171239516</v>
      </c>
      <c r="AM131" s="242">
        <v>154.60744399783403</v>
      </c>
      <c r="AN131" s="242">
        <v>217.50387205896038</v>
      </c>
      <c r="AO131" s="242">
        <v>236.316486806537</v>
      </c>
      <c r="AP131" s="242">
        <v>-306.12407927493678</v>
      </c>
      <c r="AQ131" s="242">
        <v>158.32018638546924</v>
      </c>
      <c r="AR131" s="242">
        <v>-498.66555823159661</v>
      </c>
      <c r="AS131" s="242">
        <v>186.3816314204737</v>
      </c>
      <c r="AT131" s="242">
        <v>-218.8428226493611</v>
      </c>
      <c r="AU131" s="242">
        <v>120.00398594700243</v>
      </c>
      <c r="AV131" s="242">
        <v>-213.41943751375902</v>
      </c>
      <c r="AW131" s="242">
        <v>138.64803510132617</v>
      </c>
      <c r="AX131" s="242">
        <v>-139.24479990957821</v>
      </c>
      <c r="AY131" s="242">
        <v>108.29060075624341</v>
      </c>
      <c r="BA131" s="158"/>
      <c r="BB131" s="158"/>
    </row>
    <row r="132" spans="2:54">
      <c r="B132" s="225">
        <v>10502</v>
      </c>
      <c r="C132" s="225" t="s">
        <v>135</v>
      </c>
      <c r="D132" s="242">
        <v>-1395.0904897809924</v>
      </c>
      <c r="E132" s="242">
        <v>-379.76069326227116</v>
      </c>
      <c r="F132" s="242">
        <v>-4157.3495513185762</v>
      </c>
      <c r="G132" s="242">
        <v>-2189.4405718881712</v>
      </c>
      <c r="H132" s="242">
        <v>-2292.2692640859159</v>
      </c>
      <c r="I132" s="242">
        <v>-1897.427115499735</v>
      </c>
      <c r="J132" s="242">
        <v>-1050.3048500339428</v>
      </c>
      <c r="K132" s="242">
        <v>-1062.7524877231517</v>
      </c>
      <c r="L132" s="242">
        <v>-412.41380129745176</v>
      </c>
      <c r="M132" s="242">
        <v>-631.73590077596964</v>
      </c>
      <c r="N132" s="242">
        <v>-2498.9313606492942</v>
      </c>
      <c r="O132" s="242">
        <v>-1421.9674012132964</v>
      </c>
      <c r="P132" s="242">
        <v>489.90445611378527</v>
      </c>
      <c r="Q132" s="242">
        <v>382.51527106649974</v>
      </c>
      <c r="R132" s="242">
        <v>-366.27649773645862</v>
      </c>
      <c r="S132" s="242">
        <v>1649.7767158553343</v>
      </c>
      <c r="T132" s="242">
        <v>685.26642038097816</v>
      </c>
      <c r="U132" s="242">
        <v>2785.2947080335571</v>
      </c>
      <c r="V132" s="242">
        <v>4097.7566336604486</v>
      </c>
      <c r="W132" s="242">
        <v>4653.8097363078132</v>
      </c>
      <c r="X132" s="242">
        <v>4967.9289759478997</v>
      </c>
      <c r="Y132" s="242">
        <v>4406.3607903647599</v>
      </c>
      <c r="Z132" s="242">
        <v>1020.1194829760752</v>
      </c>
      <c r="AA132" s="242">
        <v>1807.4074195999137</v>
      </c>
      <c r="AB132" s="242">
        <v>-1155.5624897809921</v>
      </c>
      <c r="AC132" s="242">
        <v>-219.74469326227063</v>
      </c>
      <c r="AD132" s="242">
        <v>-4145.6215513185762</v>
      </c>
      <c r="AE132" s="242">
        <v>-2181.0435718881713</v>
      </c>
      <c r="AF132" s="242">
        <v>-2277.9902640859154</v>
      </c>
      <c r="AG132" s="242">
        <v>-1887.0861154997347</v>
      </c>
      <c r="AH132" s="242">
        <v>-1036.6458500339422</v>
      </c>
      <c r="AI132" s="242">
        <v>-1052.9434877231515</v>
      </c>
      <c r="AJ132" s="242">
        <v>-577.66880129745186</v>
      </c>
      <c r="AK132" s="242">
        <v>-741.35190077596963</v>
      </c>
      <c r="AL132" s="242">
        <v>-2486.8853606492939</v>
      </c>
      <c r="AM132" s="242">
        <v>-1414.0564012132968</v>
      </c>
      <c r="AN132" s="242">
        <v>504.46745611378537</v>
      </c>
      <c r="AO132" s="242">
        <v>391.76327106649933</v>
      </c>
      <c r="AP132" s="242">
        <v>-345.81949773645829</v>
      </c>
      <c r="AQ132" s="242">
        <v>1663.8397158553344</v>
      </c>
      <c r="AR132" s="242">
        <v>711.2914203809778</v>
      </c>
      <c r="AS132" s="242">
        <v>2801.6827080335579</v>
      </c>
      <c r="AT132" s="242">
        <v>4129.3376336604488</v>
      </c>
      <c r="AU132" s="242">
        <v>4675.8897363078131</v>
      </c>
      <c r="AV132" s="242">
        <v>5001.1459759479003</v>
      </c>
      <c r="AW132" s="242">
        <v>4427.2087903647598</v>
      </c>
      <c r="AX132" s="242">
        <v>1040.8054829760767</v>
      </c>
      <c r="AY132" s="242">
        <v>1822.0314195999135</v>
      </c>
      <c r="BA132" s="158"/>
      <c r="BB132" s="158"/>
    </row>
    <row r="133" spans="2:54">
      <c r="B133" s="225">
        <v>13927</v>
      </c>
      <c r="C133" s="225" t="s">
        <v>238</v>
      </c>
      <c r="D133" s="242">
        <v>-184.06057548377612</v>
      </c>
      <c r="E133" s="242">
        <v>110.32379810950408</v>
      </c>
      <c r="F133" s="242">
        <v>-598.83062423280239</v>
      </c>
      <c r="G133" s="242">
        <v>-144.86824982100734</v>
      </c>
      <c r="H133" s="242">
        <v>-268.26276653634227</v>
      </c>
      <c r="I133" s="242">
        <v>-138.62168613113931</v>
      </c>
      <c r="J133" s="242">
        <v>-10.929699756163245</v>
      </c>
      <c r="K133" s="242">
        <v>43.605592669583984</v>
      </c>
      <c r="L133" s="242">
        <v>122.50283471055832</v>
      </c>
      <c r="M133" s="242">
        <v>118.96445705879296</v>
      </c>
      <c r="N133" s="242">
        <v>-224.02137176114479</v>
      </c>
      <c r="O133" s="242">
        <v>-3.7518167683451793</v>
      </c>
      <c r="P133" s="242">
        <v>68.126858071295146</v>
      </c>
      <c r="Q133" s="242">
        <v>175.07344092319136</v>
      </c>
      <c r="R133" s="242">
        <v>-547.19884008888857</v>
      </c>
      <c r="S133" s="242">
        <v>148.57503797878485</v>
      </c>
      <c r="T133" s="242">
        <v>-679.10324402255742</v>
      </c>
      <c r="U133" s="242">
        <v>142.62147182787953</v>
      </c>
      <c r="V133" s="242">
        <v>-316.90495474930731</v>
      </c>
      <c r="W133" s="242">
        <v>211.0910307612304</v>
      </c>
      <c r="X133" s="242">
        <v>-127.48596296872279</v>
      </c>
      <c r="Y133" s="242">
        <v>261.73467899729724</v>
      </c>
      <c r="Z133" s="242">
        <v>-155.58718700899499</v>
      </c>
      <c r="AA133" s="242">
        <v>201.29510589310769</v>
      </c>
      <c r="AB133" s="242">
        <v>47.459813638021842</v>
      </c>
      <c r="AC133" s="242">
        <v>286.62654560028886</v>
      </c>
      <c r="AD133" s="242">
        <v>-362.55503494374648</v>
      </c>
      <c r="AE133" s="242">
        <v>-14.170417598896393</v>
      </c>
      <c r="AF133" s="242">
        <v>-37.138262959659642</v>
      </c>
      <c r="AG133" s="242">
        <v>36.601035993337518</v>
      </c>
      <c r="AH133" s="242">
        <v>219.01908419489882</v>
      </c>
      <c r="AI133" s="242">
        <v>232.54635698092216</v>
      </c>
      <c r="AJ133" s="242">
        <v>325.59433484675105</v>
      </c>
      <c r="AK133" s="242">
        <v>267.04313698952046</v>
      </c>
      <c r="AL133" s="242">
        <v>5.4165695545434573</v>
      </c>
      <c r="AM133" s="242">
        <v>161.38474710292644</v>
      </c>
      <c r="AN133" s="242">
        <v>275.59593128046345</v>
      </c>
      <c r="AO133" s="242">
        <v>322.58940552421507</v>
      </c>
      <c r="AP133" s="242">
        <v>-368.58837877520796</v>
      </c>
      <c r="AQ133" s="242">
        <v>300.87630142016963</v>
      </c>
      <c r="AR133" s="242">
        <v>-522.36406770429699</v>
      </c>
      <c r="AS133" s="242">
        <v>249.74523817382283</v>
      </c>
      <c r="AT133" s="242">
        <v>-142.82886385089319</v>
      </c>
      <c r="AU133" s="242">
        <v>335.0961455276738</v>
      </c>
      <c r="AV133" s="242">
        <v>-14.027302959953659</v>
      </c>
      <c r="AW133" s="242">
        <v>345.66589496180961</v>
      </c>
      <c r="AX133" s="242">
        <v>-99.557950464836495</v>
      </c>
      <c r="AY133" s="242">
        <v>246.46150220852019</v>
      </c>
      <c r="BA133" s="158"/>
      <c r="BB133" s="158"/>
    </row>
    <row r="134" spans="2:54">
      <c r="B134" s="225">
        <v>10597</v>
      </c>
      <c r="C134" s="225" t="s">
        <v>136</v>
      </c>
      <c r="D134" s="242">
        <v>-421.20981330635823</v>
      </c>
      <c r="E134" s="242">
        <v>-137.73410342764282</v>
      </c>
      <c r="F134" s="242">
        <v>-1076.8338266048995</v>
      </c>
      <c r="G134" s="242">
        <v>-384.24034228216715</v>
      </c>
      <c r="H134" s="242">
        <v>457.75951191538024</v>
      </c>
      <c r="I134" s="242">
        <v>37.328115692871506</v>
      </c>
      <c r="J134" s="242">
        <v>1703.9978420550324</v>
      </c>
      <c r="K134" s="242">
        <v>765.08964743867773</v>
      </c>
      <c r="L134" s="242">
        <v>1420.7811477217001</v>
      </c>
      <c r="M134" s="242">
        <v>601.45651175203056</v>
      </c>
      <c r="N134" s="242">
        <v>-356.80731214611023</v>
      </c>
      <c r="O134" s="242">
        <v>-276.34417002630789</v>
      </c>
      <c r="P134" s="242">
        <v>488.38899340148964</v>
      </c>
      <c r="Q134" s="242">
        <v>114.13801775640559</v>
      </c>
      <c r="R134" s="242">
        <v>-1491.0385746345974</v>
      </c>
      <c r="S134" s="242">
        <v>-98.837745435168472</v>
      </c>
      <c r="T134" s="242">
        <v>-1837.2674319066682</v>
      </c>
      <c r="U134" s="242">
        <v>33.239551273002235</v>
      </c>
      <c r="V134" s="242">
        <v>111.2610804792721</v>
      </c>
      <c r="W134" s="242">
        <v>603.13603919609477</v>
      </c>
      <c r="X134" s="242">
        <v>297.38252620014919</v>
      </c>
      <c r="Y134" s="242">
        <v>424.00530523438829</v>
      </c>
      <c r="Z134" s="242">
        <v>-512.5494836369744</v>
      </c>
      <c r="AA134" s="242">
        <v>-103.21131432975653</v>
      </c>
      <c r="AB134" s="242">
        <v>-424.19160357089368</v>
      </c>
      <c r="AC134" s="242">
        <v>-139.40323758387058</v>
      </c>
      <c r="AD134" s="242">
        <v>-1078.0967717754547</v>
      </c>
      <c r="AE134" s="242">
        <v>-384.91183070158786</v>
      </c>
      <c r="AF134" s="242">
        <v>458.93863917970157</v>
      </c>
      <c r="AG134" s="242">
        <v>37.999780780825859</v>
      </c>
      <c r="AH134" s="242">
        <v>1705.8582623298298</v>
      </c>
      <c r="AI134" s="242">
        <v>766.1361776233739</v>
      </c>
      <c r="AJ134" s="242">
        <v>1257.8614576000373</v>
      </c>
      <c r="AK134" s="242">
        <v>495.82636808030202</v>
      </c>
      <c r="AL134" s="242">
        <v>-358.99915139742097</v>
      </c>
      <c r="AM134" s="242">
        <v>-277.72907652331196</v>
      </c>
      <c r="AN134" s="242">
        <v>485.96367976897818</v>
      </c>
      <c r="AO134" s="242">
        <v>112.63211136218388</v>
      </c>
      <c r="AP134" s="242">
        <v>-1495.2512843087261</v>
      </c>
      <c r="AQ134" s="242">
        <v>-100.96768016173382</v>
      </c>
      <c r="AR134" s="242">
        <v>-1841.9473648195881</v>
      </c>
      <c r="AS134" s="242">
        <v>31.253377518909929</v>
      </c>
      <c r="AT134" s="242">
        <v>107.15674116919035</v>
      </c>
      <c r="AU134" s="242">
        <v>601.02844972658022</v>
      </c>
      <c r="AV134" s="242">
        <v>293.35126704645518</v>
      </c>
      <c r="AW134" s="242">
        <v>422.02434973643267</v>
      </c>
      <c r="AX134" s="242">
        <v>-516.17916863075425</v>
      </c>
      <c r="AY134" s="242">
        <v>-105.29382189096577</v>
      </c>
      <c r="BA134" s="158"/>
      <c r="BB134" s="158"/>
    </row>
    <row r="135" spans="2:54">
      <c r="B135" s="225">
        <v>10706</v>
      </c>
      <c r="C135" s="225" t="s">
        <v>137</v>
      </c>
      <c r="D135" s="242">
        <v>-53.861540239007809</v>
      </c>
      <c r="E135" s="242">
        <v>1064.6036599581753</v>
      </c>
      <c r="F135" s="242">
        <v>-2128.1984487981435</v>
      </c>
      <c r="G135" s="242">
        <v>-269.15891579736035</v>
      </c>
      <c r="H135" s="242">
        <v>-1087.146422384586</v>
      </c>
      <c r="I135" s="242">
        <v>-578.86772930172538</v>
      </c>
      <c r="J135" s="242">
        <v>344.72288634704364</v>
      </c>
      <c r="K135" s="242">
        <v>464.53320289447947</v>
      </c>
      <c r="L135" s="242">
        <v>776.08227932713908</v>
      </c>
      <c r="M135" s="242">
        <v>639.60437838187954</v>
      </c>
      <c r="N135" s="242">
        <v>-332.53909618384569</v>
      </c>
      <c r="O135" s="242">
        <v>454.4050737803127</v>
      </c>
      <c r="P135" s="242">
        <v>1082.480735334113</v>
      </c>
      <c r="Q135" s="242">
        <v>1341.9611252570326</v>
      </c>
      <c r="R135" s="242">
        <v>-1813.1258596926482</v>
      </c>
      <c r="S135" s="242">
        <v>1243.8373045121907</v>
      </c>
      <c r="T135" s="242">
        <v>-2503.1949580438122</v>
      </c>
      <c r="U135" s="242">
        <v>1261.4998758618799</v>
      </c>
      <c r="V135" s="242">
        <v>-1051.9006899788519</v>
      </c>
      <c r="W135" s="242">
        <v>1588.7208449376494</v>
      </c>
      <c r="X135" s="242">
        <v>-436.93557134433195</v>
      </c>
      <c r="Y135" s="242">
        <v>1681.0691831510553</v>
      </c>
      <c r="Z135" s="242">
        <v>-337.59927428275023</v>
      </c>
      <c r="AA135" s="242">
        <v>1422.198149988717</v>
      </c>
      <c r="AB135" s="242">
        <v>33.666459760992439</v>
      </c>
      <c r="AC135" s="242">
        <v>1127.0466599581755</v>
      </c>
      <c r="AD135" s="242">
        <v>-2047.6164487981432</v>
      </c>
      <c r="AE135" s="242">
        <v>-205.26791579736073</v>
      </c>
      <c r="AF135" s="242">
        <v>-1003.5274223845863</v>
      </c>
      <c r="AG135" s="242">
        <v>-513.28072930172584</v>
      </c>
      <c r="AH135" s="242">
        <v>429.03588634704374</v>
      </c>
      <c r="AI135" s="242">
        <v>530.95920289447986</v>
      </c>
      <c r="AJ135" s="242">
        <v>628.96227932713919</v>
      </c>
      <c r="AK135" s="242">
        <v>531.68737838187917</v>
      </c>
      <c r="AL135" s="242">
        <v>-247.05909618384612</v>
      </c>
      <c r="AM135" s="242">
        <v>516.27807378031321</v>
      </c>
      <c r="AN135" s="242">
        <v>1165.4827353341134</v>
      </c>
      <c r="AO135" s="242">
        <v>1401.8731252570319</v>
      </c>
      <c r="AP135" s="242">
        <v>-1729.9888596926485</v>
      </c>
      <c r="AQ135" s="242">
        <v>1310.2993045121912</v>
      </c>
      <c r="AR135" s="242">
        <v>-2503.1949580438122</v>
      </c>
      <c r="AS135" s="242">
        <v>1261.4998758618799</v>
      </c>
      <c r="AT135" s="242">
        <v>-1051.9006899788519</v>
      </c>
      <c r="AU135" s="242">
        <v>1588.7208449376494</v>
      </c>
      <c r="AV135" s="242">
        <v>-436.93557134433195</v>
      </c>
      <c r="AW135" s="242">
        <v>1681.0691831510553</v>
      </c>
      <c r="AX135" s="242">
        <v>-337.59927428275023</v>
      </c>
      <c r="AY135" s="242">
        <v>1422.198149988717</v>
      </c>
      <c r="BA135" s="158"/>
      <c r="BB135" s="158"/>
    </row>
    <row r="136" spans="2:54">
      <c r="B136" s="225">
        <v>11680</v>
      </c>
      <c r="C136" s="225" t="s">
        <v>138</v>
      </c>
      <c r="D136" s="242">
        <v>57.272764923285195</v>
      </c>
      <c r="E136" s="242">
        <v>122.09416918891452</v>
      </c>
      <c r="F136" s="242">
        <v>-258.2854618518395</v>
      </c>
      <c r="G136" s="242">
        <v>-138.80412148510004</v>
      </c>
      <c r="H136" s="242">
        <v>459.53525428492821</v>
      </c>
      <c r="I136" s="242">
        <v>167.44805182482287</v>
      </c>
      <c r="J136" s="242">
        <v>1210.3192502735196</v>
      </c>
      <c r="K136" s="242">
        <v>496.30415152410683</v>
      </c>
      <c r="L136" s="242">
        <v>986.72631296561985</v>
      </c>
      <c r="M136" s="242">
        <v>318.6046413969184</v>
      </c>
      <c r="N136" s="242">
        <v>164.17266297463402</v>
      </c>
      <c r="O136" s="242">
        <v>76.365597385015008</v>
      </c>
      <c r="P136" s="242">
        <v>537.14952254319405</v>
      </c>
      <c r="Q136" s="242">
        <v>142.45248949824349</v>
      </c>
      <c r="R136" s="242">
        <v>-582.99000995485812</v>
      </c>
      <c r="S136" s="242">
        <v>-63.52090194800121</v>
      </c>
      <c r="T136" s="242">
        <v>-762.32747655980029</v>
      </c>
      <c r="U136" s="242">
        <v>155.52328158230148</v>
      </c>
      <c r="V136" s="242">
        <v>488.92991030406347</v>
      </c>
      <c r="W136" s="242">
        <v>411.39631742065694</v>
      </c>
      <c r="X136" s="242">
        <v>479.76474645898952</v>
      </c>
      <c r="Y136" s="242">
        <v>271.41368273183298</v>
      </c>
      <c r="Z136" s="242">
        <v>-233.33269142608424</v>
      </c>
      <c r="AA136" s="242">
        <v>9.8831236440462362</v>
      </c>
      <c r="AB136" s="242">
        <v>155.60576492328482</v>
      </c>
      <c r="AC136" s="242">
        <v>31.983169188914417</v>
      </c>
      <c r="AD136" s="242">
        <v>-252.63846185183911</v>
      </c>
      <c r="AE136" s="242">
        <v>-135.20312148510016</v>
      </c>
      <c r="AF136" s="242">
        <v>466.05125428492829</v>
      </c>
      <c r="AG136" s="242">
        <v>171.99505182482289</v>
      </c>
      <c r="AH136" s="242">
        <v>1217.3392502735196</v>
      </c>
      <c r="AI136" s="242">
        <v>500.80115152410713</v>
      </c>
      <c r="AJ136" s="242">
        <v>869.04631296562002</v>
      </c>
      <c r="AK136" s="242">
        <v>274.16164139691841</v>
      </c>
      <c r="AL136" s="242">
        <v>169.64866297463414</v>
      </c>
      <c r="AM136" s="242">
        <v>79.752597385015179</v>
      </c>
      <c r="AN136" s="242">
        <v>542.16652254319433</v>
      </c>
      <c r="AO136" s="242">
        <v>145.20848949824335</v>
      </c>
      <c r="AP136" s="242">
        <v>-578.08800995485808</v>
      </c>
      <c r="AQ136" s="242">
        <v>-60.724901948001161</v>
      </c>
      <c r="AR136" s="242">
        <v>-756.95947655980035</v>
      </c>
      <c r="AS136" s="242">
        <v>158.57628158230159</v>
      </c>
      <c r="AT136" s="242">
        <v>495.98891030406367</v>
      </c>
      <c r="AU136" s="242">
        <v>415.25331742065691</v>
      </c>
      <c r="AV136" s="242">
        <v>369.76074645898962</v>
      </c>
      <c r="AW136" s="242">
        <v>391.76968273183297</v>
      </c>
      <c r="AX136" s="242">
        <v>-138.55069142608454</v>
      </c>
      <c r="AY136" s="242">
        <v>-77.1868763559537</v>
      </c>
      <c r="BA136" s="158"/>
      <c r="BB136" s="158"/>
    </row>
    <row r="137" spans="2:54">
      <c r="B137" s="225">
        <v>12026</v>
      </c>
      <c r="C137" s="225" t="s">
        <v>139</v>
      </c>
      <c r="D137" s="242">
        <v>-433.25816418068644</v>
      </c>
      <c r="E137" s="242">
        <v>1168.6234294439273</v>
      </c>
      <c r="F137" s="242">
        <v>-1411.2506670094263</v>
      </c>
      <c r="G137" s="242">
        <v>-275.79792135225216</v>
      </c>
      <c r="H137" s="242">
        <v>4676.3938844117729</v>
      </c>
      <c r="I137" s="242">
        <v>2265.5094346273418</v>
      </c>
      <c r="J137" s="242">
        <v>10189.050813824648</v>
      </c>
      <c r="K137" s="242">
        <v>4964.1884854601722</v>
      </c>
      <c r="L137" s="242">
        <v>9230.3316297461242</v>
      </c>
      <c r="M137" s="242">
        <v>4286.0435606871324</v>
      </c>
      <c r="N137" s="242">
        <v>3580.539677210596</v>
      </c>
      <c r="O137" s="242">
        <v>3194.1343199648127</v>
      </c>
      <c r="P137" s="242">
        <v>4583.4331555504377</v>
      </c>
      <c r="Q137" s="242">
        <v>2798.950177440709</v>
      </c>
      <c r="R137" s="242">
        <v>-6632.755643471588</v>
      </c>
      <c r="S137" s="242">
        <v>-744.37205889419056</v>
      </c>
      <c r="T137" s="242">
        <v>-10916.355257373056</v>
      </c>
      <c r="U137" s="242">
        <v>-1091.0554701789042</v>
      </c>
      <c r="V137" s="242">
        <v>-7918.0054987357362</v>
      </c>
      <c r="W137" s="242">
        <v>-2678.0513185935524</v>
      </c>
      <c r="X137" s="242">
        <v>-6947.0277543529755</v>
      </c>
      <c r="Y137" s="242">
        <v>-2497.8871293249395</v>
      </c>
      <c r="Z137" s="242">
        <v>-5132.1269682151051</v>
      </c>
      <c r="AA137" s="242">
        <v>-1196.0207675449292</v>
      </c>
      <c r="AB137" s="242">
        <v>291.20083581931613</v>
      </c>
      <c r="AC137" s="242">
        <v>542.97942944392707</v>
      </c>
      <c r="AD137" s="242">
        <v>-1361.5906670094228</v>
      </c>
      <c r="AE137" s="242">
        <v>-252.63392135225331</v>
      </c>
      <c r="AF137" s="242">
        <v>4624.7518844117694</v>
      </c>
      <c r="AG137" s="242">
        <v>2222.877434627344</v>
      </c>
      <c r="AH137" s="242">
        <v>10162.299813824651</v>
      </c>
      <c r="AI137" s="242">
        <v>4932.3644854601753</v>
      </c>
      <c r="AJ137" s="242">
        <v>8894.9086297461254</v>
      </c>
      <c r="AK137" s="242">
        <v>4275.889560687132</v>
      </c>
      <c r="AL137" s="242">
        <v>3614.9786772105981</v>
      </c>
      <c r="AM137" s="242">
        <v>3213.6273199648131</v>
      </c>
      <c r="AN137" s="242">
        <v>4669.3841555504387</v>
      </c>
      <c r="AO137" s="242">
        <v>2776.2351774407089</v>
      </c>
      <c r="AP137" s="242">
        <v>-6604.6226434715863</v>
      </c>
      <c r="AQ137" s="242">
        <v>-670.92705889419085</v>
      </c>
      <c r="AR137" s="242">
        <v>-10849.234257373057</v>
      </c>
      <c r="AS137" s="242">
        <v>-1055.068470178905</v>
      </c>
      <c r="AT137" s="242">
        <v>-7848.2514987357372</v>
      </c>
      <c r="AU137" s="242">
        <v>-2653.7413185935548</v>
      </c>
      <c r="AV137" s="242">
        <v>-7397.583754352976</v>
      </c>
      <c r="AW137" s="242">
        <v>-1955.2091293249396</v>
      </c>
      <c r="AX137" s="242">
        <v>-4522.0849682151056</v>
      </c>
      <c r="AY137" s="242">
        <v>-1708.1827675449294</v>
      </c>
      <c r="BA137" s="158"/>
      <c r="BB137" s="158"/>
    </row>
    <row r="138" spans="2:54">
      <c r="B138" s="225">
        <v>10298</v>
      </c>
      <c r="C138" s="225" t="s">
        <v>140</v>
      </c>
      <c r="D138" s="242">
        <v>-20533.00141973648</v>
      </c>
      <c r="E138" s="242">
        <v>357.16280267047114</v>
      </c>
      <c r="F138" s="242">
        <v>-34700.409037608653</v>
      </c>
      <c r="G138" s="242">
        <v>-11683.977395905735</v>
      </c>
      <c r="H138" s="242">
        <v>60042.18179460027</v>
      </c>
      <c r="I138" s="242">
        <v>31856.605334657041</v>
      </c>
      <c r="J138" s="242">
        <v>119949.03066322621</v>
      </c>
      <c r="K138" s="242">
        <v>60159.651378067152</v>
      </c>
      <c r="L138" s="242">
        <v>101322.18858532936</v>
      </c>
      <c r="M138" s="242">
        <v>47224.154926882649</v>
      </c>
      <c r="N138" s="242">
        <v>22297.923808463878</v>
      </c>
      <c r="O138" s="242">
        <v>23355.761679358053</v>
      </c>
      <c r="P138" s="242">
        <v>45668.863297810283</v>
      </c>
      <c r="Q138" s="242">
        <v>25139.841638059777</v>
      </c>
      <c r="R138" s="242">
        <v>-73781.27230352172</v>
      </c>
      <c r="S138" s="242">
        <v>-1388.5732394235965</v>
      </c>
      <c r="T138" s="242">
        <v>-101155.91098734981</v>
      </c>
      <c r="U138" s="242">
        <v>10015.854319127306</v>
      </c>
      <c r="V138" s="242">
        <v>-37319.671249783307</v>
      </c>
      <c r="W138" s="242">
        <v>10433.462488968915</v>
      </c>
      <c r="X138" s="242">
        <v>-32476.223618976539</v>
      </c>
      <c r="Y138" s="242">
        <v>3212.5649995321291</v>
      </c>
      <c r="Z138" s="242">
        <v>-43542.837335497228</v>
      </c>
      <c r="AA138" s="242">
        <v>-1314.837488297082</v>
      </c>
      <c r="AB138" s="242">
        <v>-14228.438419736514</v>
      </c>
      <c r="AC138" s="242">
        <v>-6283.6441973295296</v>
      </c>
      <c r="AD138" s="242">
        <v>-34396.422037608689</v>
      </c>
      <c r="AE138" s="242">
        <v>-11756.698395905754</v>
      </c>
      <c r="AF138" s="242">
        <v>60628.525794600253</v>
      </c>
      <c r="AG138" s="242">
        <v>32114.549334657058</v>
      </c>
      <c r="AH138" s="242">
        <v>120800.26766322623</v>
      </c>
      <c r="AI138" s="242">
        <v>60317.999378067179</v>
      </c>
      <c r="AJ138" s="242">
        <v>91277.224585329386</v>
      </c>
      <c r="AK138" s="242">
        <v>42439.533926882636</v>
      </c>
      <c r="AL138" s="242">
        <v>22528.000808463868</v>
      </c>
      <c r="AM138" s="242">
        <v>23392.911679358047</v>
      </c>
      <c r="AN138" s="242">
        <v>47013.194297810318</v>
      </c>
      <c r="AO138" s="242">
        <v>23731.215638059788</v>
      </c>
      <c r="AP138" s="242">
        <v>-74982.224303521682</v>
      </c>
      <c r="AQ138" s="242">
        <v>-651.59823942359071</v>
      </c>
      <c r="AR138" s="242">
        <v>-101196.3469873498</v>
      </c>
      <c r="AS138" s="242">
        <v>9704.6683191272896</v>
      </c>
      <c r="AT138" s="242">
        <v>-37179.590249783301</v>
      </c>
      <c r="AU138" s="242">
        <v>9918.0754889689269</v>
      </c>
      <c r="AV138" s="242">
        <v>-38327.584618976514</v>
      </c>
      <c r="AW138" s="242">
        <v>8708.5729995321308</v>
      </c>
      <c r="AX138" s="242">
        <v>-37931.412335497211</v>
      </c>
      <c r="AY138" s="242">
        <v>-7313.7754882970767</v>
      </c>
      <c r="BA138" s="158"/>
      <c r="BB138" s="158"/>
    </row>
    <row r="139" spans="2:54">
      <c r="B139" s="143" t="s">
        <v>141</v>
      </c>
      <c r="C139" s="144" t="s">
        <v>141</v>
      </c>
      <c r="D139" s="145" t="s">
        <v>141</v>
      </c>
      <c r="E139" s="146" t="s">
        <v>141</v>
      </c>
      <c r="F139" s="145" t="s">
        <v>141</v>
      </c>
      <c r="G139" s="146" t="s">
        <v>141</v>
      </c>
      <c r="H139" s="145" t="s">
        <v>141</v>
      </c>
      <c r="I139" s="146" t="s">
        <v>141</v>
      </c>
      <c r="J139" s="145" t="s">
        <v>141</v>
      </c>
      <c r="K139" s="146" t="s">
        <v>141</v>
      </c>
      <c r="L139" s="145" t="s">
        <v>141</v>
      </c>
      <c r="M139" s="146" t="s">
        <v>141</v>
      </c>
      <c r="N139" s="145" t="s">
        <v>141</v>
      </c>
      <c r="O139" s="146" t="s">
        <v>141</v>
      </c>
      <c r="P139" s="145" t="s">
        <v>141</v>
      </c>
      <c r="Q139" s="146" t="s">
        <v>141</v>
      </c>
      <c r="R139" s="145" t="s">
        <v>141</v>
      </c>
      <c r="S139" s="146" t="s">
        <v>141</v>
      </c>
      <c r="T139" s="145" t="s">
        <v>141</v>
      </c>
      <c r="U139" s="146" t="s">
        <v>141</v>
      </c>
      <c r="V139" s="145" t="s">
        <v>141</v>
      </c>
      <c r="W139" s="146" t="s">
        <v>141</v>
      </c>
      <c r="X139" s="145" t="s">
        <v>141</v>
      </c>
      <c r="Y139" s="146" t="s">
        <v>141</v>
      </c>
      <c r="Z139" s="145" t="s">
        <v>141</v>
      </c>
      <c r="AA139" s="146" t="s">
        <v>141</v>
      </c>
      <c r="AB139" s="145" t="s">
        <v>141</v>
      </c>
      <c r="AC139" s="146" t="s">
        <v>141</v>
      </c>
      <c r="AD139" s="145" t="s">
        <v>141</v>
      </c>
      <c r="AE139" s="146" t="s">
        <v>141</v>
      </c>
      <c r="AF139" s="145" t="s">
        <v>141</v>
      </c>
      <c r="AG139" s="146" t="s">
        <v>141</v>
      </c>
      <c r="AH139" s="145" t="s">
        <v>141</v>
      </c>
      <c r="AI139" s="146" t="s">
        <v>141</v>
      </c>
      <c r="AJ139" s="145" t="s">
        <v>141</v>
      </c>
      <c r="AK139" s="146" t="s">
        <v>141</v>
      </c>
      <c r="AL139" s="145" t="s">
        <v>141</v>
      </c>
      <c r="AM139" s="146" t="s">
        <v>141</v>
      </c>
      <c r="AN139" s="145" t="s">
        <v>141</v>
      </c>
      <c r="AO139" s="146" t="s">
        <v>141</v>
      </c>
      <c r="AP139" s="145" t="s">
        <v>141</v>
      </c>
      <c r="AQ139" s="146" t="s">
        <v>141</v>
      </c>
      <c r="AR139" s="145" t="s">
        <v>141</v>
      </c>
      <c r="AS139" s="146" t="s">
        <v>141</v>
      </c>
      <c r="AT139" s="145" t="s">
        <v>141</v>
      </c>
      <c r="AU139" s="146" t="s">
        <v>141</v>
      </c>
      <c r="AV139" s="145" t="s">
        <v>141</v>
      </c>
      <c r="AW139" s="146" t="s">
        <v>141</v>
      </c>
      <c r="AX139" s="145" t="s">
        <v>141</v>
      </c>
      <c r="AY139" s="146" t="s">
        <v>141</v>
      </c>
      <c r="BA139" s="158"/>
      <c r="BB139" s="158"/>
    </row>
    <row r="140" spans="2:54">
      <c r="B140" s="143" t="s">
        <v>141</v>
      </c>
      <c r="C140" s="144" t="s">
        <v>141</v>
      </c>
      <c r="D140" s="145"/>
      <c r="E140" s="146"/>
      <c r="F140" s="145"/>
      <c r="G140" s="146"/>
      <c r="H140" s="145"/>
      <c r="I140" s="146" t="s">
        <v>141</v>
      </c>
      <c r="J140" s="145" t="s">
        <v>141</v>
      </c>
      <c r="K140" s="146" t="s">
        <v>141</v>
      </c>
      <c r="L140" s="145" t="s">
        <v>141</v>
      </c>
      <c r="M140" s="146" t="s">
        <v>141</v>
      </c>
      <c r="N140" s="145" t="s">
        <v>141</v>
      </c>
      <c r="O140" s="146" t="s">
        <v>141</v>
      </c>
      <c r="P140" s="145" t="s">
        <v>141</v>
      </c>
      <c r="Q140" s="146" t="s">
        <v>141</v>
      </c>
      <c r="R140" s="145" t="s">
        <v>141</v>
      </c>
      <c r="S140" s="146" t="s">
        <v>141</v>
      </c>
      <c r="T140" s="145" t="s">
        <v>141</v>
      </c>
      <c r="U140" s="146" t="s">
        <v>141</v>
      </c>
      <c r="V140" s="145" t="s">
        <v>141</v>
      </c>
      <c r="W140" s="146" t="s">
        <v>141</v>
      </c>
      <c r="X140" s="145" t="s">
        <v>141</v>
      </c>
      <c r="Y140" s="146" t="s">
        <v>141</v>
      </c>
      <c r="Z140" s="145" t="s">
        <v>141</v>
      </c>
      <c r="AA140" s="146" t="s">
        <v>141</v>
      </c>
      <c r="AB140" s="145" t="s">
        <v>141</v>
      </c>
      <c r="AC140" s="146" t="s">
        <v>141</v>
      </c>
      <c r="AD140" s="145" t="s">
        <v>141</v>
      </c>
      <c r="AE140" s="146" t="s">
        <v>141</v>
      </c>
      <c r="AF140" s="145" t="s">
        <v>141</v>
      </c>
      <c r="AG140" s="146" t="s">
        <v>141</v>
      </c>
      <c r="AH140" s="145" t="s">
        <v>141</v>
      </c>
      <c r="AI140" s="146" t="s">
        <v>141</v>
      </c>
      <c r="AJ140" s="145" t="s">
        <v>141</v>
      </c>
      <c r="AK140" s="146" t="s">
        <v>141</v>
      </c>
      <c r="AL140" s="145" t="s">
        <v>141</v>
      </c>
      <c r="AM140" s="146" t="s">
        <v>141</v>
      </c>
      <c r="AN140" s="145" t="s">
        <v>141</v>
      </c>
      <c r="AO140" s="146" t="s">
        <v>141</v>
      </c>
      <c r="AP140" s="145" t="s">
        <v>141</v>
      </c>
      <c r="AQ140" s="146" t="s">
        <v>141</v>
      </c>
      <c r="AR140" s="145" t="s">
        <v>141</v>
      </c>
      <c r="AS140" s="146" t="s">
        <v>141</v>
      </c>
      <c r="AT140" s="145" t="s">
        <v>141</v>
      </c>
      <c r="AU140" s="146" t="s">
        <v>141</v>
      </c>
      <c r="AV140" s="145" t="s">
        <v>141</v>
      </c>
      <c r="AW140" s="146" t="s">
        <v>141</v>
      </c>
      <c r="AX140" s="145" t="s">
        <v>141</v>
      </c>
      <c r="AY140" s="146" t="s">
        <v>141</v>
      </c>
    </row>
    <row r="141" spans="2:54">
      <c r="B141" s="143" t="s">
        <v>141</v>
      </c>
      <c r="C141" s="144" t="s">
        <v>141</v>
      </c>
      <c r="D141" s="145" t="s">
        <v>141</v>
      </c>
      <c r="E141" s="146" t="s">
        <v>141</v>
      </c>
      <c r="F141" s="145" t="s">
        <v>141</v>
      </c>
      <c r="G141" s="146" t="s">
        <v>141</v>
      </c>
      <c r="H141" s="145" t="s">
        <v>141</v>
      </c>
      <c r="I141" s="146" t="s">
        <v>141</v>
      </c>
      <c r="J141" s="145" t="s">
        <v>141</v>
      </c>
      <c r="K141" s="146" t="s">
        <v>141</v>
      </c>
      <c r="L141" s="145" t="s">
        <v>141</v>
      </c>
      <c r="M141" s="146" t="s">
        <v>141</v>
      </c>
      <c r="N141" s="145" t="s">
        <v>141</v>
      </c>
      <c r="O141" s="146" t="s">
        <v>141</v>
      </c>
      <c r="P141" s="145" t="s">
        <v>141</v>
      </c>
      <c r="Q141" s="146" t="s">
        <v>141</v>
      </c>
      <c r="R141" s="145" t="s">
        <v>141</v>
      </c>
      <c r="S141" s="146" t="s">
        <v>141</v>
      </c>
      <c r="T141" s="145" t="s">
        <v>141</v>
      </c>
      <c r="U141" s="146" t="s">
        <v>141</v>
      </c>
      <c r="V141" s="145" t="s">
        <v>141</v>
      </c>
      <c r="W141" s="146" t="s">
        <v>141</v>
      </c>
      <c r="X141" s="145" t="s">
        <v>141</v>
      </c>
      <c r="Y141" s="146" t="s">
        <v>141</v>
      </c>
      <c r="Z141" s="145" t="s">
        <v>141</v>
      </c>
      <c r="AA141" s="146" t="s">
        <v>141</v>
      </c>
      <c r="AB141" s="145" t="s">
        <v>141</v>
      </c>
      <c r="AC141" s="146" t="s">
        <v>141</v>
      </c>
      <c r="AD141" s="145" t="s">
        <v>141</v>
      </c>
      <c r="AE141" s="146" t="s">
        <v>141</v>
      </c>
      <c r="AF141" s="145" t="s">
        <v>141</v>
      </c>
      <c r="AG141" s="146" t="s">
        <v>141</v>
      </c>
      <c r="AH141" s="145" t="s">
        <v>141</v>
      </c>
      <c r="AI141" s="146" t="s">
        <v>141</v>
      </c>
      <c r="AJ141" s="145" t="s">
        <v>141</v>
      </c>
      <c r="AK141" s="146" t="s">
        <v>141</v>
      </c>
      <c r="AL141" s="145" t="s">
        <v>141</v>
      </c>
      <c r="AM141" s="146" t="s">
        <v>141</v>
      </c>
      <c r="AN141" s="145" t="s">
        <v>141</v>
      </c>
      <c r="AO141" s="146" t="s">
        <v>141</v>
      </c>
      <c r="AP141" s="145" t="s">
        <v>141</v>
      </c>
      <c r="AQ141" s="146" t="s">
        <v>141</v>
      </c>
      <c r="AR141" s="145" t="s">
        <v>141</v>
      </c>
      <c r="AS141" s="146" t="s">
        <v>141</v>
      </c>
      <c r="AT141" s="145" t="s">
        <v>141</v>
      </c>
      <c r="AU141" s="146" t="s">
        <v>141</v>
      </c>
      <c r="AV141" s="145" t="s">
        <v>141</v>
      </c>
      <c r="AW141" s="146" t="s">
        <v>141</v>
      </c>
      <c r="AX141" s="145" t="s">
        <v>141</v>
      </c>
      <c r="AY141" s="146" t="s">
        <v>141</v>
      </c>
    </row>
    <row r="142" spans="2:54">
      <c r="B142" s="143"/>
      <c r="C142" s="144"/>
      <c r="D142" s="145"/>
      <c r="E142" s="146"/>
      <c r="F142" s="145" t="s">
        <v>141</v>
      </c>
      <c r="G142" s="146" t="s">
        <v>141</v>
      </c>
      <c r="H142" s="145" t="s">
        <v>141</v>
      </c>
      <c r="I142" s="146" t="s">
        <v>141</v>
      </c>
      <c r="J142" s="145" t="s">
        <v>141</v>
      </c>
      <c r="K142" s="146" t="s">
        <v>141</v>
      </c>
      <c r="L142" s="145" t="s">
        <v>141</v>
      </c>
      <c r="M142" s="146" t="s">
        <v>141</v>
      </c>
      <c r="N142" s="145" t="s">
        <v>141</v>
      </c>
      <c r="O142" s="146" t="s">
        <v>141</v>
      </c>
      <c r="P142" s="145" t="s">
        <v>141</v>
      </c>
      <c r="Q142" s="146" t="s">
        <v>141</v>
      </c>
      <c r="R142" s="145" t="s">
        <v>141</v>
      </c>
      <c r="S142" s="146" t="s">
        <v>141</v>
      </c>
      <c r="T142" s="145" t="s">
        <v>141</v>
      </c>
      <c r="U142" s="146" t="s">
        <v>141</v>
      </c>
      <c r="V142" s="145" t="s">
        <v>141</v>
      </c>
      <c r="W142" s="146" t="s">
        <v>141</v>
      </c>
      <c r="X142" s="145" t="s">
        <v>141</v>
      </c>
      <c r="Y142" s="146" t="s">
        <v>141</v>
      </c>
      <c r="Z142" s="145" t="s">
        <v>141</v>
      </c>
      <c r="AA142" s="146" t="s">
        <v>141</v>
      </c>
      <c r="AB142" s="145" t="s">
        <v>141</v>
      </c>
      <c r="AC142" s="146" t="s">
        <v>141</v>
      </c>
      <c r="AD142" s="145" t="s">
        <v>141</v>
      </c>
      <c r="AE142" s="146" t="s">
        <v>141</v>
      </c>
      <c r="AF142" s="145" t="s">
        <v>141</v>
      </c>
      <c r="AG142" s="146" t="s">
        <v>141</v>
      </c>
      <c r="AH142" s="145" t="s">
        <v>141</v>
      </c>
      <c r="AI142" s="146" t="s">
        <v>141</v>
      </c>
      <c r="AJ142" s="145" t="s">
        <v>141</v>
      </c>
      <c r="AK142" s="146" t="s">
        <v>141</v>
      </c>
      <c r="AL142" s="145" t="s">
        <v>141</v>
      </c>
      <c r="AM142" s="146" t="s">
        <v>141</v>
      </c>
      <c r="AN142" s="145" t="s">
        <v>141</v>
      </c>
      <c r="AO142" s="146" t="s">
        <v>141</v>
      </c>
      <c r="AP142" s="145" t="s">
        <v>141</v>
      </c>
      <c r="AQ142" s="146" t="s">
        <v>141</v>
      </c>
      <c r="AR142" s="145" t="s">
        <v>141</v>
      </c>
      <c r="AS142" s="146" t="s">
        <v>141</v>
      </c>
      <c r="AT142" s="145" t="s">
        <v>141</v>
      </c>
      <c r="AU142" s="146" t="s">
        <v>141</v>
      </c>
      <c r="AV142" s="145" t="s">
        <v>141</v>
      </c>
      <c r="AW142" s="146" t="s">
        <v>141</v>
      </c>
      <c r="AX142" s="145" t="s">
        <v>141</v>
      </c>
      <c r="AY142" s="146" t="s">
        <v>141</v>
      </c>
    </row>
    <row r="143" spans="2:54">
      <c r="B143" s="143" t="s">
        <v>141</v>
      </c>
      <c r="C143" s="144" t="s">
        <v>141</v>
      </c>
      <c r="D143" s="145" t="s">
        <v>141</v>
      </c>
      <c r="E143" s="146" t="s">
        <v>141</v>
      </c>
      <c r="F143" s="145" t="s">
        <v>141</v>
      </c>
      <c r="G143" s="146" t="s">
        <v>141</v>
      </c>
      <c r="H143" s="145" t="s">
        <v>141</v>
      </c>
      <c r="I143" s="146" t="s">
        <v>141</v>
      </c>
      <c r="J143" s="145" t="s">
        <v>141</v>
      </c>
      <c r="K143" s="146" t="s">
        <v>141</v>
      </c>
      <c r="L143" s="145" t="s">
        <v>141</v>
      </c>
      <c r="M143" s="146" t="s">
        <v>141</v>
      </c>
      <c r="N143" s="145" t="s">
        <v>141</v>
      </c>
      <c r="O143" s="146" t="s">
        <v>141</v>
      </c>
      <c r="P143" s="145" t="s">
        <v>141</v>
      </c>
      <c r="Q143" s="146" t="s">
        <v>141</v>
      </c>
      <c r="R143" s="145" t="s">
        <v>141</v>
      </c>
      <c r="S143" s="146" t="s">
        <v>141</v>
      </c>
      <c r="T143" s="145" t="s">
        <v>141</v>
      </c>
      <c r="U143" s="146" t="s">
        <v>141</v>
      </c>
      <c r="V143" s="145" t="s">
        <v>141</v>
      </c>
      <c r="W143" s="146" t="s">
        <v>141</v>
      </c>
      <c r="X143" s="145" t="s">
        <v>141</v>
      </c>
      <c r="Y143" s="146" t="s">
        <v>141</v>
      </c>
      <c r="Z143" s="145" t="s">
        <v>141</v>
      </c>
      <c r="AA143" s="146" t="s">
        <v>141</v>
      </c>
      <c r="AB143" s="145" t="s">
        <v>141</v>
      </c>
      <c r="AC143" s="146" t="s">
        <v>141</v>
      </c>
      <c r="AD143" s="145" t="s">
        <v>141</v>
      </c>
      <c r="AE143" s="146" t="s">
        <v>141</v>
      </c>
      <c r="AF143" s="145" t="s">
        <v>141</v>
      </c>
      <c r="AG143" s="146" t="s">
        <v>141</v>
      </c>
      <c r="AH143" s="145" t="s">
        <v>141</v>
      </c>
      <c r="AI143" s="146" t="s">
        <v>141</v>
      </c>
      <c r="AJ143" s="145" t="s">
        <v>141</v>
      </c>
      <c r="AK143" s="146" t="s">
        <v>141</v>
      </c>
      <c r="AL143" s="145" t="s">
        <v>141</v>
      </c>
      <c r="AM143" s="146" t="s">
        <v>141</v>
      </c>
      <c r="AN143" s="145" t="s">
        <v>141</v>
      </c>
      <c r="AO143" s="146" t="s">
        <v>141</v>
      </c>
      <c r="AP143" s="145" t="s">
        <v>141</v>
      </c>
      <c r="AQ143" s="146" t="s">
        <v>141</v>
      </c>
      <c r="AR143" s="145" t="s">
        <v>141</v>
      </c>
      <c r="AS143" s="146" t="s">
        <v>141</v>
      </c>
      <c r="AT143" s="145" t="s">
        <v>141</v>
      </c>
      <c r="AU143" s="146" t="s">
        <v>141</v>
      </c>
      <c r="AV143" s="145" t="s">
        <v>141</v>
      </c>
      <c r="AW143" s="146" t="s">
        <v>141</v>
      </c>
      <c r="AX143" s="145" t="s">
        <v>141</v>
      </c>
      <c r="AY143" s="146" t="s">
        <v>141</v>
      </c>
    </row>
    <row r="144" spans="2:54">
      <c r="B144" s="143" t="s">
        <v>141</v>
      </c>
      <c r="C144" s="144" t="s">
        <v>141</v>
      </c>
      <c r="D144" s="145" t="s">
        <v>141</v>
      </c>
      <c r="E144" s="146" t="s">
        <v>141</v>
      </c>
      <c r="F144" s="145" t="s">
        <v>141</v>
      </c>
      <c r="G144" s="146" t="s">
        <v>141</v>
      </c>
      <c r="H144" s="145" t="s">
        <v>141</v>
      </c>
      <c r="I144" s="146" t="s">
        <v>141</v>
      </c>
      <c r="J144" s="145" t="s">
        <v>141</v>
      </c>
      <c r="K144" s="146" t="s">
        <v>141</v>
      </c>
      <c r="L144" s="145" t="s">
        <v>141</v>
      </c>
      <c r="M144" s="146" t="s">
        <v>141</v>
      </c>
      <c r="N144" s="145" t="s">
        <v>141</v>
      </c>
      <c r="O144" s="146" t="s">
        <v>141</v>
      </c>
      <c r="P144" s="145" t="s">
        <v>141</v>
      </c>
      <c r="Q144" s="146" t="s">
        <v>141</v>
      </c>
      <c r="R144" s="145" t="s">
        <v>141</v>
      </c>
      <c r="S144" s="146" t="s">
        <v>141</v>
      </c>
      <c r="T144" s="145" t="s">
        <v>141</v>
      </c>
      <c r="U144" s="146" t="s">
        <v>141</v>
      </c>
      <c r="V144" s="145" t="s">
        <v>141</v>
      </c>
      <c r="W144" s="146" t="s">
        <v>141</v>
      </c>
      <c r="X144" s="145" t="s">
        <v>141</v>
      </c>
      <c r="Y144" s="146" t="s">
        <v>141</v>
      </c>
      <c r="Z144" s="145" t="s">
        <v>141</v>
      </c>
      <c r="AA144" s="146" t="s">
        <v>141</v>
      </c>
      <c r="AB144" s="145" t="s">
        <v>141</v>
      </c>
      <c r="AC144" s="146" t="s">
        <v>141</v>
      </c>
      <c r="AD144" s="145" t="s">
        <v>141</v>
      </c>
      <c r="AE144" s="146" t="s">
        <v>141</v>
      </c>
      <c r="AF144" s="145" t="s">
        <v>141</v>
      </c>
      <c r="AG144" s="146" t="s">
        <v>141</v>
      </c>
      <c r="AH144" s="145" t="s">
        <v>141</v>
      </c>
      <c r="AI144" s="146" t="s">
        <v>141</v>
      </c>
      <c r="AJ144" s="145" t="s">
        <v>141</v>
      </c>
      <c r="AK144" s="146" t="s">
        <v>141</v>
      </c>
      <c r="AL144" s="145" t="s">
        <v>141</v>
      </c>
      <c r="AM144" s="146" t="s">
        <v>141</v>
      </c>
      <c r="AN144" s="145" t="s">
        <v>141</v>
      </c>
      <c r="AO144" s="146" t="s">
        <v>141</v>
      </c>
      <c r="AP144" s="145" t="s">
        <v>141</v>
      </c>
      <c r="AQ144" s="146" t="s">
        <v>141</v>
      </c>
      <c r="AR144" s="145" t="s">
        <v>141</v>
      </c>
      <c r="AS144" s="146" t="s">
        <v>141</v>
      </c>
      <c r="AT144" s="145" t="s">
        <v>141</v>
      </c>
      <c r="AU144" s="146" t="s">
        <v>141</v>
      </c>
      <c r="AV144" s="145" t="s">
        <v>141</v>
      </c>
      <c r="AW144" s="146" t="s">
        <v>141</v>
      </c>
      <c r="AX144" s="145" t="s">
        <v>141</v>
      </c>
      <c r="AY144" s="146" t="s">
        <v>141</v>
      </c>
    </row>
    <row r="145" spans="2:51">
      <c r="B145" s="143" t="s">
        <v>141</v>
      </c>
      <c r="C145" s="144" t="s">
        <v>141</v>
      </c>
      <c r="D145" s="145" t="s">
        <v>141</v>
      </c>
      <c r="E145" s="146" t="s">
        <v>141</v>
      </c>
      <c r="F145" s="145" t="s">
        <v>141</v>
      </c>
      <c r="G145" s="146" t="s">
        <v>141</v>
      </c>
      <c r="H145" s="145" t="s">
        <v>141</v>
      </c>
      <c r="I145" s="146" t="s">
        <v>141</v>
      </c>
      <c r="J145" s="145" t="s">
        <v>141</v>
      </c>
      <c r="K145" s="146" t="s">
        <v>141</v>
      </c>
      <c r="L145" s="145" t="s">
        <v>141</v>
      </c>
      <c r="M145" s="146" t="s">
        <v>141</v>
      </c>
      <c r="N145" s="145" t="s">
        <v>141</v>
      </c>
      <c r="O145" s="146" t="s">
        <v>141</v>
      </c>
      <c r="P145" s="145" t="s">
        <v>141</v>
      </c>
      <c r="Q145" s="146" t="s">
        <v>141</v>
      </c>
      <c r="R145" s="145" t="s">
        <v>141</v>
      </c>
      <c r="S145" s="146" t="s">
        <v>141</v>
      </c>
      <c r="T145" s="145" t="s">
        <v>141</v>
      </c>
      <c r="U145" s="146" t="s">
        <v>141</v>
      </c>
      <c r="V145" s="145" t="s">
        <v>141</v>
      </c>
      <c r="W145" s="146" t="s">
        <v>141</v>
      </c>
      <c r="X145" s="145" t="s">
        <v>141</v>
      </c>
      <c r="Y145" s="146" t="s">
        <v>141</v>
      </c>
      <c r="Z145" s="145" t="s">
        <v>141</v>
      </c>
      <c r="AA145" s="146" t="s">
        <v>141</v>
      </c>
      <c r="AB145" s="145" t="s">
        <v>141</v>
      </c>
      <c r="AC145" s="146" t="s">
        <v>141</v>
      </c>
      <c r="AD145" s="145" t="s">
        <v>141</v>
      </c>
      <c r="AE145" s="146" t="s">
        <v>141</v>
      </c>
      <c r="AF145" s="145" t="s">
        <v>141</v>
      </c>
      <c r="AG145" s="146" t="s">
        <v>141</v>
      </c>
      <c r="AH145" s="145" t="s">
        <v>141</v>
      </c>
      <c r="AI145" s="146" t="s">
        <v>141</v>
      </c>
      <c r="AJ145" s="145" t="s">
        <v>141</v>
      </c>
      <c r="AK145" s="146" t="s">
        <v>141</v>
      </c>
      <c r="AL145" s="145" t="s">
        <v>141</v>
      </c>
      <c r="AM145" s="146" t="s">
        <v>141</v>
      </c>
      <c r="AN145" s="145" t="s">
        <v>141</v>
      </c>
      <c r="AO145" s="146" t="s">
        <v>141</v>
      </c>
      <c r="AP145" s="145" t="s">
        <v>141</v>
      </c>
      <c r="AQ145" s="146" t="s">
        <v>141</v>
      </c>
      <c r="AR145" s="145" t="s">
        <v>141</v>
      </c>
      <c r="AS145" s="146" t="s">
        <v>141</v>
      </c>
      <c r="AT145" s="145" t="s">
        <v>141</v>
      </c>
      <c r="AU145" s="146" t="s">
        <v>141</v>
      </c>
      <c r="AV145" s="145" t="s">
        <v>141</v>
      </c>
      <c r="AW145" s="146" t="s">
        <v>141</v>
      </c>
      <c r="AX145" s="145" t="s">
        <v>141</v>
      </c>
      <c r="AY145" s="146" t="s">
        <v>141</v>
      </c>
    </row>
    <row r="146" spans="2:51">
      <c r="B146" s="143" t="s">
        <v>141</v>
      </c>
      <c r="C146" s="144" t="s">
        <v>141</v>
      </c>
      <c r="D146" s="145" t="s">
        <v>141</v>
      </c>
      <c r="E146" s="146" t="s">
        <v>141</v>
      </c>
      <c r="F146" s="145" t="s">
        <v>141</v>
      </c>
      <c r="G146" s="146" t="s">
        <v>141</v>
      </c>
      <c r="H146" s="145" t="s">
        <v>141</v>
      </c>
      <c r="I146" s="146" t="s">
        <v>141</v>
      </c>
      <c r="J146" s="145" t="s">
        <v>141</v>
      </c>
      <c r="K146" s="146" t="s">
        <v>141</v>
      </c>
      <c r="L146" s="145" t="s">
        <v>141</v>
      </c>
      <c r="M146" s="146" t="s">
        <v>141</v>
      </c>
      <c r="N146" s="145" t="s">
        <v>141</v>
      </c>
      <c r="O146" s="146" t="s">
        <v>141</v>
      </c>
      <c r="P146" s="145" t="s">
        <v>141</v>
      </c>
      <c r="Q146" s="146" t="s">
        <v>141</v>
      </c>
      <c r="R146" s="145" t="s">
        <v>141</v>
      </c>
      <c r="S146" s="146" t="s">
        <v>141</v>
      </c>
      <c r="T146" s="145" t="s">
        <v>141</v>
      </c>
      <c r="U146" s="146" t="s">
        <v>141</v>
      </c>
      <c r="V146" s="145" t="s">
        <v>141</v>
      </c>
      <c r="W146" s="146" t="s">
        <v>141</v>
      </c>
      <c r="X146" s="145" t="s">
        <v>141</v>
      </c>
      <c r="Y146" s="146" t="s">
        <v>141</v>
      </c>
      <c r="Z146" s="145" t="s">
        <v>141</v>
      </c>
      <c r="AA146" s="146" t="s">
        <v>141</v>
      </c>
      <c r="AB146" s="145" t="s">
        <v>141</v>
      </c>
      <c r="AC146" s="146" t="s">
        <v>141</v>
      </c>
      <c r="AD146" s="145" t="s">
        <v>141</v>
      </c>
      <c r="AE146" s="146" t="s">
        <v>141</v>
      </c>
      <c r="AF146" s="145" t="s">
        <v>141</v>
      </c>
      <c r="AG146" s="146" t="s">
        <v>141</v>
      </c>
      <c r="AH146" s="145" t="s">
        <v>141</v>
      </c>
      <c r="AI146" s="146" t="s">
        <v>141</v>
      </c>
      <c r="AJ146" s="145" t="s">
        <v>141</v>
      </c>
      <c r="AK146" s="146" t="s">
        <v>141</v>
      </c>
      <c r="AL146" s="145" t="s">
        <v>141</v>
      </c>
      <c r="AM146" s="146" t="s">
        <v>141</v>
      </c>
      <c r="AN146" s="145" t="s">
        <v>141</v>
      </c>
      <c r="AO146" s="146" t="s">
        <v>141</v>
      </c>
      <c r="AP146" s="145" t="s">
        <v>141</v>
      </c>
      <c r="AQ146" s="146" t="s">
        <v>141</v>
      </c>
      <c r="AR146" s="145" t="s">
        <v>141</v>
      </c>
      <c r="AS146" s="146" t="s">
        <v>141</v>
      </c>
      <c r="AT146" s="145" t="s">
        <v>141</v>
      </c>
      <c r="AU146" s="146" t="s">
        <v>141</v>
      </c>
      <c r="AV146" s="145" t="s">
        <v>141</v>
      </c>
      <c r="AW146" s="146" t="s">
        <v>141</v>
      </c>
      <c r="AX146" s="145" t="s">
        <v>141</v>
      </c>
      <c r="AY146" s="146" t="s">
        <v>141</v>
      </c>
    </row>
    <row r="147" spans="2:51">
      <c r="B147" s="143" t="s">
        <v>141</v>
      </c>
      <c r="C147" s="144" t="s">
        <v>141</v>
      </c>
      <c r="D147" s="145" t="s">
        <v>141</v>
      </c>
      <c r="E147" s="146" t="s">
        <v>141</v>
      </c>
      <c r="F147" s="145" t="s">
        <v>141</v>
      </c>
      <c r="G147" s="146" t="s">
        <v>141</v>
      </c>
      <c r="H147" s="145" t="s">
        <v>141</v>
      </c>
      <c r="I147" s="146" t="s">
        <v>141</v>
      </c>
      <c r="J147" s="145" t="s">
        <v>141</v>
      </c>
      <c r="K147" s="146" t="s">
        <v>141</v>
      </c>
      <c r="L147" s="145" t="s">
        <v>141</v>
      </c>
      <c r="M147" s="146" t="s">
        <v>141</v>
      </c>
      <c r="N147" s="145" t="s">
        <v>141</v>
      </c>
      <c r="O147" s="146" t="s">
        <v>141</v>
      </c>
      <c r="P147" s="145" t="s">
        <v>141</v>
      </c>
      <c r="Q147" s="146" t="s">
        <v>141</v>
      </c>
      <c r="R147" s="145" t="s">
        <v>141</v>
      </c>
      <c r="S147" s="146" t="s">
        <v>141</v>
      </c>
      <c r="T147" s="145" t="s">
        <v>141</v>
      </c>
      <c r="U147" s="146" t="s">
        <v>141</v>
      </c>
      <c r="V147" s="145" t="s">
        <v>141</v>
      </c>
      <c r="W147" s="146" t="s">
        <v>141</v>
      </c>
      <c r="X147" s="145" t="s">
        <v>141</v>
      </c>
      <c r="Y147" s="146" t="s">
        <v>141</v>
      </c>
      <c r="Z147" s="145" t="s">
        <v>141</v>
      </c>
      <c r="AA147" s="146" t="s">
        <v>141</v>
      </c>
      <c r="AB147" s="145" t="s">
        <v>141</v>
      </c>
      <c r="AC147" s="146" t="s">
        <v>141</v>
      </c>
      <c r="AD147" s="145" t="s">
        <v>141</v>
      </c>
      <c r="AE147" s="146" t="s">
        <v>141</v>
      </c>
      <c r="AF147" s="145" t="s">
        <v>141</v>
      </c>
      <c r="AG147" s="146" t="s">
        <v>141</v>
      </c>
      <c r="AH147" s="145" t="s">
        <v>141</v>
      </c>
      <c r="AI147" s="146" t="s">
        <v>141</v>
      </c>
      <c r="AJ147" s="145" t="s">
        <v>141</v>
      </c>
      <c r="AK147" s="146" t="s">
        <v>141</v>
      </c>
      <c r="AL147" s="145" t="s">
        <v>141</v>
      </c>
      <c r="AM147" s="146" t="s">
        <v>141</v>
      </c>
      <c r="AN147" s="145" t="s">
        <v>141</v>
      </c>
      <c r="AO147" s="146" t="s">
        <v>141</v>
      </c>
      <c r="AP147" s="145" t="s">
        <v>141</v>
      </c>
      <c r="AQ147" s="146" t="s">
        <v>141</v>
      </c>
      <c r="AR147" s="145" t="s">
        <v>141</v>
      </c>
      <c r="AS147" s="146" t="s">
        <v>141</v>
      </c>
      <c r="AT147" s="145" t="s">
        <v>141</v>
      </c>
      <c r="AU147" s="146" t="s">
        <v>141</v>
      </c>
      <c r="AV147" s="145" t="s">
        <v>141</v>
      </c>
      <c r="AW147" s="146" t="s">
        <v>141</v>
      </c>
      <c r="AX147" s="145" t="s">
        <v>141</v>
      </c>
      <c r="AY147" s="146" t="s">
        <v>141</v>
      </c>
    </row>
    <row r="148" spans="2:51">
      <c r="B148" s="143" t="s">
        <v>141</v>
      </c>
      <c r="C148" s="144" t="s">
        <v>141</v>
      </c>
      <c r="D148" s="145" t="s">
        <v>141</v>
      </c>
      <c r="E148" s="146" t="s">
        <v>141</v>
      </c>
      <c r="F148" s="145" t="s">
        <v>141</v>
      </c>
      <c r="G148" s="146" t="s">
        <v>141</v>
      </c>
      <c r="H148" s="145" t="s">
        <v>141</v>
      </c>
      <c r="I148" s="146" t="s">
        <v>141</v>
      </c>
      <c r="J148" s="145" t="s">
        <v>141</v>
      </c>
      <c r="K148" s="146" t="s">
        <v>141</v>
      </c>
      <c r="L148" s="145" t="s">
        <v>141</v>
      </c>
      <c r="M148" s="146" t="s">
        <v>141</v>
      </c>
      <c r="N148" s="145" t="s">
        <v>141</v>
      </c>
      <c r="O148" s="146" t="s">
        <v>141</v>
      </c>
      <c r="P148" s="145" t="s">
        <v>141</v>
      </c>
      <c r="Q148" s="146" t="s">
        <v>141</v>
      </c>
      <c r="R148" s="145" t="s">
        <v>141</v>
      </c>
      <c r="S148" s="146" t="s">
        <v>141</v>
      </c>
      <c r="T148" s="145" t="s">
        <v>141</v>
      </c>
      <c r="U148" s="146" t="s">
        <v>141</v>
      </c>
      <c r="V148" s="145" t="s">
        <v>141</v>
      </c>
      <c r="W148" s="146" t="s">
        <v>141</v>
      </c>
      <c r="X148" s="145" t="s">
        <v>141</v>
      </c>
      <c r="Y148" s="146" t="s">
        <v>141</v>
      </c>
      <c r="Z148" s="145" t="s">
        <v>141</v>
      </c>
      <c r="AA148" s="146" t="s">
        <v>141</v>
      </c>
      <c r="AB148" s="145" t="s">
        <v>141</v>
      </c>
      <c r="AC148" s="146" t="s">
        <v>141</v>
      </c>
      <c r="AD148" s="145" t="s">
        <v>141</v>
      </c>
      <c r="AE148" s="146" t="s">
        <v>141</v>
      </c>
      <c r="AF148" s="145" t="s">
        <v>141</v>
      </c>
      <c r="AG148" s="146" t="s">
        <v>141</v>
      </c>
      <c r="AH148" s="145" t="s">
        <v>141</v>
      </c>
      <c r="AI148" s="146" t="s">
        <v>141</v>
      </c>
      <c r="AJ148" s="145" t="s">
        <v>141</v>
      </c>
      <c r="AK148" s="146" t="s">
        <v>141</v>
      </c>
      <c r="AL148" s="145" t="s">
        <v>141</v>
      </c>
      <c r="AM148" s="146" t="s">
        <v>141</v>
      </c>
      <c r="AN148" s="145" t="s">
        <v>141</v>
      </c>
      <c r="AO148" s="146" t="s">
        <v>141</v>
      </c>
      <c r="AP148" s="145" t="s">
        <v>141</v>
      </c>
      <c r="AQ148" s="146" t="s">
        <v>141</v>
      </c>
      <c r="AR148" s="145" t="s">
        <v>141</v>
      </c>
      <c r="AS148" s="146" t="s">
        <v>141</v>
      </c>
      <c r="AT148" s="145" t="s">
        <v>141</v>
      </c>
      <c r="AU148" s="146" t="s">
        <v>141</v>
      </c>
      <c r="AV148" s="145" t="s">
        <v>141</v>
      </c>
      <c r="AW148" s="146" t="s">
        <v>141</v>
      </c>
      <c r="AX148" s="145" t="s">
        <v>141</v>
      </c>
      <c r="AY148" s="146" t="s">
        <v>141</v>
      </c>
    </row>
    <row r="149" spans="2:51">
      <c r="B149" s="143">
        <v>1</v>
      </c>
      <c r="C149" s="144">
        <v>2</v>
      </c>
      <c r="D149" s="145">
        <v>3</v>
      </c>
      <c r="E149" s="146">
        <v>4</v>
      </c>
      <c r="F149" s="145">
        <v>5</v>
      </c>
      <c r="G149" s="146">
        <v>6</v>
      </c>
      <c r="H149" s="145">
        <v>7</v>
      </c>
      <c r="I149" s="146">
        <v>8</v>
      </c>
      <c r="J149" s="145">
        <v>9</v>
      </c>
      <c r="K149" s="146">
        <v>10</v>
      </c>
      <c r="L149" s="145">
        <v>11</v>
      </c>
      <c r="M149" s="146">
        <v>12</v>
      </c>
      <c r="N149" s="145">
        <v>13</v>
      </c>
      <c r="O149" s="146">
        <v>14</v>
      </c>
      <c r="P149" s="145">
        <v>15</v>
      </c>
      <c r="Q149" s="146">
        <v>16</v>
      </c>
      <c r="R149" s="145">
        <v>17</v>
      </c>
      <c r="S149" s="146">
        <v>18</v>
      </c>
      <c r="T149" s="145">
        <v>19</v>
      </c>
      <c r="U149" s="146">
        <v>20</v>
      </c>
      <c r="V149" s="145">
        <v>21</v>
      </c>
      <c r="W149" s="146">
        <v>22</v>
      </c>
      <c r="X149" s="145">
        <v>23</v>
      </c>
      <c r="Y149" s="146">
        <v>24</v>
      </c>
      <c r="Z149" s="145">
        <v>25</v>
      </c>
      <c r="AA149" s="146">
        <v>26</v>
      </c>
      <c r="AB149" s="145">
        <v>27</v>
      </c>
      <c r="AC149" s="146">
        <v>28</v>
      </c>
      <c r="AD149" s="145">
        <v>29</v>
      </c>
      <c r="AE149" s="146">
        <v>30</v>
      </c>
      <c r="AF149" s="145">
        <v>31</v>
      </c>
      <c r="AG149" s="146">
        <v>32</v>
      </c>
      <c r="AH149" s="145">
        <v>33</v>
      </c>
      <c r="AI149" s="146">
        <v>34</v>
      </c>
      <c r="AJ149" s="145">
        <v>35</v>
      </c>
      <c r="AK149" s="146">
        <v>36</v>
      </c>
      <c r="AL149" s="145">
        <v>37</v>
      </c>
      <c r="AM149" s="146">
        <v>38</v>
      </c>
      <c r="AN149" s="145">
        <v>39</v>
      </c>
      <c r="AO149" s="146">
        <v>40</v>
      </c>
      <c r="AP149" s="145">
        <v>41</v>
      </c>
      <c r="AQ149" s="146">
        <v>42</v>
      </c>
      <c r="AR149" s="145">
        <v>43</v>
      </c>
      <c r="AS149" s="146">
        <v>44</v>
      </c>
      <c r="AT149" s="145">
        <v>45</v>
      </c>
      <c r="AU149" s="146">
        <v>46</v>
      </c>
      <c r="AV149" s="145">
        <v>47</v>
      </c>
      <c r="AW149" s="146">
        <v>48</v>
      </c>
      <c r="AX149" s="145">
        <v>49</v>
      </c>
      <c r="AY149" s="146">
        <v>50</v>
      </c>
    </row>
    <row r="150" spans="2:51">
      <c r="B150" s="143" t="s">
        <v>141</v>
      </c>
      <c r="C150" s="144" t="s">
        <v>141</v>
      </c>
      <c r="D150" s="145" t="s">
        <v>141</v>
      </c>
      <c r="E150" s="146" t="s">
        <v>141</v>
      </c>
      <c r="F150" s="145" t="s">
        <v>141</v>
      </c>
      <c r="G150" s="146" t="s">
        <v>141</v>
      </c>
      <c r="H150" s="145" t="s">
        <v>141</v>
      </c>
      <c r="I150" s="146" t="s">
        <v>141</v>
      </c>
      <c r="J150" s="145" t="s">
        <v>141</v>
      </c>
      <c r="K150" s="146" t="s">
        <v>141</v>
      </c>
      <c r="L150" s="145" t="s">
        <v>141</v>
      </c>
      <c r="M150" s="146" t="s">
        <v>141</v>
      </c>
      <c r="N150" s="145" t="s">
        <v>141</v>
      </c>
      <c r="O150" s="146" t="s">
        <v>141</v>
      </c>
      <c r="P150" s="145" t="s">
        <v>141</v>
      </c>
      <c r="Q150" s="146" t="s">
        <v>141</v>
      </c>
      <c r="R150" s="145" t="s">
        <v>141</v>
      </c>
      <c r="S150" s="146" t="s">
        <v>141</v>
      </c>
      <c r="T150" s="145" t="s">
        <v>141</v>
      </c>
      <c r="U150" s="146" t="s">
        <v>141</v>
      </c>
      <c r="V150" s="145" t="s">
        <v>141</v>
      </c>
      <c r="W150" s="146" t="s">
        <v>141</v>
      </c>
      <c r="X150" s="145" t="s">
        <v>141</v>
      </c>
      <c r="Y150" s="146" t="s">
        <v>141</v>
      </c>
      <c r="Z150" s="145" t="s">
        <v>141</v>
      </c>
      <c r="AA150" s="146" t="s">
        <v>141</v>
      </c>
      <c r="AB150" s="145" t="s">
        <v>141</v>
      </c>
      <c r="AC150" s="146" t="s">
        <v>141</v>
      </c>
      <c r="AD150" s="145" t="s">
        <v>141</v>
      </c>
      <c r="AE150" s="146" t="s">
        <v>141</v>
      </c>
      <c r="AF150" s="145" t="s">
        <v>141</v>
      </c>
      <c r="AG150" s="146" t="s">
        <v>141</v>
      </c>
      <c r="AH150" s="145" t="s">
        <v>141</v>
      </c>
      <c r="AI150" s="146" t="s">
        <v>141</v>
      </c>
      <c r="AJ150" s="145" t="s">
        <v>141</v>
      </c>
      <c r="AK150" s="146" t="s">
        <v>141</v>
      </c>
      <c r="AL150" s="145" t="s">
        <v>141</v>
      </c>
      <c r="AM150" s="146" t="s">
        <v>141</v>
      </c>
      <c r="AN150" s="145" t="s">
        <v>141</v>
      </c>
      <c r="AO150" s="146" t="s">
        <v>141</v>
      </c>
      <c r="AP150" s="145" t="s">
        <v>141</v>
      </c>
      <c r="AQ150" s="146" t="s">
        <v>141</v>
      </c>
      <c r="AR150" s="145" t="s">
        <v>141</v>
      </c>
      <c r="AS150" s="146" t="s">
        <v>141</v>
      </c>
      <c r="AT150" s="145" t="s">
        <v>141</v>
      </c>
      <c r="AU150" s="146" t="s">
        <v>141</v>
      </c>
      <c r="AV150" s="145" t="s">
        <v>141</v>
      </c>
      <c r="AW150" s="146" t="s">
        <v>141</v>
      </c>
      <c r="AX150" s="145" t="s">
        <v>141</v>
      </c>
      <c r="AY150" s="146" t="s">
        <v>141</v>
      </c>
    </row>
    <row r="151" spans="2:51">
      <c r="B151" s="143" t="s">
        <v>141</v>
      </c>
      <c r="C151" s="144" t="s">
        <v>141</v>
      </c>
      <c r="D151" s="145" t="s">
        <v>141</v>
      </c>
      <c r="E151" s="146" t="s">
        <v>141</v>
      </c>
      <c r="F151" s="145" t="s">
        <v>141</v>
      </c>
      <c r="G151" s="146" t="s">
        <v>141</v>
      </c>
      <c r="H151" s="145" t="s">
        <v>141</v>
      </c>
      <c r="I151" s="146" t="s">
        <v>141</v>
      </c>
      <c r="J151" s="145" t="s">
        <v>141</v>
      </c>
      <c r="K151" s="146" t="s">
        <v>141</v>
      </c>
      <c r="L151" s="145" t="s">
        <v>141</v>
      </c>
      <c r="M151" s="146" t="s">
        <v>141</v>
      </c>
      <c r="N151" s="145" t="s">
        <v>141</v>
      </c>
      <c r="O151" s="146" t="s">
        <v>141</v>
      </c>
      <c r="P151" s="145" t="s">
        <v>141</v>
      </c>
      <c r="Q151" s="146" t="s">
        <v>141</v>
      </c>
      <c r="R151" s="145" t="s">
        <v>141</v>
      </c>
      <c r="S151" s="146" t="s">
        <v>141</v>
      </c>
      <c r="T151" s="145" t="s">
        <v>141</v>
      </c>
      <c r="U151" s="146" t="s">
        <v>141</v>
      </c>
      <c r="V151" s="145" t="s">
        <v>141</v>
      </c>
      <c r="W151" s="146" t="s">
        <v>141</v>
      </c>
      <c r="X151" s="145" t="s">
        <v>141</v>
      </c>
      <c r="Y151" s="146" t="s">
        <v>141</v>
      </c>
      <c r="Z151" s="145" t="s">
        <v>141</v>
      </c>
      <c r="AA151" s="146" t="s">
        <v>141</v>
      </c>
      <c r="AB151" s="145" t="s">
        <v>141</v>
      </c>
      <c r="AC151" s="146" t="s">
        <v>141</v>
      </c>
      <c r="AD151" s="145" t="s">
        <v>141</v>
      </c>
      <c r="AE151" s="146" t="s">
        <v>141</v>
      </c>
      <c r="AF151" s="145" t="s">
        <v>141</v>
      </c>
      <c r="AG151" s="146" t="s">
        <v>141</v>
      </c>
      <c r="AH151" s="145" t="s">
        <v>141</v>
      </c>
      <c r="AI151" s="146" t="s">
        <v>141</v>
      </c>
      <c r="AJ151" s="145" t="s">
        <v>141</v>
      </c>
      <c r="AK151" s="146" t="s">
        <v>141</v>
      </c>
      <c r="AL151" s="145" t="s">
        <v>141</v>
      </c>
      <c r="AM151" s="146" t="s">
        <v>141</v>
      </c>
      <c r="AN151" s="145" t="s">
        <v>141</v>
      </c>
      <c r="AO151" s="146" t="s">
        <v>141</v>
      </c>
      <c r="AP151" s="145" t="s">
        <v>141</v>
      </c>
      <c r="AQ151" s="146" t="s">
        <v>141</v>
      </c>
      <c r="AR151" s="145" t="s">
        <v>141</v>
      </c>
      <c r="AS151" s="146" t="s">
        <v>141</v>
      </c>
      <c r="AT151" s="145" t="s">
        <v>141</v>
      </c>
      <c r="AU151" s="146" t="s">
        <v>141</v>
      </c>
      <c r="AV151" s="145" t="s">
        <v>141</v>
      </c>
      <c r="AW151" s="146" t="s">
        <v>141</v>
      </c>
      <c r="AX151" s="145" t="s">
        <v>141</v>
      </c>
      <c r="AY151" s="146" t="s">
        <v>141</v>
      </c>
    </row>
    <row r="152" spans="2:51">
      <c r="B152" s="143" t="s">
        <v>141</v>
      </c>
      <c r="C152" s="144" t="s">
        <v>141</v>
      </c>
      <c r="D152" s="145" t="s">
        <v>141</v>
      </c>
      <c r="E152" s="146" t="s">
        <v>141</v>
      </c>
      <c r="F152" s="145" t="s">
        <v>141</v>
      </c>
      <c r="G152" s="146" t="s">
        <v>141</v>
      </c>
      <c r="H152" s="145" t="s">
        <v>141</v>
      </c>
      <c r="I152" s="146" t="s">
        <v>141</v>
      </c>
      <c r="J152" s="145" t="s">
        <v>141</v>
      </c>
      <c r="K152" s="146" t="s">
        <v>141</v>
      </c>
      <c r="L152" s="145" t="s">
        <v>141</v>
      </c>
      <c r="M152" s="146" t="s">
        <v>141</v>
      </c>
      <c r="N152" s="145" t="s">
        <v>141</v>
      </c>
      <c r="O152" s="146" t="s">
        <v>141</v>
      </c>
      <c r="P152" s="145" t="s">
        <v>141</v>
      </c>
      <c r="Q152" s="146" t="s">
        <v>141</v>
      </c>
      <c r="R152" s="145" t="s">
        <v>141</v>
      </c>
      <c r="S152" s="146" t="s">
        <v>141</v>
      </c>
      <c r="T152" s="145" t="s">
        <v>141</v>
      </c>
      <c r="U152" s="146" t="s">
        <v>141</v>
      </c>
      <c r="V152" s="145" t="s">
        <v>141</v>
      </c>
      <c r="W152" s="146" t="s">
        <v>141</v>
      </c>
      <c r="X152" s="145" t="s">
        <v>141</v>
      </c>
      <c r="Y152" s="146" t="s">
        <v>141</v>
      </c>
      <c r="Z152" s="145" t="s">
        <v>141</v>
      </c>
      <c r="AA152" s="146" t="s">
        <v>141</v>
      </c>
      <c r="AB152" s="145" t="s">
        <v>141</v>
      </c>
      <c r="AC152" s="146" t="s">
        <v>141</v>
      </c>
      <c r="AD152" s="145" t="s">
        <v>141</v>
      </c>
      <c r="AE152" s="146" t="s">
        <v>141</v>
      </c>
      <c r="AF152" s="145" t="s">
        <v>141</v>
      </c>
      <c r="AG152" s="146" t="s">
        <v>141</v>
      </c>
      <c r="AH152" s="145" t="s">
        <v>141</v>
      </c>
      <c r="AI152" s="146" t="s">
        <v>141</v>
      </c>
      <c r="AJ152" s="145" t="s">
        <v>141</v>
      </c>
      <c r="AK152" s="146" t="s">
        <v>141</v>
      </c>
      <c r="AL152" s="145" t="s">
        <v>141</v>
      </c>
      <c r="AM152" s="146" t="s">
        <v>141</v>
      </c>
      <c r="AN152" s="145" t="s">
        <v>141</v>
      </c>
      <c r="AO152" s="146" t="s">
        <v>141</v>
      </c>
      <c r="AP152" s="145" t="s">
        <v>141</v>
      </c>
      <c r="AQ152" s="146" t="s">
        <v>141</v>
      </c>
      <c r="AR152" s="145" t="s">
        <v>141</v>
      </c>
      <c r="AS152" s="146" t="s">
        <v>141</v>
      </c>
      <c r="AT152" s="145" t="s">
        <v>141</v>
      </c>
      <c r="AU152" s="146" t="s">
        <v>141</v>
      </c>
      <c r="AV152" s="145" t="s">
        <v>141</v>
      </c>
      <c r="AW152" s="146" t="s">
        <v>141</v>
      </c>
      <c r="AX152" s="145" t="s">
        <v>141</v>
      </c>
      <c r="AY152" s="146" t="s">
        <v>141</v>
      </c>
    </row>
    <row r="153" spans="2:51">
      <c r="B153" s="143" t="s">
        <v>141</v>
      </c>
      <c r="C153" s="144" t="s">
        <v>141</v>
      </c>
      <c r="D153" s="145" t="s">
        <v>141</v>
      </c>
      <c r="E153" s="146" t="s">
        <v>141</v>
      </c>
      <c r="F153" s="145" t="s">
        <v>141</v>
      </c>
      <c r="G153" s="146" t="s">
        <v>141</v>
      </c>
      <c r="H153" s="145" t="s">
        <v>141</v>
      </c>
      <c r="I153" s="146" t="s">
        <v>141</v>
      </c>
      <c r="J153" s="145" t="s">
        <v>141</v>
      </c>
      <c r="K153" s="146" t="s">
        <v>141</v>
      </c>
      <c r="L153" s="145" t="s">
        <v>141</v>
      </c>
      <c r="M153" s="146" t="s">
        <v>141</v>
      </c>
      <c r="N153" s="145" t="s">
        <v>141</v>
      </c>
      <c r="O153" s="146" t="s">
        <v>141</v>
      </c>
      <c r="P153" s="145" t="s">
        <v>141</v>
      </c>
      <c r="Q153" s="146" t="s">
        <v>141</v>
      </c>
      <c r="R153" s="145" t="s">
        <v>141</v>
      </c>
      <c r="S153" s="146" t="s">
        <v>141</v>
      </c>
      <c r="T153" s="145" t="s">
        <v>141</v>
      </c>
      <c r="U153" s="146" t="s">
        <v>141</v>
      </c>
      <c r="V153" s="145" t="s">
        <v>141</v>
      </c>
      <c r="W153" s="146" t="s">
        <v>141</v>
      </c>
      <c r="X153" s="145" t="s">
        <v>141</v>
      </c>
      <c r="Y153" s="146" t="s">
        <v>141</v>
      </c>
      <c r="Z153" s="145" t="s">
        <v>141</v>
      </c>
      <c r="AA153" s="146" t="s">
        <v>141</v>
      </c>
      <c r="AB153" s="145" t="s">
        <v>141</v>
      </c>
      <c r="AC153" s="146" t="s">
        <v>141</v>
      </c>
      <c r="AD153" s="145" t="s">
        <v>141</v>
      </c>
      <c r="AE153" s="146" t="s">
        <v>141</v>
      </c>
      <c r="AF153" s="145" t="s">
        <v>141</v>
      </c>
      <c r="AG153" s="146" t="s">
        <v>141</v>
      </c>
      <c r="AH153" s="145" t="s">
        <v>141</v>
      </c>
      <c r="AI153" s="146" t="s">
        <v>141</v>
      </c>
      <c r="AJ153" s="145" t="s">
        <v>141</v>
      </c>
      <c r="AK153" s="146" t="s">
        <v>141</v>
      </c>
      <c r="AL153" s="145" t="s">
        <v>141</v>
      </c>
      <c r="AM153" s="146" t="s">
        <v>141</v>
      </c>
      <c r="AN153" s="145" t="s">
        <v>141</v>
      </c>
      <c r="AO153" s="146" t="s">
        <v>141</v>
      </c>
      <c r="AP153" s="145" t="s">
        <v>141</v>
      </c>
      <c r="AQ153" s="146" t="s">
        <v>141</v>
      </c>
      <c r="AR153" s="145" t="s">
        <v>141</v>
      </c>
      <c r="AS153" s="146" t="s">
        <v>141</v>
      </c>
      <c r="AT153" s="145" t="s">
        <v>141</v>
      </c>
      <c r="AU153" s="146" t="s">
        <v>141</v>
      </c>
      <c r="AV153" s="145" t="s">
        <v>141</v>
      </c>
      <c r="AW153" s="146" t="s">
        <v>141</v>
      </c>
      <c r="AX153" s="145" t="s">
        <v>141</v>
      </c>
      <c r="AY153" s="146" t="s">
        <v>141</v>
      </c>
    </row>
    <row r="154" spans="2:51">
      <c r="B154" s="143" t="s">
        <v>141</v>
      </c>
      <c r="C154" s="144" t="s">
        <v>141</v>
      </c>
      <c r="D154" s="145" t="s">
        <v>141</v>
      </c>
      <c r="E154" s="146" t="s">
        <v>141</v>
      </c>
      <c r="F154" s="145" t="s">
        <v>141</v>
      </c>
      <c r="G154" s="146" t="s">
        <v>141</v>
      </c>
      <c r="H154" s="145" t="s">
        <v>141</v>
      </c>
      <c r="I154" s="146" t="s">
        <v>141</v>
      </c>
      <c r="J154" s="145" t="s">
        <v>141</v>
      </c>
      <c r="K154" s="146" t="s">
        <v>141</v>
      </c>
      <c r="L154" s="145" t="s">
        <v>141</v>
      </c>
      <c r="M154" s="146" t="s">
        <v>141</v>
      </c>
      <c r="N154" s="145" t="s">
        <v>141</v>
      </c>
      <c r="O154" s="146" t="s">
        <v>141</v>
      </c>
      <c r="P154" s="145" t="s">
        <v>141</v>
      </c>
      <c r="Q154" s="146" t="s">
        <v>141</v>
      </c>
      <c r="R154" s="145" t="s">
        <v>141</v>
      </c>
      <c r="S154" s="146" t="s">
        <v>141</v>
      </c>
      <c r="T154" s="145" t="s">
        <v>141</v>
      </c>
      <c r="U154" s="146" t="s">
        <v>141</v>
      </c>
      <c r="V154" s="145" t="s">
        <v>141</v>
      </c>
      <c r="W154" s="146" t="s">
        <v>141</v>
      </c>
      <c r="X154" s="145" t="s">
        <v>141</v>
      </c>
      <c r="Y154" s="146" t="s">
        <v>141</v>
      </c>
      <c r="Z154" s="145" t="s">
        <v>141</v>
      </c>
      <c r="AA154" s="146" t="s">
        <v>141</v>
      </c>
      <c r="AB154" s="145" t="s">
        <v>141</v>
      </c>
      <c r="AC154" s="146" t="s">
        <v>141</v>
      </c>
      <c r="AD154" s="145" t="s">
        <v>141</v>
      </c>
      <c r="AE154" s="146" t="s">
        <v>141</v>
      </c>
      <c r="AF154" s="145" t="s">
        <v>141</v>
      </c>
      <c r="AG154" s="146" t="s">
        <v>141</v>
      </c>
      <c r="AH154" s="145" t="s">
        <v>141</v>
      </c>
      <c r="AI154" s="146" t="s">
        <v>141</v>
      </c>
      <c r="AJ154" s="145" t="s">
        <v>141</v>
      </c>
      <c r="AK154" s="146" t="s">
        <v>141</v>
      </c>
      <c r="AL154" s="145" t="s">
        <v>141</v>
      </c>
      <c r="AM154" s="146" t="s">
        <v>141</v>
      </c>
      <c r="AN154" s="145" t="s">
        <v>141</v>
      </c>
      <c r="AO154" s="146" t="s">
        <v>141</v>
      </c>
      <c r="AP154" s="145" t="s">
        <v>141</v>
      </c>
      <c r="AQ154" s="146" t="s">
        <v>141</v>
      </c>
      <c r="AR154" s="145" t="s">
        <v>141</v>
      </c>
      <c r="AS154" s="146" t="s">
        <v>141</v>
      </c>
      <c r="AT154" s="145" t="s">
        <v>141</v>
      </c>
      <c r="AU154" s="146" t="s">
        <v>141</v>
      </c>
      <c r="AV154" s="145" t="s">
        <v>141</v>
      </c>
      <c r="AW154" s="146" t="s">
        <v>141</v>
      </c>
      <c r="AX154" s="145" t="s">
        <v>141</v>
      </c>
      <c r="AY154" s="146" t="s">
        <v>141</v>
      </c>
    </row>
    <row r="155" spans="2:51">
      <c r="B155" s="143" t="s">
        <v>141</v>
      </c>
      <c r="C155" s="144" t="s">
        <v>141</v>
      </c>
      <c r="D155" s="145" t="s">
        <v>141</v>
      </c>
      <c r="E155" s="146" t="s">
        <v>141</v>
      </c>
      <c r="F155" s="145" t="s">
        <v>141</v>
      </c>
      <c r="G155" s="146" t="s">
        <v>141</v>
      </c>
      <c r="H155" s="145" t="s">
        <v>141</v>
      </c>
      <c r="I155" s="146" t="s">
        <v>141</v>
      </c>
      <c r="J155" s="145" t="s">
        <v>141</v>
      </c>
      <c r="K155" s="146" t="s">
        <v>141</v>
      </c>
      <c r="L155" s="145" t="s">
        <v>141</v>
      </c>
      <c r="M155" s="146" t="s">
        <v>141</v>
      </c>
      <c r="N155" s="145" t="s">
        <v>141</v>
      </c>
      <c r="O155" s="146" t="s">
        <v>141</v>
      </c>
      <c r="P155" s="145" t="s">
        <v>141</v>
      </c>
      <c r="Q155" s="146" t="s">
        <v>141</v>
      </c>
      <c r="R155" s="145" t="s">
        <v>141</v>
      </c>
      <c r="S155" s="146" t="s">
        <v>141</v>
      </c>
      <c r="T155" s="145" t="s">
        <v>141</v>
      </c>
      <c r="U155" s="146" t="s">
        <v>141</v>
      </c>
      <c r="V155" s="145" t="s">
        <v>141</v>
      </c>
      <c r="W155" s="146" t="s">
        <v>141</v>
      </c>
      <c r="X155" s="145" t="s">
        <v>141</v>
      </c>
      <c r="Y155" s="146" t="s">
        <v>141</v>
      </c>
      <c r="Z155" s="145" t="s">
        <v>141</v>
      </c>
      <c r="AA155" s="146" t="s">
        <v>141</v>
      </c>
      <c r="AB155" s="145" t="s">
        <v>141</v>
      </c>
      <c r="AC155" s="146" t="s">
        <v>141</v>
      </c>
      <c r="AD155" s="145" t="s">
        <v>141</v>
      </c>
      <c r="AE155" s="146" t="s">
        <v>141</v>
      </c>
      <c r="AF155" s="145" t="s">
        <v>141</v>
      </c>
      <c r="AG155" s="146" t="s">
        <v>141</v>
      </c>
      <c r="AH155" s="145" t="s">
        <v>141</v>
      </c>
      <c r="AI155" s="146" t="s">
        <v>141</v>
      </c>
      <c r="AJ155" s="145" t="s">
        <v>141</v>
      </c>
      <c r="AK155" s="146" t="s">
        <v>141</v>
      </c>
      <c r="AL155" s="145" t="s">
        <v>141</v>
      </c>
      <c r="AM155" s="146" t="s">
        <v>141</v>
      </c>
      <c r="AN155" s="145" t="s">
        <v>141</v>
      </c>
      <c r="AO155" s="146" t="s">
        <v>141</v>
      </c>
      <c r="AP155" s="145" t="s">
        <v>141</v>
      </c>
      <c r="AQ155" s="146" t="s">
        <v>141</v>
      </c>
      <c r="AR155" s="145" t="s">
        <v>141</v>
      </c>
      <c r="AS155" s="146" t="s">
        <v>141</v>
      </c>
      <c r="AT155" s="145" t="s">
        <v>141</v>
      </c>
      <c r="AU155" s="146" t="s">
        <v>141</v>
      </c>
      <c r="AV155" s="145" t="s">
        <v>141</v>
      </c>
      <c r="AW155" s="146" t="s">
        <v>141</v>
      </c>
      <c r="AX155" s="145" t="s">
        <v>141</v>
      </c>
      <c r="AY155" s="146" t="s">
        <v>141</v>
      </c>
    </row>
    <row r="156" spans="2:51">
      <c r="B156" s="143" t="s">
        <v>141</v>
      </c>
      <c r="C156" s="144" t="s">
        <v>141</v>
      </c>
      <c r="D156" s="145" t="s">
        <v>141</v>
      </c>
      <c r="E156" s="146" t="s">
        <v>141</v>
      </c>
      <c r="F156" s="145" t="s">
        <v>141</v>
      </c>
      <c r="G156" s="146" t="s">
        <v>141</v>
      </c>
      <c r="H156" s="145" t="s">
        <v>141</v>
      </c>
      <c r="I156" s="146" t="s">
        <v>141</v>
      </c>
      <c r="J156" s="145" t="s">
        <v>141</v>
      </c>
      <c r="K156" s="146" t="s">
        <v>141</v>
      </c>
      <c r="L156" s="145" t="s">
        <v>141</v>
      </c>
      <c r="M156" s="146" t="s">
        <v>141</v>
      </c>
      <c r="N156" s="145" t="s">
        <v>141</v>
      </c>
      <c r="O156" s="146" t="s">
        <v>141</v>
      </c>
      <c r="P156" s="145" t="s">
        <v>141</v>
      </c>
      <c r="Q156" s="146" t="s">
        <v>141</v>
      </c>
      <c r="R156" s="145" t="s">
        <v>141</v>
      </c>
      <c r="S156" s="146" t="s">
        <v>141</v>
      </c>
      <c r="T156" s="145" t="s">
        <v>141</v>
      </c>
      <c r="U156" s="146" t="s">
        <v>141</v>
      </c>
      <c r="V156" s="145" t="s">
        <v>141</v>
      </c>
      <c r="W156" s="146" t="s">
        <v>141</v>
      </c>
      <c r="X156" s="145" t="s">
        <v>141</v>
      </c>
      <c r="Y156" s="146" t="s">
        <v>141</v>
      </c>
      <c r="Z156" s="145" t="s">
        <v>141</v>
      </c>
      <c r="AA156" s="146" t="s">
        <v>141</v>
      </c>
      <c r="AB156" s="145" t="s">
        <v>141</v>
      </c>
      <c r="AC156" s="146" t="s">
        <v>141</v>
      </c>
      <c r="AD156" s="145" t="s">
        <v>141</v>
      </c>
      <c r="AE156" s="146" t="s">
        <v>141</v>
      </c>
      <c r="AF156" s="145" t="s">
        <v>141</v>
      </c>
      <c r="AG156" s="146" t="s">
        <v>141</v>
      </c>
      <c r="AH156" s="145" t="s">
        <v>141</v>
      </c>
      <c r="AI156" s="146" t="s">
        <v>141</v>
      </c>
      <c r="AJ156" s="145" t="s">
        <v>141</v>
      </c>
      <c r="AK156" s="146" t="s">
        <v>141</v>
      </c>
      <c r="AL156" s="145" t="s">
        <v>141</v>
      </c>
      <c r="AM156" s="146" t="s">
        <v>141</v>
      </c>
      <c r="AN156" s="145" t="s">
        <v>141</v>
      </c>
      <c r="AO156" s="146" t="s">
        <v>141</v>
      </c>
      <c r="AP156" s="145" t="s">
        <v>141</v>
      </c>
      <c r="AQ156" s="146" t="s">
        <v>141</v>
      </c>
      <c r="AR156" s="145" t="s">
        <v>141</v>
      </c>
      <c r="AS156" s="146" t="s">
        <v>141</v>
      </c>
      <c r="AT156" s="145" t="s">
        <v>141</v>
      </c>
      <c r="AU156" s="146" t="s">
        <v>141</v>
      </c>
      <c r="AV156" s="145" t="s">
        <v>141</v>
      </c>
      <c r="AW156" s="146" t="s">
        <v>141</v>
      </c>
      <c r="AX156" s="145" t="s">
        <v>141</v>
      </c>
      <c r="AY156" s="146" t="s">
        <v>141</v>
      </c>
    </row>
    <row r="157" spans="2:51">
      <c r="B157" s="143" t="s">
        <v>141</v>
      </c>
      <c r="C157" s="144" t="s">
        <v>141</v>
      </c>
      <c r="D157" s="145" t="s">
        <v>141</v>
      </c>
      <c r="E157" s="146" t="s">
        <v>141</v>
      </c>
      <c r="F157" s="145" t="s">
        <v>141</v>
      </c>
      <c r="G157" s="146" t="s">
        <v>141</v>
      </c>
      <c r="H157" s="145" t="s">
        <v>141</v>
      </c>
      <c r="I157" s="146" t="s">
        <v>141</v>
      </c>
      <c r="J157" s="145" t="s">
        <v>141</v>
      </c>
      <c r="K157" s="146" t="s">
        <v>141</v>
      </c>
      <c r="L157" s="145" t="s">
        <v>141</v>
      </c>
      <c r="M157" s="146" t="s">
        <v>141</v>
      </c>
      <c r="N157" s="145" t="s">
        <v>141</v>
      </c>
      <c r="O157" s="146" t="s">
        <v>141</v>
      </c>
      <c r="P157" s="145" t="s">
        <v>141</v>
      </c>
      <c r="Q157" s="146" t="s">
        <v>141</v>
      </c>
      <c r="R157" s="145" t="s">
        <v>141</v>
      </c>
      <c r="S157" s="146" t="s">
        <v>141</v>
      </c>
      <c r="T157" s="145" t="s">
        <v>141</v>
      </c>
      <c r="U157" s="146" t="s">
        <v>141</v>
      </c>
      <c r="V157" s="145" t="s">
        <v>141</v>
      </c>
      <c r="W157" s="146" t="s">
        <v>141</v>
      </c>
      <c r="X157" s="145" t="s">
        <v>141</v>
      </c>
      <c r="Y157" s="146" t="s">
        <v>141</v>
      </c>
      <c r="Z157" s="145" t="s">
        <v>141</v>
      </c>
      <c r="AA157" s="146" t="s">
        <v>141</v>
      </c>
      <c r="AB157" s="145" t="s">
        <v>141</v>
      </c>
      <c r="AC157" s="146" t="s">
        <v>141</v>
      </c>
      <c r="AD157" s="145" t="s">
        <v>141</v>
      </c>
      <c r="AE157" s="146" t="s">
        <v>141</v>
      </c>
      <c r="AF157" s="145" t="s">
        <v>141</v>
      </c>
      <c r="AG157" s="146" t="s">
        <v>141</v>
      </c>
      <c r="AH157" s="145" t="s">
        <v>141</v>
      </c>
      <c r="AI157" s="146" t="s">
        <v>141</v>
      </c>
      <c r="AJ157" s="145" t="s">
        <v>141</v>
      </c>
      <c r="AK157" s="146" t="s">
        <v>141</v>
      </c>
      <c r="AL157" s="145" t="s">
        <v>141</v>
      </c>
      <c r="AM157" s="146" t="s">
        <v>141</v>
      </c>
      <c r="AN157" s="145" t="s">
        <v>141</v>
      </c>
      <c r="AO157" s="146" t="s">
        <v>141</v>
      </c>
      <c r="AP157" s="145" t="s">
        <v>141</v>
      </c>
      <c r="AQ157" s="146" t="s">
        <v>141</v>
      </c>
      <c r="AR157" s="145" t="s">
        <v>141</v>
      </c>
      <c r="AS157" s="146" t="s">
        <v>141</v>
      </c>
      <c r="AT157" s="145" t="s">
        <v>141</v>
      </c>
      <c r="AU157" s="146" t="s">
        <v>141</v>
      </c>
      <c r="AV157" s="145" t="s">
        <v>141</v>
      </c>
      <c r="AW157" s="146" t="s">
        <v>141</v>
      </c>
      <c r="AX157" s="145" t="s">
        <v>141</v>
      </c>
      <c r="AY157" s="146" t="s">
        <v>141</v>
      </c>
    </row>
    <row r="158" spans="2:51">
      <c r="B158" s="143" t="s">
        <v>141</v>
      </c>
      <c r="C158" s="144" t="s">
        <v>141</v>
      </c>
      <c r="D158" s="145" t="s">
        <v>141</v>
      </c>
      <c r="E158" s="146" t="s">
        <v>141</v>
      </c>
      <c r="F158" s="145" t="s">
        <v>141</v>
      </c>
      <c r="G158" s="146" t="s">
        <v>141</v>
      </c>
      <c r="H158" s="145" t="s">
        <v>141</v>
      </c>
      <c r="I158" s="146" t="s">
        <v>141</v>
      </c>
      <c r="J158" s="145" t="s">
        <v>141</v>
      </c>
      <c r="K158" s="146" t="s">
        <v>141</v>
      </c>
      <c r="L158" s="145" t="s">
        <v>141</v>
      </c>
      <c r="M158" s="146" t="s">
        <v>141</v>
      </c>
      <c r="N158" s="145" t="s">
        <v>141</v>
      </c>
      <c r="O158" s="146" t="s">
        <v>141</v>
      </c>
      <c r="P158" s="145" t="s">
        <v>141</v>
      </c>
      <c r="Q158" s="146" t="s">
        <v>141</v>
      </c>
      <c r="R158" s="145" t="s">
        <v>141</v>
      </c>
      <c r="S158" s="146" t="s">
        <v>141</v>
      </c>
      <c r="T158" s="145" t="s">
        <v>141</v>
      </c>
      <c r="U158" s="146" t="s">
        <v>141</v>
      </c>
      <c r="V158" s="145" t="s">
        <v>141</v>
      </c>
      <c r="W158" s="146" t="s">
        <v>141</v>
      </c>
      <c r="X158" s="145" t="s">
        <v>141</v>
      </c>
      <c r="Y158" s="146" t="s">
        <v>141</v>
      </c>
      <c r="Z158" s="145" t="s">
        <v>141</v>
      </c>
      <c r="AA158" s="146" t="s">
        <v>141</v>
      </c>
      <c r="AB158" s="145" t="s">
        <v>141</v>
      </c>
      <c r="AC158" s="146" t="s">
        <v>141</v>
      </c>
      <c r="AD158" s="145" t="s">
        <v>141</v>
      </c>
      <c r="AE158" s="146" t="s">
        <v>141</v>
      </c>
      <c r="AF158" s="145" t="s">
        <v>141</v>
      </c>
      <c r="AG158" s="146" t="s">
        <v>141</v>
      </c>
      <c r="AH158" s="145" t="s">
        <v>141</v>
      </c>
      <c r="AI158" s="146" t="s">
        <v>141</v>
      </c>
      <c r="AJ158" s="145" t="s">
        <v>141</v>
      </c>
      <c r="AK158" s="146" t="s">
        <v>141</v>
      </c>
      <c r="AL158" s="145" t="s">
        <v>141</v>
      </c>
      <c r="AM158" s="146" t="s">
        <v>141</v>
      </c>
      <c r="AN158" s="145" t="s">
        <v>141</v>
      </c>
      <c r="AO158" s="146" t="s">
        <v>141</v>
      </c>
      <c r="AP158" s="145" t="s">
        <v>141</v>
      </c>
      <c r="AQ158" s="146" t="s">
        <v>141</v>
      </c>
      <c r="AR158" s="145" t="s">
        <v>141</v>
      </c>
      <c r="AS158" s="146" t="s">
        <v>141</v>
      </c>
      <c r="AT158" s="145" t="s">
        <v>141</v>
      </c>
      <c r="AU158" s="146" t="s">
        <v>141</v>
      </c>
      <c r="AV158" s="145" t="s">
        <v>141</v>
      </c>
      <c r="AW158" s="146" t="s">
        <v>141</v>
      </c>
      <c r="AX158" s="145" t="s">
        <v>141</v>
      </c>
      <c r="AY158" s="146" t="s">
        <v>141</v>
      </c>
    </row>
    <row r="159" spans="2:51">
      <c r="B159" s="143" t="s">
        <v>141</v>
      </c>
      <c r="C159" s="144" t="s">
        <v>141</v>
      </c>
      <c r="D159" s="145" t="s">
        <v>141</v>
      </c>
      <c r="E159" s="146" t="s">
        <v>141</v>
      </c>
      <c r="F159" s="145" t="s">
        <v>141</v>
      </c>
      <c r="G159" s="146" t="s">
        <v>141</v>
      </c>
      <c r="H159" s="145" t="s">
        <v>141</v>
      </c>
      <c r="I159" s="146" t="s">
        <v>141</v>
      </c>
      <c r="J159" s="145" t="s">
        <v>141</v>
      </c>
      <c r="K159" s="146" t="s">
        <v>141</v>
      </c>
      <c r="L159" s="145" t="s">
        <v>141</v>
      </c>
      <c r="M159" s="146" t="s">
        <v>141</v>
      </c>
      <c r="N159" s="145" t="s">
        <v>141</v>
      </c>
      <c r="O159" s="146" t="s">
        <v>141</v>
      </c>
      <c r="P159" s="145" t="s">
        <v>141</v>
      </c>
      <c r="Q159" s="146" t="s">
        <v>141</v>
      </c>
      <c r="R159" s="145" t="s">
        <v>141</v>
      </c>
      <c r="S159" s="146" t="s">
        <v>141</v>
      </c>
      <c r="T159" s="145" t="s">
        <v>141</v>
      </c>
      <c r="U159" s="146" t="s">
        <v>141</v>
      </c>
      <c r="V159" s="145" t="s">
        <v>141</v>
      </c>
      <c r="W159" s="146" t="s">
        <v>141</v>
      </c>
      <c r="X159" s="145" t="s">
        <v>141</v>
      </c>
      <c r="Y159" s="146" t="s">
        <v>141</v>
      </c>
      <c r="Z159" s="145" t="s">
        <v>141</v>
      </c>
      <c r="AA159" s="146" t="s">
        <v>141</v>
      </c>
      <c r="AB159" s="145" t="s">
        <v>141</v>
      </c>
      <c r="AC159" s="146" t="s">
        <v>141</v>
      </c>
      <c r="AD159" s="145" t="s">
        <v>141</v>
      </c>
      <c r="AE159" s="146" t="s">
        <v>141</v>
      </c>
      <c r="AF159" s="145" t="s">
        <v>141</v>
      </c>
      <c r="AG159" s="146" t="s">
        <v>141</v>
      </c>
      <c r="AH159" s="145" t="s">
        <v>141</v>
      </c>
      <c r="AI159" s="146" t="s">
        <v>141</v>
      </c>
      <c r="AJ159" s="145" t="s">
        <v>141</v>
      </c>
      <c r="AK159" s="146" t="s">
        <v>141</v>
      </c>
      <c r="AL159" s="145" t="s">
        <v>141</v>
      </c>
      <c r="AM159" s="146" t="s">
        <v>141</v>
      </c>
      <c r="AN159" s="145" t="s">
        <v>141</v>
      </c>
      <c r="AO159" s="146" t="s">
        <v>141</v>
      </c>
      <c r="AP159" s="145" t="s">
        <v>141</v>
      </c>
      <c r="AQ159" s="146" t="s">
        <v>141</v>
      </c>
      <c r="AR159" s="145" t="s">
        <v>141</v>
      </c>
      <c r="AS159" s="146" t="s">
        <v>141</v>
      </c>
      <c r="AT159" s="145" t="s">
        <v>141</v>
      </c>
      <c r="AU159" s="146" t="s">
        <v>141</v>
      </c>
      <c r="AV159" s="145" t="s">
        <v>141</v>
      </c>
      <c r="AW159" s="146" t="s">
        <v>141</v>
      </c>
      <c r="AX159" s="145" t="s">
        <v>141</v>
      </c>
      <c r="AY159" s="146" t="s">
        <v>141</v>
      </c>
    </row>
    <row r="160" spans="2:51">
      <c r="B160" s="143" t="s">
        <v>141</v>
      </c>
      <c r="C160" s="144" t="s">
        <v>141</v>
      </c>
      <c r="D160" s="145" t="s">
        <v>141</v>
      </c>
      <c r="E160" s="146" t="s">
        <v>141</v>
      </c>
      <c r="F160" s="145" t="s">
        <v>141</v>
      </c>
      <c r="G160" s="146" t="s">
        <v>141</v>
      </c>
      <c r="H160" s="145" t="s">
        <v>141</v>
      </c>
      <c r="I160" s="146" t="s">
        <v>141</v>
      </c>
      <c r="J160" s="145" t="s">
        <v>141</v>
      </c>
      <c r="K160" s="146" t="s">
        <v>141</v>
      </c>
      <c r="L160" s="145" t="s">
        <v>141</v>
      </c>
      <c r="M160" s="146" t="s">
        <v>141</v>
      </c>
      <c r="N160" s="145" t="s">
        <v>141</v>
      </c>
      <c r="O160" s="146" t="s">
        <v>141</v>
      </c>
      <c r="P160" s="145" t="s">
        <v>141</v>
      </c>
      <c r="Q160" s="146" t="s">
        <v>141</v>
      </c>
      <c r="R160" s="145" t="s">
        <v>141</v>
      </c>
      <c r="S160" s="146" t="s">
        <v>141</v>
      </c>
      <c r="T160" s="145" t="s">
        <v>141</v>
      </c>
      <c r="U160" s="146" t="s">
        <v>141</v>
      </c>
      <c r="V160" s="145" t="s">
        <v>141</v>
      </c>
      <c r="W160" s="146" t="s">
        <v>141</v>
      </c>
      <c r="X160" s="145" t="s">
        <v>141</v>
      </c>
      <c r="Y160" s="146" t="s">
        <v>141</v>
      </c>
      <c r="Z160" s="145" t="s">
        <v>141</v>
      </c>
      <c r="AA160" s="146" t="s">
        <v>141</v>
      </c>
      <c r="AB160" s="145" t="s">
        <v>141</v>
      </c>
      <c r="AC160" s="146" t="s">
        <v>141</v>
      </c>
      <c r="AD160" s="145" t="s">
        <v>141</v>
      </c>
      <c r="AE160" s="146" t="s">
        <v>141</v>
      </c>
      <c r="AF160" s="145" t="s">
        <v>141</v>
      </c>
      <c r="AG160" s="146" t="s">
        <v>141</v>
      </c>
      <c r="AH160" s="145" t="s">
        <v>141</v>
      </c>
      <c r="AI160" s="146" t="s">
        <v>141</v>
      </c>
      <c r="AJ160" s="145" t="s">
        <v>141</v>
      </c>
      <c r="AK160" s="146" t="s">
        <v>141</v>
      </c>
      <c r="AL160" s="145" t="s">
        <v>141</v>
      </c>
      <c r="AM160" s="146" t="s">
        <v>141</v>
      </c>
      <c r="AN160" s="145" t="s">
        <v>141</v>
      </c>
      <c r="AO160" s="146" t="s">
        <v>141</v>
      </c>
      <c r="AP160" s="145" t="s">
        <v>141</v>
      </c>
      <c r="AQ160" s="146" t="s">
        <v>141</v>
      </c>
      <c r="AR160" s="145" t="s">
        <v>141</v>
      </c>
      <c r="AS160" s="146" t="s">
        <v>141</v>
      </c>
      <c r="AT160" s="145" t="s">
        <v>141</v>
      </c>
      <c r="AU160" s="146" t="s">
        <v>141</v>
      </c>
      <c r="AV160" s="145" t="s">
        <v>141</v>
      </c>
      <c r="AW160" s="146" t="s">
        <v>141</v>
      </c>
      <c r="AX160" s="145" t="s">
        <v>141</v>
      </c>
      <c r="AY160" s="146" t="s">
        <v>141</v>
      </c>
    </row>
    <row r="161" spans="2:51">
      <c r="B161" s="143" t="s">
        <v>141</v>
      </c>
      <c r="C161" s="144" t="s">
        <v>141</v>
      </c>
      <c r="D161" s="145" t="s">
        <v>141</v>
      </c>
      <c r="E161" s="146" t="s">
        <v>141</v>
      </c>
      <c r="F161" s="145" t="s">
        <v>141</v>
      </c>
      <c r="G161" s="146" t="s">
        <v>141</v>
      </c>
      <c r="H161" s="145" t="s">
        <v>141</v>
      </c>
      <c r="I161" s="146" t="s">
        <v>141</v>
      </c>
      <c r="J161" s="145" t="s">
        <v>141</v>
      </c>
      <c r="K161" s="146" t="s">
        <v>141</v>
      </c>
      <c r="L161" s="145" t="s">
        <v>141</v>
      </c>
      <c r="M161" s="146" t="s">
        <v>141</v>
      </c>
      <c r="N161" s="145" t="s">
        <v>141</v>
      </c>
      <c r="O161" s="146" t="s">
        <v>141</v>
      </c>
      <c r="P161" s="145" t="s">
        <v>141</v>
      </c>
      <c r="Q161" s="146" t="s">
        <v>141</v>
      </c>
      <c r="R161" s="145" t="s">
        <v>141</v>
      </c>
      <c r="S161" s="146" t="s">
        <v>141</v>
      </c>
      <c r="T161" s="145" t="s">
        <v>141</v>
      </c>
      <c r="U161" s="146" t="s">
        <v>141</v>
      </c>
      <c r="V161" s="145" t="s">
        <v>141</v>
      </c>
      <c r="W161" s="146" t="s">
        <v>141</v>
      </c>
      <c r="X161" s="145" t="s">
        <v>141</v>
      </c>
      <c r="Y161" s="146" t="s">
        <v>141</v>
      </c>
      <c r="Z161" s="145" t="s">
        <v>141</v>
      </c>
      <c r="AA161" s="146" t="s">
        <v>141</v>
      </c>
      <c r="AB161" s="145" t="s">
        <v>141</v>
      </c>
      <c r="AC161" s="146" t="s">
        <v>141</v>
      </c>
      <c r="AD161" s="145" t="s">
        <v>141</v>
      </c>
      <c r="AE161" s="146" t="s">
        <v>141</v>
      </c>
      <c r="AF161" s="145" t="s">
        <v>141</v>
      </c>
      <c r="AG161" s="146" t="s">
        <v>141</v>
      </c>
      <c r="AH161" s="145" t="s">
        <v>141</v>
      </c>
      <c r="AI161" s="146" t="s">
        <v>141</v>
      </c>
      <c r="AJ161" s="145" t="s">
        <v>141</v>
      </c>
      <c r="AK161" s="146" t="s">
        <v>141</v>
      </c>
      <c r="AL161" s="145" t="s">
        <v>141</v>
      </c>
      <c r="AM161" s="146" t="s">
        <v>141</v>
      </c>
      <c r="AN161" s="145" t="s">
        <v>141</v>
      </c>
      <c r="AO161" s="146" t="s">
        <v>141</v>
      </c>
      <c r="AP161" s="145" t="s">
        <v>141</v>
      </c>
      <c r="AQ161" s="146" t="s">
        <v>141</v>
      </c>
      <c r="AR161" s="145" t="s">
        <v>141</v>
      </c>
      <c r="AS161" s="146" t="s">
        <v>141</v>
      </c>
      <c r="AT161" s="145" t="s">
        <v>141</v>
      </c>
      <c r="AU161" s="146" t="s">
        <v>141</v>
      </c>
      <c r="AV161" s="145" t="s">
        <v>141</v>
      </c>
      <c r="AW161" s="146" t="s">
        <v>141</v>
      </c>
      <c r="AX161" s="145" t="s">
        <v>141</v>
      </c>
      <c r="AY161" s="146" t="s">
        <v>141</v>
      </c>
    </row>
    <row r="162" spans="2:51">
      <c r="B162" s="143" t="s">
        <v>141</v>
      </c>
      <c r="C162" s="144" t="s">
        <v>141</v>
      </c>
      <c r="D162" s="145" t="s">
        <v>141</v>
      </c>
      <c r="E162" s="146" t="s">
        <v>141</v>
      </c>
      <c r="F162" s="145" t="s">
        <v>141</v>
      </c>
      <c r="G162" s="146" t="s">
        <v>141</v>
      </c>
      <c r="H162" s="145" t="s">
        <v>141</v>
      </c>
      <c r="I162" s="146" t="s">
        <v>141</v>
      </c>
      <c r="J162" s="145" t="s">
        <v>141</v>
      </c>
      <c r="K162" s="146" t="s">
        <v>141</v>
      </c>
      <c r="L162" s="145" t="s">
        <v>141</v>
      </c>
      <c r="M162" s="146" t="s">
        <v>141</v>
      </c>
      <c r="N162" s="145" t="s">
        <v>141</v>
      </c>
      <c r="O162" s="146" t="s">
        <v>141</v>
      </c>
      <c r="P162" s="145" t="s">
        <v>141</v>
      </c>
      <c r="Q162" s="146" t="s">
        <v>141</v>
      </c>
      <c r="R162" s="145" t="s">
        <v>141</v>
      </c>
      <c r="S162" s="146" t="s">
        <v>141</v>
      </c>
      <c r="T162" s="145" t="s">
        <v>141</v>
      </c>
      <c r="U162" s="146" t="s">
        <v>141</v>
      </c>
      <c r="V162" s="145" t="s">
        <v>141</v>
      </c>
      <c r="W162" s="146" t="s">
        <v>141</v>
      </c>
      <c r="X162" s="145" t="s">
        <v>141</v>
      </c>
      <c r="Y162" s="146" t="s">
        <v>141</v>
      </c>
      <c r="Z162" s="145" t="s">
        <v>141</v>
      </c>
      <c r="AA162" s="146" t="s">
        <v>141</v>
      </c>
      <c r="AB162" s="145" t="s">
        <v>141</v>
      </c>
      <c r="AC162" s="146" t="s">
        <v>141</v>
      </c>
      <c r="AD162" s="145" t="s">
        <v>141</v>
      </c>
      <c r="AE162" s="146" t="s">
        <v>141</v>
      </c>
      <c r="AF162" s="145" t="s">
        <v>141</v>
      </c>
      <c r="AG162" s="146" t="s">
        <v>141</v>
      </c>
      <c r="AH162" s="145" t="s">
        <v>141</v>
      </c>
      <c r="AI162" s="146" t="s">
        <v>141</v>
      </c>
      <c r="AJ162" s="145" t="s">
        <v>141</v>
      </c>
      <c r="AK162" s="146" t="s">
        <v>141</v>
      </c>
      <c r="AL162" s="145" t="s">
        <v>141</v>
      </c>
      <c r="AM162" s="146" t="s">
        <v>141</v>
      </c>
      <c r="AN162" s="145" t="s">
        <v>141</v>
      </c>
      <c r="AO162" s="146" t="s">
        <v>141</v>
      </c>
      <c r="AP162" s="145" t="s">
        <v>141</v>
      </c>
      <c r="AQ162" s="146" t="s">
        <v>141</v>
      </c>
      <c r="AR162" s="145" t="s">
        <v>141</v>
      </c>
      <c r="AS162" s="146" t="s">
        <v>141</v>
      </c>
      <c r="AT162" s="145" t="s">
        <v>141</v>
      </c>
      <c r="AU162" s="146" t="s">
        <v>141</v>
      </c>
      <c r="AV162" s="145" t="s">
        <v>141</v>
      </c>
      <c r="AW162" s="146" t="s">
        <v>141</v>
      </c>
      <c r="AX162" s="145" t="s">
        <v>141</v>
      </c>
      <c r="AY162" s="146" t="s">
        <v>141</v>
      </c>
    </row>
    <row r="163" spans="2:51">
      <c r="B163" s="143" t="s">
        <v>141</v>
      </c>
      <c r="C163" s="144" t="s">
        <v>141</v>
      </c>
      <c r="D163" s="145" t="s">
        <v>141</v>
      </c>
      <c r="E163" s="146" t="s">
        <v>141</v>
      </c>
      <c r="F163" s="145" t="s">
        <v>141</v>
      </c>
      <c r="G163" s="146" t="s">
        <v>141</v>
      </c>
      <c r="H163" s="145" t="s">
        <v>141</v>
      </c>
      <c r="I163" s="146" t="s">
        <v>141</v>
      </c>
      <c r="J163" s="145" t="s">
        <v>141</v>
      </c>
      <c r="K163" s="146" t="s">
        <v>141</v>
      </c>
      <c r="L163" s="145" t="s">
        <v>141</v>
      </c>
      <c r="M163" s="146" t="s">
        <v>141</v>
      </c>
      <c r="N163" s="145" t="s">
        <v>141</v>
      </c>
      <c r="O163" s="146" t="s">
        <v>141</v>
      </c>
      <c r="P163" s="145" t="s">
        <v>141</v>
      </c>
      <c r="Q163" s="146" t="s">
        <v>141</v>
      </c>
      <c r="R163" s="145" t="s">
        <v>141</v>
      </c>
      <c r="S163" s="146" t="s">
        <v>141</v>
      </c>
      <c r="T163" s="145" t="s">
        <v>141</v>
      </c>
      <c r="U163" s="146" t="s">
        <v>141</v>
      </c>
      <c r="V163" s="145" t="s">
        <v>141</v>
      </c>
      <c r="W163" s="146" t="s">
        <v>141</v>
      </c>
      <c r="X163" s="145" t="s">
        <v>141</v>
      </c>
      <c r="Y163" s="146" t="s">
        <v>141</v>
      </c>
      <c r="Z163" s="145" t="s">
        <v>141</v>
      </c>
      <c r="AA163" s="146" t="s">
        <v>141</v>
      </c>
      <c r="AB163" s="145" t="s">
        <v>141</v>
      </c>
      <c r="AC163" s="146" t="s">
        <v>141</v>
      </c>
      <c r="AD163" s="145" t="s">
        <v>141</v>
      </c>
      <c r="AE163" s="146" t="s">
        <v>141</v>
      </c>
      <c r="AF163" s="145" t="s">
        <v>141</v>
      </c>
      <c r="AG163" s="146" t="s">
        <v>141</v>
      </c>
      <c r="AH163" s="145" t="s">
        <v>141</v>
      </c>
      <c r="AI163" s="146" t="s">
        <v>141</v>
      </c>
      <c r="AJ163" s="145" t="s">
        <v>141</v>
      </c>
      <c r="AK163" s="146" t="s">
        <v>141</v>
      </c>
      <c r="AL163" s="145" t="s">
        <v>141</v>
      </c>
      <c r="AM163" s="146" t="s">
        <v>141</v>
      </c>
      <c r="AN163" s="145" t="s">
        <v>141</v>
      </c>
      <c r="AO163" s="146" t="s">
        <v>141</v>
      </c>
      <c r="AP163" s="145" t="s">
        <v>141</v>
      </c>
      <c r="AQ163" s="146" t="s">
        <v>141</v>
      </c>
      <c r="AR163" s="145" t="s">
        <v>141</v>
      </c>
      <c r="AS163" s="146" t="s">
        <v>141</v>
      </c>
      <c r="AT163" s="145" t="s">
        <v>141</v>
      </c>
      <c r="AU163" s="146" t="s">
        <v>141</v>
      </c>
      <c r="AV163" s="145" t="s">
        <v>141</v>
      </c>
      <c r="AW163" s="146" t="s">
        <v>141</v>
      </c>
      <c r="AX163" s="145" t="s">
        <v>141</v>
      </c>
      <c r="AY163" s="146" t="s">
        <v>141</v>
      </c>
    </row>
    <row r="164" spans="2:51">
      <c r="B164" s="143" t="s">
        <v>141</v>
      </c>
      <c r="C164" s="144" t="s">
        <v>141</v>
      </c>
      <c r="D164" s="145" t="s">
        <v>141</v>
      </c>
      <c r="E164" s="146" t="s">
        <v>141</v>
      </c>
      <c r="F164" s="145" t="s">
        <v>141</v>
      </c>
      <c r="G164" s="146" t="s">
        <v>141</v>
      </c>
      <c r="H164" s="145" t="s">
        <v>141</v>
      </c>
      <c r="I164" s="146" t="s">
        <v>141</v>
      </c>
      <c r="J164" s="145" t="s">
        <v>141</v>
      </c>
      <c r="K164" s="146" t="s">
        <v>141</v>
      </c>
      <c r="L164" s="145" t="s">
        <v>141</v>
      </c>
      <c r="M164" s="146" t="s">
        <v>141</v>
      </c>
      <c r="N164" s="145" t="s">
        <v>141</v>
      </c>
      <c r="O164" s="146" t="s">
        <v>141</v>
      </c>
      <c r="P164" s="145" t="s">
        <v>141</v>
      </c>
      <c r="Q164" s="146" t="s">
        <v>141</v>
      </c>
      <c r="R164" s="145" t="s">
        <v>141</v>
      </c>
      <c r="S164" s="146" t="s">
        <v>141</v>
      </c>
      <c r="T164" s="145" t="s">
        <v>141</v>
      </c>
      <c r="U164" s="146" t="s">
        <v>141</v>
      </c>
      <c r="V164" s="145" t="s">
        <v>141</v>
      </c>
      <c r="W164" s="146" t="s">
        <v>141</v>
      </c>
      <c r="X164" s="145" t="s">
        <v>141</v>
      </c>
      <c r="Y164" s="146" t="s">
        <v>141</v>
      </c>
      <c r="Z164" s="145" t="s">
        <v>141</v>
      </c>
      <c r="AA164" s="146" t="s">
        <v>141</v>
      </c>
      <c r="AB164" s="145" t="s">
        <v>141</v>
      </c>
      <c r="AC164" s="146" t="s">
        <v>141</v>
      </c>
      <c r="AD164" s="145" t="s">
        <v>141</v>
      </c>
      <c r="AE164" s="146" t="s">
        <v>141</v>
      </c>
      <c r="AF164" s="145" t="s">
        <v>141</v>
      </c>
      <c r="AG164" s="146" t="s">
        <v>141</v>
      </c>
      <c r="AH164" s="145" t="s">
        <v>141</v>
      </c>
      <c r="AI164" s="146" t="s">
        <v>141</v>
      </c>
      <c r="AJ164" s="145" t="s">
        <v>141</v>
      </c>
      <c r="AK164" s="146" t="s">
        <v>141</v>
      </c>
      <c r="AL164" s="145" t="s">
        <v>141</v>
      </c>
      <c r="AM164" s="146" t="s">
        <v>141</v>
      </c>
      <c r="AN164" s="145" t="s">
        <v>141</v>
      </c>
      <c r="AO164" s="146" t="s">
        <v>141</v>
      </c>
      <c r="AP164" s="145" t="s">
        <v>141</v>
      </c>
      <c r="AQ164" s="146" t="s">
        <v>141</v>
      </c>
      <c r="AR164" s="145" t="s">
        <v>141</v>
      </c>
      <c r="AS164" s="146" t="s">
        <v>141</v>
      </c>
      <c r="AT164" s="145" t="s">
        <v>141</v>
      </c>
      <c r="AU164" s="146" t="s">
        <v>141</v>
      </c>
      <c r="AV164" s="145" t="s">
        <v>141</v>
      </c>
      <c r="AW164" s="146" t="s">
        <v>141</v>
      </c>
      <c r="AX164" s="145" t="s">
        <v>141</v>
      </c>
      <c r="AY164" s="146" t="s">
        <v>141</v>
      </c>
    </row>
    <row r="165" spans="2:51">
      <c r="B165" s="143" t="s">
        <v>141</v>
      </c>
      <c r="C165" s="144" t="s">
        <v>141</v>
      </c>
      <c r="D165" s="145" t="s">
        <v>141</v>
      </c>
      <c r="E165" s="146" t="s">
        <v>141</v>
      </c>
      <c r="F165" s="145" t="s">
        <v>141</v>
      </c>
      <c r="G165" s="146" t="s">
        <v>141</v>
      </c>
      <c r="H165" s="145" t="s">
        <v>141</v>
      </c>
      <c r="I165" s="146" t="s">
        <v>141</v>
      </c>
      <c r="J165" s="145" t="s">
        <v>141</v>
      </c>
      <c r="K165" s="146" t="s">
        <v>141</v>
      </c>
      <c r="L165" s="145" t="s">
        <v>141</v>
      </c>
      <c r="M165" s="146" t="s">
        <v>141</v>
      </c>
      <c r="N165" s="145" t="s">
        <v>141</v>
      </c>
      <c r="O165" s="146" t="s">
        <v>141</v>
      </c>
      <c r="P165" s="145" t="s">
        <v>141</v>
      </c>
      <c r="Q165" s="146" t="s">
        <v>141</v>
      </c>
      <c r="R165" s="145" t="s">
        <v>141</v>
      </c>
      <c r="S165" s="146" t="s">
        <v>141</v>
      </c>
      <c r="T165" s="145" t="s">
        <v>141</v>
      </c>
      <c r="U165" s="146" t="s">
        <v>141</v>
      </c>
      <c r="V165" s="145" t="s">
        <v>141</v>
      </c>
      <c r="W165" s="146" t="s">
        <v>141</v>
      </c>
      <c r="X165" s="145" t="s">
        <v>141</v>
      </c>
      <c r="Y165" s="146" t="s">
        <v>141</v>
      </c>
      <c r="Z165" s="145" t="s">
        <v>141</v>
      </c>
      <c r="AA165" s="146" t="s">
        <v>141</v>
      </c>
      <c r="AB165" s="145" t="s">
        <v>141</v>
      </c>
      <c r="AC165" s="146" t="s">
        <v>141</v>
      </c>
      <c r="AD165" s="145" t="s">
        <v>141</v>
      </c>
      <c r="AE165" s="146" t="s">
        <v>141</v>
      </c>
      <c r="AF165" s="145" t="s">
        <v>141</v>
      </c>
      <c r="AG165" s="146" t="s">
        <v>141</v>
      </c>
      <c r="AH165" s="145" t="s">
        <v>141</v>
      </c>
      <c r="AI165" s="146" t="s">
        <v>141</v>
      </c>
      <c r="AJ165" s="145" t="s">
        <v>141</v>
      </c>
      <c r="AK165" s="146" t="s">
        <v>141</v>
      </c>
      <c r="AL165" s="145" t="s">
        <v>141</v>
      </c>
      <c r="AM165" s="146" t="s">
        <v>141</v>
      </c>
      <c r="AN165" s="145" t="s">
        <v>141</v>
      </c>
      <c r="AO165" s="146" t="s">
        <v>141</v>
      </c>
      <c r="AP165" s="145" t="s">
        <v>141</v>
      </c>
      <c r="AQ165" s="146" t="s">
        <v>141</v>
      </c>
      <c r="AR165" s="145" t="s">
        <v>141</v>
      </c>
      <c r="AS165" s="146" t="s">
        <v>141</v>
      </c>
      <c r="AT165" s="145" t="s">
        <v>141</v>
      </c>
      <c r="AU165" s="146" t="s">
        <v>141</v>
      </c>
      <c r="AV165" s="145" t="s">
        <v>141</v>
      </c>
      <c r="AW165" s="146" t="s">
        <v>141</v>
      </c>
      <c r="AX165" s="145" t="s">
        <v>141</v>
      </c>
      <c r="AY165" s="146" t="s">
        <v>141</v>
      </c>
    </row>
    <row r="166" spans="2:51">
      <c r="B166" s="143" t="s">
        <v>141</v>
      </c>
      <c r="C166" s="144" t="s">
        <v>141</v>
      </c>
      <c r="D166" s="145" t="s">
        <v>141</v>
      </c>
      <c r="E166" s="146" t="s">
        <v>141</v>
      </c>
      <c r="F166" s="145" t="s">
        <v>141</v>
      </c>
      <c r="G166" s="146" t="s">
        <v>141</v>
      </c>
      <c r="H166" s="145" t="s">
        <v>141</v>
      </c>
      <c r="I166" s="146" t="s">
        <v>141</v>
      </c>
      <c r="J166" s="145" t="s">
        <v>141</v>
      </c>
      <c r="K166" s="146" t="s">
        <v>141</v>
      </c>
      <c r="L166" s="145" t="s">
        <v>141</v>
      </c>
      <c r="M166" s="146" t="s">
        <v>141</v>
      </c>
      <c r="N166" s="145" t="s">
        <v>141</v>
      </c>
      <c r="O166" s="146" t="s">
        <v>141</v>
      </c>
      <c r="P166" s="145" t="s">
        <v>141</v>
      </c>
      <c r="Q166" s="146" t="s">
        <v>141</v>
      </c>
      <c r="R166" s="145" t="s">
        <v>141</v>
      </c>
      <c r="S166" s="146" t="s">
        <v>141</v>
      </c>
      <c r="T166" s="145" t="s">
        <v>141</v>
      </c>
      <c r="U166" s="146" t="s">
        <v>141</v>
      </c>
      <c r="V166" s="145" t="s">
        <v>141</v>
      </c>
      <c r="W166" s="146" t="s">
        <v>141</v>
      </c>
      <c r="X166" s="145" t="s">
        <v>141</v>
      </c>
      <c r="Y166" s="146" t="s">
        <v>141</v>
      </c>
      <c r="Z166" s="145" t="s">
        <v>141</v>
      </c>
      <c r="AA166" s="146" t="s">
        <v>141</v>
      </c>
      <c r="AB166" s="145" t="s">
        <v>141</v>
      </c>
      <c r="AC166" s="146" t="s">
        <v>141</v>
      </c>
      <c r="AD166" s="145" t="s">
        <v>141</v>
      </c>
      <c r="AE166" s="146" t="s">
        <v>141</v>
      </c>
      <c r="AF166" s="145" t="s">
        <v>141</v>
      </c>
      <c r="AG166" s="146" t="s">
        <v>141</v>
      </c>
      <c r="AH166" s="145" t="s">
        <v>141</v>
      </c>
      <c r="AI166" s="146" t="s">
        <v>141</v>
      </c>
      <c r="AJ166" s="145" t="s">
        <v>141</v>
      </c>
      <c r="AK166" s="146" t="s">
        <v>141</v>
      </c>
      <c r="AL166" s="145" t="s">
        <v>141</v>
      </c>
      <c r="AM166" s="146" t="s">
        <v>141</v>
      </c>
      <c r="AN166" s="145" t="s">
        <v>141</v>
      </c>
      <c r="AO166" s="146" t="s">
        <v>141</v>
      </c>
      <c r="AP166" s="145" t="s">
        <v>141</v>
      </c>
      <c r="AQ166" s="146" t="s">
        <v>141</v>
      </c>
      <c r="AR166" s="145" t="s">
        <v>141</v>
      </c>
      <c r="AS166" s="146" t="s">
        <v>141</v>
      </c>
      <c r="AT166" s="145" t="s">
        <v>141</v>
      </c>
      <c r="AU166" s="146" t="s">
        <v>141</v>
      </c>
      <c r="AV166" s="145" t="s">
        <v>141</v>
      </c>
      <c r="AW166" s="146" t="s">
        <v>141</v>
      </c>
      <c r="AX166" s="145" t="s">
        <v>141</v>
      </c>
      <c r="AY166" s="146" t="s">
        <v>141</v>
      </c>
    </row>
    <row r="167" spans="2:51">
      <c r="B167" s="143" t="s">
        <v>141</v>
      </c>
      <c r="C167" s="144" t="s">
        <v>141</v>
      </c>
      <c r="D167" s="145" t="s">
        <v>141</v>
      </c>
      <c r="E167" s="146" t="s">
        <v>141</v>
      </c>
      <c r="F167" s="145" t="s">
        <v>141</v>
      </c>
      <c r="G167" s="146" t="s">
        <v>141</v>
      </c>
      <c r="H167" s="145" t="s">
        <v>141</v>
      </c>
      <c r="I167" s="146" t="s">
        <v>141</v>
      </c>
      <c r="J167" s="145" t="s">
        <v>141</v>
      </c>
      <c r="K167" s="146" t="s">
        <v>141</v>
      </c>
      <c r="L167" s="145" t="s">
        <v>141</v>
      </c>
      <c r="M167" s="146" t="s">
        <v>141</v>
      </c>
      <c r="N167" s="145" t="s">
        <v>141</v>
      </c>
      <c r="O167" s="146" t="s">
        <v>141</v>
      </c>
      <c r="P167" s="145" t="s">
        <v>141</v>
      </c>
      <c r="Q167" s="146" t="s">
        <v>141</v>
      </c>
      <c r="R167" s="145" t="s">
        <v>141</v>
      </c>
      <c r="S167" s="146" t="s">
        <v>141</v>
      </c>
      <c r="T167" s="145" t="s">
        <v>141</v>
      </c>
      <c r="U167" s="146" t="s">
        <v>141</v>
      </c>
      <c r="V167" s="145" t="s">
        <v>141</v>
      </c>
      <c r="W167" s="146" t="s">
        <v>141</v>
      </c>
      <c r="X167" s="145" t="s">
        <v>141</v>
      </c>
      <c r="Y167" s="146" t="s">
        <v>141</v>
      </c>
      <c r="Z167" s="145" t="s">
        <v>141</v>
      </c>
      <c r="AA167" s="146" t="s">
        <v>141</v>
      </c>
      <c r="AB167" s="145" t="s">
        <v>141</v>
      </c>
      <c r="AC167" s="146" t="s">
        <v>141</v>
      </c>
      <c r="AD167" s="145" t="s">
        <v>141</v>
      </c>
      <c r="AE167" s="146" t="s">
        <v>141</v>
      </c>
      <c r="AF167" s="145" t="s">
        <v>141</v>
      </c>
      <c r="AG167" s="146" t="s">
        <v>141</v>
      </c>
      <c r="AH167" s="145" t="s">
        <v>141</v>
      </c>
      <c r="AI167" s="146" t="s">
        <v>141</v>
      </c>
      <c r="AJ167" s="145" t="s">
        <v>141</v>
      </c>
      <c r="AK167" s="146" t="s">
        <v>141</v>
      </c>
      <c r="AL167" s="145" t="s">
        <v>141</v>
      </c>
      <c r="AM167" s="146" t="s">
        <v>141</v>
      </c>
      <c r="AN167" s="145" t="s">
        <v>141</v>
      </c>
      <c r="AO167" s="146" t="s">
        <v>141</v>
      </c>
      <c r="AP167" s="145" t="s">
        <v>141</v>
      </c>
      <c r="AQ167" s="146" t="s">
        <v>141</v>
      </c>
      <c r="AR167" s="145" t="s">
        <v>141</v>
      </c>
      <c r="AS167" s="146" t="s">
        <v>141</v>
      </c>
      <c r="AT167" s="145" t="s">
        <v>141</v>
      </c>
      <c r="AU167" s="146" t="s">
        <v>141</v>
      </c>
      <c r="AV167" s="145" t="s">
        <v>141</v>
      </c>
      <c r="AW167" s="146" t="s">
        <v>141</v>
      </c>
      <c r="AX167" s="145" t="s">
        <v>141</v>
      </c>
      <c r="AY167" s="146" t="s">
        <v>141</v>
      </c>
    </row>
  </sheetData>
  <conditionalFormatting sqref="B2:M2">
    <cfRule type="expression" dxfId="9" priority="1" stopIfTrue="1">
      <formula>A1 &gt; 30</formula>
    </cfRule>
  </conditionalFormatting>
  <hyperlinks>
    <hyperlink ref="A2" location="TOC!A1" display="TOC"/>
  </hyperlink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F0"/>
  </sheetPr>
  <dimension ref="A1:BB166"/>
  <sheetViews>
    <sheetView workbookViewId="0">
      <selection activeCell="B1" sqref="B1"/>
    </sheetView>
  </sheetViews>
  <sheetFormatPr defaultRowHeight="14.4"/>
  <cols>
    <col min="3" max="3" width="30.109375" bestFit="1" customWidth="1"/>
    <col min="259" max="259" width="30.109375" bestFit="1" customWidth="1"/>
    <col min="515" max="515" width="30.109375" bestFit="1" customWidth="1"/>
    <col min="771" max="771" width="30.109375" bestFit="1" customWidth="1"/>
    <col min="1027" max="1027" width="30.109375" bestFit="1" customWidth="1"/>
    <col min="1283" max="1283" width="30.109375" bestFit="1" customWidth="1"/>
    <col min="1539" max="1539" width="30.109375" bestFit="1" customWidth="1"/>
    <col min="1795" max="1795" width="30.109375" bestFit="1" customWidth="1"/>
    <col min="2051" max="2051" width="30.109375" bestFit="1" customWidth="1"/>
    <col min="2307" max="2307" width="30.109375" bestFit="1" customWidth="1"/>
    <col min="2563" max="2563" width="30.109375" bestFit="1" customWidth="1"/>
    <col min="2819" max="2819" width="30.109375" bestFit="1" customWidth="1"/>
    <col min="3075" max="3075" width="30.109375" bestFit="1" customWidth="1"/>
    <col min="3331" max="3331" width="30.109375" bestFit="1" customWidth="1"/>
    <col min="3587" max="3587" width="30.109375" bestFit="1" customWidth="1"/>
    <col min="3843" max="3843" width="30.109375" bestFit="1" customWidth="1"/>
    <col min="4099" max="4099" width="30.109375" bestFit="1" customWidth="1"/>
    <col min="4355" max="4355" width="30.109375" bestFit="1" customWidth="1"/>
    <col min="4611" max="4611" width="30.109375" bestFit="1" customWidth="1"/>
    <col min="4867" max="4867" width="30.109375" bestFit="1" customWidth="1"/>
    <col min="5123" max="5123" width="30.109375" bestFit="1" customWidth="1"/>
    <col min="5379" max="5379" width="30.109375" bestFit="1" customWidth="1"/>
    <col min="5635" max="5635" width="30.109375" bestFit="1" customWidth="1"/>
    <col min="5891" max="5891" width="30.109375" bestFit="1" customWidth="1"/>
    <col min="6147" max="6147" width="30.109375" bestFit="1" customWidth="1"/>
    <col min="6403" max="6403" width="30.109375" bestFit="1" customWidth="1"/>
    <col min="6659" max="6659" width="30.109375" bestFit="1" customWidth="1"/>
    <col min="6915" max="6915" width="30.109375" bestFit="1" customWidth="1"/>
    <col min="7171" max="7171" width="30.109375" bestFit="1" customWidth="1"/>
    <col min="7427" max="7427" width="30.109375" bestFit="1" customWidth="1"/>
    <col min="7683" max="7683" width="30.109375" bestFit="1" customWidth="1"/>
    <col min="7939" max="7939" width="30.109375" bestFit="1" customWidth="1"/>
    <col min="8195" max="8195" width="30.109375" bestFit="1" customWidth="1"/>
    <col min="8451" max="8451" width="30.109375" bestFit="1" customWidth="1"/>
    <col min="8707" max="8707" width="30.109375" bestFit="1" customWidth="1"/>
    <col min="8963" max="8963" width="30.109375" bestFit="1" customWidth="1"/>
    <col min="9219" max="9219" width="30.109375" bestFit="1" customWidth="1"/>
    <col min="9475" max="9475" width="30.109375" bestFit="1" customWidth="1"/>
    <col min="9731" max="9731" width="30.109375" bestFit="1" customWidth="1"/>
    <col min="9987" max="9987" width="30.109375" bestFit="1" customWidth="1"/>
    <col min="10243" max="10243" width="30.109375" bestFit="1" customWidth="1"/>
    <col min="10499" max="10499" width="30.109375" bestFit="1" customWidth="1"/>
    <col min="10755" max="10755" width="30.109375" bestFit="1" customWidth="1"/>
    <col min="11011" max="11011" width="30.109375" bestFit="1" customWidth="1"/>
    <col min="11267" max="11267" width="30.109375" bestFit="1" customWidth="1"/>
    <col min="11523" max="11523" width="30.109375" bestFit="1" customWidth="1"/>
    <col min="11779" max="11779" width="30.109375" bestFit="1" customWidth="1"/>
    <col min="12035" max="12035" width="30.109375" bestFit="1" customWidth="1"/>
    <col min="12291" max="12291" width="30.109375" bestFit="1" customWidth="1"/>
    <col min="12547" max="12547" width="30.109375" bestFit="1" customWidth="1"/>
    <col min="12803" max="12803" width="30.109375" bestFit="1" customWidth="1"/>
    <col min="13059" max="13059" width="30.109375" bestFit="1" customWidth="1"/>
    <col min="13315" max="13315" width="30.109375" bestFit="1" customWidth="1"/>
    <col min="13571" max="13571" width="30.109375" bestFit="1" customWidth="1"/>
    <col min="13827" max="13827" width="30.109375" bestFit="1" customWidth="1"/>
    <col min="14083" max="14083" width="30.109375" bestFit="1" customWidth="1"/>
    <col min="14339" max="14339" width="30.109375" bestFit="1" customWidth="1"/>
    <col min="14595" max="14595" width="30.109375" bestFit="1" customWidth="1"/>
    <col min="14851" max="14851" width="30.109375" bestFit="1" customWidth="1"/>
    <col min="15107" max="15107" width="30.109375" bestFit="1" customWidth="1"/>
    <col min="15363" max="15363" width="30.109375" bestFit="1" customWidth="1"/>
    <col min="15619" max="15619" width="30.109375" bestFit="1" customWidth="1"/>
    <col min="15875" max="15875" width="30.109375" bestFit="1" customWidth="1"/>
    <col min="16131" max="16131" width="30.109375" bestFit="1" customWidth="1"/>
  </cols>
  <sheetData>
    <row r="1" spans="1:54" s="23" customFormat="1">
      <c r="A1" s="101"/>
      <c r="B1" s="102" t="s">
        <v>242</v>
      </c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</row>
    <row r="2" spans="1:54" s="23" customFormat="1">
      <c r="A2" s="103"/>
      <c r="B2" s="218"/>
      <c r="C2" s="218"/>
      <c r="D2" s="221">
        <v>45200</v>
      </c>
      <c r="E2" s="222">
        <v>45200</v>
      </c>
      <c r="F2" s="221">
        <v>45231</v>
      </c>
      <c r="G2" s="222">
        <v>45231</v>
      </c>
      <c r="H2" s="221">
        <v>45261</v>
      </c>
      <c r="I2" s="222">
        <v>45261</v>
      </c>
      <c r="J2" s="221">
        <v>45292</v>
      </c>
      <c r="K2" s="222">
        <v>45292</v>
      </c>
      <c r="L2" s="221">
        <v>45323</v>
      </c>
      <c r="M2" s="222">
        <v>45323</v>
      </c>
      <c r="N2" s="221">
        <v>45352</v>
      </c>
      <c r="O2" s="222">
        <v>45352</v>
      </c>
      <c r="P2" s="221">
        <v>45383</v>
      </c>
      <c r="Q2" s="222">
        <v>45383</v>
      </c>
      <c r="R2" s="221">
        <v>45413</v>
      </c>
      <c r="S2" s="222">
        <v>45413</v>
      </c>
      <c r="T2" s="221">
        <v>45444</v>
      </c>
      <c r="U2" s="222">
        <v>45444</v>
      </c>
      <c r="V2" s="221">
        <v>45474</v>
      </c>
      <c r="W2" s="222">
        <v>45474</v>
      </c>
      <c r="X2" s="221">
        <v>45505</v>
      </c>
      <c r="Y2" s="222">
        <v>45505</v>
      </c>
      <c r="Z2" s="221">
        <v>45536</v>
      </c>
      <c r="AA2" s="222">
        <v>45536</v>
      </c>
      <c r="AB2" s="221">
        <v>45566</v>
      </c>
      <c r="AC2" s="222">
        <v>45566</v>
      </c>
      <c r="AD2" s="221">
        <v>45597</v>
      </c>
      <c r="AE2" s="222">
        <v>45597</v>
      </c>
      <c r="AF2" s="221">
        <v>45627</v>
      </c>
      <c r="AG2" s="222">
        <v>45627</v>
      </c>
      <c r="AH2" s="221">
        <v>45658</v>
      </c>
      <c r="AI2" s="222">
        <v>45658</v>
      </c>
      <c r="AJ2" s="221">
        <v>45689</v>
      </c>
      <c r="AK2" s="222">
        <v>45689</v>
      </c>
      <c r="AL2" s="221">
        <v>45717</v>
      </c>
      <c r="AM2" s="222">
        <v>45717</v>
      </c>
      <c r="AN2" s="221">
        <v>45748</v>
      </c>
      <c r="AO2" s="222">
        <v>45748</v>
      </c>
      <c r="AP2" s="221">
        <v>45778</v>
      </c>
      <c r="AQ2" s="222">
        <v>45778</v>
      </c>
      <c r="AR2" s="221">
        <v>45809</v>
      </c>
      <c r="AS2" s="222">
        <v>45809</v>
      </c>
      <c r="AT2" s="221">
        <v>45839</v>
      </c>
      <c r="AU2" s="222">
        <v>45839</v>
      </c>
      <c r="AV2" s="221">
        <v>45870</v>
      </c>
      <c r="AW2" s="222">
        <v>45870</v>
      </c>
      <c r="AX2" s="221">
        <v>45901</v>
      </c>
      <c r="AY2" s="222">
        <v>45901</v>
      </c>
      <c r="BA2" s="81"/>
    </row>
    <row r="3" spans="1:54" s="23" customFormat="1">
      <c r="A3" s="101"/>
      <c r="B3" s="219" t="s">
        <v>2</v>
      </c>
      <c r="C3" s="219" t="s">
        <v>147</v>
      </c>
      <c r="D3" s="223" t="s">
        <v>143</v>
      </c>
      <c r="E3" s="224" t="s">
        <v>144</v>
      </c>
      <c r="F3" s="223" t="s">
        <v>143</v>
      </c>
      <c r="G3" s="224" t="s">
        <v>144</v>
      </c>
      <c r="H3" s="223" t="s">
        <v>143</v>
      </c>
      <c r="I3" s="224" t="s">
        <v>144</v>
      </c>
      <c r="J3" s="223" t="s">
        <v>143</v>
      </c>
      <c r="K3" s="224" t="s">
        <v>144</v>
      </c>
      <c r="L3" s="223" t="s">
        <v>143</v>
      </c>
      <c r="M3" s="224" t="s">
        <v>144</v>
      </c>
      <c r="N3" s="223" t="s">
        <v>143</v>
      </c>
      <c r="O3" s="224" t="s">
        <v>144</v>
      </c>
      <c r="P3" s="223" t="s">
        <v>143</v>
      </c>
      <c r="Q3" s="224" t="s">
        <v>144</v>
      </c>
      <c r="R3" s="223" t="s">
        <v>143</v>
      </c>
      <c r="S3" s="224" t="s">
        <v>144</v>
      </c>
      <c r="T3" s="223" t="s">
        <v>143</v>
      </c>
      <c r="U3" s="224" t="s">
        <v>144</v>
      </c>
      <c r="V3" s="223" t="s">
        <v>143</v>
      </c>
      <c r="W3" s="224" t="s">
        <v>144</v>
      </c>
      <c r="X3" s="223" t="s">
        <v>143</v>
      </c>
      <c r="Y3" s="224" t="s">
        <v>144</v>
      </c>
      <c r="Z3" s="223" t="s">
        <v>143</v>
      </c>
      <c r="AA3" s="224" t="s">
        <v>144</v>
      </c>
      <c r="AB3" s="223" t="s">
        <v>143</v>
      </c>
      <c r="AC3" s="224" t="s">
        <v>144</v>
      </c>
      <c r="AD3" s="223" t="s">
        <v>143</v>
      </c>
      <c r="AE3" s="224" t="s">
        <v>144</v>
      </c>
      <c r="AF3" s="223" t="s">
        <v>143</v>
      </c>
      <c r="AG3" s="224" t="s">
        <v>144</v>
      </c>
      <c r="AH3" s="223" t="s">
        <v>143</v>
      </c>
      <c r="AI3" s="224" t="s">
        <v>144</v>
      </c>
      <c r="AJ3" s="223" t="s">
        <v>143</v>
      </c>
      <c r="AK3" s="224" t="s">
        <v>144</v>
      </c>
      <c r="AL3" s="223" t="s">
        <v>143</v>
      </c>
      <c r="AM3" s="224" t="s">
        <v>144</v>
      </c>
      <c r="AN3" s="223" t="s">
        <v>143</v>
      </c>
      <c r="AO3" s="224" t="s">
        <v>144</v>
      </c>
      <c r="AP3" s="223" t="s">
        <v>143</v>
      </c>
      <c r="AQ3" s="224" t="s">
        <v>144</v>
      </c>
      <c r="AR3" s="223" t="s">
        <v>143</v>
      </c>
      <c r="AS3" s="224" t="s">
        <v>144</v>
      </c>
      <c r="AT3" s="223" t="s">
        <v>143</v>
      </c>
      <c r="AU3" s="224" t="s">
        <v>144</v>
      </c>
      <c r="AV3" s="223" t="s">
        <v>143</v>
      </c>
      <c r="AW3" s="224" t="s">
        <v>144</v>
      </c>
      <c r="AX3" s="223" t="s">
        <v>143</v>
      </c>
      <c r="AY3" s="224" t="s">
        <v>144</v>
      </c>
      <c r="BA3" s="78"/>
      <c r="BB3" s="82"/>
    </row>
    <row r="4" spans="1:54" s="23" customFormat="1">
      <c r="A4" s="101"/>
      <c r="B4" s="218">
        <v>10005</v>
      </c>
      <c r="C4" s="218" t="s">
        <v>7</v>
      </c>
      <c r="D4" s="220">
        <v>87.872342806399985</v>
      </c>
      <c r="E4" s="242">
        <v>80.165485301199993</v>
      </c>
      <c r="F4" s="242">
        <v>68.803783347199953</v>
      </c>
      <c r="G4" s="242">
        <v>72.555818234399993</v>
      </c>
      <c r="H4" s="242">
        <v>120.82330665359996</v>
      </c>
      <c r="I4" s="242">
        <v>133.4328891904</v>
      </c>
      <c r="J4" s="242">
        <v>138.05832291600001</v>
      </c>
      <c r="K4" s="242">
        <v>130.8994889496</v>
      </c>
      <c r="L4" s="242">
        <v>94.736319789599975</v>
      </c>
      <c r="M4" s="242">
        <v>97.1826079816</v>
      </c>
      <c r="N4" s="242">
        <v>67.327276831199981</v>
      </c>
      <c r="O4" s="242">
        <v>84.508670027199997</v>
      </c>
      <c r="P4" s="242">
        <v>92.586156466000034</v>
      </c>
      <c r="Q4" s="242">
        <v>76.794435368199998</v>
      </c>
      <c r="R4" s="242">
        <v>-39.2419874048</v>
      </c>
      <c r="S4" s="242">
        <v>-8.6215666996000095</v>
      </c>
      <c r="T4" s="242">
        <v>-66.369615057600015</v>
      </c>
      <c r="U4" s="242">
        <v>-10.596744229200027</v>
      </c>
      <c r="V4" s="242">
        <v>-34.725664886399983</v>
      </c>
      <c r="W4" s="242">
        <v>-7.9384758939999926</v>
      </c>
      <c r="X4" s="242">
        <v>-19.92431730840002</v>
      </c>
      <c r="Y4" s="242">
        <v>-7.990674996359985</v>
      </c>
      <c r="Z4" s="242">
        <v>-6.4732100624000282</v>
      </c>
      <c r="AA4" s="242">
        <v>17.523557529599969</v>
      </c>
      <c r="AB4" s="242">
        <v>104.72634280639997</v>
      </c>
      <c r="AC4" s="242">
        <v>70.422485301199998</v>
      </c>
      <c r="AD4" s="242">
        <v>72.385783347199947</v>
      </c>
      <c r="AE4" s="242">
        <v>75.188818234400003</v>
      </c>
      <c r="AF4" s="242">
        <v>123.7973066536</v>
      </c>
      <c r="AG4" s="242">
        <v>135.77888919040001</v>
      </c>
      <c r="AH4" s="242">
        <v>140.62932291600004</v>
      </c>
      <c r="AI4" s="242">
        <v>132.7574889496</v>
      </c>
      <c r="AJ4" s="242">
        <v>118.16219377359999</v>
      </c>
      <c r="AK4" s="242">
        <v>115.85054497359999</v>
      </c>
      <c r="AL4" s="242">
        <v>68.829276831199991</v>
      </c>
      <c r="AM4" s="242">
        <v>85.658670027200031</v>
      </c>
      <c r="AN4" s="242">
        <v>93.624156465999988</v>
      </c>
      <c r="AO4" s="242">
        <v>77.521435368200002</v>
      </c>
      <c r="AP4" s="242">
        <v>-38.728987404799994</v>
      </c>
      <c r="AQ4" s="242">
        <v>-8.251566699600005</v>
      </c>
      <c r="AR4" s="242">
        <v>-66.369615057600015</v>
      </c>
      <c r="AS4" s="242">
        <v>-10.596744229200027</v>
      </c>
      <c r="AT4" s="242">
        <v>-34.725664886399983</v>
      </c>
      <c r="AU4" s="242">
        <v>-7.9384758939999926</v>
      </c>
      <c r="AV4" s="242">
        <v>-28.583317308400012</v>
      </c>
      <c r="AW4" s="242">
        <v>0.6683250036400068</v>
      </c>
      <c r="AX4" s="242">
        <v>2.7237899375999746</v>
      </c>
      <c r="AY4" s="242">
        <v>8.3265575295999668</v>
      </c>
      <c r="BA4" s="79"/>
      <c r="BB4" s="79"/>
    </row>
    <row r="5" spans="1:54">
      <c r="A5" s="101"/>
      <c r="B5" s="218">
        <v>10015</v>
      </c>
      <c r="C5" s="218" t="s">
        <v>8</v>
      </c>
      <c r="D5" s="242">
        <v>-53.466211319600035</v>
      </c>
      <c r="E5" s="242">
        <v>-8.7467737380500097</v>
      </c>
      <c r="F5" s="242">
        <v>-175.85592230080005</v>
      </c>
      <c r="G5" s="242">
        <v>-106.6027569741</v>
      </c>
      <c r="H5" s="242">
        <v>-194.49739343290003</v>
      </c>
      <c r="I5" s="242">
        <v>-114.98208874560001</v>
      </c>
      <c r="J5" s="242">
        <v>-200.31459808650001</v>
      </c>
      <c r="K5" s="242">
        <v>-123.11799415190004</v>
      </c>
      <c r="L5" s="242">
        <v>-185.17466578689999</v>
      </c>
      <c r="M5" s="242">
        <v>-90.327048874900001</v>
      </c>
      <c r="N5" s="242">
        <v>-174.7694400643</v>
      </c>
      <c r="O5" s="242">
        <v>-117.63580619580001</v>
      </c>
      <c r="P5" s="242">
        <v>-61.308270755249993</v>
      </c>
      <c r="Q5" s="242">
        <v>-40.362311747925006</v>
      </c>
      <c r="R5" s="242">
        <v>-10.577346372800037</v>
      </c>
      <c r="S5" s="242">
        <v>71.203691245649992</v>
      </c>
      <c r="T5" s="242">
        <v>100.22135720139994</v>
      </c>
      <c r="U5" s="242">
        <v>166.84679308004996</v>
      </c>
      <c r="V5" s="242">
        <v>284.36372393959999</v>
      </c>
      <c r="W5" s="242">
        <v>328.77499490974998</v>
      </c>
      <c r="X5" s="242">
        <v>265.60466709134994</v>
      </c>
      <c r="Y5" s="242">
        <v>289.47824172416506</v>
      </c>
      <c r="Z5" s="242">
        <v>70.94850597859994</v>
      </c>
      <c r="AA5" s="242">
        <v>163.62076566559998</v>
      </c>
      <c r="AB5" s="242">
        <v>-53.466211319600035</v>
      </c>
      <c r="AC5" s="242">
        <v>-8.7467737380500097</v>
      </c>
      <c r="AD5" s="242">
        <v>-175.85592230080005</v>
      </c>
      <c r="AE5" s="242">
        <v>-106.6027569741</v>
      </c>
      <c r="AF5" s="242">
        <v>-194.49739343290003</v>
      </c>
      <c r="AG5" s="242">
        <v>-114.98208874560001</v>
      </c>
      <c r="AH5" s="242">
        <v>-200.31459808650001</v>
      </c>
      <c r="AI5" s="242">
        <v>-123.11799415190004</v>
      </c>
      <c r="AJ5" s="242">
        <v>-178.8532433629</v>
      </c>
      <c r="AK5" s="242">
        <v>-87.915337662900015</v>
      </c>
      <c r="AL5" s="242">
        <v>-174.7694400643</v>
      </c>
      <c r="AM5" s="242">
        <v>-117.63580619580001</v>
      </c>
      <c r="AN5" s="242">
        <v>-61.308270755249993</v>
      </c>
      <c r="AO5" s="242">
        <v>-40.362311747925006</v>
      </c>
      <c r="AP5" s="242">
        <v>-10.577346372800037</v>
      </c>
      <c r="AQ5" s="242">
        <v>71.203691245649992</v>
      </c>
      <c r="AR5" s="242">
        <v>100.22135720139994</v>
      </c>
      <c r="AS5" s="242">
        <v>166.84679308004996</v>
      </c>
      <c r="AT5" s="242">
        <v>284.36372393959999</v>
      </c>
      <c r="AU5" s="242">
        <v>328.77499490974998</v>
      </c>
      <c r="AV5" s="242">
        <v>265.60466709134994</v>
      </c>
      <c r="AW5" s="242">
        <v>289.47824172416506</v>
      </c>
      <c r="AX5" s="242">
        <v>70.94850597859994</v>
      </c>
      <c r="AY5" s="242">
        <v>163.62076566559998</v>
      </c>
      <c r="BA5" s="80"/>
      <c r="BB5" s="80"/>
    </row>
    <row r="6" spans="1:54">
      <c r="A6" s="101"/>
      <c r="B6" s="218">
        <v>10024</v>
      </c>
      <c r="C6" s="218" t="s">
        <v>9</v>
      </c>
      <c r="D6" s="242">
        <v>-2169.0895592488087</v>
      </c>
      <c r="E6" s="242">
        <v>-5541.4514796278963</v>
      </c>
      <c r="F6" s="242">
        <v>-27499.584634822415</v>
      </c>
      <c r="G6" s="242">
        <v>-14058.739361699802</v>
      </c>
      <c r="H6" s="242">
        <v>-11922.49223444621</v>
      </c>
      <c r="I6" s="242">
        <v>-2121.699477676797</v>
      </c>
      <c r="J6" s="242">
        <v>-20593.345386546993</v>
      </c>
      <c r="K6" s="242">
        <v>-3596.7897453282058</v>
      </c>
      <c r="L6" s="242">
        <v>-27137.919774858208</v>
      </c>
      <c r="M6" s="242">
        <v>-8971.9271453222027</v>
      </c>
      <c r="N6" s="242">
        <v>-27727.30710457539</v>
      </c>
      <c r="O6" s="242">
        <v>-17823.436612632402</v>
      </c>
      <c r="P6" s="242">
        <v>-7040.8761572094954</v>
      </c>
      <c r="Q6" s="242">
        <v>-7305.1710902481427</v>
      </c>
      <c r="R6" s="242">
        <v>-7304.5936948384187</v>
      </c>
      <c r="S6" s="242">
        <v>-1700.2558688592981</v>
      </c>
      <c r="T6" s="242">
        <v>10434.095538589187</v>
      </c>
      <c r="U6" s="242">
        <v>10403.684654703895</v>
      </c>
      <c r="V6" s="242">
        <v>41986.198847608801</v>
      </c>
      <c r="W6" s="242">
        <v>33858.727082660487</v>
      </c>
      <c r="X6" s="242">
        <v>29345.561439545301</v>
      </c>
      <c r="Y6" s="242">
        <v>19855.466528202873</v>
      </c>
      <c r="Z6" s="242">
        <v>-1973.4261545492045</v>
      </c>
      <c r="AA6" s="242">
        <v>-4395.9678585631991</v>
      </c>
      <c r="AB6" s="242">
        <v>-2636.5025592488091</v>
      </c>
      <c r="AC6" s="242">
        <v>-5608.289479627907</v>
      </c>
      <c r="AD6" s="242">
        <v>-27828.186634822407</v>
      </c>
      <c r="AE6" s="242">
        <v>-14336.890361699807</v>
      </c>
      <c r="AF6" s="242">
        <v>-12531.125234446212</v>
      </c>
      <c r="AG6" s="242">
        <v>-2628.2624776767989</v>
      </c>
      <c r="AH6" s="242">
        <v>-21139.294386547001</v>
      </c>
      <c r="AI6" s="242">
        <v>-4024.7857453282049</v>
      </c>
      <c r="AJ6" s="242">
        <v>-24274.507684986194</v>
      </c>
      <c r="AK6" s="242">
        <v>-7667.9736003862054</v>
      </c>
      <c r="AL6" s="242">
        <v>-28060.741104575398</v>
      </c>
      <c r="AM6" s="242">
        <v>-18109.040612632401</v>
      </c>
      <c r="AN6" s="242">
        <v>-7339.8491572095081</v>
      </c>
      <c r="AO6" s="242">
        <v>-7548.5830902481393</v>
      </c>
      <c r="AP6" s="242">
        <v>-7615.5986948384234</v>
      </c>
      <c r="AQ6" s="242">
        <v>-1965.7278688592996</v>
      </c>
      <c r="AR6" s="242">
        <v>10139.64953858919</v>
      </c>
      <c r="AS6" s="242">
        <v>10136.605654703897</v>
      </c>
      <c r="AT6" s="242">
        <v>41678.1948476088</v>
      </c>
      <c r="AU6" s="242">
        <v>33593.130082660507</v>
      </c>
      <c r="AV6" s="242">
        <v>29173.27443954529</v>
      </c>
      <c r="AW6" s="242">
        <v>19376.058528202877</v>
      </c>
      <c r="AX6" s="242">
        <v>-2496.37715454922</v>
      </c>
      <c r="AY6" s="242">
        <v>-4522.8078585632102</v>
      </c>
      <c r="BA6" s="80"/>
      <c r="BB6" s="80"/>
    </row>
    <row r="7" spans="1:54">
      <c r="A7" s="101"/>
      <c r="B7" s="218">
        <v>10025</v>
      </c>
      <c r="C7" s="218" t="s">
        <v>10</v>
      </c>
      <c r="D7" s="242">
        <v>2789.833938733198</v>
      </c>
      <c r="E7" s="242">
        <v>1935.940850509347</v>
      </c>
      <c r="F7" s="242">
        <v>-6993.525318486405</v>
      </c>
      <c r="G7" s="242">
        <v>-2257.331681015301</v>
      </c>
      <c r="H7" s="242">
        <v>-4763.3736973156992</v>
      </c>
      <c r="I7" s="242">
        <v>-173.91555452479952</v>
      </c>
      <c r="J7" s="242">
        <v>-7032.1569324044976</v>
      </c>
      <c r="K7" s="242">
        <v>-815.40423434270269</v>
      </c>
      <c r="L7" s="242">
        <v>-9184.5831927977015</v>
      </c>
      <c r="M7" s="242">
        <v>-2288.7459163017011</v>
      </c>
      <c r="N7" s="242">
        <v>-9057.7798041319002</v>
      </c>
      <c r="O7" s="242">
        <v>-4856.680263521399</v>
      </c>
      <c r="P7" s="242">
        <v>-3041.4578110982475</v>
      </c>
      <c r="Q7" s="242">
        <v>-1330.2669619790249</v>
      </c>
      <c r="R7" s="242">
        <v>-2324.2766432624012</v>
      </c>
      <c r="S7" s="242">
        <v>260.9447665614498</v>
      </c>
      <c r="T7" s="242">
        <v>1721.9760546261969</v>
      </c>
      <c r="U7" s="242">
        <v>2346.2941071766509</v>
      </c>
      <c r="V7" s="242">
        <v>9184.4066117267976</v>
      </c>
      <c r="W7" s="242">
        <v>9033.5082713467491</v>
      </c>
      <c r="X7" s="242">
        <v>8607.6017244595532</v>
      </c>
      <c r="Y7" s="242">
        <v>6212.8502561629466</v>
      </c>
      <c r="Z7" s="242">
        <v>3844.1768563137957</v>
      </c>
      <c r="AA7" s="242">
        <v>3786.9205368847997</v>
      </c>
      <c r="AB7" s="242">
        <v>2698.8139387331939</v>
      </c>
      <c r="AC7" s="242">
        <v>2008.0078505093497</v>
      </c>
      <c r="AD7" s="242">
        <v>-7008.7153184864037</v>
      </c>
      <c r="AE7" s="242">
        <v>-2272.3086810153</v>
      </c>
      <c r="AF7" s="242">
        <v>-4884.7006973157004</v>
      </c>
      <c r="AG7" s="242">
        <v>-275.12655452479885</v>
      </c>
      <c r="AH7" s="242">
        <v>-7232.270932404499</v>
      </c>
      <c r="AI7" s="242">
        <v>-970.0992343427024</v>
      </c>
      <c r="AJ7" s="242">
        <v>-8241.129396005701</v>
      </c>
      <c r="AK7" s="242">
        <v>-1840.2435179057011</v>
      </c>
      <c r="AL7" s="242">
        <v>-9137.8388041319013</v>
      </c>
      <c r="AM7" s="242">
        <v>-4920.3492635213988</v>
      </c>
      <c r="AN7" s="242">
        <v>-3093.8588110982491</v>
      </c>
      <c r="AO7" s="242">
        <v>-1370.4059619790241</v>
      </c>
      <c r="AP7" s="242">
        <v>-2374.374643262403</v>
      </c>
      <c r="AQ7" s="242">
        <v>218.7627665614491</v>
      </c>
      <c r="AR7" s="242">
        <v>1680.5850546261972</v>
      </c>
      <c r="AS7" s="242">
        <v>2306.3571071766492</v>
      </c>
      <c r="AT7" s="242">
        <v>9122.517611726802</v>
      </c>
      <c r="AU7" s="242">
        <v>8982.5812713467494</v>
      </c>
      <c r="AV7" s="242">
        <v>8622.1097244595476</v>
      </c>
      <c r="AW7" s="242">
        <v>6073.0372561629447</v>
      </c>
      <c r="AX7" s="242">
        <v>3704.6448563137965</v>
      </c>
      <c r="AY7" s="242">
        <v>3822.1035368848006</v>
      </c>
      <c r="BA7" s="80"/>
      <c r="BB7" s="80"/>
    </row>
    <row r="8" spans="1:54">
      <c r="A8" s="101"/>
      <c r="B8" s="218">
        <v>10027</v>
      </c>
      <c r="C8" s="218" t="s">
        <v>11</v>
      </c>
      <c r="D8" s="242">
        <v>-575.29615028960325</v>
      </c>
      <c r="E8" s="242">
        <v>-57.834117841801344</v>
      </c>
      <c r="F8" s="242">
        <v>-14659.906414860801</v>
      </c>
      <c r="G8" s="242">
        <v>-8442.0491075316004</v>
      </c>
      <c r="H8" s="242">
        <v>-13867.9992484004</v>
      </c>
      <c r="I8" s="242">
        <v>-7809.5349846656009</v>
      </c>
      <c r="J8" s="242">
        <v>-15964.390742074</v>
      </c>
      <c r="K8" s="242">
        <v>-7957.6836280444004</v>
      </c>
      <c r="L8" s="242">
        <v>-14654.441297304398</v>
      </c>
      <c r="M8" s="242">
        <v>-6759.5456119924002</v>
      </c>
      <c r="N8" s="242">
        <v>-17385.561227386803</v>
      </c>
      <c r="O8" s="242">
        <v>-11150.181715880801</v>
      </c>
      <c r="P8" s="242">
        <v>-5714.1670211489982</v>
      </c>
      <c r="Q8" s="242">
        <v>-3439.9063472172984</v>
      </c>
      <c r="R8" s="242">
        <v>6129.7005556671975</v>
      </c>
      <c r="S8" s="242">
        <v>7708.6136384194033</v>
      </c>
      <c r="T8" s="242">
        <v>16776.977332306396</v>
      </c>
      <c r="U8" s="242">
        <v>14326.845637833798</v>
      </c>
      <c r="V8" s="242">
        <v>20060.1156094096</v>
      </c>
      <c r="W8" s="242">
        <v>18904.453044390997</v>
      </c>
      <c r="X8" s="242">
        <v>15929.462270192595</v>
      </c>
      <c r="Y8" s="242">
        <v>13286.042171411542</v>
      </c>
      <c r="Z8" s="242">
        <v>7880.7537693736012</v>
      </c>
      <c r="AA8" s="242">
        <v>7438.267430585598</v>
      </c>
      <c r="AB8" s="242">
        <v>-727.51815028960482</v>
      </c>
      <c r="AC8" s="242">
        <v>8.3998821581990342</v>
      </c>
      <c r="AD8" s="242">
        <v>-14697.479414860802</v>
      </c>
      <c r="AE8" s="242">
        <v>-8480.6921075316004</v>
      </c>
      <c r="AF8" s="242">
        <v>-13905.712248400399</v>
      </c>
      <c r="AG8" s="242">
        <v>-7857.8149846656015</v>
      </c>
      <c r="AH8" s="242">
        <v>-16008.684742074</v>
      </c>
      <c r="AI8" s="242">
        <v>-7999.3826280444009</v>
      </c>
      <c r="AJ8" s="242">
        <v>-13990.061593080402</v>
      </c>
      <c r="AK8" s="242">
        <v>-6519.0232598804014</v>
      </c>
      <c r="AL8" s="242">
        <v>-17424.476227386804</v>
      </c>
      <c r="AM8" s="242">
        <v>-11196.832715880799</v>
      </c>
      <c r="AN8" s="242">
        <v>-5752.7660211489965</v>
      </c>
      <c r="AO8" s="242">
        <v>-3477.0963472172989</v>
      </c>
      <c r="AP8" s="242">
        <v>6084.0885556671965</v>
      </c>
      <c r="AQ8" s="242">
        <v>7668.2366384193992</v>
      </c>
      <c r="AR8" s="242">
        <v>16743.168332306395</v>
      </c>
      <c r="AS8" s="242">
        <v>14284.8576378338</v>
      </c>
      <c r="AT8" s="242">
        <v>20014.674609409594</v>
      </c>
      <c r="AU8" s="242">
        <v>18863.897044391</v>
      </c>
      <c r="AV8" s="242">
        <v>15995.507270192593</v>
      </c>
      <c r="AW8" s="242">
        <v>13134.008171411539</v>
      </c>
      <c r="AX8" s="242">
        <v>7736.4987693736002</v>
      </c>
      <c r="AY8" s="242">
        <v>7506.7334305855984</v>
      </c>
      <c r="BA8" s="80"/>
      <c r="BB8" s="80"/>
    </row>
    <row r="9" spans="1:54">
      <c r="A9" s="101"/>
      <c r="B9" s="218">
        <v>10029</v>
      </c>
      <c r="C9" s="218" t="s">
        <v>12</v>
      </c>
      <c r="D9" s="242">
        <v>0</v>
      </c>
      <c r="E9" s="242">
        <v>0</v>
      </c>
      <c r="F9" s="242">
        <v>0</v>
      </c>
      <c r="G9" s="242">
        <v>0</v>
      </c>
      <c r="H9" s="242">
        <v>0</v>
      </c>
      <c r="I9" s="242">
        <v>0</v>
      </c>
      <c r="J9" s="242">
        <v>0</v>
      </c>
      <c r="K9" s="242">
        <v>0</v>
      </c>
      <c r="L9" s="242">
        <v>0</v>
      </c>
      <c r="M9" s="242">
        <v>0</v>
      </c>
      <c r="N9" s="242">
        <v>0</v>
      </c>
      <c r="O9" s="242">
        <v>0</v>
      </c>
      <c r="P9" s="242">
        <v>0</v>
      </c>
      <c r="Q9" s="242">
        <v>0</v>
      </c>
      <c r="R9" s="242">
        <v>0</v>
      </c>
      <c r="S9" s="242">
        <v>0</v>
      </c>
      <c r="T9" s="242">
        <v>0</v>
      </c>
      <c r="U9" s="242">
        <v>0</v>
      </c>
      <c r="V9" s="242">
        <v>0</v>
      </c>
      <c r="W9" s="242">
        <v>0</v>
      </c>
      <c r="X9" s="242">
        <v>0</v>
      </c>
      <c r="Y9" s="242">
        <v>0</v>
      </c>
      <c r="Z9" s="242">
        <v>0</v>
      </c>
      <c r="AA9" s="242">
        <v>0</v>
      </c>
      <c r="AB9" s="242">
        <v>0</v>
      </c>
      <c r="AC9" s="242">
        <v>0</v>
      </c>
      <c r="AD9" s="242">
        <v>0</v>
      </c>
      <c r="AE9" s="242">
        <v>0</v>
      </c>
      <c r="AF9" s="242">
        <v>0</v>
      </c>
      <c r="AG9" s="242">
        <v>0</v>
      </c>
      <c r="AH9" s="242">
        <v>0</v>
      </c>
      <c r="AI9" s="242">
        <v>0</v>
      </c>
      <c r="AJ9" s="242">
        <v>0</v>
      </c>
      <c r="AK9" s="242">
        <v>0</v>
      </c>
      <c r="AL9" s="242">
        <v>0</v>
      </c>
      <c r="AM9" s="242">
        <v>0</v>
      </c>
      <c r="AN9" s="242">
        <v>0</v>
      </c>
      <c r="AO9" s="242">
        <v>0</v>
      </c>
      <c r="AP9" s="242">
        <v>0</v>
      </c>
      <c r="AQ9" s="242">
        <v>0</v>
      </c>
      <c r="AR9" s="242">
        <v>0</v>
      </c>
      <c r="AS9" s="242">
        <v>0</v>
      </c>
      <c r="AT9" s="242">
        <v>0</v>
      </c>
      <c r="AU9" s="242">
        <v>0</v>
      </c>
      <c r="AV9" s="242">
        <v>0</v>
      </c>
      <c r="AW9" s="242">
        <v>0</v>
      </c>
      <c r="AX9" s="242">
        <v>0</v>
      </c>
      <c r="AY9" s="242">
        <v>0</v>
      </c>
      <c r="BA9" s="80"/>
      <c r="BB9" s="80"/>
    </row>
    <row r="10" spans="1:54">
      <c r="A10" s="101"/>
      <c r="B10" s="218">
        <v>10044</v>
      </c>
      <c r="C10" s="218" t="s">
        <v>13</v>
      </c>
      <c r="D10" s="242">
        <v>1644.3476632891989</v>
      </c>
      <c r="E10" s="242">
        <v>171.23088126985022</v>
      </c>
      <c r="F10" s="242">
        <v>-126.36141419839987</v>
      </c>
      <c r="G10" s="242">
        <v>-683.76082771429992</v>
      </c>
      <c r="H10" s="242">
        <v>923.52935465329938</v>
      </c>
      <c r="I10" s="242">
        <v>399.3203258911999</v>
      </c>
      <c r="J10" s="242">
        <v>652.56361186050162</v>
      </c>
      <c r="K10" s="242">
        <v>25.12772521629995</v>
      </c>
      <c r="L10" s="242">
        <v>333.43884911130226</v>
      </c>
      <c r="M10" s="242">
        <v>-177.32910271269975</v>
      </c>
      <c r="N10" s="242">
        <v>-277.43942560889991</v>
      </c>
      <c r="O10" s="242">
        <v>-880.89753828339963</v>
      </c>
      <c r="P10" s="242">
        <v>1302.5289173542506</v>
      </c>
      <c r="Q10" s="242">
        <v>-351.76976656977422</v>
      </c>
      <c r="R10" s="242">
        <v>-1373.2289830544014</v>
      </c>
      <c r="S10" s="242">
        <v>-1796.9829514350486</v>
      </c>
      <c r="T10" s="242">
        <v>-1613.4847896277988</v>
      </c>
      <c r="U10" s="242">
        <v>-1267.1065642038511</v>
      </c>
      <c r="V10" s="242">
        <v>1075.6955689708011</v>
      </c>
      <c r="W10" s="242">
        <v>-38.388970850749502</v>
      </c>
      <c r="X10" s="242">
        <v>1541.8062698860504</v>
      </c>
      <c r="Y10" s="242">
        <v>114.95209900729515</v>
      </c>
      <c r="Z10" s="242">
        <v>600.12498076780048</v>
      </c>
      <c r="AA10" s="242">
        <v>-202.52818473119987</v>
      </c>
      <c r="AB10" s="242">
        <v>2025.4626632892005</v>
      </c>
      <c r="AC10" s="242">
        <v>-65.542118730149923</v>
      </c>
      <c r="AD10" s="242">
        <v>-20.408414198400351</v>
      </c>
      <c r="AE10" s="242">
        <v>-641.61682771429969</v>
      </c>
      <c r="AF10" s="242">
        <v>928.97335465329888</v>
      </c>
      <c r="AG10" s="242">
        <v>387.30632589120069</v>
      </c>
      <c r="AH10" s="242">
        <v>658.04161186050078</v>
      </c>
      <c r="AI10" s="242">
        <v>13.133725216300263</v>
      </c>
      <c r="AJ10" s="242">
        <v>271.69054326329933</v>
      </c>
      <c r="AK10" s="242">
        <v>-167.33375563670052</v>
      </c>
      <c r="AL10" s="242">
        <v>-284.73542560889837</v>
      </c>
      <c r="AM10" s="242">
        <v>-900.67753828339937</v>
      </c>
      <c r="AN10" s="242">
        <v>1291.6339173542519</v>
      </c>
      <c r="AO10" s="242">
        <v>-373.24476656977367</v>
      </c>
      <c r="AP10" s="242">
        <v>-1389.7929830543999</v>
      </c>
      <c r="AQ10" s="242">
        <v>-1824.5249514350489</v>
      </c>
      <c r="AR10" s="242">
        <v>-1625.2667896277999</v>
      </c>
      <c r="AS10" s="242">
        <v>-1290.49856420385</v>
      </c>
      <c r="AT10" s="242">
        <v>1070.2385689708008</v>
      </c>
      <c r="AU10" s="242">
        <v>-59.791970850748839</v>
      </c>
      <c r="AV10" s="242">
        <v>1230.1922698860508</v>
      </c>
      <c r="AW10" s="242">
        <v>400.76109900729625</v>
      </c>
      <c r="AX10" s="242">
        <v>852.28598076779963</v>
      </c>
      <c r="AY10" s="242">
        <v>-492.97218473119938</v>
      </c>
      <c r="BA10" s="80"/>
      <c r="BB10" s="80"/>
    </row>
    <row r="11" spans="1:54">
      <c r="A11" s="101"/>
      <c r="B11" s="218">
        <v>10046</v>
      </c>
      <c r="C11" s="218" t="s">
        <v>14</v>
      </c>
      <c r="D11" s="242">
        <v>0</v>
      </c>
      <c r="E11" s="242">
        <v>0</v>
      </c>
      <c r="F11" s="242">
        <v>0</v>
      </c>
      <c r="G11" s="242">
        <v>0</v>
      </c>
      <c r="H11" s="242">
        <v>0</v>
      </c>
      <c r="I11" s="242">
        <v>0</v>
      </c>
      <c r="J11" s="242">
        <v>0</v>
      </c>
      <c r="K11" s="242">
        <v>0</v>
      </c>
      <c r="L11" s="242">
        <v>0</v>
      </c>
      <c r="M11" s="242">
        <v>0</v>
      </c>
      <c r="N11" s="242">
        <v>0</v>
      </c>
      <c r="O11" s="242">
        <v>0</v>
      </c>
      <c r="P11" s="242">
        <v>0</v>
      </c>
      <c r="Q11" s="242">
        <v>0</v>
      </c>
      <c r="R11" s="242">
        <v>0</v>
      </c>
      <c r="S11" s="242">
        <v>0</v>
      </c>
      <c r="T11" s="242">
        <v>0</v>
      </c>
      <c r="U11" s="242">
        <v>0</v>
      </c>
      <c r="V11" s="242">
        <v>0</v>
      </c>
      <c r="W11" s="242">
        <v>0</v>
      </c>
      <c r="X11" s="242">
        <v>0</v>
      </c>
      <c r="Y11" s="242">
        <v>0</v>
      </c>
      <c r="Z11" s="242">
        <v>0</v>
      </c>
      <c r="AA11" s="242">
        <v>0</v>
      </c>
      <c r="AB11" s="242">
        <v>0</v>
      </c>
      <c r="AC11" s="242">
        <v>0</v>
      </c>
      <c r="AD11" s="242">
        <v>0</v>
      </c>
      <c r="AE11" s="242">
        <v>0</v>
      </c>
      <c r="AF11" s="242">
        <v>0</v>
      </c>
      <c r="AG11" s="242">
        <v>0</v>
      </c>
      <c r="AH11" s="242">
        <v>0</v>
      </c>
      <c r="AI11" s="242">
        <v>0</v>
      </c>
      <c r="AJ11" s="242">
        <v>0</v>
      </c>
      <c r="AK11" s="242">
        <v>0</v>
      </c>
      <c r="AL11" s="242">
        <v>0</v>
      </c>
      <c r="AM11" s="242">
        <v>0</v>
      </c>
      <c r="AN11" s="242">
        <v>0</v>
      </c>
      <c r="AO11" s="242">
        <v>0</v>
      </c>
      <c r="AP11" s="242">
        <v>0</v>
      </c>
      <c r="AQ11" s="242">
        <v>0</v>
      </c>
      <c r="AR11" s="242">
        <v>0</v>
      </c>
      <c r="AS11" s="242">
        <v>0</v>
      </c>
      <c r="AT11" s="242">
        <v>0</v>
      </c>
      <c r="AU11" s="242">
        <v>0</v>
      </c>
      <c r="AV11" s="242">
        <v>0</v>
      </c>
      <c r="AW11" s="242">
        <v>0</v>
      </c>
      <c r="AX11" s="242">
        <v>0</v>
      </c>
      <c r="AY11" s="242">
        <v>0</v>
      </c>
      <c r="BA11" s="80"/>
      <c r="BB11" s="80"/>
    </row>
    <row r="12" spans="1:54">
      <c r="A12" s="101"/>
      <c r="B12" s="218">
        <v>10047</v>
      </c>
      <c r="C12" s="218" t="s">
        <v>15</v>
      </c>
      <c r="D12" s="242">
        <v>10305.908296503192</v>
      </c>
      <c r="E12" s="242">
        <v>10194.491151263093</v>
      </c>
      <c r="F12" s="242">
        <v>-4209.1968435264134</v>
      </c>
      <c r="G12" s="242">
        <v>2472.8273768422005</v>
      </c>
      <c r="H12" s="242">
        <v>2861.9806213518023</v>
      </c>
      <c r="I12" s="242">
        <v>11432.664138195199</v>
      </c>
      <c r="J12" s="242">
        <v>-2800.6390039169928</v>
      </c>
      <c r="K12" s="242">
        <v>5601.1061702497973</v>
      </c>
      <c r="L12" s="242">
        <v>-1586.4121355801908</v>
      </c>
      <c r="M12" s="242">
        <v>5464.9661365157954</v>
      </c>
      <c r="N12" s="242">
        <v>-2571.7017689093918</v>
      </c>
      <c r="O12" s="242">
        <v>3414.0710635635987</v>
      </c>
      <c r="P12" s="242">
        <v>8394.8011675455055</v>
      </c>
      <c r="Q12" s="242">
        <v>7091.656953515354</v>
      </c>
      <c r="R12" s="242">
        <v>-15677.817146902409</v>
      </c>
      <c r="S12" s="242">
        <v>-6211.8139200622973</v>
      </c>
      <c r="T12" s="242">
        <v>-22494.712914678799</v>
      </c>
      <c r="U12" s="242">
        <v>-5968.0634202271031</v>
      </c>
      <c r="V12" s="242">
        <v>-8120.1485525431999</v>
      </c>
      <c r="W12" s="242">
        <v>1570.7882051155029</v>
      </c>
      <c r="X12" s="242">
        <v>-3863.6966001917099</v>
      </c>
      <c r="Y12" s="242">
        <v>2211.3739937305654</v>
      </c>
      <c r="Z12" s="242">
        <v>-2439.7249528812026</v>
      </c>
      <c r="AA12" s="242">
        <v>4923.0883151648013</v>
      </c>
      <c r="AB12" s="242">
        <v>12790.182749729182</v>
      </c>
      <c r="AC12" s="242">
        <v>7759.4024171648489</v>
      </c>
      <c r="AD12" s="242">
        <v>-4196.3213210784161</v>
      </c>
      <c r="AE12" s="242">
        <v>2487.7109862756988</v>
      </c>
      <c r="AF12" s="242">
        <v>2885.2041779633</v>
      </c>
      <c r="AG12" s="242">
        <v>11459.761273731194</v>
      </c>
      <c r="AH12" s="242">
        <v>-2783.354375789495</v>
      </c>
      <c r="AI12" s="242">
        <v>5620.9502026262926</v>
      </c>
      <c r="AJ12" s="242">
        <v>-1900.5964064267027</v>
      </c>
      <c r="AK12" s="242">
        <v>5474.2940646732968</v>
      </c>
      <c r="AL12" s="242">
        <v>-2555.7110298389161</v>
      </c>
      <c r="AM12" s="242">
        <v>3430.7029953366</v>
      </c>
      <c r="AN12" s="242">
        <v>8420.4884003292464</v>
      </c>
      <c r="AO12" s="242">
        <v>7110.2973640877244</v>
      </c>
      <c r="AP12" s="242">
        <v>-15678.737209134408</v>
      </c>
      <c r="AQ12" s="242">
        <v>-6207.4999069700498</v>
      </c>
      <c r="AR12" s="242">
        <v>-22503.144085087806</v>
      </c>
      <c r="AS12" s="242">
        <v>-5963.8308338988572</v>
      </c>
      <c r="AT12" s="242">
        <v>-8113.2967354692082</v>
      </c>
      <c r="AU12" s="242">
        <v>1583.0606686242463</v>
      </c>
      <c r="AV12" s="242">
        <v>-6076.9258388789603</v>
      </c>
      <c r="AW12" s="242">
        <v>4448.9696250137931</v>
      </c>
      <c r="AX12" s="242">
        <v>-221.23912577221199</v>
      </c>
      <c r="AY12" s="242">
        <v>2732.0438794287911</v>
      </c>
      <c r="BA12" s="80"/>
      <c r="BB12" s="80"/>
    </row>
    <row r="13" spans="1:54">
      <c r="A13" s="101"/>
      <c r="B13" s="218">
        <v>10055</v>
      </c>
      <c r="C13" s="218" t="s">
        <v>16</v>
      </c>
      <c r="D13" s="242">
        <v>10.888600405599988</v>
      </c>
      <c r="E13" s="242">
        <v>15.792671207300003</v>
      </c>
      <c r="F13" s="242">
        <v>-13.01759797119999</v>
      </c>
      <c r="G13" s="242">
        <v>12.374323842599992</v>
      </c>
      <c r="H13" s="242">
        <v>55.213090059400002</v>
      </c>
      <c r="I13" s="242">
        <v>80.161949241600013</v>
      </c>
      <c r="J13" s="242">
        <v>41.510678989000013</v>
      </c>
      <c r="K13" s="242">
        <v>66.714153193400008</v>
      </c>
      <c r="L13" s="242">
        <v>23.630228303400003</v>
      </c>
      <c r="M13" s="242">
        <v>44.854431471400005</v>
      </c>
      <c r="N13" s="242">
        <v>-12.226518860199974</v>
      </c>
      <c r="O13" s="242">
        <v>14.722233498800009</v>
      </c>
      <c r="P13" s="242">
        <v>2.3556091265000134</v>
      </c>
      <c r="Q13" s="242">
        <v>8.4871742190500186</v>
      </c>
      <c r="R13" s="242">
        <v>-61.583653379200001</v>
      </c>
      <c r="S13" s="242">
        <v>-32.870631380899979</v>
      </c>
      <c r="T13" s="242">
        <v>-74.743439100399996</v>
      </c>
      <c r="U13" s="242">
        <v>-39.379838019299996</v>
      </c>
      <c r="V13" s="242">
        <v>-26.632559725599975</v>
      </c>
      <c r="W13" s="242">
        <v>-18.372633563499988</v>
      </c>
      <c r="X13" s="242">
        <v>-29.37527550110002</v>
      </c>
      <c r="Y13" s="242">
        <v>-22.929489623689989</v>
      </c>
      <c r="Z13" s="242">
        <v>-33.491580379600009</v>
      </c>
      <c r="AA13" s="242">
        <v>-18.464648361599998</v>
      </c>
      <c r="AB13" s="242">
        <v>17.204089212799971</v>
      </c>
      <c r="AC13" s="242">
        <v>10.320943152400005</v>
      </c>
      <c r="AD13" s="242">
        <v>-12.364700505600013</v>
      </c>
      <c r="AE13" s="242">
        <v>12.797499568799992</v>
      </c>
      <c r="AF13" s="242">
        <v>55.917187207199987</v>
      </c>
      <c r="AG13" s="242">
        <v>80.619147980800008</v>
      </c>
      <c r="AH13" s="242">
        <v>42.257817332000002</v>
      </c>
      <c r="AI13" s="242">
        <v>67.173780799200003</v>
      </c>
      <c r="AJ13" s="242">
        <v>22.302591447200001</v>
      </c>
      <c r="AK13" s="242">
        <v>44.410593847200005</v>
      </c>
      <c r="AL13" s="242">
        <v>-11.536535037600004</v>
      </c>
      <c r="AM13" s="242">
        <v>15.165517854400008</v>
      </c>
      <c r="AN13" s="242">
        <v>2.9000906820000125</v>
      </c>
      <c r="AO13" s="242">
        <v>8.8372169114000059</v>
      </c>
      <c r="AP13" s="242">
        <v>-60.909290009599999</v>
      </c>
      <c r="AQ13" s="242">
        <v>-32.43521754919999</v>
      </c>
      <c r="AR13" s="242">
        <v>-74.031437515199997</v>
      </c>
      <c r="AS13" s="242">
        <v>-38.957983008400006</v>
      </c>
      <c r="AT13" s="242">
        <v>-26.019153372799991</v>
      </c>
      <c r="AU13" s="242">
        <v>-18.001689037999995</v>
      </c>
      <c r="AV13" s="242">
        <v>-33.482617466800008</v>
      </c>
      <c r="AW13" s="242">
        <v>-17.871542007719981</v>
      </c>
      <c r="AX13" s="242">
        <v>-28.577592724800013</v>
      </c>
      <c r="AY13" s="242">
        <v>-22.502974540800011</v>
      </c>
      <c r="BA13" s="80"/>
      <c r="BB13" s="80"/>
    </row>
    <row r="14" spans="1:54">
      <c r="A14" s="101"/>
      <c r="B14" s="218">
        <v>10057</v>
      </c>
      <c r="C14" s="218" t="s">
        <v>17</v>
      </c>
      <c r="D14" s="242">
        <v>1001.7736672948004</v>
      </c>
      <c r="E14" s="242">
        <v>25.848525027150572</v>
      </c>
      <c r="F14" s="242">
        <v>-24.453279369599841</v>
      </c>
      <c r="G14" s="242">
        <v>-397.52364077169932</v>
      </c>
      <c r="H14" s="242">
        <v>1228.7790186127022</v>
      </c>
      <c r="I14" s="242">
        <v>971.23164473280121</v>
      </c>
      <c r="J14" s="242">
        <v>587.45846234950113</v>
      </c>
      <c r="K14" s="242">
        <v>216.50568130970078</v>
      </c>
      <c r="L14" s="242">
        <v>383.84166531470146</v>
      </c>
      <c r="M14" s="242">
        <v>132.69652465870058</v>
      </c>
      <c r="N14" s="242">
        <v>-365.3940331690992</v>
      </c>
      <c r="O14" s="242">
        <v>-608.2711269845995</v>
      </c>
      <c r="P14" s="242">
        <v>725.42730423075045</v>
      </c>
      <c r="Q14" s="242">
        <v>-408.3872461757237</v>
      </c>
      <c r="R14" s="242">
        <v>-1773.2719516336001</v>
      </c>
      <c r="S14" s="242">
        <v>-1712.2616669659492</v>
      </c>
      <c r="T14" s="242">
        <v>-2135.4414361281997</v>
      </c>
      <c r="U14" s="242">
        <v>-1393.0018967731503</v>
      </c>
      <c r="V14" s="242">
        <v>1363.3431856452007</v>
      </c>
      <c r="W14" s="242">
        <v>147.14865833575004</v>
      </c>
      <c r="X14" s="242">
        <v>1685.1450115349508</v>
      </c>
      <c r="Y14" s="242">
        <v>120.43741736860557</v>
      </c>
      <c r="Z14" s="242">
        <v>355.8202277882001</v>
      </c>
      <c r="AA14" s="242">
        <v>-130.11392269279986</v>
      </c>
      <c r="AB14" s="242">
        <v>1311.4571337163998</v>
      </c>
      <c r="AC14" s="242">
        <v>-281.3036591375494</v>
      </c>
      <c r="AD14" s="242">
        <v>-22.49458697279988</v>
      </c>
      <c r="AE14" s="242">
        <v>-396.25411359309965</v>
      </c>
      <c r="AF14" s="242">
        <v>1230.8913100561003</v>
      </c>
      <c r="AG14" s="242">
        <v>972.6032409504005</v>
      </c>
      <c r="AH14" s="242">
        <v>589.6998773785017</v>
      </c>
      <c r="AI14" s="242">
        <v>217.88456412710002</v>
      </c>
      <c r="AJ14" s="242">
        <v>323.84013142609911</v>
      </c>
      <c r="AK14" s="242">
        <v>161.45070012609995</v>
      </c>
      <c r="AL14" s="242">
        <v>-363.32408170129929</v>
      </c>
      <c r="AM14" s="242">
        <v>-606.94127391779966</v>
      </c>
      <c r="AN14" s="242">
        <v>727.06074889725005</v>
      </c>
      <c r="AO14" s="242">
        <v>-407.33711809867418</v>
      </c>
      <c r="AP14" s="242">
        <v>-1771.2488615248003</v>
      </c>
      <c r="AQ14" s="242">
        <v>-1710.9554254708491</v>
      </c>
      <c r="AR14" s="242">
        <v>-2133.3054313726007</v>
      </c>
      <c r="AS14" s="242">
        <v>-1391.7363317404497</v>
      </c>
      <c r="AT14" s="242">
        <v>1365.1834047036009</v>
      </c>
      <c r="AU14" s="242">
        <v>148.26149191225068</v>
      </c>
      <c r="AV14" s="242">
        <v>1323.3019856378505</v>
      </c>
      <c r="AW14" s="242">
        <v>484.13526021651523</v>
      </c>
      <c r="AX14" s="242">
        <v>667.05519075259963</v>
      </c>
      <c r="AY14" s="242">
        <v>-438.72190123040036</v>
      </c>
      <c r="BA14" s="80"/>
      <c r="BB14" s="80"/>
    </row>
    <row r="15" spans="1:54">
      <c r="A15" s="101"/>
      <c r="B15" s="218">
        <v>10059</v>
      </c>
      <c r="C15" s="218" t="s">
        <v>18</v>
      </c>
      <c r="D15" s="242">
        <v>505.75899524599981</v>
      </c>
      <c r="E15" s="242">
        <v>156.24875549925014</v>
      </c>
      <c r="F15" s="242">
        <v>29.679391407999901</v>
      </c>
      <c r="G15" s="242">
        <v>2.4006537284999467</v>
      </c>
      <c r="H15" s="242">
        <v>424.61210196650018</v>
      </c>
      <c r="I15" s="242">
        <v>508.57478625600015</v>
      </c>
      <c r="J15" s="242">
        <v>519.33186880250014</v>
      </c>
      <c r="K15" s="242">
        <v>465.88041178149979</v>
      </c>
      <c r="L15" s="242">
        <v>686.20843625650059</v>
      </c>
      <c r="M15" s="242">
        <v>489.05354113649992</v>
      </c>
      <c r="N15" s="242">
        <v>75.54807485550009</v>
      </c>
      <c r="O15" s="242">
        <v>62.833955983000124</v>
      </c>
      <c r="P15" s="242">
        <v>648.03302752125001</v>
      </c>
      <c r="Q15" s="242">
        <v>251.98020842612527</v>
      </c>
      <c r="R15" s="242">
        <v>-665.23183687200026</v>
      </c>
      <c r="S15" s="242">
        <v>-484.42094912524999</v>
      </c>
      <c r="T15" s="242">
        <v>-1120.2405323389999</v>
      </c>
      <c r="U15" s="242">
        <v>-560.24959616925003</v>
      </c>
      <c r="V15" s="242">
        <v>-552.37469394600021</v>
      </c>
      <c r="W15" s="242">
        <v>-326.47290850374998</v>
      </c>
      <c r="X15" s="242">
        <v>-397.93336961975047</v>
      </c>
      <c r="Y15" s="242">
        <v>-325.53604295852483</v>
      </c>
      <c r="Z15" s="242">
        <v>-230.80305196100016</v>
      </c>
      <c r="AA15" s="242">
        <v>-157.26984045599988</v>
      </c>
      <c r="AB15" s="242">
        <v>634.94870607119947</v>
      </c>
      <c r="AC15" s="242">
        <v>30.013207307099947</v>
      </c>
      <c r="AD15" s="242">
        <v>31.964532537600007</v>
      </c>
      <c r="AE15" s="242">
        <v>3.8817687701998693</v>
      </c>
      <c r="AF15" s="242">
        <v>427.07644198379967</v>
      </c>
      <c r="AG15" s="242">
        <v>510.17498184319993</v>
      </c>
      <c r="AH15" s="242">
        <v>521.94685300300034</v>
      </c>
      <c r="AI15" s="242">
        <v>467.48910840179997</v>
      </c>
      <c r="AJ15" s="242">
        <v>639.52672244379983</v>
      </c>
      <c r="AK15" s="242">
        <v>488.55961704379979</v>
      </c>
      <c r="AL15" s="242">
        <v>77.963018234599986</v>
      </c>
      <c r="AM15" s="242">
        <v>64.385451227599788</v>
      </c>
      <c r="AN15" s="242">
        <v>649.93871296550014</v>
      </c>
      <c r="AO15" s="242">
        <v>253.20535784935032</v>
      </c>
      <c r="AP15" s="242">
        <v>-662.87156507840018</v>
      </c>
      <c r="AQ15" s="242">
        <v>-482.89700071429979</v>
      </c>
      <c r="AR15" s="242">
        <v>-1117.7485267908</v>
      </c>
      <c r="AS15" s="242">
        <v>-558.77310363109996</v>
      </c>
      <c r="AT15" s="242">
        <v>-550.22777171120015</v>
      </c>
      <c r="AU15" s="242">
        <v>-325.17460266450007</v>
      </c>
      <c r="AV15" s="242">
        <v>-503.51356649970012</v>
      </c>
      <c r="AW15" s="242">
        <v>-216.62422630262972</v>
      </c>
      <c r="AX15" s="242">
        <v>-119.54559516920017</v>
      </c>
      <c r="AY15" s="242">
        <v>-265.46248208320026</v>
      </c>
      <c r="BA15" s="80"/>
      <c r="BB15" s="80"/>
    </row>
    <row r="16" spans="1:54">
      <c r="A16" s="101"/>
      <c r="B16" s="218">
        <v>10061</v>
      </c>
      <c r="C16" s="218" t="s">
        <v>19</v>
      </c>
      <c r="D16" s="242">
        <v>1046.0003058175998</v>
      </c>
      <c r="E16" s="242">
        <v>611.0951159408005</v>
      </c>
      <c r="F16" s="242">
        <v>588.88989300480034</v>
      </c>
      <c r="G16" s="242">
        <v>412.2789033695999</v>
      </c>
      <c r="H16" s="242">
        <v>554.00846082240059</v>
      </c>
      <c r="I16" s="242">
        <v>652.11840687359972</v>
      </c>
      <c r="J16" s="242">
        <v>770.15338014400095</v>
      </c>
      <c r="K16" s="242">
        <v>672.88886488639992</v>
      </c>
      <c r="L16" s="242">
        <v>622.27510344640041</v>
      </c>
      <c r="M16" s="242">
        <v>585.62341397440014</v>
      </c>
      <c r="N16" s="242">
        <v>263.60717046080026</v>
      </c>
      <c r="O16" s="242">
        <v>278.49327012479989</v>
      </c>
      <c r="P16" s="242">
        <v>829.08120834400052</v>
      </c>
      <c r="Q16" s="242">
        <v>382.66464896880007</v>
      </c>
      <c r="R16" s="242">
        <v>-326.91798456320066</v>
      </c>
      <c r="S16" s="242">
        <v>-232.41644588639974</v>
      </c>
      <c r="T16" s="242">
        <v>-747.42181555839989</v>
      </c>
      <c r="U16" s="242">
        <v>-206.73122749279992</v>
      </c>
      <c r="V16" s="242">
        <v>233.19986346240012</v>
      </c>
      <c r="W16" s="242">
        <v>291.64649810399987</v>
      </c>
      <c r="X16" s="242">
        <v>276.68045161439977</v>
      </c>
      <c r="Y16" s="242">
        <v>171.89136191376019</v>
      </c>
      <c r="Z16" s="242">
        <v>390.37544147839981</v>
      </c>
      <c r="AA16" s="242">
        <v>374.20270160639984</v>
      </c>
      <c r="AB16" s="242">
        <v>801.02130581759957</v>
      </c>
      <c r="AC16" s="242">
        <v>152.6251159408007</v>
      </c>
      <c r="AD16" s="242">
        <v>216.46889300480007</v>
      </c>
      <c r="AE16" s="242">
        <v>106.08490336959994</v>
      </c>
      <c r="AF16" s="242">
        <v>179.2594608224008</v>
      </c>
      <c r="AG16" s="242">
        <v>322.69240687359979</v>
      </c>
      <c r="AH16" s="242">
        <v>357.27538014400034</v>
      </c>
      <c r="AI16" s="242">
        <v>343.80386488640033</v>
      </c>
      <c r="AJ16" s="242">
        <v>345.71844290240006</v>
      </c>
      <c r="AK16" s="242">
        <v>388.53058370239978</v>
      </c>
      <c r="AL16" s="242">
        <v>-151.4888295392002</v>
      </c>
      <c r="AM16" s="242">
        <v>-50.63872987520017</v>
      </c>
      <c r="AN16" s="242">
        <v>413.71620834399982</v>
      </c>
      <c r="AO16" s="242">
        <v>76.22064896880056</v>
      </c>
      <c r="AP16" s="242">
        <v>-744.70198456320077</v>
      </c>
      <c r="AQ16" s="242">
        <v>-564.9524458863998</v>
      </c>
      <c r="AR16" s="242">
        <v>-1151.2338155583998</v>
      </c>
      <c r="AS16" s="242">
        <v>-532.38122749280001</v>
      </c>
      <c r="AT16" s="242">
        <v>-186.48813653759998</v>
      </c>
      <c r="AU16" s="242">
        <v>-42.071501895999972</v>
      </c>
      <c r="AV16" s="242">
        <v>-291.62654838560047</v>
      </c>
      <c r="AW16" s="242">
        <v>-16.584638086239465</v>
      </c>
      <c r="AX16" s="242">
        <v>130.91144147839987</v>
      </c>
      <c r="AY16" s="242">
        <v>-101.78129839360008</v>
      </c>
      <c r="BA16" s="80"/>
      <c r="BB16" s="80"/>
    </row>
    <row r="17" spans="2:54">
      <c r="B17" s="218">
        <v>10062</v>
      </c>
      <c r="C17" s="218" t="s">
        <v>20</v>
      </c>
      <c r="D17" s="242">
        <v>986.35715208479996</v>
      </c>
      <c r="E17" s="242">
        <v>-28.145145246600123</v>
      </c>
      <c r="F17" s="242">
        <v>613.88214455039997</v>
      </c>
      <c r="G17" s="242">
        <v>50.961215130800156</v>
      </c>
      <c r="H17" s="242">
        <v>1509.1331413851999</v>
      </c>
      <c r="I17" s="242">
        <v>673.61554817279989</v>
      </c>
      <c r="J17" s="242">
        <v>1500.7220002619997</v>
      </c>
      <c r="K17" s="242">
        <v>830.9114365572002</v>
      </c>
      <c r="L17" s="242">
        <v>1225.2781039371998</v>
      </c>
      <c r="M17" s="242">
        <v>599.21784448120002</v>
      </c>
      <c r="N17" s="242">
        <v>649.92092408839972</v>
      </c>
      <c r="O17" s="242">
        <v>-116.88788318959973</v>
      </c>
      <c r="P17" s="242">
        <v>127.25946198700012</v>
      </c>
      <c r="Q17" s="242">
        <v>-427.23677939009985</v>
      </c>
      <c r="R17" s="242">
        <v>-1616.3664499136003</v>
      </c>
      <c r="S17" s="242">
        <v>-1692.5884901822001</v>
      </c>
      <c r="T17" s="242">
        <v>-1548.3399698631997</v>
      </c>
      <c r="U17" s="242">
        <v>-1728.3659710494001</v>
      </c>
      <c r="V17" s="242">
        <v>-606.82232464480012</v>
      </c>
      <c r="W17" s="242">
        <v>-944.41308303300002</v>
      </c>
      <c r="X17" s="242">
        <v>334.85384282619998</v>
      </c>
      <c r="Y17" s="242">
        <v>-315.86572174301978</v>
      </c>
      <c r="Z17" s="242">
        <v>307.12349202320001</v>
      </c>
      <c r="AA17" s="242">
        <v>-388.73560913279994</v>
      </c>
      <c r="AB17" s="242">
        <v>946.76315208479991</v>
      </c>
      <c r="AC17" s="242">
        <v>20.56785475340007</v>
      </c>
      <c r="AD17" s="242">
        <v>619.29014455040033</v>
      </c>
      <c r="AE17" s="242">
        <v>47.969215130799967</v>
      </c>
      <c r="AF17" s="242">
        <v>1504.9511413851992</v>
      </c>
      <c r="AG17" s="242">
        <v>663.3385481728003</v>
      </c>
      <c r="AH17" s="242">
        <v>1498.3700002620008</v>
      </c>
      <c r="AI17" s="242">
        <v>823.92443655720012</v>
      </c>
      <c r="AJ17" s="242">
        <v>1194.4041282252001</v>
      </c>
      <c r="AK17" s="242">
        <v>564.87285662520003</v>
      </c>
      <c r="AL17" s="242">
        <v>656.37492408839989</v>
      </c>
      <c r="AM17" s="242">
        <v>-120.61188318959989</v>
      </c>
      <c r="AN17" s="242">
        <v>136.67846198700045</v>
      </c>
      <c r="AO17" s="242">
        <v>-427.95277939009975</v>
      </c>
      <c r="AP17" s="242">
        <v>-1604.1104499136004</v>
      </c>
      <c r="AQ17" s="242">
        <v>-1693.3634901821997</v>
      </c>
      <c r="AR17" s="242">
        <v>-1532.3209698631995</v>
      </c>
      <c r="AS17" s="242">
        <v>-1729.8769710494</v>
      </c>
      <c r="AT17" s="242">
        <v>-593.24032464479978</v>
      </c>
      <c r="AU17" s="242">
        <v>-945.34508303299981</v>
      </c>
      <c r="AV17" s="242">
        <v>397.50084282619991</v>
      </c>
      <c r="AW17" s="242">
        <v>-365.25272174301995</v>
      </c>
      <c r="AX17" s="242">
        <v>277.50249202319992</v>
      </c>
      <c r="AY17" s="242">
        <v>-345.90760913279996</v>
      </c>
      <c r="BA17" s="80"/>
      <c r="BB17" s="80"/>
    </row>
    <row r="18" spans="2:54">
      <c r="B18" s="218">
        <v>10064</v>
      </c>
      <c r="C18" s="218" t="s">
        <v>21</v>
      </c>
      <c r="D18" s="242">
        <v>849.00967992039932</v>
      </c>
      <c r="E18" s="242">
        <v>118.73115055695007</v>
      </c>
      <c r="F18" s="242">
        <v>-383.07071878080023</v>
      </c>
      <c r="G18" s="242">
        <v>-376.02694218409943</v>
      </c>
      <c r="H18" s="242">
        <v>740.13984507710029</v>
      </c>
      <c r="I18" s="242">
        <v>738.30795189439959</v>
      </c>
      <c r="J18" s="242">
        <v>484.83822626349956</v>
      </c>
      <c r="K18" s="242">
        <v>602.78937045810017</v>
      </c>
      <c r="L18" s="242">
        <v>419.41620532309935</v>
      </c>
      <c r="M18" s="242">
        <v>431.2822094350995</v>
      </c>
      <c r="N18" s="242">
        <v>-405.7859458942994</v>
      </c>
      <c r="O18" s="242">
        <v>-450.46540217579968</v>
      </c>
      <c r="P18" s="242">
        <v>550.21087421974971</v>
      </c>
      <c r="Q18" s="242">
        <v>-208.8600236904249</v>
      </c>
      <c r="R18" s="242">
        <v>-1120.6945260528009</v>
      </c>
      <c r="S18" s="242">
        <v>-1086.5714014893501</v>
      </c>
      <c r="T18" s="242">
        <v>-1282.2897814586004</v>
      </c>
      <c r="U18" s="242">
        <v>-1106.7885610149506</v>
      </c>
      <c r="V18" s="242">
        <v>768.64705469959972</v>
      </c>
      <c r="W18" s="242">
        <v>19.734776384749694</v>
      </c>
      <c r="X18" s="242">
        <v>903.50843952634841</v>
      </c>
      <c r="Y18" s="242">
        <v>-56.561490789335039</v>
      </c>
      <c r="Z18" s="242">
        <v>176.60540263859912</v>
      </c>
      <c r="AA18" s="242">
        <v>-321.24022297440024</v>
      </c>
      <c r="AB18" s="242">
        <v>980.48367992040039</v>
      </c>
      <c r="AC18" s="242">
        <v>-102.76584944304932</v>
      </c>
      <c r="AD18" s="242">
        <v>-387.46671878080087</v>
      </c>
      <c r="AE18" s="242">
        <v>-428.37194218409923</v>
      </c>
      <c r="AF18" s="242">
        <v>791.28584507710093</v>
      </c>
      <c r="AG18" s="242">
        <v>698.84495189439986</v>
      </c>
      <c r="AH18" s="242">
        <v>511.27022626350117</v>
      </c>
      <c r="AI18" s="242">
        <v>605.91737045809987</v>
      </c>
      <c r="AJ18" s="242">
        <v>427.73506214710142</v>
      </c>
      <c r="AK18" s="242">
        <v>430.77513784710027</v>
      </c>
      <c r="AL18" s="242">
        <v>-372.88094589429875</v>
      </c>
      <c r="AM18" s="242">
        <v>-493.8534021757996</v>
      </c>
      <c r="AN18" s="242">
        <v>601.92987421974976</v>
      </c>
      <c r="AO18" s="242">
        <v>-229.6800236904246</v>
      </c>
      <c r="AP18" s="242">
        <v>-1049.3555260528001</v>
      </c>
      <c r="AQ18" s="242">
        <v>-1072.3174014893502</v>
      </c>
      <c r="AR18" s="242">
        <v>-1245.3297814585994</v>
      </c>
      <c r="AS18" s="242">
        <v>-1183.5505610149503</v>
      </c>
      <c r="AT18" s="242">
        <v>831.86005469960037</v>
      </c>
      <c r="AU18" s="242">
        <v>-12.611223615249855</v>
      </c>
      <c r="AV18" s="242">
        <v>765.03543952635027</v>
      </c>
      <c r="AW18" s="242">
        <v>71.887509210665485</v>
      </c>
      <c r="AX18" s="242">
        <v>377.32640263859957</v>
      </c>
      <c r="AY18" s="242">
        <v>-512.35622297439977</v>
      </c>
      <c r="BA18" s="80"/>
      <c r="BB18" s="80"/>
    </row>
    <row r="19" spans="2:54">
      <c r="B19" s="218">
        <v>10065</v>
      </c>
      <c r="C19" s="218" t="s">
        <v>22</v>
      </c>
      <c r="D19" s="242">
        <v>0.90009307879984135</v>
      </c>
      <c r="E19" s="242">
        <v>-25.376319575849948</v>
      </c>
      <c r="F19" s="242">
        <v>-197.57588333760009</v>
      </c>
      <c r="G19" s="242">
        <v>-124.34333505769996</v>
      </c>
      <c r="H19" s="242">
        <v>19.559451678700043</v>
      </c>
      <c r="I19" s="242">
        <v>48.619922556800248</v>
      </c>
      <c r="J19" s="242">
        <v>270.18659955950011</v>
      </c>
      <c r="K19" s="242">
        <v>247.18092563570008</v>
      </c>
      <c r="L19" s="242">
        <v>290.7803875407003</v>
      </c>
      <c r="M19" s="242">
        <v>272.37301040469993</v>
      </c>
      <c r="N19" s="242">
        <v>189.64623465289992</v>
      </c>
      <c r="O19" s="242">
        <v>166.17578734739993</v>
      </c>
      <c r="P19" s="242">
        <v>231.09230131575009</v>
      </c>
      <c r="Q19" s="242">
        <v>150.53212742877497</v>
      </c>
      <c r="R19" s="242">
        <v>-155.03373272160002</v>
      </c>
      <c r="S19" s="242">
        <v>-108.38718566695002</v>
      </c>
      <c r="T19" s="242">
        <v>-295.24666868420013</v>
      </c>
      <c r="U19" s="242">
        <v>-132.13991085014993</v>
      </c>
      <c r="V19" s="242">
        <v>-189.78259493879978</v>
      </c>
      <c r="W19" s="242">
        <v>-113.64910867924982</v>
      </c>
      <c r="X19" s="242">
        <v>-143.80230074405006</v>
      </c>
      <c r="Y19" s="242">
        <v>-62.10281148549484</v>
      </c>
      <c r="Z19" s="242">
        <v>-176.1577168558</v>
      </c>
      <c r="AA19" s="242">
        <v>-162.9253773168</v>
      </c>
      <c r="AB19" s="242">
        <v>3.7230930787998204</v>
      </c>
      <c r="AC19" s="242">
        <v>-29.702319575850083</v>
      </c>
      <c r="AD19" s="242">
        <v>-198.01888333760019</v>
      </c>
      <c r="AE19" s="242">
        <v>-124.35233505769997</v>
      </c>
      <c r="AF19" s="242">
        <v>20.291451678700014</v>
      </c>
      <c r="AG19" s="242">
        <v>48.936922556800027</v>
      </c>
      <c r="AH19" s="242">
        <v>272.41359955949997</v>
      </c>
      <c r="AI19" s="242">
        <v>249.07592563570006</v>
      </c>
      <c r="AJ19" s="242">
        <v>302.24314746870027</v>
      </c>
      <c r="AK19" s="242">
        <v>281.10089036869999</v>
      </c>
      <c r="AL19" s="242">
        <v>173.46923465290024</v>
      </c>
      <c r="AM19" s="242">
        <v>155.63278734740004</v>
      </c>
      <c r="AN19" s="242">
        <v>232.22030131575002</v>
      </c>
      <c r="AO19" s="242">
        <v>152.11612742877503</v>
      </c>
      <c r="AP19" s="242">
        <v>-154.26073272160022</v>
      </c>
      <c r="AQ19" s="242">
        <v>-107.44618566694999</v>
      </c>
      <c r="AR19" s="242">
        <v>-295.03066868420012</v>
      </c>
      <c r="AS19" s="242">
        <v>-131.66991085015013</v>
      </c>
      <c r="AT19" s="242">
        <v>-190.06859493879995</v>
      </c>
      <c r="AU19" s="242">
        <v>-113.34410867924998</v>
      </c>
      <c r="AV19" s="242">
        <v>-148.1563007440501</v>
      </c>
      <c r="AW19" s="242">
        <v>-57.668811485494984</v>
      </c>
      <c r="AX19" s="242">
        <v>-177.54671685580013</v>
      </c>
      <c r="AY19" s="242">
        <v>-161.85537731680017</v>
      </c>
      <c r="BA19" s="80"/>
      <c r="BB19" s="80"/>
    </row>
    <row r="20" spans="2:54">
      <c r="B20" s="218">
        <v>10066</v>
      </c>
      <c r="C20" s="218" t="s">
        <v>23</v>
      </c>
      <c r="D20" s="242">
        <v>933.45934258919806</v>
      </c>
      <c r="E20" s="242">
        <v>-675.95196089265028</v>
      </c>
      <c r="F20" s="242">
        <v>1175.5933722015998</v>
      </c>
      <c r="G20" s="242">
        <v>-12.219040539300295</v>
      </c>
      <c r="H20" s="242">
        <v>3800.7210547283012</v>
      </c>
      <c r="I20" s="242">
        <v>2747.7969506912004</v>
      </c>
      <c r="J20" s="242">
        <v>4508.7938757355005</v>
      </c>
      <c r="K20" s="242">
        <v>2691.2323585412996</v>
      </c>
      <c r="L20" s="242">
        <v>3554.7972186863026</v>
      </c>
      <c r="M20" s="242">
        <v>2112.4112708622997</v>
      </c>
      <c r="N20" s="242">
        <v>1457.6830844161013</v>
      </c>
      <c r="O20" s="242">
        <v>530.1199393666011</v>
      </c>
      <c r="P20" s="242">
        <v>2296.7214452917506</v>
      </c>
      <c r="Q20" s="242">
        <v>160.90249292397675</v>
      </c>
      <c r="R20" s="242">
        <v>-1689.8946706544011</v>
      </c>
      <c r="S20" s="242">
        <v>-2230.0917175725499</v>
      </c>
      <c r="T20" s="242">
        <v>-3139.2193470778002</v>
      </c>
      <c r="U20" s="242">
        <v>-2431.1457205413499</v>
      </c>
      <c r="V20" s="242">
        <v>-1253.6646953292002</v>
      </c>
      <c r="W20" s="242">
        <v>-1772.022481663249</v>
      </c>
      <c r="X20" s="242">
        <v>-1126.7655787264503</v>
      </c>
      <c r="Y20" s="242">
        <v>-2005.971296906454</v>
      </c>
      <c r="Z20" s="242">
        <v>-906.18952678220012</v>
      </c>
      <c r="AA20" s="242">
        <v>-1660.2844195312</v>
      </c>
      <c r="AB20" s="242">
        <v>1649.3773425891995</v>
      </c>
      <c r="AC20" s="242">
        <v>-777.19096089264985</v>
      </c>
      <c r="AD20" s="242">
        <v>1440.3743722015988</v>
      </c>
      <c r="AE20" s="242">
        <v>167.39395946069908</v>
      </c>
      <c r="AF20" s="242">
        <v>3976.4690547283008</v>
      </c>
      <c r="AG20" s="242">
        <v>2873.6189506912006</v>
      </c>
      <c r="AH20" s="242">
        <v>4596.086875735502</v>
      </c>
      <c r="AI20" s="242">
        <v>2750.9913585412996</v>
      </c>
      <c r="AJ20" s="242">
        <v>3343.5008708383011</v>
      </c>
      <c r="AK20" s="242">
        <v>2079.5060969383003</v>
      </c>
      <c r="AL20" s="242">
        <v>1452.7360844161012</v>
      </c>
      <c r="AM20" s="242">
        <v>526.96693936660085</v>
      </c>
      <c r="AN20" s="242">
        <v>2291.5694452917505</v>
      </c>
      <c r="AO20" s="242">
        <v>157.95749292397522</v>
      </c>
      <c r="AP20" s="242">
        <v>-1695.0146706544019</v>
      </c>
      <c r="AQ20" s="242">
        <v>-2233.0727175725497</v>
      </c>
      <c r="AR20" s="242">
        <v>-3144.3073470777999</v>
      </c>
      <c r="AS20" s="242">
        <v>-2434.1737205413501</v>
      </c>
      <c r="AT20" s="242">
        <v>-1258.8346953292003</v>
      </c>
      <c r="AU20" s="242">
        <v>-1774.9694816632491</v>
      </c>
      <c r="AV20" s="242">
        <v>-1410.7095787264498</v>
      </c>
      <c r="AW20" s="242">
        <v>-1730.1472969064544</v>
      </c>
      <c r="AX20" s="242">
        <v>-639.12452678219961</v>
      </c>
      <c r="AY20" s="242">
        <v>-1935.4794195312006</v>
      </c>
      <c r="BA20" s="80"/>
      <c r="BB20" s="80"/>
    </row>
    <row r="21" spans="2:54">
      <c r="B21" s="218">
        <v>10067</v>
      </c>
      <c r="C21" s="218" t="s">
        <v>24</v>
      </c>
      <c r="D21" s="242">
        <v>1119.8110701851992</v>
      </c>
      <c r="E21" s="242">
        <v>116.51466668785042</v>
      </c>
      <c r="F21" s="242">
        <v>-161.75047359040127</v>
      </c>
      <c r="G21" s="242">
        <v>21.551981601698571</v>
      </c>
      <c r="H21" s="242">
        <v>706.2262846572994</v>
      </c>
      <c r="I21" s="242">
        <v>873.11231654719995</v>
      </c>
      <c r="J21" s="242">
        <v>605.33254260050126</v>
      </c>
      <c r="K21" s="242">
        <v>1045.2955116602998</v>
      </c>
      <c r="L21" s="242">
        <v>513.63622815530107</v>
      </c>
      <c r="M21" s="242">
        <v>806.35454321129964</v>
      </c>
      <c r="N21" s="242">
        <v>-98.561869740899965</v>
      </c>
      <c r="O21" s="242">
        <v>-306.50628747540031</v>
      </c>
      <c r="P21" s="242">
        <v>675.05326384425098</v>
      </c>
      <c r="Q21" s="242">
        <v>132.53399510322515</v>
      </c>
      <c r="R21" s="242">
        <v>-1244.4554677264005</v>
      </c>
      <c r="S21" s="242">
        <v>-1066.5289666290491</v>
      </c>
      <c r="T21" s="242">
        <v>-1686.0467486917996</v>
      </c>
      <c r="U21" s="242">
        <v>-1271.6626295418509</v>
      </c>
      <c r="V21" s="242">
        <v>-345.05322912520023</v>
      </c>
      <c r="W21" s="242">
        <v>0.45762023924999085</v>
      </c>
      <c r="X21" s="242">
        <v>44.698818960049721</v>
      </c>
      <c r="Y21" s="242">
        <v>-182.0654822081051</v>
      </c>
      <c r="Z21" s="242">
        <v>66.735723031799353</v>
      </c>
      <c r="AA21" s="242">
        <v>-367.69843458720061</v>
      </c>
      <c r="AB21" s="242">
        <v>1120.2700701851991</v>
      </c>
      <c r="AC21" s="242">
        <v>135.36666668784937</v>
      </c>
      <c r="AD21" s="242">
        <v>-136.65247359040131</v>
      </c>
      <c r="AE21" s="242">
        <v>10.518981601699124</v>
      </c>
      <c r="AF21" s="242">
        <v>727.26928465729907</v>
      </c>
      <c r="AG21" s="242">
        <v>852.49631654719997</v>
      </c>
      <c r="AH21" s="242">
        <v>619.66154260049916</v>
      </c>
      <c r="AI21" s="242">
        <v>1047.7075116602991</v>
      </c>
      <c r="AJ21" s="242">
        <v>563.6411200672992</v>
      </c>
      <c r="AK21" s="242">
        <v>779.51448916729987</v>
      </c>
      <c r="AL21" s="242">
        <v>-83.593869740899208</v>
      </c>
      <c r="AM21" s="242">
        <v>-330.82628747540002</v>
      </c>
      <c r="AN21" s="242">
        <v>691.12226384425048</v>
      </c>
      <c r="AO21" s="242">
        <v>117.22199510322525</v>
      </c>
      <c r="AP21" s="242">
        <v>-1220.6104677264011</v>
      </c>
      <c r="AQ21" s="242">
        <v>-1073.7199666290498</v>
      </c>
      <c r="AR21" s="242">
        <v>-1669.6857486918007</v>
      </c>
      <c r="AS21" s="242">
        <v>-1308.4136295418512</v>
      </c>
      <c r="AT21" s="242">
        <v>-351.7792291252008</v>
      </c>
      <c r="AU21" s="242">
        <v>-0.53537976075040206</v>
      </c>
      <c r="AV21" s="242">
        <v>71.737818960048571</v>
      </c>
      <c r="AW21" s="242">
        <v>-246.86748220810478</v>
      </c>
      <c r="AX21" s="242">
        <v>54.81572303179837</v>
      </c>
      <c r="AY21" s="242">
        <v>-368.70743458720062</v>
      </c>
      <c r="BA21" s="80"/>
      <c r="BB21" s="80"/>
    </row>
    <row r="22" spans="2:54">
      <c r="B22" s="218">
        <v>10068</v>
      </c>
      <c r="C22" s="218" t="s">
        <v>25</v>
      </c>
      <c r="D22" s="242">
        <v>167.49023474439991</v>
      </c>
      <c r="E22" s="242">
        <v>35.94494202394992</v>
      </c>
      <c r="F22" s="242">
        <v>17.036575171199956</v>
      </c>
      <c r="G22" s="242">
        <v>36.987740869899994</v>
      </c>
      <c r="H22" s="242">
        <v>220.43554260309998</v>
      </c>
      <c r="I22" s="242">
        <v>200.51265115839999</v>
      </c>
      <c r="J22" s="242">
        <v>147.75048857350021</v>
      </c>
      <c r="K22" s="242">
        <v>186.22090984409988</v>
      </c>
      <c r="L22" s="242">
        <v>114.36747160910022</v>
      </c>
      <c r="M22" s="242">
        <v>134.22001044110004</v>
      </c>
      <c r="N22" s="242">
        <v>-1.3741152522998163</v>
      </c>
      <c r="O22" s="242">
        <v>-16.008216923799978</v>
      </c>
      <c r="P22" s="242">
        <v>66.135182654749997</v>
      </c>
      <c r="Q22" s="242">
        <v>10.218772809075062</v>
      </c>
      <c r="R22" s="242">
        <v>-307.48679642080003</v>
      </c>
      <c r="S22" s="242">
        <v>-211.71439650034995</v>
      </c>
      <c r="T22" s="242">
        <v>-326.44283037459991</v>
      </c>
      <c r="U22" s="242">
        <v>-210.12012196195008</v>
      </c>
      <c r="V22" s="242">
        <v>-40.191042924399881</v>
      </c>
      <c r="W22" s="242">
        <v>-15.683450280249986</v>
      </c>
      <c r="X22" s="242">
        <v>-32.98542024264998</v>
      </c>
      <c r="Y22" s="242">
        <v>-40.813468314434999</v>
      </c>
      <c r="Z22" s="242">
        <v>-62.147457645400095</v>
      </c>
      <c r="AA22" s="242">
        <v>-75.734107038399998</v>
      </c>
      <c r="AB22" s="242">
        <v>168.25596795519994</v>
      </c>
      <c r="AC22" s="242">
        <v>36.444849941599955</v>
      </c>
      <c r="AD22" s="242">
        <v>18.015921369599937</v>
      </c>
      <c r="AE22" s="242">
        <v>37.622504459199945</v>
      </c>
      <c r="AF22" s="242">
        <v>221.49168832480018</v>
      </c>
      <c r="AG22" s="242">
        <v>201.19844926719998</v>
      </c>
      <c r="AH22" s="242">
        <v>148.87119608800003</v>
      </c>
      <c r="AI22" s="242">
        <v>186.91035125279996</v>
      </c>
      <c r="AJ22" s="242">
        <v>110.04080848479998</v>
      </c>
      <c r="AK22" s="242">
        <v>126.38565008479998</v>
      </c>
      <c r="AL22" s="242">
        <v>-0.33913951839986112</v>
      </c>
      <c r="AM22" s="242">
        <v>-15.343290390399943</v>
      </c>
      <c r="AN22" s="242">
        <v>66.951904988000024</v>
      </c>
      <c r="AO22" s="242">
        <v>10.743836847600051</v>
      </c>
      <c r="AP22" s="242">
        <v>-306.47525136640013</v>
      </c>
      <c r="AQ22" s="242">
        <v>-211.06127575279993</v>
      </c>
      <c r="AR22" s="242">
        <v>-325.37482799679992</v>
      </c>
      <c r="AS22" s="242">
        <v>-209.48733944560001</v>
      </c>
      <c r="AT22" s="242">
        <v>-39.270933395200018</v>
      </c>
      <c r="AU22" s="242">
        <v>-15.127033491999896</v>
      </c>
      <c r="AV22" s="242">
        <v>-32.079933191200098</v>
      </c>
      <c r="AW22" s="242">
        <v>-40.291546890479935</v>
      </c>
      <c r="AX22" s="242">
        <v>-61.362976163200074</v>
      </c>
      <c r="AY22" s="242">
        <v>-75.205096307199938</v>
      </c>
      <c r="BA22" s="80"/>
      <c r="BB22" s="80"/>
    </row>
    <row r="23" spans="2:54">
      <c r="B23" s="218">
        <v>10070</v>
      </c>
      <c r="C23" s="218" t="s">
        <v>26</v>
      </c>
      <c r="D23" s="242">
        <v>30.208842971199971</v>
      </c>
      <c r="E23" s="242">
        <v>16.357925944599998</v>
      </c>
      <c r="F23" s="242">
        <v>8.0980437375999941</v>
      </c>
      <c r="G23" s="242">
        <v>10.478365545199992</v>
      </c>
      <c r="H23" s="242">
        <v>35.234324458799989</v>
      </c>
      <c r="I23" s="242">
        <v>48.367520243200005</v>
      </c>
      <c r="J23" s="242">
        <v>35.809860877999995</v>
      </c>
      <c r="K23" s="242">
        <v>39.770588126799979</v>
      </c>
      <c r="L23" s="242">
        <v>26.557209346800022</v>
      </c>
      <c r="M23" s="242">
        <v>29.42398048279999</v>
      </c>
      <c r="N23" s="242">
        <v>-1.5978909404000206</v>
      </c>
      <c r="O23" s="242">
        <v>8.5487736775999963</v>
      </c>
      <c r="P23" s="242">
        <v>23.310684903000009</v>
      </c>
      <c r="Q23" s="242">
        <v>10.024156143100015</v>
      </c>
      <c r="R23" s="242">
        <v>-22.503295878400024</v>
      </c>
      <c r="S23" s="242">
        <v>-15.791113251799999</v>
      </c>
      <c r="T23" s="242">
        <v>-39.608402640799994</v>
      </c>
      <c r="U23" s="242">
        <v>-14.032172768600006</v>
      </c>
      <c r="V23" s="242">
        <v>3.6767863887999965</v>
      </c>
      <c r="W23" s="242">
        <v>4.0750905230000001</v>
      </c>
      <c r="X23" s="242">
        <v>11.701859287800005</v>
      </c>
      <c r="Y23" s="242">
        <v>2.3463055436200051</v>
      </c>
      <c r="Z23" s="242">
        <v>7.9051356807999866</v>
      </c>
      <c r="AA23" s="242">
        <v>3.7908495167999945</v>
      </c>
      <c r="AB23" s="242">
        <v>36.156842971199978</v>
      </c>
      <c r="AC23" s="242">
        <v>10.6649259446</v>
      </c>
      <c r="AD23" s="242">
        <v>8.2690437375999863</v>
      </c>
      <c r="AE23" s="242">
        <v>10.594365545199992</v>
      </c>
      <c r="AF23" s="242">
        <v>35.445324458800002</v>
      </c>
      <c r="AG23" s="242">
        <v>48.529520243199983</v>
      </c>
      <c r="AH23" s="242">
        <v>36.031860878000003</v>
      </c>
      <c r="AI23" s="242">
        <v>39.92558812679998</v>
      </c>
      <c r="AJ23" s="242">
        <v>24.977312418800011</v>
      </c>
      <c r="AK23" s="242">
        <v>29.080532018799985</v>
      </c>
      <c r="AL23" s="242">
        <v>-1.4278909404000046</v>
      </c>
      <c r="AM23" s="242">
        <v>8.6677736775999961</v>
      </c>
      <c r="AN23" s="242">
        <v>23.468684902999996</v>
      </c>
      <c r="AO23" s="242">
        <v>10.121156143100009</v>
      </c>
      <c r="AP23" s="242">
        <v>-22.358295878400014</v>
      </c>
      <c r="AQ23" s="242">
        <v>-15.698113251799995</v>
      </c>
      <c r="AR23" s="242">
        <v>-39.470402640800017</v>
      </c>
      <c r="AS23" s="242">
        <v>-13.941172768600012</v>
      </c>
      <c r="AT23" s="242">
        <v>3.8327863888000024</v>
      </c>
      <c r="AU23" s="242">
        <v>4.1720905229999943</v>
      </c>
      <c r="AV23" s="242">
        <v>6.184859287800009</v>
      </c>
      <c r="AW23" s="242">
        <v>8.1133055436200152</v>
      </c>
      <c r="AX23" s="242">
        <v>13.414135680799973</v>
      </c>
      <c r="AY23" s="242">
        <v>-1.4881504832000161</v>
      </c>
      <c r="BA23" s="80"/>
      <c r="BB23" s="80"/>
    </row>
    <row r="24" spans="2:54">
      <c r="B24" s="218">
        <v>10071</v>
      </c>
      <c r="C24" s="218" t="s">
        <v>27</v>
      </c>
      <c r="D24" s="242">
        <v>134.57577449599989</v>
      </c>
      <c r="E24" s="242">
        <v>49.524032467999973</v>
      </c>
      <c r="F24" s="242">
        <v>-25.512654592000104</v>
      </c>
      <c r="G24" s="242">
        <v>-21.626958584000022</v>
      </c>
      <c r="H24" s="242">
        <v>183.55776490399978</v>
      </c>
      <c r="I24" s="242">
        <v>167.103664256</v>
      </c>
      <c r="J24" s="242">
        <v>166.89538723999988</v>
      </c>
      <c r="K24" s="242">
        <v>130.79456034399993</v>
      </c>
      <c r="L24" s="242">
        <v>99.095087943999943</v>
      </c>
      <c r="M24" s="242">
        <v>84.775882824000007</v>
      </c>
      <c r="N24" s="242">
        <v>44.628354167999987</v>
      </c>
      <c r="O24" s="242">
        <v>27.525650607999864</v>
      </c>
      <c r="P24" s="242">
        <v>128.29934673999992</v>
      </c>
      <c r="Q24" s="242">
        <v>32.46264609800005</v>
      </c>
      <c r="R24" s="242">
        <v>-177.59864787200013</v>
      </c>
      <c r="S24" s="242">
        <v>-147.25725784400009</v>
      </c>
      <c r="T24" s="242">
        <v>-270.3940924640001</v>
      </c>
      <c r="U24" s="242">
        <v>-155.11461438800012</v>
      </c>
      <c r="V24" s="242">
        <v>-116.39438569600009</v>
      </c>
      <c r="W24" s="242">
        <v>-93.895773660000032</v>
      </c>
      <c r="X24" s="242">
        <v>-64.067605276000108</v>
      </c>
      <c r="Y24" s="242">
        <v>-74.483853080399967</v>
      </c>
      <c r="Z24" s="242">
        <v>-48.614704336000045</v>
      </c>
      <c r="AA24" s="242">
        <v>-54.315443456000025</v>
      </c>
      <c r="AB24" s="242">
        <v>161.83101889959994</v>
      </c>
      <c r="AC24" s="242">
        <v>22.690668440549985</v>
      </c>
      <c r="AD24" s="242">
        <v>-25.186205859200072</v>
      </c>
      <c r="AE24" s="242">
        <v>-21.4153707209</v>
      </c>
      <c r="AF24" s="242">
        <v>183.90981347789977</v>
      </c>
      <c r="AG24" s="242">
        <v>167.33226362559992</v>
      </c>
      <c r="AH24" s="242">
        <v>167.26895641149986</v>
      </c>
      <c r="AI24" s="242">
        <v>131.02437414689996</v>
      </c>
      <c r="AJ24" s="242">
        <v>91.024439907899932</v>
      </c>
      <c r="AK24" s="242">
        <v>84.516049207899982</v>
      </c>
      <c r="AL24" s="242">
        <v>44.973346079299972</v>
      </c>
      <c r="AM24" s="242">
        <v>27.747292785799914</v>
      </c>
      <c r="AN24" s="242">
        <v>128.57158751775</v>
      </c>
      <c r="AO24" s="242">
        <v>32.637667444175008</v>
      </c>
      <c r="AP24" s="242">
        <v>-177.26146618720009</v>
      </c>
      <c r="AQ24" s="242">
        <v>-147.03955092815005</v>
      </c>
      <c r="AR24" s="242">
        <v>-270.03809167140003</v>
      </c>
      <c r="AS24" s="242">
        <v>-154.90368688255006</v>
      </c>
      <c r="AT24" s="242">
        <v>-116.08768251959998</v>
      </c>
      <c r="AU24" s="242">
        <v>-93.710301397250021</v>
      </c>
      <c r="AV24" s="242">
        <v>-87.014776258850134</v>
      </c>
      <c r="AW24" s="242">
        <v>-51.059879272415003</v>
      </c>
      <c r="AX24" s="242">
        <v>-25.718210508600123</v>
      </c>
      <c r="AY24" s="242">
        <v>-76.774106545600034</v>
      </c>
      <c r="BA24" s="80"/>
      <c r="BB24" s="80"/>
    </row>
    <row r="25" spans="2:54">
      <c r="B25" s="218">
        <v>10072</v>
      </c>
      <c r="C25" s="218" t="s">
        <v>28</v>
      </c>
      <c r="D25" s="242">
        <v>2464.5277645691986</v>
      </c>
      <c r="E25" s="242">
        <v>769.01982400985071</v>
      </c>
      <c r="F25" s="242">
        <v>57.738175241598583</v>
      </c>
      <c r="G25" s="242">
        <v>163.17928416569976</v>
      </c>
      <c r="H25" s="242">
        <v>1045.3507703732994</v>
      </c>
      <c r="I25" s="242">
        <v>1305.2376039711999</v>
      </c>
      <c r="J25" s="242">
        <v>1051.7799200605004</v>
      </c>
      <c r="K25" s="242">
        <v>1588.5969501362997</v>
      </c>
      <c r="L25" s="242">
        <v>646.54399203130197</v>
      </c>
      <c r="M25" s="242">
        <v>748.50887860729927</v>
      </c>
      <c r="N25" s="242">
        <v>-357.55936436889897</v>
      </c>
      <c r="O25" s="242">
        <v>-505.0838628433994</v>
      </c>
      <c r="P25" s="242">
        <v>878.61287305425139</v>
      </c>
      <c r="Q25" s="242">
        <v>142.71623332022591</v>
      </c>
      <c r="R25" s="242">
        <v>-2386.2457440144008</v>
      </c>
      <c r="S25" s="242">
        <v>-1713.1809138550489</v>
      </c>
      <c r="T25" s="242">
        <v>-2956.6749111477984</v>
      </c>
      <c r="U25" s="242">
        <v>-1950.0265925438507</v>
      </c>
      <c r="V25" s="242">
        <v>-448.12094830920068</v>
      </c>
      <c r="W25" s="242">
        <v>-166.00773715074956</v>
      </c>
      <c r="X25" s="242">
        <v>-166.58661929395203</v>
      </c>
      <c r="Y25" s="242">
        <v>-323.85670251470401</v>
      </c>
      <c r="Z25" s="242">
        <v>273.59707828779938</v>
      </c>
      <c r="AA25" s="242">
        <v>-159.93111881120058</v>
      </c>
      <c r="AB25" s="242">
        <v>2403.1327645691981</v>
      </c>
      <c r="AC25" s="242">
        <v>760.81182400985017</v>
      </c>
      <c r="AD25" s="242">
        <v>25.274175241598641</v>
      </c>
      <c r="AE25" s="242">
        <v>131.32128416569958</v>
      </c>
      <c r="AF25" s="242">
        <v>1014.5307703732997</v>
      </c>
      <c r="AG25" s="242">
        <v>1271.8646039712003</v>
      </c>
      <c r="AH25" s="242">
        <v>1062.2099200604989</v>
      </c>
      <c r="AI25" s="242">
        <v>1587.9289501362982</v>
      </c>
      <c r="AJ25" s="242">
        <v>1004.4708829832998</v>
      </c>
      <c r="AK25" s="242">
        <v>902.01482408329957</v>
      </c>
      <c r="AL25" s="242">
        <v>-367.49536436890048</v>
      </c>
      <c r="AM25" s="242">
        <v>-523.73386284339995</v>
      </c>
      <c r="AN25" s="242">
        <v>858.42087305425048</v>
      </c>
      <c r="AO25" s="242">
        <v>120.8982333202257</v>
      </c>
      <c r="AP25" s="242">
        <v>-2414.4607440144027</v>
      </c>
      <c r="AQ25" s="242">
        <v>-1743.0279138550495</v>
      </c>
      <c r="AR25" s="242">
        <v>-2982.8369111477987</v>
      </c>
      <c r="AS25" s="242">
        <v>-1981.4745925438501</v>
      </c>
      <c r="AT25" s="242">
        <v>-457.78894830920035</v>
      </c>
      <c r="AU25" s="242">
        <v>-184.74473715075055</v>
      </c>
      <c r="AV25" s="242">
        <v>-157.70161929395181</v>
      </c>
      <c r="AW25" s="242">
        <v>-374.62770251470374</v>
      </c>
      <c r="AX25" s="242">
        <v>213.56007828779912</v>
      </c>
      <c r="AY25" s="242">
        <v>-169.85411881120035</v>
      </c>
      <c r="BA25" s="80"/>
      <c r="BB25" s="80"/>
    </row>
    <row r="26" spans="2:54">
      <c r="B26" s="218">
        <v>10074</v>
      </c>
      <c r="C26" s="218" t="s">
        <v>29</v>
      </c>
      <c r="D26" s="242">
        <v>2236.2716540099991</v>
      </c>
      <c r="E26" s="242">
        <v>417.02613692375053</v>
      </c>
      <c r="F26" s="242">
        <v>123.4391184799988</v>
      </c>
      <c r="G26" s="242">
        <v>-592.60852860250088</v>
      </c>
      <c r="H26" s="242">
        <v>685.73512092749843</v>
      </c>
      <c r="I26" s="242">
        <v>611.12381335999999</v>
      </c>
      <c r="J26" s="242">
        <v>802.08654658750129</v>
      </c>
      <c r="K26" s="242">
        <v>341.64059545249984</v>
      </c>
      <c r="L26" s="242">
        <v>1866.3955670775013</v>
      </c>
      <c r="M26" s="242">
        <v>934.11634987750131</v>
      </c>
      <c r="N26" s="242">
        <v>578.92755064250196</v>
      </c>
      <c r="O26" s="242">
        <v>-108.32326639500025</v>
      </c>
      <c r="P26" s="242">
        <v>2165.9586204937514</v>
      </c>
      <c r="Q26" s="242">
        <v>196.67864823937543</v>
      </c>
      <c r="R26" s="242">
        <v>-2451.2501433200014</v>
      </c>
      <c r="S26" s="242">
        <v>-2674.4857462337495</v>
      </c>
      <c r="T26" s="242">
        <v>-2910.5359404650007</v>
      </c>
      <c r="U26" s="242">
        <v>-2143.4585183737499</v>
      </c>
      <c r="V26" s="242">
        <v>159.63551148999977</v>
      </c>
      <c r="W26" s="242">
        <v>-770.75772538124966</v>
      </c>
      <c r="X26" s="242">
        <v>1164.2358771587496</v>
      </c>
      <c r="Y26" s="242">
        <v>-509.11759663337489</v>
      </c>
      <c r="Z26" s="242">
        <v>347.6486699649995</v>
      </c>
      <c r="AA26" s="242">
        <v>-475.06179036000049</v>
      </c>
      <c r="AB26" s="242">
        <v>2653.0076540099999</v>
      </c>
      <c r="AC26" s="242">
        <v>-0.43686307625011978</v>
      </c>
      <c r="AD26" s="242">
        <v>137.95111848000124</v>
      </c>
      <c r="AE26" s="242">
        <v>-596.93252860249959</v>
      </c>
      <c r="AF26" s="242">
        <v>717.45012092749857</v>
      </c>
      <c r="AG26" s="242">
        <v>619.54881336000108</v>
      </c>
      <c r="AH26" s="242">
        <v>834.79954658749921</v>
      </c>
      <c r="AI26" s="242">
        <v>349.49659545249961</v>
      </c>
      <c r="AJ26" s="242">
        <v>1761.853347677501</v>
      </c>
      <c r="AK26" s="242">
        <v>938.28124017749997</v>
      </c>
      <c r="AL26" s="242">
        <v>594.76455064250149</v>
      </c>
      <c r="AM26" s="242">
        <v>-109.7432663949985</v>
      </c>
      <c r="AN26" s="242">
        <v>2179.1746204937499</v>
      </c>
      <c r="AO26" s="242">
        <v>186.60864823937573</v>
      </c>
      <c r="AP26" s="242">
        <v>-2442.8621433200024</v>
      </c>
      <c r="AQ26" s="242">
        <v>-2696.2347462337493</v>
      </c>
      <c r="AR26" s="242">
        <v>-2887.2359404649978</v>
      </c>
      <c r="AS26" s="242">
        <v>-2158.4435183737505</v>
      </c>
      <c r="AT26" s="242">
        <v>174.22551148999992</v>
      </c>
      <c r="AU26" s="242">
        <v>-785.87772538125046</v>
      </c>
      <c r="AV26" s="242">
        <v>782.49587715874804</v>
      </c>
      <c r="AW26" s="242">
        <v>-114.20959663337453</v>
      </c>
      <c r="AX26" s="242">
        <v>729.39766996500111</v>
      </c>
      <c r="AY26" s="242">
        <v>-863.28179035999983</v>
      </c>
      <c r="BA26" s="80"/>
      <c r="BB26" s="80"/>
    </row>
    <row r="27" spans="2:54">
      <c r="B27" s="218">
        <v>10076</v>
      </c>
      <c r="C27" s="218" t="s">
        <v>30</v>
      </c>
      <c r="D27" s="242">
        <v>196.88216744800002</v>
      </c>
      <c r="E27" s="242">
        <v>174.02566720900018</v>
      </c>
      <c r="F27" s="242">
        <v>-213.59635769599981</v>
      </c>
      <c r="G27" s="242">
        <v>16.833773657999927</v>
      </c>
      <c r="H27" s="242">
        <v>138.36572600199997</v>
      </c>
      <c r="I27" s="242">
        <v>386.28229932800014</v>
      </c>
      <c r="J27" s="242">
        <v>96.125250370000231</v>
      </c>
      <c r="K27" s="242">
        <v>363.21586422200016</v>
      </c>
      <c r="L27" s="242">
        <v>71.185810522000338</v>
      </c>
      <c r="M27" s="242">
        <v>298.53786396200007</v>
      </c>
      <c r="N27" s="242">
        <v>-208.88983506600016</v>
      </c>
      <c r="O27" s="242">
        <v>34.252347404000147</v>
      </c>
      <c r="P27" s="242">
        <v>100.88189574500029</v>
      </c>
      <c r="Q27" s="242">
        <v>59.686419086500109</v>
      </c>
      <c r="R27" s="242">
        <v>-429.53609033600037</v>
      </c>
      <c r="S27" s="242">
        <v>-256.65916609699957</v>
      </c>
      <c r="T27" s="242">
        <v>-503.88540553199982</v>
      </c>
      <c r="U27" s="242">
        <v>-212.27358716900017</v>
      </c>
      <c r="V27" s="242">
        <v>46.452336951999769</v>
      </c>
      <c r="W27" s="242">
        <v>56.855168045000255</v>
      </c>
      <c r="X27" s="242">
        <v>-43.998896963000107</v>
      </c>
      <c r="Y27" s="242">
        <v>-65.874370457700024</v>
      </c>
      <c r="Z27" s="242">
        <v>-91.449902867999981</v>
      </c>
      <c r="AA27" s="242">
        <v>-13.850728927999853</v>
      </c>
      <c r="AB27" s="242">
        <v>263.39316744799976</v>
      </c>
      <c r="AC27" s="242">
        <v>101.18066720900015</v>
      </c>
      <c r="AD27" s="242">
        <v>-214.8703576959997</v>
      </c>
      <c r="AE27" s="242">
        <v>13.980773658000089</v>
      </c>
      <c r="AF27" s="242">
        <v>136.14972600200008</v>
      </c>
      <c r="AG27" s="242">
        <v>382.16029932800029</v>
      </c>
      <c r="AH27" s="242">
        <v>93.444250370000191</v>
      </c>
      <c r="AI27" s="242">
        <v>359.55886422199978</v>
      </c>
      <c r="AJ27" s="242">
        <v>100.48424940199993</v>
      </c>
      <c r="AK27" s="242">
        <v>325.03958340200006</v>
      </c>
      <c r="AL27" s="242">
        <v>-211.58483506599987</v>
      </c>
      <c r="AM27" s="242">
        <v>30.707347404000075</v>
      </c>
      <c r="AN27" s="242">
        <v>99.779895745000204</v>
      </c>
      <c r="AO27" s="242">
        <v>56.759419086500202</v>
      </c>
      <c r="AP27" s="242">
        <v>-431.3520903360004</v>
      </c>
      <c r="AQ27" s="242">
        <v>-261.18816609699979</v>
      </c>
      <c r="AR27" s="242">
        <v>-504.11740553199979</v>
      </c>
      <c r="AS27" s="242">
        <v>-216.08258716900013</v>
      </c>
      <c r="AT27" s="242">
        <v>45.166336952000165</v>
      </c>
      <c r="AU27" s="242">
        <v>51.793168045000129</v>
      </c>
      <c r="AV27" s="242">
        <v>-111.88689696300025</v>
      </c>
      <c r="AW27" s="242">
        <v>-4.3293704576997243</v>
      </c>
      <c r="AX27" s="242">
        <v>-29.046902868000188</v>
      </c>
      <c r="AY27" s="242">
        <v>-80.29272892799986</v>
      </c>
      <c r="BA27" s="80"/>
      <c r="BB27" s="80"/>
    </row>
    <row r="28" spans="2:54">
      <c r="B28" s="218">
        <v>10078</v>
      </c>
      <c r="C28" s="218" t="s">
        <v>31</v>
      </c>
      <c r="D28" s="242">
        <v>617.57145944959984</v>
      </c>
      <c r="E28" s="242">
        <v>122.52924049680007</v>
      </c>
      <c r="F28" s="242">
        <v>440.14487054079973</v>
      </c>
      <c r="G28" s="242">
        <v>75.049488641599964</v>
      </c>
      <c r="H28" s="242">
        <v>600.17030699039969</v>
      </c>
      <c r="I28" s="242">
        <v>243.95691842560018</v>
      </c>
      <c r="J28" s="242">
        <v>762.40788122400022</v>
      </c>
      <c r="K28" s="242">
        <v>288.91614153439991</v>
      </c>
      <c r="L28" s="242">
        <v>635.36916929440031</v>
      </c>
      <c r="M28" s="242">
        <v>267.39660878239999</v>
      </c>
      <c r="N28" s="242">
        <v>465.73957891680016</v>
      </c>
      <c r="O28" s="242">
        <v>95.66057606079994</v>
      </c>
      <c r="P28" s="242">
        <v>666.47054592399991</v>
      </c>
      <c r="Q28" s="242">
        <v>108.37963373480011</v>
      </c>
      <c r="R28" s="242">
        <v>70.447611212799984</v>
      </c>
      <c r="S28" s="242">
        <v>-246.39420503439987</v>
      </c>
      <c r="T28" s="242">
        <v>-94.104172246399912</v>
      </c>
      <c r="U28" s="242">
        <v>-255.32238868879995</v>
      </c>
      <c r="V28" s="242">
        <v>211.30147943040015</v>
      </c>
      <c r="W28" s="242">
        <v>-128.46499111599996</v>
      </c>
      <c r="X28" s="242">
        <v>316.92005372239987</v>
      </c>
      <c r="Y28" s="242">
        <v>-91.518125233039996</v>
      </c>
      <c r="Z28" s="242">
        <v>401.40449256639977</v>
      </c>
      <c r="AA28" s="242">
        <v>-27.213496345599992</v>
      </c>
      <c r="AB28" s="242">
        <v>413.9964594495998</v>
      </c>
      <c r="AC28" s="242">
        <v>-164.96375950320009</v>
      </c>
      <c r="AD28" s="242">
        <v>205.94487054079991</v>
      </c>
      <c r="AE28" s="242">
        <v>-164.9575113584001</v>
      </c>
      <c r="AF28" s="242">
        <v>405.4873069903997</v>
      </c>
      <c r="AG28" s="242">
        <v>-51.810081574400101</v>
      </c>
      <c r="AH28" s="242">
        <v>523.30288122399975</v>
      </c>
      <c r="AI28" s="242">
        <v>52.752141534399925</v>
      </c>
      <c r="AJ28" s="242">
        <v>438.93065467040014</v>
      </c>
      <c r="AK28" s="242">
        <v>82.047851470399905</v>
      </c>
      <c r="AL28" s="242">
        <v>231.01857891679992</v>
      </c>
      <c r="AM28" s="242">
        <v>-146.90242393920016</v>
      </c>
      <c r="AN28" s="242">
        <v>412.63454592399989</v>
      </c>
      <c r="AO28" s="242">
        <v>-125.16536626519996</v>
      </c>
      <c r="AP28" s="242">
        <v>-156.49438878720002</v>
      </c>
      <c r="AQ28" s="242">
        <v>-483.96920503439992</v>
      </c>
      <c r="AR28" s="242">
        <v>-295.10017224640001</v>
      </c>
      <c r="AS28" s="242">
        <v>-496.40038868879992</v>
      </c>
      <c r="AT28" s="242">
        <v>10.417479430400135</v>
      </c>
      <c r="AU28" s="242">
        <v>-369.06999111599987</v>
      </c>
      <c r="AV28" s="242">
        <v>54.364053722399603</v>
      </c>
      <c r="AW28" s="242">
        <v>-294.08312523304005</v>
      </c>
      <c r="AX28" s="242">
        <v>232.19149256640003</v>
      </c>
      <c r="AY28" s="242">
        <v>-317.71649634560004</v>
      </c>
      <c r="BA28" s="80"/>
      <c r="BB28" s="80"/>
    </row>
    <row r="29" spans="2:54">
      <c r="B29" s="218">
        <v>10079</v>
      </c>
      <c r="C29" s="218" t="s">
        <v>32</v>
      </c>
      <c r="D29" s="242">
        <v>8056.5801508244003</v>
      </c>
      <c r="E29" s="242">
        <v>3246.7718219139497</v>
      </c>
      <c r="F29" s="242">
        <v>-789.24124498879974</v>
      </c>
      <c r="G29" s="242">
        <v>-2336.6334989501011</v>
      </c>
      <c r="H29" s="242">
        <v>-76.03144897690072</v>
      </c>
      <c r="I29" s="242">
        <v>-3.5076179616007721</v>
      </c>
      <c r="J29" s="242">
        <v>1128.6174462734998</v>
      </c>
      <c r="K29" s="242">
        <v>282.32422446410055</v>
      </c>
      <c r="L29" s="242">
        <v>1570.9187092291031</v>
      </c>
      <c r="M29" s="242">
        <v>1186.9360304611</v>
      </c>
      <c r="N29" s="242">
        <v>67.816436887704185</v>
      </c>
      <c r="O29" s="242">
        <v>-1191.0075660838011</v>
      </c>
      <c r="P29" s="242">
        <v>5441.5889191047499</v>
      </c>
      <c r="Q29" s="242">
        <v>431.65473197407846</v>
      </c>
      <c r="R29" s="242">
        <v>-4434.3378309808031</v>
      </c>
      <c r="S29" s="242">
        <v>-5364.7213548703476</v>
      </c>
      <c r="T29" s="242">
        <v>-7743.469760094602</v>
      </c>
      <c r="U29" s="242">
        <v>-4801.3882334519476</v>
      </c>
      <c r="V29" s="242">
        <v>107.27556499559432</v>
      </c>
      <c r="W29" s="242">
        <v>-1391.3973308302484</v>
      </c>
      <c r="X29" s="242">
        <v>2668.7458555273479</v>
      </c>
      <c r="Y29" s="242">
        <v>168.00527576856621</v>
      </c>
      <c r="Z29" s="242">
        <v>3189.1881080745952</v>
      </c>
      <c r="AA29" s="242">
        <v>580.87754608159958</v>
      </c>
      <c r="AB29" s="242">
        <v>9125.8230195275937</v>
      </c>
      <c r="AC29" s="242">
        <v>2194.3780851520496</v>
      </c>
      <c r="AD29" s="242">
        <v>-916.66190291520616</v>
      </c>
      <c r="AE29" s="242">
        <v>-2425.8474871579019</v>
      </c>
      <c r="AF29" s="242">
        <v>-216.43972607509932</v>
      </c>
      <c r="AG29" s="242">
        <v>-89.583700566399784</v>
      </c>
      <c r="AH29" s="242">
        <v>1001.6717291064997</v>
      </c>
      <c r="AI29" s="242">
        <v>206.33511676389753</v>
      </c>
      <c r="AJ29" s="242">
        <v>2589.8896802548988</v>
      </c>
      <c r="AK29" s="242">
        <v>1955.1529385548965</v>
      </c>
      <c r="AL29" s="242">
        <v>-60.378358171699801</v>
      </c>
      <c r="AM29" s="242">
        <v>-1276.0293644201993</v>
      </c>
      <c r="AN29" s="242">
        <v>5391.2909140252523</v>
      </c>
      <c r="AO29" s="242">
        <v>377.54444002692981</v>
      </c>
      <c r="AP29" s="242">
        <v>-4558.1005882832033</v>
      </c>
      <c r="AQ29" s="242">
        <v>-5467.2028251076517</v>
      </c>
      <c r="AR29" s="242">
        <v>-7888.2586620734</v>
      </c>
      <c r="AS29" s="242">
        <v>-4895.6657346540524</v>
      </c>
      <c r="AT29" s="242">
        <v>11.642350252397591</v>
      </c>
      <c r="AU29" s="242">
        <v>-1459.0817658397536</v>
      </c>
      <c r="AV29" s="242">
        <v>1594.4324340106468</v>
      </c>
      <c r="AW29" s="242">
        <v>1126.0460822816385</v>
      </c>
      <c r="AX29" s="242">
        <v>4122.5451324933965</v>
      </c>
      <c r="AY29" s="242">
        <v>-449.0928579536012</v>
      </c>
      <c r="BA29" s="80"/>
      <c r="BB29" s="80"/>
    </row>
    <row r="30" spans="2:54">
      <c r="B30" s="218">
        <v>10080</v>
      </c>
      <c r="C30" s="218" t="s">
        <v>33</v>
      </c>
      <c r="D30" s="242">
        <v>571.87060432199951</v>
      </c>
      <c r="E30" s="242">
        <v>314.39147679474991</v>
      </c>
      <c r="F30" s="242">
        <v>300.31310465599972</v>
      </c>
      <c r="G30" s="242">
        <v>236.19954069949972</v>
      </c>
      <c r="H30" s="242">
        <v>378.02759116549987</v>
      </c>
      <c r="I30" s="242">
        <v>474.503897392</v>
      </c>
      <c r="J30" s="242">
        <v>397.37340061750001</v>
      </c>
      <c r="K30" s="242">
        <v>409.05587387049991</v>
      </c>
      <c r="L30" s="242">
        <v>406.3718551955003</v>
      </c>
      <c r="M30" s="242">
        <v>386.48271735549974</v>
      </c>
      <c r="N30" s="242">
        <v>4.3556697885001086</v>
      </c>
      <c r="O30" s="242">
        <v>63.450426680999954</v>
      </c>
      <c r="P30" s="242">
        <v>360.18552414875012</v>
      </c>
      <c r="Q30" s="242">
        <v>117.60030653287504</v>
      </c>
      <c r="R30" s="242">
        <v>-767.50366130400016</v>
      </c>
      <c r="S30" s="242">
        <v>-511.13919777675005</v>
      </c>
      <c r="T30" s="242">
        <v>-1147.2624147730003</v>
      </c>
      <c r="U30" s="242">
        <v>-559.61381348475015</v>
      </c>
      <c r="V30" s="242">
        <v>-425.8072152220002</v>
      </c>
      <c r="W30" s="242">
        <v>-179.58201802625013</v>
      </c>
      <c r="X30" s="242">
        <v>-282.13545543825012</v>
      </c>
      <c r="Y30" s="242">
        <v>-159.13897369967503</v>
      </c>
      <c r="Z30" s="242">
        <v>-256.14875532699989</v>
      </c>
      <c r="AA30" s="242">
        <v>-126.23379679200025</v>
      </c>
      <c r="AB30" s="242">
        <v>681.62687111119976</v>
      </c>
      <c r="AC30" s="242">
        <v>210.26556887710012</v>
      </c>
      <c r="AD30" s="242">
        <v>303.68375845759965</v>
      </c>
      <c r="AE30" s="242">
        <v>238.43777711019993</v>
      </c>
      <c r="AF30" s="242">
        <v>380.78044544380009</v>
      </c>
      <c r="AG30" s="242">
        <v>476.52909928320014</v>
      </c>
      <c r="AH30" s="242">
        <v>400.17669310300016</v>
      </c>
      <c r="AI30" s="242">
        <v>410.94643246179976</v>
      </c>
      <c r="AJ30" s="242">
        <v>390.25620790380026</v>
      </c>
      <c r="AK30" s="242">
        <v>393.97192250379999</v>
      </c>
      <c r="AL30" s="242">
        <v>7.4226940546000151</v>
      </c>
      <c r="AM30" s="242">
        <v>65.497500147600022</v>
      </c>
      <c r="AN30" s="242">
        <v>363.60780181550035</v>
      </c>
      <c r="AO30" s="242">
        <v>119.63424249435025</v>
      </c>
      <c r="AP30" s="242">
        <v>-771.10820635840037</v>
      </c>
      <c r="AQ30" s="242">
        <v>-513.45031852429975</v>
      </c>
      <c r="AR30" s="242">
        <v>-1150.7754171508</v>
      </c>
      <c r="AS30" s="242">
        <v>-561.82959600110007</v>
      </c>
      <c r="AT30" s="242">
        <v>-429.31232475120032</v>
      </c>
      <c r="AU30" s="242">
        <v>-181.78443481449995</v>
      </c>
      <c r="AV30" s="242">
        <v>-373.69294248970027</v>
      </c>
      <c r="AW30" s="242">
        <v>-73.228895123629854</v>
      </c>
      <c r="AX30" s="242">
        <v>-175.18123680920007</v>
      </c>
      <c r="AY30" s="242">
        <v>-212.64280752319996</v>
      </c>
      <c r="BA30" s="80"/>
      <c r="BB30" s="80"/>
    </row>
    <row r="31" spans="2:54">
      <c r="B31" s="218">
        <v>10081</v>
      </c>
      <c r="C31" s="218" t="s">
        <v>34</v>
      </c>
      <c r="D31" s="242">
        <v>173.58670475279951</v>
      </c>
      <c r="E31" s="242">
        <v>-172.31831784010001</v>
      </c>
      <c r="F31" s="242">
        <v>-40.74555058560054</v>
      </c>
      <c r="G31" s="242">
        <v>-106.85560971619998</v>
      </c>
      <c r="H31" s="242">
        <v>1081.3072995421999</v>
      </c>
      <c r="I31" s="242">
        <v>1122.1719334207996</v>
      </c>
      <c r="J31" s="242">
        <v>984.43954930700056</v>
      </c>
      <c r="K31" s="242">
        <v>812.18531498420043</v>
      </c>
      <c r="L31" s="242">
        <v>352.54331691420066</v>
      </c>
      <c r="M31" s="242">
        <v>411.55949249820014</v>
      </c>
      <c r="N31" s="242">
        <v>-210.51563959260056</v>
      </c>
      <c r="O31" s="242">
        <v>-39.105377975599822</v>
      </c>
      <c r="P31" s="242">
        <v>428.41448546950005</v>
      </c>
      <c r="Q31" s="242">
        <v>-50.697408349849866</v>
      </c>
      <c r="R31" s="242">
        <v>-1073.5770972896007</v>
      </c>
      <c r="S31" s="242">
        <v>-1122.2216282967001</v>
      </c>
      <c r="T31" s="242">
        <v>-1608.7902261251993</v>
      </c>
      <c r="U31" s="242">
        <v>-1305.9386753159001</v>
      </c>
      <c r="V31" s="242">
        <v>400.19661808720002</v>
      </c>
      <c r="W31" s="242">
        <v>-282.77313400049979</v>
      </c>
      <c r="X31" s="242">
        <v>582.96102073069915</v>
      </c>
      <c r="Y31" s="242">
        <v>-279.71307062246979</v>
      </c>
      <c r="Z31" s="242">
        <v>81.707638885199685</v>
      </c>
      <c r="AA31" s="242">
        <v>-138.60181798080021</v>
      </c>
      <c r="AB31" s="242">
        <v>322.12943796359923</v>
      </c>
      <c r="AC31" s="242">
        <v>-317.59440992245027</v>
      </c>
      <c r="AD31" s="242">
        <v>-44.76620438720056</v>
      </c>
      <c r="AE31" s="242">
        <v>-106.22084612690014</v>
      </c>
      <c r="AF31" s="242">
        <v>1079.3634452638998</v>
      </c>
      <c r="AG31" s="242">
        <v>1122.8577315295997</v>
      </c>
      <c r="AH31" s="242">
        <v>981.56025682149993</v>
      </c>
      <c r="AI31" s="242">
        <v>812.87475639290005</v>
      </c>
      <c r="AJ31" s="242">
        <v>298.15586789389999</v>
      </c>
      <c r="AK31" s="242">
        <v>411.8217391938997</v>
      </c>
      <c r="AL31" s="242">
        <v>-215.48066385870061</v>
      </c>
      <c r="AM31" s="242">
        <v>-38.440451442200356</v>
      </c>
      <c r="AN31" s="242">
        <v>432.23120780274985</v>
      </c>
      <c r="AO31" s="242">
        <v>-50.172344311325105</v>
      </c>
      <c r="AP31" s="242">
        <v>-1061.5655522352008</v>
      </c>
      <c r="AQ31" s="242">
        <v>-1121.5685075491501</v>
      </c>
      <c r="AR31" s="242">
        <v>-1590.7222237473998</v>
      </c>
      <c r="AS31" s="242">
        <v>-1305.3058927995503</v>
      </c>
      <c r="AT31" s="242">
        <v>405.11672761639966</v>
      </c>
      <c r="AU31" s="242">
        <v>-282.21671721224993</v>
      </c>
      <c r="AV31" s="242">
        <v>419.58450778215001</v>
      </c>
      <c r="AW31" s="242">
        <v>-103.90814919851528</v>
      </c>
      <c r="AX31" s="242">
        <v>246.43012036739992</v>
      </c>
      <c r="AY31" s="242">
        <v>-292.01080724960002</v>
      </c>
      <c r="BA31" s="80"/>
      <c r="BB31" s="80"/>
    </row>
    <row r="32" spans="2:54">
      <c r="B32" s="218">
        <v>10082</v>
      </c>
      <c r="C32" s="218" t="s">
        <v>35</v>
      </c>
      <c r="D32" s="242">
        <v>1.9237834959999986</v>
      </c>
      <c r="E32" s="242">
        <v>4.9419638430000035</v>
      </c>
      <c r="F32" s="242">
        <v>2.6321774079999969</v>
      </c>
      <c r="G32" s="242">
        <v>7.4926991660000013</v>
      </c>
      <c r="H32" s="242">
        <v>8.5101996539999973</v>
      </c>
      <c r="I32" s="242">
        <v>14.857088255999997</v>
      </c>
      <c r="J32" s="242">
        <v>6.2143159900000029</v>
      </c>
      <c r="K32" s="242">
        <v>12.342067594</v>
      </c>
      <c r="L32" s="242">
        <v>7.5360576940000001</v>
      </c>
      <c r="M32" s="242">
        <v>11.633372573999999</v>
      </c>
      <c r="N32" s="242">
        <v>-1.6068675819999996</v>
      </c>
      <c r="O32" s="242">
        <v>4.8190951079999991</v>
      </c>
      <c r="P32" s="242">
        <v>0.92329111500000494</v>
      </c>
      <c r="Q32" s="242">
        <v>3.556011535500005</v>
      </c>
      <c r="R32" s="242">
        <v>-13.812435872000002</v>
      </c>
      <c r="S32" s="242">
        <v>-5.6159682189999991</v>
      </c>
      <c r="T32" s="242">
        <v>-19.061110963999997</v>
      </c>
      <c r="U32" s="242">
        <v>-7.4088507630000038</v>
      </c>
      <c r="V32" s="242">
        <v>-9.8484446959999943</v>
      </c>
      <c r="W32" s="242">
        <v>-2.4491167850000011</v>
      </c>
      <c r="X32" s="242">
        <v>-8.9690624010000022</v>
      </c>
      <c r="Y32" s="242">
        <v>-3.056333117899996</v>
      </c>
      <c r="Z32" s="242">
        <v>-8.3361358360000004</v>
      </c>
      <c r="AA32" s="242">
        <v>-1.849167456</v>
      </c>
      <c r="AB32" s="242">
        <v>3.3527834960000007</v>
      </c>
      <c r="AC32" s="242">
        <v>3.5129638430000014</v>
      </c>
      <c r="AD32" s="242">
        <v>2.6321774079999969</v>
      </c>
      <c r="AE32" s="242">
        <v>7.4926991660000013</v>
      </c>
      <c r="AF32" s="242">
        <v>8.5101996539999973</v>
      </c>
      <c r="AG32" s="242">
        <v>14.857088255999997</v>
      </c>
      <c r="AH32" s="242">
        <v>6.2143159900000029</v>
      </c>
      <c r="AI32" s="242">
        <v>12.342067594</v>
      </c>
      <c r="AJ32" s="242">
        <v>6.9952514540000053</v>
      </c>
      <c r="AK32" s="242">
        <v>11.380469454</v>
      </c>
      <c r="AL32" s="242">
        <v>-1.6068675819999996</v>
      </c>
      <c r="AM32" s="242">
        <v>4.8190951079999991</v>
      </c>
      <c r="AN32" s="242">
        <v>0.92329111500000494</v>
      </c>
      <c r="AO32" s="242">
        <v>3.556011535500005</v>
      </c>
      <c r="AP32" s="242">
        <v>-13.812435872000002</v>
      </c>
      <c r="AQ32" s="242">
        <v>-5.6159682189999991</v>
      </c>
      <c r="AR32" s="242">
        <v>-19.061110963999997</v>
      </c>
      <c r="AS32" s="242">
        <v>-7.4088507630000038</v>
      </c>
      <c r="AT32" s="242">
        <v>-9.8484446959999943</v>
      </c>
      <c r="AU32" s="242">
        <v>-2.4491167850000011</v>
      </c>
      <c r="AV32" s="242">
        <v>-10.152062401000002</v>
      </c>
      <c r="AW32" s="242">
        <v>-1.8733331178999961</v>
      </c>
      <c r="AX32" s="242">
        <v>-7.1911358360000008</v>
      </c>
      <c r="AY32" s="242">
        <v>-2.9941674559999996</v>
      </c>
      <c r="BA32" s="80"/>
      <c r="BB32" s="80"/>
    </row>
    <row r="33" spans="2:54">
      <c r="B33" s="218">
        <v>10083</v>
      </c>
      <c r="C33" s="218" t="s">
        <v>36</v>
      </c>
      <c r="D33" s="242">
        <v>668.82026137599996</v>
      </c>
      <c r="E33" s="242">
        <v>243.89708500800043</v>
      </c>
      <c r="F33" s="242">
        <v>215.20100364799964</v>
      </c>
      <c r="G33" s="242">
        <v>98.307700895999915</v>
      </c>
      <c r="H33" s="242">
        <v>548.6738850239999</v>
      </c>
      <c r="I33" s="242">
        <v>623.1154639360002</v>
      </c>
      <c r="J33" s="242">
        <v>747.22400944000037</v>
      </c>
      <c r="K33" s="242">
        <v>628.76457366400018</v>
      </c>
      <c r="L33" s="242">
        <v>535.56887926400077</v>
      </c>
      <c r="M33" s="242">
        <v>428.03808054399997</v>
      </c>
      <c r="N33" s="242">
        <v>-105.25222979199953</v>
      </c>
      <c r="O33" s="242">
        <v>-70.945385152000199</v>
      </c>
      <c r="P33" s="242">
        <v>546.02419144000032</v>
      </c>
      <c r="Q33" s="242">
        <v>106.26626128800035</v>
      </c>
      <c r="R33" s="242">
        <v>-537.74414803199988</v>
      </c>
      <c r="S33" s="242">
        <v>-520.89588366399994</v>
      </c>
      <c r="T33" s="242">
        <v>-898.68338438399951</v>
      </c>
      <c r="U33" s="242">
        <v>-480.0866645279998</v>
      </c>
      <c r="V33" s="242">
        <v>66.589391424000041</v>
      </c>
      <c r="W33" s="242">
        <v>-54.069590959999914</v>
      </c>
      <c r="X33" s="242">
        <v>131.98843694399966</v>
      </c>
      <c r="Y33" s="242">
        <v>-122.12388654239976</v>
      </c>
      <c r="Z33" s="242">
        <v>115.25908358400011</v>
      </c>
      <c r="AA33" s="242">
        <v>38.554980863999845</v>
      </c>
      <c r="AB33" s="242">
        <v>819.51726137599962</v>
      </c>
      <c r="AC33" s="242">
        <v>109.78108500800045</v>
      </c>
      <c r="AD33" s="242">
        <v>225.32300364799994</v>
      </c>
      <c r="AE33" s="242">
        <v>104.7667008960002</v>
      </c>
      <c r="AF33" s="242">
        <v>558.39288502399995</v>
      </c>
      <c r="AG33" s="242">
        <v>629.97646393600007</v>
      </c>
      <c r="AH33" s="242">
        <v>757.28600944000027</v>
      </c>
      <c r="AI33" s="242">
        <v>635.28357366399996</v>
      </c>
      <c r="AJ33" s="242">
        <v>517.11926582400065</v>
      </c>
      <c r="AK33" s="242">
        <v>438.72127382399958</v>
      </c>
      <c r="AL33" s="242">
        <v>-95.152229791999616</v>
      </c>
      <c r="AM33" s="242">
        <v>-64.464385151999977</v>
      </c>
      <c r="AN33" s="242">
        <v>556.53219144000013</v>
      </c>
      <c r="AO33" s="242">
        <v>112.33926128800067</v>
      </c>
      <c r="AP33" s="242">
        <v>-503.14214803200002</v>
      </c>
      <c r="AQ33" s="242">
        <v>-500.29388366399962</v>
      </c>
      <c r="AR33" s="242">
        <v>-864.35838438399969</v>
      </c>
      <c r="AS33" s="242">
        <v>-459.2076645279999</v>
      </c>
      <c r="AT33" s="242">
        <v>101.54539142400017</v>
      </c>
      <c r="AU33" s="242">
        <v>-33.821590959999867</v>
      </c>
      <c r="AV33" s="242">
        <v>33.246436943999925</v>
      </c>
      <c r="AW33" s="242">
        <v>31.821113457599949</v>
      </c>
      <c r="AX33" s="242">
        <v>280.48008358400011</v>
      </c>
      <c r="AY33" s="242">
        <v>-71.462019136000208</v>
      </c>
      <c r="BA33" s="80"/>
      <c r="BB33" s="80"/>
    </row>
    <row r="34" spans="2:54">
      <c r="B34" s="218">
        <v>10086</v>
      </c>
      <c r="C34" s="218" t="s">
        <v>37</v>
      </c>
      <c r="D34" s="242">
        <v>275.88515707919987</v>
      </c>
      <c r="E34" s="242">
        <v>159.20914237110003</v>
      </c>
      <c r="F34" s="242">
        <v>9.2758417215998179</v>
      </c>
      <c r="G34" s="242">
        <v>50.905685938199895</v>
      </c>
      <c r="H34" s="242">
        <v>222.25191217579982</v>
      </c>
      <c r="I34" s="242">
        <v>319.39365333120008</v>
      </c>
      <c r="J34" s="242">
        <v>204.14607852300014</v>
      </c>
      <c r="K34" s="242">
        <v>249.11198771379986</v>
      </c>
      <c r="L34" s="242">
        <v>205.99625748380004</v>
      </c>
      <c r="M34" s="242">
        <v>245.66670685979989</v>
      </c>
      <c r="N34" s="242">
        <v>59.181309898600148</v>
      </c>
      <c r="O34" s="242">
        <v>98.389150011600123</v>
      </c>
      <c r="P34" s="242">
        <v>174.93201948550018</v>
      </c>
      <c r="Q34" s="242">
        <v>73.52006565335023</v>
      </c>
      <c r="R34" s="242">
        <v>-367.10126933440006</v>
      </c>
      <c r="S34" s="242">
        <v>-250.91648502629982</v>
      </c>
      <c r="T34" s="242">
        <v>-556.3813418627999</v>
      </c>
      <c r="U34" s="242">
        <v>-292.50987485509995</v>
      </c>
      <c r="V34" s="242">
        <v>-245.44900031919997</v>
      </c>
      <c r="W34" s="242">
        <v>-159.44805534449995</v>
      </c>
      <c r="X34" s="242">
        <v>-155.13235594770003</v>
      </c>
      <c r="Y34" s="242">
        <v>-146.09752014182982</v>
      </c>
      <c r="Z34" s="242">
        <v>-100.81218649719995</v>
      </c>
      <c r="AA34" s="242">
        <v>-76.591595171200083</v>
      </c>
      <c r="AB34" s="242">
        <v>334.58044625399975</v>
      </c>
      <c r="AC34" s="242">
        <v>103.04769056324994</v>
      </c>
      <c r="AD34" s="242">
        <v>10.581700591999834</v>
      </c>
      <c r="AE34" s="242">
        <v>51.842570896499865</v>
      </c>
      <c r="AF34" s="242">
        <v>224.08357215849992</v>
      </c>
      <c r="AG34" s="242">
        <v>320.93245774399975</v>
      </c>
      <c r="AH34" s="242">
        <v>206.04809432249976</v>
      </c>
      <c r="AI34" s="242">
        <v>250.53029109349973</v>
      </c>
      <c r="AJ34" s="242">
        <v>189.29235160849998</v>
      </c>
      <c r="AK34" s="242">
        <v>243.28082110849971</v>
      </c>
      <c r="AL34" s="242">
        <v>60.676366519499879</v>
      </c>
      <c r="AM34" s="242">
        <v>99.470654767000042</v>
      </c>
      <c r="AN34" s="242">
        <v>176.35233404125006</v>
      </c>
      <c r="AO34" s="242">
        <v>74.354916230125013</v>
      </c>
      <c r="AP34" s="242">
        <v>-366.50854112800039</v>
      </c>
      <c r="AQ34" s="242">
        <v>-250.56043343725003</v>
      </c>
      <c r="AR34" s="242">
        <v>-556.09234741100022</v>
      </c>
      <c r="AS34" s="242">
        <v>-292.26436739325004</v>
      </c>
      <c r="AT34" s="242">
        <v>-244.73392255400017</v>
      </c>
      <c r="AU34" s="242">
        <v>-159.03736118375002</v>
      </c>
      <c r="AV34" s="242">
        <v>-202.20515906775017</v>
      </c>
      <c r="AW34" s="242">
        <v>-97.73533679772504</v>
      </c>
      <c r="AX34" s="242">
        <v>-52.22164328900044</v>
      </c>
      <c r="AY34" s="242">
        <v>-123.79495354400012</v>
      </c>
      <c r="BA34" s="80"/>
      <c r="BB34" s="80"/>
    </row>
    <row r="35" spans="2:54">
      <c r="B35" s="218">
        <v>10087</v>
      </c>
      <c r="C35" s="218" t="s">
        <v>38</v>
      </c>
      <c r="D35" s="242">
        <v>2609.9324835179978</v>
      </c>
      <c r="E35" s="242">
        <v>2627.3069984252506</v>
      </c>
      <c r="F35" s="242">
        <v>-552.87730433600154</v>
      </c>
      <c r="G35" s="242">
        <v>1803.5130089404993</v>
      </c>
      <c r="H35" s="242">
        <v>1055.5892219944981</v>
      </c>
      <c r="I35" s="242">
        <v>4095.7707608479996</v>
      </c>
      <c r="J35" s="242">
        <v>959.54323398250199</v>
      </c>
      <c r="K35" s="242">
        <v>3560.5296268894981</v>
      </c>
      <c r="L35" s="242">
        <v>1722.6692995644989</v>
      </c>
      <c r="M35" s="242">
        <v>4249.4734726045008</v>
      </c>
      <c r="N35" s="242">
        <v>398.62783593150016</v>
      </c>
      <c r="O35" s="242">
        <v>1890.9429316390015</v>
      </c>
      <c r="P35" s="242">
        <v>1616.7826779512507</v>
      </c>
      <c r="Q35" s="242">
        <v>2454.4549226371273</v>
      </c>
      <c r="R35" s="242">
        <v>-5376.7847095760044</v>
      </c>
      <c r="S35" s="242">
        <v>-1707.6626404832496</v>
      </c>
      <c r="T35" s="242">
        <v>-7286.2645057870013</v>
      </c>
      <c r="U35" s="242">
        <v>-2992.9845985352513</v>
      </c>
      <c r="V35" s="242">
        <v>-4804.6459206179989</v>
      </c>
      <c r="W35" s="242">
        <v>-439.59604587374997</v>
      </c>
      <c r="X35" s="242">
        <v>-3627.392241101752</v>
      </c>
      <c r="Y35" s="242">
        <v>-558.86390996632326</v>
      </c>
      <c r="Z35" s="242">
        <v>-1908.2205961130003</v>
      </c>
      <c r="AA35" s="242">
        <v>211.32937055199909</v>
      </c>
      <c r="AB35" s="242">
        <v>2620.9079928727988</v>
      </c>
      <c r="AC35" s="242">
        <v>2634.4723452449016</v>
      </c>
      <c r="AD35" s="242">
        <v>-538.84000882559849</v>
      </c>
      <c r="AE35" s="242">
        <v>1812.6112870538</v>
      </c>
      <c r="AF35" s="242">
        <v>1070.7273106721987</v>
      </c>
      <c r="AG35" s="242">
        <v>4105.6005337408005</v>
      </c>
      <c r="AH35" s="242">
        <v>975.60670835700512</v>
      </c>
      <c r="AI35" s="242">
        <v>3570.4116204141992</v>
      </c>
      <c r="AJ35" s="242">
        <v>1671.8075054122019</v>
      </c>
      <c r="AK35" s="242">
        <v>4053.4421628122</v>
      </c>
      <c r="AL35" s="242">
        <v>413.46248811739861</v>
      </c>
      <c r="AM35" s="242">
        <v>1900.4735452844016</v>
      </c>
      <c r="AN35" s="242">
        <v>1628.4890313944998</v>
      </c>
      <c r="AO35" s="242">
        <v>2461.9808405226522</v>
      </c>
      <c r="AP35" s="242">
        <v>-5362.2858971296009</v>
      </c>
      <c r="AQ35" s="242">
        <v>-1698.3012431016978</v>
      </c>
      <c r="AR35" s="242">
        <v>-7270.9564717051999</v>
      </c>
      <c r="AS35" s="242">
        <v>-2983.9147158009</v>
      </c>
      <c r="AT35" s="242">
        <v>-4791.4576840327991</v>
      </c>
      <c r="AU35" s="242">
        <v>-431.62073857550058</v>
      </c>
      <c r="AV35" s="242">
        <v>-3614.4135933643011</v>
      </c>
      <c r="AW35" s="242">
        <v>-551.38303622296735</v>
      </c>
      <c r="AX35" s="242">
        <v>-1896.9763615348002</v>
      </c>
      <c r="AY35" s="242">
        <v>218.91185769920048</v>
      </c>
      <c r="BA35" s="80"/>
      <c r="BB35" s="80"/>
    </row>
    <row r="36" spans="2:54">
      <c r="B36" s="218">
        <v>10089</v>
      </c>
      <c r="C36" s="218" t="s">
        <v>39</v>
      </c>
      <c r="D36" s="242">
        <v>2131.7856928559922</v>
      </c>
      <c r="E36" s="242">
        <v>942.98060997300126</v>
      </c>
      <c r="F36" s="242">
        <v>-5939.3380373120017</v>
      </c>
      <c r="G36" s="242">
        <v>-1972.0853217740005</v>
      </c>
      <c r="H36" s="242">
        <v>3633.7084067940013</v>
      </c>
      <c r="I36" s="242">
        <v>8201.4520092159946</v>
      </c>
      <c r="J36" s="242">
        <v>2512.9034368900029</v>
      </c>
      <c r="K36" s="242">
        <v>5849.4065201339981</v>
      </c>
      <c r="L36" s="242">
        <v>-4660.5791987659904</v>
      </c>
      <c r="M36" s="242">
        <v>972.33549691400185</v>
      </c>
      <c r="N36" s="242">
        <v>-8242.5465932020015</v>
      </c>
      <c r="O36" s="242">
        <v>-3256.6269126119951</v>
      </c>
      <c r="P36" s="242">
        <v>-1565.0233492349944</v>
      </c>
      <c r="Q36" s="242">
        <v>-2691.9914146594965</v>
      </c>
      <c r="R36" s="242">
        <v>-7442.0767753920009</v>
      </c>
      <c r="S36" s="242">
        <v>-6134.3583645090002</v>
      </c>
      <c r="T36" s="242">
        <v>-7568.2969402039962</v>
      </c>
      <c r="U36" s="242">
        <v>-3337.5521540930022</v>
      </c>
      <c r="V36" s="242">
        <v>8666.2183539440011</v>
      </c>
      <c r="W36" s="242">
        <v>4251.3193538649975</v>
      </c>
      <c r="X36" s="242">
        <v>10173.242809688993</v>
      </c>
      <c r="Y36" s="242">
        <v>3439.9673698931038</v>
      </c>
      <c r="Z36" s="242">
        <v>720.31570540400571</v>
      </c>
      <c r="AA36" s="242">
        <v>1313.169239584</v>
      </c>
      <c r="AB36" s="242">
        <v>3611.4106928559922</v>
      </c>
      <c r="AC36" s="242">
        <v>-731.55339002699839</v>
      </c>
      <c r="AD36" s="242">
        <v>-6048.4170373120069</v>
      </c>
      <c r="AE36" s="242">
        <v>-2083.0853217740005</v>
      </c>
      <c r="AF36" s="242">
        <v>3377.2114067939983</v>
      </c>
      <c r="AG36" s="242">
        <v>7972.780009215996</v>
      </c>
      <c r="AH36" s="242">
        <v>2317.1684368900023</v>
      </c>
      <c r="AI36" s="242">
        <v>5680.5595201339966</v>
      </c>
      <c r="AJ36" s="242">
        <v>-3347.2170034059964</v>
      </c>
      <c r="AK36" s="242">
        <v>1997.6515945939973</v>
      </c>
      <c r="AL36" s="242">
        <v>-8324.5275932020013</v>
      </c>
      <c r="AM36" s="242">
        <v>-3345.1059126119981</v>
      </c>
      <c r="AN36" s="242">
        <v>-1616.3953492349974</v>
      </c>
      <c r="AO36" s="242">
        <v>-2766.0544146594948</v>
      </c>
      <c r="AP36" s="242">
        <v>-7495.3347753920025</v>
      </c>
      <c r="AQ36" s="242">
        <v>-6224.7223645090016</v>
      </c>
      <c r="AR36" s="242">
        <v>-7608.0589402040059</v>
      </c>
      <c r="AS36" s="242">
        <v>-3420.2261540930012</v>
      </c>
      <c r="AT36" s="242">
        <v>8630.8193539439962</v>
      </c>
      <c r="AU36" s="242">
        <v>4163.0653538649967</v>
      </c>
      <c r="AV36" s="242">
        <v>8091.991809688996</v>
      </c>
      <c r="AW36" s="242">
        <v>5346.6603698931031</v>
      </c>
      <c r="AX36" s="242">
        <v>2282.0217054039967</v>
      </c>
      <c r="AY36" s="242">
        <v>-457.76276041600431</v>
      </c>
      <c r="BA36" s="80"/>
      <c r="BB36" s="80"/>
    </row>
    <row r="37" spans="2:54">
      <c r="B37" s="218">
        <v>10091</v>
      </c>
      <c r="C37" s="218" t="s">
        <v>40</v>
      </c>
      <c r="D37" s="242">
        <v>352.45883355239948</v>
      </c>
      <c r="E37" s="242">
        <v>103.77027511295</v>
      </c>
      <c r="F37" s="242">
        <v>-27.363741244800622</v>
      </c>
      <c r="G37" s="242">
        <v>244.87164308789988</v>
      </c>
      <c r="H37" s="242">
        <v>551.52369124510005</v>
      </c>
      <c r="I37" s="242">
        <v>787.30546344640015</v>
      </c>
      <c r="J37" s="242">
        <v>381.32972734350005</v>
      </c>
      <c r="K37" s="242">
        <v>777.43064710609951</v>
      </c>
      <c r="L37" s="242">
        <v>390.57427117110001</v>
      </c>
      <c r="M37" s="242">
        <v>701.16740424310001</v>
      </c>
      <c r="N37" s="242">
        <v>-212.81453743830025</v>
      </c>
      <c r="O37" s="242">
        <v>-3.9800962397998774</v>
      </c>
      <c r="P37" s="242">
        <v>141.06221179975</v>
      </c>
      <c r="Q37" s="242">
        <v>62.092961075575204</v>
      </c>
      <c r="R37" s="242">
        <v>-1024.9599302768006</v>
      </c>
      <c r="S37" s="242">
        <v>-648.59516063735009</v>
      </c>
      <c r="T37" s="242">
        <v>-1035.8451381465998</v>
      </c>
      <c r="U37" s="242">
        <v>-626.81772221095025</v>
      </c>
      <c r="V37" s="242">
        <v>-109.90332933240006</v>
      </c>
      <c r="W37" s="242">
        <v>34.517287164750087</v>
      </c>
      <c r="X37" s="242">
        <v>-200.82995836565033</v>
      </c>
      <c r="Y37" s="242">
        <v>-149.15697793613526</v>
      </c>
      <c r="Z37" s="242">
        <v>-249.07654627340071</v>
      </c>
      <c r="AA37" s="242">
        <v>-236.25042092640024</v>
      </c>
      <c r="AB37" s="242">
        <v>354.50078878119939</v>
      </c>
      <c r="AC37" s="242">
        <v>105.10336289334964</v>
      </c>
      <c r="AD37" s="242">
        <v>-24.75215138240037</v>
      </c>
      <c r="AE37" s="242">
        <v>246.56434599270005</v>
      </c>
      <c r="AF37" s="242">
        <v>554.34007983629999</v>
      </c>
      <c r="AG37" s="242">
        <v>789.13425840319996</v>
      </c>
      <c r="AH37" s="242">
        <v>384.3182807155008</v>
      </c>
      <c r="AI37" s="242">
        <v>779.26915752929972</v>
      </c>
      <c r="AJ37" s="242">
        <v>378.65985954629969</v>
      </c>
      <c r="AK37" s="242">
        <v>667.3751216462997</v>
      </c>
      <c r="AL37" s="242">
        <v>-210.05460214790037</v>
      </c>
      <c r="AM37" s="242">
        <v>-2.2069588173999364</v>
      </c>
      <c r="AN37" s="242">
        <v>143.24013802175023</v>
      </c>
      <c r="AO37" s="242">
        <v>63.493131844975323</v>
      </c>
      <c r="AP37" s="242">
        <v>-1022.2624767984003</v>
      </c>
      <c r="AQ37" s="242">
        <v>-646.85350531054974</v>
      </c>
      <c r="AR37" s="242">
        <v>-1032.9971318058001</v>
      </c>
      <c r="AS37" s="242">
        <v>-625.13030216735024</v>
      </c>
      <c r="AT37" s="242">
        <v>-107.44970392119967</v>
      </c>
      <c r="AU37" s="242">
        <v>36.001065266750174</v>
      </c>
      <c r="AV37" s="242">
        <v>-198.41532622845034</v>
      </c>
      <c r="AW37" s="242">
        <v>-147.76518747225509</v>
      </c>
      <c r="AX37" s="242">
        <v>-246.98459565420035</v>
      </c>
      <c r="AY37" s="242">
        <v>-234.83972564319993</v>
      </c>
      <c r="BA37" s="80"/>
      <c r="BB37" s="80"/>
    </row>
    <row r="38" spans="2:54">
      <c r="B38" s="218">
        <v>10094</v>
      </c>
      <c r="C38" s="218" t="s">
        <v>41</v>
      </c>
      <c r="D38" s="242">
        <v>250.47677534519971</v>
      </c>
      <c r="E38" s="242">
        <v>72.408769842850006</v>
      </c>
      <c r="F38" s="242">
        <v>12.789590089599642</v>
      </c>
      <c r="G38" s="242">
        <v>31.124303711699895</v>
      </c>
      <c r="H38" s="242">
        <v>154.16547224729993</v>
      </c>
      <c r="I38" s="242">
        <v>119.3429063072</v>
      </c>
      <c r="J38" s="242">
        <v>65.658546750500136</v>
      </c>
      <c r="K38" s="242">
        <v>125.46934415029989</v>
      </c>
      <c r="L38" s="242">
        <v>73.066769145300213</v>
      </c>
      <c r="M38" s="242">
        <v>125.18108900129994</v>
      </c>
      <c r="N38" s="242">
        <v>4.9897247890999097</v>
      </c>
      <c r="O38" s="242">
        <v>-36.61186929539997</v>
      </c>
      <c r="P38" s="242">
        <v>182.8903411192498</v>
      </c>
      <c r="Q38" s="242">
        <v>77.254360870725009</v>
      </c>
      <c r="R38" s="242">
        <v>-255.41897284640004</v>
      </c>
      <c r="S38" s="242">
        <v>-160.30778974405007</v>
      </c>
      <c r="T38" s="242">
        <v>-401.1134026318</v>
      </c>
      <c r="U38" s="242">
        <v>-270.80678089685</v>
      </c>
      <c r="V38" s="242">
        <v>-110.10073628520013</v>
      </c>
      <c r="W38" s="242">
        <v>-64.406423985750052</v>
      </c>
      <c r="X38" s="242">
        <v>-15.583970624950325</v>
      </c>
      <c r="Y38" s="242">
        <v>-38.888557679605015</v>
      </c>
      <c r="Z38" s="242">
        <v>74.789998971799832</v>
      </c>
      <c r="AA38" s="242">
        <v>-11.884356347200082</v>
      </c>
      <c r="AB38" s="242">
        <v>248.9872641523998</v>
      </c>
      <c r="AC38" s="242">
        <v>74.742041787950029</v>
      </c>
      <c r="AD38" s="242">
        <v>13.442487555199705</v>
      </c>
      <c r="AE38" s="242">
        <v>31.547479437899938</v>
      </c>
      <c r="AF38" s="242">
        <v>154.86956939509992</v>
      </c>
      <c r="AG38" s="242">
        <v>119.80010504639995</v>
      </c>
      <c r="AH38" s="242">
        <v>66.405685093500097</v>
      </c>
      <c r="AI38" s="242">
        <v>125.92897175609983</v>
      </c>
      <c r="AJ38" s="242">
        <v>70.954007065100086</v>
      </c>
      <c r="AK38" s="242">
        <v>118.09818876509996</v>
      </c>
      <c r="AL38" s="242">
        <v>5.6797086116998798</v>
      </c>
      <c r="AM38" s="242">
        <v>-36.168584939799985</v>
      </c>
      <c r="AN38" s="242">
        <v>183.43482267474997</v>
      </c>
      <c r="AO38" s="242">
        <v>77.604403563075039</v>
      </c>
      <c r="AP38" s="242">
        <v>-254.74460947680018</v>
      </c>
      <c r="AQ38" s="242">
        <v>-159.87237591234998</v>
      </c>
      <c r="AR38" s="242">
        <v>-400.40140104660009</v>
      </c>
      <c r="AS38" s="242">
        <v>-270.38492588595</v>
      </c>
      <c r="AT38" s="242">
        <v>-109.48732993240014</v>
      </c>
      <c r="AU38" s="242">
        <v>-64.035479460250031</v>
      </c>
      <c r="AV38" s="242">
        <v>-13.980312590650328</v>
      </c>
      <c r="AW38" s="242">
        <v>-40.540610063634972</v>
      </c>
      <c r="AX38" s="242">
        <v>75.312986626599923</v>
      </c>
      <c r="AY38" s="242">
        <v>-11.531682526400118</v>
      </c>
      <c r="BA38" s="80"/>
      <c r="BB38" s="80"/>
    </row>
    <row r="39" spans="2:54">
      <c r="B39" s="218">
        <v>10095</v>
      </c>
      <c r="C39" s="218" t="s">
        <v>42</v>
      </c>
      <c r="D39" s="242">
        <v>403.86336623119996</v>
      </c>
      <c r="E39" s="242">
        <v>117.43565358710009</v>
      </c>
      <c r="F39" s="242">
        <v>22.078436217600029</v>
      </c>
      <c r="G39" s="242">
        <v>-78.031197869799939</v>
      </c>
      <c r="H39" s="242">
        <v>-18.324544176199879</v>
      </c>
      <c r="I39" s="242">
        <v>-20.233548396799733</v>
      </c>
      <c r="J39" s="242">
        <v>118.44621340300023</v>
      </c>
      <c r="K39" s="242">
        <v>13.476404641799945</v>
      </c>
      <c r="L39" s="242">
        <v>267.87912561180042</v>
      </c>
      <c r="M39" s="242">
        <v>110.76056954779995</v>
      </c>
      <c r="N39" s="242">
        <v>158.8307215146001</v>
      </c>
      <c r="O39" s="242">
        <v>-23.410353092399873</v>
      </c>
      <c r="P39" s="242">
        <v>355.0560683655001</v>
      </c>
      <c r="Q39" s="242">
        <v>55.893896429350207</v>
      </c>
      <c r="R39" s="242">
        <v>-15.388130198399949</v>
      </c>
      <c r="S39" s="242">
        <v>-151.41127195429999</v>
      </c>
      <c r="T39" s="242">
        <v>-137.50208823079993</v>
      </c>
      <c r="U39" s="242">
        <v>-140.97107311109983</v>
      </c>
      <c r="V39" s="242">
        <v>150.30801612880009</v>
      </c>
      <c r="W39" s="242">
        <v>30.883068735500046</v>
      </c>
      <c r="X39" s="242">
        <v>188.58492954030021</v>
      </c>
      <c r="Y39" s="242">
        <v>-7.9039015866298996</v>
      </c>
      <c r="Z39" s="242">
        <v>195.86783827080012</v>
      </c>
      <c r="AA39" s="242">
        <v>35.696216156800006</v>
      </c>
      <c r="AB39" s="242">
        <v>446.42836623120002</v>
      </c>
      <c r="AC39" s="242">
        <v>65.975653587100169</v>
      </c>
      <c r="AD39" s="242">
        <v>15.832436217599934</v>
      </c>
      <c r="AE39" s="242">
        <v>-81.740197869799999</v>
      </c>
      <c r="AF39" s="242">
        <v>-26.11054417619971</v>
      </c>
      <c r="AG39" s="242">
        <v>-25.252548396799739</v>
      </c>
      <c r="AH39" s="242">
        <v>125.65821340299999</v>
      </c>
      <c r="AI39" s="242">
        <v>17.704404641800011</v>
      </c>
      <c r="AJ39" s="242">
        <v>244.33666428380025</v>
      </c>
      <c r="AK39" s="242">
        <v>105.1668388838001</v>
      </c>
      <c r="AL39" s="242">
        <v>165.91672151460011</v>
      </c>
      <c r="AM39" s="242">
        <v>-19.316353092399822</v>
      </c>
      <c r="AN39" s="242">
        <v>359.47606836550017</v>
      </c>
      <c r="AO39" s="242">
        <v>58.302896429350199</v>
      </c>
      <c r="AP39" s="242">
        <v>-11.822130198399918</v>
      </c>
      <c r="AQ39" s="242">
        <v>-149.4012719543</v>
      </c>
      <c r="AR39" s="242">
        <v>-135.41208823080001</v>
      </c>
      <c r="AS39" s="242">
        <v>-139.80607311109986</v>
      </c>
      <c r="AT39" s="242">
        <v>153.04901612880008</v>
      </c>
      <c r="AU39" s="242">
        <v>32.446068735500035</v>
      </c>
      <c r="AV39" s="242">
        <v>143.29192954030009</v>
      </c>
      <c r="AW39" s="242">
        <v>40.466098413370105</v>
      </c>
      <c r="AX39" s="242">
        <v>242.11583827080017</v>
      </c>
      <c r="AY39" s="242">
        <v>-10.420783843199956</v>
      </c>
      <c r="BA39" s="80"/>
      <c r="BB39" s="80"/>
    </row>
    <row r="40" spans="2:54">
      <c r="B40" s="218">
        <v>10097</v>
      </c>
      <c r="C40" s="218" t="s">
        <v>43</v>
      </c>
      <c r="D40" s="242">
        <v>142.87907102279996</v>
      </c>
      <c r="E40" s="242">
        <v>72.561105601150018</v>
      </c>
      <c r="F40" s="242">
        <v>20.880432374400016</v>
      </c>
      <c r="G40" s="242">
        <v>76.809111016299994</v>
      </c>
      <c r="H40" s="242">
        <v>279.77368158470017</v>
      </c>
      <c r="I40" s="242">
        <v>303.80258214080004</v>
      </c>
      <c r="J40" s="242">
        <v>245.64695216950008</v>
      </c>
      <c r="K40" s="242">
        <v>322.17037920170003</v>
      </c>
      <c r="L40" s="242">
        <v>155.08216500670005</v>
      </c>
      <c r="M40" s="242">
        <v>187.74471619070005</v>
      </c>
      <c r="N40" s="242">
        <v>48.491866754900116</v>
      </c>
      <c r="O40" s="242">
        <v>71.565563359400016</v>
      </c>
      <c r="P40" s="242">
        <v>74.862321300750068</v>
      </c>
      <c r="Q40" s="242">
        <v>80.129654363275051</v>
      </c>
      <c r="R40" s="242">
        <v>-319.47762292959999</v>
      </c>
      <c r="S40" s="242">
        <v>-182.91745110794994</v>
      </c>
      <c r="T40" s="242">
        <v>-386.95124068019993</v>
      </c>
      <c r="U40" s="242">
        <v>-226.90205790715004</v>
      </c>
      <c r="V40" s="242">
        <v>-234.30887968280001</v>
      </c>
      <c r="W40" s="242">
        <v>-130.01108679424993</v>
      </c>
      <c r="X40" s="242">
        <v>-215.02863148305005</v>
      </c>
      <c r="Y40" s="242">
        <v>-132.6879551735949</v>
      </c>
      <c r="Z40" s="242">
        <v>-146.47305005980002</v>
      </c>
      <c r="AA40" s="242">
        <v>-104.47544570079998</v>
      </c>
      <c r="AB40" s="242">
        <v>143.32884900479996</v>
      </c>
      <c r="AC40" s="242">
        <v>72.813925738399973</v>
      </c>
      <c r="AD40" s="242">
        <v>21.131188710400011</v>
      </c>
      <c r="AE40" s="242">
        <v>77.098171700800094</v>
      </c>
      <c r="AF40" s="242">
        <v>280.56943871519991</v>
      </c>
      <c r="AG40" s="242">
        <v>304.56458529279996</v>
      </c>
      <c r="AH40" s="242">
        <v>246.38910631199997</v>
      </c>
      <c r="AI40" s="242">
        <v>322.96931018719999</v>
      </c>
      <c r="AJ40" s="242">
        <v>151.63468655520012</v>
      </c>
      <c r="AK40" s="242">
        <v>177.67752495519994</v>
      </c>
      <c r="AL40" s="242">
        <v>48.808907198400107</v>
      </c>
      <c r="AM40" s="242">
        <v>71.849352470399936</v>
      </c>
      <c r="AN40" s="242">
        <v>75.194117411999969</v>
      </c>
      <c r="AO40" s="242">
        <v>80.406547632400077</v>
      </c>
      <c r="AP40" s="242">
        <v>-319.89453135360009</v>
      </c>
      <c r="AQ40" s="242">
        <v>-183.13898568719998</v>
      </c>
      <c r="AR40" s="242">
        <v>-387.49024464320007</v>
      </c>
      <c r="AS40" s="242">
        <v>-227.21669543439998</v>
      </c>
      <c r="AT40" s="242">
        <v>-234.5813955648</v>
      </c>
      <c r="AU40" s="242">
        <v>-130.15244810799993</v>
      </c>
      <c r="AV40" s="242">
        <v>-215.26577656879999</v>
      </c>
      <c r="AW40" s="242">
        <v>-132.84182421352</v>
      </c>
      <c r="AX40" s="242">
        <v>-146.59351919680012</v>
      </c>
      <c r="AY40" s="242">
        <v>-104.56813025280002</v>
      </c>
      <c r="BA40" s="80"/>
      <c r="BB40" s="80"/>
    </row>
    <row r="41" spans="2:54">
      <c r="B41" s="218">
        <v>10101</v>
      </c>
      <c r="C41" s="218" t="s">
        <v>44</v>
      </c>
      <c r="D41" s="242">
        <v>5100.3821297067989</v>
      </c>
      <c r="E41" s="242">
        <v>1247.3738226356509</v>
      </c>
      <c r="F41" s="242">
        <v>4504.0537476064055</v>
      </c>
      <c r="G41" s="242">
        <v>3957.9821795053031</v>
      </c>
      <c r="H41" s="242">
        <v>9687.1606511256978</v>
      </c>
      <c r="I41" s="242">
        <v>7124.3286543648028</v>
      </c>
      <c r="J41" s="242">
        <v>7613.4120872545027</v>
      </c>
      <c r="K41" s="242">
        <v>7496.8066972527013</v>
      </c>
      <c r="L41" s="242">
        <v>8243.5843572077065</v>
      </c>
      <c r="M41" s="242">
        <v>7568.0322839116998</v>
      </c>
      <c r="N41" s="242">
        <v>3938.9406434019111</v>
      </c>
      <c r="O41" s="242">
        <v>1986.5879081413987</v>
      </c>
      <c r="P41" s="242">
        <v>2939.2284053232506</v>
      </c>
      <c r="Q41" s="242">
        <v>1490.4393617615278</v>
      </c>
      <c r="R41" s="242">
        <v>-9629.3800068176024</v>
      </c>
      <c r="S41" s="242">
        <v>-5595.2963013464469</v>
      </c>
      <c r="T41" s="242">
        <v>-14106.3983130862</v>
      </c>
      <c r="U41" s="242">
        <v>-8370.5929041216496</v>
      </c>
      <c r="V41" s="242">
        <v>-9763.9697981667996</v>
      </c>
      <c r="W41" s="242">
        <v>-4922.9959456217493</v>
      </c>
      <c r="X41" s="242">
        <v>-8182.601918974553</v>
      </c>
      <c r="Y41" s="242">
        <v>-4900.026770081442</v>
      </c>
      <c r="Z41" s="242">
        <v>-3871.8870998538005</v>
      </c>
      <c r="AA41" s="242">
        <v>-3551.2360247247998</v>
      </c>
      <c r="AB41" s="242">
        <v>5077.3991297067987</v>
      </c>
      <c r="AC41" s="242">
        <v>1271.0398226356519</v>
      </c>
      <c r="AD41" s="242">
        <v>4503.9647476064056</v>
      </c>
      <c r="AE41" s="242">
        <v>3958.2321795052994</v>
      </c>
      <c r="AF41" s="242">
        <v>9686.2956511256998</v>
      </c>
      <c r="AG41" s="242">
        <v>7124.212654364801</v>
      </c>
      <c r="AH41" s="242">
        <v>7612.8140872545046</v>
      </c>
      <c r="AI41" s="242">
        <v>7496.6866972526987</v>
      </c>
      <c r="AJ41" s="242">
        <v>8341.1294268156998</v>
      </c>
      <c r="AK41" s="242">
        <v>7458.2048187156979</v>
      </c>
      <c r="AL41" s="242">
        <v>3939.1206434019041</v>
      </c>
      <c r="AM41" s="242">
        <v>1987.0889081414025</v>
      </c>
      <c r="AN41" s="242">
        <v>2940.2834053232509</v>
      </c>
      <c r="AO41" s="242">
        <v>1491.3533617615285</v>
      </c>
      <c r="AP41" s="242">
        <v>-9628.5700068176011</v>
      </c>
      <c r="AQ41" s="242">
        <v>-5594.459301346451</v>
      </c>
      <c r="AR41" s="242">
        <v>-14105.279313086197</v>
      </c>
      <c r="AS41" s="242">
        <v>-8369.4369041216505</v>
      </c>
      <c r="AT41" s="242">
        <v>-9763.0367981668023</v>
      </c>
      <c r="AU41" s="242">
        <v>-4922.0399456217474</v>
      </c>
      <c r="AV41" s="242">
        <v>-8158.3069189745547</v>
      </c>
      <c r="AW41" s="242">
        <v>-4922.0597700814415</v>
      </c>
      <c r="AX41" s="242">
        <v>-3894.2040998537996</v>
      </c>
      <c r="AY41" s="242">
        <v>-3527.0900247247992</v>
      </c>
      <c r="BA41" s="80"/>
      <c r="BB41" s="80"/>
    </row>
    <row r="42" spans="2:54">
      <c r="B42" s="218">
        <v>10103</v>
      </c>
      <c r="C42" s="218" t="s">
        <v>45</v>
      </c>
      <c r="D42" s="242">
        <v>-2340.9505619245319</v>
      </c>
      <c r="E42" s="242">
        <v>6210.4458479340246</v>
      </c>
      <c r="F42" s="242">
        <v>-218.25134839919338</v>
      </c>
      <c r="G42" s="242">
        <v>11552.031074937899</v>
      </c>
      <c r="H42" s="242">
        <v>9256.3965402781032</v>
      </c>
      <c r="I42" s="242">
        <v>25221.133083297078</v>
      </c>
      <c r="J42" s="242">
        <v>9502.8340919912152</v>
      </c>
      <c r="K42" s="242">
        <v>22558.204970000734</v>
      </c>
      <c r="L42" s="242">
        <v>-4932.3524595914932</v>
      </c>
      <c r="M42" s="242">
        <v>9199.5732206414759</v>
      </c>
      <c r="N42" s="242">
        <v>-15103.946478161648</v>
      </c>
      <c r="O42" s="242">
        <v>-342.2658159562634</v>
      </c>
      <c r="P42" s="242">
        <v>-7716.628100667338</v>
      </c>
      <c r="Q42" s="242">
        <v>-71.016502451719134</v>
      </c>
      <c r="R42" s="242">
        <v>-2925.3068037799094</v>
      </c>
      <c r="S42" s="242">
        <v>8899.4924602423198</v>
      </c>
      <c r="T42" s="242">
        <v>-30948.365961519004</v>
      </c>
      <c r="U42" s="242">
        <v>-7565.3869387403756</v>
      </c>
      <c r="V42" s="242">
        <v>-14317.516802169317</v>
      </c>
      <c r="W42" s="242">
        <v>1826.4688304958254</v>
      </c>
      <c r="X42" s="242">
        <v>-10153.653222647641</v>
      </c>
      <c r="Y42" s="242">
        <v>2910.6254419957113</v>
      </c>
      <c r="Z42" s="242">
        <v>-15628.838178447979</v>
      </c>
      <c r="AA42" s="242">
        <v>-1463.2692470079055</v>
      </c>
      <c r="AB42" s="242">
        <v>234.46236338155722</v>
      </c>
      <c r="AC42" s="242">
        <v>4290.5271861537403</v>
      </c>
      <c r="AD42" s="242">
        <v>268.33383286281605</v>
      </c>
      <c r="AE42" s="242">
        <v>11942.515682900652</v>
      </c>
      <c r="AF42" s="242">
        <v>9842.102454983702</v>
      </c>
      <c r="AG42" s="242">
        <v>25724.840169943905</v>
      </c>
      <c r="AH42" s="242">
        <v>10122.292550933969</v>
      </c>
      <c r="AI42" s="242">
        <v>23046.624139551757</v>
      </c>
      <c r="AJ42" s="242">
        <v>-2253.7767806871998</v>
      </c>
      <c r="AK42" s="242">
        <v>11269.651942712109</v>
      </c>
      <c r="AL42" s="242">
        <v>-14685.249253288232</v>
      </c>
      <c r="AM42" s="242">
        <v>-13.145641596638598</v>
      </c>
      <c r="AN42" s="242">
        <v>-7359.2349842162657</v>
      </c>
      <c r="AO42" s="242">
        <v>190.15539033945242</v>
      </c>
      <c r="AP42" s="242">
        <v>-2440.0643442744622</v>
      </c>
      <c r="AQ42" s="242">
        <v>9282.0874763908505</v>
      </c>
      <c r="AR42" s="242">
        <v>-30614.97686035181</v>
      </c>
      <c r="AS42" s="242">
        <v>-7298.6756578066124</v>
      </c>
      <c r="AT42" s="242">
        <v>-13951.003880628006</v>
      </c>
      <c r="AU42" s="242">
        <v>2115.4501724803195</v>
      </c>
      <c r="AV42" s="242">
        <v>-12007.694223498707</v>
      </c>
      <c r="AW42" s="242">
        <v>5429.3930199436436</v>
      </c>
      <c r="AX42" s="242">
        <v>-13441.577759831001</v>
      </c>
      <c r="AY42" s="242">
        <v>-3105.8231649484806</v>
      </c>
      <c r="BA42" s="80"/>
      <c r="BB42" s="80"/>
    </row>
    <row r="43" spans="2:54">
      <c r="B43" s="218">
        <v>10105</v>
      </c>
      <c r="C43" s="218" t="s">
        <v>46</v>
      </c>
      <c r="D43" s="242">
        <v>1410.0906173095937</v>
      </c>
      <c r="E43" s="242">
        <v>2712.234660649875</v>
      </c>
      <c r="F43" s="242">
        <v>-1985.0087971855228</v>
      </c>
      <c r="G43" s="242">
        <v>736.73509878401092</v>
      </c>
      <c r="H43" s="242">
        <v>-2196.4035982592432</v>
      </c>
      <c r="I43" s="242">
        <v>1540.0658147141967</v>
      </c>
      <c r="J43" s="242">
        <v>-2946.5444834218615</v>
      </c>
      <c r="K43" s="242">
        <v>669.67110396440148</v>
      </c>
      <c r="L43" s="242">
        <v>-1678.3285612990803</v>
      </c>
      <c r="M43" s="242">
        <v>1310.703267153136</v>
      </c>
      <c r="N43" s="242">
        <v>-1446.575472158127</v>
      </c>
      <c r="O43" s="242">
        <v>1153.5029070414512</v>
      </c>
      <c r="P43" s="242">
        <v>1558.0761704395009</v>
      </c>
      <c r="Q43" s="242">
        <v>2244.7366782250656</v>
      </c>
      <c r="R43" s="242">
        <v>-4925.1703571517573</v>
      </c>
      <c r="S43" s="242">
        <v>-1657.142290630929</v>
      </c>
      <c r="T43" s="242">
        <v>-3175.0161448531198</v>
      </c>
      <c r="U43" s="242">
        <v>875.58505945418256</v>
      </c>
      <c r="V43" s="242">
        <v>-1446.6838595396075</v>
      </c>
      <c r="W43" s="242">
        <v>1464.8085438010494</v>
      </c>
      <c r="X43" s="242">
        <v>-566.25361232174509</v>
      </c>
      <c r="Y43" s="242">
        <v>1626.0618317907365</v>
      </c>
      <c r="Z43" s="242">
        <v>55.890483694021896</v>
      </c>
      <c r="AA43" s="242">
        <v>2474.9158121859691</v>
      </c>
      <c r="AB43" s="242">
        <v>2015.5293286517172</v>
      </c>
      <c r="AC43" s="242">
        <v>2243.0641883785302</v>
      </c>
      <c r="AD43" s="242">
        <v>-1746.053410389839</v>
      </c>
      <c r="AE43" s="242">
        <v>839.41214757704984</v>
      </c>
      <c r="AF43" s="242">
        <v>-1937.271630658237</v>
      </c>
      <c r="AG43" s="242">
        <v>1631.8001766604229</v>
      </c>
      <c r="AH43" s="242">
        <v>-2655.6821846736657</v>
      </c>
      <c r="AI43" s="242">
        <v>784.56021797206267</v>
      </c>
      <c r="AJ43" s="242">
        <v>-1018.2888260718137</v>
      </c>
      <c r="AK43" s="242">
        <v>1712.4461192898389</v>
      </c>
      <c r="AL43" s="242">
        <v>-1210.8475057834639</v>
      </c>
      <c r="AM43" s="242">
        <v>1251.2095499235274</v>
      </c>
      <c r="AN43" s="242">
        <v>1674.4441919561159</v>
      </c>
      <c r="AO43" s="242">
        <v>2287.4775029793018</v>
      </c>
      <c r="AP43" s="242">
        <v>-4604.1857580150954</v>
      </c>
      <c r="AQ43" s="242">
        <v>-1489.1837211615775</v>
      </c>
      <c r="AR43" s="242">
        <v>-2888.3628770091545</v>
      </c>
      <c r="AS43" s="242">
        <v>974.29998231151512</v>
      </c>
      <c r="AT43" s="242">
        <v>-1232.9730849655989</v>
      </c>
      <c r="AU43" s="242">
        <v>1533.6820025478773</v>
      </c>
      <c r="AV43" s="242">
        <v>-861.16017439670577</v>
      </c>
      <c r="AW43" s="242">
        <v>2167.2610713193517</v>
      </c>
      <c r="AX43" s="242">
        <v>697.8737863459628</v>
      </c>
      <c r="AY43" s="242">
        <v>2019.4353108681298</v>
      </c>
      <c r="BA43" s="80"/>
      <c r="BB43" s="80"/>
    </row>
    <row r="44" spans="2:54">
      <c r="B44" s="218">
        <v>10106</v>
      </c>
      <c r="C44" s="218" t="s">
        <v>47</v>
      </c>
      <c r="D44" s="242">
        <v>0</v>
      </c>
      <c r="E44" s="242">
        <v>0</v>
      </c>
      <c r="F44" s="242">
        <v>0</v>
      </c>
      <c r="G44" s="242">
        <v>0</v>
      </c>
      <c r="H44" s="242">
        <v>0</v>
      </c>
      <c r="I44" s="242">
        <v>0</v>
      </c>
      <c r="J44" s="242">
        <v>0</v>
      </c>
      <c r="K44" s="242">
        <v>0</v>
      </c>
      <c r="L44" s="242">
        <v>0</v>
      </c>
      <c r="M44" s="242">
        <v>0</v>
      </c>
      <c r="N44" s="242">
        <v>0</v>
      </c>
      <c r="O44" s="242">
        <v>0</v>
      </c>
      <c r="P44" s="242">
        <v>0</v>
      </c>
      <c r="Q44" s="242">
        <v>0</v>
      </c>
      <c r="R44" s="242">
        <v>0</v>
      </c>
      <c r="S44" s="242">
        <v>0</v>
      </c>
      <c r="T44" s="242">
        <v>0</v>
      </c>
      <c r="U44" s="242">
        <v>0</v>
      </c>
      <c r="V44" s="242">
        <v>0</v>
      </c>
      <c r="W44" s="242">
        <v>0</v>
      </c>
      <c r="X44" s="242">
        <v>0</v>
      </c>
      <c r="Y44" s="242">
        <v>0</v>
      </c>
      <c r="Z44" s="242">
        <v>0</v>
      </c>
      <c r="AA44" s="242">
        <v>0</v>
      </c>
      <c r="AB44" s="242">
        <v>0</v>
      </c>
      <c r="AC44" s="242">
        <v>0</v>
      </c>
      <c r="AD44" s="242">
        <v>0</v>
      </c>
      <c r="AE44" s="242">
        <v>0</v>
      </c>
      <c r="AF44" s="242">
        <v>0</v>
      </c>
      <c r="AG44" s="242">
        <v>0</v>
      </c>
      <c r="AH44" s="242">
        <v>0</v>
      </c>
      <c r="AI44" s="242">
        <v>0</v>
      </c>
      <c r="AJ44" s="242">
        <v>0</v>
      </c>
      <c r="AK44" s="242">
        <v>0</v>
      </c>
      <c r="AL44" s="242">
        <v>0</v>
      </c>
      <c r="AM44" s="242">
        <v>0</v>
      </c>
      <c r="AN44" s="242">
        <v>0</v>
      </c>
      <c r="AO44" s="242">
        <v>0</v>
      </c>
      <c r="AP44" s="242">
        <v>0</v>
      </c>
      <c r="AQ44" s="242">
        <v>0</v>
      </c>
      <c r="AR44" s="242">
        <v>0</v>
      </c>
      <c r="AS44" s="242">
        <v>0</v>
      </c>
      <c r="AT44" s="242">
        <v>0</v>
      </c>
      <c r="AU44" s="242">
        <v>0</v>
      </c>
      <c r="AV44" s="242">
        <v>0</v>
      </c>
      <c r="AW44" s="242">
        <v>0</v>
      </c>
      <c r="AX44" s="242">
        <v>0</v>
      </c>
      <c r="AY44" s="242">
        <v>0</v>
      </c>
      <c r="BA44" s="80"/>
      <c r="BB44" s="80"/>
    </row>
    <row r="45" spans="2:54">
      <c r="B45" s="218">
        <v>10109</v>
      </c>
      <c r="C45" s="218" t="s">
        <v>48</v>
      </c>
      <c r="D45" s="242">
        <v>-229.33398816160025</v>
      </c>
      <c r="E45" s="242">
        <v>-40.118745067799864</v>
      </c>
      <c r="F45" s="242">
        <v>-1747.3294599168007</v>
      </c>
      <c r="G45" s="242">
        <v>-874.58637934360013</v>
      </c>
      <c r="H45" s="242">
        <v>-1112.8623338284006</v>
      </c>
      <c r="I45" s="242">
        <v>-47.451784857599705</v>
      </c>
      <c r="J45" s="242">
        <v>-1291.6207062539997</v>
      </c>
      <c r="K45" s="242">
        <v>-426.64660255240051</v>
      </c>
      <c r="L45" s="242">
        <v>-1794.1909300124003</v>
      </c>
      <c r="M45" s="242">
        <v>-709.34180086040033</v>
      </c>
      <c r="N45" s="242">
        <v>-1640.2172302628005</v>
      </c>
      <c r="O45" s="242">
        <v>-774.58620233679994</v>
      </c>
      <c r="P45" s="242">
        <v>807.64421692100041</v>
      </c>
      <c r="Q45" s="242">
        <v>563.18578502169976</v>
      </c>
      <c r="R45" s="242">
        <v>460.66901557119945</v>
      </c>
      <c r="S45" s="242">
        <v>652.66515167740044</v>
      </c>
      <c r="T45" s="242">
        <v>604.6084021543993</v>
      </c>
      <c r="U45" s="242">
        <v>1260.3217164997995</v>
      </c>
      <c r="V45" s="242">
        <v>1306.7843056816</v>
      </c>
      <c r="W45" s="242">
        <v>1209.0288602609999</v>
      </c>
      <c r="X45" s="242">
        <v>1567.4913817745992</v>
      </c>
      <c r="Y45" s="242">
        <v>1144.0423502093404</v>
      </c>
      <c r="Z45" s="242">
        <v>363.89489712560044</v>
      </c>
      <c r="AA45" s="242">
        <v>748.18996517760024</v>
      </c>
      <c r="AB45" s="242">
        <v>-62.379988161600522</v>
      </c>
      <c r="AC45" s="242">
        <v>-227.71174506780017</v>
      </c>
      <c r="AD45" s="242">
        <v>-1758.9044599168001</v>
      </c>
      <c r="AE45" s="242">
        <v>-887.77837934360014</v>
      </c>
      <c r="AF45" s="242">
        <v>-1147.2793338284</v>
      </c>
      <c r="AG45" s="242">
        <v>-79.124784857599479</v>
      </c>
      <c r="AH45" s="242">
        <v>-1321.1447062539992</v>
      </c>
      <c r="AI45" s="242">
        <v>-453.41560255240074</v>
      </c>
      <c r="AJ45" s="242">
        <v>-1608.1413861084002</v>
      </c>
      <c r="AK45" s="242">
        <v>-578.1515289084</v>
      </c>
      <c r="AL45" s="242">
        <v>-1653.6702302628</v>
      </c>
      <c r="AM45" s="242">
        <v>-788.76420233679983</v>
      </c>
      <c r="AN45" s="242">
        <v>802.21921692099932</v>
      </c>
      <c r="AO45" s="242">
        <v>554.84378502170057</v>
      </c>
      <c r="AP45" s="242">
        <v>456.11401557119916</v>
      </c>
      <c r="AQ45" s="242">
        <v>644.19815167739989</v>
      </c>
      <c r="AR45" s="242">
        <v>599.46440215439998</v>
      </c>
      <c r="AS45" s="242">
        <v>1252.2017164997997</v>
      </c>
      <c r="AT45" s="242">
        <v>1290.4083056816007</v>
      </c>
      <c r="AU45" s="242">
        <v>1190.466860261</v>
      </c>
      <c r="AV45" s="242">
        <v>1281.3633817745986</v>
      </c>
      <c r="AW45" s="242">
        <v>1397.5303502093398</v>
      </c>
      <c r="AX45" s="242">
        <v>584.50689712560052</v>
      </c>
      <c r="AY45" s="242">
        <v>517.89496517760017</v>
      </c>
      <c r="BA45" s="80"/>
      <c r="BB45" s="80"/>
    </row>
    <row r="46" spans="2:54">
      <c r="B46" s="218">
        <v>10111</v>
      </c>
      <c r="C46" s="218" t="s">
        <v>49</v>
      </c>
      <c r="D46" s="242">
        <v>-138.5613963876001</v>
      </c>
      <c r="E46" s="242">
        <v>-35.644354094550067</v>
      </c>
      <c r="F46" s="242">
        <v>-335.52782236480016</v>
      </c>
      <c r="G46" s="242">
        <v>-102.32370002710002</v>
      </c>
      <c r="H46" s="242">
        <v>11.230283310100049</v>
      </c>
      <c r="I46" s="242">
        <v>285.94219960639998</v>
      </c>
      <c r="J46" s="242">
        <v>-89.966690631499887</v>
      </c>
      <c r="K46" s="242">
        <v>153.31890132109993</v>
      </c>
      <c r="L46" s="242">
        <v>-291.58516986389986</v>
      </c>
      <c r="M46" s="242">
        <v>-11.32945999190008</v>
      </c>
      <c r="N46" s="242">
        <v>-344.5360780832998</v>
      </c>
      <c r="O46" s="242">
        <v>-78.182911609800044</v>
      </c>
      <c r="P46" s="242">
        <v>-16.969293987750007</v>
      </c>
      <c r="Q46" s="242">
        <v>18.786201636825126</v>
      </c>
      <c r="R46" s="242">
        <v>-253.11886219680014</v>
      </c>
      <c r="S46" s="242">
        <v>-94.173413289849918</v>
      </c>
      <c r="T46" s="242">
        <v>-229.6345199366001</v>
      </c>
      <c r="U46" s="242">
        <v>25.064948296549915</v>
      </c>
      <c r="V46" s="242">
        <v>322.06019360759979</v>
      </c>
      <c r="W46" s="242">
        <v>333.06168112724993</v>
      </c>
      <c r="X46" s="242">
        <v>349.22933483685006</v>
      </c>
      <c r="Y46" s="242">
        <v>283.19931873861503</v>
      </c>
      <c r="Z46" s="242">
        <v>50.323912516599876</v>
      </c>
      <c r="AA46" s="242">
        <v>189.73378091359996</v>
      </c>
      <c r="AB46" s="242">
        <v>-94.178374002000055</v>
      </c>
      <c r="AC46" s="242">
        <v>-78.45889798474991</v>
      </c>
      <c r="AD46" s="242">
        <v>-337.75061729599997</v>
      </c>
      <c r="AE46" s="242">
        <v>-103.85905147950007</v>
      </c>
      <c r="AF46" s="242">
        <v>-5.568910985499997</v>
      </c>
      <c r="AG46" s="242">
        <v>272.31080212799986</v>
      </c>
      <c r="AH46" s="242">
        <v>-102.07696731749979</v>
      </c>
      <c r="AI46" s="242">
        <v>144.45664610949996</v>
      </c>
      <c r="AJ46" s="242">
        <v>-264.46751633550002</v>
      </c>
      <c r="AK46" s="242">
        <v>10.817905164499848</v>
      </c>
      <c r="AL46" s="242">
        <v>-347.88904572850015</v>
      </c>
      <c r="AM46" s="242">
        <v>-80.57448032100001</v>
      </c>
      <c r="AN46" s="242">
        <v>-17.638257098750046</v>
      </c>
      <c r="AO46" s="242">
        <v>18.367116252125015</v>
      </c>
      <c r="AP46" s="242">
        <v>-251.05658893600025</v>
      </c>
      <c r="AQ46" s="242">
        <v>-92.652240953250043</v>
      </c>
      <c r="AR46" s="242">
        <v>-227.80352310700005</v>
      </c>
      <c r="AS46" s="242">
        <v>26.537238274749939</v>
      </c>
      <c r="AT46" s="242">
        <v>323.94338090199994</v>
      </c>
      <c r="AU46" s="242">
        <v>334.45579207625008</v>
      </c>
      <c r="AV46" s="242">
        <v>280.67101876824972</v>
      </c>
      <c r="AW46" s="242">
        <v>354.58142350667504</v>
      </c>
      <c r="AX46" s="242">
        <v>109.74793720699972</v>
      </c>
      <c r="AY46" s="242">
        <v>133.38143327199987</v>
      </c>
      <c r="BA46" s="80"/>
      <c r="BB46" s="80"/>
    </row>
    <row r="47" spans="2:54">
      <c r="B47" s="218">
        <v>10112</v>
      </c>
      <c r="C47" s="218" t="s">
        <v>50</v>
      </c>
      <c r="D47" s="242">
        <v>4569.731523915194</v>
      </c>
      <c r="E47" s="242">
        <v>1209.1396157465988</v>
      </c>
      <c r="F47" s="242">
        <v>-1453.5390965504012</v>
      </c>
      <c r="G47" s="242">
        <v>-264.66189413080065</v>
      </c>
      <c r="H47" s="242">
        <v>2543.168207614799</v>
      </c>
      <c r="I47" s="242">
        <v>2275.5581878271987</v>
      </c>
      <c r="J47" s="242">
        <v>836.7965647380006</v>
      </c>
      <c r="K47" s="242">
        <v>2443.5223024427978</v>
      </c>
      <c r="L47" s="242">
        <v>-11.660014937198866</v>
      </c>
      <c r="M47" s="242">
        <v>1512.9995245187984</v>
      </c>
      <c r="N47" s="242">
        <v>-443.71694108839802</v>
      </c>
      <c r="O47" s="242">
        <v>-904.33411881039865</v>
      </c>
      <c r="P47" s="242">
        <v>3500.5705405130029</v>
      </c>
      <c r="Q47" s="242">
        <v>1279.6526236401005</v>
      </c>
      <c r="R47" s="242">
        <v>-4723.6831820864027</v>
      </c>
      <c r="S47" s="242">
        <v>-2828.5809363177996</v>
      </c>
      <c r="T47" s="242">
        <v>-5145.5813641368004</v>
      </c>
      <c r="U47" s="242">
        <v>-3142.3135194506012</v>
      </c>
      <c r="V47" s="242">
        <v>-296.31055135520364</v>
      </c>
      <c r="W47" s="242">
        <v>461.23443553300058</v>
      </c>
      <c r="X47" s="242">
        <v>1453.9596136737964</v>
      </c>
      <c r="Y47" s="242">
        <v>938.13500309302071</v>
      </c>
      <c r="Z47" s="242">
        <v>1435.1250419767966</v>
      </c>
      <c r="AA47" s="242">
        <v>128.86667313279941</v>
      </c>
      <c r="AB47" s="242">
        <v>4727.3505239151964</v>
      </c>
      <c r="AC47" s="242">
        <v>1301.3276157465989</v>
      </c>
      <c r="AD47" s="242">
        <v>-1301.8830965504021</v>
      </c>
      <c r="AE47" s="242">
        <v>-162.21989413079791</v>
      </c>
      <c r="AF47" s="242">
        <v>2707.1432076147976</v>
      </c>
      <c r="AG47" s="242">
        <v>2385.6111878271986</v>
      </c>
      <c r="AH47" s="242">
        <v>1000.5465647380006</v>
      </c>
      <c r="AI47" s="242">
        <v>2554.549302442796</v>
      </c>
      <c r="AJ47" s="242">
        <v>265.25652077480117</v>
      </c>
      <c r="AK47" s="242">
        <v>1567.8847923747962</v>
      </c>
      <c r="AL47" s="242">
        <v>-283.72994108840066</v>
      </c>
      <c r="AM47" s="242">
        <v>-804.8111188103976</v>
      </c>
      <c r="AN47" s="242">
        <v>3657.4025405130014</v>
      </c>
      <c r="AO47" s="242">
        <v>1375.0276236401005</v>
      </c>
      <c r="AP47" s="242">
        <v>-4551.0701820864015</v>
      </c>
      <c r="AQ47" s="242">
        <v>-2714.9669363177982</v>
      </c>
      <c r="AR47" s="242">
        <v>-4965.2353641368027</v>
      </c>
      <c r="AS47" s="242">
        <v>-3035.7665194506008</v>
      </c>
      <c r="AT47" s="242">
        <v>-117.81255135520405</v>
      </c>
      <c r="AU47" s="242">
        <v>574.20443553299992</v>
      </c>
      <c r="AV47" s="242">
        <v>1639.3486136737956</v>
      </c>
      <c r="AW47" s="242">
        <v>1045.9190030930222</v>
      </c>
      <c r="AX47" s="242">
        <v>1609.0330419767961</v>
      </c>
      <c r="AY47" s="242">
        <v>240.26067313279964</v>
      </c>
      <c r="BA47" s="80"/>
      <c r="BB47" s="80"/>
    </row>
    <row r="48" spans="2:54">
      <c r="B48" s="218">
        <v>10113</v>
      </c>
      <c r="C48" s="218" t="s">
        <v>51</v>
      </c>
      <c r="D48" s="242">
        <v>-214.99635371040131</v>
      </c>
      <c r="E48" s="242">
        <v>-442.11203915819897</v>
      </c>
      <c r="F48" s="242">
        <v>-8345.4831771392019</v>
      </c>
      <c r="G48" s="242">
        <v>-5223.1857264683995</v>
      </c>
      <c r="H48" s="242">
        <v>-9513.8650975995988</v>
      </c>
      <c r="I48" s="242">
        <v>-5489.5227593343998</v>
      </c>
      <c r="J48" s="242">
        <v>-10444.170267926</v>
      </c>
      <c r="K48" s="242">
        <v>-6107.0087779555988</v>
      </c>
      <c r="L48" s="242">
        <v>-9898.3340086955977</v>
      </c>
      <c r="M48" s="242">
        <v>-5374.2768140075996</v>
      </c>
      <c r="N48" s="242">
        <v>-8823.0733546131996</v>
      </c>
      <c r="O48" s="242">
        <v>-5628.8691761191994</v>
      </c>
      <c r="P48" s="242">
        <v>-655.13186385099834</v>
      </c>
      <c r="Q48" s="242">
        <v>-1225.4311172826983</v>
      </c>
      <c r="R48" s="242">
        <v>3878.0245723327971</v>
      </c>
      <c r="S48" s="242">
        <v>2563.5021425806008</v>
      </c>
      <c r="T48" s="242">
        <v>7993.8127036936021</v>
      </c>
      <c r="U48" s="242">
        <v>6918.8685991662005</v>
      </c>
      <c r="V48" s="242">
        <v>16956.053694590402</v>
      </c>
      <c r="W48" s="242">
        <v>12441.390170609002</v>
      </c>
      <c r="X48" s="242">
        <v>14246.916328807401</v>
      </c>
      <c r="Y48" s="242">
        <v>8953.1897106884608</v>
      </c>
      <c r="Z48" s="242">
        <v>1935.8193946264</v>
      </c>
      <c r="AA48" s="242">
        <v>1502.4931134144008</v>
      </c>
      <c r="AB48" s="242">
        <v>211.7506462895999</v>
      </c>
      <c r="AC48" s="242">
        <v>-999.63703915819951</v>
      </c>
      <c r="AD48" s="242">
        <v>-8422.6041771392029</v>
      </c>
      <c r="AE48" s="242">
        <v>-5298.5837264683996</v>
      </c>
      <c r="AF48" s="242">
        <v>-9582.3140975995993</v>
      </c>
      <c r="AG48" s="242">
        <v>-5563.1647593344014</v>
      </c>
      <c r="AH48" s="242">
        <v>-10511.829267926001</v>
      </c>
      <c r="AI48" s="242">
        <v>-6176.4377779555998</v>
      </c>
      <c r="AJ48" s="242">
        <v>-9487.8949529195979</v>
      </c>
      <c r="AK48" s="242">
        <v>-5138.8642861196004</v>
      </c>
      <c r="AL48" s="242">
        <v>-8897.1363546132015</v>
      </c>
      <c r="AM48" s="242">
        <v>-5702.456176119199</v>
      </c>
      <c r="AN48" s="242">
        <v>-699.74386385099751</v>
      </c>
      <c r="AO48" s="242">
        <v>-1278.8311172826971</v>
      </c>
      <c r="AP48" s="242">
        <v>3884.6695723327975</v>
      </c>
      <c r="AQ48" s="242">
        <v>2541.155142580601</v>
      </c>
      <c r="AR48" s="242">
        <v>8042.0607036936017</v>
      </c>
      <c r="AS48" s="242">
        <v>6928.0605991661996</v>
      </c>
      <c r="AT48" s="242">
        <v>17045.499694590406</v>
      </c>
      <c r="AU48" s="242">
        <v>12478.716170609003</v>
      </c>
      <c r="AV48" s="242">
        <v>13216.145328807401</v>
      </c>
      <c r="AW48" s="242">
        <v>10054.122710688462</v>
      </c>
      <c r="AX48" s="242">
        <v>2527.7563946263999</v>
      </c>
      <c r="AY48" s="242">
        <v>830.24611341440141</v>
      </c>
      <c r="BA48" s="80"/>
      <c r="BB48" s="80"/>
    </row>
    <row r="49" spans="2:54">
      <c r="B49" s="218">
        <v>10116</v>
      </c>
      <c r="C49" s="218" t="s">
        <v>52</v>
      </c>
      <c r="D49" s="242">
        <v>18.542057637200003</v>
      </c>
      <c r="E49" s="242">
        <v>20.962580866350002</v>
      </c>
      <c r="F49" s="242">
        <v>-7.0859406944000085</v>
      </c>
      <c r="G49" s="242">
        <v>7.9651202187000081</v>
      </c>
      <c r="H49" s="242">
        <v>-7.2026893696999963</v>
      </c>
      <c r="I49" s="242">
        <v>7.6264036192000049</v>
      </c>
      <c r="J49" s="242">
        <v>-9.6668423944999944</v>
      </c>
      <c r="K49" s="242">
        <v>11.670141663300001</v>
      </c>
      <c r="L49" s="242">
        <v>2.0891331083000182</v>
      </c>
      <c r="M49" s="242">
        <v>15.848166724299993</v>
      </c>
      <c r="N49" s="242">
        <v>1.3856126501000006</v>
      </c>
      <c r="O49" s="242">
        <v>6.0365765706000047</v>
      </c>
      <c r="P49" s="242">
        <v>20.037228786750006</v>
      </c>
      <c r="Q49" s="242">
        <v>18.794105185475004</v>
      </c>
      <c r="R49" s="242">
        <v>-19.591684190400002</v>
      </c>
      <c r="S49" s="242">
        <v>-5.0173338195499895</v>
      </c>
      <c r="T49" s="242">
        <v>-20.836256009799996</v>
      </c>
      <c r="U49" s="242">
        <v>-1.4835842603499998</v>
      </c>
      <c r="V49" s="242">
        <v>-10.093125977200003</v>
      </c>
      <c r="W49" s="242">
        <v>-0.94754086824999462</v>
      </c>
      <c r="X49" s="242">
        <v>-17.629772539450002</v>
      </c>
      <c r="Y49" s="242">
        <v>-3.275539979154992</v>
      </c>
      <c r="Z49" s="242">
        <v>5.1814937497999978</v>
      </c>
      <c r="AA49" s="242">
        <v>5.5641779408000005</v>
      </c>
      <c r="AB49" s="242">
        <v>18.542057637200003</v>
      </c>
      <c r="AC49" s="242">
        <v>20.962580866350002</v>
      </c>
      <c r="AD49" s="242">
        <v>-7.0859406944000085</v>
      </c>
      <c r="AE49" s="242">
        <v>7.9651202187000081</v>
      </c>
      <c r="AF49" s="242">
        <v>-7.2026893696999963</v>
      </c>
      <c r="AG49" s="242">
        <v>7.6264036192000049</v>
      </c>
      <c r="AH49" s="242">
        <v>-9.6668423944999944</v>
      </c>
      <c r="AI49" s="242">
        <v>11.670141663300001</v>
      </c>
      <c r="AJ49" s="242">
        <v>1.9914801402999984</v>
      </c>
      <c r="AK49" s="242">
        <v>15.021340240299992</v>
      </c>
      <c r="AL49" s="242">
        <v>1.3856126501000006</v>
      </c>
      <c r="AM49" s="242">
        <v>6.0365765706000047</v>
      </c>
      <c r="AN49" s="242">
        <v>20.037228786750006</v>
      </c>
      <c r="AO49" s="242">
        <v>18.794105185475004</v>
      </c>
      <c r="AP49" s="242">
        <v>-19.591684190400002</v>
      </c>
      <c r="AQ49" s="242">
        <v>-5.0173338195499895</v>
      </c>
      <c r="AR49" s="242">
        <v>-20.836256009799996</v>
      </c>
      <c r="AS49" s="242">
        <v>-1.4835842603499998</v>
      </c>
      <c r="AT49" s="242">
        <v>-10.093125977200003</v>
      </c>
      <c r="AU49" s="242">
        <v>-0.94754086824999462</v>
      </c>
      <c r="AV49" s="242">
        <v>-17.629772539450002</v>
      </c>
      <c r="AW49" s="242">
        <v>-3.275539979154992</v>
      </c>
      <c r="AX49" s="242">
        <v>5.1814937497999978</v>
      </c>
      <c r="AY49" s="242">
        <v>5.5641779408000005</v>
      </c>
      <c r="BA49" s="80"/>
      <c r="BB49" s="80"/>
    </row>
    <row r="50" spans="2:54">
      <c r="B50" s="218">
        <v>10118</v>
      </c>
      <c r="C50" s="218" t="s">
        <v>53</v>
      </c>
      <c r="D50" s="242">
        <v>0</v>
      </c>
      <c r="E50" s="242">
        <v>0</v>
      </c>
      <c r="F50" s="242">
        <v>0</v>
      </c>
      <c r="G50" s="242">
        <v>0</v>
      </c>
      <c r="H50" s="242">
        <v>0</v>
      </c>
      <c r="I50" s="242">
        <v>0</v>
      </c>
      <c r="J50" s="242">
        <v>0</v>
      </c>
      <c r="K50" s="242">
        <v>0</v>
      </c>
      <c r="L50" s="242">
        <v>0</v>
      </c>
      <c r="M50" s="242">
        <v>0</v>
      </c>
      <c r="N50" s="242">
        <v>0</v>
      </c>
      <c r="O50" s="242">
        <v>0</v>
      </c>
      <c r="P50" s="242">
        <v>0</v>
      </c>
      <c r="Q50" s="242">
        <v>0</v>
      </c>
      <c r="R50" s="242">
        <v>0</v>
      </c>
      <c r="S50" s="242">
        <v>0</v>
      </c>
      <c r="T50" s="242">
        <v>0</v>
      </c>
      <c r="U50" s="242">
        <v>0</v>
      </c>
      <c r="V50" s="242">
        <v>0</v>
      </c>
      <c r="W50" s="242">
        <v>0</v>
      </c>
      <c r="X50" s="242">
        <v>0</v>
      </c>
      <c r="Y50" s="242">
        <v>0</v>
      </c>
      <c r="Z50" s="242">
        <v>0</v>
      </c>
      <c r="AA50" s="242">
        <v>0</v>
      </c>
      <c r="AB50" s="242">
        <v>0</v>
      </c>
      <c r="AC50" s="242">
        <v>0</v>
      </c>
      <c r="AD50" s="242">
        <v>0</v>
      </c>
      <c r="AE50" s="242">
        <v>0</v>
      </c>
      <c r="AF50" s="242">
        <v>0</v>
      </c>
      <c r="AG50" s="242">
        <v>0</v>
      </c>
      <c r="AH50" s="242">
        <v>0</v>
      </c>
      <c r="AI50" s="242">
        <v>0</v>
      </c>
      <c r="AJ50" s="242">
        <v>0</v>
      </c>
      <c r="AK50" s="242">
        <v>0</v>
      </c>
      <c r="AL50" s="242">
        <v>0</v>
      </c>
      <c r="AM50" s="242">
        <v>0</v>
      </c>
      <c r="AN50" s="242">
        <v>0</v>
      </c>
      <c r="AO50" s="242">
        <v>0</v>
      </c>
      <c r="AP50" s="242">
        <v>0</v>
      </c>
      <c r="AQ50" s="242">
        <v>0</v>
      </c>
      <c r="AR50" s="242">
        <v>0</v>
      </c>
      <c r="AS50" s="242">
        <v>0</v>
      </c>
      <c r="AT50" s="242">
        <v>0</v>
      </c>
      <c r="AU50" s="242">
        <v>0</v>
      </c>
      <c r="AV50" s="242">
        <v>0</v>
      </c>
      <c r="AW50" s="242">
        <v>0</v>
      </c>
      <c r="AX50" s="242">
        <v>0</v>
      </c>
      <c r="AY50" s="242">
        <v>0</v>
      </c>
      <c r="BA50" s="80"/>
      <c r="BB50" s="80"/>
    </row>
    <row r="51" spans="2:54">
      <c r="B51" s="218">
        <v>10121</v>
      </c>
      <c r="C51" s="218" t="s">
        <v>54</v>
      </c>
      <c r="D51" s="242">
        <v>0</v>
      </c>
      <c r="E51" s="242">
        <v>0</v>
      </c>
      <c r="F51" s="242">
        <v>0</v>
      </c>
      <c r="G51" s="242">
        <v>0</v>
      </c>
      <c r="H51" s="242">
        <v>0</v>
      </c>
      <c r="I51" s="242">
        <v>0</v>
      </c>
      <c r="J51" s="242">
        <v>0</v>
      </c>
      <c r="K51" s="242">
        <v>0</v>
      </c>
      <c r="L51" s="242">
        <v>0</v>
      </c>
      <c r="M51" s="242">
        <v>0</v>
      </c>
      <c r="N51" s="242">
        <v>0</v>
      </c>
      <c r="O51" s="242">
        <v>0</v>
      </c>
      <c r="P51" s="242">
        <v>0</v>
      </c>
      <c r="Q51" s="242">
        <v>0</v>
      </c>
      <c r="R51" s="242">
        <v>0</v>
      </c>
      <c r="S51" s="242">
        <v>0</v>
      </c>
      <c r="T51" s="242">
        <v>0</v>
      </c>
      <c r="U51" s="242">
        <v>0</v>
      </c>
      <c r="V51" s="242">
        <v>0</v>
      </c>
      <c r="W51" s="242">
        <v>0</v>
      </c>
      <c r="X51" s="242">
        <v>0</v>
      </c>
      <c r="Y51" s="242">
        <v>0</v>
      </c>
      <c r="Z51" s="242">
        <v>0</v>
      </c>
      <c r="AA51" s="242">
        <v>0</v>
      </c>
      <c r="AB51" s="242">
        <v>0</v>
      </c>
      <c r="AC51" s="242">
        <v>0</v>
      </c>
      <c r="AD51" s="242">
        <v>0</v>
      </c>
      <c r="AE51" s="242">
        <v>0</v>
      </c>
      <c r="AF51" s="242">
        <v>0</v>
      </c>
      <c r="AG51" s="242">
        <v>0</v>
      </c>
      <c r="AH51" s="242">
        <v>0</v>
      </c>
      <c r="AI51" s="242">
        <v>0</v>
      </c>
      <c r="AJ51" s="242">
        <v>0</v>
      </c>
      <c r="AK51" s="242">
        <v>0</v>
      </c>
      <c r="AL51" s="242">
        <v>0</v>
      </c>
      <c r="AM51" s="242">
        <v>0</v>
      </c>
      <c r="AN51" s="242">
        <v>0</v>
      </c>
      <c r="AO51" s="242">
        <v>0</v>
      </c>
      <c r="AP51" s="242">
        <v>0</v>
      </c>
      <c r="AQ51" s="242">
        <v>0</v>
      </c>
      <c r="AR51" s="242">
        <v>0</v>
      </c>
      <c r="AS51" s="242">
        <v>0</v>
      </c>
      <c r="AT51" s="242">
        <v>0</v>
      </c>
      <c r="AU51" s="242">
        <v>0</v>
      </c>
      <c r="AV51" s="242">
        <v>0</v>
      </c>
      <c r="AW51" s="242">
        <v>0</v>
      </c>
      <c r="AX51" s="242">
        <v>0</v>
      </c>
      <c r="AY51" s="242">
        <v>0</v>
      </c>
      <c r="BA51" s="80"/>
      <c r="BB51" s="80"/>
    </row>
    <row r="52" spans="2:54">
      <c r="B52" s="218">
        <v>10123</v>
      </c>
      <c r="C52" s="218" t="s">
        <v>55</v>
      </c>
      <c r="D52" s="242">
        <v>11038.34750053368</v>
      </c>
      <c r="E52" s="242">
        <v>20980.840460664062</v>
      </c>
      <c r="F52" s="242">
        <v>-11365.792744610415</v>
      </c>
      <c r="G52" s="242">
        <v>8751.0047905487154</v>
      </c>
      <c r="H52" s="242">
        <v>-16613.903442075825</v>
      </c>
      <c r="I52" s="242">
        <v>12017.002747874882</v>
      </c>
      <c r="J52" s="242">
        <v>-21140.664858383505</v>
      </c>
      <c r="K52" s="242">
        <v>6291.1390165554039</v>
      </c>
      <c r="L52" s="242">
        <v>-17679.309630019008</v>
      </c>
      <c r="M52" s="242">
        <v>6499.7889638772613</v>
      </c>
      <c r="N52" s="242">
        <v>-19432.443578941005</v>
      </c>
      <c r="O52" s="242">
        <v>2297.0041766334762</v>
      </c>
      <c r="P52" s="242">
        <v>7131.0180222046329</v>
      </c>
      <c r="Q52" s="242">
        <v>13696.770196104531</v>
      </c>
      <c r="R52" s="242">
        <v>-20471.832734070587</v>
      </c>
      <c r="S52" s="242">
        <v>936.50931930021034</v>
      </c>
      <c r="T52" s="242">
        <v>-31430.014235223614</v>
      </c>
      <c r="U52" s="242">
        <v>1058.3440981103195</v>
      </c>
      <c r="V52" s="242">
        <v>-8437.5295673152432</v>
      </c>
      <c r="W52" s="242">
        <v>13334.834355208441</v>
      </c>
      <c r="X52" s="242">
        <v>-2849.1465692685742</v>
      </c>
      <c r="Y52" s="242">
        <v>13553.719312598187</v>
      </c>
      <c r="Z52" s="242">
        <v>631.94188103660417</v>
      </c>
      <c r="AA52" s="242">
        <v>19163.810212328084</v>
      </c>
      <c r="AB52" s="242">
        <v>16850.356090040543</v>
      </c>
      <c r="AC52" s="242">
        <v>18876.766972759207</v>
      </c>
      <c r="AD52" s="242">
        <v>-11255.68120711403</v>
      </c>
      <c r="AE52" s="242">
        <v>10052.794932805278</v>
      </c>
      <c r="AF52" s="242">
        <v>-16827.754238221198</v>
      </c>
      <c r="AG52" s="242">
        <v>13619.070075210067</v>
      </c>
      <c r="AH52" s="242">
        <v>-21635.628566195432</v>
      </c>
      <c r="AI52" s="242">
        <v>7459.734020700198</v>
      </c>
      <c r="AJ52" s="242">
        <v>-14371.014225473307</v>
      </c>
      <c r="AK52" s="242">
        <v>10313.558561988408</v>
      </c>
      <c r="AL52" s="242">
        <v>-19882.596346813312</v>
      </c>
      <c r="AM52" s="242">
        <v>3136.2133515696187</v>
      </c>
      <c r="AN52" s="242">
        <v>8490.8051809268072</v>
      </c>
      <c r="AO52" s="242">
        <v>15266.594668343416</v>
      </c>
      <c r="AP52" s="242">
        <v>-21024.724974013821</v>
      </c>
      <c r="AQ52" s="242">
        <v>1660.0721569894522</v>
      </c>
      <c r="AR52" s="242">
        <v>-32763.082424600798</v>
      </c>
      <c r="AS52" s="242">
        <v>1770.9022302762314</v>
      </c>
      <c r="AT52" s="242">
        <v>-8163.0171692857693</v>
      </c>
      <c r="AU52" s="242">
        <v>14908.331130891122</v>
      </c>
      <c r="AV52" s="242">
        <v>-6316.8026252077834</v>
      </c>
      <c r="AW52" s="242">
        <v>19263.669832958753</v>
      </c>
      <c r="AX52" s="242">
        <v>5651.361513000782</v>
      </c>
      <c r="AY52" s="242">
        <v>16966.968410540154</v>
      </c>
      <c r="BA52" s="80"/>
      <c r="BB52" s="80"/>
    </row>
    <row r="53" spans="2:54">
      <c r="B53" s="218">
        <v>10136</v>
      </c>
      <c r="C53" s="218" t="s">
        <v>56</v>
      </c>
      <c r="D53" s="242">
        <v>0</v>
      </c>
      <c r="E53" s="242">
        <v>0</v>
      </c>
      <c r="F53" s="242">
        <v>0</v>
      </c>
      <c r="G53" s="242">
        <v>0</v>
      </c>
      <c r="H53" s="242">
        <v>0</v>
      </c>
      <c r="I53" s="242">
        <v>0</v>
      </c>
      <c r="J53" s="242">
        <v>0</v>
      </c>
      <c r="K53" s="242">
        <v>0</v>
      </c>
      <c r="L53" s="242">
        <v>0</v>
      </c>
      <c r="M53" s="242">
        <v>0</v>
      </c>
      <c r="N53" s="242">
        <v>0</v>
      </c>
      <c r="O53" s="242">
        <v>0</v>
      </c>
      <c r="P53" s="242">
        <v>0</v>
      </c>
      <c r="Q53" s="242">
        <v>0</v>
      </c>
      <c r="R53" s="242">
        <v>0</v>
      </c>
      <c r="S53" s="242">
        <v>0</v>
      </c>
      <c r="T53" s="242">
        <v>0</v>
      </c>
      <c r="U53" s="242">
        <v>0</v>
      </c>
      <c r="V53" s="242">
        <v>0</v>
      </c>
      <c r="W53" s="242">
        <v>0</v>
      </c>
      <c r="X53" s="242">
        <v>0</v>
      </c>
      <c r="Y53" s="242">
        <v>0</v>
      </c>
      <c r="Z53" s="242">
        <v>0</v>
      </c>
      <c r="AA53" s="242">
        <v>0</v>
      </c>
      <c r="AB53" s="242">
        <v>0</v>
      </c>
      <c r="AC53" s="242">
        <v>0</v>
      </c>
      <c r="AD53" s="242">
        <v>0</v>
      </c>
      <c r="AE53" s="242">
        <v>0</v>
      </c>
      <c r="AF53" s="242">
        <v>0</v>
      </c>
      <c r="AG53" s="242">
        <v>0</v>
      </c>
      <c r="AH53" s="242">
        <v>0</v>
      </c>
      <c r="AI53" s="242">
        <v>0</v>
      </c>
      <c r="AJ53" s="242">
        <v>0</v>
      </c>
      <c r="AK53" s="242">
        <v>0</v>
      </c>
      <c r="AL53" s="242">
        <v>0</v>
      </c>
      <c r="AM53" s="242">
        <v>0</v>
      </c>
      <c r="AN53" s="242">
        <v>0</v>
      </c>
      <c r="AO53" s="242">
        <v>0</v>
      </c>
      <c r="AP53" s="242">
        <v>0</v>
      </c>
      <c r="AQ53" s="242">
        <v>0</v>
      </c>
      <c r="AR53" s="242">
        <v>0</v>
      </c>
      <c r="AS53" s="242">
        <v>0</v>
      </c>
      <c r="AT53" s="242">
        <v>0</v>
      </c>
      <c r="AU53" s="242">
        <v>0</v>
      </c>
      <c r="AV53" s="242">
        <v>0</v>
      </c>
      <c r="AW53" s="242">
        <v>0</v>
      </c>
      <c r="AX53" s="242">
        <v>0</v>
      </c>
      <c r="AY53" s="242">
        <v>0</v>
      </c>
      <c r="BA53" s="80"/>
      <c r="BB53" s="80"/>
    </row>
    <row r="54" spans="2:54">
      <c r="B54" s="218">
        <v>10142</v>
      </c>
      <c r="C54" s="218" t="s">
        <v>57</v>
      </c>
      <c r="D54" s="242">
        <v>94.127288705599995</v>
      </c>
      <c r="E54" s="242">
        <v>86.953760419800005</v>
      </c>
      <c r="F54" s="242">
        <v>-244.53097957120008</v>
      </c>
      <c r="G54" s="242">
        <v>-66.47423123240003</v>
      </c>
      <c r="H54" s="242">
        <v>17.613224884400097</v>
      </c>
      <c r="I54" s="242">
        <v>194.99199804160014</v>
      </c>
      <c r="J54" s="242">
        <v>-28.755128386000024</v>
      </c>
      <c r="K54" s="242">
        <v>147.73529376839997</v>
      </c>
      <c r="L54" s="242">
        <v>-97.33243237159968</v>
      </c>
      <c r="M54" s="242">
        <v>70.45129479640002</v>
      </c>
      <c r="N54" s="242">
        <v>-311.6302305851998</v>
      </c>
      <c r="O54" s="242">
        <v>-125.76484435119994</v>
      </c>
      <c r="P54" s="242">
        <v>11.025081439000132</v>
      </c>
      <c r="Q54" s="242">
        <v>-22.557200849699825</v>
      </c>
      <c r="R54" s="242">
        <v>356.83487102079994</v>
      </c>
      <c r="S54" s="242">
        <v>193.80489210660005</v>
      </c>
      <c r="T54" s="242">
        <v>774.91398494960026</v>
      </c>
      <c r="U54" s="242">
        <v>564.16076926820006</v>
      </c>
      <c r="V54" s="242">
        <v>1086.3151169744001</v>
      </c>
      <c r="W54" s="242">
        <v>739.44251249900014</v>
      </c>
      <c r="X54" s="242">
        <v>987.30141876139987</v>
      </c>
      <c r="Y54" s="242">
        <v>530.47563442505998</v>
      </c>
      <c r="Z54" s="242">
        <v>316.65548057039996</v>
      </c>
      <c r="AA54" s="242">
        <v>234.29439283840009</v>
      </c>
      <c r="AB54" s="242">
        <v>137.19828870559991</v>
      </c>
      <c r="AC54" s="242">
        <v>53.381760419800003</v>
      </c>
      <c r="AD54" s="242">
        <v>-239.12997957120001</v>
      </c>
      <c r="AE54" s="242">
        <v>-62.475231232400006</v>
      </c>
      <c r="AF54" s="242">
        <v>23.653224884400061</v>
      </c>
      <c r="AG54" s="242">
        <v>199.72899804159999</v>
      </c>
      <c r="AH54" s="242">
        <v>-22.549128385999893</v>
      </c>
      <c r="AI54" s="242">
        <v>152.29229376839987</v>
      </c>
      <c r="AJ54" s="242">
        <v>-86.088967635599829</v>
      </c>
      <c r="AK54" s="242">
        <v>80.496527164399936</v>
      </c>
      <c r="AL54" s="242">
        <v>-306.17123058519985</v>
      </c>
      <c r="AM54" s="242">
        <v>-121.85284435119991</v>
      </c>
      <c r="AN54" s="242">
        <v>16.794081439000138</v>
      </c>
      <c r="AO54" s="242">
        <v>-19.013200849699842</v>
      </c>
      <c r="AP54" s="242">
        <v>379.86787102080007</v>
      </c>
      <c r="AQ54" s="242">
        <v>208.17189210660001</v>
      </c>
      <c r="AR54" s="242">
        <v>798.7159849496004</v>
      </c>
      <c r="AS54" s="242">
        <v>579.43276926819999</v>
      </c>
      <c r="AT54" s="242">
        <v>1110.3691169744002</v>
      </c>
      <c r="AU54" s="242">
        <v>754.87251249900021</v>
      </c>
      <c r="AV54" s="242">
        <v>942.21041876139998</v>
      </c>
      <c r="AW54" s="242">
        <v>614.31363442505994</v>
      </c>
      <c r="AX54" s="242">
        <v>386.73248057039996</v>
      </c>
      <c r="AY54" s="242">
        <v>200.74739283840006</v>
      </c>
      <c r="BA54" s="80"/>
      <c r="BB54" s="80"/>
    </row>
    <row r="55" spans="2:54">
      <c r="B55" s="218">
        <v>10144</v>
      </c>
      <c r="C55" s="218" t="s">
        <v>58</v>
      </c>
      <c r="D55" s="242">
        <v>241.28505500040001</v>
      </c>
      <c r="E55" s="242">
        <v>116.05553057195004</v>
      </c>
      <c r="F55" s="242">
        <v>102.42489305920003</v>
      </c>
      <c r="G55" s="242">
        <v>82.865363245900085</v>
      </c>
      <c r="H55" s="242">
        <v>378.63902574710005</v>
      </c>
      <c r="I55" s="242">
        <v>385.83330677439994</v>
      </c>
      <c r="J55" s="242">
        <v>454.26655021350007</v>
      </c>
      <c r="K55" s="242">
        <v>352.3615548281</v>
      </c>
      <c r="L55" s="242">
        <v>284.77590019310014</v>
      </c>
      <c r="M55" s="242">
        <v>244.92620670509996</v>
      </c>
      <c r="N55" s="242">
        <v>26.852296995700044</v>
      </c>
      <c r="O55" s="242">
        <v>60.678918164200127</v>
      </c>
      <c r="P55" s="242">
        <v>205.90977379475021</v>
      </c>
      <c r="Q55" s="242">
        <v>71.087572787075146</v>
      </c>
      <c r="R55" s="242">
        <v>-470.41674861280012</v>
      </c>
      <c r="S55" s="242">
        <v>-351.53158898434992</v>
      </c>
      <c r="T55" s="242">
        <v>-562.96965467859991</v>
      </c>
      <c r="U55" s="242">
        <v>-304.65072762994998</v>
      </c>
      <c r="V55" s="242">
        <v>-323.95734638039994</v>
      </c>
      <c r="W55" s="242">
        <v>-206.87160354024991</v>
      </c>
      <c r="X55" s="242">
        <v>-223.82059807864994</v>
      </c>
      <c r="Y55" s="242">
        <v>-189.24522861883497</v>
      </c>
      <c r="Z55" s="242">
        <v>-218.44103814139999</v>
      </c>
      <c r="AA55" s="242">
        <v>-157.72549385439993</v>
      </c>
      <c r="AB55" s="242">
        <v>301.72456619319973</v>
      </c>
      <c r="AC55" s="242">
        <v>57.793258626850047</v>
      </c>
      <c r="AD55" s="242">
        <v>103.36399559359984</v>
      </c>
      <c r="AE55" s="242">
        <v>83.490187519700044</v>
      </c>
      <c r="AF55" s="242">
        <v>379.24892859929992</v>
      </c>
      <c r="AG55" s="242">
        <v>386.32210803520024</v>
      </c>
      <c r="AH55" s="242">
        <v>454.66141187050016</v>
      </c>
      <c r="AI55" s="242">
        <v>352.64192722229996</v>
      </c>
      <c r="AJ55" s="242">
        <v>275.81518540930006</v>
      </c>
      <c r="AK55" s="242">
        <v>251.26886850929986</v>
      </c>
      <c r="AL55" s="242">
        <v>26.837313173100256</v>
      </c>
      <c r="AM55" s="242">
        <v>60.68763380860014</v>
      </c>
      <c r="AN55" s="242">
        <v>205.83429223925009</v>
      </c>
      <c r="AO55" s="242">
        <v>71.018530094725179</v>
      </c>
      <c r="AP55" s="242">
        <v>-470.85711198240028</v>
      </c>
      <c r="AQ55" s="242">
        <v>-351.82600281604994</v>
      </c>
      <c r="AR55" s="242">
        <v>-563.68165626380005</v>
      </c>
      <c r="AS55" s="242">
        <v>-305.07258264084999</v>
      </c>
      <c r="AT55" s="242">
        <v>-324.57075273319992</v>
      </c>
      <c r="AU55" s="242">
        <v>-207.24254806574993</v>
      </c>
      <c r="AV55" s="242">
        <v>-270.06425611295003</v>
      </c>
      <c r="AW55" s="242">
        <v>-143.95317623480491</v>
      </c>
      <c r="AX55" s="242">
        <v>-175.46202579620012</v>
      </c>
      <c r="AY55" s="242">
        <v>-201.57916767519998</v>
      </c>
      <c r="BA55" s="80"/>
      <c r="BB55" s="80"/>
    </row>
    <row r="56" spans="2:54">
      <c r="B56" s="218">
        <v>10156</v>
      </c>
      <c r="C56" s="218" t="s">
        <v>59</v>
      </c>
      <c r="D56" s="242">
        <v>2282.8631752923993</v>
      </c>
      <c r="E56" s="242">
        <v>1114.4405768454499</v>
      </c>
      <c r="F56" s="242">
        <v>1069.3443862751992</v>
      </c>
      <c r="G56" s="242">
        <v>1941.9303402529004</v>
      </c>
      <c r="H56" s="242">
        <v>4171.7410386300999</v>
      </c>
      <c r="I56" s="242">
        <v>4000.7191720864012</v>
      </c>
      <c r="J56" s="242">
        <v>3544.3554435685</v>
      </c>
      <c r="K56" s="242">
        <v>3949.4932218410995</v>
      </c>
      <c r="L56" s="242">
        <v>2902.8838086561027</v>
      </c>
      <c r="M56" s="242">
        <v>3432.8774689280999</v>
      </c>
      <c r="N56" s="242">
        <v>668.38817635670239</v>
      </c>
      <c r="O56" s="242">
        <v>749.84536303020104</v>
      </c>
      <c r="P56" s="242">
        <v>922.24266271225133</v>
      </c>
      <c r="Q56" s="242">
        <v>825.52173922682687</v>
      </c>
      <c r="R56" s="242">
        <v>-4437.1432759568015</v>
      </c>
      <c r="S56" s="242">
        <v>-2177.860346309848</v>
      </c>
      <c r="T56" s="242">
        <v>-5731.1051750565985</v>
      </c>
      <c r="U56" s="242">
        <v>-3038.6182762434501</v>
      </c>
      <c r="V56" s="242">
        <v>-3160.2806740723991</v>
      </c>
      <c r="W56" s="242">
        <v>-1191.911544172749</v>
      </c>
      <c r="X56" s="242">
        <v>-2426.3931717431497</v>
      </c>
      <c r="Y56" s="242">
        <v>-826.82557024338439</v>
      </c>
      <c r="Z56" s="242">
        <v>-1729.6547763634007</v>
      </c>
      <c r="AA56" s="242">
        <v>-1221.5319275663996</v>
      </c>
      <c r="AB56" s="242">
        <v>2354.8111752923996</v>
      </c>
      <c r="AC56" s="242">
        <v>1159.4705768454505</v>
      </c>
      <c r="AD56" s="242">
        <v>1127.0723862752002</v>
      </c>
      <c r="AE56" s="242">
        <v>1983.8603402528988</v>
      </c>
      <c r="AF56" s="242">
        <v>4168.3310386301</v>
      </c>
      <c r="AG56" s="242">
        <v>3998.2871720864005</v>
      </c>
      <c r="AH56" s="242">
        <v>3542.6934435684998</v>
      </c>
      <c r="AI56" s="242">
        <v>3948.3292218411007</v>
      </c>
      <c r="AJ56" s="242">
        <v>2984.8112758001007</v>
      </c>
      <c r="AK56" s="242">
        <v>3399.5417025001007</v>
      </c>
      <c r="AL56" s="242">
        <v>729.40817635670282</v>
      </c>
      <c r="AM56" s="242">
        <v>790.23636303020066</v>
      </c>
      <c r="AN56" s="242">
        <v>989.06866271225044</v>
      </c>
      <c r="AO56" s="242">
        <v>869.64773922682707</v>
      </c>
      <c r="AP56" s="242">
        <v>-4365.3632759568009</v>
      </c>
      <c r="AQ56" s="242">
        <v>-2127.0093463098483</v>
      </c>
      <c r="AR56" s="242">
        <v>-5657.7591750565989</v>
      </c>
      <c r="AS56" s="242">
        <v>-2992.6722762434492</v>
      </c>
      <c r="AT56" s="242">
        <v>-3082.1246740724</v>
      </c>
      <c r="AU56" s="242">
        <v>-1139.4595441727488</v>
      </c>
      <c r="AV56" s="242">
        <v>-2346.2811717431505</v>
      </c>
      <c r="AW56" s="242">
        <v>-776.61457024338415</v>
      </c>
      <c r="AX56" s="242">
        <v>-1658.8857763634005</v>
      </c>
      <c r="AY56" s="242">
        <v>-1174.1929275663997</v>
      </c>
      <c r="BA56" s="80"/>
      <c r="BB56" s="80"/>
    </row>
    <row r="57" spans="2:54">
      <c r="B57" s="218">
        <v>10157</v>
      </c>
      <c r="C57" s="218" t="s">
        <v>60</v>
      </c>
      <c r="D57" s="242">
        <v>236.5859434806498</v>
      </c>
      <c r="E57" s="242">
        <v>1354.9833661308976</v>
      </c>
      <c r="F57" s="242">
        <v>-271.16641669856108</v>
      </c>
      <c r="G57" s="242">
        <v>1483.2607918742378</v>
      </c>
      <c r="H57" s="242">
        <v>884.44453856947985</v>
      </c>
      <c r="I57" s="242">
        <v>3264.0484110409761</v>
      </c>
      <c r="J57" s="242">
        <v>-379.61301503246796</v>
      </c>
      <c r="K57" s="242">
        <v>1885.7534512880366</v>
      </c>
      <c r="L57" s="242">
        <v>-244.40212128551866</v>
      </c>
      <c r="M57" s="242">
        <v>1682.7942834210908</v>
      </c>
      <c r="N57" s="242">
        <v>-1497.9920509821641</v>
      </c>
      <c r="O57" s="242">
        <v>494.81023883567104</v>
      </c>
      <c r="P57" s="242">
        <v>319.03708736928456</v>
      </c>
      <c r="Q57" s="242">
        <v>1040.7155477808319</v>
      </c>
      <c r="R57" s="242">
        <v>-3111.6978701408825</v>
      </c>
      <c r="S57" s="242">
        <v>-828.17445218866487</v>
      </c>
      <c r="T57" s="242">
        <v>-4378.64537973188</v>
      </c>
      <c r="U57" s="242">
        <v>-1009.2549737512236</v>
      </c>
      <c r="V57" s="242">
        <v>-1500.456391156149</v>
      </c>
      <c r="W57" s="242">
        <v>719.14555413969811</v>
      </c>
      <c r="X57" s="242">
        <v>-1116.4008982647829</v>
      </c>
      <c r="Y57" s="242">
        <v>679.4408187948975</v>
      </c>
      <c r="Z57" s="242">
        <v>-1382.9032501749316</v>
      </c>
      <c r="AA57" s="242">
        <v>561.14334163463536</v>
      </c>
      <c r="AB57" s="242">
        <v>650.3662913968019</v>
      </c>
      <c r="AC57" s="242">
        <v>1067.4334956654911</v>
      </c>
      <c r="AD57" s="242">
        <v>-185.4708593373216</v>
      </c>
      <c r="AE57" s="242">
        <v>1552.0314766566316</v>
      </c>
      <c r="AF57" s="242">
        <v>986.24331070715925</v>
      </c>
      <c r="AG57" s="242">
        <v>3351.595355079382</v>
      </c>
      <c r="AH57" s="242">
        <v>-282.10050698475061</v>
      </c>
      <c r="AI57" s="242">
        <v>1962.6383134025846</v>
      </c>
      <c r="AJ57" s="242">
        <v>161.19811004433723</v>
      </c>
      <c r="AK57" s="242">
        <v>2000.5727170211521</v>
      </c>
      <c r="AL57" s="242">
        <v>-1417.0872298463673</v>
      </c>
      <c r="AM57" s="242">
        <v>558.40609583424157</v>
      </c>
      <c r="AN57" s="242">
        <v>394.84919283240561</v>
      </c>
      <c r="AO57" s="242">
        <v>1096.1167017731123</v>
      </c>
      <c r="AP57" s="242">
        <v>-3045.7608408896158</v>
      </c>
      <c r="AQ57" s="242">
        <v>-776.18564066362705</v>
      </c>
      <c r="AR57" s="242">
        <v>-4317.74471078636</v>
      </c>
      <c r="AS57" s="242">
        <v>-960.53443859480831</v>
      </c>
      <c r="AT57" s="242">
        <v>-1429.8759091406791</v>
      </c>
      <c r="AU57" s="242">
        <v>774.79554957497294</v>
      </c>
      <c r="AV57" s="242">
        <v>-1382.7542699373789</v>
      </c>
      <c r="AW57" s="242">
        <v>1070.3637405833197</v>
      </c>
      <c r="AX57" s="242">
        <v>-1010.9097443403207</v>
      </c>
      <c r="AY57" s="242">
        <v>300.43196723686378</v>
      </c>
      <c r="BA57" s="80"/>
      <c r="BB57" s="80"/>
    </row>
    <row r="58" spans="2:54">
      <c r="B58" s="218">
        <v>10158</v>
      </c>
      <c r="C58" s="218" t="s">
        <v>61</v>
      </c>
      <c r="D58" s="242">
        <v>-36.237024363200135</v>
      </c>
      <c r="E58" s="242">
        <v>68.414256169400005</v>
      </c>
      <c r="F58" s="242">
        <v>-95.760329753600104</v>
      </c>
      <c r="G58" s="242">
        <v>99.261783722799919</v>
      </c>
      <c r="H58" s="242">
        <v>161.03498063320012</v>
      </c>
      <c r="I58" s="242">
        <v>381.39282484479997</v>
      </c>
      <c r="J58" s="242">
        <v>176.08582114199999</v>
      </c>
      <c r="K58" s="242">
        <v>338.62506508520005</v>
      </c>
      <c r="L58" s="242">
        <v>-5.9626763347998804</v>
      </c>
      <c r="M58" s="242">
        <v>203.77549076920002</v>
      </c>
      <c r="N58" s="242">
        <v>-80.595019095600037</v>
      </c>
      <c r="O58" s="242">
        <v>141.75732490640007</v>
      </c>
      <c r="P58" s="242">
        <v>-7.7323781329998837</v>
      </c>
      <c r="Q58" s="242">
        <v>90.669436085900088</v>
      </c>
      <c r="R58" s="242">
        <v>-268.52957157760011</v>
      </c>
      <c r="S58" s="242">
        <v>-90.767613710200067</v>
      </c>
      <c r="T58" s="242">
        <v>-377.68554583119999</v>
      </c>
      <c r="U58" s="242">
        <v>-125.42914750540001</v>
      </c>
      <c r="V58" s="242">
        <v>-160.97760259680001</v>
      </c>
      <c r="W58" s="242">
        <v>-33.012907952999967</v>
      </c>
      <c r="X58" s="242">
        <v>-114.02580308580013</v>
      </c>
      <c r="Y58" s="242">
        <v>-26.204871247819938</v>
      </c>
      <c r="Z58" s="242">
        <v>-190.65417360880008</v>
      </c>
      <c r="AA58" s="242">
        <v>-45.322156204799967</v>
      </c>
      <c r="AB58" s="242">
        <v>-6.0417799596001487</v>
      </c>
      <c r="AC58" s="242">
        <v>38.639892141949986</v>
      </c>
      <c r="AD58" s="242">
        <v>-95.433881020799959</v>
      </c>
      <c r="AE58" s="242">
        <v>99.47337158589994</v>
      </c>
      <c r="AF58" s="242">
        <v>161.38702920710011</v>
      </c>
      <c r="AG58" s="242">
        <v>381.62142421440001</v>
      </c>
      <c r="AH58" s="242">
        <v>176.45939031350008</v>
      </c>
      <c r="AI58" s="242">
        <v>338.85487888809996</v>
      </c>
      <c r="AJ58" s="242">
        <v>-11.622932722899918</v>
      </c>
      <c r="AK58" s="242">
        <v>200.08385297710004</v>
      </c>
      <c r="AL58" s="242">
        <v>-80.250027184300052</v>
      </c>
      <c r="AM58" s="242">
        <v>141.97896708420001</v>
      </c>
      <c r="AN58" s="242">
        <v>-7.4601373552499126</v>
      </c>
      <c r="AO58" s="242">
        <v>90.844457432075046</v>
      </c>
      <c r="AP58" s="242">
        <v>-268.19238989280007</v>
      </c>
      <c r="AQ58" s="242">
        <v>-90.549906794350022</v>
      </c>
      <c r="AR58" s="242">
        <v>-377.32954503859992</v>
      </c>
      <c r="AS58" s="242">
        <v>-125.21821999994995</v>
      </c>
      <c r="AT58" s="242">
        <v>-160.67089942040002</v>
      </c>
      <c r="AU58" s="242">
        <v>-32.827435690249899</v>
      </c>
      <c r="AV58" s="242">
        <v>-143.68197406865011</v>
      </c>
      <c r="AW58" s="242">
        <v>3.9261025601650772</v>
      </c>
      <c r="AX58" s="242">
        <v>-164.29167978140003</v>
      </c>
      <c r="AY58" s="242">
        <v>-71.245819294400007</v>
      </c>
      <c r="BA58" s="80"/>
      <c r="BB58" s="80"/>
    </row>
    <row r="59" spans="2:54">
      <c r="B59" s="218">
        <v>10170</v>
      </c>
      <c r="C59" s="218" t="s">
        <v>62</v>
      </c>
      <c r="D59" s="242">
        <v>3537.0429329535182</v>
      </c>
      <c r="E59" s="242">
        <v>7871.5348976950881</v>
      </c>
      <c r="F59" s="242">
        <v>-9247.6460391656874</v>
      </c>
      <c r="G59" s="242">
        <v>-22.473669231927488</v>
      </c>
      <c r="H59" s="242">
        <v>-3490.8149733374084</v>
      </c>
      <c r="I59" s="242">
        <v>7887.7581947272847</v>
      </c>
      <c r="J59" s="242">
        <v>-1684.4565451999733</v>
      </c>
      <c r="K59" s="242">
        <v>8176.8591143889935</v>
      </c>
      <c r="L59" s="242">
        <v>-51.7092961353992</v>
      </c>
      <c r="M59" s="242">
        <v>8068.587556460152</v>
      </c>
      <c r="N59" s="242">
        <v>-4008.4423263689459</v>
      </c>
      <c r="O59" s="242">
        <v>4123.6884492032295</v>
      </c>
      <c r="P59" s="242">
        <v>2408.5500344747488</v>
      </c>
      <c r="Q59" s="242">
        <v>5273.0227163882628</v>
      </c>
      <c r="R59" s="242">
        <v>-16090.134058108808</v>
      </c>
      <c r="S59" s="242">
        <v>-5616.5143181073508</v>
      </c>
      <c r="T59" s="242">
        <v>-19067.731069338523</v>
      </c>
      <c r="U59" s="242">
        <v>-4406.8023936988793</v>
      </c>
      <c r="V59" s="242">
        <v>-4019.0603474528762</v>
      </c>
      <c r="W59" s="242">
        <v>5105.6517173074863</v>
      </c>
      <c r="X59" s="242">
        <v>-674.07799581081053</v>
      </c>
      <c r="Y59" s="242">
        <v>5976.0665340981104</v>
      </c>
      <c r="Z59" s="242">
        <v>-1688.7184546851131</v>
      </c>
      <c r="AA59" s="242">
        <v>6226.9889021264062</v>
      </c>
      <c r="AB59" s="242">
        <v>5667.4552687142786</v>
      </c>
      <c r="AC59" s="242">
        <v>6772.7761918856559</v>
      </c>
      <c r="AD59" s="242">
        <v>-9170.4214181920106</v>
      </c>
      <c r="AE59" s="242">
        <v>265.78820626870584</v>
      </c>
      <c r="AF59" s="242">
        <v>-3148.9557763299017</v>
      </c>
      <c r="AG59" s="242">
        <v>8514.8204603111517</v>
      </c>
      <c r="AH59" s="242">
        <v>-1241.128419767796</v>
      </c>
      <c r="AI59" s="242">
        <v>8817.113753645921</v>
      </c>
      <c r="AJ59" s="242">
        <v>1819.8036076908757</v>
      </c>
      <c r="AK59" s="242">
        <v>9791.4792935723854</v>
      </c>
      <c r="AL59" s="242">
        <v>-3696.8758587686825</v>
      </c>
      <c r="AM59" s="242">
        <v>4591.0879507906502</v>
      </c>
      <c r="AN59" s="242">
        <v>2876.6784433832072</v>
      </c>
      <c r="AO59" s="242">
        <v>5722.5585081736644</v>
      </c>
      <c r="AP59" s="242">
        <v>-16271.1998604869</v>
      </c>
      <c r="AQ59" s="242">
        <v>-5543.0456366818689</v>
      </c>
      <c r="AR59" s="242">
        <v>-19341.859748590367</v>
      </c>
      <c r="AS59" s="242">
        <v>-4294.3411164230201</v>
      </c>
      <c r="AT59" s="242">
        <v>-3760.2432722294616</v>
      </c>
      <c r="AU59" s="242">
        <v>5562.7931441024011</v>
      </c>
      <c r="AV59" s="242">
        <v>-1969.4850416739573</v>
      </c>
      <c r="AW59" s="242">
        <v>8133.2162668101337</v>
      </c>
      <c r="AX59" s="242">
        <v>191.81269645967404</v>
      </c>
      <c r="AY59" s="242">
        <v>5125.8413685378218</v>
      </c>
      <c r="BA59" s="80"/>
      <c r="BB59" s="80"/>
    </row>
    <row r="60" spans="2:54">
      <c r="B60" s="218">
        <v>10172</v>
      </c>
      <c r="C60" s="218" t="s">
        <v>63</v>
      </c>
      <c r="D60" s="242">
        <v>416.32052712599966</v>
      </c>
      <c r="E60" s="242">
        <v>151.74846491425001</v>
      </c>
      <c r="F60" s="242">
        <v>-253.70979035200025</v>
      </c>
      <c r="G60" s="242">
        <v>-77.272398041500082</v>
      </c>
      <c r="H60" s="242">
        <v>-23.703604163500131</v>
      </c>
      <c r="I60" s="242">
        <v>101.42970593600012</v>
      </c>
      <c r="J60" s="242">
        <v>-195.42586524749959</v>
      </c>
      <c r="K60" s="242">
        <v>58.243961351500047</v>
      </c>
      <c r="L60" s="242">
        <v>-172.22792367349984</v>
      </c>
      <c r="M60" s="242">
        <v>76.071187606499961</v>
      </c>
      <c r="N60" s="242">
        <v>-290.71761785450008</v>
      </c>
      <c r="O60" s="242">
        <v>-208.72885727700009</v>
      </c>
      <c r="P60" s="242">
        <v>181.78859409624988</v>
      </c>
      <c r="Q60" s="242">
        <v>76.356650803625371</v>
      </c>
      <c r="R60" s="242">
        <v>-311.57327703200008</v>
      </c>
      <c r="S60" s="242">
        <v>-177.55612682025003</v>
      </c>
      <c r="T60" s="242">
        <v>-310.72691675899978</v>
      </c>
      <c r="U60" s="242">
        <v>-194.02182818425013</v>
      </c>
      <c r="V60" s="242">
        <v>235.83978817399975</v>
      </c>
      <c r="W60" s="242">
        <v>189.87255857125001</v>
      </c>
      <c r="X60" s="242">
        <v>287.25738697525003</v>
      </c>
      <c r="Y60" s="242">
        <v>153.33552339197513</v>
      </c>
      <c r="Z60" s="242">
        <v>203.19257845900006</v>
      </c>
      <c r="AA60" s="242">
        <v>84.350963863999823</v>
      </c>
      <c r="AB60" s="242">
        <v>411.84450657839943</v>
      </c>
      <c r="AC60" s="242">
        <v>148.51539003970015</v>
      </c>
      <c r="AD60" s="242">
        <v>-261.31718839680025</v>
      </c>
      <c r="AE60" s="242">
        <v>-81.972500428600142</v>
      </c>
      <c r="AF60" s="242">
        <v>-31.446595693400013</v>
      </c>
      <c r="AG60" s="242">
        <v>96.702131782399874</v>
      </c>
      <c r="AH60" s="242">
        <v>-203.97420127899977</v>
      </c>
      <c r="AI60" s="242">
        <v>53.451595432599788</v>
      </c>
      <c r="AJ60" s="242">
        <v>-91.216718473400306</v>
      </c>
      <c r="AK60" s="242">
        <v>117.03968372659983</v>
      </c>
      <c r="AL60" s="242">
        <v>-298.79228621779976</v>
      </c>
      <c r="AM60" s="242">
        <v>-213.97518656679995</v>
      </c>
      <c r="AN60" s="242">
        <v>176.48472220849999</v>
      </c>
      <c r="AO60" s="242">
        <v>72.839775610450033</v>
      </c>
      <c r="AP60" s="242">
        <v>-319.64772610880027</v>
      </c>
      <c r="AQ60" s="242">
        <v>-182.70711037009983</v>
      </c>
      <c r="AR60" s="242">
        <v>-319.49794925560036</v>
      </c>
      <c r="AS60" s="242">
        <v>-199.2428559077</v>
      </c>
      <c r="AT60" s="242">
        <v>229.78795794159987</v>
      </c>
      <c r="AU60" s="242">
        <v>186.3341957985001</v>
      </c>
      <c r="AV60" s="242">
        <v>281.50139727209989</v>
      </c>
      <c r="AW60" s="242">
        <v>149.98559726459007</v>
      </c>
      <c r="AX60" s="242">
        <v>198.06133153559949</v>
      </c>
      <c r="AY60" s="242">
        <v>80.755150537599775</v>
      </c>
      <c r="BA60" s="80"/>
      <c r="BB60" s="80"/>
    </row>
    <row r="61" spans="2:54">
      <c r="B61" s="218">
        <v>10173</v>
      </c>
      <c r="C61" s="218" t="s">
        <v>64</v>
      </c>
      <c r="D61" s="242">
        <v>0</v>
      </c>
      <c r="E61" s="242">
        <v>0</v>
      </c>
      <c r="F61" s="242">
        <v>0</v>
      </c>
      <c r="G61" s="242">
        <v>0</v>
      </c>
      <c r="H61" s="242">
        <v>0</v>
      </c>
      <c r="I61" s="242">
        <v>0</v>
      </c>
      <c r="J61" s="242">
        <v>0</v>
      </c>
      <c r="K61" s="242">
        <v>0</v>
      </c>
      <c r="L61" s="242">
        <v>0</v>
      </c>
      <c r="M61" s="242">
        <v>0</v>
      </c>
      <c r="N61" s="242">
        <v>0</v>
      </c>
      <c r="O61" s="242">
        <v>0</v>
      </c>
      <c r="P61" s="242">
        <v>0</v>
      </c>
      <c r="Q61" s="242">
        <v>0</v>
      </c>
      <c r="R61" s="242">
        <v>0</v>
      </c>
      <c r="S61" s="242">
        <v>0</v>
      </c>
      <c r="T61" s="242">
        <v>0</v>
      </c>
      <c r="U61" s="242">
        <v>0</v>
      </c>
      <c r="V61" s="242">
        <v>0</v>
      </c>
      <c r="W61" s="242">
        <v>0</v>
      </c>
      <c r="X61" s="242">
        <v>0</v>
      </c>
      <c r="Y61" s="242">
        <v>0</v>
      </c>
      <c r="Z61" s="242">
        <v>0</v>
      </c>
      <c r="AA61" s="242">
        <v>0</v>
      </c>
      <c r="AB61" s="242">
        <v>0</v>
      </c>
      <c r="AC61" s="242">
        <v>0</v>
      </c>
      <c r="AD61" s="242">
        <v>0</v>
      </c>
      <c r="AE61" s="242">
        <v>0</v>
      </c>
      <c r="AF61" s="242">
        <v>0</v>
      </c>
      <c r="AG61" s="242">
        <v>0</v>
      </c>
      <c r="AH61" s="242">
        <v>0</v>
      </c>
      <c r="AI61" s="242">
        <v>0</v>
      </c>
      <c r="AJ61" s="242">
        <v>0</v>
      </c>
      <c r="AK61" s="242">
        <v>0</v>
      </c>
      <c r="AL61" s="242">
        <v>0</v>
      </c>
      <c r="AM61" s="242">
        <v>0</v>
      </c>
      <c r="AN61" s="242">
        <v>0</v>
      </c>
      <c r="AO61" s="242">
        <v>0</v>
      </c>
      <c r="AP61" s="242">
        <v>0</v>
      </c>
      <c r="AQ61" s="242">
        <v>0</v>
      </c>
      <c r="AR61" s="242">
        <v>0</v>
      </c>
      <c r="AS61" s="242">
        <v>0</v>
      </c>
      <c r="AT61" s="242">
        <v>0</v>
      </c>
      <c r="AU61" s="242">
        <v>0</v>
      </c>
      <c r="AV61" s="242">
        <v>0</v>
      </c>
      <c r="AW61" s="242">
        <v>0</v>
      </c>
      <c r="AX61" s="242">
        <v>0</v>
      </c>
      <c r="AY61" s="242">
        <v>0</v>
      </c>
      <c r="BA61" s="80"/>
      <c r="BB61" s="80"/>
    </row>
    <row r="62" spans="2:54">
      <c r="B62" s="218">
        <v>10174</v>
      </c>
      <c r="C62" s="218" t="s">
        <v>65</v>
      </c>
      <c r="D62" s="242">
        <v>-1.8025713272000417</v>
      </c>
      <c r="E62" s="242">
        <v>17.053547269900022</v>
      </c>
      <c r="F62" s="242">
        <v>-22.396010425600025</v>
      </c>
      <c r="G62" s="242">
        <v>11.235320103800007</v>
      </c>
      <c r="H62" s="242">
        <v>39.183901122200012</v>
      </c>
      <c r="I62" s="242">
        <v>80.686242540800009</v>
      </c>
      <c r="J62" s="242">
        <v>28.606441606999965</v>
      </c>
      <c r="K62" s="242">
        <v>66.746710364199998</v>
      </c>
      <c r="L62" s="242">
        <v>13.089289294200029</v>
      </c>
      <c r="M62" s="242">
        <v>46.644882478200003</v>
      </c>
      <c r="N62" s="242">
        <v>-33.331321732599974</v>
      </c>
      <c r="O62" s="242">
        <v>11.024191184399996</v>
      </c>
      <c r="P62" s="242">
        <v>-8.6080259805000026</v>
      </c>
      <c r="Q62" s="242">
        <v>7.0580149851500238</v>
      </c>
      <c r="R62" s="242">
        <v>-62.580542729600012</v>
      </c>
      <c r="S62" s="242">
        <v>-30.10425492669998</v>
      </c>
      <c r="T62" s="242">
        <v>-62.239556405200005</v>
      </c>
      <c r="U62" s="242">
        <v>-22.347108825900008</v>
      </c>
      <c r="V62" s="242">
        <v>-9.1126298327999677</v>
      </c>
      <c r="W62" s="242">
        <v>-2.5284504999945057E-3</v>
      </c>
      <c r="X62" s="242">
        <v>-17.043970039300007</v>
      </c>
      <c r="Y62" s="242">
        <v>-11.314613205469996</v>
      </c>
      <c r="Z62" s="242">
        <v>-31.326666834800022</v>
      </c>
      <c r="AA62" s="242">
        <v>-9.7995111008000038</v>
      </c>
      <c r="AB62" s="242">
        <v>5.4634286727999779</v>
      </c>
      <c r="AC62" s="242">
        <v>9.9785472699000053</v>
      </c>
      <c r="AD62" s="242">
        <v>-22.288010425600021</v>
      </c>
      <c r="AE62" s="242">
        <v>11.318320103800005</v>
      </c>
      <c r="AF62" s="242">
        <v>39.287901122199997</v>
      </c>
      <c r="AG62" s="242">
        <v>80.773242540799998</v>
      </c>
      <c r="AH62" s="242">
        <v>28.713441606999993</v>
      </c>
      <c r="AI62" s="242">
        <v>66.830710364200002</v>
      </c>
      <c r="AJ62" s="242">
        <v>11.692860862200035</v>
      </c>
      <c r="AK62" s="242">
        <v>45.740668262199989</v>
      </c>
      <c r="AL62" s="242">
        <v>-33.22532173259998</v>
      </c>
      <c r="AM62" s="242">
        <v>11.108191184399999</v>
      </c>
      <c r="AN62" s="242">
        <v>-8.4970259804999841</v>
      </c>
      <c r="AO62" s="242">
        <v>7.1370149851500315</v>
      </c>
      <c r="AP62" s="242">
        <v>-62.468542729600017</v>
      </c>
      <c r="AQ62" s="242">
        <v>-30.026254926699977</v>
      </c>
      <c r="AR62" s="242">
        <v>-62.125556405200001</v>
      </c>
      <c r="AS62" s="242">
        <v>-22.27010882590001</v>
      </c>
      <c r="AT62" s="242">
        <v>-8.9966298327999823</v>
      </c>
      <c r="AU62" s="242">
        <v>7.0471549499984576E-2</v>
      </c>
      <c r="AV62" s="242">
        <v>-23.947970039300003</v>
      </c>
      <c r="AW62" s="242">
        <v>-4.2206132054699879</v>
      </c>
      <c r="AX62" s="242">
        <v>-24.894666834800006</v>
      </c>
      <c r="AY62" s="242">
        <v>-16.041511100800008</v>
      </c>
      <c r="BA62" s="80"/>
      <c r="BB62" s="80"/>
    </row>
    <row r="63" spans="2:54">
      <c r="B63" s="218">
        <v>10177</v>
      </c>
      <c r="C63" s="218" t="s">
        <v>66</v>
      </c>
      <c r="D63" s="242">
        <v>228.72258947839964</v>
      </c>
      <c r="E63" s="242">
        <v>157.82452042719979</v>
      </c>
      <c r="F63" s="242">
        <v>-188.79466919680044</v>
      </c>
      <c r="G63" s="242">
        <v>220.48214984639981</v>
      </c>
      <c r="H63" s="242">
        <v>787.03767828159926</v>
      </c>
      <c r="I63" s="242">
        <v>989.81412618239983</v>
      </c>
      <c r="J63" s="242">
        <v>668.5682340960002</v>
      </c>
      <c r="K63" s="242">
        <v>1063.7320316575997</v>
      </c>
      <c r="L63" s="242">
        <v>574.38305069760008</v>
      </c>
      <c r="M63" s="242">
        <v>979.30515904959975</v>
      </c>
      <c r="N63" s="242">
        <v>-73.369864892800251</v>
      </c>
      <c r="O63" s="242">
        <v>209.86646888320001</v>
      </c>
      <c r="P63" s="242">
        <v>224.50902789600013</v>
      </c>
      <c r="Q63" s="242">
        <v>319.14738127920009</v>
      </c>
      <c r="R63" s="242">
        <v>-1262.0817289088004</v>
      </c>
      <c r="S63" s="242">
        <v>-598.67596065760017</v>
      </c>
      <c r="T63" s="242">
        <v>-1577.3147141055997</v>
      </c>
      <c r="U63" s="242">
        <v>-760.5285067952002</v>
      </c>
      <c r="V63" s="242">
        <v>-560.80412995840015</v>
      </c>
      <c r="W63" s="242">
        <v>-64.692052263999813</v>
      </c>
      <c r="X63" s="242">
        <v>-586.51643419040056</v>
      </c>
      <c r="Y63" s="242">
        <v>-174.43399066416009</v>
      </c>
      <c r="Z63" s="242">
        <v>-419.97234861440029</v>
      </c>
      <c r="AA63" s="242">
        <v>-154.03317386239996</v>
      </c>
      <c r="AB63" s="242">
        <v>-18.556861390000449</v>
      </c>
      <c r="AC63" s="242">
        <v>38.438491848749891</v>
      </c>
      <c r="AD63" s="242">
        <v>-471.32666072000029</v>
      </c>
      <c r="AE63" s="242">
        <v>99.186254247500074</v>
      </c>
      <c r="AF63" s="242">
        <v>492.69260757749998</v>
      </c>
      <c r="AG63" s="242">
        <v>859.98599896000042</v>
      </c>
      <c r="AH63" s="242">
        <v>482.98807683750056</v>
      </c>
      <c r="AI63" s="242">
        <v>1086.5189636024998</v>
      </c>
      <c r="AJ63" s="242">
        <v>489.53513932750047</v>
      </c>
      <c r="AK63" s="242">
        <v>981.48458182749982</v>
      </c>
      <c r="AL63" s="242">
        <v>5.260466192500644</v>
      </c>
      <c r="AM63" s="242">
        <v>309.55091190500025</v>
      </c>
      <c r="AN63" s="242">
        <v>421.09789761875027</v>
      </c>
      <c r="AO63" s="242">
        <v>556.55628335187521</v>
      </c>
      <c r="AP63" s="242">
        <v>-1175.2225505199999</v>
      </c>
      <c r="AQ63" s="242">
        <v>-432.22222375874981</v>
      </c>
      <c r="AR63" s="242">
        <v>-1427.0513143650001</v>
      </c>
      <c r="AS63" s="242">
        <v>-581.25914029874957</v>
      </c>
      <c r="AT63" s="242">
        <v>-495.86284310999963</v>
      </c>
      <c r="AU63" s="242">
        <v>112.91444924374991</v>
      </c>
      <c r="AV63" s="242">
        <v>-658.33921981625053</v>
      </c>
      <c r="AW63" s="242">
        <v>-153.7131089858749</v>
      </c>
      <c r="AX63" s="242">
        <v>-395.41038613499995</v>
      </c>
      <c r="AY63" s="242">
        <v>-125.71439596000027</v>
      </c>
      <c r="BA63" s="80"/>
      <c r="BB63" s="80"/>
    </row>
    <row r="64" spans="2:54">
      <c r="B64" s="218">
        <v>10179</v>
      </c>
      <c r="C64" s="218" t="s">
        <v>67</v>
      </c>
      <c r="D64" s="242">
        <v>0</v>
      </c>
      <c r="E64" s="242">
        <v>0</v>
      </c>
      <c r="F64" s="242">
        <v>0</v>
      </c>
      <c r="G64" s="242">
        <v>0</v>
      </c>
      <c r="H64" s="242">
        <v>0</v>
      </c>
      <c r="I64" s="242">
        <v>0</v>
      </c>
      <c r="J64" s="242">
        <v>0</v>
      </c>
      <c r="K64" s="242">
        <v>0</v>
      </c>
      <c r="L64" s="242">
        <v>0</v>
      </c>
      <c r="M64" s="242">
        <v>0</v>
      </c>
      <c r="N64" s="242">
        <v>0</v>
      </c>
      <c r="O64" s="242">
        <v>0</v>
      </c>
      <c r="P64" s="242">
        <v>0</v>
      </c>
      <c r="Q64" s="242">
        <v>0</v>
      </c>
      <c r="R64" s="242">
        <v>0</v>
      </c>
      <c r="S64" s="242">
        <v>0</v>
      </c>
      <c r="T64" s="242">
        <v>0</v>
      </c>
      <c r="U64" s="242">
        <v>0</v>
      </c>
      <c r="V64" s="242">
        <v>0</v>
      </c>
      <c r="W64" s="242">
        <v>0</v>
      </c>
      <c r="X64" s="242">
        <v>0</v>
      </c>
      <c r="Y64" s="242">
        <v>0</v>
      </c>
      <c r="Z64" s="242">
        <v>0</v>
      </c>
      <c r="AA64" s="242">
        <v>0</v>
      </c>
      <c r="AB64" s="242">
        <v>0</v>
      </c>
      <c r="AC64" s="242">
        <v>0</v>
      </c>
      <c r="AD64" s="242">
        <v>0</v>
      </c>
      <c r="AE64" s="242">
        <v>0</v>
      </c>
      <c r="AF64" s="242">
        <v>0</v>
      </c>
      <c r="AG64" s="242">
        <v>0</v>
      </c>
      <c r="AH64" s="242">
        <v>0</v>
      </c>
      <c r="AI64" s="242">
        <v>0</v>
      </c>
      <c r="AJ64" s="242">
        <v>0</v>
      </c>
      <c r="AK64" s="242">
        <v>0</v>
      </c>
      <c r="AL64" s="242">
        <v>0</v>
      </c>
      <c r="AM64" s="242">
        <v>0</v>
      </c>
      <c r="AN64" s="242">
        <v>0</v>
      </c>
      <c r="AO64" s="242">
        <v>0</v>
      </c>
      <c r="AP64" s="242">
        <v>0</v>
      </c>
      <c r="AQ64" s="242">
        <v>0</v>
      </c>
      <c r="AR64" s="242">
        <v>0</v>
      </c>
      <c r="AS64" s="242">
        <v>0</v>
      </c>
      <c r="AT64" s="242">
        <v>0</v>
      </c>
      <c r="AU64" s="242">
        <v>0</v>
      </c>
      <c r="AV64" s="242">
        <v>0</v>
      </c>
      <c r="AW64" s="242">
        <v>0</v>
      </c>
      <c r="AX64" s="242">
        <v>0</v>
      </c>
      <c r="AY64" s="242">
        <v>0</v>
      </c>
      <c r="BA64" s="80"/>
      <c r="BB64" s="80"/>
    </row>
    <row r="65" spans="2:54">
      <c r="B65" s="218">
        <v>10183</v>
      </c>
      <c r="C65" s="218" t="s">
        <v>68</v>
      </c>
      <c r="D65" s="242">
        <v>337.7017194039654</v>
      </c>
      <c r="E65" s="242">
        <v>3321.3683699814919</v>
      </c>
      <c r="F65" s="242">
        <v>-7334.9630302969599</v>
      </c>
      <c r="G65" s="242">
        <v>-1439.0792033396174</v>
      </c>
      <c r="H65" s="242">
        <v>-6740.5729486787386</v>
      </c>
      <c r="I65" s="242">
        <v>748.75519952028117</v>
      </c>
      <c r="J65" s="242">
        <v>-5837.4727221165012</v>
      </c>
      <c r="K65" s="242">
        <v>1110.6107281939912</v>
      </c>
      <c r="L65" s="242">
        <v>-7190.2639125978967</v>
      </c>
      <c r="M65" s="242">
        <v>-447.94969119734014</v>
      </c>
      <c r="N65" s="242">
        <v>-9384.4562960029289</v>
      </c>
      <c r="O65" s="242">
        <v>-3004.1533907924277</v>
      </c>
      <c r="P65" s="242">
        <v>-2290.4627753760033</v>
      </c>
      <c r="Q65" s="242">
        <v>437.74210689133361</v>
      </c>
      <c r="R65" s="242">
        <v>-5674.653828560251</v>
      </c>
      <c r="S65" s="242">
        <v>-224.66677298156719</v>
      </c>
      <c r="T65" s="242">
        <v>-3854.9599470966386</v>
      </c>
      <c r="U65" s="242">
        <v>3436.1482483351137</v>
      </c>
      <c r="V65" s="242">
        <v>7076.374132571309</v>
      </c>
      <c r="W65" s="242">
        <v>10553.079359293024</v>
      </c>
      <c r="X65" s="242">
        <v>7236.8727920906967</v>
      </c>
      <c r="Y65" s="242">
        <v>9111.3337207675304</v>
      </c>
      <c r="Z65" s="242">
        <v>1638.8396987438937</v>
      </c>
      <c r="AA65" s="242">
        <v>6065.0560502189819</v>
      </c>
      <c r="AB65" s="242">
        <v>1356.8512163105224</v>
      </c>
      <c r="AC65" s="242">
        <v>2542.8039707562075</v>
      </c>
      <c r="AD65" s="242">
        <v>-7208.6085823237627</v>
      </c>
      <c r="AE65" s="242">
        <v>-1337.6797588411282</v>
      </c>
      <c r="AF65" s="242">
        <v>-6597.4291271192196</v>
      </c>
      <c r="AG65" s="242">
        <v>871.85888606146545</v>
      </c>
      <c r="AH65" s="242">
        <v>-5677.84149171229</v>
      </c>
      <c r="AI65" s="242">
        <v>1236.4738137049717</v>
      </c>
      <c r="AJ65" s="242">
        <v>-6189.8280056488875</v>
      </c>
      <c r="AK65" s="242">
        <v>272.36767285885981</v>
      </c>
      <c r="AL65" s="242">
        <v>-9260.5306855256676</v>
      </c>
      <c r="AM65" s="242">
        <v>-2906.7407114028538</v>
      </c>
      <c r="AN65" s="242">
        <v>-2162.5784301196181</v>
      </c>
      <c r="AO65" s="242">
        <v>531.19605150177085</v>
      </c>
      <c r="AP65" s="242">
        <v>-5532.9586914599386</v>
      </c>
      <c r="AQ65" s="242">
        <v>-112.94560719093715</v>
      </c>
      <c r="AR65" s="242">
        <v>-3692.7877701410798</v>
      </c>
      <c r="AS65" s="242">
        <v>3565.8859898995652</v>
      </c>
      <c r="AT65" s="242">
        <v>7277.2583775743296</v>
      </c>
      <c r="AU65" s="242">
        <v>10711.468860160789</v>
      </c>
      <c r="AV65" s="242">
        <v>6174.0999654504049</v>
      </c>
      <c r="AW65" s="242">
        <v>10517.341286766472</v>
      </c>
      <c r="AX65" s="242">
        <v>2820.2586379786771</v>
      </c>
      <c r="AY65" s="242">
        <v>5156.3002216896621</v>
      </c>
      <c r="BA65" s="80"/>
      <c r="BB65" s="80"/>
    </row>
    <row r="66" spans="2:54">
      <c r="B66" s="218">
        <v>10186</v>
      </c>
      <c r="C66" s="218" t="s">
        <v>69</v>
      </c>
      <c r="D66" s="242">
        <v>1063.0268204575987</v>
      </c>
      <c r="E66" s="242">
        <v>691.9908618108002</v>
      </c>
      <c r="F66" s="242">
        <v>-817.52414027520081</v>
      </c>
      <c r="G66" s="242">
        <v>209.18482830959965</v>
      </c>
      <c r="H66" s="242">
        <v>621.64042968240028</v>
      </c>
      <c r="I66" s="242">
        <v>1456.2443499135998</v>
      </c>
      <c r="J66" s="242">
        <v>-118.94518075599808</v>
      </c>
      <c r="K66" s="242">
        <v>1297.3959483464005</v>
      </c>
      <c r="L66" s="242">
        <v>-47.847704093599532</v>
      </c>
      <c r="M66" s="242">
        <v>904.59394563439946</v>
      </c>
      <c r="N66" s="242">
        <v>-450.9369119191997</v>
      </c>
      <c r="O66" s="242">
        <v>68.28282984480029</v>
      </c>
      <c r="P66" s="242">
        <v>402.72540869399927</v>
      </c>
      <c r="Q66" s="242">
        <v>693.51568716380007</v>
      </c>
      <c r="R66" s="242">
        <v>-1862.338213043201</v>
      </c>
      <c r="S66" s="242">
        <v>-619.43658559639971</v>
      </c>
      <c r="T66" s="242">
        <v>-1971.8928023184008</v>
      </c>
      <c r="U66" s="242">
        <v>-931.00279616280022</v>
      </c>
      <c r="V66" s="242">
        <v>-404.86815917760032</v>
      </c>
      <c r="W66" s="242">
        <v>244.24798745400039</v>
      </c>
      <c r="X66" s="242">
        <v>-555.14116447560082</v>
      </c>
      <c r="Y66" s="242">
        <v>-42.841618697239028</v>
      </c>
      <c r="Z66" s="242">
        <v>26.37421623839964</v>
      </c>
      <c r="AA66" s="242">
        <v>143.42363056639988</v>
      </c>
      <c r="AB66" s="242">
        <v>1021.7866898199991</v>
      </c>
      <c r="AC66" s="242">
        <v>741.49688762250025</v>
      </c>
      <c r="AD66" s="242">
        <v>-817.37775663999946</v>
      </c>
      <c r="AE66" s="242">
        <v>211.64302934500029</v>
      </c>
      <c r="AF66" s="242">
        <v>625.63022380500115</v>
      </c>
      <c r="AG66" s="242">
        <v>1462.2437915199998</v>
      </c>
      <c r="AH66" s="242">
        <v>-116.65174607500012</v>
      </c>
      <c r="AI66" s="242">
        <v>1302.9122373549999</v>
      </c>
      <c r="AJ66" s="242">
        <v>-24.908007694999469</v>
      </c>
      <c r="AK66" s="242">
        <v>835.8124273049998</v>
      </c>
      <c r="AL66" s="242">
        <v>-449.81137806499828</v>
      </c>
      <c r="AM66" s="242">
        <v>70.396446110001307</v>
      </c>
      <c r="AN66" s="242">
        <v>406.21151736250158</v>
      </c>
      <c r="AO66" s="242">
        <v>697.14827831625098</v>
      </c>
      <c r="AP66" s="242">
        <v>-1865.2882042400006</v>
      </c>
      <c r="AQ66" s="242">
        <v>-619.4692420424999</v>
      </c>
      <c r="AR66" s="242">
        <v>-1974.9718546299991</v>
      </c>
      <c r="AS66" s="242">
        <v>-931.58901152249928</v>
      </c>
      <c r="AT66" s="242">
        <v>-403.60756881999896</v>
      </c>
      <c r="AU66" s="242">
        <v>246.85081811249984</v>
      </c>
      <c r="AV66" s="242">
        <v>-501.03287960750004</v>
      </c>
      <c r="AW66" s="242">
        <v>-93.990890024249893</v>
      </c>
      <c r="AX66" s="242">
        <v>-21.554376369999773</v>
      </c>
      <c r="AY66" s="242">
        <v>195.72939448000034</v>
      </c>
      <c r="BA66" s="80"/>
      <c r="BB66" s="80"/>
    </row>
    <row r="67" spans="2:54">
      <c r="B67" s="218">
        <v>10190</v>
      </c>
      <c r="C67" s="218" t="s">
        <v>70</v>
      </c>
      <c r="D67" s="242">
        <v>-102.22261086360049</v>
      </c>
      <c r="E67" s="242">
        <v>-46.580034215050091</v>
      </c>
      <c r="F67" s="242">
        <v>250.79536518719988</v>
      </c>
      <c r="G67" s="242">
        <v>317.43561835190008</v>
      </c>
      <c r="H67" s="242">
        <v>925.35893326110045</v>
      </c>
      <c r="I67" s="242">
        <v>890.01903407039936</v>
      </c>
      <c r="J67" s="242">
        <v>804.38402030350017</v>
      </c>
      <c r="K67" s="242">
        <v>909.53973488209976</v>
      </c>
      <c r="L67" s="242">
        <v>645.77902934710028</v>
      </c>
      <c r="M67" s="242">
        <v>809.05606993909987</v>
      </c>
      <c r="N67" s="242">
        <v>-25.842539966300137</v>
      </c>
      <c r="O67" s="242">
        <v>130.59835099220004</v>
      </c>
      <c r="P67" s="242">
        <v>-283.07795724025027</v>
      </c>
      <c r="Q67" s="242">
        <v>-37.047915732424826</v>
      </c>
      <c r="R67" s="242">
        <v>-966.45956496480039</v>
      </c>
      <c r="S67" s="242">
        <v>-618.69553841335005</v>
      </c>
      <c r="T67" s="242">
        <v>-1017.0798264026002</v>
      </c>
      <c r="U67" s="242">
        <v>-706.53509256295024</v>
      </c>
      <c r="V67" s="242">
        <v>-312.16204971639991</v>
      </c>
      <c r="W67" s="242">
        <v>-190.15060347525014</v>
      </c>
      <c r="X67" s="242">
        <v>-300.64210506965037</v>
      </c>
      <c r="Y67" s="242">
        <v>-188.59046249773473</v>
      </c>
      <c r="Z67" s="242">
        <v>-437.77512521740027</v>
      </c>
      <c r="AA67" s="242">
        <v>-448.53262835040016</v>
      </c>
      <c r="AB67" s="242">
        <v>-135.29461086360016</v>
      </c>
      <c r="AC67" s="242">
        <v>-9.0440342150500328</v>
      </c>
      <c r="AD67" s="242">
        <v>253.19536518719997</v>
      </c>
      <c r="AE67" s="242">
        <v>319.36161835190001</v>
      </c>
      <c r="AF67" s="242">
        <v>927.75893326110054</v>
      </c>
      <c r="AG67" s="242">
        <v>892.08303407039966</v>
      </c>
      <c r="AH67" s="242">
        <v>806.88002030350026</v>
      </c>
      <c r="AI67" s="242">
        <v>911.50773488209961</v>
      </c>
      <c r="AJ67" s="242">
        <v>630.16150313109983</v>
      </c>
      <c r="AK67" s="242">
        <v>771.59930683110019</v>
      </c>
      <c r="AL67" s="242">
        <v>-23.346539966300043</v>
      </c>
      <c r="AM67" s="242">
        <v>132.56035099220026</v>
      </c>
      <c r="AN67" s="242">
        <v>-280.58195724025018</v>
      </c>
      <c r="AO67" s="242">
        <v>-35.223915732424757</v>
      </c>
      <c r="AP67" s="242">
        <v>-963.9635649648003</v>
      </c>
      <c r="AQ67" s="242">
        <v>-616.72753841334998</v>
      </c>
      <c r="AR67" s="242">
        <v>-1014.6798264026002</v>
      </c>
      <c r="AS67" s="242">
        <v>-704.61509256295017</v>
      </c>
      <c r="AT67" s="242">
        <v>-309.66604971639981</v>
      </c>
      <c r="AU67" s="242">
        <v>-188.18260347525006</v>
      </c>
      <c r="AV67" s="242">
        <v>-262.48210506965052</v>
      </c>
      <c r="AW67" s="242">
        <v>-222.28646249773487</v>
      </c>
      <c r="AX67" s="242">
        <v>-471.03912521739994</v>
      </c>
      <c r="AY67" s="242">
        <v>-410.94862835039999</v>
      </c>
      <c r="BA67" s="80"/>
      <c r="BB67" s="80"/>
    </row>
    <row r="68" spans="2:54">
      <c r="B68" s="218">
        <v>10191</v>
      </c>
      <c r="C68" s="218" t="s">
        <v>71</v>
      </c>
      <c r="D68" s="242">
        <v>12481.826477212795</v>
      </c>
      <c r="E68" s="242">
        <v>9294.1396096524004</v>
      </c>
      <c r="F68" s="242">
        <v>5337.5897234943986</v>
      </c>
      <c r="G68" s="242">
        <v>6302.3017725688042</v>
      </c>
      <c r="H68" s="242">
        <v>8140.2556242071951</v>
      </c>
      <c r="I68" s="242">
        <v>12064.654315980799</v>
      </c>
      <c r="J68" s="242">
        <v>10636.022662332005</v>
      </c>
      <c r="K68" s="242">
        <v>11742.038287799194</v>
      </c>
      <c r="L68" s="242">
        <v>7935.5512844792102</v>
      </c>
      <c r="M68" s="242">
        <v>9607.7271088632006</v>
      </c>
      <c r="N68" s="242">
        <v>2925.9355439624051</v>
      </c>
      <c r="O68" s="242">
        <v>5131.1592918544047</v>
      </c>
      <c r="P68" s="242">
        <v>11581.981873182005</v>
      </c>
      <c r="Q68" s="242">
        <v>7156.7083671614055</v>
      </c>
      <c r="R68" s="242">
        <v>-7231.639706009606</v>
      </c>
      <c r="S68" s="242">
        <v>-3118.3619120492003</v>
      </c>
      <c r="T68" s="242">
        <v>-14528.627179515199</v>
      </c>
      <c r="U68" s="242">
        <v>-4209.009909508397</v>
      </c>
      <c r="V68" s="242">
        <v>-4493.7851413727985</v>
      </c>
      <c r="W68" s="242">
        <v>277.81864346200382</v>
      </c>
      <c r="X68" s="242">
        <v>-1924.5265329667964</v>
      </c>
      <c r="Y68" s="242">
        <v>20.052100542285189</v>
      </c>
      <c r="Z68" s="242">
        <v>-858.6472507248036</v>
      </c>
      <c r="AA68" s="242">
        <v>2464.6762574591994</v>
      </c>
      <c r="AB68" s="242">
        <v>14581.078915734797</v>
      </c>
      <c r="AC68" s="242">
        <v>7000.0208256721562</v>
      </c>
      <c r="AD68" s="242">
        <v>5177.6207897503991</v>
      </c>
      <c r="AE68" s="242">
        <v>6188.9590127183037</v>
      </c>
      <c r="AF68" s="242">
        <v>7817.5446674226987</v>
      </c>
      <c r="AG68" s="242">
        <v>11817.950224572807</v>
      </c>
      <c r="AH68" s="242">
        <v>10336.776192199504</v>
      </c>
      <c r="AI68" s="242">
        <v>11533.228289219696</v>
      </c>
      <c r="AJ68" s="242">
        <v>7512.6341680127007</v>
      </c>
      <c r="AK68" s="242">
        <v>9650.5011589127025</v>
      </c>
      <c r="AL68" s="242">
        <v>2763.6743711009112</v>
      </c>
      <c r="AM68" s="242">
        <v>5015.7464076354008</v>
      </c>
      <c r="AN68" s="242">
        <v>11422.640785955758</v>
      </c>
      <c r="AO68" s="242">
        <v>7055.262462356779</v>
      </c>
      <c r="AP68" s="242">
        <v>-7312.4593617135979</v>
      </c>
      <c r="AQ68" s="242">
        <v>-3174.5444092509497</v>
      </c>
      <c r="AR68" s="242">
        <v>-14608.390064588195</v>
      </c>
      <c r="AS68" s="242">
        <v>-4268.7854212181446</v>
      </c>
      <c r="AT68" s="242">
        <v>-4581.0401807947928</v>
      </c>
      <c r="AU68" s="242">
        <v>216.79812156075423</v>
      </c>
      <c r="AV68" s="242">
        <v>-3893.6723254800454</v>
      </c>
      <c r="AW68" s="242">
        <v>1834.0473027001062</v>
      </c>
      <c r="AX68" s="242">
        <v>917.73435424819763</v>
      </c>
      <c r="AY68" s="242">
        <v>535.06910946720382</v>
      </c>
      <c r="BA68" s="80"/>
      <c r="BB68" s="80"/>
    </row>
    <row r="69" spans="2:54">
      <c r="B69" s="218">
        <v>10197</v>
      </c>
      <c r="C69" s="218" t="s">
        <v>72</v>
      </c>
      <c r="D69" s="242">
        <v>-4282.7909731668015</v>
      </c>
      <c r="E69" s="242">
        <v>-2485.53258375315</v>
      </c>
      <c r="F69" s="242">
        <v>-8211.2220296863998</v>
      </c>
      <c r="G69" s="242">
        <v>-4934.8978340403</v>
      </c>
      <c r="H69" s="242">
        <v>-8097.7587110407003</v>
      </c>
      <c r="I69" s="242">
        <v>-4588.5174929247996</v>
      </c>
      <c r="J69" s="242">
        <v>-9474.5947215294982</v>
      </c>
      <c r="K69" s="242">
        <v>-5309.6210328176985</v>
      </c>
      <c r="L69" s="242">
        <v>-9036.8857250226993</v>
      </c>
      <c r="M69" s="242">
        <v>-4829.3541805267005</v>
      </c>
      <c r="N69" s="242">
        <v>-9623.5084387068982</v>
      </c>
      <c r="O69" s="242">
        <v>-5882.3454734713987</v>
      </c>
      <c r="P69" s="242">
        <v>-2947.4471736607466</v>
      </c>
      <c r="Q69" s="242">
        <v>-1836.4036243352748</v>
      </c>
      <c r="R69" s="242">
        <v>7113.6053875375983</v>
      </c>
      <c r="S69" s="242">
        <v>6333.5611197239505</v>
      </c>
      <c r="T69" s="242">
        <v>5597.8124679762059</v>
      </c>
      <c r="U69" s="242">
        <v>6285.9782669391534</v>
      </c>
      <c r="V69" s="242">
        <v>12604.586578626799</v>
      </c>
      <c r="W69" s="242">
        <v>11179.929000034248</v>
      </c>
      <c r="X69" s="242">
        <v>12431.527870547048</v>
      </c>
      <c r="Y69" s="242">
        <v>9868.1777233791963</v>
      </c>
      <c r="Z69" s="242">
        <v>4323.8663379638019</v>
      </c>
      <c r="AA69" s="242">
        <v>5799.6571052847994</v>
      </c>
      <c r="AB69" s="242">
        <v>-4881.9609731668024</v>
      </c>
      <c r="AC69" s="242">
        <v>-3168.9455837531486</v>
      </c>
      <c r="AD69" s="242">
        <v>-8774.9520296863975</v>
      </c>
      <c r="AE69" s="242">
        <v>-5399.8358340402983</v>
      </c>
      <c r="AF69" s="242">
        <v>-8485.7337110406988</v>
      </c>
      <c r="AG69" s="242">
        <v>-4921.8764929248009</v>
      </c>
      <c r="AH69" s="242">
        <v>-9167.6417215294987</v>
      </c>
      <c r="AI69" s="242">
        <v>-5030.0410328177031</v>
      </c>
      <c r="AJ69" s="242">
        <v>-8580.8722422306964</v>
      </c>
      <c r="AK69" s="242">
        <v>-4557.8984391307004</v>
      </c>
      <c r="AL69" s="242">
        <v>-9756.7284387068994</v>
      </c>
      <c r="AM69" s="242">
        <v>-5985.7744734713988</v>
      </c>
      <c r="AN69" s="242">
        <v>-2828.579173660748</v>
      </c>
      <c r="AO69" s="242">
        <v>-1768.8796243352754</v>
      </c>
      <c r="AP69" s="242">
        <v>7290.4583875376011</v>
      </c>
      <c r="AQ69" s="242">
        <v>6479.1841197239501</v>
      </c>
      <c r="AR69" s="242">
        <v>5687.7234679762023</v>
      </c>
      <c r="AS69" s="242">
        <v>6341.153266939149</v>
      </c>
      <c r="AT69" s="242">
        <v>12859.331578626801</v>
      </c>
      <c r="AU69" s="242">
        <v>11369.702000034249</v>
      </c>
      <c r="AV69" s="242">
        <v>11932.932870547047</v>
      </c>
      <c r="AW69" s="242">
        <v>11104.012723379195</v>
      </c>
      <c r="AX69" s="242">
        <v>4985.5283379638022</v>
      </c>
      <c r="AY69" s="242">
        <v>5252.9761052847989</v>
      </c>
      <c r="BA69" s="80"/>
      <c r="BB69" s="80"/>
    </row>
    <row r="70" spans="2:54">
      <c r="B70" s="218">
        <v>10202</v>
      </c>
      <c r="C70" s="218" t="s">
        <v>73</v>
      </c>
      <c r="D70" s="242">
        <v>1599.5665352380001</v>
      </c>
      <c r="E70" s="242">
        <v>651.87588906024985</v>
      </c>
      <c r="F70" s="242">
        <v>600.71325022399924</v>
      </c>
      <c r="G70" s="242">
        <v>255.7060788105</v>
      </c>
      <c r="H70" s="242">
        <v>1102.7831970244988</v>
      </c>
      <c r="I70" s="242">
        <v>1012.0286907680002</v>
      </c>
      <c r="J70" s="242">
        <v>1081.9127145325001</v>
      </c>
      <c r="K70" s="242">
        <v>715.47402521949971</v>
      </c>
      <c r="L70" s="242">
        <v>283.80564239449996</v>
      </c>
      <c r="M70" s="242">
        <v>192.48381703450013</v>
      </c>
      <c r="N70" s="242">
        <v>-221.2269950584996</v>
      </c>
      <c r="O70" s="242">
        <v>-347.07318730099951</v>
      </c>
      <c r="P70" s="242">
        <v>336.96577662625077</v>
      </c>
      <c r="Q70" s="242">
        <v>-335.6408648153747</v>
      </c>
      <c r="R70" s="242">
        <v>-1800.2983446159997</v>
      </c>
      <c r="S70" s="242">
        <v>-1656.3707544382501</v>
      </c>
      <c r="T70" s="242">
        <v>-2343.9996987670002</v>
      </c>
      <c r="U70" s="242">
        <v>-1636.3185885702505</v>
      </c>
      <c r="V70" s="242">
        <v>-941.21240633799971</v>
      </c>
      <c r="W70" s="242">
        <v>-982.03511269875025</v>
      </c>
      <c r="X70" s="242">
        <v>731.44687695324956</v>
      </c>
      <c r="Y70" s="242">
        <v>-66.133269081824437</v>
      </c>
      <c r="Z70" s="242">
        <v>1172.3419708669999</v>
      </c>
      <c r="AA70" s="242">
        <v>590.51499663200002</v>
      </c>
      <c r="AB70" s="242">
        <v>1837.8885352379993</v>
      </c>
      <c r="AC70" s="242">
        <v>418.28188906025025</v>
      </c>
      <c r="AD70" s="242">
        <v>611.83725022399994</v>
      </c>
      <c r="AE70" s="242">
        <v>255.67607881049935</v>
      </c>
      <c r="AF70" s="242">
        <v>1121.8191970244998</v>
      </c>
      <c r="AG70" s="242">
        <v>1018.2196907679991</v>
      </c>
      <c r="AH70" s="242">
        <v>1102.3527145325015</v>
      </c>
      <c r="AI70" s="242">
        <v>721.19602521949946</v>
      </c>
      <c r="AJ70" s="242">
        <v>254.43780867450005</v>
      </c>
      <c r="AK70" s="242">
        <v>206.85690017449951</v>
      </c>
      <c r="AL70" s="242">
        <v>-214.26599505849936</v>
      </c>
      <c r="AM70" s="242">
        <v>-350.20018730099946</v>
      </c>
      <c r="AN70" s="242">
        <v>338.46277662625016</v>
      </c>
      <c r="AO70" s="242">
        <v>-342.74586481537517</v>
      </c>
      <c r="AP70" s="242">
        <v>-1805.6993446160013</v>
      </c>
      <c r="AQ70" s="242">
        <v>-1669.77675443825</v>
      </c>
      <c r="AR70" s="242">
        <v>-2349.1896987669998</v>
      </c>
      <c r="AS70" s="242">
        <v>-1649.6705885702504</v>
      </c>
      <c r="AT70" s="242">
        <v>-944.40840633799962</v>
      </c>
      <c r="AU70" s="242">
        <v>-994.92111269874977</v>
      </c>
      <c r="AV70" s="242">
        <v>521.35687695324941</v>
      </c>
      <c r="AW70" s="242">
        <v>144.3957309181751</v>
      </c>
      <c r="AX70" s="242">
        <v>1414.6139708669998</v>
      </c>
      <c r="AY70" s="242">
        <v>353.98399663200053</v>
      </c>
      <c r="BA70" s="80"/>
      <c r="BB70" s="80"/>
    </row>
    <row r="71" spans="2:54">
      <c r="B71" s="218">
        <v>10203</v>
      </c>
      <c r="C71" s="218" t="s">
        <v>74</v>
      </c>
      <c r="D71" s="242">
        <v>367.16322593439963</v>
      </c>
      <c r="E71" s="242">
        <v>64.033985450199907</v>
      </c>
      <c r="F71" s="242">
        <v>546.95494629120003</v>
      </c>
      <c r="G71" s="242">
        <v>504.98415617239971</v>
      </c>
      <c r="H71" s="242">
        <v>1251.4327439755994</v>
      </c>
      <c r="I71" s="242">
        <v>1077.3679449984002</v>
      </c>
      <c r="J71" s="242">
        <v>916.54456748599978</v>
      </c>
      <c r="K71" s="242">
        <v>988.25578969159983</v>
      </c>
      <c r="L71" s="242">
        <v>366.9306248316002</v>
      </c>
      <c r="M71" s="242">
        <v>484.5702368635998</v>
      </c>
      <c r="N71" s="242">
        <v>121.88914820519994</v>
      </c>
      <c r="O71" s="242">
        <v>55.824404071199979</v>
      </c>
      <c r="P71" s="242">
        <v>406.33611891100009</v>
      </c>
      <c r="Q71" s="242">
        <v>220.73323904470021</v>
      </c>
      <c r="R71" s="242">
        <v>-665.74809950080044</v>
      </c>
      <c r="S71" s="242">
        <v>-427.58003181660001</v>
      </c>
      <c r="T71" s="242">
        <v>-797.3229717096001</v>
      </c>
      <c r="U71" s="242">
        <v>-538.82333793820021</v>
      </c>
      <c r="V71" s="242">
        <v>9.0048603855998408</v>
      </c>
      <c r="W71" s="242">
        <v>-25.156023149000021</v>
      </c>
      <c r="X71" s="242">
        <v>56.877965148599742</v>
      </c>
      <c r="Y71" s="242">
        <v>-119.14561503606001</v>
      </c>
      <c r="Z71" s="242">
        <v>-153.34870581040013</v>
      </c>
      <c r="AA71" s="242">
        <v>-179.72346387840003</v>
      </c>
      <c r="AB71" s="242">
        <v>378.05322593439951</v>
      </c>
      <c r="AC71" s="242">
        <v>70.410985450200087</v>
      </c>
      <c r="AD71" s="242">
        <v>560.44794629119997</v>
      </c>
      <c r="AE71" s="242">
        <v>514.32415617239985</v>
      </c>
      <c r="AF71" s="242">
        <v>1267.6777439755992</v>
      </c>
      <c r="AG71" s="242">
        <v>1088.9049449984</v>
      </c>
      <c r="AH71" s="242">
        <v>932.20956748599974</v>
      </c>
      <c r="AI71" s="242">
        <v>999.47278969159993</v>
      </c>
      <c r="AJ71" s="242">
        <v>479.92359849560034</v>
      </c>
      <c r="AK71" s="242">
        <v>543.19472369560003</v>
      </c>
      <c r="AL71" s="242">
        <v>134.84714820520003</v>
      </c>
      <c r="AM71" s="242">
        <v>64.056404071200177</v>
      </c>
      <c r="AN71" s="242">
        <v>417.24811891100035</v>
      </c>
      <c r="AO71" s="242">
        <v>227.59123904470016</v>
      </c>
      <c r="AP71" s="242">
        <v>-655.82809950080036</v>
      </c>
      <c r="AQ71" s="242">
        <v>-421.16503181659982</v>
      </c>
      <c r="AR71" s="242">
        <v>-787.08697170960022</v>
      </c>
      <c r="AS71" s="242">
        <v>-533.05033793820007</v>
      </c>
      <c r="AT71" s="242">
        <v>20.787860385599743</v>
      </c>
      <c r="AU71" s="242">
        <v>-18.165023149000035</v>
      </c>
      <c r="AV71" s="242">
        <v>68.498965148599837</v>
      </c>
      <c r="AW71" s="242">
        <v>-113.09861503605998</v>
      </c>
      <c r="AX71" s="242">
        <v>-144.35870581040035</v>
      </c>
      <c r="AY71" s="242">
        <v>-173.98046387840009</v>
      </c>
      <c r="BA71" s="80"/>
      <c r="BB71" s="80"/>
    </row>
    <row r="72" spans="2:54">
      <c r="B72" s="218">
        <v>10204</v>
      </c>
      <c r="C72" s="218" t="s">
        <v>75</v>
      </c>
      <c r="D72" s="242">
        <v>16.481006307656571</v>
      </c>
      <c r="E72" s="242">
        <v>2012.0121589392111</v>
      </c>
      <c r="F72" s="242">
        <v>-2034.0349516545612</v>
      </c>
      <c r="G72" s="242">
        <v>1277.600735675187</v>
      </c>
      <c r="H72" s="242">
        <v>-197.37914225805798</v>
      </c>
      <c r="I72" s="242">
        <v>4113.2069284055233</v>
      </c>
      <c r="J72" s="242">
        <v>-36.603218836818996</v>
      </c>
      <c r="K72" s="242">
        <v>3709.4267260845409</v>
      </c>
      <c r="L72" s="242">
        <v>-815.08251040117466</v>
      </c>
      <c r="M72" s="242">
        <v>2585.2427274837737</v>
      </c>
      <c r="N72" s="242">
        <v>-3349.4677135195634</v>
      </c>
      <c r="O72" s="242">
        <v>228.1886740095124</v>
      </c>
      <c r="P72" s="242">
        <v>-885.30848610132671</v>
      </c>
      <c r="Q72" s="242">
        <v>734.66934185678838</v>
      </c>
      <c r="R72" s="242">
        <v>-3718.3775311781574</v>
      </c>
      <c r="S72" s="242">
        <v>-151.20979233080288</v>
      </c>
      <c r="T72" s="242">
        <v>-5896.8980132839588</v>
      </c>
      <c r="U72" s="242">
        <v>-451.27135911603546</v>
      </c>
      <c r="V72" s="242">
        <v>-1160.5320812934769</v>
      </c>
      <c r="W72" s="242">
        <v>2339.3145350458981</v>
      </c>
      <c r="X72" s="242">
        <v>-656.61420057160649</v>
      </c>
      <c r="Y72" s="242">
        <v>2067.6204925668517</v>
      </c>
      <c r="Z72" s="242">
        <v>-2357.0402714016691</v>
      </c>
      <c r="AA72" s="242">
        <v>967.79562291836555</v>
      </c>
      <c r="AB72" s="242">
        <v>684.43022891187502</v>
      </c>
      <c r="AC72" s="242">
        <v>1516.9196801427934</v>
      </c>
      <c r="AD72" s="242">
        <v>-1923.8814619543991</v>
      </c>
      <c r="AE72" s="242">
        <v>1365.9989111595678</v>
      </c>
      <c r="AF72" s="242">
        <v>-65.513709972299694</v>
      </c>
      <c r="AG72" s="242">
        <v>4226.6112001712772</v>
      </c>
      <c r="AH72" s="242">
        <v>104.45511787115902</v>
      </c>
      <c r="AI72" s="242">
        <v>3820.6457992581345</v>
      </c>
      <c r="AJ72" s="242">
        <v>-147.86311955783094</v>
      </c>
      <c r="AK72" s="242">
        <v>3104.9179506744003</v>
      </c>
      <c r="AL72" s="242">
        <v>-3240.9158665479517</v>
      </c>
      <c r="AM72" s="242">
        <v>313.51668833575604</v>
      </c>
      <c r="AN72" s="242">
        <v>-788.13496525809387</v>
      </c>
      <c r="AO72" s="242">
        <v>805.68076093453601</v>
      </c>
      <c r="AP72" s="242">
        <v>-3615.1959700677053</v>
      </c>
      <c r="AQ72" s="242">
        <v>-69.855099916792824</v>
      </c>
      <c r="AR72" s="242">
        <v>-5800.8664889463162</v>
      </c>
      <c r="AS72" s="242">
        <v>-374.44613964592281</v>
      </c>
      <c r="AT72" s="242">
        <v>-1052.1261373419693</v>
      </c>
      <c r="AU72" s="242">
        <v>2424.7884523922803</v>
      </c>
      <c r="AV72" s="242">
        <v>-1172.0913135539085</v>
      </c>
      <c r="AW72" s="242">
        <v>2772.3056629602925</v>
      </c>
      <c r="AX72" s="242">
        <v>-1739.0724037280779</v>
      </c>
      <c r="AY72" s="242">
        <v>506.33318544905887</v>
      </c>
      <c r="BA72" s="80"/>
      <c r="BB72" s="80"/>
    </row>
    <row r="73" spans="2:54">
      <c r="B73" s="218">
        <v>10209</v>
      </c>
      <c r="C73" s="218" t="s">
        <v>76</v>
      </c>
      <c r="D73" s="242">
        <v>3767.0273098035977</v>
      </c>
      <c r="E73" s="242">
        <v>636.65471229755713</v>
      </c>
      <c r="F73" s="242">
        <v>-3933.6533720671941</v>
      </c>
      <c r="G73" s="242">
        <v>770.31891751310104</v>
      </c>
      <c r="H73" s="242">
        <v>11078.158824423903</v>
      </c>
      <c r="I73" s="242">
        <v>11023.159213769599</v>
      </c>
      <c r="J73" s="242">
        <v>5582.7776014215051</v>
      </c>
      <c r="K73" s="242">
        <v>10008.240083152901</v>
      </c>
      <c r="L73" s="242">
        <v>2833.7941964379133</v>
      </c>
      <c r="M73" s="242">
        <v>6845.6038990459019</v>
      </c>
      <c r="N73" s="242">
        <v>-5112.4028361386954</v>
      </c>
      <c r="O73" s="242">
        <v>-1769.592761122196</v>
      </c>
      <c r="P73" s="242">
        <v>24.125744902754377</v>
      </c>
      <c r="Q73" s="242">
        <v>984.22111435867919</v>
      </c>
      <c r="R73" s="242">
        <v>-12914.776011115202</v>
      </c>
      <c r="S73" s="242">
        <v>-6561.0872968091462</v>
      </c>
      <c r="T73" s="242">
        <v>-11542.280700307398</v>
      </c>
      <c r="U73" s="242">
        <v>-6551.2636318195473</v>
      </c>
      <c r="V73" s="242">
        <v>-2307.1189922236008</v>
      </c>
      <c r="W73" s="242">
        <v>-245.16354611224597</v>
      </c>
      <c r="X73" s="242">
        <v>312.9887822421515</v>
      </c>
      <c r="Y73" s="242">
        <v>212.4784880354855</v>
      </c>
      <c r="Z73" s="242">
        <v>-1754.9378750725955</v>
      </c>
      <c r="AA73" s="242">
        <v>-1393.596857489596</v>
      </c>
      <c r="AB73" s="242">
        <v>3378.4893098036046</v>
      </c>
      <c r="AC73" s="242">
        <v>957.12371229755081</v>
      </c>
      <c r="AD73" s="242">
        <v>-3903.4873720671967</v>
      </c>
      <c r="AE73" s="242">
        <v>766.03991751310241</v>
      </c>
      <c r="AF73" s="242">
        <v>11247.8058244239</v>
      </c>
      <c r="AG73" s="242">
        <v>11094.821213769603</v>
      </c>
      <c r="AH73" s="242">
        <v>5722.2166014214963</v>
      </c>
      <c r="AI73" s="242">
        <v>10086.617083152902</v>
      </c>
      <c r="AJ73" s="242">
        <v>3037.9754190539097</v>
      </c>
      <c r="AK73" s="242">
        <v>6584.263010353905</v>
      </c>
      <c r="AL73" s="242">
        <v>-5084.8078361387015</v>
      </c>
      <c r="AM73" s="242">
        <v>-1788.1807611221993</v>
      </c>
      <c r="AN73" s="242">
        <v>10.854744902761013</v>
      </c>
      <c r="AO73" s="242">
        <v>953.96911435868242</v>
      </c>
      <c r="AP73" s="242">
        <v>-12954.258011115206</v>
      </c>
      <c r="AQ73" s="242">
        <v>-6620.6702968091486</v>
      </c>
      <c r="AR73" s="242">
        <v>-11536.043700307397</v>
      </c>
      <c r="AS73" s="242">
        <v>-6612.3326318195468</v>
      </c>
      <c r="AT73" s="242">
        <v>-2300.1989922236025</v>
      </c>
      <c r="AU73" s="242">
        <v>-293.77454611224675</v>
      </c>
      <c r="AV73" s="242">
        <v>705.90578224215278</v>
      </c>
      <c r="AW73" s="242">
        <v>-217.29651196451232</v>
      </c>
      <c r="AX73" s="242">
        <v>-2152.4558750725992</v>
      </c>
      <c r="AY73" s="242">
        <v>-1082.8178574895974</v>
      </c>
      <c r="BA73" s="80"/>
      <c r="BB73" s="80"/>
    </row>
    <row r="74" spans="2:54">
      <c r="B74" s="218">
        <v>10230</v>
      </c>
      <c r="C74" s="218" t="s">
        <v>77</v>
      </c>
      <c r="D74" s="242">
        <v>328.41787215039949</v>
      </c>
      <c r="E74" s="242">
        <v>-262.76871894679971</v>
      </c>
      <c r="F74" s="242">
        <v>94.695206259199949</v>
      </c>
      <c r="G74" s="242">
        <v>14.745112458399944</v>
      </c>
      <c r="H74" s="242">
        <v>1416.8427889096001</v>
      </c>
      <c r="I74" s="242">
        <v>1181.8860591744005</v>
      </c>
      <c r="J74" s="242">
        <v>1209.6008602760003</v>
      </c>
      <c r="K74" s="242">
        <v>983.86660336559999</v>
      </c>
      <c r="L74" s="242">
        <v>322.00666060559979</v>
      </c>
      <c r="M74" s="242">
        <v>579.53466911760006</v>
      </c>
      <c r="N74" s="242">
        <v>59.164106383200306</v>
      </c>
      <c r="O74" s="242">
        <v>-56.146954260800612</v>
      </c>
      <c r="P74" s="242">
        <v>361.89367682600005</v>
      </c>
      <c r="Q74" s="242">
        <v>77.063788940200538</v>
      </c>
      <c r="R74" s="242">
        <v>-941.91062241279997</v>
      </c>
      <c r="S74" s="242">
        <v>-823.47419611560008</v>
      </c>
      <c r="T74" s="242">
        <v>-1511.2508871535997</v>
      </c>
      <c r="U74" s="242">
        <v>-1266.8412148612001</v>
      </c>
      <c r="V74" s="242">
        <v>-134.36283103040023</v>
      </c>
      <c r="W74" s="242">
        <v>-294.19500113399999</v>
      </c>
      <c r="X74" s="242">
        <v>16.275620427600188</v>
      </c>
      <c r="Y74" s="242">
        <v>-367.38422648196001</v>
      </c>
      <c r="Z74" s="242">
        <v>-325.18621316640019</v>
      </c>
      <c r="AA74" s="242">
        <v>-668.52280125439984</v>
      </c>
      <c r="AB74" s="242">
        <v>262.24187215040001</v>
      </c>
      <c r="AC74" s="242">
        <v>-214.91371894679969</v>
      </c>
      <c r="AD74" s="242">
        <v>95.94020625919984</v>
      </c>
      <c r="AE74" s="242">
        <v>10.836112458399384</v>
      </c>
      <c r="AF74" s="242">
        <v>1436.6157889095994</v>
      </c>
      <c r="AG74" s="242">
        <v>1190.2990591744001</v>
      </c>
      <c r="AH74" s="242">
        <v>1227.907860276001</v>
      </c>
      <c r="AI74" s="242">
        <v>991.48360336560017</v>
      </c>
      <c r="AJ74" s="242">
        <v>341.67647122959988</v>
      </c>
      <c r="AK74" s="242">
        <v>554.8015744295999</v>
      </c>
      <c r="AL74" s="242">
        <v>58.624106383201251</v>
      </c>
      <c r="AM74" s="242">
        <v>-60.905954260800627</v>
      </c>
      <c r="AN74" s="242">
        <v>357.6096768260004</v>
      </c>
      <c r="AO74" s="242">
        <v>68.972788940200189</v>
      </c>
      <c r="AP74" s="242">
        <v>-946.45162241280059</v>
      </c>
      <c r="AQ74" s="242">
        <v>-835.67019611559999</v>
      </c>
      <c r="AR74" s="242">
        <v>-1466.0778871536004</v>
      </c>
      <c r="AS74" s="242">
        <v>-1254.8782148611999</v>
      </c>
      <c r="AT74" s="242">
        <v>-136.75183103040035</v>
      </c>
      <c r="AU74" s="242">
        <v>-305.39800113399951</v>
      </c>
      <c r="AV74" s="242">
        <v>78.648620427599781</v>
      </c>
      <c r="AW74" s="242">
        <v>-442.19922648195961</v>
      </c>
      <c r="AX74" s="242">
        <v>-388.11021316640108</v>
      </c>
      <c r="AY74" s="242">
        <v>-627.52580125439999</v>
      </c>
      <c r="BA74" s="80"/>
      <c r="BB74" s="80"/>
    </row>
    <row r="75" spans="2:54">
      <c r="B75" s="218">
        <v>10231</v>
      </c>
      <c r="C75" s="218" t="s">
        <v>78</v>
      </c>
      <c r="D75" s="242">
        <v>2937.4384531599972</v>
      </c>
      <c r="E75" s="242">
        <v>889.63802465499793</v>
      </c>
      <c r="F75" s="242">
        <v>-440.49923232000219</v>
      </c>
      <c r="G75" s="242">
        <v>-806.10509489000287</v>
      </c>
      <c r="H75" s="242">
        <v>1494.4680145899947</v>
      </c>
      <c r="I75" s="242">
        <v>1840.9267177599995</v>
      </c>
      <c r="J75" s="242">
        <v>2377.7749991499986</v>
      </c>
      <c r="K75" s="242">
        <v>2058.952629489997</v>
      </c>
      <c r="L75" s="242">
        <v>-1443.2716120100013</v>
      </c>
      <c r="M75" s="242">
        <v>-648.60316721000345</v>
      </c>
      <c r="N75" s="242">
        <v>-2154.3191964700018</v>
      </c>
      <c r="O75" s="242">
        <v>-1688.7460278200015</v>
      </c>
      <c r="P75" s="242">
        <v>799.97863477499777</v>
      </c>
      <c r="Q75" s="242">
        <v>-1153.3968664825006</v>
      </c>
      <c r="R75" s="242">
        <v>-3885.8684411200047</v>
      </c>
      <c r="S75" s="242">
        <v>-4201.4309326150014</v>
      </c>
      <c r="T75" s="242">
        <v>-4210.4431359400005</v>
      </c>
      <c r="U75" s="242">
        <v>-3192.1685328550011</v>
      </c>
      <c r="V75" s="242">
        <v>2905.7021448399973</v>
      </c>
      <c r="W75" s="242">
        <v>504.54656327499652</v>
      </c>
      <c r="X75" s="242">
        <v>3809.8360099149977</v>
      </c>
      <c r="Y75" s="242">
        <v>836.17636557849801</v>
      </c>
      <c r="Z75" s="242">
        <v>2362.9523579399993</v>
      </c>
      <c r="AA75" s="242">
        <v>1008.7843502399974</v>
      </c>
      <c r="AB75" s="242">
        <v>3589.7234531600006</v>
      </c>
      <c r="AC75" s="242">
        <v>156.08402465499967</v>
      </c>
      <c r="AD75" s="242">
        <v>-482.17423232000147</v>
      </c>
      <c r="AE75" s="242">
        <v>-877.54209489000095</v>
      </c>
      <c r="AF75" s="242">
        <v>1350.7390145899953</v>
      </c>
      <c r="AG75" s="242">
        <v>1692.3837177600017</v>
      </c>
      <c r="AH75" s="242">
        <v>2259.5549991499975</v>
      </c>
      <c r="AI75" s="242">
        <v>1938.7386294899989</v>
      </c>
      <c r="AJ75" s="242">
        <v>-803.87778240999978</v>
      </c>
      <c r="AK75" s="242">
        <v>-159.64325241000188</v>
      </c>
      <c r="AL75" s="242">
        <v>-2197.3631964699998</v>
      </c>
      <c r="AM75" s="242">
        <v>-1756.1440278199989</v>
      </c>
      <c r="AN75" s="242">
        <v>791.53163477499766</v>
      </c>
      <c r="AO75" s="242">
        <v>-1203.8398664824999</v>
      </c>
      <c r="AP75" s="242">
        <v>-3889.2174411200031</v>
      </c>
      <c r="AQ75" s="242">
        <v>-4261.6799326150012</v>
      </c>
      <c r="AR75" s="242">
        <v>-4202.0201359400016</v>
      </c>
      <c r="AS75" s="242">
        <v>-3242.3315328549998</v>
      </c>
      <c r="AT75" s="242">
        <v>2921.0451448399981</v>
      </c>
      <c r="AU75" s="242">
        <v>452.18556327499755</v>
      </c>
      <c r="AV75" s="242">
        <v>3054.2420099149967</v>
      </c>
      <c r="AW75" s="242">
        <v>1546.7773655784986</v>
      </c>
      <c r="AX75" s="242">
        <v>3073.504357939999</v>
      </c>
      <c r="AY75" s="242">
        <v>255.17835023999942</v>
      </c>
      <c r="BA75" s="80"/>
      <c r="BB75" s="80"/>
    </row>
    <row r="76" spans="2:54">
      <c r="B76" s="218">
        <v>10234</v>
      </c>
      <c r="C76" s="218" t="s">
        <v>79</v>
      </c>
      <c r="D76" s="242">
        <v>2290.4275712727976</v>
      </c>
      <c r="E76" s="242">
        <v>-670.63249005510079</v>
      </c>
      <c r="F76" s="242">
        <v>-1084.6284056256045</v>
      </c>
      <c r="G76" s="242">
        <v>-858.37289154619975</v>
      </c>
      <c r="H76" s="242">
        <v>5495.4868672721968</v>
      </c>
      <c r="I76" s="242">
        <v>3466.6833161408031</v>
      </c>
      <c r="J76" s="242">
        <v>2437.7916793570002</v>
      </c>
      <c r="K76" s="242">
        <v>4977.9638030141978</v>
      </c>
      <c r="L76" s="242">
        <v>2399.2407544441994</v>
      </c>
      <c r="M76" s="242">
        <v>2758.5478756282027</v>
      </c>
      <c r="N76" s="242">
        <v>872.33002031740034</v>
      </c>
      <c r="O76" s="242">
        <v>-1530.0525215155976</v>
      </c>
      <c r="P76" s="242">
        <v>1024.2383648945033</v>
      </c>
      <c r="Q76" s="242">
        <v>-402.7252365273489</v>
      </c>
      <c r="R76" s="242">
        <v>-7192.7400059296051</v>
      </c>
      <c r="S76" s="242">
        <v>-4461.8047382017012</v>
      </c>
      <c r="T76" s="242">
        <v>-5147.1192273052038</v>
      </c>
      <c r="U76" s="242">
        <v>-5152.5577485008998</v>
      </c>
      <c r="V76" s="242">
        <v>1062.8922575671968</v>
      </c>
      <c r="W76" s="242">
        <v>310.47768492449904</v>
      </c>
      <c r="X76" s="242">
        <v>2267.8893037357011</v>
      </c>
      <c r="Y76" s="242">
        <v>-272.66388413296954</v>
      </c>
      <c r="Z76" s="242">
        <v>-351.53632593480143</v>
      </c>
      <c r="AA76" s="242">
        <v>-2234.4496047007997</v>
      </c>
      <c r="AB76" s="242">
        <v>1936.4365712727958</v>
      </c>
      <c r="AC76" s="242">
        <v>-478.63849005509837</v>
      </c>
      <c r="AD76" s="242">
        <v>-1067.3384056256036</v>
      </c>
      <c r="AE76" s="242">
        <v>-960.05589154620247</v>
      </c>
      <c r="AF76" s="242">
        <v>5557.472867272194</v>
      </c>
      <c r="AG76" s="242">
        <v>3358.7073161408007</v>
      </c>
      <c r="AH76" s="242">
        <v>2443.7666793569988</v>
      </c>
      <c r="AI76" s="242">
        <v>4928.0928030141986</v>
      </c>
      <c r="AJ76" s="242">
        <v>3294.4072820121946</v>
      </c>
      <c r="AK76" s="242">
        <v>3082.0431394121988</v>
      </c>
      <c r="AL76" s="242">
        <v>905.60202031739755</v>
      </c>
      <c r="AM76" s="242">
        <v>-1670.1125215156007</v>
      </c>
      <c r="AN76" s="242">
        <v>1018.4413648944974</v>
      </c>
      <c r="AO76" s="242">
        <v>-500.16423652735102</v>
      </c>
      <c r="AP76" s="242">
        <v>-7246.0170059295997</v>
      </c>
      <c r="AQ76" s="242">
        <v>-4588.3497382016994</v>
      </c>
      <c r="AR76" s="242">
        <v>-5093.2012273051987</v>
      </c>
      <c r="AS76" s="242">
        <v>-5322.9647485009009</v>
      </c>
      <c r="AT76" s="242">
        <v>1069.5372575672009</v>
      </c>
      <c r="AU76" s="242">
        <v>176.93568492449776</v>
      </c>
      <c r="AV76" s="242">
        <v>2638.2363037357027</v>
      </c>
      <c r="AW76" s="242">
        <v>-772.75888413297071</v>
      </c>
      <c r="AX76" s="242">
        <v>-665.27132593480201</v>
      </c>
      <c r="AY76" s="242">
        <v>-2045.3826047008006</v>
      </c>
      <c r="BA76" s="80"/>
      <c r="BB76" s="80"/>
    </row>
    <row r="77" spans="2:54">
      <c r="B77" s="218">
        <v>10235</v>
      </c>
      <c r="C77" s="218" t="s">
        <v>80</v>
      </c>
      <c r="D77" s="242">
        <v>2331.4688150947986</v>
      </c>
      <c r="E77" s="242">
        <v>1011.0689230521502</v>
      </c>
      <c r="F77" s="242">
        <v>929.73409503039875</v>
      </c>
      <c r="G77" s="242">
        <v>447.9673442782987</v>
      </c>
      <c r="H77" s="242">
        <v>1344.4816970626998</v>
      </c>
      <c r="I77" s="242">
        <v>1688.5017855328006</v>
      </c>
      <c r="J77" s="242">
        <v>1624.997475599499</v>
      </c>
      <c r="K77" s="242">
        <v>1471.1025392597003</v>
      </c>
      <c r="L77" s="242">
        <v>1804.5606407646992</v>
      </c>
      <c r="M77" s="242">
        <v>1502.251684108699</v>
      </c>
      <c r="N77" s="242">
        <v>-230.17474701910032</v>
      </c>
      <c r="O77" s="242">
        <v>-237.7667050846012</v>
      </c>
      <c r="P77" s="242">
        <v>1273.779026855751</v>
      </c>
      <c r="Q77" s="242">
        <v>88.191234286775398</v>
      </c>
      <c r="R77" s="242">
        <v>-2826.6083812336001</v>
      </c>
      <c r="S77" s="242">
        <v>-2226.3629467909504</v>
      </c>
      <c r="T77" s="242">
        <v>-4081.782928828201</v>
      </c>
      <c r="U77" s="242">
        <v>-2159.2817257981515</v>
      </c>
      <c r="V77" s="242">
        <v>-1106.2668721547998</v>
      </c>
      <c r="W77" s="242">
        <v>-789.06515153925011</v>
      </c>
      <c r="X77" s="242">
        <v>-385.79873714005225</v>
      </c>
      <c r="Y77" s="242">
        <v>-657.54879841389538</v>
      </c>
      <c r="Z77" s="242">
        <v>-423.27826951180214</v>
      </c>
      <c r="AA77" s="242">
        <v>-391.63612349279992</v>
      </c>
      <c r="AB77" s="242">
        <v>2813.4673728967973</v>
      </c>
      <c r="AC77" s="242">
        <v>548.71194456190005</v>
      </c>
      <c r="AD77" s="242">
        <v>941.61241472639813</v>
      </c>
      <c r="AE77" s="242">
        <v>455.35901180779911</v>
      </c>
      <c r="AF77" s="242">
        <v>1357.9780254981979</v>
      </c>
      <c r="AG77" s="242">
        <v>1698.8968202047981</v>
      </c>
      <c r="AH77" s="242">
        <v>1639.717171166998</v>
      </c>
      <c r="AI77" s="242">
        <v>1481.0997801001995</v>
      </c>
      <c r="AJ77" s="242">
        <v>1657.3175844382004</v>
      </c>
      <c r="AK77" s="242">
        <v>1483.4561838381996</v>
      </c>
      <c r="AL77" s="242">
        <v>-220.04530214060105</v>
      </c>
      <c r="AM77" s="242">
        <v>-231.43902486360093</v>
      </c>
      <c r="AN77" s="242">
        <v>1284.6867840794985</v>
      </c>
      <c r="AO77" s="242">
        <v>93.740060247150723</v>
      </c>
      <c r="AP77" s="242">
        <v>-2821.9183738976026</v>
      </c>
      <c r="AQ77" s="242">
        <v>-2224.1388271627002</v>
      </c>
      <c r="AR77" s="242">
        <v>-4079.0279724212014</v>
      </c>
      <c r="AS77" s="242">
        <v>-2157.1297385979015</v>
      </c>
      <c r="AT77" s="242">
        <v>-1099.0675468568024</v>
      </c>
      <c r="AU77" s="242">
        <v>-784.95212599050046</v>
      </c>
      <c r="AV77" s="242">
        <v>-801.22833308330155</v>
      </c>
      <c r="AW77" s="242">
        <v>-229.60635785307022</v>
      </c>
      <c r="AX77" s="242">
        <v>-9.7164300188014749</v>
      </c>
      <c r="AY77" s="242">
        <v>-793.39065356480114</v>
      </c>
      <c r="BA77" s="80"/>
      <c r="BB77" s="80"/>
    </row>
    <row r="78" spans="2:54">
      <c r="B78" s="218">
        <v>10236</v>
      </c>
      <c r="C78" s="218" t="s">
        <v>81</v>
      </c>
      <c r="D78" s="242">
        <v>0</v>
      </c>
      <c r="E78" s="242">
        <v>0</v>
      </c>
      <c r="F78" s="242">
        <v>0</v>
      </c>
      <c r="G78" s="242">
        <v>0</v>
      </c>
      <c r="H78" s="242">
        <v>0</v>
      </c>
      <c r="I78" s="242">
        <v>0</v>
      </c>
      <c r="J78" s="242">
        <v>0</v>
      </c>
      <c r="K78" s="242">
        <v>0</v>
      </c>
      <c r="L78" s="242">
        <v>0</v>
      </c>
      <c r="M78" s="242">
        <v>0</v>
      </c>
      <c r="N78" s="242">
        <v>0</v>
      </c>
      <c r="O78" s="242">
        <v>0</v>
      </c>
      <c r="P78" s="242">
        <v>0</v>
      </c>
      <c r="Q78" s="242">
        <v>0</v>
      </c>
      <c r="R78" s="242">
        <v>0</v>
      </c>
      <c r="S78" s="242">
        <v>0</v>
      </c>
      <c r="T78" s="242">
        <v>0</v>
      </c>
      <c r="U78" s="242">
        <v>0</v>
      </c>
      <c r="V78" s="242">
        <v>0</v>
      </c>
      <c r="W78" s="242">
        <v>0</v>
      </c>
      <c r="X78" s="242">
        <v>0</v>
      </c>
      <c r="Y78" s="242">
        <v>0</v>
      </c>
      <c r="Z78" s="242">
        <v>0</v>
      </c>
      <c r="AA78" s="242">
        <v>0</v>
      </c>
      <c r="AB78" s="242">
        <v>0</v>
      </c>
      <c r="AC78" s="242">
        <v>0</v>
      </c>
      <c r="AD78" s="242">
        <v>0</v>
      </c>
      <c r="AE78" s="242">
        <v>0</v>
      </c>
      <c r="AF78" s="242">
        <v>0</v>
      </c>
      <c r="AG78" s="242">
        <v>0</v>
      </c>
      <c r="AH78" s="242">
        <v>0</v>
      </c>
      <c r="AI78" s="242">
        <v>0</v>
      </c>
      <c r="AJ78" s="242">
        <v>0</v>
      </c>
      <c r="AK78" s="242">
        <v>0</v>
      </c>
      <c r="AL78" s="242">
        <v>0</v>
      </c>
      <c r="AM78" s="242">
        <v>0</v>
      </c>
      <c r="AN78" s="242">
        <v>0</v>
      </c>
      <c r="AO78" s="242">
        <v>0</v>
      </c>
      <c r="AP78" s="242">
        <v>0</v>
      </c>
      <c r="AQ78" s="242">
        <v>0</v>
      </c>
      <c r="AR78" s="242">
        <v>0</v>
      </c>
      <c r="AS78" s="242">
        <v>0</v>
      </c>
      <c r="AT78" s="242">
        <v>0</v>
      </c>
      <c r="AU78" s="242">
        <v>0</v>
      </c>
      <c r="AV78" s="242">
        <v>0</v>
      </c>
      <c r="AW78" s="242">
        <v>0</v>
      </c>
      <c r="AX78" s="242">
        <v>0</v>
      </c>
      <c r="AY78" s="242">
        <v>0</v>
      </c>
      <c r="BA78" s="80"/>
      <c r="BB78" s="80"/>
    </row>
    <row r="79" spans="2:54">
      <c r="B79" s="218">
        <v>10237</v>
      </c>
      <c r="C79" s="218" t="s">
        <v>82</v>
      </c>
      <c r="D79" s="242">
        <v>1318.7041721742025</v>
      </c>
      <c r="E79" s="242">
        <v>3289.3042304695646</v>
      </c>
      <c r="F79" s="242">
        <v>-116.88560034744296</v>
      </c>
      <c r="G79" s="242">
        <v>3180.8159692064855</v>
      </c>
      <c r="H79" s="242">
        <v>1871.6769199893424</v>
      </c>
      <c r="I79" s="242">
        <v>6429.3826217573405</v>
      </c>
      <c r="J79" s="242">
        <v>-1670.5737054735619</v>
      </c>
      <c r="K79" s="242">
        <v>2889.6276946153102</v>
      </c>
      <c r="L79" s="242">
        <v>-970.21029436362005</v>
      </c>
      <c r="M79" s="242">
        <v>2870.0545221703142</v>
      </c>
      <c r="N79" s="242">
        <v>-2472.5715772187214</v>
      </c>
      <c r="O79" s="242">
        <v>1276.0600478837605</v>
      </c>
      <c r="P79" s="242">
        <v>1736.2033435472804</v>
      </c>
      <c r="Q79" s="242">
        <v>2823.5502613597928</v>
      </c>
      <c r="R79" s="242">
        <v>-5125.4917155910261</v>
      </c>
      <c r="S79" s="242">
        <v>-912.17089431174099</v>
      </c>
      <c r="T79" s="242">
        <v>-8012.9392086048811</v>
      </c>
      <c r="U79" s="242">
        <v>-1609.4106103488339</v>
      </c>
      <c r="V79" s="242">
        <v>-4935.4022049568794</v>
      </c>
      <c r="W79" s="242">
        <v>-229.15396904798945</v>
      </c>
      <c r="X79" s="242">
        <v>-3809.3866350994795</v>
      </c>
      <c r="Y79" s="242">
        <v>109.19017541863286</v>
      </c>
      <c r="Z79" s="242">
        <v>-2262.4499515007792</v>
      </c>
      <c r="AA79" s="242">
        <v>1430.3413777374935</v>
      </c>
      <c r="AB79" s="242">
        <v>2225.6817539065887</v>
      </c>
      <c r="AC79" s="242">
        <v>2758.2105517853215</v>
      </c>
      <c r="AD79" s="242">
        <v>130.74942593251762</v>
      </c>
      <c r="AE79" s="242">
        <v>3379.5430777961537</v>
      </c>
      <c r="AF79" s="242">
        <v>2162.1785923719399</v>
      </c>
      <c r="AG79" s="242">
        <v>6679.2140600063722</v>
      </c>
      <c r="AH79" s="242">
        <v>-1405.2320040207596</v>
      </c>
      <c r="AI79" s="242">
        <v>3098.8394207607871</v>
      </c>
      <c r="AJ79" s="242">
        <v>-113.79635649943157</v>
      </c>
      <c r="AK79" s="242">
        <v>3533.5098936111517</v>
      </c>
      <c r="AL79" s="242">
        <v>-2238.4409307440728</v>
      </c>
      <c r="AM79" s="242">
        <v>1460.1002435501323</v>
      </c>
      <c r="AN79" s="242">
        <v>1964.2395780631377</v>
      </c>
      <c r="AO79" s="242">
        <v>2990.1921250444575</v>
      </c>
      <c r="AP79" s="242">
        <v>-4928.4557986706495</v>
      </c>
      <c r="AQ79" s="242">
        <v>-756.81565212452188</v>
      </c>
      <c r="AR79" s="242">
        <v>-7835.4384766099611</v>
      </c>
      <c r="AS79" s="242">
        <v>-1467.4100247528986</v>
      </c>
      <c r="AT79" s="242">
        <v>-4759.3834525080147</v>
      </c>
      <c r="AU79" s="242">
        <v>-90.369952694045423</v>
      </c>
      <c r="AV79" s="242">
        <v>-4216.1547874791304</v>
      </c>
      <c r="AW79" s="242">
        <v>835.45964538920271</v>
      </c>
      <c r="AX79" s="242">
        <v>-1468.5150647320024</v>
      </c>
      <c r="AY79" s="242">
        <v>960.60635734768039</v>
      </c>
      <c r="BA79" s="80"/>
      <c r="BB79" s="80"/>
    </row>
    <row r="80" spans="2:54">
      <c r="B80" s="218">
        <v>10239</v>
      </c>
      <c r="C80" s="218" t="s">
        <v>83</v>
      </c>
      <c r="D80" s="242">
        <v>0</v>
      </c>
      <c r="E80" s="242">
        <v>0</v>
      </c>
      <c r="F80" s="242">
        <v>0</v>
      </c>
      <c r="G80" s="242">
        <v>0</v>
      </c>
      <c r="H80" s="242">
        <v>0</v>
      </c>
      <c r="I80" s="242">
        <v>0</v>
      </c>
      <c r="J80" s="242">
        <v>0</v>
      </c>
      <c r="K80" s="242">
        <v>0</v>
      </c>
      <c r="L80" s="242">
        <v>0</v>
      </c>
      <c r="M80" s="242">
        <v>0</v>
      </c>
      <c r="N80" s="242">
        <v>0</v>
      </c>
      <c r="O80" s="242">
        <v>0</v>
      </c>
      <c r="P80" s="242">
        <v>0</v>
      </c>
      <c r="Q80" s="242">
        <v>0</v>
      </c>
      <c r="R80" s="242">
        <v>0</v>
      </c>
      <c r="S80" s="242">
        <v>0</v>
      </c>
      <c r="T80" s="242">
        <v>0</v>
      </c>
      <c r="U80" s="242">
        <v>0</v>
      </c>
      <c r="V80" s="242">
        <v>0</v>
      </c>
      <c r="W80" s="242">
        <v>0</v>
      </c>
      <c r="X80" s="242">
        <v>0</v>
      </c>
      <c r="Y80" s="242">
        <v>0</v>
      </c>
      <c r="Z80" s="242">
        <v>0</v>
      </c>
      <c r="AA80" s="242">
        <v>0</v>
      </c>
      <c r="AB80" s="242">
        <v>0</v>
      </c>
      <c r="AC80" s="242">
        <v>0</v>
      </c>
      <c r="AD80" s="242">
        <v>0</v>
      </c>
      <c r="AE80" s="242">
        <v>0</v>
      </c>
      <c r="AF80" s="242">
        <v>0</v>
      </c>
      <c r="AG80" s="242">
        <v>0</v>
      </c>
      <c r="AH80" s="242">
        <v>0</v>
      </c>
      <c r="AI80" s="242">
        <v>0</v>
      </c>
      <c r="AJ80" s="242">
        <v>0</v>
      </c>
      <c r="AK80" s="242">
        <v>0</v>
      </c>
      <c r="AL80" s="242">
        <v>0</v>
      </c>
      <c r="AM80" s="242">
        <v>0</v>
      </c>
      <c r="AN80" s="242">
        <v>0</v>
      </c>
      <c r="AO80" s="242">
        <v>0</v>
      </c>
      <c r="AP80" s="242">
        <v>0</v>
      </c>
      <c r="AQ80" s="242">
        <v>0</v>
      </c>
      <c r="AR80" s="242">
        <v>0</v>
      </c>
      <c r="AS80" s="242">
        <v>0</v>
      </c>
      <c r="AT80" s="242">
        <v>0</v>
      </c>
      <c r="AU80" s="242">
        <v>0</v>
      </c>
      <c r="AV80" s="242">
        <v>0</v>
      </c>
      <c r="AW80" s="242">
        <v>0</v>
      </c>
      <c r="AX80" s="242">
        <v>0</v>
      </c>
      <c r="AY80" s="242">
        <v>0</v>
      </c>
      <c r="BA80" s="80"/>
      <c r="BB80" s="80"/>
    </row>
    <row r="81" spans="2:54">
      <c r="B81" s="218">
        <v>10242</v>
      </c>
      <c r="C81" s="218" t="s">
        <v>84</v>
      </c>
      <c r="D81" s="242">
        <v>-1717.8120269495998</v>
      </c>
      <c r="E81" s="242">
        <v>-1173.9487258092995</v>
      </c>
      <c r="F81" s="242">
        <v>-2680.6026105408</v>
      </c>
      <c r="G81" s="242">
        <v>-1492.8539217666</v>
      </c>
      <c r="H81" s="242">
        <v>-2291.2040676153993</v>
      </c>
      <c r="I81" s="242">
        <v>-1182.5680984256001</v>
      </c>
      <c r="J81" s="242">
        <v>-2648.3838468489989</v>
      </c>
      <c r="K81" s="242">
        <v>-1163.2329459094001</v>
      </c>
      <c r="L81" s="242">
        <v>-2400.3284424193989</v>
      </c>
      <c r="M81" s="242">
        <v>-950.53578190739995</v>
      </c>
      <c r="N81" s="242">
        <v>-2871.2519157917995</v>
      </c>
      <c r="O81" s="242">
        <v>-1674.2114098107995</v>
      </c>
      <c r="P81" s="242">
        <v>-2058.0021287364998</v>
      </c>
      <c r="Q81" s="242">
        <v>-1242.7508745160494</v>
      </c>
      <c r="R81" s="242">
        <v>621.50979878720045</v>
      </c>
      <c r="S81" s="242">
        <v>1058.4055328469003</v>
      </c>
      <c r="T81" s="242">
        <v>2683.1633109963996</v>
      </c>
      <c r="U81" s="242">
        <v>2409.6936615012996</v>
      </c>
      <c r="V81" s="242">
        <v>4805.9139630696</v>
      </c>
      <c r="W81" s="242">
        <v>4522.1570645535012</v>
      </c>
      <c r="X81" s="242">
        <v>3784.8268747151005</v>
      </c>
      <c r="Y81" s="242">
        <v>3267.8432255142902</v>
      </c>
      <c r="Z81" s="242">
        <v>1162.0172436835992</v>
      </c>
      <c r="AA81" s="242">
        <v>1236.4324263455997</v>
      </c>
      <c r="AB81" s="242">
        <v>-1794.9030269496002</v>
      </c>
      <c r="AC81" s="242">
        <v>-1181.7907258092996</v>
      </c>
      <c r="AD81" s="242">
        <v>-2725.5156105408005</v>
      </c>
      <c r="AE81" s="242">
        <v>-1529.0799217665999</v>
      </c>
      <c r="AF81" s="242">
        <v>-2336.1070676153995</v>
      </c>
      <c r="AG81" s="242">
        <v>-1222.5980984256</v>
      </c>
      <c r="AH81" s="242">
        <v>-2696.0668468489989</v>
      </c>
      <c r="AI81" s="242">
        <v>-1200.4819459094001</v>
      </c>
      <c r="AJ81" s="242">
        <v>-2323.0099777954001</v>
      </c>
      <c r="AK81" s="242">
        <v>-938.53754959539992</v>
      </c>
      <c r="AL81" s="242">
        <v>-2918.3039157917997</v>
      </c>
      <c r="AM81" s="242">
        <v>-1711.9284098107996</v>
      </c>
      <c r="AN81" s="242">
        <v>-2104.4511287364994</v>
      </c>
      <c r="AO81" s="242">
        <v>-1277.2748745160493</v>
      </c>
      <c r="AP81" s="242">
        <v>667.89179878720006</v>
      </c>
      <c r="AQ81" s="242">
        <v>1093.4485328469004</v>
      </c>
      <c r="AR81" s="242">
        <v>2736.5363109963992</v>
      </c>
      <c r="AS81" s="242">
        <v>2441.7056615013003</v>
      </c>
      <c r="AT81" s="242">
        <v>4851.5839630696019</v>
      </c>
      <c r="AU81" s="242">
        <v>4557.9120645535004</v>
      </c>
      <c r="AV81" s="242">
        <v>3863.524874715099</v>
      </c>
      <c r="AW81" s="242">
        <v>3270.5682255142906</v>
      </c>
      <c r="AX81" s="242">
        <v>1182.1162436835994</v>
      </c>
      <c r="AY81" s="242">
        <v>1301.7164263455998</v>
      </c>
      <c r="BA81" s="80"/>
      <c r="BB81" s="80"/>
    </row>
    <row r="82" spans="2:54">
      <c r="B82" s="218">
        <v>10244</v>
      </c>
      <c r="C82" s="218" t="s">
        <v>85</v>
      </c>
      <c r="D82" s="242">
        <v>2195.9414418875931</v>
      </c>
      <c r="E82" s="242">
        <v>610.16081965705234</v>
      </c>
      <c r="F82" s="242">
        <v>2646.8703063647918</v>
      </c>
      <c r="G82" s="242">
        <v>6342.5729836521023</v>
      </c>
      <c r="H82" s="242">
        <v>17798.337261814908</v>
      </c>
      <c r="I82" s="242">
        <v>17277.433388393601</v>
      </c>
      <c r="J82" s="242">
        <v>15011.469788756505</v>
      </c>
      <c r="K82" s="242">
        <v>17169.984482553897</v>
      </c>
      <c r="L82" s="242">
        <v>10448.512197488904</v>
      </c>
      <c r="M82" s="242">
        <v>14098.326227616904</v>
      </c>
      <c r="N82" s="242">
        <v>3418.9802764583001</v>
      </c>
      <c r="O82" s="242">
        <v>4339.3659643598003</v>
      </c>
      <c r="P82" s="242">
        <v>1242.0671030502563</v>
      </c>
      <c r="Q82" s="242">
        <v>2517.2188437694276</v>
      </c>
      <c r="R82" s="242">
        <v>-16525.059843803203</v>
      </c>
      <c r="S82" s="242">
        <v>-9412.5397127726501</v>
      </c>
      <c r="T82" s="242">
        <v>-19741.887545813399</v>
      </c>
      <c r="U82" s="242">
        <v>-13069.09851135905</v>
      </c>
      <c r="V82" s="242">
        <v>-13373.708214107599</v>
      </c>
      <c r="W82" s="242">
        <v>-7961.1918533147473</v>
      </c>
      <c r="X82" s="242">
        <v>-11517.461750024348</v>
      </c>
      <c r="Y82" s="242">
        <v>-7476.4385768448628</v>
      </c>
      <c r="Z82" s="242">
        <v>-8829.0906217666015</v>
      </c>
      <c r="AA82" s="242">
        <v>-7207.6857189136008</v>
      </c>
      <c r="AB82" s="242">
        <v>2153.3704418875968</v>
      </c>
      <c r="AC82" s="242">
        <v>950.84681965705022</v>
      </c>
      <c r="AD82" s="242">
        <v>2846.2933063648015</v>
      </c>
      <c r="AE82" s="242">
        <v>6472.1779836521055</v>
      </c>
      <c r="AF82" s="242">
        <v>18001.138261814907</v>
      </c>
      <c r="AG82" s="242">
        <v>17371.703388393606</v>
      </c>
      <c r="AH82" s="242">
        <v>15193.923788756503</v>
      </c>
      <c r="AI82" s="242">
        <v>17284.696482553903</v>
      </c>
      <c r="AJ82" s="242">
        <v>11169.3424811449</v>
      </c>
      <c r="AK82" s="242">
        <v>14240.630369444898</v>
      </c>
      <c r="AL82" s="242">
        <v>3623.4382764583061</v>
      </c>
      <c r="AM82" s="242">
        <v>4433.4069643597941</v>
      </c>
      <c r="AN82" s="242">
        <v>1448.1691030502552</v>
      </c>
      <c r="AO82" s="242">
        <v>2641.5248437694245</v>
      </c>
      <c r="AP82" s="242">
        <v>-16823.783843803205</v>
      </c>
      <c r="AQ82" s="242">
        <v>-9669.0447127726511</v>
      </c>
      <c r="AR82" s="242">
        <v>-19996.634545813402</v>
      </c>
      <c r="AS82" s="242">
        <v>-13336.27251135905</v>
      </c>
      <c r="AT82" s="242">
        <v>-13660.849214107599</v>
      </c>
      <c r="AU82" s="242">
        <v>-8229.2728533147492</v>
      </c>
      <c r="AV82" s="242">
        <v>-11532.425750024348</v>
      </c>
      <c r="AW82" s="242">
        <v>-8016.6925768448637</v>
      </c>
      <c r="AX82" s="242">
        <v>-9352.2376217666024</v>
      </c>
      <c r="AY82" s="242">
        <v>-7206.4677189135982</v>
      </c>
      <c r="BA82" s="80"/>
      <c r="BB82" s="80"/>
    </row>
    <row r="83" spans="2:54">
      <c r="B83" s="218">
        <v>10246</v>
      </c>
      <c r="C83" s="218" t="s">
        <v>86</v>
      </c>
      <c r="D83" s="242">
        <v>888.88045299719897</v>
      </c>
      <c r="E83" s="242">
        <v>662.07652124635024</v>
      </c>
      <c r="F83" s="242">
        <v>860.3747725855992</v>
      </c>
      <c r="G83" s="242">
        <v>799.1516177786998</v>
      </c>
      <c r="H83" s="242">
        <v>1282.2079942702994</v>
      </c>
      <c r="I83" s="242">
        <v>1408.1782205792001</v>
      </c>
      <c r="J83" s="242">
        <v>1233.3634310054995</v>
      </c>
      <c r="K83" s="242">
        <v>1245.4479857032993</v>
      </c>
      <c r="L83" s="242">
        <v>1257.6502431482995</v>
      </c>
      <c r="M83" s="242">
        <v>1164.4097375642996</v>
      </c>
      <c r="N83" s="242">
        <v>337.22091253009967</v>
      </c>
      <c r="O83" s="242">
        <v>550.84157185059985</v>
      </c>
      <c r="P83" s="242">
        <v>744.98458468674971</v>
      </c>
      <c r="Q83" s="242">
        <v>484.96041261547498</v>
      </c>
      <c r="R83" s="242">
        <v>-1187.2345757104003</v>
      </c>
      <c r="S83" s="242">
        <v>-646.26409035954975</v>
      </c>
      <c r="T83" s="242">
        <v>-1467.5230842498004</v>
      </c>
      <c r="U83" s="242">
        <v>-578.44065184035026</v>
      </c>
      <c r="V83" s="242">
        <v>-604.36151333720045</v>
      </c>
      <c r="W83" s="242">
        <v>-184.81359896825006</v>
      </c>
      <c r="X83" s="242">
        <v>-382.13058519945071</v>
      </c>
      <c r="Y83" s="242">
        <v>-192.72075899315496</v>
      </c>
      <c r="Z83" s="242">
        <v>-308.05596601020079</v>
      </c>
      <c r="AA83" s="242">
        <v>28.090488980799819</v>
      </c>
      <c r="AB83" s="242">
        <v>1072.9994529971996</v>
      </c>
      <c r="AC83" s="242">
        <v>506.40952124634987</v>
      </c>
      <c r="AD83" s="242">
        <v>878.50077258559941</v>
      </c>
      <c r="AE83" s="242">
        <v>811.82061777869967</v>
      </c>
      <c r="AF83" s="242">
        <v>1298.4719942702995</v>
      </c>
      <c r="AG83" s="242">
        <v>1420.3692205791999</v>
      </c>
      <c r="AH83" s="242">
        <v>1250.3454310054994</v>
      </c>
      <c r="AI83" s="242">
        <v>1257.3549857032995</v>
      </c>
      <c r="AJ83" s="242">
        <v>1204.0177517802995</v>
      </c>
      <c r="AK83" s="242">
        <v>1163.4434918802999</v>
      </c>
      <c r="AL83" s="242">
        <v>354.82291253009953</v>
      </c>
      <c r="AM83" s="242">
        <v>563.44657185059987</v>
      </c>
      <c r="AN83" s="242">
        <v>762.73858468674962</v>
      </c>
      <c r="AO83" s="242">
        <v>496.53341261547484</v>
      </c>
      <c r="AP83" s="242">
        <v>-1169.8845757104004</v>
      </c>
      <c r="AQ83" s="242">
        <v>-634.28709035954989</v>
      </c>
      <c r="AR83" s="242">
        <v>-1450.1650842498002</v>
      </c>
      <c r="AS83" s="242">
        <v>-566.47465184035036</v>
      </c>
      <c r="AT83" s="242">
        <v>-586.7055133372005</v>
      </c>
      <c r="AU83" s="242">
        <v>-173.13559896824972</v>
      </c>
      <c r="AV83" s="242">
        <v>-496.83458519945088</v>
      </c>
      <c r="AW83" s="242">
        <v>-48.682758993154948</v>
      </c>
      <c r="AX83" s="242">
        <v>-159.83896601020069</v>
      </c>
      <c r="AY83" s="242">
        <v>-90.795511019200148</v>
      </c>
      <c r="BA83" s="80"/>
      <c r="BB83" s="80"/>
    </row>
    <row r="84" spans="2:54">
      <c r="B84" s="218">
        <v>10247</v>
      </c>
      <c r="C84" s="218" t="s">
        <v>87</v>
      </c>
      <c r="D84" s="242">
        <v>4975.6472886239972</v>
      </c>
      <c r="E84" s="242">
        <v>3227.7553462420001</v>
      </c>
      <c r="F84" s="242">
        <v>4228.3073963520001</v>
      </c>
      <c r="G84" s="242">
        <v>2908.5924116040005</v>
      </c>
      <c r="H84" s="242">
        <v>7854.5273774759989</v>
      </c>
      <c r="I84" s="242">
        <v>5200.5253360640017</v>
      </c>
      <c r="J84" s="242">
        <v>7040.0785530599969</v>
      </c>
      <c r="K84" s="242">
        <v>6157.5390638360004</v>
      </c>
      <c r="L84" s="242">
        <v>5686.0086332360079</v>
      </c>
      <c r="M84" s="242">
        <v>6691.7724319560002</v>
      </c>
      <c r="N84" s="242">
        <v>437.30731729199761</v>
      </c>
      <c r="O84" s="242">
        <v>670.85516015200483</v>
      </c>
      <c r="P84" s="242">
        <v>4054.0405898100034</v>
      </c>
      <c r="Q84" s="242">
        <v>2936.6304668370067</v>
      </c>
      <c r="R84" s="242">
        <v>-9462.5274519680024</v>
      </c>
      <c r="S84" s="242">
        <v>-6922.3735975859963</v>
      </c>
      <c r="T84" s="242">
        <v>-13714.490690615996</v>
      </c>
      <c r="U84" s="242">
        <v>-7471.4455167220003</v>
      </c>
      <c r="V84" s="242">
        <v>-6593.8244414239998</v>
      </c>
      <c r="W84" s="242">
        <v>-3604.1242527899994</v>
      </c>
      <c r="X84" s="242">
        <v>-5982.4725806940005</v>
      </c>
      <c r="Y84" s="242">
        <v>-2236.2211115825958</v>
      </c>
      <c r="Z84" s="242">
        <v>-2739.714508584002</v>
      </c>
      <c r="AA84" s="242">
        <v>-3342.3777808640007</v>
      </c>
      <c r="AB84" s="242">
        <v>4935.9422886239954</v>
      </c>
      <c r="AC84" s="242">
        <v>3197.9003462420005</v>
      </c>
      <c r="AD84" s="242">
        <v>4220.6353963520014</v>
      </c>
      <c r="AE84" s="242">
        <v>2874.5714116039999</v>
      </c>
      <c r="AF84" s="242">
        <v>7835.8783774760013</v>
      </c>
      <c r="AG84" s="242">
        <v>5148.177336064</v>
      </c>
      <c r="AH84" s="242">
        <v>7013.2485530599952</v>
      </c>
      <c r="AI84" s="242">
        <v>6112.6740638360025</v>
      </c>
      <c r="AJ84" s="242">
        <v>6256.3262466760061</v>
      </c>
      <c r="AK84" s="242">
        <v>6849.1967386760007</v>
      </c>
      <c r="AL84" s="242">
        <v>409.74331729199912</v>
      </c>
      <c r="AM84" s="242">
        <v>625.99816015200122</v>
      </c>
      <c r="AN84" s="242">
        <v>4026.0535898100024</v>
      </c>
      <c r="AO84" s="242">
        <v>2902.6534668370041</v>
      </c>
      <c r="AP84" s="242">
        <v>-9487.4204519679988</v>
      </c>
      <c r="AQ84" s="242">
        <v>-6971.7465975859959</v>
      </c>
      <c r="AR84" s="242">
        <v>-13733.791690615995</v>
      </c>
      <c r="AS84" s="242">
        <v>-7518.2795167220029</v>
      </c>
      <c r="AT84" s="242">
        <v>-6615.1234414239989</v>
      </c>
      <c r="AU84" s="242">
        <v>-3651.2662527899956</v>
      </c>
      <c r="AV84" s="242">
        <v>-5996.5535806939988</v>
      </c>
      <c r="AW84" s="242">
        <v>-2294.1211115825972</v>
      </c>
      <c r="AX84" s="242">
        <v>-2764.1275085840025</v>
      </c>
      <c r="AY84" s="242">
        <v>-3380.3927808640001</v>
      </c>
      <c r="BA84" s="80"/>
      <c r="BB84" s="80"/>
    </row>
    <row r="85" spans="2:54">
      <c r="B85" s="218">
        <v>10256</v>
      </c>
      <c r="C85" s="218" t="s">
        <v>88</v>
      </c>
      <c r="D85" s="242">
        <v>1480.8081253484015</v>
      </c>
      <c r="E85" s="242">
        <v>488.77570066844964</v>
      </c>
      <c r="F85" s="242">
        <v>-1414.1855854368005</v>
      </c>
      <c r="G85" s="242">
        <v>1000.1416321788984</v>
      </c>
      <c r="H85" s="242">
        <v>3801.6983307240989</v>
      </c>
      <c r="I85" s="242">
        <v>4463.3211205023981</v>
      </c>
      <c r="J85" s="242">
        <v>687.96866095850055</v>
      </c>
      <c r="K85" s="242">
        <v>3552.8947102751008</v>
      </c>
      <c r="L85" s="242">
        <v>-743.43472680989726</v>
      </c>
      <c r="M85" s="242">
        <v>1761.9708451421011</v>
      </c>
      <c r="N85" s="242">
        <v>32.230318254703889</v>
      </c>
      <c r="O85" s="242">
        <v>812.11303101819794</v>
      </c>
      <c r="P85" s="242">
        <v>2101.2020877272516</v>
      </c>
      <c r="Q85" s="242">
        <v>1521.6722887923261</v>
      </c>
      <c r="R85" s="242">
        <v>-3037.4980817487994</v>
      </c>
      <c r="S85" s="242">
        <v>-1447.6013978688497</v>
      </c>
      <c r="T85" s="242">
        <v>-6037.6684550606005</v>
      </c>
      <c r="U85" s="242">
        <v>-3875.6682381864503</v>
      </c>
      <c r="V85" s="242">
        <v>-1215.1729173284002</v>
      </c>
      <c r="W85" s="242">
        <v>687.99917894225109</v>
      </c>
      <c r="X85" s="242">
        <v>-648.60318400415417</v>
      </c>
      <c r="Y85" s="242">
        <v>327.26441374471688</v>
      </c>
      <c r="Z85" s="242">
        <v>-2253.2979911593993</v>
      </c>
      <c r="AA85" s="242">
        <v>-2045.0780671824014</v>
      </c>
      <c r="AB85" s="242">
        <v>1322.9901253483986</v>
      </c>
      <c r="AC85" s="242">
        <v>662.44570066844972</v>
      </c>
      <c r="AD85" s="242">
        <v>-1426.6065854367989</v>
      </c>
      <c r="AE85" s="242">
        <v>961.85063217889729</v>
      </c>
      <c r="AF85" s="242">
        <v>3740.375330724095</v>
      </c>
      <c r="AG85" s="242">
        <v>4346.343120502399</v>
      </c>
      <c r="AH85" s="242">
        <v>599.91566095850067</v>
      </c>
      <c r="AI85" s="242">
        <v>3460.5217102751012</v>
      </c>
      <c r="AJ85" s="242">
        <v>1614.0231676941003</v>
      </c>
      <c r="AK85" s="242">
        <v>3153.7782923940977</v>
      </c>
      <c r="AL85" s="242">
        <v>-41.965681745299662</v>
      </c>
      <c r="AM85" s="242">
        <v>703.13003101820141</v>
      </c>
      <c r="AN85" s="242">
        <v>2037.0410877272479</v>
      </c>
      <c r="AO85" s="242">
        <v>1433.9942887923244</v>
      </c>
      <c r="AP85" s="242">
        <v>-3367.1860817488014</v>
      </c>
      <c r="AQ85" s="242">
        <v>-1734.0353978688472</v>
      </c>
      <c r="AR85" s="242">
        <v>-6331.5654550605977</v>
      </c>
      <c r="AS85" s="242">
        <v>-4164.0872381864519</v>
      </c>
      <c r="AT85" s="242">
        <v>-1546.5179173284014</v>
      </c>
      <c r="AU85" s="242">
        <v>401.06417894224978</v>
      </c>
      <c r="AV85" s="242">
        <v>-786.29418400415307</v>
      </c>
      <c r="AW85" s="242">
        <v>-154.39858625528359</v>
      </c>
      <c r="AX85" s="242">
        <v>-2744.3979911594015</v>
      </c>
      <c r="AY85" s="242">
        <v>-2139.5000671824</v>
      </c>
      <c r="BA85" s="80"/>
      <c r="BB85" s="80"/>
    </row>
    <row r="86" spans="2:54">
      <c r="B86" s="218">
        <v>10258</v>
      </c>
      <c r="C86" s="218" t="s">
        <v>89</v>
      </c>
      <c r="D86" s="242">
        <v>633.51795016839969</v>
      </c>
      <c r="E86" s="242">
        <v>-654.69144108404726</v>
      </c>
      <c r="F86" s="242">
        <v>-68.448862076798832</v>
      </c>
      <c r="G86" s="242">
        <v>1367.1505277739016</v>
      </c>
      <c r="H86" s="242">
        <v>8131.1170757791006</v>
      </c>
      <c r="I86" s="242">
        <v>7287.8552720223997</v>
      </c>
      <c r="J86" s="242">
        <v>7359.9428461335046</v>
      </c>
      <c r="K86" s="242">
        <v>7845.3755563801005</v>
      </c>
      <c r="L86" s="242">
        <v>3029.0731425451049</v>
      </c>
      <c r="M86" s="242">
        <v>4613.6377840971018</v>
      </c>
      <c r="N86" s="242">
        <v>540.48761393970199</v>
      </c>
      <c r="O86" s="242">
        <v>1166.9151446282031</v>
      </c>
      <c r="P86" s="242">
        <v>-652.12422928524757</v>
      </c>
      <c r="Q86" s="242">
        <v>-154.21995132892334</v>
      </c>
      <c r="R86" s="242">
        <v>-7824.281105988799</v>
      </c>
      <c r="S86" s="242">
        <v>-4883.6762955363483</v>
      </c>
      <c r="T86" s="242">
        <v>-8901.9185871905993</v>
      </c>
      <c r="U86" s="242">
        <v>-6100.106795333948</v>
      </c>
      <c r="V86" s="242">
        <v>-2954.8623711483997</v>
      </c>
      <c r="W86" s="242">
        <v>-1753.7491498202489</v>
      </c>
      <c r="X86" s="242">
        <v>-1461.5349204866488</v>
      </c>
      <c r="Y86" s="242">
        <v>-887.00567684203452</v>
      </c>
      <c r="Z86" s="242">
        <v>-3115.9938400293995</v>
      </c>
      <c r="AA86" s="242">
        <v>-2564.4855327023979</v>
      </c>
      <c r="AB86" s="242">
        <v>405.09695016840124</v>
      </c>
      <c r="AC86" s="242">
        <v>-424.44644108404827</v>
      </c>
      <c r="AD86" s="242">
        <v>-45.600862076800695</v>
      </c>
      <c r="AE86" s="242">
        <v>1377.2465277739011</v>
      </c>
      <c r="AF86" s="242">
        <v>8207.4290757790986</v>
      </c>
      <c r="AG86" s="242">
        <v>7331.8012720223996</v>
      </c>
      <c r="AH86" s="242">
        <v>7436.4308461335022</v>
      </c>
      <c r="AI86" s="242">
        <v>7894.8225563801007</v>
      </c>
      <c r="AJ86" s="242">
        <v>2985.3888062491023</v>
      </c>
      <c r="AK86" s="242">
        <v>4407.8591159491007</v>
      </c>
      <c r="AL86" s="242">
        <v>569.29861393969986</v>
      </c>
      <c r="AM86" s="242">
        <v>1177.7931446282018</v>
      </c>
      <c r="AN86" s="242">
        <v>-643.49322928524998</v>
      </c>
      <c r="AO86" s="242">
        <v>-153.76995132892262</v>
      </c>
      <c r="AP86" s="242">
        <v>-7835.1891059887985</v>
      </c>
      <c r="AQ86" s="242">
        <v>-4901.849295536349</v>
      </c>
      <c r="AR86" s="242">
        <v>-8911.626587190598</v>
      </c>
      <c r="AS86" s="242">
        <v>-6124.7997953339491</v>
      </c>
      <c r="AT86" s="242">
        <v>-2948.7963711484008</v>
      </c>
      <c r="AU86" s="242">
        <v>-1763.1581498202504</v>
      </c>
      <c r="AV86" s="242">
        <v>-1213.0769204866501</v>
      </c>
      <c r="AW86" s="242">
        <v>-1130.4196768420334</v>
      </c>
      <c r="AX86" s="242">
        <v>-3358.1228400294021</v>
      </c>
      <c r="AY86" s="242">
        <v>-2343.3295327023989</v>
      </c>
      <c r="BA86" s="80"/>
      <c r="BB86" s="80"/>
    </row>
    <row r="87" spans="2:54">
      <c r="B87" s="218">
        <v>10259</v>
      </c>
      <c r="C87" s="218" t="s">
        <v>90</v>
      </c>
      <c r="D87" s="242">
        <v>1578.2448048655988</v>
      </c>
      <c r="E87" s="242">
        <v>635.3553046998004</v>
      </c>
      <c r="F87" s="242">
        <v>268.75761210880046</v>
      </c>
      <c r="G87" s="242">
        <v>312.43227812760142</v>
      </c>
      <c r="H87" s="242">
        <v>1393.9412827243996</v>
      </c>
      <c r="I87" s="242">
        <v>1953.1386838015987</v>
      </c>
      <c r="J87" s="242">
        <v>490.50337201399998</v>
      </c>
      <c r="K87" s="242">
        <v>1015.8204740084002</v>
      </c>
      <c r="L87" s="242">
        <v>2777.3387438684022</v>
      </c>
      <c r="M87" s="242">
        <v>2529.4165558364002</v>
      </c>
      <c r="N87" s="242">
        <v>-76.643979305199537</v>
      </c>
      <c r="O87" s="242">
        <v>350.75123932879978</v>
      </c>
      <c r="P87" s="242">
        <v>428.0663268390017</v>
      </c>
      <c r="Q87" s="242">
        <v>-244.43450926969854</v>
      </c>
      <c r="R87" s="242">
        <v>-3265.3770860992008</v>
      </c>
      <c r="S87" s="242">
        <v>-2372.9820131334</v>
      </c>
      <c r="T87" s="242">
        <v>-3415.4822804903997</v>
      </c>
      <c r="U87" s="242">
        <v>-1937.3144182118012</v>
      </c>
      <c r="V87" s="242">
        <v>-117.60515118560033</v>
      </c>
      <c r="W87" s="242">
        <v>-554.25132610099899</v>
      </c>
      <c r="X87" s="242">
        <v>388.02222880139925</v>
      </c>
      <c r="Y87" s="242">
        <v>-441.77436025893985</v>
      </c>
      <c r="Z87" s="242">
        <v>-986.75218198960101</v>
      </c>
      <c r="AA87" s="242">
        <v>-704.66232492159997</v>
      </c>
      <c r="AB87" s="242">
        <v>2038.6508048655996</v>
      </c>
      <c r="AC87" s="242">
        <v>171.23830469980112</v>
      </c>
      <c r="AD87" s="242">
        <v>303.56761210879995</v>
      </c>
      <c r="AE87" s="242">
        <v>317.04427812759877</v>
      </c>
      <c r="AF87" s="242">
        <v>1455.5852827243998</v>
      </c>
      <c r="AG87" s="242">
        <v>1979.6346838016016</v>
      </c>
      <c r="AH87" s="242">
        <v>545.99537201400199</v>
      </c>
      <c r="AI87" s="242">
        <v>1036.0524740084002</v>
      </c>
      <c r="AJ87" s="242">
        <v>2654.468818204401</v>
      </c>
      <c r="AK87" s="242">
        <v>2528.2515930044001</v>
      </c>
      <c r="AL87" s="242">
        <v>-42.305979305199799</v>
      </c>
      <c r="AM87" s="242">
        <v>358.84223932880013</v>
      </c>
      <c r="AN87" s="242">
        <v>433.3833268390008</v>
      </c>
      <c r="AO87" s="242">
        <v>-259.31650926969814</v>
      </c>
      <c r="AP87" s="242">
        <v>-3275.5240860992017</v>
      </c>
      <c r="AQ87" s="242">
        <v>-2401.8740131333989</v>
      </c>
      <c r="AR87" s="242">
        <v>-3413.2652804903992</v>
      </c>
      <c r="AS87" s="242">
        <v>-1961.3984182118002</v>
      </c>
      <c r="AT87" s="242">
        <v>-102.46215118560031</v>
      </c>
      <c r="AU87" s="242">
        <v>-575.65832610100006</v>
      </c>
      <c r="AV87" s="242">
        <v>-41.559771198601084</v>
      </c>
      <c r="AW87" s="242">
        <v>-18.533360258939865</v>
      </c>
      <c r="AX87" s="242">
        <v>-613.23318198960078</v>
      </c>
      <c r="AY87" s="242">
        <v>-1116.2423249216008</v>
      </c>
      <c r="BA87" s="80"/>
      <c r="BB87" s="80"/>
    </row>
    <row r="88" spans="2:54">
      <c r="B88" s="218">
        <v>10260</v>
      </c>
      <c r="C88" s="218" t="s">
        <v>91</v>
      </c>
      <c r="D88" s="242">
        <v>1913.5320088331991</v>
      </c>
      <c r="E88" s="242">
        <v>430.76455349685057</v>
      </c>
      <c r="F88" s="242">
        <v>-126.77069368639968</v>
      </c>
      <c r="G88" s="242">
        <v>277.65685045969985</v>
      </c>
      <c r="H88" s="242">
        <v>1632.620419459301</v>
      </c>
      <c r="I88" s="242">
        <v>1581.2146590752</v>
      </c>
      <c r="J88" s="242">
        <v>837.98842097050147</v>
      </c>
      <c r="K88" s="242">
        <v>1443.8079526823003</v>
      </c>
      <c r="L88" s="242">
        <v>729.26533547730287</v>
      </c>
      <c r="M88" s="242">
        <v>1275.529839973301</v>
      </c>
      <c r="N88" s="242">
        <v>-68.224995206897802</v>
      </c>
      <c r="O88" s="242">
        <v>-280.40636247139992</v>
      </c>
      <c r="P88" s="242">
        <v>1070.0389375892501</v>
      </c>
      <c r="Q88" s="242">
        <v>309.78664478972587</v>
      </c>
      <c r="R88" s="242">
        <v>-2259.8960364623999</v>
      </c>
      <c r="S88" s="242">
        <v>-1554.206459526049</v>
      </c>
      <c r="T88" s="242">
        <v>-2166.7784950238001</v>
      </c>
      <c r="U88" s="242">
        <v>-1542.9332603108505</v>
      </c>
      <c r="V88" s="242">
        <v>676.52069662679969</v>
      </c>
      <c r="W88" s="242">
        <v>330.39868628425029</v>
      </c>
      <c r="X88" s="242">
        <v>1271.4937847970505</v>
      </c>
      <c r="Y88" s="242">
        <v>403.76268345419612</v>
      </c>
      <c r="Z88" s="242">
        <v>512.14620096379986</v>
      </c>
      <c r="AA88" s="242">
        <v>-9.2174467151999124</v>
      </c>
      <c r="AB88" s="242">
        <v>1972.2350088332005</v>
      </c>
      <c r="AC88" s="242">
        <v>464.87455349685115</v>
      </c>
      <c r="AD88" s="242">
        <v>-71.463693686398983</v>
      </c>
      <c r="AE88" s="242">
        <v>315.16085045969976</v>
      </c>
      <c r="AF88" s="242">
        <v>1687.7124194592998</v>
      </c>
      <c r="AG88" s="242">
        <v>1618.9366590751997</v>
      </c>
      <c r="AH88" s="242">
        <v>893.29342097050176</v>
      </c>
      <c r="AI88" s="242">
        <v>1481.3139526822997</v>
      </c>
      <c r="AJ88" s="242">
        <v>826.37873826930081</v>
      </c>
      <c r="AK88" s="242">
        <v>1279.2440413693002</v>
      </c>
      <c r="AL88" s="242">
        <v>-11.072995206897758</v>
      </c>
      <c r="AM88" s="242">
        <v>-244.74736247140027</v>
      </c>
      <c r="AN88" s="242">
        <v>1127.7169375892499</v>
      </c>
      <c r="AO88" s="242">
        <v>344.91964478972568</v>
      </c>
      <c r="AP88" s="242">
        <v>-2203.1810364623998</v>
      </c>
      <c r="AQ88" s="242">
        <v>-1518.1114595260487</v>
      </c>
      <c r="AR88" s="242">
        <v>-2107.6284950238005</v>
      </c>
      <c r="AS88" s="242">
        <v>-1509.2722603108505</v>
      </c>
      <c r="AT88" s="242">
        <v>734.59269662679981</v>
      </c>
      <c r="AU88" s="242">
        <v>365.13768628425078</v>
      </c>
      <c r="AV88" s="242">
        <v>1331.3707847970509</v>
      </c>
      <c r="AW88" s="242">
        <v>436.69768345419561</v>
      </c>
      <c r="AX88" s="242">
        <v>568.74720096380042</v>
      </c>
      <c r="AY88" s="242">
        <v>26.99155328479992</v>
      </c>
      <c r="BA88" s="80"/>
      <c r="BB88" s="80"/>
    </row>
    <row r="89" spans="2:54">
      <c r="B89" s="218">
        <v>10273</v>
      </c>
      <c r="C89" s="218" t="s">
        <v>92</v>
      </c>
      <c r="D89" s="242">
        <v>39.164095626400012</v>
      </c>
      <c r="E89" s="242">
        <v>-160.19710745129987</v>
      </c>
      <c r="F89" s="242">
        <v>-1162.0921492928001</v>
      </c>
      <c r="G89" s="242">
        <v>-534.49254817059978</v>
      </c>
      <c r="H89" s="242">
        <v>-697.2294262913997</v>
      </c>
      <c r="I89" s="242">
        <v>-310.08635128959986</v>
      </c>
      <c r="J89" s="242">
        <v>-834.78692190899937</v>
      </c>
      <c r="K89" s="242">
        <v>-273.44572294539989</v>
      </c>
      <c r="L89" s="242">
        <v>-965.5255688553998</v>
      </c>
      <c r="M89" s="242">
        <v>-286.86537106340006</v>
      </c>
      <c r="N89" s="242">
        <v>-1351.2376534837999</v>
      </c>
      <c r="O89" s="242">
        <v>-697.72977236279985</v>
      </c>
      <c r="P89" s="242">
        <v>-533.12371554650008</v>
      </c>
      <c r="Q89" s="242">
        <v>-329.83972825304977</v>
      </c>
      <c r="R89" s="242">
        <v>-222.88270764479967</v>
      </c>
      <c r="S89" s="242">
        <v>-125.43978136710007</v>
      </c>
      <c r="T89" s="242">
        <v>449.62440081240038</v>
      </c>
      <c r="U89" s="242">
        <v>475.4405896232995</v>
      </c>
      <c r="V89" s="242">
        <v>1819.7183532935996</v>
      </c>
      <c r="W89" s="242">
        <v>1447.7449403435003</v>
      </c>
      <c r="X89" s="242">
        <v>1784.2276032091004</v>
      </c>
      <c r="Y89" s="242">
        <v>1207.1790747168902</v>
      </c>
      <c r="Z89" s="242">
        <v>663.69639306760018</v>
      </c>
      <c r="AA89" s="242">
        <v>600.5238840095999</v>
      </c>
      <c r="AB89" s="242">
        <v>30.131095626399656</v>
      </c>
      <c r="AC89" s="242">
        <v>-103.98210745129995</v>
      </c>
      <c r="AD89" s="242">
        <v>-1108.0471492928004</v>
      </c>
      <c r="AE89" s="242">
        <v>-500.1315481705999</v>
      </c>
      <c r="AF89" s="242">
        <v>-632.83642629140013</v>
      </c>
      <c r="AG89" s="242">
        <v>-267.2203512896001</v>
      </c>
      <c r="AH89" s="242">
        <v>-788.11892190899971</v>
      </c>
      <c r="AI89" s="242">
        <v>-235.87972294540032</v>
      </c>
      <c r="AJ89" s="242">
        <v>-908.80424567139994</v>
      </c>
      <c r="AK89" s="242">
        <v>-276.77970947140011</v>
      </c>
      <c r="AL89" s="242">
        <v>-1363.5146534838002</v>
      </c>
      <c r="AM89" s="242">
        <v>-708.45777236279991</v>
      </c>
      <c r="AN89" s="242">
        <v>-568.2107155465003</v>
      </c>
      <c r="AO89" s="242">
        <v>-355.77772825304987</v>
      </c>
      <c r="AP89" s="242">
        <v>-257.98470764479953</v>
      </c>
      <c r="AQ89" s="242">
        <v>-153.6927813671</v>
      </c>
      <c r="AR89" s="242">
        <v>416.04240081240005</v>
      </c>
      <c r="AS89" s="242">
        <v>447.99058962329968</v>
      </c>
      <c r="AT89" s="242">
        <v>1784.5203532935993</v>
      </c>
      <c r="AU89" s="242">
        <v>1419.5819403435003</v>
      </c>
      <c r="AV89" s="242">
        <v>1784.5226032090995</v>
      </c>
      <c r="AW89" s="242">
        <v>1143.52407471689</v>
      </c>
      <c r="AX89" s="242">
        <v>594.62939306759972</v>
      </c>
      <c r="AY89" s="242">
        <v>608.56188400959991</v>
      </c>
      <c r="BA89" s="80"/>
      <c r="BB89" s="80"/>
    </row>
    <row r="90" spans="2:54">
      <c r="B90" s="218">
        <v>10278</v>
      </c>
      <c r="C90" s="218" t="s">
        <v>93</v>
      </c>
      <c r="D90" s="242">
        <v>0</v>
      </c>
      <c r="E90" s="242">
        <v>0</v>
      </c>
      <c r="F90" s="242">
        <v>0</v>
      </c>
      <c r="G90" s="242">
        <v>0</v>
      </c>
      <c r="H90" s="242">
        <v>0</v>
      </c>
      <c r="I90" s="242">
        <v>0</v>
      </c>
      <c r="J90" s="242">
        <v>0</v>
      </c>
      <c r="K90" s="242">
        <v>0</v>
      </c>
      <c r="L90" s="242">
        <v>0</v>
      </c>
      <c r="M90" s="242">
        <v>0</v>
      </c>
      <c r="N90" s="242">
        <v>0</v>
      </c>
      <c r="O90" s="242">
        <v>0</v>
      </c>
      <c r="P90" s="242">
        <v>0</v>
      </c>
      <c r="Q90" s="242">
        <v>0</v>
      </c>
      <c r="R90" s="242">
        <v>0</v>
      </c>
      <c r="S90" s="242">
        <v>0</v>
      </c>
      <c r="T90" s="242">
        <v>0</v>
      </c>
      <c r="U90" s="242">
        <v>0</v>
      </c>
      <c r="V90" s="242">
        <v>0</v>
      </c>
      <c r="W90" s="242">
        <v>0</v>
      </c>
      <c r="X90" s="242">
        <v>0</v>
      </c>
      <c r="Y90" s="242">
        <v>0</v>
      </c>
      <c r="Z90" s="242">
        <v>0</v>
      </c>
      <c r="AA90" s="242">
        <v>0</v>
      </c>
      <c r="AB90" s="242">
        <v>0</v>
      </c>
      <c r="AC90" s="242">
        <v>0</v>
      </c>
      <c r="AD90" s="242">
        <v>0</v>
      </c>
      <c r="AE90" s="242">
        <v>0</v>
      </c>
      <c r="AF90" s="242">
        <v>0</v>
      </c>
      <c r="AG90" s="242">
        <v>0</v>
      </c>
      <c r="AH90" s="242">
        <v>0</v>
      </c>
      <c r="AI90" s="242">
        <v>0</v>
      </c>
      <c r="AJ90" s="242">
        <v>0</v>
      </c>
      <c r="AK90" s="242">
        <v>0</v>
      </c>
      <c r="AL90" s="242">
        <v>0</v>
      </c>
      <c r="AM90" s="242">
        <v>0</v>
      </c>
      <c r="AN90" s="242">
        <v>0</v>
      </c>
      <c r="AO90" s="242">
        <v>0</v>
      </c>
      <c r="AP90" s="242">
        <v>0</v>
      </c>
      <c r="AQ90" s="242">
        <v>0</v>
      </c>
      <c r="AR90" s="242">
        <v>0</v>
      </c>
      <c r="AS90" s="242">
        <v>0</v>
      </c>
      <c r="AT90" s="242">
        <v>0</v>
      </c>
      <c r="AU90" s="242">
        <v>0</v>
      </c>
      <c r="AV90" s="242">
        <v>0</v>
      </c>
      <c r="AW90" s="242">
        <v>0</v>
      </c>
      <c r="AX90" s="242">
        <v>0</v>
      </c>
      <c r="AY90" s="242">
        <v>0</v>
      </c>
      <c r="BA90" s="80"/>
      <c r="BB90" s="80"/>
    </row>
    <row r="91" spans="2:54">
      <c r="B91" s="218">
        <v>10279</v>
      </c>
      <c r="C91" s="218" t="s">
        <v>94</v>
      </c>
      <c r="D91" s="242">
        <v>4374.3307750313579</v>
      </c>
      <c r="E91" s="242">
        <v>3587.6368914932427</v>
      </c>
      <c r="F91" s="242">
        <v>347.4923398531464</v>
      </c>
      <c r="G91" s="242">
        <v>452.62149099450835</v>
      </c>
      <c r="H91" s="242">
        <v>-2557.2203570902166</v>
      </c>
      <c r="I91" s="242">
        <v>6617.8846740344052</v>
      </c>
      <c r="J91" s="242">
        <v>2422.1513487696211</v>
      </c>
      <c r="K91" s="242">
        <v>1395.3750395483985</v>
      </c>
      <c r="L91" s="242">
        <v>-657.02180561839486</v>
      </c>
      <c r="M91" s="242">
        <v>2927.1830394884528</v>
      </c>
      <c r="N91" s="242">
        <v>-2395.5358273771308</v>
      </c>
      <c r="O91" s="242">
        <v>-2075.6675466742636</v>
      </c>
      <c r="P91" s="242">
        <v>3874.8275304492672</v>
      </c>
      <c r="Q91" s="242">
        <v>-3252.0310816015681</v>
      </c>
      <c r="R91" s="242">
        <v>-3276.8472210064356</v>
      </c>
      <c r="S91" s="242">
        <v>-5733.350894961739</v>
      </c>
      <c r="T91" s="242">
        <v>-7860.1294375804464</v>
      </c>
      <c r="U91" s="242">
        <v>-1625.3489610087963</v>
      </c>
      <c r="V91" s="242">
        <v>1618.187889540146</v>
      </c>
      <c r="W91" s="242">
        <v>-1030.0734287855194</v>
      </c>
      <c r="X91" s="242">
        <v>4086.4934541615621</v>
      </c>
      <c r="Y91" s="242">
        <v>-2184.5280132328535</v>
      </c>
      <c r="Z91" s="242">
        <v>-785.86730769784481</v>
      </c>
      <c r="AA91" s="242">
        <v>1729.7005025125382</v>
      </c>
      <c r="AB91" s="242">
        <v>6109.3774771036478</v>
      </c>
      <c r="AC91" s="242">
        <v>-1287.3478490432644</v>
      </c>
      <c r="AD91" s="242">
        <v>-632.49488878028205</v>
      </c>
      <c r="AE91" s="242">
        <v>-838.69555228309036</v>
      </c>
      <c r="AF91" s="242">
        <v>-4545.9961305148827</v>
      </c>
      <c r="AG91" s="242">
        <v>6900.1260581283241</v>
      </c>
      <c r="AH91" s="242">
        <v>2543.5035627497564</v>
      </c>
      <c r="AI91" s="242">
        <v>272.71349818309682</v>
      </c>
      <c r="AJ91" s="242">
        <v>-833.21582520497395</v>
      </c>
      <c r="AK91" s="242">
        <v>2884.2830381778294</v>
      </c>
      <c r="AL91" s="242">
        <v>-2263.6428690757893</v>
      </c>
      <c r="AM91" s="242">
        <v>-1796.0710079753153</v>
      </c>
      <c r="AN91" s="242">
        <v>5015.9929361681789</v>
      </c>
      <c r="AO91" s="242">
        <v>-3269.7422218048287</v>
      </c>
      <c r="AP91" s="242">
        <v>-1407.0924266444126</v>
      </c>
      <c r="AQ91" s="242">
        <v>-5784.2076949158072</v>
      </c>
      <c r="AR91" s="242">
        <v>-6804.5734954697509</v>
      </c>
      <c r="AS91" s="242">
        <v>-882.53320341009385</v>
      </c>
      <c r="AT91" s="242">
        <v>3238.255818306352</v>
      </c>
      <c r="AU91" s="242">
        <v>-895.38574694068666</v>
      </c>
      <c r="AV91" s="242">
        <v>2135.2955992191964</v>
      </c>
      <c r="AW91" s="242">
        <v>809.54408950147808</v>
      </c>
      <c r="AX91" s="242">
        <v>3017.965254385017</v>
      </c>
      <c r="AY91" s="242">
        <v>-1686.0743800085202</v>
      </c>
      <c r="BA91" s="80"/>
      <c r="BB91" s="80"/>
    </row>
    <row r="92" spans="2:54">
      <c r="B92" s="218">
        <v>10284</v>
      </c>
      <c r="C92" s="218" t="s">
        <v>95</v>
      </c>
      <c r="D92" s="242">
        <v>883.0642318283999</v>
      </c>
      <c r="E92" s="242">
        <v>811.12207875845024</v>
      </c>
      <c r="F92" s="242">
        <v>523.63777360319909</v>
      </c>
      <c r="G92" s="242">
        <v>711.30194075889949</v>
      </c>
      <c r="H92" s="242">
        <v>1515.8814587440993</v>
      </c>
      <c r="I92" s="242">
        <v>1739.2114657823995</v>
      </c>
      <c r="J92" s="242">
        <v>1720.9867446584994</v>
      </c>
      <c r="K92" s="242">
        <v>1649.9627004950994</v>
      </c>
      <c r="L92" s="242">
        <v>959.90392641010021</v>
      </c>
      <c r="M92" s="242">
        <v>1132.5559927620998</v>
      </c>
      <c r="N92" s="242">
        <v>260.79432359469956</v>
      </c>
      <c r="O92" s="242">
        <v>683.09784105820017</v>
      </c>
      <c r="P92" s="242">
        <v>665.47937517724949</v>
      </c>
      <c r="Q92" s="242">
        <v>551.80902065732516</v>
      </c>
      <c r="R92" s="242">
        <v>-1218.4728091088004</v>
      </c>
      <c r="S92" s="242">
        <v>-672.82415683885029</v>
      </c>
      <c r="T92" s="242">
        <v>-1820.1103983806001</v>
      </c>
      <c r="U92" s="242">
        <v>-766.69845587645023</v>
      </c>
      <c r="V92" s="242">
        <v>-909.06137980840003</v>
      </c>
      <c r="W92" s="242">
        <v>-437.03961060775009</v>
      </c>
      <c r="X92" s="242">
        <v>-626.0930956341499</v>
      </c>
      <c r="Y92" s="242">
        <v>-399.85133263228499</v>
      </c>
      <c r="Z92" s="242">
        <v>-660.36273183940057</v>
      </c>
      <c r="AA92" s="242">
        <v>-222.96110846240026</v>
      </c>
      <c r="AB92" s="242">
        <v>1135.1672318284</v>
      </c>
      <c r="AC92" s="242">
        <v>643.30407875845003</v>
      </c>
      <c r="AD92" s="242">
        <v>572.52177360319911</v>
      </c>
      <c r="AE92" s="242">
        <v>746.47094075889936</v>
      </c>
      <c r="AF92" s="242">
        <v>1563.4154587440989</v>
      </c>
      <c r="AG92" s="242">
        <v>1775.5314657824001</v>
      </c>
      <c r="AH92" s="242">
        <v>1770.2427446584998</v>
      </c>
      <c r="AI92" s="242">
        <v>1684.3687004950993</v>
      </c>
      <c r="AJ92" s="242">
        <v>1154.8791297141006</v>
      </c>
      <c r="AK92" s="242">
        <v>1299.6285944140996</v>
      </c>
      <c r="AL92" s="242">
        <v>308.61632359469968</v>
      </c>
      <c r="AM92" s="242">
        <v>718.54284105819988</v>
      </c>
      <c r="AN92" s="242">
        <v>715.22437517725029</v>
      </c>
      <c r="AO92" s="242">
        <v>585.13602065732493</v>
      </c>
      <c r="AP92" s="242">
        <v>-1169.0508091088004</v>
      </c>
      <c r="AQ92" s="242">
        <v>-639.36315683885005</v>
      </c>
      <c r="AR92" s="242">
        <v>-1771.0933983805999</v>
      </c>
      <c r="AS92" s="242">
        <v>-733.02545587645045</v>
      </c>
      <c r="AT92" s="242">
        <v>-858.66037980840019</v>
      </c>
      <c r="AU92" s="242">
        <v>-404.93861060774998</v>
      </c>
      <c r="AV92" s="242">
        <v>-725.84109563414995</v>
      </c>
      <c r="AW92" s="242">
        <v>-217.7013326322849</v>
      </c>
      <c r="AX92" s="242">
        <v>-466.65773183940018</v>
      </c>
      <c r="AY92" s="242">
        <v>-334.5471084624005</v>
      </c>
      <c r="BA92" s="80"/>
      <c r="BB92" s="80"/>
    </row>
    <row r="93" spans="2:54">
      <c r="B93" s="218">
        <v>10285</v>
      </c>
      <c r="C93" s="218" t="s">
        <v>96</v>
      </c>
      <c r="D93" s="242">
        <v>0</v>
      </c>
      <c r="E93" s="242">
        <v>0</v>
      </c>
      <c r="F93" s="242">
        <v>0</v>
      </c>
      <c r="G93" s="242">
        <v>0</v>
      </c>
      <c r="H93" s="242">
        <v>0</v>
      </c>
      <c r="I93" s="242">
        <v>0</v>
      </c>
      <c r="J93" s="242">
        <v>0</v>
      </c>
      <c r="K93" s="242">
        <v>0</v>
      </c>
      <c r="L93" s="242">
        <v>0</v>
      </c>
      <c r="M93" s="242">
        <v>0</v>
      </c>
      <c r="N93" s="242">
        <v>0</v>
      </c>
      <c r="O93" s="242">
        <v>0</v>
      </c>
      <c r="P93" s="242">
        <v>0</v>
      </c>
      <c r="Q93" s="242">
        <v>0</v>
      </c>
      <c r="R93" s="242">
        <v>0</v>
      </c>
      <c r="S93" s="242">
        <v>0</v>
      </c>
      <c r="T93" s="242">
        <v>0</v>
      </c>
      <c r="U93" s="242">
        <v>0</v>
      </c>
      <c r="V93" s="242">
        <v>0</v>
      </c>
      <c r="W93" s="242">
        <v>0</v>
      </c>
      <c r="X93" s="242">
        <v>0</v>
      </c>
      <c r="Y93" s="242">
        <v>0</v>
      </c>
      <c r="Z93" s="242">
        <v>0</v>
      </c>
      <c r="AA93" s="242">
        <v>0</v>
      </c>
      <c r="AB93" s="242">
        <v>0</v>
      </c>
      <c r="AC93" s="242">
        <v>0</v>
      </c>
      <c r="AD93" s="242">
        <v>0</v>
      </c>
      <c r="AE93" s="242">
        <v>0</v>
      </c>
      <c r="AF93" s="242">
        <v>0</v>
      </c>
      <c r="AG93" s="242">
        <v>0</v>
      </c>
      <c r="AH93" s="242">
        <v>0</v>
      </c>
      <c r="AI93" s="242">
        <v>0</v>
      </c>
      <c r="AJ93" s="242">
        <v>0</v>
      </c>
      <c r="AK93" s="242">
        <v>0</v>
      </c>
      <c r="AL93" s="242">
        <v>0</v>
      </c>
      <c r="AM93" s="242">
        <v>0</v>
      </c>
      <c r="AN93" s="242">
        <v>0</v>
      </c>
      <c r="AO93" s="242">
        <v>0</v>
      </c>
      <c r="AP93" s="242">
        <v>0</v>
      </c>
      <c r="AQ93" s="242">
        <v>0</v>
      </c>
      <c r="AR93" s="242">
        <v>0</v>
      </c>
      <c r="AS93" s="242">
        <v>0</v>
      </c>
      <c r="AT93" s="242">
        <v>0</v>
      </c>
      <c r="AU93" s="242">
        <v>0</v>
      </c>
      <c r="AV93" s="242">
        <v>0</v>
      </c>
      <c r="AW93" s="242">
        <v>0</v>
      </c>
      <c r="AX93" s="242">
        <v>0</v>
      </c>
      <c r="AY93" s="242">
        <v>0</v>
      </c>
      <c r="BA93" s="80"/>
      <c r="BB93" s="80"/>
    </row>
    <row r="94" spans="2:54">
      <c r="B94" s="218">
        <v>10286</v>
      </c>
      <c r="C94" s="218" t="s">
        <v>97</v>
      </c>
      <c r="D94" s="242">
        <v>2041.0077592035777</v>
      </c>
      <c r="E94" s="242">
        <v>1589.9209194225532</v>
      </c>
      <c r="F94" s="242">
        <v>-409.47842486720401</v>
      </c>
      <c r="G94" s="242">
        <v>119.90899196311148</v>
      </c>
      <c r="H94" s="242">
        <v>5911.5455386738977</v>
      </c>
      <c r="I94" s="242">
        <v>4337.5034377696029</v>
      </c>
      <c r="J94" s="242">
        <v>7416.3602280715168</v>
      </c>
      <c r="K94" s="242">
        <v>6194.3211629028938</v>
      </c>
      <c r="L94" s="242">
        <v>4683.0449012878998</v>
      </c>
      <c r="M94" s="242">
        <v>5137.6183334959096</v>
      </c>
      <c r="N94" s="242">
        <v>3466.5895382113158</v>
      </c>
      <c r="O94" s="242">
        <v>2853.9592723778169</v>
      </c>
      <c r="P94" s="242">
        <v>-515.55557057226179</v>
      </c>
      <c r="Q94" s="242">
        <v>77.002681571173525</v>
      </c>
      <c r="R94" s="242">
        <v>-8608.1589383151877</v>
      </c>
      <c r="S94" s="242">
        <v>-5278.5228953341611</v>
      </c>
      <c r="T94" s="242">
        <v>-13944.860811007402</v>
      </c>
      <c r="U94" s="242">
        <v>-7580.1871219445502</v>
      </c>
      <c r="V94" s="242">
        <v>-577.85301082360456</v>
      </c>
      <c r="W94" s="242">
        <v>849.51956151275044</v>
      </c>
      <c r="X94" s="242">
        <v>-4858.4548873328549</v>
      </c>
      <c r="Y94" s="242">
        <v>-1468.037279617025</v>
      </c>
      <c r="Z94" s="242">
        <v>-784.89188237260169</v>
      </c>
      <c r="AA94" s="242">
        <v>-653.75923588958176</v>
      </c>
      <c r="AB94" s="242">
        <v>1990.1016424036097</v>
      </c>
      <c r="AC94" s="242">
        <v>1555.9835082225636</v>
      </c>
      <c r="AD94" s="242">
        <v>-466.33460726720295</v>
      </c>
      <c r="AE94" s="242">
        <v>82.004870363092778</v>
      </c>
      <c r="AF94" s="242">
        <v>5832.8724490739005</v>
      </c>
      <c r="AG94" s="242">
        <v>4285.0547113695939</v>
      </c>
      <c r="AH94" s="242">
        <v>7329.7537176715086</v>
      </c>
      <c r="AI94" s="242">
        <v>6136.5834893029041</v>
      </c>
      <c r="AJ94" s="242">
        <v>5346.222772703899</v>
      </c>
      <c r="AK94" s="242">
        <v>5457.3071380038982</v>
      </c>
      <c r="AL94" s="242">
        <v>3395.8498694112859</v>
      </c>
      <c r="AM94" s="242">
        <v>2806.7994931778103</v>
      </c>
      <c r="AN94" s="242">
        <v>-562.49497697227707</v>
      </c>
      <c r="AO94" s="242">
        <v>45.709743971185162</v>
      </c>
      <c r="AP94" s="242">
        <v>-8644.5204503152145</v>
      </c>
      <c r="AQ94" s="242">
        <v>-5302.7639033341547</v>
      </c>
      <c r="AR94" s="242">
        <v>-13969.983310207401</v>
      </c>
      <c r="AS94" s="242">
        <v>-7596.935454744551</v>
      </c>
      <c r="AT94" s="242">
        <v>-630.74248282358167</v>
      </c>
      <c r="AU94" s="242">
        <v>814.25991351274024</v>
      </c>
      <c r="AV94" s="242">
        <v>-4898.7831097328508</v>
      </c>
      <c r="AW94" s="242">
        <v>-1494.9227612170253</v>
      </c>
      <c r="AX94" s="242">
        <v>-829.18681517260302</v>
      </c>
      <c r="AY94" s="242">
        <v>-683.28919108960145</v>
      </c>
      <c r="BA94" s="80"/>
      <c r="BB94" s="80"/>
    </row>
    <row r="95" spans="2:54">
      <c r="B95" s="218">
        <v>10288</v>
      </c>
      <c r="C95" s="218" t="s">
        <v>98</v>
      </c>
      <c r="D95" s="242">
        <v>0</v>
      </c>
      <c r="E95" s="242">
        <v>0</v>
      </c>
      <c r="F95" s="242">
        <v>0</v>
      </c>
      <c r="G95" s="242">
        <v>0</v>
      </c>
      <c r="H95" s="242">
        <v>0</v>
      </c>
      <c r="I95" s="242">
        <v>0</v>
      </c>
      <c r="J95" s="242">
        <v>0</v>
      </c>
      <c r="K95" s="242">
        <v>0</v>
      </c>
      <c r="L95" s="242">
        <v>0</v>
      </c>
      <c r="M95" s="242">
        <v>0</v>
      </c>
      <c r="N95" s="242">
        <v>0</v>
      </c>
      <c r="O95" s="242">
        <v>0</v>
      </c>
      <c r="P95" s="242">
        <v>0</v>
      </c>
      <c r="Q95" s="242">
        <v>0</v>
      </c>
      <c r="R95" s="242">
        <v>0</v>
      </c>
      <c r="S95" s="242">
        <v>0</v>
      </c>
      <c r="T95" s="242">
        <v>0</v>
      </c>
      <c r="U95" s="242">
        <v>0</v>
      </c>
      <c r="V95" s="242">
        <v>0</v>
      </c>
      <c r="W95" s="242">
        <v>0</v>
      </c>
      <c r="X95" s="242">
        <v>0</v>
      </c>
      <c r="Y95" s="242">
        <v>0</v>
      </c>
      <c r="Z95" s="242">
        <v>0</v>
      </c>
      <c r="AA95" s="242">
        <v>0</v>
      </c>
      <c r="AB95" s="242">
        <v>0</v>
      </c>
      <c r="AC95" s="242">
        <v>0</v>
      </c>
      <c r="AD95" s="242">
        <v>0</v>
      </c>
      <c r="AE95" s="242">
        <v>0</v>
      </c>
      <c r="AF95" s="242">
        <v>0</v>
      </c>
      <c r="AG95" s="242">
        <v>0</v>
      </c>
      <c r="AH95" s="242">
        <v>0</v>
      </c>
      <c r="AI95" s="242">
        <v>0</v>
      </c>
      <c r="AJ95" s="242">
        <v>0</v>
      </c>
      <c r="AK95" s="242">
        <v>0</v>
      </c>
      <c r="AL95" s="242">
        <v>0</v>
      </c>
      <c r="AM95" s="242">
        <v>0</v>
      </c>
      <c r="AN95" s="242">
        <v>0</v>
      </c>
      <c r="AO95" s="242">
        <v>0</v>
      </c>
      <c r="AP95" s="242">
        <v>0</v>
      </c>
      <c r="AQ95" s="242">
        <v>0</v>
      </c>
      <c r="AR95" s="242">
        <v>0</v>
      </c>
      <c r="AS95" s="242">
        <v>0</v>
      </c>
      <c r="AT95" s="242">
        <v>0</v>
      </c>
      <c r="AU95" s="242">
        <v>0</v>
      </c>
      <c r="AV95" s="242">
        <v>0</v>
      </c>
      <c r="AW95" s="242">
        <v>0</v>
      </c>
      <c r="AX95" s="242">
        <v>0</v>
      </c>
      <c r="AY95" s="242">
        <v>0</v>
      </c>
      <c r="BA95" s="80"/>
      <c r="BB95" s="80"/>
    </row>
    <row r="96" spans="2:54">
      <c r="B96" s="218">
        <v>10291</v>
      </c>
      <c r="C96" s="218" t="s">
        <v>99</v>
      </c>
      <c r="D96" s="242">
        <v>2760.5452099196009</v>
      </c>
      <c r="E96" s="242">
        <v>1347.9068344130501</v>
      </c>
      <c r="F96" s="242">
        <v>-3152.1787848991953</v>
      </c>
      <c r="G96" s="242">
        <v>-1567.0509786758994</v>
      </c>
      <c r="H96" s="242">
        <v>959.45040358290134</v>
      </c>
      <c r="I96" s="242">
        <v>3812.4083783456008</v>
      </c>
      <c r="J96" s="242">
        <v>37.540975836498546</v>
      </c>
      <c r="K96" s="242">
        <v>1993.7039708019001</v>
      </c>
      <c r="L96" s="242">
        <v>-673.58238506309863</v>
      </c>
      <c r="M96" s="242">
        <v>1432.0142060249018</v>
      </c>
      <c r="N96" s="242">
        <v>-4348.8606698856966</v>
      </c>
      <c r="O96" s="242">
        <v>-2044.0030185041978</v>
      </c>
      <c r="P96" s="242">
        <v>2467.2065516302537</v>
      </c>
      <c r="Q96" s="242">
        <v>297.45121323542844</v>
      </c>
      <c r="R96" s="242">
        <v>-4605.4755088271995</v>
      </c>
      <c r="S96" s="242">
        <v>-3449.2218085206478</v>
      </c>
      <c r="T96" s="242">
        <v>-5680.4927321013965</v>
      </c>
      <c r="U96" s="242">
        <v>-2006.6636507550502</v>
      </c>
      <c r="V96" s="242">
        <v>3720.3521074603996</v>
      </c>
      <c r="W96" s="242">
        <v>2371.641708465253</v>
      </c>
      <c r="X96" s="242">
        <v>4995.913920683648</v>
      </c>
      <c r="Y96" s="242">
        <v>1966.0381679483398</v>
      </c>
      <c r="Z96" s="242">
        <v>-707.86726107860159</v>
      </c>
      <c r="AA96" s="242">
        <v>73.222724734398071</v>
      </c>
      <c r="AB96" s="242">
        <v>3878.9793104899945</v>
      </c>
      <c r="AC96" s="242">
        <v>119.84794626375151</v>
      </c>
      <c r="AD96" s="242">
        <v>-3247.1711224800019</v>
      </c>
      <c r="AE96" s="242">
        <v>-1628.6491075225022</v>
      </c>
      <c r="AF96" s="242">
        <v>773.08551144749799</v>
      </c>
      <c r="AG96" s="242">
        <v>3684.5539586400009</v>
      </c>
      <c r="AH96" s="242">
        <v>-119.02980721249332</v>
      </c>
      <c r="AI96" s="242">
        <v>1895.0202231724979</v>
      </c>
      <c r="AJ96" s="242">
        <v>42.61482219750178</v>
      </c>
      <c r="AK96" s="242">
        <v>2062.6735546974996</v>
      </c>
      <c r="AL96" s="242">
        <v>-4434.172356517498</v>
      </c>
      <c r="AM96" s="242">
        <v>-2098.5176813549951</v>
      </c>
      <c r="AN96" s="242">
        <v>2422.1776891937552</v>
      </c>
      <c r="AO96" s="242">
        <v>267.20310822937972</v>
      </c>
      <c r="AP96" s="242">
        <v>-4651.5814706800047</v>
      </c>
      <c r="AQ96" s="242">
        <v>-3479.719986453747</v>
      </c>
      <c r="AR96" s="242">
        <v>-5734.1139587849975</v>
      </c>
      <c r="AS96" s="242">
        <v>-2036.4919173137532</v>
      </c>
      <c r="AT96" s="242">
        <v>3689.4859990100013</v>
      </c>
      <c r="AU96" s="242">
        <v>2353.1646413187518</v>
      </c>
      <c r="AV96" s="242">
        <v>3572.2788217787529</v>
      </c>
      <c r="AW96" s="242">
        <v>3338.6516588646264</v>
      </c>
      <c r="AX96" s="242">
        <v>426.53150428499794</v>
      </c>
      <c r="AY96" s="242">
        <v>-1093.6446316399997</v>
      </c>
      <c r="BA96" s="80"/>
      <c r="BB96" s="80"/>
    </row>
    <row r="97" spans="2:54">
      <c r="B97" s="218">
        <v>10294</v>
      </c>
      <c r="C97" s="218" t="s">
        <v>100</v>
      </c>
      <c r="D97" s="242">
        <v>2182.6273228519985</v>
      </c>
      <c r="E97" s="242">
        <v>1458.2599317535005</v>
      </c>
      <c r="F97" s="242">
        <v>1042.6756720960002</v>
      </c>
      <c r="G97" s="242">
        <v>1223.0812007669992</v>
      </c>
      <c r="H97" s="242">
        <v>3359.661844323</v>
      </c>
      <c r="I97" s="242">
        <v>4142.4854214719999</v>
      </c>
      <c r="J97" s="242">
        <v>3331.3535097550011</v>
      </c>
      <c r="K97" s="242">
        <v>3744.130116852999</v>
      </c>
      <c r="L97" s="242">
        <v>3802.7261943030026</v>
      </c>
      <c r="M97" s="242">
        <v>3634.7692248629992</v>
      </c>
      <c r="N97" s="242">
        <v>892.84500184100034</v>
      </c>
      <c r="O97" s="242">
        <v>1423.6317957460014</v>
      </c>
      <c r="P97" s="242">
        <v>2229.2068003175009</v>
      </c>
      <c r="Q97" s="242">
        <v>1468.3811662197513</v>
      </c>
      <c r="R97" s="242">
        <v>-3975.5210492639999</v>
      </c>
      <c r="S97" s="242">
        <v>-2499.1606821655005</v>
      </c>
      <c r="T97" s="242">
        <v>-6493.0917634179987</v>
      </c>
      <c r="U97" s="242">
        <v>-3013.5056052935006</v>
      </c>
      <c r="V97" s="242">
        <v>-3866.8783622520004</v>
      </c>
      <c r="W97" s="242">
        <v>-2021.4494732324993</v>
      </c>
      <c r="X97" s="242">
        <v>-2972.5133520245017</v>
      </c>
      <c r="Y97" s="242">
        <v>-1883.3409446685491</v>
      </c>
      <c r="Z97" s="242">
        <v>-2074.4625431820004</v>
      </c>
      <c r="AA97" s="242">
        <v>-1090.9513018719999</v>
      </c>
      <c r="AB97" s="242">
        <v>2855.0323228519992</v>
      </c>
      <c r="AC97" s="242">
        <v>936.56293175350038</v>
      </c>
      <c r="AD97" s="242">
        <v>1148.7376720959983</v>
      </c>
      <c r="AE97" s="242">
        <v>1295.0842007669999</v>
      </c>
      <c r="AF97" s="242">
        <v>3487.3468443230013</v>
      </c>
      <c r="AG97" s="242">
        <v>4237.0604214719988</v>
      </c>
      <c r="AH97" s="242">
        <v>3465.4725097549999</v>
      </c>
      <c r="AI97" s="242">
        <v>3836.7171168529985</v>
      </c>
      <c r="AJ97" s="242">
        <v>3703.9603734230004</v>
      </c>
      <c r="AK97" s="242">
        <v>3624.5123144230001</v>
      </c>
      <c r="AL97" s="242">
        <v>1003.6700018410011</v>
      </c>
      <c r="AM97" s="242">
        <v>1499.8887957460011</v>
      </c>
      <c r="AN97" s="242">
        <v>2325.7638003175016</v>
      </c>
      <c r="AO97" s="242">
        <v>1530.6671662197514</v>
      </c>
      <c r="AP97" s="242">
        <v>-3896.0240492640005</v>
      </c>
      <c r="AQ97" s="242">
        <v>-2447.4286821655005</v>
      </c>
      <c r="AR97" s="242">
        <v>-6422.8187634179994</v>
      </c>
      <c r="AS97" s="242">
        <v>-2966.9126052935007</v>
      </c>
      <c r="AT97" s="242">
        <v>-3796.0583622520007</v>
      </c>
      <c r="AU97" s="242">
        <v>-1976.7374732324997</v>
      </c>
      <c r="AV97" s="242">
        <v>-3347.8943520245011</v>
      </c>
      <c r="AW97" s="242">
        <v>-1391.2969446685483</v>
      </c>
      <c r="AX97" s="242">
        <v>-1548.0035431820015</v>
      </c>
      <c r="AY97" s="242">
        <v>-1502.3073018719997</v>
      </c>
      <c r="BA97" s="80"/>
      <c r="BB97" s="80"/>
    </row>
    <row r="98" spans="2:54">
      <c r="B98" s="218">
        <v>10304</v>
      </c>
      <c r="C98" s="218" t="s">
        <v>101</v>
      </c>
      <c r="D98" s="242">
        <v>934.41253123239949</v>
      </c>
      <c r="E98" s="242">
        <v>395.95324530295011</v>
      </c>
      <c r="F98" s="242">
        <v>632.22411539519999</v>
      </c>
      <c r="G98" s="242">
        <v>646.49389186789995</v>
      </c>
      <c r="H98" s="242">
        <v>1048.1555330650999</v>
      </c>
      <c r="I98" s="242">
        <v>1064.7623719264002</v>
      </c>
      <c r="J98" s="242">
        <v>907.73786404349994</v>
      </c>
      <c r="K98" s="242">
        <v>1108.0220691261002</v>
      </c>
      <c r="L98" s="242">
        <v>943.805826191101</v>
      </c>
      <c r="M98" s="242">
        <v>1152.6641896630999</v>
      </c>
      <c r="N98" s="242">
        <v>373.15561250170049</v>
      </c>
      <c r="O98" s="242">
        <v>149.79240140020011</v>
      </c>
      <c r="P98" s="242">
        <v>562.23838974975115</v>
      </c>
      <c r="Q98" s="242">
        <v>339.17061479057566</v>
      </c>
      <c r="R98" s="242">
        <v>-1702.5953760368002</v>
      </c>
      <c r="S98" s="242">
        <v>-991.6920389073498</v>
      </c>
      <c r="T98" s="242">
        <v>-2170.6650522665996</v>
      </c>
      <c r="U98" s="242">
        <v>-1213.3642560009498</v>
      </c>
      <c r="V98" s="242">
        <v>-1387.8880230123996</v>
      </c>
      <c r="W98" s="242">
        <v>-524.81074188524963</v>
      </c>
      <c r="X98" s="242">
        <v>-1088.65986469565</v>
      </c>
      <c r="Y98" s="242">
        <v>-495.28158744313441</v>
      </c>
      <c r="Z98" s="242">
        <v>-342.8792761534005</v>
      </c>
      <c r="AA98" s="242">
        <v>-340.81826540639986</v>
      </c>
      <c r="AB98" s="242">
        <v>937.13077747399893</v>
      </c>
      <c r="AC98" s="242">
        <v>397.21226251075041</v>
      </c>
      <c r="AD98" s="242">
        <v>632.22437115199955</v>
      </c>
      <c r="AE98" s="242">
        <v>646.9910258914997</v>
      </c>
      <c r="AF98" s="242">
        <v>1045.8673958134996</v>
      </c>
      <c r="AG98" s="242">
        <v>1063.9319996639997</v>
      </c>
      <c r="AH98" s="242">
        <v>904.59082049749941</v>
      </c>
      <c r="AI98" s="242">
        <v>1106.9982617984997</v>
      </c>
      <c r="AJ98" s="242">
        <v>965.62068876350077</v>
      </c>
      <c r="AK98" s="242">
        <v>1134.3425432634999</v>
      </c>
      <c r="AL98" s="242">
        <v>372.32996840450051</v>
      </c>
      <c r="AM98" s="242">
        <v>149.07414557700031</v>
      </c>
      <c r="AN98" s="242">
        <v>563.81979552874964</v>
      </c>
      <c r="AO98" s="242">
        <v>340.1366755588756</v>
      </c>
      <c r="AP98" s="242">
        <v>-1704.9383701680008</v>
      </c>
      <c r="AQ98" s="242">
        <v>-992.91914320474962</v>
      </c>
      <c r="AR98" s="242">
        <v>-2172.5730871409996</v>
      </c>
      <c r="AS98" s="242">
        <v>-1214.2770662407502</v>
      </c>
      <c r="AT98" s="242">
        <v>-1388.2099627739999</v>
      </c>
      <c r="AU98" s="242">
        <v>-524.07152144624979</v>
      </c>
      <c r="AV98" s="242">
        <v>-1088.2183414502506</v>
      </c>
      <c r="AW98" s="242">
        <v>-494.63643499447471</v>
      </c>
      <c r="AX98" s="242">
        <v>-341.07400455900006</v>
      </c>
      <c r="AY98" s="242">
        <v>-339.91708946400013</v>
      </c>
      <c r="BA98" s="80"/>
      <c r="BB98" s="80"/>
    </row>
    <row r="99" spans="2:54">
      <c r="B99" s="218">
        <v>10306</v>
      </c>
      <c r="C99" s="218" t="s">
        <v>102</v>
      </c>
      <c r="D99" s="242">
        <v>-5008.9046289259022</v>
      </c>
      <c r="E99" s="242">
        <v>-2686.490670154556</v>
      </c>
      <c r="F99" s="242">
        <v>6801.3384285530392</v>
      </c>
      <c r="G99" s="242">
        <v>7296.3519472272901</v>
      </c>
      <c r="H99" s="242">
        <v>3585.1962655030584</v>
      </c>
      <c r="I99" s="242">
        <v>5788.9357717864114</v>
      </c>
      <c r="J99" s="242">
        <v>10418.241211649365</v>
      </c>
      <c r="K99" s="242">
        <v>10575.967973315424</v>
      </c>
      <c r="L99" s="242">
        <v>9815.580510506381</v>
      </c>
      <c r="M99" s="242">
        <v>9277.7377351182367</v>
      </c>
      <c r="N99" s="242">
        <v>7564.4248928065426</v>
      </c>
      <c r="O99" s="242">
        <v>7753.4920985581448</v>
      </c>
      <c r="P99" s="242">
        <v>-8624.3320066532488</v>
      </c>
      <c r="Q99" s="242">
        <v>-5429.5831005025238</v>
      </c>
      <c r="R99" s="242">
        <v>-12301.399406558401</v>
      </c>
      <c r="S99" s="242">
        <v>-7942.6014109555499</v>
      </c>
      <c r="T99" s="242">
        <v>-12987.9769164258</v>
      </c>
      <c r="U99" s="242">
        <v>-7695.2681813323507</v>
      </c>
      <c r="V99" s="242">
        <v>-6380.0189255044361</v>
      </c>
      <c r="W99" s="242">
        <v>-2974.5315730050315</v>
      </c>
      <c r="X99" s="242">
        <v>-5885.7849039092689</v>
      </c>
      <c r="Y99" s="242">
        <v>-2645.0886214909565</v>
      </c>
      <c r="Z99" s="242">
        <v>-123.71563143420099</v>
      </c>
      <c r="AA99" s="242">
        <v>1806.0187122767993</v>
      </c>
      <c r="AB99" s="242">
        <v>-4855.6073417000753</v>
      </c>
      <c r="AC99" s="242">
        <v>-2860.8154613803472</v>
      </c>
      <c r="AD99" s="242">
        <v>6750.2150199538355</v>
      </c>
      <c r="AE99" s="242">
        <v>7255.3254118264313</v>
      </c>
      <c r="AF99" s="242">
        <v>3540.3083300192193</v>
      </c>
      <c r="AG99" s="242">
        <v>5750.3321472703101</v>
      </c>
      <c r="AH99" s="242">
        <v>10352.538574229995</v>
      </c>
      <c r="AI99" s="242">
        <v>10524.163970734766</v>
      </c>
      <c r="AJ99" s="242">
        <v>10043.631667116299</v>
      </c>
      <c r="AK99" s="242">
        <v>9564.2485592162975</v>
      </c>
      <c r="AL99" s="242">
        <v>7509.3681584001242</v>
      </c>
      <c r="AM99" s="242">
        <v>7710.2143289646046</v>
      </c>
      <c r="AN99" s="242">
        <v>-8627.9053079865844</v>
      </c>
      <c r="AO99" s="242">
        <v>-5432.1943591691916</v>
      </c>
      <c r="AP99" s="242">
        <v>-12301.399406558401</v>
      </c>
      <c r="AQ99" s="242">
        <v>-7942.6014109555499</v>
      </c>
      <c r="AR99" s="242">
        <v>-12987.9769164258</v>
      </c>
      <c r="AS99" s="242">
        <v>-7695.2681813323507</v>
      </c>
      <c r="AT99" s="242">
        <v>-6393.1594529883014</v>
      </c>
      <c r="AU99" s="242">
        <v>-2984.8923735211565</v>
      </c>
      <c r="AV99" s="242">
        <v>-6089.117276554417</v>
      </c>
      <c r="AW99" s="242">
        <v>-2465.8760328457861</v>
      </c>
      <c r="AX99" s="242">
        <v>241.83309496579932</v>
      </c>
      <c r="AY99" s="242">
        <v>1392.230417876799</v>
      </c>
      <c r="BA99" s="80"/>
      <c r="BB99" s="80"/>
    </row>
    <row r="100" spans="2:54">
      <c r="B100" s="218">
        <v>10307</v>
      </c>
      <c r="C100" s="218" t="s">
        <v>103</v>
      </c>
      <c r="D100" s="242">
        <v>4803.5427928331956</v>
      </c>
      <c r="E100" s="242">
        <v>1918.5222004968509</v>
      </c>
      <c r="F100" s="242">
        <v>4041.7713383135997</v>
      </c>
      <c r="G100" s="242">
        <v>2259.0130644596975</v>
      </c>
      <c r="H100" s="242">
        <v>6235.2629854593033</v>
      </c>
      <c r="I100" s="242">
        <v>5689.7744830751981</v>
      </c>
      <c r="J100" s="242">
        <v>5830.0641309704952</v>
      </c>
      <c r="K100" s="242">
        <v>4332.4137786822976</v>
      </c>
      <c r="L100" s="242">
        <v>6907.4410614773005</v>
      </c>
      <c r="M100" s="242">
        <v>4843.1280859732979</v>
      </c>
      <c r="N100" s="242">
        <v>-128.05767320689483</v>
      </c>
      <c r="O100" s="242">
        <v>32.596969528600312</v>
      </c>
      <c r="P100" s="242">
        <v>2891.8152725892505</v>
      </c>
      <c r="Q100" s="242">
        <v>374.88187428972742</v>
      </c>
      <c r="R100" s="242">
        <v>-8941.6771244624069</v>
      </c>
      <c r="S100" s="242">
        <v>-6140.7184105260512</v>
      </c>
      <c r="T100" s="242">
        <v>-11713.5960510238</v>
      </c>
      <c r="U100" s="242">
        <v>-5906.8865873108534</v>
      </c>
      <c r="V100" s="242">
        <v>-5055.615887373202</v>
      </c>
      <c r="W100" s="242">
        <v>-2463.5310787157505</v>
      </c>
      <c r="X100" s="242">
        <v>-3078.7962442029529</v>
      </c>
      <c r="Y100" s="242">
        <v>-2108.0407956458057</v>
      </c>
      <c r="Z100" s="242">
        <v>-2867.9434430362053</v>
      </c>
      <c r="AA100" s="242">
        <v>-1757.3710707152004</v>
      </c>
      <c r="AB100" s="242">
        <v>5916.1503282495978</v>
      </c>
      <c r="AC100" s="242">
        <v>833.22876589680163</v>
      </c>
      <c r="AD100" s="242">
        <v>4057.0954529408009</v>
      </c>
      <c r="AE100" s="242">
        <v>2268.6260834416025</v>
      </c>
      <c r="AF100" s="242">
        <v>6246.0705081904016</v>
      </c>
      <c r="AG100" s="242">
        <v>5697.9559152256006</v>
      </c>
      <c r="AH100" s="242">
        <v>5840.7111032239991</v>
      </c>
      <c r="AI100" s="242">
        <v>4339.492274734399</v>
      </c>
      <c r="AJ100" s="242">
        <v>6609.0788958703997</v>
      </c>
      <c r="AK100" s="242">
        <v>4897.9064926704013</v>
      </c>
      <c r="AL100" s="242">
        <v>-116.33226068319345</v>
      </c>
      <c r="AM100" s="242">
        <v>40.230218460801552</v>
      </c>
      <c r="AN100" s="242">
        <v>2908.1679929240017</v>
      </c>
      <c r="AO100" s="242">
        <v>383.86878563480423</v>
      </c>
      <c r="AP100" s="242">
        <v>-8930.1493903871997</v>
      </c>
      <c r="AQ100" s="242">
        <v>-6133.7184632343979</v>
      </c>
      <c r="AR100" s="242">
        <v>-11702.487091446397</v>
      </c>
      <c r="AS100" s="242">
        <v>-5898.984890088801</v>
      </c>
      <c r="AT100" s="242">
        <v>-5040.4377493695974</v>
      </c>
      <c r="AU100" s="242">
        <v>-2453.6101641159985</v>
      </c>
      <c r="AV100" s="242">
        <v>-4004.6895240775993</v>
      </c>
      <c r="AW100" s="242">
        <v>-1156.3264598530386</v>
      </c>
      <c r="AX100" s="242">
        <v>-1953.2306282335994</v>
      </c>
      <c r="AY100" s="242">
        <v>-2646.8192531456007</v>
      </c>
      <c r="BA100" s="80"/>
      <c r="BB100" s="80"/>
    </row>
    <row r="101" spans="2:54">
      <c r="B101" s="218">
        <v>10326</v>
      </c>
      <c r="C101" s="218" t="s">
        <v>104</v>
      </c>
      <c r="D101" s="242">
        <v>1522.2343391535978</v>
      </c>
      <c r="E101" s="242">
        <v>1822.7853197537997</v>
      </c>
      <c r="F101" s="242">
        <v>-1837.9831532671997</v>
      </c>
      <c r="G101" s="242">
        <v>-412.1980083244016</v>
      </c>
      <c r="H101" s="242">
        <v>-2108.7817008635993</v>
      </c>
      <c r="I101" s="242">
        <v>291.87678536959902</v>
      </c>
      <c r="J101" s="242">
        <v>-2292.9299517660002</v>
      </c>
      <c r="K101" s="242">
        <v>-109.93043625960127</v>
      </c>
      <c r="L101" s="242">
        <v>-1252.8522285995987</v>
      </c>
      <c r="M101" s="242">
        <v>567.45179200839993</v>
      </c>
      <c r="N101" s="242">
        <v>-1336.4811829011996</v>
      </c>
      <c r="O101" s="242">
        <v>156.8057245527998</v>
      </c>
      <c r="P101" s="242">
        <v>1280.1577003090006</v>
      </c>
      <c r="Q101" s="242">
        <v>1082.4814675493017</v>
      </c>
      <c r="R101" s="242">
        <v>-1655.4649753152007</v>
      </c>
      <c r="S101" s="242">
        <v>-241.3300391153989</v>
      </c>
      <c r="T101" s="242">
        <v>-2638.5901800823995</v>
      </c>
      <c r="U101" s="242">
        <v>-225.51474502579913</v>
      </c>
      <c r="V101" s="242">
        <v>322.05922092640139</v>
      </c>
      <c r="W101" s="242">
        <v>1365.0431411690006</v>
      </c>
      <c r="X101" s="242">
        <v>845.51746442339936</v>
      </c>
      <c r="Y101" s="242">
        <v>1355.9415044548596</v>
      </c>
      <c r="Z101" s="242">
        <v>1299.7441872023992</v>
      </c>
      <c r="AA101" s="242">
        <v>2202.8520759103994</v>
      </c>
      <c r="AB101" s="242">
        <v>2339.9633391535972</v>
      </c>
      <c r="AC101" s="242">
        <v>1612.0133197538007</v>
      </c>
      <c r="AD101" s="242">
        <v>-1374.6871532672012</v>
      </c>
      <c r="AE101" s="242">
        <v>-120.67700832440096</v>
      </c>
      <c r="AF101" s="242">
        <v>-1695.9517008636012</v>
      </c>
      <c r="AG101" s="242">
        <v>580.1787853695987</v>
      </c>
      <c r="AH101" s="242">
        <v>-2107.937951766</v>
      </c>
      <c r="AI101" s="242">
        <v>-23.735436259599737</v>
      </c>
      <c r="AJ101" s="242">
        <v>-1014.0363449835986</v>
      </c>
      <c r="AK101" s="242">
        <v>720.92623381639896</v>
      </c>
      <c r="AL101" s="242">
        <v>-1213.0991829012</v>
      </c>
      <c r="AM101" s="242">
        <v>210.70072455279842</v>
      </c>
      <c r="AN101" s="242">
        <v>1758.0317003090004</v>
      </c>
      <c r="AO101" s="242">
        <v>1363.9724675493017</v>
      </c>
      <c r="AP101" s="242">
        <v>-1454.2789753152028</v>
      </c>
      <c r="AQ101" s="242">
        <v>-145.72403911539914</v>
      </c>
      <c r="AR101" s="242">
        <v>-3176.2631800824001</v>
      </c>
      <c r="AS101" s="242">
        <v>-661.41374502580038</v>
      </c>
      <c r="AT101" s="242">
        <v>-239.27977907360037</v>
      </c>
      <c r="AU101" s="242">
        <v>916.71414116900087</v>
      </c>
      <c r="AV101" s="242">
        <v>-169.15553557660132</v>
      </c>
      <c r="AW101" s="242">
        <v>1360.8845044548607</v>
      </c>
      <c r="AX101" s="242">
        <v>1224.1421872023984</v>
      </c>
      <c r="AY101" s="242">
        <v>1304.9200759104006</v>
      </c>
      <c r="BA101" s="80"/>
      <c r="BB101" s="80"/>
    </row>
    <row r="102" spans="2:54">
      <c r="B102" s="218">
        <v>10331</v>
      </c>
      <c r="C102" s="218" t="s">
        <v>105</v>
      </c>
      <c r="D102" s="242">
        <v>0</v>
      </c>
      <c r="E102" s="242">
        <v>0</v>
      </c>
      <c r="F102" s="242">
        <v>0</v>
      </c>
      <c r="G102" s="242">
        <v>0</v>
      </c>
      <c r="H102" s="242">
        <v>0</v>
      </c>
      <c r="I102" s="242">
        <v>0</v>
      </c>
      <c r="J102" s="242">
        <v>0</v>
      </c>
      <c r="K102" s="242">
        <v>0</v>
      </c>
      <c r="L102" s="242">
        <v>0</v>
      </c>
      <c r="M102" s="242">
        <v>0</v>
      </c>
      <c r="N102" s="242">
        <v>0</v>
      </c>
      <c r="O102" s="242">
        <v>0</v>
      </c>
      <c r="P102" s="242">
        <v>0</v>
      </c>
      <c r="Q102" s="242">
        <v>0</v>
      </c>
      <c r="R102" s="242">
        <v>0</v>
      </c>
      <c r="S102" s="242">
        <v>0</v>
      </c>
      <c r="T102" s="242">
        <v>0</v>
      </c>
      <c r="U102" s="242">
        <v>0</v>
      </c>
      <c r="V102" s="242">
        <v>0</v>
      </c>
      <c r="W102" s="242">
        <v>0</v>
      </c>
      <c r="X102" s="242">
        <v>0</v>
      </c>
      <c r="Y102" s="242">
        <v>0</v>
      </c>
      <c r="Z102" s="242">
        <v>0</v>
      </c>
      <c r="AA102" s="242">
        <v>0</v>
      </c>
      <c r="AB102" s="242">
        <v>0</v>
      </c>
      <c r="AC102" s="242">
        <v>0</v>
      </c>
      <c r="AD102" s="242">
        <v>0</v>
      </c>
      <c r="AE102" s="242">
        <v>0</v>
      </c>
      <c r="AF102" s="242">
        <v>0</v>
      </c>
      <c r="AG102" s="242">
        <v>0</v>
      </c>
      <c r="AH102" s="242">
        <v>0</v>
      </c>
      <c r="AI102" s="242">
        <v>0</v>
      </c>
      <c r="AJ102" s="242">
        <v>0</v>
      </c>
      <c r="AK102" s="242">
        <v>0</v>
      </c>
      <c r="AL102" s="242">
        <v>0</v>
      </c>
      <c r="AM102" s="242">
        <v>0</v>
      </c>
      <c r="AN102" s="242">
        <v>0</v>
      </c>
      <c r="AO102" s="242">
        <v>0</v>
      </c>
      <c r="AP102" s="242">
        <v>0</v>
      </c>
      <c r="AQ102" s="242">
        <v>0</v>
      </c>
      <c r="AR102" s="242">
        <v>0</v>
      </c>
      <c r="AS102" s="242">
        <v>0</v>
      </c>
      <c r="AT102" s="242">
        <v>0</v>
      </c>
      <c r="AU102" s="242">
        <v>0</v>
      </c>
      <c r="AV102" s="242">
        <v>0</v>
      </c>
      <c r="AW102" s="242">
        <v>0</v>
      </c>
      <c r="AX102" s="242">
        <v>0</v>
      </c>
      <c r="AY102" s="242">
        <v>0</v>
      </c>
      <c r="BA102" s="80"/>
      <c r="BB102" s="80"/>
    </row>
    <row r="103" spans="2:54">
      <c r="B103" s="218">
        <v>10333</v>
      </c>
      <c r="C103" s="218" t="s">
        <v>106</v>
      </c>
      <c r="D103" s="242">
        <v>0</v>
      </c>
      <c r="E103" s="242">
        <v>0</v>
      </c>
      <c r="F103" s="242">
        <v>0</v>
      </c>
      <c r="G103" s="242">
        <v>0</v>
      </c>
      <c r="H103" s="242">
        <v>0</v>
      </c>
      <c r="I103" s="242">
        <v>0</v>
      </c>
      <c r="J103" s="242">
        <v>0</v>
      </c>
      <c r="K103" s="242">
        <v>0</v>
      </c>
      <c r="L103" s="242">
        <v>0</v>
      </c>
      <c r="M103" s="242">
        <v>0</v>
      </c>
      <c r="N103" s="242">
        <v>0</v>
      </c>
      <c r="O103" s="242">
        <v>0</v>
      </c>
      <c r="P103" s="242">
        <v>0</v>
      </c>
      <c r="Q103" s="242">
        <v>0</v>
      </c>
      <c r="R103" s="242">
        <v>0</v>
      </c>
      <c r="S103" s="242">
        <v>0</v>
      </c>
      <c r="T103" s="242">
        <v>0</v>
      </c>
      <c r="U103" s="242">
        <v>0</v>
      </c>
      <c r="V103" s="242">
        <v>0</v>
      </c>
      <c r="W103" s="242">
        <v>0</v>
      </c>
      <c r="X103" s="242">
        <v>0</v>
      </c>
      <c r="Y103" s="242">
        <v>0</v>
      </c>
      <c r="Z103" s="242">
        <v>0</v>
      </c>
      <c r="AA103" s="242">
        <v>0</v>
      </c>
      <c r="AB103" s="242">
        <v>0</v>
      </c>
      <c r="AC103" s="242">
        <v>0</v>
      </c>
      <c r="AD103" s="242">
        <v>0</v>
      </c>
      <c r="AE103" s="242">
        <v>0</v>
      </c>
      <c r="AF103" s="242">
        <v>0</v>
      </c>
      <c r="AG103" s="242">
        <v>0</v>
      </c>
      <c r="AH103" s="242">
        <v>0</v>
      </c>
      <c r="AI103" s="242">
        <v>0</v>
      </c>
      <c r="AJ103" s="242">
        <v>0</v>
      </c>
      <c r="AK103" s="242">
        <v>0</v>
      </c>
      <c r="AL103" s="242">
        <v>0</v>
      </c>
      <c r="AM103" s="242">
        <v>0</v>
      </c>
      <c r="AN103" s="242">
        <v>0</v>
      </c>
      <c r="AO103" s="242">
        <v>0</v>
      </c>
      <c r="AP103" s="242">
        <v>0</v>
      </c>
      <c r="AQ103" s="242">
        <v>0</v>
      </c>
      <c r="AR103" s="242">
        <v>0</v>
      </c>
      <c r="AS103" s="242">
        <v>0</v>
      </c>
      <c r="AT103" s="242">
        <v>0</v>
      </c>
      <c r="AU103" s="242">
        <v>0</v>
      </c>
      <c r="AV103" s="242">
        <v>0</v>
      </c>
      <c r="AW103" s="242">
        <v>0</v>
      </c>
      <c r="AX103" s="242">
        <v>0</v>
      </c>
      <c r="AY103" s="242">
        <v>0</v>
      </c>
      <c r="BA103" s="80"/>
      <c r="BB103" s="80"/>
    </row>
    <row r="104" spans="2:54">
      <c r="B104" s="218">
        <v>10338</v>
      </c>
      <c r="C104" s="218" t="s">
        <v>107</v>
      </c>
      <c r="D104" s="242">
        <v>-47.728196096000033</v>
      </c>
      <c r="E104" s="242">
        <v>24.840132231999974</v>
      </c>
      <c r="F104" s="242">
        <v>-257.39074220800001</v>
      </c>
      <c r="G104" s="242">
        <v>-62.07222001599996</v>
      </c>
      <c r="H104" s="242">
        <v>59.881791696000164</v>
      </c>
      <c r="I104" s="242">
        <v>267.92211814400014</v>
      </c>
      <c r="J104" s="242">
        <v>33.237583760000234</v>
      </c>
      <c r="K104" s="242">
        <v>236.81562225599998</v>
      </c>
      <c r="L104" s="242">
        <v>-54.329615343999876</v>
      </c>
      <c r="M104" s="242">
        <v>130.61194177600009</v>
      </c>
      <c r="N104" s="242">
        <v>-265.13582196799985</v>
      </c>
      <c r="O104" s="242">
        <v>-49.795717407999859</v>
      </c>
      <c r="P104" s="242">
        <v>105.71298676000015</v>
      </c>
      <c r="Q104" s="242">
        <v>104.40427685200007</v>
      </c>
      <c r="R104" s="242">
        <v>168.72653907199992</v>
      </c>
      <c r="S104" s="242">
        <v>153.2697627440001</v>
      </c>
      <c r="T104" s="242">
        <v>372.99233686399998</v>
      </c>
      <c r="U104" s="242">
        <v>343.64558168800011</v>
      </c>
      <c r="V104" s="242">
        <v>602.36432729600006</v>
      </c>
      <c r="W104" s="242">
        <v>459.31319716000007</v>
      </c>
      <c r="X104" s="242">
        <v>536.42550237599994</v>
      </c>
      <c r="Y104" s="242">
        <v>331.65100517040003</v>
      </c>
      <c r="Z104" s="242">
        <v>49.05173993599999</v>
      </c>
      <c r="AA104" s="242">
        <v>107.29898105600012</v>
      </c>
      <c r="AB104" s="242">
        <v>-5.1691960960000642</v>
      </c>
      <c r="AC104" s="242">
        <v>2.1451322320000372</v>
      </c>
      <c r="AD104" s="242">
        <v>-246.34574220799993</v>
      </c>
      <c r="AE104" s="242">
        <v>-53.535220016000039</v>
      </c>
      <c r="AF104" s="242">
        <v>71.857791696000049</v>
      </c>
      <c r="AG104" s="242">
        <v>277.90511814400008</v>
      </c>
      <c r="AH104" s="242">
        <v>45.585583760000191</v>
      </c>
      <c r="AI104" s="242">
        <v>246.48562225599994</v>
      </c>
      <c r="AJ104" s="242">
        <v>-34.634965103999775</v>
      </c>
      <c r="AK104" s="242">
        <v>145.35326689600004</v>
      </c>
      <c r="AL104" s="242">
        <v>-253.93882196799984</v>
      </c>
      <c r="AM104" s="242">
        <v>-41.091717407999909</v>
      </c>
      <c r="AN104" s="242">
        <v>117.79298676000008</v>
      </c>
      <c r="AO104" s="242">
        <v>112.60127685200007</v>
      </c>
      <c r="AP104" s="242">
        <v>181.64753907199997</v>
      </c>
      <c r="AQ104" s="242">
        <v>162.05176274400014</v>
      </c>
      <c r="AR104" s="242">
        <v>386.7663368640001</v>
      </c>
      <c r="AS104" s="242">
        <v>352.88358168799994</v>
      </c>
      <c r="AT104" s="242">
        <v>616.37432729600005</v>
      </c>
      <c r="AU104" s="242">
        <v>468.60119716000008</v>
      </c>
      <c r="AV104" s="242">
        <v>496.00650237600007</v>
      </c>
      <c r="AW104" s="242">
        <v>394.62500517040007</v>
      </c>
      <c r="AX104" s="242">
        <v>97.812739935999957</v>
      </c>
      <c r="AY104" s="242">
        <v>78.577981056000112</v>
      </c>
      <c r="BA104" s="80"/>
      <c r="BB104" s="80"/>
    </row>
    <row r="105" spans="2:54">
      <c r="B105" s="218">
        <v>10342</v>
      </c>
      <c r="C105" s="218" t="s">
        <v>108</v>
      </c>
      <c r="D105" s="242">
        <v>2743.3532988183997</v>
      </c>
      <c r="E105" s="242">
        <v>557.71306920969982</v>
      </c>
      <c r="F105" s="242">
        <v>-108.25313687680318</v>
      </c>
      <c r="G105" s="242">
        <v>-734.1479208885994</v>
      </c>
      <c r="H105" s="242">
        <v>1543.9798605666001</v>
      </c>
      <c r="I105" s="242">
        <v>1352.5155084224007</v>
      </c>
      <c r="J105" s="242">
        <v>1286.8814068210013</v>
      </c>
      <c r="K105" s="242">
        <v>674.58538029259944</v>
      </c>
      <c r="L105" s="242">
        <v>1291.7022970826038</v>
      </c>
      <c r="M105" s="242">
        <v>642.26546063460046</v>
      </c>
      <c r="N105" s="242">
        <v>-1342.4823527977969</v>
      </c>
      <c r="O105" s="242">
        <v>-1423.7836720467985</v>
      </c>
      <c r="P105" s="242">
        <v>1761.2304790585022</v>
      </c>
      <c r="Q105" s="242">
        <v>-379.12395614454908</v>
      </c>
      <c r="R105" s="242">
        <v>-3241.329237788801</v>
      </c>
      <c r="S105" s="242">
        <v>-3089.6683889800988</v>
      </c>
      <c r="T105" s="242">
        <v>-3996.3238844155985</v>
      </c>
      <c r="U105" s="242">
        <v>-2353.8976098777002</v>
      </c>
      <c r="V105" s="242">
        <v>1426.4459377015992</v>
      </c>
      <c r="W105" s="242">
        <v>103.7867516485021</v>
      </c>
      <c r="X105" s="242">
        <v>2361.6321980820994</v>
      </c>
      <c r="Y105" s="242">
        <v>56.846145163590336</v>
      </c>
      <c r="Z105" s="242">
        <v>823.2999746955993</v>
      </c>
      <c r="AA105" s="242">
        <v>44.234125897601189</v>
      </c>
      <c r="AB105" s="242">
        <v>3370.1904610315978</v>
      </c>
      <c r="AC105" s="242">
        <v>-48.255594315949565</v>
      </c>
      <c r="AD105" s="242">
        <v>-104.81228032319996</v>
      </c>
      <c r="AE105" s="242">
        <v>-734.06374257390053</v>
      </c>
      <c r="AF105" s="242">
        <v>1555.4789430208984</v>
      </c>
      <c r="AG105" s="242">
        <v>1361.1538111776008</v>
      </c>
      <c r="AH105" s="242">
        <v>1300.9136318665005</v>
      </c>
      <c r="AI105" s="242">
        <v>682.8067304198994</v>
      </c>
      <c r="AJ105" s="242">
        <v>1146.5511725509023</v>
      </c>
      <c r="AK105" s="242">
        <v>680.65146285089941</v>
      </c>
      <c r="AL105" s="242">
        <v>-1341.7550343396979</v>
      </c>
      <c r="AM105" s="242">
        <v>-1425.1633470281995</v>
      </c>
      <c r="AN105" s="242">
        <v>1772.3962322852512</v>
      </c>
      <c r="AO105" s="242">
        <v>-377.03743557107373</v>
      </c>
      <c r="AP105" s="242">
        <v>-3246.9928524112001</v>
      </c>
      <c r="AQ105" s="242">
        <v>-3096.6046162636503</v>
      </c>
      <c r="AR105" s="242">
        <v>-4002.0090136093986</v>
      </c>
      <c r="AS105" s="242">
        <v>-2357.2207932660513</v>
      </c>
      <c r="AT105" s="242">
        <v>1438.0153199484012</v>
      </c>
      <c r="AU105" s="242">
        <v>108.18677282025055</v>
      </c>
      <c r="AV105" s="242">
        <v>1716.7970682866508</v>
      </c>
      <c r="AW105" s="242">
        <v>720.35841446203631</v>
      </c>
      <c r="AX105" s="242">
        <v>1425.9784808293971</v>
      </c>
      <c r="AY105" s="242">
        <v>-545.60179049760154</v>
      </c>
      <c r="BA105" s="80"/>
      <c r="BB105" s="80"/>
    </row>
    <row r="106" spans="2:54">
      <c r="B106" s="218">
        <v>10343</v>
      </c>
      <c r="C106" s="218" t="s">
        <v>109</v>
      </c>
      <c r="D106" s="242">
        <v>-421.66499735160005</v>
      </c>
      <c r="E106" s="242">
        <v>-67.104651244049819</v>
      </c>
      <c r="F106" s="242">
        <v>-983.45049503680002</v>
      </c>
      <c r="G106" s="242">
        <v>-80.986110146100145</v>
      </c>
      <c r="H106" s="242">
        <v>-36.743404700899191</v>
      </c>
      <c r="I106" s="242">
        <v>744.17507330240051</v>
      </c>
      <c r="J106" s="242">
        <v>-495.33764266649905</v>
      </c>
      <c r="K106" s="242">
        <v>800.27750310010015</v>
      </c>
      <c r="L106" s="242">
        <v>-484.73702273489926</v>
      </c>
      <c r="M106" s="242">
        <v>671.03299321710028</v>
      </c>
      <c r="N106" s="242">
        <v>-953.74105022029926</v>
      </c>
      <c r="O106" s="242">
        <v>-116.44371233179982</v>
      </c>
      <c r="P106" s="242">
        <v>-171.5366080852491</v>
      </c>
      <c r="Q106" s="242">
        <v>314.26858791107543</v>
      </c>
      <c r="R106" s="242">
        <v>-444.87710534879989</v>
      </c>
      <c r="S106" s="242">
        <v>458.79120774365083</v>
      </c>
      <c r="T106" s="242">
        <v>-850.54941951060027</v>
      </c>
      <c r="U106" s="242">
        <v>142.07240522605025</v>
      </c>
      <c r="V106" s="242">
        <v>236.65352037160028</v>
      </c>
      <c r="W106" s="242">
        <v>1009.2841193797508</v>
      </c>
      <c r="X106" s="242">
        <v>94.157910633350184</v>
      </c>
      <c r="Y106" s="242">
        <v>711.8894570059656</v>
      </c>
      <c r="Z106" s="242">
        <v>-292.95399170939982</v>
      </c>
      <c r="AA106" s="242">
        <v>217.03177001760014</v>
      </c>
      <c r="AB106" s="242">
        <v>-1569.2228583228011</v>
      </c>
      <c r="AC106" s="242">
        <v>-814.63343993865055</v>
      </c>
      <c r="AD106" s="242">
        <v>-2449.8582027744005</v>
      </c>
      <c r="AE106" s="242">
        <v>-1031.4387911913004</v>
      </c>
      <c r="AF106" s="242">
        <v>-1618.1455986597002</v>
      </c>
      <c r="AG106" s="242">
        <v>-282.69329494080012</v>
      </c>
      <c r="AH106" s="242">
        <v>-238.4343610445012</v>
      </c>
      <c r="AI106" s="242">
        <v>1485.5769004732992</v>
      </c>
      <c r="AJ106" s="242">
        <v>-257.90262214969971</v>
      </c>
      <c r="AK106" s="242">
        <v>1152.3618079502994</v>
      </c>
      <c r="AL106" s="242">
        <v>-659.19371577990023</v>
      </c>
      <c r="AM106" s="242">
        <v>254.60562499059961</v>
      </c>
      <c r="AN106" s="242">
        <v>369.36381826175057</v>
      </c>
      <c r="AO106" s="242">
        <v>791.410700892975</v>
      </c>
      <c r="AP106" s="242">
        <v>-158.81723347040133</v>
      </c>
      <c r="AQ106" s="242">
        <v>1013.8397417454498</v>
      </c>
      <c r="AR106" s="242">
        <v>-788.06897986980039</v>
      </c>
      <c r="AS106" s="242">
        <v>448.93505074464974</v>
      </c>
      <c r="AT106" s="242">
        <v>320.68885198279895</v>
      </c>
      <c r="AU106" s="242">
        <v>1315.5057151067494</v>
      </c>
      <c r="AV106" s="242">
        <v>480.88296559554965</v>
      </c>
      <c r="AW106" s="242">
        <v>1257.3911115373448</v>
      </c>
      <c r="AX106" s="242">
        <v>180.43173560979903</v>
      </c>
      <c r="AY106" s="242">
        <v>796.84436850079965</v>
      </c>
      <c r="BA106" s="80"/>
      <c r="BB106" s="80"/>
    </row>
    <row r="107" spans="2:54">
      <c r="B107" s="218">
        <v>10349</v>
      </c>
      <c r="C107" s="218" t="s">
        <v>110</v>
      </c>
      <c r="D107" s="242">
        <v>27790.168818654987</v>
      </c>
      <c r="E107" s="242">
        <v>20829.24426385398</v>
      </c>
      <c r="F107" s="242">
        <v>95527.458098169562</v>
      </c>
      <c r="G107" s="242">
        <v>67631.012351584155</v>
      </c>
      <c r="H107" s="242">
        <v>83675.87877814981</v>
      </c>
      <c r="I107" s="242">
        <v>59765.899866067222</v>
      </c>
      <c r="J107" s="242">
        <v>96359.362903712899</v>
      </c>
      <c r="K107" s="242">
        <v>76794.774354427878</v>
      </c>
      <c r="L107" s="242">
        <v>73767.564984697819</v>
      </c>
      <c r="M107" s="242">
        <v>69421.955598553657</v>
      </c>
      <c r="N107" s="242">
        <v>80991.908522556565</v>
      </c>
      <c r="O107" s="242">
        <v>59447.222155359545</v>
      </c>
      <c r="P107" s="242">
        <v>-29479.71875959952</v>
      </c>
      <c r="Q107" s="242">
        <v>-15427.77764087118</v>
      </c>
      <c r="R107" s="242">
        <v>-171513.69563576626</v>
      </c>
      <c r="S107" s="242">
        <v>-109719.94174336531</v>
      </c>
      <c r="T107" s="242">
        <v>-232403.7254235468</v>
      </c>
      <c r="U107" s="242">
        <v>-137697.27225285812</v>
      </c>
      <c r="V107" s="242">
        <v>-83570.368278295224</v>
      </c>
      <c r="W107" s="242">
        <v>-43312.30766872938</v>
      </c>
      <c r="X107" s="242">
        <v>-58516.369522628695</v>
      </c>
      <c r="Y107" s="242">
        <v>-21224.536184351629</v>
      </c>
      <c r="Z107" s="242">
        <v>55303.407829186763</v>
      </c>
      <c r="AA107" s="242">
        <v>35558.280989692939</v>
      </c>
      <c r="AB107" s="242">
        <v>27137.014686781738</v>
      </c>
      <c r="AC107" s="242">
        <v>20383.495335590138</v>
      </c>
      <c r="AD107" s="242">
        <v>94260.30577367681</v>
      </c>
      <c r="AE107" s="242">
        <v>66768.569650488585</v>
      </c>
      <c r="AF107" s="242">
        <v>82448.593169833388</v>
      </c>
      <c r="AG107" s="242">
        <v>58929.873997177579</v>
      </c>
      <c r="AH107" s="242">
        <v>95002.573817179014</v>
      </c>
      <c r="AI107" s="242">
        <v>75834.013018107449</v>
      </c>
      <c r="AJ107" s="242">
        <v>79995.445890613337</v>
      </c>
      <c r="AK107" s="242">
        <v>72259.087396413495</v>
      </c>
      <c r="AL107" s="242">
        <v>79796.470061597589</v>
      </c>
      <c r="AM107" s="242">
        <v>58625.840676846943</v>
      </c>
      <c r="AN107" s="242">
        <v>-29750.796911058686</v>
      </c>
      <c r="AO107" s="242">
        <v>-15627.422015055345</v>
      </c>
      <c r="AP107" s="242">
        <v>-170877.64858141111</v>
      </c>
      <c r="AQ107" s="242">
        <v>-109316.6148494199</v>
      </c>
      <c r="AR107" s="242">
        <v>-231362.7791059844</v>
      </c>
      <c r="AS107" s="242">
        <v>-137080.52022692232</v>
      </c>
      <c r="AT107" s="242">
        <v>-83513.261451301805</v>
      </c>
      <c r="AU107" s="242">
        <v>-43329.782279648643</v>
      </c>
      <c r="AV107" s="242">
        <v>-58630.957223682082</v>
      </c>
      <c r="AW107" s="242">
        <v>-21380.593934603632</v>
      </c>
      <c r="AX107" s="242">
        <v>54441.110087704408</v>
      </c>
      <c r="AY107" s="242">
        <v>34989.286320502375</v>
      </c>
      <c r="BA107" s="80"/>
      <c r="BB107" s="80"/>
    </row>
    <row r="108" spans="2:54">
      <c r="B108" s="218">
        <v>10352</v>
      </c>
      <c r="C108" s="218" t="s">
        <v>111</v>
      </c>
      <c r="D108" s="242">
        <v>1166.2636074395996</v>
      </c>
      <c r="E108" s="242">
        <v>269.46161332305064</v>
      </c>
      <c r="F108" s="242">
        <v>187.35144806080007</v>
      </c>
      <c r="G108" s="242">
        <v>-61.622453255899927</v>
      </c>
      <c r="H108" s="242">
        <v>909.31662156290076</v>
      </c>
      <c r="I108" s="242">
        <v>1015.6257770656002</v>
      </c>
      <c r="J108" s="242">
        <v>1872.4039021365006</v>
      </c>
      <c r="K108" s="242">
        <v>1299.9153865819007</v>
      </c>
      <c r="L108" s="242">
        <v>1371.0582677169014</v>
      </c>
      <c r="M108" s="242">
        <v>932.66348440489946</v>
      </c>
      <c r="N108" s="242">
        <v>203.50490677430116</v>
      </c>
      <c r="O108" s="242">
        <v>15.912063455800308</v>
      </c>
      <c r="P108" s="242">
        <v>1295.9921491802506</v>
      </c>
      <c r="Q108" s="242">
        <v>201.90094587042586</v>
      </c>
      <c r="R108" s="242">
        <v>-1488.0169094672001</v>
      </c>
      <c r="S108" s="242">
        <v>-1447.3058305506493</v>
      </c>
      <c r="T108" s="242">
        <v>-2347.5598247813987</v>
      </c>
      <c r="U108" s="242">
        <v>-1480.8156700650497</v>
      </c>
      <c r="V108" s="242">
        <v>-901.08973405959932</v>
      </c>
      <c r="W108" s="242">
        <v>-810.97471698474965</v>
      </c>
      <c r="X108" s="242">
        <v>-391.55976668634958</v>
      </c>
      <c r="Y108" s="242">
        <v>-701.50496777466424</v>
      </c>
      <c r="Z108" s="242">
        <v>-536.45568439859926</v>
      </c>
      <c r="AA108" s="242">
        <v>-571.16477798559981</v>
      </c>
      <c r="AB108" s="242">
        <v>1439.5260309279993</v>
      </c>
      <c r="AC108" s="242">
        <v>13.118898174000151</v>
      </c>
      <c r="AD108" s="242">
        <v>197.91853734399865</v>
      </c>
      <c r="AE108" s="242">
        <v>-55.275677012000415</v>
      </c>
      <c r="AF108" s="242">
        <v>922.67111577200012</v>
      </c>
      <c r="AG108" s="242">
        <v>1025.465196608</v>
      </c>
      <c r="AH108" s="242">
        <v>1889.0582578199992</v>
      </c>
      <c r="AI108" s="242">
        <v>1310.5671586919998</v>
      </c>
      <c r="AJ108" s="242">
        <v>1286.0124481719995</v>
      </c>
      <c r="AK108" s="242">
        <v>938.5503721719997</v>
      </c>
      <c r="AL108" s="242">
        <v>214.69015752399991</v>
      </c>
      <c r="AM108" s="242">
        <v>22.7831559440001</v>
      </c>
      <c r="AN108" s="242">
        <v>1307.9356850699996</v>
      </c>
      <c r="AO108" s="242">
        <v>207.84528413900034</v>
      </c>
      <c r="AP108" s="242">
        <v>-1481.7305416960016</v>
      </c>
      <c r="AQ108" s="242">
        <v>-1444.5837449420001</v>
      </c>
      <c r="AR108" s="242">
        <v>-2343.0528493520005</v>
      </c>
      <c r="AS108" s="242">
        <v>-1478.3924227339999</v>
      </c>
      <c r="AT108" s="242">
        <v>-894.1295325279998</v>
      </c>
      <c r="AU108" s="242">
        <v>-807.49735713000018</v>
      </c>
      <c r="AV108" s="242">
        <v>-613.96246621800037</v>
      </c>
      <c r="AW108" s="242">
        <v>-467.46315582219995</v>
      </c>
      <c r="AX108" s="242">
        <v>-313.12299304800126</v>
      </c>
      <c r="AY108" s="242">
        <v>-784.066222208</v>
      </c>
      <c r="BA108" s="80"/>
      <c r="BB108" s="80"/>
    </row>
    <row r="109" spans="2:54">
      <c r="B109" s="218">
        <v>10354</v>
      </c>
      <c r="C109" s="218" t="s">
        <v>112</v>
      </c>
      <c r="D109" s="242">
        <v>13960.419180958692</v>
      </c>
      <c r="E109" s="242">
        <v>28432.430835271283</v>
      </c>
      <c r="F109" s="242">
        <v>-5756.9220162851852</v>
      </c>
      <c r="G109" s="242">
        <v>20745.412298795709</v>
      </c>
      <c r="H109" s="242">
        <v>1509.7125631708186</v>
      </c>
      <c r="I109" s="242">
        <v>38632.300254002141</v>
      </c>
      <c r="J109" s="242">
        <v>-5649.028262266278</v>
      </c>
      <c r="K109" s="242">
        <v>28132.122536494382</v>
      </c>
      <c r="L109" s="242">
        <v>-8990.7700535735639</v>
      </c>
      <c r="M109" s="242">
        <v>21139.733706445113</v>
      </c>
      <c r="N109" s="242">
        <v>-18850.522462457942</v>
      </c>
      <c r="O109" s="242">
        <v>10121.922726686331</v>
      </c>
      <c r="P109" s="242">
        <v>2972.1927131991833</v>
      </c>
      <c r="Q109" s="242">
        <v>14215.438203837621</v>
      </c>
      <c r="R109" s="242">
        <v>-41185.267957120072</v>
      </c>
      <c r="S109" s="242">
        <v>-8234.974736297343</v>
      </c>
      <c r="T109" s="242">
        <v>-56661.294322769172</v>
      </c>
      <c r="U109" s="242">
        <v>-8140.7115208442992</v>
      </c>
      <c r="V109" s="242">
        <v>-31053.819606898847</v>
      </c>
      <c r="W109" s="242">
        <v>3883.0009564165812</v>
      </c>
      <c r="X109" s="242">
        <v>-23856.166808010545</v>
      </c>
      <c r="Y109" s="242">
        <v>4927.4530335913878</v>
      </c>
      <c r="Z109" s="242">
        <v>-12330.780197133805</v>
      </c>
      <c r="AA109" s="242">
        <v>15624.480017671522</v>
      </c>
      <c r="AB109" s="242">
        <v>20584.696137903869</v>
      </c>
      <c r="AC109" s="242">
        <v>23775.451440342906</v>
      </c>
      <c r="AD109" s="242">
        <v>-4513.5573465680063</v>
      </c>
      <c r="AE109" s="242">
        <v>21728.348208977026</v>
      </c>
      <c r="AF109" s="242">
        <v>2906.4083890792972</v>
      </c>
      <c r="AG109" s="242">
        <v>39811.580755116986</v>
      </c>
      <c r="AH109" s="242">
        <v>-4219.40207228504</v>
      </c>
      <c r="AI109" s="242">
        <v>29240.232121041001</v>
      </c>
      <c r="AJ109" s="242">
        <v>-2975.3478890559636</v>
      </c>
      <c r="AK109" s="242">
        <v>25783.908351622842</v>
      </c>
      <c r="AL109" s="242">
        <v>-17628.876334568369</v>
      </c>
      <c r="AM109" s="242">
        <v>11067.592359272763</v>
      </c>
      <c r="AN109" s="242">
        <v>4065.3181876041635</v>
      </c>
      <c r="AO109" s="242">
        <v>15007.203133820993</v>
      </c>
      <c r="AP109" s="242">
        <v>-40155.920093011024</v>
      </c>
      <c r="AQ109" s="242">
        <v>-7437.5771586059127</v>
      </c>
      <c r="AR109" s="242">
        <v>-55669.811741901009</v>
      </c>
      <c r="AS109" s="242">
        <v>-7369.3180290956079</v>
      </c>
      <c r="AT109" s="242">
        <v>-30071.160710893324</v>
      </c>
      <c r="AU109" s="242">
        <v>4641.1660396522202</v>
      </c>
      <c r="AV109" s="242">
        <v>-27618.907828148091</v>
      </c>
      <c r="AW109" s="242">
        <v>10426.188111835669</v>
      </c>
      <c r="AX109" s="242">
        <v>-6383.5540997197968</v>
      </c>
      <c r="AY109" s="242">
        <v>11424.519905905909</v>
      </c>
      <c r="BA109" s="80"/>
      <c r="BB109" s="80"/>
    </row>
    <row r="110" spans="2:54">
      <c r="B110" s="218">
        <v>10360</v>
      </c>
      <c r="C110" s="218" t="s">
        <v>113</v>
      </c>
      <c r="D110" s="242">
        <v>-502.06189768080026</v>
      </c>
      <c r="E110" s="242">
        <v>-168.4963450839</v>
      </c>
      <c r="F110" s="242">
        <v>-1270.8289627584004</v>
      </c>
      <c r="G110" s="242">
        <v>-562.72555277180004</v>
      </c>
      <c r="H110" s="242">
        <v>-941.73324081419969</v>
      </c>
      <c r="I110" s="242">
        <v>-158.93476202880015</v>
      </c>
      <c r="J110" s="242">
        <v>-1092.327524627</v>
      </c>
      <c r="K110" s="242">
        <v>-249.76560417619976</v>
      </c>
      <c r="L110" s="242">
        <v>-1042.4520529061997</v>
      </c>
      <c r="M110" s="242">
        <v>-257.30609633019981</v>
      </c>
      <c r="N110" s="242">
        <v>-1455.7525264313999</v>
      </c>
      <c r="O110" s="242">
        <v>-671.08277896839991</v>
      </c>
      <c r="P110" s="242">
        <v>-309.73216928949978</v>
      </c>
      <c r="Q110" s="242">
        <v>-104.8594536641499</v>
      </c>
      <c r="R110" s="242">
        <v>488.53182298559977</v>
      </c>
      <c r="S110" s="242">
        <v>563.56215998870039</v>
      </c>
      <c r="T110" s="242">
        <v>2128.4394084772002</v>
      </c>
      <c r="U110" s="242">
        <v>2099.3193527998997</v>
      </c>
      <c r="V110" s="242">
        <v>2962.4699764408006</v>
      </c>
      <c r="W110" s="242">
        <v>2597.9886673805004</v>
      </c>
      <c r="X110" s="242">
        <v>2550.9566737372998</v>
      </c>
      <c r="Y110" s="242">
        <v>1954.2298671196702</v>
      </c>
      <c r="Z110" s="242">
        <v>512.5391211627998</v>
      </c>
      <c r="AA110" s="242">
        <v>818.32307218879987</v>
      </c>
      <c r="AB110" s="242">
        <v>-395.23689768080021</v>
      </c>
      <c r="AC110" s="242">
        <v>-220.07834508389988</v>
      </c>
      <c r="AD110" s="242">
        <v>-1240.2079627584003</v>
      </c>
      <c r="AE110" s="242">
        <v>-538.57255277180002</v>
      </c>
      <c r="AF110" s="242">
        <v>-910.03124081419992</v>
      </c>
      <c r="AG110" s="242">
        <v>-132.44576202879989</v>
      </c>
      <c r="AH110" s="242">
        <v>-1059.7575246269998</v>
      </c>
      <c r="AI110" s="242">
        <v>-224.1966041761998</v>
      </c>
      <c r="AJ110" s="242">
        <v>-955.77839695419971</v>
      </c>
      <c r="AK110" s="242">
        <v>-198.52976835419986</v>
      </c>
      <c r="AL110" s="242">
        <v>-1425.1025264313998</v>
      </c>
      <c r="AM110" s="242">
        <v>-647.01177896839999</v>
      </c>
      <c r="AN110" s="242">
        <v>-275.92516928949954</v>
      </c>
      <c r="AO110" s="242">
        <v>-81.750453664149745</v>
      </c>
      <c r="AP110" s="242">
        <v>526.17982298559991</v>
      </c>
      <c r="AQ110" s="242">
        <v>590.42015998870056</v>
      </c>
      <c r="AR110" s="242">
        <v>2171.2854084771998</v>
      </c>
      <c r="AS110" s="242">
        <v>2131.1403527999005</v>
      </c>
      <c r="AT110" s="242">
        <v>3006.3969764408002</v>
      </c>
      <c r="AU110" s="242">
        <v>2630.5466673805004</v>
      </c>
      <c r="AV110" s="242">
        <v>2396.0986737372996</v>
      </c>
      <c r="AW110" s="242">
        <v>2181.8138671196702</v>
      </c>
      <c r="AX110" s="242">
        <v>672.87312116279963</v>
      </c>
      <c r="AY110" s="242">
        <v>719.98207218879998</v>
      </c>
      <c r="BA110" s="80"/>
      <c r="BB110" s="80"/>
    </row>
    <row r="111" spans="2:54">
      <c r="B111" s="218">
        <v>10363</v>
      </c>
      <c r="C111" s="218" t="s">
        <v>114</v>
      </c>
      <c r="D111" s="242">
        <v>5875.0721539419974</v>
      </c>
      <c r="E111" s="242">
        <v>2633.6399584422506</v>
      </c>
      <c r="F111" s="242">
        <v>-786.32690158399782</v>
      </c>
      <c r="G111" s="242">
        <v>-144.30949290550052</v>
      </c>
      <c r="H111" s="242">
        <v>4091.9445814205028</v>
      </c>
      <c r="I111" s="242">
        <v>6081.3162617119997</v>
      </c>
      <c r="J111" s="242">
        <v>2206.3079477925057</v>
      </c>
      <c r="K111" s="242">
        <v>3377.4607371754973</v>
      </c>
      <c r="L111" s="242">
        <v>2833.602121750504</v>
      </c>
      <c r="M111" s="242">
        <v>3563.7927975105013</v>
      </c>
      <c r="N111" s="242">
        <v>-628.98732612649474</v>
      </c>
      <c r="O111" s="242">
        <v>201.7380706910044</v>
      </c>
      <c r="P111" s="242">
        <v>4564.8415441362522</v>
      </c>
      <c r="Q111" s="242">
        <v>582.66837131162902</v>
      </c>
      <c r="R111" s="242">
        <v>-7836.5460791440055</v>
      </c>
      <c r="S111" s="242">
        <v>-6491.1639876442459</v>
      </c>
      <c r="T111" s="242">
        <v>-10991.966170102998</v>
      </c>
      <c r="U111" s="242">
        <v>-5673.0900900322486</v>
      </c>
      <c r="V111" s="242">
        <v>-888.9639538420015</v>
      </c>
      <c r="W111" s="242">
        <v>-1264.0990297887474</v>
      </c>
      <c r="X111" s="242">
        <v>1413.8555442792494</v>
      </c>
      <c r="Y111" s="242">
        <v>-952.83171830642459</v>
      </c>
      <c r="Z111" s="242">
        <v>-1061.8368209969994</v>
      </c>
      <c r="AA111" s="242">
        <v>-709.55543511200085</v>
      </c>
      <c r="AB111" s="242">
        <v>7427.8593646023946</v>
      </c>
      <c r="AC111" s="242">
        <v>1116.9329696066998</v>
      </c>
      <c r="AD111" s="242">
        <v>-784.51802084480005</v>
      </c>
      <c r="AE111" s="242">
        <v>-142.36392517459899</v>
      </c>
      <c r="AF111" s="242">
        <v>4074.7279036325999</v>
      </c>
      <c r="AG111" s="242">
        <v>6075.2998262463989</v>
      </c>
      <c r="AH111" s="242">
        <v>2238.8023940310013</v>
      </c>
      <c r="AI111" s="242">
        <v>3402.6633346185954</v>
      </c>
      <c r="AJ111" s="242">
        <v>2456.0937950525986</v>
      </c>
      <c r="AK111" s="242">
        <v>3590.8286392525988</v>
      </c>
      <c r="AL111" s="242">
        <v>-607.22521497579874</v>
      </c>
      <c r="AM111" s="242">
        <v>217.25946228520115</v>
      </c>
      <c r="AN111" s="242">
        <v>4590.3997011435058</v>
      </c>
      <c r="AO111" s="242">
        <v>593.37279995995414</v>
      </c>
      <c r="AP111" s="242">
        <v>-7842.0964988768028</v>
      </c>
      <c r="AQ111" s="242">
        <v>-6498.0674926811007</v>
      </c>
      <c r="AR111" s="242">
        <v>-11003.280376971605</v>
      </c>
      <c r="AS111" s="242">
        <v>-5677.8301689547043</v>
      </c>
      <c r="AT111" s="242">
        <v>-819.47748288240109</v>
      </c>
      <c r="AU111" s="242">
        <v>-1224.8902903665003</v>
      </c>
      <c r="AV111" s="242">
        <v>-16.698829196902807</v>
      </c>
      <c r="AW111" s="242">
        <v>588.0601178094912</v>
      </c>
      <c r="AX111" s="242">
        <v>322.80229005159345</v>
      </c>
      <c r="AY111" s="242">
        <v>-2075.9223687263984</v>
      </c>
      <c r="BA111" s="80"/>
      <c r="BB111" s="80"/>
    </row>
    <row r="112" spans="2:54">
      <c r="B112" s="218">
        <v>10369</v>
      </c>
      <c r="C112" s="218" t="s">
        <v>115</v>
      </c>
      <c r="D112" s="242">
        <v>-1444.2348053504011</v>
      </c>
      <c r="E112" s="242">
        <v>-775.4992654032003</v>
      </c>
      <c r="F112" s="242">
        <v>-3628.6383198592011</v>
      </c>
      <c r="G112" s="242">
        <v>-2015.5810471584009</v>
      </c>
      <c r="H112" s="242">
        <v>-3351.4640232096008</v>
      </c>
      <c r="I112" s="242">
        <v>-1468.2367343743999</v>
      </c>
      <c r="J112" s="242">
        <v>-3500.3702057760011</v>
      </c>
      <c r="K112" s="242">
        <v>-1546.7433106656008</v>
      </c>
      <c r="L112" s="242">
        <v>-3476.8304129056005</v>
      </c>
      <c r="M112" s="242">
        <v>-1483.6229174176005</v>
      </c>
      <c r="N112" s="242">
        <v>-3969.2498244832004</v>
      </c>
      <c r="O112" s="242">
        <v>-2203.4556243392003</v>
      </c>
      <c r="P112" s="242">
        <v>-1195.6754535760001</v>
      </c>
      <c r="Q112" s="242">
        <v>-815.3175974152</v>
      </c>
      <c r="R112" s="242">
        <v>395.13828481279779</v>
      </c>
      <c r="S112" s="242">
        <v>700.32930966559979</v>
      </c>
      <c r="T112" s="242">
        <v>1142.4355609535996</v>
      </c>
      <c r="U112" s="242">
        <v>1775.6055132111996</v>
      </c>
      <c r="V112" s="242">
        <v>5904.474304230398</v>
      </c>
      <c r="W112" s="242">
        <v>5057.4252793840005</v>
      </c>
      <c r="X112" s="242">
        <v>6697.8397450223993</v>
      </c>
      <c r="Y112" s="242">
        <v>4988.2423310369595</v>
      </c>
      <c r="Z112" s="242">
        <v>1874.7935993663996</v>
      </c>
      <c r="AA112" s="242">
        <v>2336.5001164543992</v>
      </c>
      <c r="AB112" s="242">
        <v>-1280.5748053504003</v>
      </c>
      <c r="AC112" s="242">
        <v>-951.80826540320049</v>
      </c>
      <c r="AD112" s="242">
        <v>-3635.4383198592013</v>
      </c>
      <c r="AE112" s="242">
        <v>-2021.0380471584012</v>
      </c>
      <c r="AF112" s="242">
        <v>-3358.264023209601</v>
      </c>
      <c r="AG112" s="242">
        <v>-1474.0847343743999</v>
      </c>
      <c r="AH112" s="242">
        <v>-3507.4422057760012</v>
      </c>
      <c r="AI112" s="242">
        <v>-1552.3193106656008</v>
      </c>
      <c r="AJ112" s="242">
        <v>-3388.7700155296002</v>
      </c>
      <c r="AK112" s="242">
        <v>-1434.0212187296006</v>
      </c>
      <c r="AL112" s="242">
        <v>-3976.3218244832005</v>
      </c>
      <c r="AM112" s="242">
        <v>-2209.0146243392005</v>
      </c>
      <c r="AN112" s="242">
        <v>-1202.7474535760002</v>
      </c>
      <c r="AO112" s="242">
        <v>-820.48559741519966</v>
      </c>
      <c r="AP112" s="242">
        <v>388.06628481279768</v>
      </c>
      <c r="AQ112" s="242">
        <v>694.75330966559977</v>
      </c>
      <c r="AR112" s="242">
        <v>1135.6355609536004</v>
      </c>
      <c r="AS112" s="242">
        <v>1770.1655132111991</v>
      </c>
      <c r="AT112" s="242">
        <v>5897.4023042303979</v>
      </c>
      <c r="AU112" s="242">
        <v>5051.8492793839996</v>
      </c>
      <c r="AV112" s="242">
        <v>6172.2817450223984</v>
      </c>
      <c r="AW112" s="242">
        <v>5501.1533310369596</v>
      </c>
      <c r="AX112" s="242">
        <v>2207.3305993663989</v>
      </c>
      <c r="AY112" s="242">
        <v>1991.7231164543991</v>
      </c>
      <c r="BA112" s="80"/>
      <c r="BB112" s="80"/>
    </row>
    <row r="113" spans="2:54">
      <c r="B113" s="218">
        <v>10370</v>
      </c>
      <c r="C113" s="218" t="s">
        <v>116</v>
      </c>
      <c r="D113" s="242">
        <v>-4713.3943853892488</v>
      </c>
      <c r="E113" s="242">
        <v>4110.7522778075218</v>
      </c>
      <c r="F113" s="242">
        <v>-5759.3654857012007</v>
      </c>
      <c r="G113" s="242">
        <v>6771.7738052833665</v>
      </c>
      <c r="H113" s="242">
        <v>2087.0148266858014</v>
      </c>
      <c r="I113" s="242">
        <v>18564.583857836187</v>
      </c>
      <c r="J113" s="242">
        <v>-4188.2816320208221</v>
      </c>
      <c r="K113" s="242">
        <v>11334.831514530604</v>
      </c>
      <c r="L113" s="242">
        <v>-4117.6843681801984</v>
      </c>
      <c r="M113" s="242">
        <v>9436.9959334384694</v>
      </c>
      <c r="N113" s="242">
        <v>820.71000962069957</v>
      </c>
      <c r="O113" s="242">
        <v>11847.518599748713</v>
      </c>
      <c r="P113" s="242">
        <v>6902.5541873207476</v>
      </c>
      <c r="Q113" s="242">
        <v>10453.880211771218</v>
      </c>
      <c r="R113" s="242">
        <v>-17005.571503077656</v>
      </c>
      <c r="S113" s="242">
        <v>-2520.9454851031987</v>
      </c>
      <c r="T113" s="242">
        <v>-27836.393275292401</v>
      </c>
      <c r="U113" s="242">
        <v>-5564.7750281610643</v>
      </c>
      <c r="V113" s="242">
        <v>-12452.077019834804</v>
      </c>
      <c r="W113" s="242">
        <v>2924.3064639353834</v>
      </c>
      <c r="X113" s="242">
        <v>-12399.18953269269</v>
      </c>
      <c r="Y113" s="242">
        <v>997.52177319889597</v>
      </c>
      <c r="Z113" s="242">
        <v>-5598.8951123542647</v>
      </c>
      <c r="AA113" s="242">
        <v>6965.6307576461768</v>
      </c>
      <c r="AB113" s="242">
        <v>-2095.4221621493416</v>
      </c>
      <c r="AC113" s="242">
        <v>2450.4511434303568</v>
      </c>
      <c r="AD113" s="242">
        <v>-5018.3485271543905</v>
      </c>
      <c r="AE113" s="242">
        <v>7252.1112556757143</v>
      </c>
      <c r="AF113" s="242">
        <v>2886.1788866601128</v>
      </c>
      <c r="AG113" s="242">
        <v>19083.590454842451</v>
      </c>
      <c r="AH113" s="242">
        <v>-3340.2936460927158</v>
      </c>
      <c r="AI113" s="242">
        <v>11856.562513456454</v>
      </c>
      <c r="AJ113" s="242">
        <v>-1241.6239916132472</v>
      </c>
      <c r="AK113" s="242">
        <v>11533.845817983383</v>
      </c>
      <c r="AL113" s="242">
        <v>1603.8496853783581</v>
      </c>
      <c r="AM113" s="242">
        <v>12350.702202352091</v>
      </c>
      <c r="AN113" s="242">
        <v>7520.5751064753422</v>
      </c>
      <c r="AO113" s="242">
        <v>10851.227696025257</v>
      </c>
      <c r="AP113" s="242">
        <v>-16240.240971719184</v>
      </c>
      <c r="AQ113" s="242">
        <v>-2026.7593232234358</v>
      </c>
      <c r="AR113" s="242">
        <v>-27028.391635006192</v>
      </c>
      <c r="AS113" s="242">
        <v>-5085.9918447935634</v>
      </c>
      <c r="AT113" s="242">
        <v>-11755.912695951949</v>
      </c>
      <c r="AU113" s="242">
        <v>3345.3439412282387</v>
      </c>
      <c r="AV113" s="242">
        <v>-13782.653878825629</v>
      </c>
      <c r="AW113" s="242">
        <v>3461.0134878142999</v>
      </c>
      <c r="AX113" s="242">
        <v>-2774.8737310977958</v>
      </c>
      <c r="AY113" s="242">
        <v>5135.4968073283308</v>
      </c>
      <c r="BA113" s="80"/>
      <c r="BB113" s="80"/>
    </row>
    <row r="114" spans="2:54">
      <c r="B114" s="218">
        <v>10371</v>
      </c>
      <c r="C114" s="218" t="s">
        <v>117</v>
      </c>
      <c r="D114" s="242">
        <v>883.44166017159978</v>
      </c>
      <c r="E114" s="242">
        <v>287.33774474155007</v>
      </c>
      <c r="F114" s="242">
        <v>561.40624239679983</v>
      </c>
      <c r="G114" s="242">
        <v>483.57816624110001</v>
      </c>
      <c r="H114" s="242">
        <v>1074.8793242558995</v>
      </c>
      <c r="I114" s="242">
        <v>691.53944621760047</v>
      </c>
      <c r="J114" s="242">
        <v>572.61011034150033</v>
      </c>
      <c r="K114" s="242">
        <v>766.39021250489986</v>
      </c>
      <c r="L114" s="242">
        <v>871.04243658989981</v>
      </c>
      <c r="M114" s="242">
        <v>864.94013023789967</v>
      </c>
      <c r="N114" s="242">
        <v>402.94133740530015</v>
      </c>
      <c r="O114" s="242">
        <v>101.1568249418001</v>
      </c>
      <c r="P114" s="242">
        <v>429.19329232275049</v>
      </c>
      <c r="Q114" s="242">
        <v>167.53059409267507</v>
      </c>
      <c r="R114" s="242">
        <v>-1100.6947348911999</v>
      </c>
      <c r="S114" s="242">
        <v>-545.09531866115003</v>
      </c>
      <c r="T114" s="242">
        <v>-1210.7953796193997</v>
      </c>
      <c r="U114" s="242">
        <v>-615.95870762355025</v>
      </c>
      <c r="V114" s="242">
        <v>-322.90891219159948</v>
      </c>
      <c r="W114" s="242">
        <v>59.055728107750383</v>
      </c>
      <c r="X114" s="242">
        <v>-142.28941886585017</v>
      </c>
      <c r="Y114" s="242">
        <v>41.145093082285257</v>
      </c>
      <c r="Z114" s="242">
        <v>92.386909839399323</v>
      </c>
      <c r="AA114" s="242">
        <v>6.2827964623998014</v>
      </c>
      <c r="AB114" s="242">
        <v>891.9606601715991</v>
      </c>
      <c r="AC114" s="242">
        <v>292.3927447415499</v>
      </c>
      <c r="AD114" s="242">
        <v>573.34424239679993</v>
      </c>
      <c r="AE114" s="242">
        <v>491.56716624110004</v>
      </c>
      <c r="AF114" s="242">
        <v>1085.9363242558993</v>
      </c>
      <c r="AG114" s="242">
        <v>698.70744621760014</v>
      </c>
      <c r="AH114" s="242">
        <v>590.76711034150048</v>
      </c>
      <c r="AI114" s="242">
        <v>778.73321250489971</v>
      </c>
      <c r="AJ114" s="242">
        <v>895.88175328590023</v>
      </c>
      <c r="AK114" s="242">
        <v>857.11728858590004</v>
      </c>
      <c r="AL114" s="242">
        <v>421.69533740530005</v>
      </c>
      <c r="AM114" s="242">
        <v>112.69282494180015</v>
      </c>
      <c r="AN114" s="242">
        <v>445.17829232275017</v>
      </c>
      <c r="AO114" s="242">
        <v>177.43659409267502</v>
      </c>
      <c r="AP114" s="242">
        <v>-1087.2617348911999</v>
      </c>
      <c r="AQ114" s="242">
        <v>-535.8893186611499</v>
      </c>
      <c r="AR114" s="242">
        <v>-1196.9243796193996</v>
      </c>
      <c r="AS114" s="242">
        <v>-607.41670762355034</v>
      </c>
      <c r="AT114" s="242">
        <v>-307.34491219160009</v>
      </c>
      <c r="AU114" s="242">
        <v>69.354728107750361</v>
      </c>
      <c r="AV114" s="242">
        <v>-126.61941886585009</v>
      </c>
      <c r="AW114" s="242">
        <v>50.600093082285184</v>
      </c>
      <c r="AX114" s="242">
        <v>105.75090983939981</v>
      </c>
      <c r="AY114" s="242">
        <v>15.116796462399634</v>
      </c>
      <c r="BA114" s="80"/>
      <c r="BB114" s="80"/>
    </row>
    <row r="115" spans="2:54">
      <c r="B115" s="218">
        <v>10376</v>
      </c>
      <c r="C115" s="218" t="s">
        <v>118</v>
      </c>
      <c r="D115" s="242">
        <v>2511.5471732371989</v>
      </c>
      <c r="E115" s="242">
        <v>1418.9347494163503</v>
      </c>
      <c r="F115" s="242">
        <v>-650.1178318944003</v>
      </c>
      <c r="G115" s="242">
        <v>212.24693531870071</v>
      </c>
      <c r="H115" s="242">
        <v>2059.7399725303003</v>
      </c>
      <c r="I115" s="242">
        <v>4119.6792052191995</v>
      </c>
      <c r="J115" s="242">
        <v>3039.0716091055037</v>
      </c>
      <c r="K115" s="242">
        <v>4144.3407125633021</v>
      </c>
      <c r="L115" s="242">
        <v>5148.9996890083021</v>
      </c>
      <c r="M115" s="242">
        <v>4974.2716906243004</v>
      </c>
      <c r="N115" s="242">
        <v>-199.15038004989765</v>
      </c>
      <c r="O115" s="242">
        <v>767.69353037060137</v>
      </c>
      <c r="P115" s="242">
        <v>4003.0237865367526</v>
      </c>
      <c r="Q115" s="242">
        <v>1991.4267573604775</v>
      </c>
      <c r="R115" s="242">
        <v>-5205.9517833903992</v>
      </c>
      <c r="S115" s="242">
        <v>-3182.9706859695507</v>
      </c>
      <c r="T115" s="242">
        <v>-8794.2228714097982</v>
      </c>
      <c r="U115" s="242">
        <v>-3701.18751481035</v>
      </c>
      <c r="V115" s="242">
        <v>-4067.671061577199</v>
      </c>
      <c r="W115" s="242">
        <v>-1815.6532981182481</v>
      </c>
      <c r="X115" s="242">
        <v>-2867.7271273894512</v>
      </c>
      <c r="Y115" s="242">
        <v>-1685.6033707941533</v>
      </c>
      <c r="Z115" s="242">
        <v>-2175.8728708502022</v>
      </c>
      <c r="AA115" s="242">
        <v>-673.92874365920034</v>
      </c>
      <c r="AB115" s="242">
        <v>3792.7641732371994</v>
      </c>
      <c r="AC115" s="242">
        <v>716.98574941634979</v>
      </c>
      <c r="AD115" s="242">
        <v>-335.59983189440027</v>
      </c>
      <c r="AE115" s="242">
        <v>456.26493531870074</v>
      </c>
      <c r="AF115" s="242">
        <v>2363.3749725302987</v>
      </c>
      <c r="AG115" s="242">
        <v>4357.0762052192003</v>
      </c>
      <c r="AH115" s="242">
        <v>3082.7006091055046</v>
      </c>
      <c r="AI115" s="242">
        <v>4174.2587125632999</v>
      </c>
      <c r="AJ115" s="242">
        <v>4600.9863720403009</v>
      </c>
      <c r="AK115" s="242">
        <v>4774.8315321402988</v>
      </c>
      <c r="AL115" s="242">
        <v>-149.41838004989768</v>
      </c>
      <c r="AM115" s="242">
        <v>801.34153037060241</v>
      </c>
      <c r="AN115" s="242">
        <v>4048.3727865367546</v>
      </c>
      <c r="AO115" s="242">
        <v>2019.6067573604778</v>
      </c>
      <c r="AP115" s="242">
        <v>-5160.2017833903992</v>
      </c>
      <c r="AQ115" s="242">
        <v>-3152.9716859695509</v>
      </c>
      <c r="AR115" s="242">
        <v>-8755.6098714098007</v>
      </c>
      <c r="AS115" s="242">
        <v>-3675.2425148103503</v>
      </c>
      <c r="AT115" s="242">
        <v>-4027.0320615771998</v>
      </c>
      <c r="AU115" s="242">
        <v>-1789.6962981182478</v>
      </c>
      <c r="AV115" s="242">
        <v>-3658.8351273894514</v>
      </c>
      <c r="AW115" s="242">
        <v>-827.89337079415418</v>
      </c>
      <c r="AX115" s="242">
        <v>-1314.9958708502018</v>
      </c>
      <c r="AY115" s="242">
        <v>-1476.6157436592002</v>
      </c>
      <c r="BA115" s="80"/>
      <c r="BB115" s="80"/>
    </row>
    <row r="116" spans="2:54">
      <c r="B116" s="218">
        <v>10378</v>
      </c>
      <c r="C116" s="218" t="s">
        <v>119</v>
      </c>
      <c r="D116" s="242">
        <v>18.337761300399848</v>
      </c>
      <c r="E116" s="242">
        <v>-26.73651746554998</v>
      </c>
      <c r="F116" s="242">
        <v>48.882175459199857</v>
      </c>
      <c r="G116" s="242">
        <v>100.46412367089999</v>
      </c>
      <c r="H116" s="242">
        <v>418.55703007209991</v>
      </c>
      <c r="I116" s="242">
        <v>378.62220357439992</v>
      </c>
      <c r="J116" s="242">
        <v>300.56860033849989</v>
      </c>
      <c r="K116" s="242">
        <v>331.57370990309994</v>
      </c>
      <c r="L116" s="242">
        <v>230.41917901810007</v>
      </c>
      <c r="M116" s="242">
        <v>267.60704953009997</v>
      </c>
      <c r="N116" s="242">
        <v>20.630141770699993</v>
      </c>
      <c r="O116" s="242">
        <v>49.415729314200007</v>
      </c>
      <c r="P116" s="242">
        <v>2.3951348572499001</v>
      </c>
      <c r="Q116" s="242">
        <v>2.9589285933250267</v>
      </c>
      <c r="R116" s="242">
        <v>-375.32680021280009</v>
      </c>
      <c r="S116" s="242">
        <v>-249.01848624684999</v>
      </c>
      <c r="T116" s="242">
        <v>-382.24326762860005</v>
      </c>
      <c r="U116" s="242">
        <v>-243.42559309245007</v>
      </c>
      <c r="V116" s="242">
        <v>-153.04178768040003</v>
      </c>
      <c r="W116" s="242">
        <v>-84.681143727749998</v>
      </c>
      <c r="X116" s="242">
        <v>-147.38781806615009</v>
      </c>
      <c r="Y116" s="242">
        <v>-97.348064645084946</v>
      </c>
      <c r="Z116" s="242">
        <v>-158.70984019140008</v>
      </c>
      <c r="AA116" s="242">
        <v>-130.92290065440005</v>
      </c>
      <c r="AB116" s="242">
        <v>22.683761300399851</v>
      </c>
      <c r="AC116" s="242">
        <v>-24.12351746554998</v>
      </c>
      <c r="AD116" s="242">
        <v>52.933175459199902</v>
      </c>
      <c r="AE116" s="242">
        <v>103.37212367090001</v>
      </c>
      <c r="AF116" s="242">
        <v>422.59303007209996</v>
      </c>
      <c r="AG116" s="242">
        <v>381.54520357439992</v>
      </c>
      <c r="AH116" s="242">
        <v>304.60960033850006</v>
      </c>
      <c r="AI116" s="242">
        <v>334.49170990309995</v>
      </c>
      <c r="AJ116" s="242">
        <v>231.36143864209987</v>
      </c>
      <c r="AK116" s="242">
        <v>262.17067934210002</v>
      </c>
      <c r="AL116" s="242">
        <v>24.777141770699927</v>
      </c>
      <c r="AM116" s="242">
        <v>52.228729314199995</v>
      </c>
      <c r="AN116" s="242">
        <v>6.6261348572498946</v>
      </c>
      <c r="AO116" s="242">
        <v>5.6869285933250353</v>
      </c>
      <c r="AP116" s="242">
        <v>-371.06880021280017</v>
      </c>
      <c r="AQ116" s="242">
        <v>-246.31748624685002</v>
      </c>
      <c r="AR116" s="242">
        <v>-377.79926762859998</v>
      </c>
      <c r="AS116" s="242">
        <v>-240.91059309245009</v>
      </c>
      <c r="AT116" s="242">
        <v>-148.73378768040004</v>
      </c>
      <c r="AU116" s="242">
        <v>-82.030143727749987</v>
      </c>
      <c r="AV116" s="242">
        <v>-142.92481806615012</v>
      </c>
      <c r="AW116" s="242">
        <v>-94.852064645084965</v>
      </c>
      <c r="AX116" s="242">
        <v>-154.44984019140009</v>
      </c>
      <c r="AY116" s="242">
        <v>-128.22290065440006</v>
      </c>
      <c r="BA116" s="80"/>
      <c r="BB116" s="80"/>
    </row>
    <row r="117" spans="2:54">
      <c r="B117" s="218">
        <v>10379</v>
      </c>
      <c r="C117" s="218" t="s">
        <v>120</v>
      </c>
      <c r="D117" s="242">
        <v>331.47786540719994</v>
      </c>
      <c r="E117" s="242">
        <v>107.60145037010011</v>
      </c>
      <c r="F117" s="242">
        <v>232.39213426559991</v>
      </c>
      <c r="G117" s="242">
        <v>245.07706557619986</v>
      </c>
      <c r="H117" s="242">
        <v>456.68636679780002</v>
      </c>
      <c r="I117" s="242">
        <v>303.11129633919995</v>
      </c>
      <c r="J117" s="242">
        <v>306.42052359300033</v>
      </c>
      <c r="K117" s="242">
        <v>387.34890875580004</v>
      </c>
      <c r="L117" s="242">
        <v>275.21167782580005</v>
      </c>
      <c r="M117" s="242">
        <v>321.93570704180001</v>
      </c>
      <c r="N117" s="242">
        <v>27.894560372600154</v>
      </c>
      <c r="O117" s="242">
        <v>-19.24587134440003</v>
      </c>
      <c r="P117" s="242">
        <v>201.97042618050023</v>
      </c>
      <c r="Q117" s="242">
        <v>107.5502925548501</v>
      </c>
      <c r="R117" s="242">
        <v>-573.62758783039999</v>
      </c>
      <c r="S117" s="242">
        <v>-297.85553919329982</v>
      </c>
      <c r="T117" s="242">
        <v>-795.04915031479982</v>
      </c>
      <c r="U117" s="242">
        <v>-441.95693041409993</v>
      </c>
      <c r="V117" s="242">
        <v>-384.60724024720002</v>
      </c>
      <c r="W117" s="242">
        <v>-94.603763349499786</v>
      </c>
      <c r="X117" s="242">
        <v>-276.4949534407001</v>
      </c>
      <c r="Y117" s="242">
        <v>-79.712804286529945</v>
      </c>
      <c r="Z117" s="242">
        <v>-179.52089044520017</v>
      </c>
      <c r="AA117" s="242">
        <v>-162.35924377920003</v>
      </c>
      <c r="AB117" s="242">
        <v>334.10353329919963</v>
      </c>
      <c r="AC117" s="242">
        <v>108.75337119360006</v>
      </c>
      <c r="AD117" s="242">
        <v>233.06367228159979</v>
      </c>
      <c r="AE117" s="242">
        <v>245.93142968319989</v>
      </c>
      <c r="AF117" s="242">
        <v>455.72590958079991</v>
      </c>
      <c r="AG117" s="242">
        <v>302.5113152511999</v>
      </c>
      <c r="AH117" s="242">
        <v>304.65744844799974</v>
      </c>
      <c r="AI117" s="242">
        <v>386.9514946687998</v>
      </c>
      <c r="AJ117" s="242">
        <v>277.79012494080007</v>
      </c>
      <c r="AK117" s="242">
        <v>313.88571854079987</v>
      </c>
      <c r="AL117" s="242">
        <v>27.651803033600117</v>
      </c>
      <c r="AM117" s="242">
        <v>-19.567136678399947</v>
      </c>
      <c r="AN117" s="242">
        <v>203.87520284800007</v>
      </c>
      <c r="AO117" s="242">
        <v>108.66165216960007</v>
      </c>
      <c r="AP117" s="242">
        <v>-574.50803837440026</v>
      </c>
      <c r="AQ117" s="242">
        <v>-298.00974666880006</v>
      </c>
      <c r="AR117" s="242">
        <v>-796.0421740928</v>
      </c>
      <c r="AS117" s="242">
        <v>-442.35975557760003</v>
      </c>
      <c r="AT117" s="242">
        <v>-383.60133553920014</v>
      </c>
      <c r="AU117" s="242">
        <v>-93.119931231999999</v>
      </c>
      <c r="AV117" s="242">
        <v>-274.92182395520035</v>
      </c>
      <c r="AW117" s="242">
        <v>-78.304018526079972</v>
      </c>
      <c r="AX117" s="242">
        <v>-177.88670526720034</v>
      </c>
      <c r="AY117" s="242">
        <v>-161.51535109120016</v>
      </c>
      <c r="BA117" s="80"/>
      <c r="BB117" s="80"/>
    </row>
    <row r="118" spans="2:54">
      <c r="B118" s="218">
        <v>10388</v>
      </c>
      <c r="C118" s="218" t="s">
        <v>121</v>
      </c>
      <c r="D118" s="242">
        <v>5342.3480805344516</v>
      </c>
      <c r="E118" s="242">
        <v>-16740.660855874808</v>
      </c>
      <c r="F118" s="242">
        <v>-16307.5080729088</v>
      </c>
      <c r="G118" s="242">
        <v>-15112.462103477606</v>
      </c>
      <c r="H118" s="242">
        <v>-19239.747201874379</v>
      </c>
      <c r="I118" s="242">
        <v>-15140.371549401636</v>
      </c>
      <c r="J118" s="242">
        <v>-17433.606914764052</v>
      </c>
      <c r="K118" s="242">
        <v>-15299.252349658374</v>
      </c>
      <c r="L118" s="242">
        <v>-15154.569942018403</v>
      </c>
      <c r="M118" s="242">
        <v>-6584.5024419863512</v>
      </c>
      <c r="N118" s="242">
        <v>965.96358625526773</v>
      </c>
      <c r="O118" s="242">
        <v>-16352.239532628751</v>
      </c>
      <c r="P118" s="242">
        <v>-7656.2267102140104</v>
      </c>
      <c r="Q118" s="242">
        <v>17444.020293532227</v>
      </c>
      <c r="R118" s="242">
        <v>8141.4116532991466</v>
      </c>
      <c r="S118" s="242">
        <v>-2038.2537830916044</v>
      </c>
      <c r="T118" s="242">
        <v>31525.633949390322</v>
      </c>
      <c r="U118" s="242">
        <v>-21310.038413613242</v>
      </c>
      <c r="V118" s="242">
        <v>10646.400635785569</v>
      </c>
      <c r="W118" s="242">
        <v>34095.332170225993</v>
      </c>
      <c r="X118" s="242">
        <v>42338.014866923542</v>
      </c>
      <c r="Y118" s="242">
        <v>8663.0584752364412</v>
      </c>
      <c r="Z118" s="242">
        <v>47289.542443089529</v>
      </c>
      <c r="AA118" s="242">
        <v>1740.1266105215982</v>
      </c>
      <c r="AB118" s="242">
        <v>-9882.4549194656211</v>
      </c>
      <c r="AC118" s="242">
        <v>-2362.2148558748122</v>
      </c>
      <c r="AD118" s="242">
        <v>-16377.582072908823</v>
      </c>
      <c r="AE118" s="242">
        <v>-15592.611103477611</v>
      </c>
      <c r="AF118" s="242">
        <v>-19188.728201874408</v>
      </c>
      <c r="AG118" s="242">
        <v>-15559.746549401578</v>
      </c>
      <c r="AH118" s="242">
        <v>-17320.541914763991</v>
      </c>
      <c r="AI118" s="242">
        <v>-15740.548349658406</v>
      </c>
      <c r="AJ118" s="242">
        <v>-9693.4612923544482</v>
      </c>
      <c r="AK118" s="242">
        <v>-7401.7361171543998</v>
      </c>
      <c r="AL118" s="242">
        <v>1455.1525862552226</v>
      </c>
      <c r="AM118" s="242">
        <v>-17098.408532628804</v>
      </c>
      <c r="AN118" s="242">
        <v>-8330.0377102139973</v>
      </c>
      <c r="AO118" s="242">
        <v>17783.389293532175</v>
      </c>
      <c r="AP118" s="242">
        <v>8236.2566532991186</v>
      </c>
      <c r="AQ118" s="242">
        <v>-2661.3937830916184</v>
      </c>
      <c r="AR118" s="242">
        <v>34512.215949390375</v>
      </c>
      <c r="AS118" s="242">
        <v>-22329.404413613163</v>
      </c>
      <c r="AT118" s="242">
        <v>11066.840635785513</v>
      </c>
      <c r="AU118" s="242">
        <v>35350.848170225996</v>
      </c>
      <c r="AV118" s="242">
        <v>68421.460866923531</v>
      </c>
      <c r="AW118" s="242">
        <v>-15387.308524763586</v>
      </c>
      <c r="AX118" s="242">
        <v>26683.022443089627</v>
      </c>
      <c r="AY118" s="242">
        <v>24993.986610521642</v>
      </c>
      <c r="BA118" s="80"/>
      <c r="BB118" s="80"/>
    </row>
    <row r="119" spans="2:54">
      <c r="B119" s="218">
        <v>10391</v>
      </c>
      <c r="C119" s="218" t="s">
        <v>122</v>
      </c>
      <c r="D119" s="242">
        <v>-630.56548878400099</v>
      </c>
      <c r="E119" s="242">
        <v>-879.24867502199959</v>
      </c>
      <c r="F119" s="242">
        <v>-3652.3922200320012</v>
      </c>
      <c r="G119" s="242">
        <v>-1434.9209099640029</v>
      </c>
      <c r="H119" s="242">
        <v>-2078.5824763160017</v>
      </c>
      <c r="I119" s="242">
        <v>-475.29624582399993</v>
      </c>
      <c r="J119" s="242">
        <v>-2895.0556384600004</v>
      </c>
      <c r="K119" s="242">
        <v>-168.42679507600042</v>
      </c>
      <c r="L119" s="242">
        <v>-2672.7245104760023</v>
      </c>
      <c r="M119" s="242">
        <v>-162.94691399600015</v>
      </c>
      <c r="N119" s="242">
        <v>-4299.5237155720006</v>
      </c>
      <c r="O119" s="242">
        <v>-2677.2890258320003</v>
      </c>
      <c r="P119" s="242">
        <v>-492.49260771000081</v>
      </c>
      <c r="Q119" s="242">
        <v>-443.2219316669989</v>
      </c>
      <c r="R119" s="242">
        <v>-700.40170291200229</v>
      </c>
      <c r="S119" s="242">
        <v>202.62149132600098</v>
      </c>
      <c r="T119" s="242">
        <v>3845.9713620559996</v>
      </c>
      <c r="U119" s="242">
        <v>2969.2596687019995</v>
      </c>
      <c r="V119" s="242">
        <v>4546.2371935840001</v>
      </c>
      <c r="W119" s="242">
        <v>4577.0151688900005</v>
      </c>
      <c r="X119" s="242">
        <v>3458.9995121539978</v>
      </c>
      <c r="Y119" s="242">
        <v>2725.0665891166009</v>
      </c>
      <c r="Z119" s="242">
        <v>917.87196514399693</v>
      </c>
      <c r="AA119" s="242">
        <v>424.64252262400078</v>
      </c>
      <c r="AB119" s="242">
        <v>-779.14348878400233</v>
      </c>
      <c r="AC119" s="242">
        <v>-780.14467502200114</v>
      </c>
      <c r="AD119" s="242">
        <v>-3666.7642200320006</v>
      </c>
      <c r="AE119" s="242">
        <v>-1457.2799099640015</v>
      </c>
      <c r="AF119" s="242">
        <v>-2092.5684763160025</v>
      </c>
      <c r="AG119" s="242">
        <v>-510.77224582400049</v>
      </c>
      <c r="AH119" s="242">
        <v>-2917.8596384600005</v>
      </c>
      <c r="AI119" s="242">
        <v>-195.08379507600148</v>
      </c>
      <c r="AJ119" s="242">
        <v>-2308.1917735160005</v>
      </c>
      <c r="AK119" s="242">
        <v>-40.53354551600205</v>
      </c>
      <c r="AL119" s="242">
        <v>-4314.6697155720012</v>
      </c>
      <c r="AM119" s="242">
        <v>-2711.0170258319995</v>
      </c>
      <c r="AN119" s="242">
        <v>-503.65460771000107</v>
      </c>
      <c r="AO119" s="242">
        <v>-468.23193166700094</v>
      </c>
      <c r="AP119" s="242">
        <v>-718.7897029120013</v>
      </c>
      <c r="AQ119" s="242">
        <v>171.51449132599919</v>
      </c>
      <c r="AR119" s="242">
        <v>3843.9833620559984</v>
      </c>
      <c r="AS119" s="242">
        <v>2935.0456687019978</v>
      </c>
      <c r="AT119" s="242">
        <v>4526.4251935839984</v>
      </c>
      <c r="AU119" s="242">
        <v>4547.3221688899994</v>
      </c>
      <c r="AV119" s="242">
        <v>3579.3765121539982</v>
      </c>
      <c r="AW119" s="242">
        <v>2555.186589116598</v>
      </c>
      <c r="AX119" s="242">
        <v>779.98896514399894</v>
      </c>
      <c r="AY119" s="242">
        <v>526.32052262399884</v>
      </c>
      <c r="BA119" s="80"/>
      <c r="BB119" s="80"/>
    </row>
    <row r="120" spans="2:54">
      <c r="B120" s="218">
        <v>10406</v>
      </c>
      <c r="C120" s="218" t="s">
        <v>123</v>
      </c>
      <c r="D120" s="242">
        <v>93.831626467199982</v>
      </c>
      <c r="E120" s="242">
        <v>87.288889787599999</v>
      </c>
      <c r="F120" s="242">
        <v>98.876221145599999</v>
      </c>
      <c r="G120" s="242">
        <v>110.28506471119999</v>
      </c>
      <c r="H120" s="242">
        <v>152.50352411279997</v>
      </c>
      <c r="I120" s="242">
        <v>173.98160849919998</v>
      </c>
      <c r="J120" s="242">
        <v>123.09017686800001</v>
      </c>
      <c r="K120" s="242">
        <v>137.64265572080001</v>
      </c>
      <c r="L120" s="242">
        <v>158.10326704080001</v>
      </c>
      <c r="M120" s="242">
        <v>156.59135305680002</v>
      </c>
      <c r="N120" s="242">
        <v>98.486241477600004</v>
      </c>
      <c r="O120" s="242">
        <v>114.04486878559999</v>
      </c>
      <c r="P120" s="242">
        <v>83.159976018000009</v>
      </c>
      <c r="Q120" s="242">
        <v>78.699167678600006</v>
      </c>
      <c r="R120" s="242">
        <v>-4.3227317504000382</v>
      </c>
      <c r="S120" s="242">
        <v>20.851918529199992</v>
      </c>
      <c r="T120" s="242">
        <v>-42.851513604800033</v>
      </c>
      <c r="U120" s="242">
        <v>2.4669764683999915</v>
      </c>
      <c r="V120" s="242">
        <v>11.311341692799999</v>
      </c>
      <c r="W120" s="242">
        <v>25.670973738000001</v>
      </c>
      <c r="X120" s="242">
        <v>28.397796886799995</v>
      </c>
      <c r="Y120" s="242">
        <v>28.798972425719995</v>
      </c>
      <c r="Z120" s="242">
        <v>25.341999844799972</v>
      </c>
      <c r="AA120" s="242">
        <v>42.202682060799987</v>
      </c>
      <c r="AB120" s="242">
        <v>106.19462646719998</v>
      </c>
      <c r="AC120" s="242">
        <v>79.076889787599981</v>
      </c>
      <c r="AD120" s="242">
        <v>101.71222114559995</v>
      </c>
      <c r="AE120" s="242">
        <v>112.54506471119998</v>
      </c>
      <c r="AF120" s="242">
        <v>155.9805241128</v>
      </c>
      <c r="AG120" s="242">
        <v>176.92360849919999</v>
      </c>
      <c r="AH120" s="242">
        <v>126.42517686799999</v>
      </c>
      <c r="AI120" s="242">
        <v>140.25965572079997</v>
      </c>
      <c r="AJ120" s="242">
        <v>153.77056387279998</v>
      </c>
      <c r="AK120" s="242">
        <v>155.2030014728</v>
      </c>
      <c r="AL120" s="242">
        <v>101.42824147760001</v>
      </c>
      <c r="AM120" s="242">
        <v>116.39886878560003</v>
      </c>
      <c r="AN120" s="242">
        <v>85.53097601799999</v>
      </c>
      <c r="AO120" s="242">
        <v>80.454167678600001</v>
      </c>
      <c r="AP120" s="242">
        <v>-2.3657317504000446</v>
      </c>
      <c r="AQ120" s="242">
        <v>22.330918529200005</v>
      </c>
      <c r="AR120" s="242">
        <v>-41.135513604800025</v>
      </c>
      <c r="AS120" s="242">
        <v>3.7379764684000065</v>
      </c>
      <c r="AT120" s="242">
        <v>13.230341692799982</v>
      </c>
      <c r="AU120" s="242">
        <v>27.002973737999994</v>
      </c>
      <c r="AV120" s="242">
        <v>22.4047968868</v>
      </c>
      <c r="AW120" s="242">
        <v>38.129972425720013</v>
      </c>
      <c r="AX120" s="242">
        <v>35.102999844799967</v>
      </c>
      <c r="AY120" s="242">
        <v>35.649682060799989</v>
      </c>
      <c r="BA120" s="80"/>
      <c r="BB120" s="80"/>
    </row>
    <row r="121" spans="2:54">
      <c r="B121" s="218">
        <v>10408</v>
      </c>
      <c r="C121" s="218" t="s">
        <v>124</v>
      </c>
      <c r="D121" s="242">
        <v>166.44859941679999</v>
      </c>
      <c r="E121" s="242">
        <v>237.96802734690004</v>
      </c>
      <c r="F121" s="242">
        <v>-3.1291603135999821</v>
      </c>
      <c r="G121" s="242">
        <v>116.79803997779999</v>
      </c>
      <c r="H121" s="242">
        <v>-21.742016771800081</v>
      </c>
      <c r="I121" s="242">
        <v>179.98716292480003</v>
      </c>
      <c r="J121" s="242">
        <v>-38.735548782999899</v>
      </c>
      <c r="K121" s="242">
        <v>134.66355813019993</v>
      </c>
      <c r="L121" s="242">
        <v>9.086890960200094</v>
      </c>
      <c r="M121" s="242">
        <v>146.00019646419997</v>
      </c>
      <c r="N121" s="242">
        <v>-36.123512230599999</v>
      </c>
      <c r="O121" s="242">
        <v>116.81861159640005</v>
      </c>
      <c r="P121" s="242">
        <v>111.87743850449999</v>
      </c>
      <c r="Q121" s="242">
        <v>160.73984956965</v>
      </c>
      <c r="R121" s="242">
        <v>-97.308802537600059</v>
      </c>
      <c r="S121" s="242">
        <v>48.651647932299966</v>
      </c>
      <c r="T121" s="242">
        <v>-189.4287136012</v>
      </c>
      <c r="U121" s="242">
        <v>48.067733217099999</v>
      </c>
      <c r="V121" s="242">
        <v>-54.657267376800064</v>
      </c>
      <c r="W121" s="242">
        <v>101.92496793449999</v>
      </c>
      <c r="X121" s="242">
        <v>-11.54733507830008</v>
      </c>
      <c r="Y121" s="242">
        <v>95.557627136430028</v>
      </c>
      <c r="Z121" s="242">
        <v>-206.64865483879998</v>
      </c>
      <c r="AA121" s="242">
        <v>-36.188400284799968</v>
      </c>
      <c r="AB121" s="242">
        <v>202.30559941679996</v>
      </c>
      <c r="AC121" s="242">
        <v>202.11102734690007</v>
      </c>
      <c r="AD121" s="242">
        <v>-3.1291603135999821</v>
      </c>
      <c r="AE121" s="242">
        <v>116.79803997779999</v>
      </c>
      <c r="AF121" s="242">
        <v>-21.742016771800081</v>
      </c>
      <c r="AG121" s="242">
        <v>179.98716292480003</v>
      </c>
      <c r="AH121" s="242">
        <v>-38.735548782999899</v>
      </c>
      <c r="AI121" s="242">
        <v>134.66355813019993</v>
      </c>
      <c r="AJ121" s="242">
        <v>3.476483168199934</v>
      </c>
      <c r="AK121" s="242">
        <v>144.22199256819994</v>
      </c>
      <c r="AL121" s="242">
        <v>-36.123512230599999</v>
      </c>
      <c r="AM121" s="242">
        <v>116.81861159640005</v>
      </c>
      <c r="AN121" s="242">
        <v>111.87743850449999</v>
      </c>
      <c r="AO121" s="242">
        <v>160.73984956965</v>
      </c>
      <c r="AP121" s="242">
        <v>-97.308802537600059</v>
      </c>
      <c r="AQ121" s="242">
        <v>48.651647932299966</v>
      </c>
      <c r="AR121" s="242">
        <v>-189.4287136012</v>
      </c>
      <c r="AS121" s="242">
        <v>48.067733217099999</v>
      </c>
      <c r="AT121" s="242">
        <v>-54.657267376800064</v>
      </c>
      <c r="AU121" s="242">
        <v>101.92496793449999</v>
      </c>
      <c r="AV121" s="242">
        <v>-41.85233507830003</v>
      </c>
      <c r="AW121" s="242">
        <v>125.86262713643004</v>
      </c>
      <c r="AX121" s="242">
        <v>-186.8426548388</v>
      </c>
      <c r="AY121" s="242">
        <v>-55.995400284799985</v>
      </c>
      <c r="BA121" s="80"/>
      <c r="BB121" s="80"/>
    </row>
    <row r="122" spans="2:54">
      <c r="B122" s="218">
        <v>10409</v>
      </c>
      <c r="C122" s="218" t="s">
        <v>125</v>
      </c>
      <c r="D122" s="242">
        <v>1415.2600475203999</v>
      </c>
      <c r="E122" s="242">
        <v>1440.5963976069506</v>
      </c>
      <c r="F122" s="242">
        <v>-451.68531398080268</v>
      </c>
      <c r="G122" s="242">
        <v>127.826289915899</v>
      </c>
      <c r="H122" s="242">
        <v>-445.69932002290079</v>
      </c>
      <c r="I122" s="242">
        <v>873.79862549439986</v>
      </c>
      <c r="J122" s="242">
        <v>-522.92731723649922</v>
      </c>
      <c r="K122" s="242">
        <v>992.54714435810092</v>
      </c>
      <c r="L122" s="242">
        <v>-474.23808577690033</v>
      </c>
      <c r="M122" s="242">
        <v>727.01944633509902</v>
      </c>
      <c r="N122" s="242">
        <v>-821.18014759429934</v>
      </c>
      <c r="O122" s="242">
        <v>64.421997624199321</v>
      </c>
      <c r="P122" s="242">
        <v>964.47587446975103</v>
      </c>
      <c r="Q122" s="242">
        <v>971.19486073457574</v>
      </c>
      <c r="R122" s="242">
        <v>-1803.9646892528017</v>
      </c>
      <c r="S122" s="242">
        <v>-320.05864413934978</v>
      </c>
      <c r="T122" s="242">
        <v>-2322.0409148586004</v>
      </c>
      <c r="U122" s="242">
        <v>-586.09511006495086</v>
      </c>
      <c r="V122" s="242">
        <v>-780.34453290040074</v>
      </c>
      <c r="W122" s="242">
        <v>288.65141163474982</v>
      </c>
      <c r="X122" s="242">
        <v>-358.4267148236504</v>
      </c>
      <c r="Y122" s="242">
        <v>502.48123734566525</v>
      </c>
      <c r="Z122" s="242">
        <v>12.040956038598779</v>
      </c>
      <c r="AA122" s="242">
        <v>509.87058342559976</v>
      </c>
      <c r="AB122" s="242">
        <v>1609.224047520398</v>
      </c>
      <c r="AC122" s="242">
        <v>1249.6093976069506</v>
      </c>
      <c r="AD122" s="242">
        <v>-450.08531398080231</v>
      </c>
      <c r="AE122" s="242">
        <v>129.11028991589956</v>
      </c>
      <c r="AF122" s="242">
        <v>-444.09932002290043</v>
      </c>
      <c r="AG122" s="242">
        <v>875.17462549440006</v>
      </c>
      <c r="AH122" s="242">
        <v>-521.26331723650037</v>
      </c>
      <c r="AI122" s="242">
        <v>993.85914435810082</v>
      </c>
      <c r="AJ122" s="242">
        <v>-488.79377295290033</v>
      </c>
      <c r="AK122" s="242">
        <v>708.25060274709995</v>
      </c>
      <c r="AL122" s="242">
        <v>-819.51614759429867</v>
      </c>
      <c r="AM122" s="242">
        <v>65.729997624199314</v>
      </c>
      <c r="AN122" s="242">
        <v>966.13987446974988</v>
      </c>
      <c r="AO122" s="242">
        <v>972.41086073457609</v>
      </c>
      <c r="AP122" s="242">
        <v>-1802.3006892528019</v>
      </c>
      <c r="AQ122" s="242">
        <v>-318.74664413934988</v>
      </c>
      <c r="AR122" s="242">
        <v>-2320.4409148586001</v>
      </c>
      <c r="AS122" s="242">
        <v>-584.81511006495111</v>
      </c>
      <c r="AT122" s="242">
        <v>-778.68053290040098</v>
      </c>
      <c r="AU122" s="242">
        <v>289.96341163474972</v>
      </c>
      <c r="AV122" s="242">
        <v>-524.54971482364999</v>
      </c>
      <c r="AW122" s="242">
        <v>671.5792373456643</v>
      </c>
      <c r="AX122" s="242">
        <v>175.47595603860009</v>
      </c>
      <c r="AY122" s="242">
        <v>349.31658342559967</v>
      </c>
      <c r="BA122" s="80"/>
      <c r="BB122" s="80"/>
    </row>
    <row r="123" spans="2:54">
      <c r="B123" s="218">
        <v>10426</v>
      </c>
      <c r="C123" s="218" t="s">
        <v>126</v>
      </c>
      <c r="D123" s="242">
        <v>765.72563285359865</v>
      </c>
      <c r="E123" s="242">
        <v>1671.0223677913009</v>
      </c>
      <c r="F123" s="242">
        <v>-1606.7514356672018</v>
      </c>
      <c r="G123" s="242">
        <v>1343.7552312506014</v>
      </c>
      <c r="H123" s="242">
        <v>-764.16170518860054</v>
      </c>
      <c r="I123" s="242">
        <v>2873.1208885696014</v>
      </c>
      <c r="J123" s="242">
        <v>-1063.3500018909981</v>
      </c>
      <c r="K123" s="242">
        <v>2302.2884086653994</v>
      </c>
      <c r="L123" s="242">
        <v>-1116.4475074245984</v>
      </c>
      <c r="M123" s="242">
        <v>2503.5619491834004</v>
      </c>
      <c r="N123" s="242">
        <v>-2303.5990276762004</v>
      </c>
      <c r="O123" s="242">
        <v>937.34291340280106</v>
      </c>
      <c r="P123" s="242">
        <v>-354.67466075349876</v>
      </c>
      <c r="Q123" s="242">
        <v>1668.9051117430508</v>
      </c>
      <c r="R123" s="242">
        <v>-3612.8779237152012</v>
      </c>
      <c r="S123" s="242">
        <v>-653.16914185290079</v>
      </c>
      <c r="T123" s="242">
        <v>-3654.2605671324</v>
      </c>
      <c r="U123" s="242">
        <v>-866.57587956330099</v>
      </c>
      <c r="V123" s="242">
        <v>-904.26333777359832</v>
      </c>
      <c r="W123" s="242">
        <v>848.38268135649923</v>
      </c>
      <c r="X123" s="242">
        <v>-6.9713155891004135</v>
      </c>
      <c r="Y123" s="242">
        <v>1015.22134048111</v>
      </c>
      <c r="Z123" s="242">
        <v>-267.68301074759984</v>
      </c>
      <c r="AA123" s="242">
        <v>1243.6054827104008</v>
      </c>
      <c r="AB123" s="242">
        <v>1250.587001771999</v>
      </c>
      <c r="AC123" s="242">
        <v>2201.7481399885</v>
      </c>
      <c r="AD123" s="242">
        <v>-1710.5669477439988</v>
      </c>
      <c r="AE123" s="242">
        <v>1666.7908418370007</v>
      </c>
      <c r="AF123" s="242">
        <v>-1091.8247278469971</v>
      </c>
      <c r="AG123" s="242">
        <v>3127.8616105920009</v>
      </c>
      <c r="AH123" s="242">
        <v>-1457.6292416949982</v>
      </c>
      <c r="AI123" s="242">
        <v>2467.7749759830003</v>
      </c>
      <c r="AJ123" s="242">
        <v>-879.01608774699889</v>
      </c>
      <c r="AK123" s="242">
        <v>3036.6854632529994</v>
      </c>
      <c r="AL123" s="242">
        <v>-2528.5445715489968</v>
      </c>
      <c r="AM123" s="242">
        <v>1185.4461424060009</v>
      </c>
      <c r="AN123" s="242">
        <v>-53.429433007499028</v>
      </c>
      <c r="AO123" s="242">
        <v>2209.2317623672516</v>
      </c>
      <c r="AP123" s="242">
        <v>-3743.1685547040015</v>
      </c>
      <c r="AQ123" s="242">
        <v>-419.19575692049875</v>
      </c>
      <c r="AR123" s="242">
        <v>-3793.3160011979999</v>
      </c>
      <c r="AS123" s="242">
        <v>-706.38185692850129</v>
      </c>
      <c r="AT123" s="242">
        <v>-725.95131517199843</v>
      </c>
      <c r="AU123" s="242">
        <v>1203.7158479425016</v>
      </c>
      <c r="AV123" s="242">
        <v>289.75094283050021</v>
      </c>
      <c r="AW123" s="242">
        <v>1364.3949129359517</v>
      </c>
      <c r="AX123" s="242">
        <v>112.38730859799944</v>
      </c>
      <c r="AY123" s="242">
        <v>1769.7676250080003</v>
      </c>
      <c r="BA123" s="80"/>
      <c r="BB123" s="80"/>
    </row>
    <row r="124" spans="2:54">
      <c r="B124" s="218">
        <v>10434</v>
      </c>
      <c r="C124" s="218" t="s">
        <v>127</v>
      </c>
      <c r="D124" s="242">
        <v>1268.1381703871975</v>
      </c>
      <c r="E124" s="242">
        <v>47.541127397599666</v>
      </c>
      <c r="F124" s="242">
        <v>-436.14787869440079</v>
      </c>
      <c r="G124" s="242">
        <v>146.42783953120033</v>
      </c>
      <c r="H124" s="242">
        <v>1978.8674306927987</v>
      </c>
      <c r="I124" s="242">
        <v>1647.0934376191981</v>
      </c>
      <c r="J124" s="242">
        <v>839.80349416799982</v>
      </c>
      <c r="K124" s="242">
        <v>1429.2889061007991</v>
      </c>
      <c r="L124" s="242">
        <v>723.64684442080033</v>
      </c>
      <c r="M124" s="242">
        <v>1098.9549480367996</v>
      </c>
      <c r="N124" s="242">
        <v>-530.30700566240193</v>
      </c>
      <c r="O124" s="242">
        <v>-500.35145205440131</v>
      </c>
      <c r="P124" s="242">
        <v>411.73757706800097</v>
      </c>
      <c r="Q124" s="242">
        <v>-109.62071773639946</v>
      </c>
      <c r="R124" s="242">
        <v>-3030.0544171904021</v>
      </c>
      <c r="S124" s="242">
        <v>-1943.5635006007997</v>
      </c>
      <c r="T124" s="242">
        <v>-2836.1694738848</v>
      </c>
      <c r="U124" s="242">
        <v>-2003.9577295416002</v>
      </c>
      <c r="V124" s="242">
        <v>1140.0742737727996</v>
      </c>
      <c r="W124" s="242">
        <v>514.91744178799945</v>
      </c>
      <c r="X124" s="242">
        <v>1052.5929486167988</v>
      </c>
      <c r="Y124" s="242">
        <v>233.84603059272013</v>
      </c>
      <c r="Z124" s="242">
        <v>-294.1126758752016</v>
      </c>
      <c r="AA124" s="242">
        <v>-530.25153105920072</v>
      </c>
      <c r="AB124" s="242">
        <v>1374.8031703871984</v>
      </c>
      <c r="AC124" s="242">
        <v>109.66712739759987</v>
      </c>
      <c r="AD124" s="242">
        <v>-319.39387869440179</v>
      </c>
      <c r="AE124" s="242">
        <v>226.23683953119962</v>
      </c>
      <c r="AF124" s="242">
        <v>2128.6184306927989</v>
      </c>
      <c r="AG124" s="242">
        <v>1747.8284376191987</v>
      </c>
      <c r="AH124" s="242">
        <v>986.53049416800059</v>
      </c>
      <c r="AI124" s="242">
        <v>1528.3609061007992</v>
      </c>
      <c r="AJ124" s="242">
        <v>823.74645645279998</v>
      </c>
      <c r="AK124" s="242">
        <v>1107.6257540527986</v>
      </c>
      <c r="AL124" s="242">
        <v>-407.57400566240176</v>
      </c>
      <c r="AM124" s="242">
        <v>-423.0404520544007</v>
      </c>
      <c r="AN124" s="242">
        <v>516.4475770680001</v>
      </c>
      <c r="AO124" s="242">
        <v>-45.90571773640022</v>
      </c>
      <c r="AP124" s="242">
        <v>-2934.4964171904012</v>
      </c>
      <c r="AQ124" s="242">
        <v>-1881.7415006007996</v>
      </c>
      <c r="AR124" s="242">
        <v>-2731.7534738848008</v>
      </c>
      <c r="AS124" s="242">
        <v>-1945.2037295416003</v>
      </c>
      <c r="AT124" s="242">
        <v>1140.0742737727996</v>
      </c>
      <c r="AU124" s="242">
        <v>514.91744178799945</v>
      </c>
      <c r="AV124" s="242">
        <v>1052.5929486167988</v>
      </c>
      <c r="AW124" s="242">
        <v>233.84603059272013</v>
      </c>
      <c r="AX124" s="242">
        <v>-294.1126758752016</v>
      </c>
      <c r="AY124" s="242">
        <v>-530.25153105920072</v>
      </c>
      <c r="BA124" s="80"/>
      <c r="BB124" s="80"/>
    </row>
    <row r="125" spans="2:54">
      <c r="B125" s="218">
        <v>10436</v>
      </c>
      <c r="C125" s="218" t="s">
        <v>128</v>
      </c>
      <c r="D125" s="242">
        <v>-1269.0060036140012</v>
      </c>
      <c r="E125" s="242">
        <v>-947.27239569324956</v>
      </c>
      <c r="F125" s="242">
        <v>-3150.7443898719994</v>
      </c>
      <c r="G125" s="242">
        <v>-1289.7709079565011</v>
      </c>
      <c r="H125" s="242">
        <v>-1257.9710812984995</v>
      </c>
      <c r="I125" s="242">
        <v>15.153093296000407</v>
      </c>
      <c r="J125" s="242">
        <v>-2137.0620852224993</v>
      </c>
      <c r="K125" s="242">
        <v>30.350734366499637</v>
      </c>
      <c r="L125" s="242">
        <v>-2276.8778259084993</v>
      </c>
      <c r="M125" s="242">
        <v>-299.45916182849942</v>
      </c>
      <c r="N125" s="242">
        <v>-2980.2446748994998</v>
      </c>
      <c r="O125" s="242">
        <v>-1492.9836510469995</v>
      </c>
      <c r="P125" s="242">
        <v>-1700.9726886912504</v>
      </c>
      <c r="Q125" s="242">
        <v>-811.61080153512421</v>
      </c>
      <c r="R125" s="242">
        <v>-962.43838335200144</v>
      </c>
      <c r="S125" s="242">
        <v>415.59897672725037</v>
      </c>
      <c r="T125" s="242">
        <v>1684.3755086509991</v>
      </c>
      <c r="U125" s="242">
        <v>1812.0706897232494</v>
      </c>
      <c r="V125" s="242">
        <v>5520.3443719139996</v>
      </c>
      <c r="W125" s="242">
        <v>5115.8195955337496</v>
      </c>
      <c r="X125" s="242">
        <v>2630.4231999777494</v>
      </c>
      <c r="Y125" s="242">
        <v>2622.7131964867249</v>
      </c>
      <c r="Z125" s="242">
        <v>200.79387004900036</v>
      </c>
      <c r="AA125" s="242">
        <v>522.35567450399958</v>
      </c>
      <c r="AB125" s="242">
        <v>-1394.5420036140013</v>
      </c>
      <c r="AC125" s="242">
        <v>-882.95939569324946</v>
      </c>
      <c r="AD125" s="242">
        <v>-3176.5723898720007</v>
      </c>
      <c r="AE125" s="242">
        <v>-1311.6619079565007</v>
      </c>
      <c r="AF125" s="242">
        <v>-1258.7310812984997</v>
      </c>
      <c r="AG125" s="242">
        <v>5.9080932960014252</v>
      </c>
      <c r="AH125" s="242">
        <v>-2143.7320852224993</v>
      </c>
      <c r="AI125" s="242">
        <v>24.642734366500008</v>
      </c>
      <c r="AJ125" s="242">
        <v>-2150.3017987484982</v>
      </c>
      <c r="AK125" s="242">
        <v>-300.21764824850015</v>
      </c>
      <c r="AL125" s="242">
        <v>-3002.7556748995003</v>
      </c>
      <c r="AM125" s="242">
        <v>-1515.2706510469998</v>
      </c>
      <c r="AN125" s="242">
        <v>-1730.02868869125</v>
      </c>
      <c r="AO125" s="242">
        <v>-834.89280153512436</v>
      </c>
      <c r="AP125" s="242">
        <v>-967.2943833520012</v>
      </c>
      <c r="AQ125" s="242">
        <v>410.46197672724975</v>
      </c>
      <c r="AR125" s="242">
        <v>1713.1205086509999</v>
      </c>
      <c r="AS125" s="242">
        <v>1820.4976897232491</v>
      </c>
      <c r="AT125" s="242">
        <v>5568.8173719140013</v>
      </c>
      <c r="AU125" s="242">
        <v>5146.8105955337496</v>
      </c>
      <c r="AV125" s="242">
        <v>2742.6281999777511</v>
      </c>
      <c r="AW125" s="242">
        <v>2534.035196486725</v>
      </c>
      <c r="AX125" s="242">
        <v>96.707870049001031</v>
      </c>
      <c r="AY125" s="242">
        <v>601.1776745039997</v>
      </c>
      <c r="BA125" s="80"/>
      <c r="BB125" s="80"/>
    </row>
    <row r="126" spans="2:54">
      <c r="B126" s="218">
        <v>10440</v>
      </c>
      <c r="C126" s="218" t="s">
        <v>129</v>
      </c>
      <c r="D126" s="242">
        <v>336.96915609039957</v>
      </c>
      <c r="E126" s="242">
        <v>193.6224985107001</v>
      </c>
      <c r="F126" s="242">
        <v>281.74527937919947</v>
      </c>
      <c r="G126" s="242">
        <v>259.07840207340018</v>
      </c>
      <c r="H126" s="242">
        <v>757.06180534460009</v>
      </c>
      <c r="I126" s="242">
        <v>762.03986701439999</v>
      </c>
      <c r="J126" s="242">
        <v>746.381850751</v>
      </c>
      <c r="K126" s="242">
        <v>685.54839265059991</v>
      </c>
      <c r="L126" s="242">
        <v>756.7769201406004</v>
      </c>
      <c r="M126" s="242">
        <v>637.78947185259995</v>
      </c>
      <c r="N126" s="242">
        <v>106.68731652820043</v>
      </c>
      <c r="O126" s="242">
        <v>170.30452810920019</v>
      </c>
      <c r="P126" s="242">
        <v>485.04484886350019</v>
      </c>
      <c r="Q126" s="242">
        <v>269.94074100395028</v>
      </c>
      <c r="R126" s="242">
        <v>-569.80941849279998</v>
      </c>
      <c r="S126" s="242">
        <v>-368.18620571309998</v>
      </c>
      <c r="T126" s="242">
        <v>-875.57461636359994</v>
      </c>
      <c r="U126" s="242">
        <v>-425.63030361870005</v>
      </c>
      <c r="V126" s="242">
        <v>-553.7387079703999</v>
      </c>
      <c r="W126" s="242">
        <v>-309.28345384649992</v>
      </c>
      <c r="X126" s="242">
        <v>-412.33941552490001</v>
      </c>
      <c r="Y126" s="242">
        <v>-287.26340338170996</v>
      </c>
      <c r="Z126" s="242">
        <v>-302.09126095639999</v>
      </c>
      <c r="AA126" s="242">
        <v>-177.4283470943999</v>
      </c>
      <c r="AB126" s="242">
        <v>428.74615609039961</v>
      </c>
      <c r="AC126" s="242">
        <v>116.27249851070019</v>
      </c>
      <c r="AD126" s="242">
        <v>292.38027937919969</v>
      </c>
      <c r="AE126" s="242">
        <v>266.28440207340009</v>
      </c>
      <c r="AF126" s="242">
        <v>770.38680534460036</v>
      </c>
      <c r="AG126" s="242">
        <v>771.80086701439996</v>
      </c>
      <c r="AH126" s="242">
        <v>760.28885075100015</v>
      </c>
      <c r="AI126" s="242">
        <v>695.03139265060008</v>
      </c>
      <c r="AJ126" s="242">
        <v>726.76652716460012</v>
      </c>
      <c r="AK126" s="242">
        <v>633.08227536460004</v>
      </c>
      <c r="AL126" s="242">
        <v>117.1433165282001</v>
      </c>
      <c r="AM126" s="242">
        <v>177.43852810919998</v>
      </c>
      <c r="AN126" s="242">
        <v>494.93784886350022</v>
      </c>
      <c r="AO126" s="242">
        <v>276.12874100395015</v>
      </c>
      <c r="AP126" s="242">
        <v>-562.3524184928001</v>
      </c>
      <c r="AQ126" s="242">
        <v>-363.37320571309988</v>
      </c>
      <c r="AR126" s="242">
        <v>-868.82361636359997</v>
      </c>
      <c r="AS126" s="242">
        <v>-421.24930361869997</v>
      </c>
      <c r="AT126" s="242">
        <v>-547.10070797039975</v>
      </c>
      <c r="AU126" s="242">
        <v>-305.1644538464999</v>
      </c>
      <c r="AV126" s="242">
        <v>-468.25341552489999</v>
      </c>
      <c r="AW126" s="242">
        <v>-220.39840338170995</v>
      </c>
      <c r="AX126" s="242">
        <v>-231.83926095640004</v>
      </c>
      <c r="AY126" s="242">
        <v>-236.92934709439987</v>
      </c>
      <c r="BA126" s="80"/>
      <c r="BB126" s="80"/>
    </row>
    <row r="127" spans="2:54">
      <c r="B127" s="218">
        <v>10442</v>
      </c>
      <c r="C127" s="218" t="s">
        <v>130</v>
      </c>
      <c r="D127" s="242">
        <v>-392.03553894119977</v>
      </c>
      <c r="E127" s="242">
        <v>-25.743122923349802</v>
      </c>
      <c r="F127" s="242">
        <v>-1041.7790722976006</v>
      </c>
      <c r="G127" s="242">
        <v>-199.93695685269995</v>
      </c>
      <c r="H127" s="242">
        <v>773.22155882370043</v>
      </c>
      <c r="I127" s="242">
        <v>1638.7870318368</v>
      </c>
      <c r="J127" s="242">
        <v>374.49507138450099</v>
      </c>
      <c r="K127" s="242">
        <v>1036.0484737306992</v>
      </c>
      <c r="L127" s="242">
        <v>-1107.0926576142992</v>
      </c>
      <c r="M127" s="242">
        <v>-69.149320350300059</v>
      </c>
      <c r="N127" s="242">
        <v>-1273.6088836320996</v>
      </c>
      <c r="O127" s="242">
        <v>-284.36768186259997</v>
      </c>
      <c r="P127" s="242">
        <v>-122.26893717174971</v>
      </c>
      <c r="Q127" s="242">
        <v>-10.916324799974973</v>
      </c>
      <c r="R127" s="242">
        <v>-940.66207808160016</v>
      </c>
      <c r="S127" s="242">
        <v>-444.79911969944988</v>
      </c>
      <c r="T127" s="242">
        <v>-760.98412175420071</v>
      </c>
      <c r="U127" s="242">
        <v>-40.076364602650301</v>
      </c>
      <c r="V127" s="242">
        <v>925.32050608119971</v>
      </c>
      <c r="W127" s="242">
        <v>736.2776945832502</v>
      </c>
      <c r="X127" s="242">
        <v>743.96940143844949</v>
      </c>
      <c r="Y127" s="242">
        <v>404.56266313125525</v>
      </c>
      <c r="Z127" s="242">
        <v>-192.86052278579973</v>
      </c>
      <c r="AA127" s="242">
        <v>269.90326740319961</v>
      </c>
      <c r="AB127" s="242">
        <v>-195.39289159680084</v>
      </c>
      <c r="AC127" s="242">
        <v>-190.54827697439987</v>
      </c>
      <c r="AD127" s="242">
        <v>-1044.1219323264004</v>
      </c>
      <c r="AE127" s="242">
        <v>-199.3806951327997</v>
      </c>
      <c r="AF127" s="242">
        <v>729.26911007680064</v>
      </c>
      <c r="AG127" s="242">
        <v>1607.1884765952</v>
      </c>
      <c r="AH127" s="242">
        <v>334.82166020800014</v>
      </c>
      <c r="AI127" s="242">
        <v>1010.1346937247999</v>
      </c>
      <c r="AJ127" s="242">
        <v>-1017.4894713631993</v>
      </c>
      <c r="AK127" s="242">
        <v>6.2119542368000111</v>
      </c>
      <c r="AL127" s="242">
        <v>-1286.6313093343997</v>
      </c>
      <c r="AM127" s="242">
        <v>-291.47727648639966</v>
      </c>
      <c r="AN127" s="242">
        <v>-124.35103239199907</v>
      </c>
      <c r="AO127" s="242">
        <v>-12.008840378399327</v>
      </c>
      <c r="AP127" s="242">
        <v>-947.09697770240018</v>
      </c>
      <c r="AQ127" s="242">
        <v>-448.39131072479995</v>
      </c>
      <c r="AR127" s="242">
        <v>-773.52217802879932</v>
      </c>
      <c r="AS127" s="242">
        <v>-46.568217489599647</v>
      </c>
      <c r="AT127" s="242">
        <v>922.68558055680023</v>
      </c>
      <c r="AU127" s="242">
        <v>735.21416392800029</v>
      </c>
      <c r="AV127" s="242">
        <v>502.21154122079952</v>
      </c>
      <c r="AW127" s="242">
        <v>644.8625227643206</v>
      </c>
      <c r="AX127" s="242">
        <v>11.136415468799896</v>
      </c>
      <c r="AY127" s="242">
        <v>67.775346764800361</v>
      </c>
      <c r="BA127" s="80"/>
      <c r="BB127" s="80"/>
    </row>
    <row r="128" spans="2:54">
      <c r="B128" s="218">
        <v>10446</v>
      </c>
      <c r="C128" s="218" t="s">
        <v>131</v>
      </c>
      <c r="D128" s="242">
        <v>3266.2028046831911</v>
      </c>
      <c r="E128" s="242">
        <v>7440.4767538906053</v>
      </c>
      <c r="F128" s="242">
        <v>-7250.7927828863976</v>
      </c>
      <c r="G128" s="242">
        <v>1829.2178179971997</v>
      </c>
      <c r="H128" s="242">
        <v>-7920.6450379531962</v>
      </c>
      <c r="I128" s="242">
        <v>3418.0736746752009</v>
      </c>
      <c r="J128" s="242">
        <v>-10326.961825341998</v>
      </c>
      <c r="K128" s="242">
        <v>2242.3830923948008</v>
      </c>
      <c r="L128" s="242">
        <v>-6448.7191241851979</v>
      </c>
      <c r="M128" s="242">
        <v>3320.6473183108028</v>
      </c>
      <c r="N128" s="242">
        <v>-8608.8062693444008</v>
      </c>
      <c r="O128" s="242">
        <v>585.56239645360256</v>
      </c>
      <c r="P128" s="242">
        <v>-1507.3405735669949</v>
      </c>
      <c r="Q128" s="242">
        <v>2472.6487148241031</v>
      </c>
      <c r="R128" s="242">
        <v>-5017.5322786624019</v>
      </c>
      <c r="S128" s="242">
        <v>3824.7676937302058</v>
      </c>
      <c r="T128" s="242">
        <v>-7898.3694670487894</v>
      </c>
      <c r="U128" s="242">
        <v>3500.7183910454005</v>
      </c>
      <c r="V128" s="242">
        <v>-3701.8372817232012</v>
      </c>
      <c r="W128" s="242">
        <v>4537.5388382530036</v>
      </c>
      <c r="X128" s="242">
        <v>1702.9472226658036</v>
      </c>
      <c r="Y128" s="242">
        <v>7272.5443229298216</v>
      </c>
      <c r="Z128" s="242">
        <v>3388.9919304888026</v>
      </c>
      <c r="AA128" s="242">
        <v>9879.4219926848018</v>
      </c>
      <c r="AB128" s="242">
        <v>4384.9278046832042</v>
      </c>
      <c r="AC128" s="242">
        <v>5929.257753890608</v>
      </c>
      <c r="AD128" s="242">
        <v>-7420.4757828864022</v>
      </c>
      <c r="AE128" s="242">
        <v>1775.2708179972033</v>
      </c>
      <c r="AF128" s="242">
        <v>-7966.7180379532001</v>
      </c>
      <c r="AG128" s="242">
        <v>3323.3896746752071</v>
      </c>
      <c r="AH128" s="242">
        <v>-10498.278825341993</v>
      </c>
      <c r="AI128" s="242">
        <v>2612.0750923947962</v>
      </c>
      <c r="AJ128" s="242">
        <v>-6316.2950703931929</v>
      </c>
      <c r="AK128" s="242">
        <v>3379.8983452068023</v>
      </c>
      <c r="AL128" s="242">
        <v>-8356.1552693443955</v>
      </c>
      <c r="AM128" s="242">
        <v>823.09339645360888</v>
      </c>
      <c r="AN128" s="242">
        <v>-1144.6185735669933</v>
      </c>
      <c r="AO128" s="242">
        <v>2758.5067148241069</v>
      </c>
      <c r="AP128" s="242">
        <v>-5968.1662786624001</v>
      </c>
      <c r="AQ128" s="242">
        <v>3171.0066937302036</v>
      </c>
      <c r="AR128" s="242">
        <v>-7543.7014670487988</v>
      </c>
      <c r="AS128" s="242">
        <v>3712.0913910454037</v>
      </c>
      <c r="AT128" s="242">
        <v>-3868.5022817231948</v>
      </c>
      <c r="AU128" s="242">
        <v>4438.0238382530042</v>
      </c>
      <c r="AV128" s="242">
        <v>466.42222266580211</v>
      </c>
      <c r="AW128" s="242">
        <v>8886.851322929826</v>
      </c>
      <c r="AX128" s="242">
        <v>4944.9269304888003</v>
      </c>
      <c r="AY128" s="242">
        <v>8482.0629926848051</v>
      </c>
      <c r="BA128" s="80"/>
      <c r="BB128" s="80"/>
    </row>
    <row r="129" spans="2:54">
      <c r="B129" s="218">
        <v>10448</v>
      </c>
      <c r="C129" s="218" t="s">
        <v>132</v>
      </c>
      <c r="D129" s="242">
        <v>0</v>
      </c>
      <c r="E129" s="242">
        <v>0</v>
      </c>
      <c r="F129" s="242">
        <v>0</v>
      </c>
      <c r="G129" s="242">
        <v>0</v>
      </c>
      <c r="H129" s="242">
        <v>0</v>
      </c>
      <c r="I129" s="242">
        <v>0</v>
      </c>
      <c r="J129" s="242">
        <v>0</v>
      </c>
      <c r="K129" s="242">
        <v>0</v>
      </c>
      <c r="L129" s="242">
        <v>0</v>
      </c>
      <c r="M129" s="242">
        <v>0</v>
      </c>
      <c r="N129" s="242">
        <v>0</v>
      </c>
      <c r="O129" s="242">
        <v>0</v>
      </c>
      <c r="P129" s="242">
        <v>0</v>
      </c>
      <c r="Q129" s="242">
        <v>0</v>
      </c>
      <c r="R129" s="242">
        <v>0</v>
      </c>
      <c r="S129" s="242">
        <v>0</v>
      </c>
      <c r="T129" s="242">
        <v>0</v>
      </c>
      <c r="U129" s="242">
        <v>0</v>
      </c>
      <c r="V129" s="242">
        <v>0</v>
      </c>
      <c r="W129" s="242">
        <v>0</v>
      </c>
      <c r="X129" s="242">
        <v>0</v>
      </c>
      <c r="Y129" s="242">
        <v>0</v>
      </c>
      <c r="Z129" s="242">
        <v>0</v>
      </c>
      <c r="AA129" s="242">
        <v>0</v>
      </c>
      <c r="AB129" s="242">
        <v>0</v>
      </c>
      <c r="AC129" s="242">
        <v>0</v>
      </c>
      <c r="AD129" s="242">
        <v>0</v>
      </c>
      <c r="AE129" s="242">
        <v>0</v>
      </c>
      <c r="AF129" s="242">
        <v>0</v>
      </c>
      <c r="AG129" s="242">
        <v>0</v>
      </c>
      <c r="AH129" s="242">
        <v>0</v>
      </c>
      <c r="AI129" s="242">
        <v>0</v>
      </c>
      <c r="AJ129" s="242">
        <v>0</v>
      </c>
      <c r="AK129" s="242">
        <v>0</v>
      </c>
      <c r="AL129" s="242">
        <v>0</v>
      </c>
      <c r="AM129" s="242">
        <v>0</v>
      </c>
      <c r="AN129" s="242">
        <v>0</v>
      </c>
      <c r="AO129" s="242">
        <v>0</v>
      </c>
      <c r="AP129" s="242">
        <v>0</v>
      </c>
      <c r="AQ129" s="242">
        <v>0</v>
      </c>
      <c r="AR129" s="242">
        <v>0</v>
      </c>
      <c r="AS129" s="242">
        <v>0</v>
      </c>
      <c r="AT129" s="242">
        <v>0</v>
      </c>
      <c r="AU129" s="242">
        <v>0</v>
      </c>
      <c r="AV129" s="242">
        <v>0</v>
      </c>
      <c r="AW129" s="242">
        <v>0</v>
      </c>
      <c r="AX129" s="242">
        <v>0</v>
      </c>
      <c r="AY129" s="242">
        <v>0</v>
      </c>
      <c r="BA129" s="80"/>
      <c r="BB129" s="80"/>
    </row>
    <row r="130" spans="2:54">
      <c r="B130" s="218">
        <v>10451</v>
      </c>
      <c r="C130" s="218" t="s">
        <v>133</v>
      </c>
      <c r="D130" s="242">
        <v>1619.6639174527991</v>
      </c>
      <c r="E130" s="242">
        <v>2519.6873478224006</v>
      </c>
      <c r="F130" s="242">
        <v>-1306.7753209856</v>
      </c>
      <c r="G130" s="242">
        <v>753.90271010880042</v>
      </c>
      <c r="H130" s="242">
        <v>-2472.2226175328015</v>
      </c>
      <c r="I130" s="242">
        <v>567.19622062080089</v>
      </c>
      <c r="J130" s="242">
        <v>-2566.2718595679999</v>
      </c>
      <c r="K130" s="242">
        <v>306.05859465920003</v>
      </c>
      <c r="L130" s="242">
        <v>-1415.6346896607993</v>
      </c>
      <c r="M130" s="242">
        <v>936.40124192320036</v>
      </c>
      <c r="N130" s="242">
        <v>-1526.0394886176</v>
      </c>
      <c r="O130" s="242">
        <v>562.36481037439989</v>
      </c>
      <c r="P130" s="242">
        <v>1034.075625032001</v>
      </c>
      <c r="Q130" s="242">
        <v>1621.0879469064002</v>
      </c>
      <c r="R130" s="242">
        <v>-1493.1159536896012</v>
      </c>
      <c r="S130" s="242">
        <v>559.91166234079992</v>
      </c>
      <c r="T130" s="242">
        <v>-2688.3834466751996</v>
      </c>
      <c r="U130" s="242">
        <v>544.98231752160063</v>
      </c>
      <c r="V130" s="242">
        <v>-2911.2874096127998</v>
      </c>
      <c r="W130" s="242">
        <v>-284.48650568799985</v>
      </c>
      <c r="X130" s="242">
        <v>745.07335484319992</v>
      </c>
      <c r="Y130" s="242">
        <v>2054.752085741281</v>
      </c>
      <c r="Z130" s="242">
        <v>485.37432443519901</v>
      </c>
      <c r="AA130" s="242">
        <v>2357.1081048192</v>
      </c>
      <c r="AB130" s="242">
        <v>1854.1786389764002</v>
      </c>
      <c r="AC130" s="242">
        <v>1948.0902057549511</v>
      </c>
      <c r="AD130" s="242">
        <v>-1567.6078584928</v>
      </c>
      <c r="AE130" s="242">
        <v>584.8440074918999</v>
      </c>
      <c r="AF130" s="242">
        <v>-2753.5094280789017</v>
      </c>
      <c r="AG130" s="242">
        <v>384.54532431040025</v>
      </c>
      <c r="AH130" s="242">
        <v>-2864.7536275964994</v>
      </c>
      <c r="AI130" s="242">
        <v>122.43736614209956</v>
      </c>
      <c r="AJ130" s="242">
        <v>-1681.0395362089002</v>
      </c>
      <c r="AK130" s="242">
        <v>790.26048749109941</v>
      </c>
      <c r="AL130" s="242">
        <v>-1801.6880257462999</v>
      </c>
      <c r="AM130" s="242">
        <v>385.27271031220153</v>
      </c>
      <c r="AN130" s="242">
        <v>816.5552436097496</v>
      </c>
      <c r="AO130" s="242">
        <v>1481.2458913125756</v>
      </c>
      <c r="AP130" s="242">
        <v>-1762.5241198448002</v>
      </c>
      <c r="AQ130" s="242">
        <v>385.96383657664956</v>
      </c>
      <c r="AR130" s="242">
        <v>-2972.8280799626009</v>
      </c>
      <c r="AS130" s="242">
        <v>376.45124066705012</v>
      </c>
      <c r="AT130" s="242">
        <v>-372.38724755640033</v>
      </c>
      <c r="AU130" s="242">
        <v>1735.2501563747501</v>
      </c>
      <c r="AV130" s="242">
        <v>50.765970140348145</v>
      </c>
      <c r="AW130" s="242">
        <v>2368.8920131612649</v>
      </c>
      <c r="AX130" s="242">
        <v>713.4077563425999</v>
      </c>
      <c r="AY130" s="242">
        <v>1779.2469134095991</v>
      </c>
      <c r="BA130" s="80"/>
      <c r="BB130" s="80"/>
    </row>
    <row r="131" spans="2:54">
      <c r="B131" s="218">
        <v>10482</v>
      </c>
      <c r="C131" s="218" t="s">
        <v>134</v>
      </c>
      <c r="D131" s="242">
        <v>110.58673825559981</v>
      </c>
      <c r="E131" s="242">
        <v>195.83126385105004</v>
      </c>
      <c r="F131" s="242">
        <v>-147.28607117120032</v>
      </c>
      <c r="G131" s="242">
        <v>37.361285880100013</v>
      </c>
      <c r="H131" s="242">
        <v>-206.91084685310011</v>
      </c>
      <c r="I131" s="242">
        <v>74.95007684159998</v>
      </c>
      <c r="J131" s="242">
        <v>-231.18527482350009</v>
      </c>
      <c r="K131" s="242">
        <v>33.670568405899985</v>
      </c>
      <c r="L131" s="242">
        <v>-141.82438085910007</v>
      </c>
      <c r="M131" s="242">
        <v>85.672520308899948</v>
      </c>
      <c r="N131" s="242">
        <v>-166.03621949770013</v>
      </c>
      <c r="O131" s="242">
        <v>48.175883423800087</v>
      </c>
      <c r="P131" s="242">
        <v>96.427984220249982</v>
      </c>
      <c r="Q131" s="242">
        <v>138.832130878425</v>
      </c>
      <c r="R131" s="242">
        <v>-185.91383957920016</v>
      </c>
      <c r="S131" s="242">
        <v>-0.82047237465008038</v>
      </c>
      <c r="T131" s="242">
        <v>-260.61111412540004</v>
      </c>
      <c r="U131" s="242">
        <v>13.91183108694986</v>
      </c>
      <c r="V131" s="242">
        <v>27.931219924400011</v>
      </c>
      <c r="W131" s="242">
        <v>117.75847965525008</v>
      </c>
      <c r="X131" s="242">
        <v>70.460791617649875</v>
      </c>
      <c r="Y131" s="242">
        <v>92.889908426934994</v>
      </c>
      <c r="Z131" s="242">
        <v>29.777752145399745</v>
      </c>
      <c r="AA131" s="242">
        <v>168.65927903839997</v>
      </c>
      <c r="AB131" s="242">
        <v>166.3500068827999</v>
      </c>
      <c r="AC131" s="242">
        <v>152.08373716864992</v>
      </c>
      <c r="AD131" s="242">
        <v>-145.53861034560009</v>
      </c>
      <c r="AE131" s="242">
        <v>41.633068451300005</v>
      </c>
      <c r="AF131" s="242">
        <v>-202.57417840030007</v>
      </c>
      <c r="AG131" s="242">
        <v>77.42030710079996</v>
      </c>
      <c r="AH131" s="242">
        <v>-235.52459505549996</v>
      </c>
      <c r="AI131" s="242">
        <v>39.421505866699931</v>
      </c>
      <c r="AJ131" s="242">
        <v>-130.03375691029987</v>
      </c>
      <c r="AK131" s="242">
        <v>98.967792989700001</v>
      </c>
      <c r="AL131" s="242">
        <v>-168.37983124009997</v>
      </c>
      <c r="AM131" s="242">
        <v>48.204058889399903</v>
      </c>
      <c r="AN131" s="242">
        <v>95.798426888250106</v>
      </c>
      <c r="AO131" s="242">
        <v>138.72810626202511</v>
      </c>
      <c r="AP131" s="242">
        <v>-191.13256044960031</v>
      </c>
      <c r="AQ131" s="242">
        <v>-2.80940433545004</v>
      </c>
      <c r="AR131" s="242">
        <v>-268.08415217020001</v>
      </c>
      <c r="AS131" s="242">
        <v>9.8303108253498976</v>
      </c>
      <c r="AT131" s="242">
        <v>21.372467457199946</v>
      </c>
      <c r="AU131" s="242">
        <v>114.41681104324994</v>
      </c>
      <c r="AV131" s="242">
        <v>12.826998794449992</v>
      </c>
      <c r="AW131" s="242">
        <v>138.54216564365504</v>
      </c>
      <c r="AX131" s="242">
        <v>70.163048430199979</v>
      </c>
      <c r="AY131" s="242">
        <v>115.26010733919998</v>
      </c>
      <c r="BA131" s="80"/>
      <c r="BB131" s="80"/>
    </row>
    <row r="132" spans="2:54">
      <c r="B132" s="218">
        <v>10502</v>
      </c>
      <c r="C132" s="218" t="s">
        <v>135</v>
      </c>
      <c r="D132" s="242">
        <v>-384.33601247440038</v>
      </c>
      <c r="E132" s="242">
        <v>-444.94942058270044</v>
      </c>
      <c r="F132" s="242">
        <v>-3388.2089042112011</v>
      </c>
      <c r="G132" s="242">
        <v>-1864.7875441374003</v>
      </c>
      <c r="H132" s="242">
        <v>-3029.7961165606002</v>
      </c>
      <c r="I132" s="242">
        <v>-1512.8747864384004</v>
      </c>
      <c r="J132" s="242">
        <v>-3871.0469457110003</v>
      </c>
      <c r="K132" s="242">
        <v>-1795.9789616266007</v>
      </c>
      <c r="L132" s="242">
        <v>-2892.6061395165989</v>
      </c>
      <c r="M132" s="242">
        <v>-1127.0766227486001</v>
      </c>
      <c r="N132" s="242">
        <v>-3744.6398304001996</v>
      </c>
      <c r="O132" s="242">
        <v>-2333.3979537411997</v>
      </c>
      <c r="P132" s="242">
        <v>-572.4244568234999</v>
      </c>
      <c r="Q132" s="242">
        <v>-423.48855709594864</v>
      </c>
      <c r="R132" s="242">
        <v>8.1218787807993067</v>
      </c>
      <c r="S132" s="242">
        <v>394.43293968910075</v>
      </c>
      <c r="T132" s="242">
        <v>1774.9361118195993</v>
      </c>
      <c r="U132" s="242">
        <v>1439.040521370699</v>
      </c>
      <c r="V132" s="242">
        <v>5300.8954891543999</v>
      </c>
      <c r="W132" s="242">
        <v>4421.9039874865002</v>
      </c>
      <c r="X132" s="242">
        <v>6087.3810820288991</v>
      </c>
      <c r="Y132" s="242">
        <v>4221.4922643633099</v>
      </c>
      <c r="Z132" s="242">
        <v>2075.1766727003987</v>
      </c>
      <c r="AA132" s="242">
        <v>1665.0390633183997</v>
      </c>
      <c r="AB132" s="242">
        <v>-178.24502934599968</v>
      </c>
      <c r="AC132" s="242">
        <v>-306.76273298674914</v>
      </c>
      <c r="AD132" s="242">
        <v>-3419.2456882080005</v>
      </c>
      <c r="AE132" s="242">
        <v>-1884.1085542035003</v>
      </c>
      <c r="AF132" s="242">
        <v>-3061.6354797414997</v>
      </c>
      <c r="AG132" s="242">
        <v>-1532.4803038559994</v>
      </c>
      <c r="AH132" s="242">
        <v>-3906.3255071774984</v>
      </c>
      <c r="AI132" s="242">
        <v>-1816.2755698065002</v>
      </c>
      <c r="AJ132" s="242">
        <v>-2801.7739302914979</v>
      </c>
      <c r="AK132" s="242">
        <v>-1111.7917607914997</v>
      </c>
      <c r="AL132" s="242">
        <v>-3777.7877707804982</v>
      </c>
      <c r="AM132" s="242">
        <v>-2354.522079033</v>
      </c>
      <c r="AN132" s="242">
        <v>-593.52499870874908</v>
      </c>
      <c r="AO132" s="242">
        <v>-437.1683534448739</v>
      </c>
      <c r="AP132" s="242">
        <v>-15.591921927998555</v>
      </c>
      <c r="AQ132" s="242">
        <v>379.97633371275151</v>
      </c>
      <c r="AR132" s="242">
        <v>1754.3250079890004</v>
      </c>
      <c r="AS132" s="242">
        <v>1427.7970181567507</v>
      </c>
      <c r="AT132" s="242">
        <v>5292.298373046001</v>
      </c>
      <c r="AU132" s="242">
        <v>4419.6871210662503</v>
      </c>
      <c r="AV132" s="242">
        <v>6081.0584807822497</v>
      </c>
      <c r="AW132" s="242">
        <v>4219.5496955172748</v>
      </c>
      <c r="AX132" s="242">
        <v>2061.6069813110007</v>
      </c>
      <c r="AY132" s="242">
        <v>1656.5629280559997</v>
      </c>
      <c r="BA132" s="80"/>
      <c r="BB132" s="80"/>
    </row>
    <row r="133" spans="2:54">
      <c r="B133" s="218">
        <v>13927</v>
      </c>
      <c r="C133" s="218" t="s">
        <v>238</v>
      </c>
      <c r="D133" s="242">
        <v>166.6500062235998</v>
      </c>
      <c r="E133" s="242">
        <v>185.65697459505009</v>
      </c>
      <c r="F133" s="242">
        <v>-261.22165190719988</v>
      </c>
      <c r="G133" s="242">
        <v>37.113879208100116</v>
      </c>
      <c r="H133" s="242">
        <v>-236.19624962109992</v>
      </c>
      <c r="I133" s="242">
        <v>65.152782889600303</v>
      </c>
      <c r="J133" s="242">
        <v>-408.74874690349975</v>
      </c>
      <c r="K133" s="242">
        <v>11.191109157899973</v>
      </c>
      <c r="L133" s="242">
        <v>-226.46791930709969</v>
      </c>
      <c r="M133" s="242">
        <v>115.11450090090011</v>
      </c>
      <c r="N133" s="242">
        <v>-303.40516015369985</v>
      </c>
      <c r="O133" s="242">
        <v>-78.296355712199784</v>
      </c>
      <c r="P133" s="242">
        <v>-11.321686859749889</v>
      </c>
      <c r="Q133" s="242">
        <v>97.926223162425231</v>
      </c>
      <c r="R133" s="242">
        <v>-287.48732655520007</v>
      </c>
      <c r="S133" s="242">
        <v>-0.94421812664973004</v>
      </c>
      <c r="T133" s="242">
        <v>-257.77000183739983</v>
      </c>
      <c r="U133" s="242">
        <v>-29.786975017050054</v>
      </c>
      <c r="V133" s="242">
        <v>102.09766235640018</v>
      </c>
      <c r="W133" s="242">
        <v>261.17654537525004</v>
      </c>
      <c r="X133" s="242">
        <v>271.17729240965014</v>
      </c>
      <c r="Y133" s="242">
        <v>315.63524348373517</v>
      </c>
      <c r="Z133" s="242">
        <v>207.85366545739998</v>
      </c>
      <c r="AA133" s="242">
        <v>265.46493939039999</v>
      </c>
      <c r="AB133" s="242">
        <v>237.68447966759982</v>
      </c>
      <c r="AC133" s="242">
        <v>255.24343408455024</v>
      </c>
      <c r="AD133" s="242">
        <v>-231.60525219519991</v>
      </c>
      <c r="AE133" s="242">
        <v>33.39949640710006</v>
      </c>
      <c r="AF133" s="242">
        <v>-232.13673709010004</v>
      </c>
      <c r="AG133" s="242">
        <v>95.247230473599984</v>
      </c>
      <c r="AH133" s="242">
        <v>-425.20785866849997</v>
      </c>
      <c r="AI133" s="242">
        <v>51.231309098900056</v>
      </c>
      <c r="AJ133" s="242">
        <v>-175.92995626009974</v>
      </c>
      <c r="AK133" s="242">
        <v>173.5737970399</v>
      </c>
      <c r="AL133" s="242">
        <v>-297.88241717669985</v>
      </c>
      <c r="AM133" s="242">
        <v>-57.313301950199957</v>
      </c>
      <c r="AN133" s="242">
        <v>19.238360937750258</v>
      </c>
      <c r="AO133" s="242">
        <v>131.37906737817525</v>
      </c>
      <c r="AP133" s="242">
        <v>-323.45632276319998</v>
      </c>
      <c r="AQ133" s="242">
        <v>8.7978716198499569</v>
      </c>
      <c r="AR133" s="242">
        <v>-325.7255645834</v>
      </c>
      <c r="AS133" s="242">
        <v>-61.131503886550036</v>
      </c>
      <c r="AT133" s="242">
        <v>83.302407112400033</v>
      </c>
      <c r="AU133" s="242">
        <v>265.97523882275004</v>
      </c>
      <c r="AV133" s="242">
        <v>194.65669023315013</v>
      </c>
      <c r="AW133" s="242">
        <v>287.83783981438512</v>
      </c>
      <c r="AX133" s="242">
        <v>99.520048003400007</v>
      </c>
      <c r="AY133" s="242">
        <v>197.50573300639996</v>
      </c>
      <c r="BA133" s="80"/>
      <c r="BB133" s="80"/>
    </row>
    <row r="134" spans="2:54">
      <c r="B134" s="218">
        <v>10597</v>
      </c>
      <c r="C134" s="218" t="s">
        <v>136</v>
      </c>
      <c r="D134" s="242">
        <v>464.88782323399937</v>
      </c>
      <c r="E134" s="242">
        <v>-59.296181409250039</v>
      </c>
      <c r="F134" s="242">
        <v>-304.64165636800044</v>
      </c>
      <c r="G134" s="242">
        <v>-3.6533931485005269</v>
      </c>
      <c r="H134" s="242">
        <v>209.80811405349959</v>
      </c>
      <c r="I134" s="242">
        <v>471.8229910240002</v>
      </c>
      <c r="J134" s="242">
        <v>35.255494897500284</v>
      </c>
      <c r="K134" s="242">
        <v>429.58734643849948</v>
      </c>
      <c r="L134" s="242">
        <v>-45.358815036499436</v>
      </c>
      <c r="M134" s="242">
        <v>399.78593448349966</v>
      </c>
      <c r="N134" s="242">
        <v>-960.46097351549997</v>
      </c>
      <c r="O134" s="242">
        <v>-740.79936994299987</v>
      </c>
      <c r="P134" s="242">
        <v>-42.666960071250287</v>
      </c>
      <c r="Q134" s="242">
        <v>-312.13117056112469</v>
      </c>
      <c r="R134" s="242">
        <v>-983.13967448800122</v>
      </c>
      <c r="S134" s="242">
        <v>-803.39307784474977</v>
      </c>
      <c r="T134" s="242">
        <v>-822.13281898100013</v>
      </c>
      <c r="U134" s="242">
        <v>-739.03405752075014</v>
      </c>
      <c r="V134" s="242">
        <v>1168.1461194659996</v>
      </c>
      <c r="W134" s="242">
        <v>580.5430989537499</v>
      </c>
      <c r="X134" s="242">
        <v>1292.94208598975</v>
      </c>
      <c r="Y134" s="242">
        <v>425.33765778152519</v>
      </c>
      <c r="Z134" s="242">
        <v>408.73011928099913</v>
      </c>
      <c r="AA134" s="242">
        <v>-70.818032824000056</v>
      </c>
      <c r="AB134" s="242">
        <v>463.04011240879936</v>
      </c>
      <c r="AC134" s="242">
        <v>-60.498633217100178</v>
      </c>
      <c r="AD134" s="242">
        <v>-304.65179749760046</v>
      </c>
      <c r="AE134" s="242">
        <v>-3.5785081902004094</v>
      </c>
      <c r="AF134" s="242">
        <v>211.74677403619989</v>
      </c>
      <c r="AG134" s="242">
        <v>473.31379543679986</v>
      </c>
      <c r="AH134" s="242">
        <v>37.152510697000253</v>
      </c>
      <c r="AI134" s="242">
        <v>431.0346498181998</v>
      </c>
      <c r="AJ134" s="242">
        <v>-11.123072423800295</v>
      </c>
      <c r="AK134" s="242">
        <v>393.08537297619978</v>
      </c>
      <c r="AL134" s="242">
        <v>-962.10591689459943</v>
      </c>
      <c r="AM134" s="242">
        <v>-741.87486518759988</v>
      </c>
      <c r="AN134" s="242">
        <v>-44.690645515499455</v>
      </c>
      <c r="AO134" s="242">
        <v>-313.4253199843497</v>
      </c>
      <c r="AP134" s="242">
        <v>-986.21694628160003</v>
      </c>
      <c r="AQ134" s="242">
        <v>-805.35502625569961</v>
      </c>
      <c r="AR134" s="242">
        <v>-825.3518245291998</v>
      </c>
      <c r="AS134" s="242">
        <v>-740.90655005890039</v>
      </c>
      <c r="AT134" s="242">
        <v>1165.4001972312008</v>
      </c>
      <c r="AU134" s="242">
        <v>578.89479311450032</v>
      </c>
      <c r="AV134" s="242">
        <v>1290.2232828696997</v>
      </c>
      <c r="AW134" s="242">
        <v>423.79984112563034</v>
      </c>
      <c r="AX134" s="242">
        <v>406.26966248919962</v>
      </c>
      <c r="AY134" s="242">
        <v>-72.434391196800334</v>
      </c>
      <c r="BA134" s="80"/>
      <c r="BB134" s="80"/>
    </row>
    <row r="135" spans="2:54">
      <c r="B135" s="218">
        <v>10706</v>
      </c>
      <c r="C135" s="218" t="s">
        <v>137</v>
      </c>
      <c r="D135" s="242">
        <v>1038.5492354151993</v>
      </c>
      <c r="E135" s="242">
        <v>1108.1210030591005</v>
      </c>
      <c r="F135" s="242">
        <v>-1214.6190445504008</v>
      </c>
      <c r="G135" s="242">
        <v>162.39606299420029</v>
      </c>
      <c r="H135" s="242">
        <v>-1549.1850757601997</v>
      </c>
      <c r="I135" s="242">
        <v>-81.40084817279967</v>
      </c>
      <c r="J135" s="242">
        <v>-2027.9706096370001</v>
      </c>
      <c r="K135" s="242">
        <v>-69.620777182200072</v>
      </c>
      <c r="L135" s="242">
        <v>-1309.2012258121986</v>
      </c>
      <c r="M135" s="242">
        <v>299.74953364380053</v>
      </c>
      <c r="N135" s="242">
        <v>-1268.3251522133987</v>
      </c>
      <c r="O135" s="242">
        <v>-249.42417306039988</v>
      </c>
      <c r="P135" s="242">
        <v>270.77823332550088</v>
      </c>
      <c r="Q135" s="242">
        <v>706.48371142135147</v>
      </c>
      <c r="R135" s="242">
        <v>-1257.4482000864</v>
      </c>
      <c r="S135" s="242">
        <v>219.92136986970036</v>
      </c>
      <c r="T135" s="242">
        <v>-1275.1807988868004</v>
      </c>
      <c r="U135" s="242">
        <v>149.39942573690041</v>
      </c>
      <c r="V135" s="242">
        <v>250.22706214480058</v>
      </c>
      <c r="W135" s="242">
        <v>1489.9838720955004</v>
      </c>
      <c r="X135" s="242">
        <v>784.86537123629932</v>
      </c>
      <c r="Y135" s="242">
        <v>1618.6182222117704</v>
      </c>
      <c r="Z135" s="242">
        <v>799.61940172679988</v>
      </c>
      <c r="AA135" s="242">
        <v>1400.4711591328005</v>
      </c>
      <c r="AB135" s="242">
        <v>1077.5807987311982</v>
      </c>
      <c r="AC135" s="242">
        <v>1138.9031682745999</v>
      </c>
      <c r="AD135" s="242">
        <v>-1196.0623037824016</v>
      </c>
      <c r="AE135" s="242">
        <v>186.08536900519994</v>
      </c>
      <c r="AF135" s="242">
        <v>-1532.4553048012003</v>
      </c>
      <c r="AG135" s="242">
        <v>-59.247728396800994</v>
      </c>
      <c r="AH135" s="242">
        <v>-2014.6357522219996</v>
      </c>
      <c r="AI135" s="242">
        <v>-46.859399733200007</v>
      </c>
      <c r="AJ135" s="242">
        <v>-1248.8276588412</v>
      </c>
      <c r="AK135" s="242">
        <v>291.02114075879945</v>
      </c>
      <c r="AL135" s="242">
        <v>-1248.3936153604</v>
      </c>
      <c r="AM135" s="242">
        <v>-229.66318684240014</v>
      </c>
      <c r="AN135" s="242">
        <v>302.05448555299972</v>
      </c>
      <c r="AO135" s="242">
        <v>733.14165564809991</v>
      </c>
      <c r="AP135" s="242">
        <v>-1238.3757201984017</v>
      </c>
      <c r="AQ135" s="242">
        <v>245.01905585819986</v>
      </c>
      <c r="AR135" s="242">
        <v>-1342.8209494808016</v>
      </c>
      <c r="AS135" s="242">
        <v>109.32319970139906</v>
      </c>
      <c r="AT135" s="242">
        <v>191.95345862880004</v>
      </c>
      <c r="AU135" s="242">
        <v>1454.744142173</v>
      </c>
      <c r="AV135" s="242">
        <v>727.51785797779849</v>
      </c>
      <c r="AW135" s="242">
        <v>1585.56319869462</v>
      </c>
      <c r="AX135" s="242">
        <v>749.93557452079858</v>
      </c>
      <c r="AY135" s="242">
        <v>1366.9671461567996</v>
      </c>
      <c r="BA135" s="80"/>
      <c r="BB135" s="80"/>
    </row>
    <row r="136" spans="2:54">
      <c r="B136" s="218">
        <v>11680</v>
      </c>
      <c r="C136" s="218" t="s">
        <v>138</v>
      </c>
      <c r="D136" s="242">
        <v>387.89514374400005</v>
      </c>
      <c r="E136" s="242">
        <v>92.650685952000231</v>
      </c>
      <c r="F136" s="242">
        <v>-12.559645888000432</v>
      </c>
      <c r="G136" s="242">
        <v>-38.356253376000041</v>
      </c>
      <c r="H136" s="242">
        <v>194.414777856</v>
      </c>
      <c r="I136" s="242">
        <v>287.40564838399996</v>
      </c>
      <c r="J136" s="242">
        <v>239.48522335999996</v>
      </c>
      <c r="K136" s="242">
        <v>238.05932601599989</v>
      </c>
      <c r="L136" s="242">
        <v>133.03369241600012</v>
      </c>
      <c r="M136" s="242">
        <v>142.64784473600002</v>
      </c>
      <c r="N136" s="242">
        <v>-272.55452524800012</v>
      </c>
      <c r="O136" s="242">
        <v>-241.80391308799994</v>
      </c>
      <c r="P136" s="242">
        <v>165.68663136000032</v>
      </c>
      <c r="Q136" s="242">
        <v>-137.98326172799966</v>
      </c>
      <c r="R136" s="242">
        <v>-471.28289580800038</v>
      </c>
      <c r="S136" s="242">
        <v>-497.86296601599997</v>
      </c>
      <c r="T136" s="242">
        <v>-409.47610169599966</v>
      </c>
      <c r="U136" s="242">
        <v>-309.27344883200021</v>
      </c>
      <c r="V136" s="242">
        <v>882.35453945600011</v>
      </c>
      <c r="W136" s="242">
        <v>324.71652575999997</v>
      </c>
      <c r="X136" s="242">
        <v>845.09400633599989</v>
      </c>
      <c r="Y136" s="242">
        <v>201.1566804544002</v>
      </c>
      <c r="Z136" s="242">
        <v>112.00030649600012</v>
      </c>
      <c r="AA136" s="242">
        <v>-46.100717184000132</v>
      </c>
      <c r="AB136" s="242">
        <v>486.22814374399968</v>
      </c>
      <c r="AC136" s="242">
        <v>2.5396859520001271</v>
      </c>
      <c r="AD136" s="242">
        <v>-6.9126458880000428</v>
      </c>
      <c r="AE136" s="242">
        <v>-34.755253376000155</v>
      </c>
      <c r="AF136" s="242">
        <v>200.93077785600008</v>
      </c>
      <c r="AG136" s="242">
        <v>291.95264838399999</v>
      </c>
      <c r="AH136" s="242">
        <v>246.50522335999995</v>
      </c>
      <c r="AI136" s="242">
        <v>242.55632601600018</v>
      </c>
      <c r="AJ136" s="242">
        <v>116.61409305600046</v>
      </c>
      <c r="AK136" s="242">
        <v>148.8350450559999</v>
      </c>
      <c r="AL136" s="242">
        <v>-267.07852524800001</v>
      </c>
      <c r="AM136" s="242">
        <v>-238.41691308799977</v>
      </c>
      <c r="AN136" s="242">
        <v>170.7036313600006</v>
      </c>
      <c r="AO136" s="242">
        <v>-135.2272617279998</v>
      </c>
      <c r="AP136" s="242">
        <v>-466.38089580800033</v>
      </c>
      <c r="AQ136" s="242">
        <v>-495.06696601599992</v>
      </c>
      <c r="AR136" s="242">
        <v>-404.10810169599972</v>
      </c>
      <c r="AS136" s="242">
        <v>-306.2204488320001</v>
      </c>
      <c r="AT136" s="242">
        <v>889.41353945600031</v>
      </c>
      <c r="AU136" s="242">
        <v>328.57352575999994</v>
      </c>
      <c r="AV136" s="242">
        <v>735.09000633599999</v>
      </c>
      <c r="AW136" s="242">
        <v>321.5126804544002</v>
      </c>
      <c r="AX136" s="242">
        <v>206.78230649599982</v>
      </c>
      <c r="AY136" s="242">
        <v>-133.17071718400007</v>
      </c>
      <c r="BA136" s="80"/>
      <c r="BB136" s="80"/>
    </row>
    <row r="137" spans="2:54">
      <c r="B137" s="218">
        <v>12026</v>
      </c>
      <c r="C137" s="218" t="s">
        <v>139</v>
      </c>
      <c r="D137" s="242">
        <v>2949.9124121655968</v>
      </c>
      <c r="E137" s="242">
        <v>1765.2990115372995</v>
      </c>
      <c r="F137" s="242">
        <v>1326.5747425087975</v>
      </c>
      <c r="G137" s="242">
        <v>1230.769803302599</v>
      </c>
      <c r="H137" s="242">
        <v>3807.3085047994027</v>
      </c>
      <c r="I137" s="242">
        <v>3928.5469166015992</v>
      </c>
      <c r="J137" s="242">
        <v>4243.4332058889995</v>
      </c>
      <c r="K137" s="242">
        <v>3967.0930493333999</v>
      </c>
      <c r="L137" s="242">
        <v>4081.4853554434012</v>
      </c>
      <c r="M137" s="242">
        <v>3738.5460114114012</v>
      </c>
      <c r="N137" s="242">
        <v>1525.9403047197993</v>
      </c>
      <c r="O137" s="242">
        <v>1688.1371609788002</v>
      </c>
      <c r="P137" s="242">
        <v>2955.3302997765022</v>
      </c>
      <c r="Q137" s="242">
        <v>1545.0778267240512</v>
      </c>
      <c r="R137" s="242">
        <v>-4851.5174696992035</v>
      </c>
      <c r="S137" s="242">
        <v>-2998.3920962708999</v>
      </c>
      <c r="T137" s="242">
        <v>-7374.5486899403986</v>
      </c>
      <c r="U137" s="242">
        <v>-3660.8496835492988</v>
      </c>
      <c r="V137" s="242">
        <v>-4125.9459434855999</v>
      </c>
      <c r="W137" s="242">
        <v>-2450.5560919134987</v>
      </c>
      <c r="X137" s="242">
        <v>-3276.7829628111031</v>
      </c>
      <c r="Y137" s="242">
        <v>-2231.8879158726886</v>
      </c>
      <c r="Z137" s="242">
        <v>-1683.3182375396009</v>
      </c>
      <c r="AA137" s="242">
        <v>-808.46476772159986</v>
      </c>
      <c r="AB137" s="242">
        <v>3748.8354121655993</v>
      </c>
      <c r="AC137" s="242">
        <v>1198.3670115373006</v>
      </c>
      <c r="AD137" s="242">
        <v>1447.8347425087995</v>
      </c>
      <c r="AE137" s="242">
        <v>1311.3928033025986</v>
      </c>
      <c r="AF137" s="242">
        <v>3830.1305047993992</v>
      </c>
      <c r="AG137" s="242">
        <v>3944.6269166016009</v>
      </c>
      <c r="AH137" s="242">
        <v>4288.2822058890015</v>
      </c>
      <c r="AI137" s="242">
        <v>3996.8450493334003</v>
      </c>
      <c r="AJ137" s="242">
        <v>4537.5670677794005</v>
      </c>
      <c r="AK137" s="242">
        <v>4141.3283675793991</v>
      </c>
      <c r="AL137" s="242">
        <v>1637.7073047197991</v>
      </c>
      <c r="AM137" s="242">
        <v>1763.2991609788005</v>
      </c>
      <c r="AN137" s="242">
        <v>3073.5212997765011</v>
      </c>
      <c r="AO137" s="242">
        <v>1619.0028267240505</v>
      </c>
      <c r="AP137" s="242">
        <v>-4709.5604696992013</v>
      </c>
      <c r="AQ137" s="242">
        <v>-2905.5950962708994</v>
      </c>
      <c r="AR137" s="242">
        <v>-7232.9636899403995</v>
      </c>
      <c r="AS137" s="242">
        <v>-3570.4466835493004</v>
      </c>
      <c r="AT137" s="242">
        <v>-3984.5919434856005</v>
      </c>
      <c r="AU137" s="242">
        <v>-2364.6700919135001</v>
      </c>
      <c r="AV137" s="242">
        <v>-3650.0109628111022</v>
      </c>
      <c r="AW137" s="242">
        <v>-1633.3619158726888</v>
      </c>
      <c r="AX137" s="242">
        <v>-1001.6762375396011</v>
      </c>
      <c r="AY137" s="242">
        <v>-1263.3467677216013</v>
      </c>
      <c r="BA137" s="80"/>
      <c r="BB137" s="80"/>
    </row>
    <row r="138" spans="2:54">
      <c r="B138" s="218">
        <v>10298</v>
      </c>
      <c r="C138" s="218" t="s">
        <v>140</v>
      </c>
      <c r="D138" s="242">
        <v>13383.082986748806</v>
      </c>
      <c r="E138" s="242">
        <v>-667.68346755960374</v>
      </c>
      <c r="F138" s="242">
        <v>-8532.3873451775871</v>
      </c>
      <c r="G138" s="242">
        <v>-144.50677017518319</v>
      </c>
      <c r="H138" s="242">
        <v>38886.372010071238</v>
      </c>
      <c r="I138" s="242">
        <v>44285.2336176768</v>
      </c>
      <c r="J138" s="242">
        <v>29609.522127172037</v>
      </c>
      <c r="K138" s="242">
        <v>38824.256214703171</v>
      </c>
      <c r="L138" s="242">
        <v>21851.026962983247</v>
      </c>
      <c r="M138" s="242">
        <v>31735.792033447215</v>
      </c>
      <c r="N138" s="242">
        <v>-15167.420553549542</v>
      </c>
      <c r="O138" s="242">
        <v>-5958.7620236175717</v>
      </c>
      <c r="P138" s="242">
        <v>12914.345327522024</v>
      </c>
      <c r="Q138" s="242">
        <v>225.82822977940668</v>
      </c>
      <c r="R138" s="242">
        <v>-61374.51723516162</v>
      </c>
      <c r="S138" s="242">
        <v>-39531.118686453177</v>
      </c>
      <c r="T138" s="242">
        <v>-63530.617167339165</v>
      </c>
      <c r="U138" s="242">
        <v>-33315.866195016395</v>
      </c>
      <c r="V138" s="242">
        <v>1716.6428498912137</v>
      </c>
      <c r="W138" s="242">
        <v>5181.8176814019971</v>
      </c>
      <c r="X138" s="242">
        <v>5025.8189095171983</v>
      </c>
      <c r="Y138" s="242">
        <v>-1699.5338112341124</v>
      </c>
      <c r="Z138" s="242">
        <v>-7166.5260917007981</v>
      </c>
      <c r="AA138" s="242">
        <v>-5908.8160314367851</v>
      </c>
      <c r="AB138" s="242">
        <v>18459.861635931185</v>
      </c>
      <c r="AC138" s="242">
        <v>-6163.8682403753919</v>
      </c>
      <c r="AD138" s="242">
        <v>-8284.6683981824317</v>
      </c>
      <c r="AE138" s="242">
        <v>-256.53796229479485</v>
      </c>
      <c r="AF138" s="242">
        <v>39518.246375498828</v>
      </c>
      <c r="AG138" s="242">
        <v>44396.068090803252</v>
      </c>
      <c r="AH138" s="242">
        <v>30293.521103278035</v>
      </c>
      <c r="AI138" s="242">
        <v>39045.625813566818</v>
      </c>
      <c r="AJ138" s="242">
        <v>22394.887531458808</v>
      </c>
      <c r="AK138" s="242">
        <v>32238.384431058774</v>
      </c>
      <c r="AL138" s="242">
        <v>-14891.730615260371</v>
      </c>
      <c r="AM138" s="242">
        <v>-6067.1325162423891</v>
      </c>
      <c r="AN138" s="242">
        <v>12985.192397303006</v>
      </c>
      <c r="AO138" s="242">
        <v>5.6837536231032573</v>
      </c>
      <c r="AP138" s="242">
        <v>-61515.718310598371</v>
      </c>
      <c r="AQ138" s="242">
        <v>-39952.485688691784</v>
      </c>
      <c r="AR138" s="242">
        <v>-63525.981259280758</v>
      </c>
      <c r="AS138" s="242">
        <v>-33771.007785648602</v>
      </c>
      <c r="AT138" s="242">
        <v>1697.2422814288584</v>
      </c>
      <c r="AU138" s="242">
        <v>4734.5958989229985</v>
      </c>
      <c r="AV138" s="242">
        <v>298.6137435278215</v>
      </c>
      <c r="AW138" s="242">
        <v>2582.9012270396051</v>
      </c>
      <c r="AX138" s="242">
        <v>-2677.3703756791947</v>
      </c>
      <c r="AY138" s="242">
        <v>-10869.393113043188</v>
      </c>
      <c r="BA138" s="80"/>
      <c r="BB138" s="80"/>
    </row>
    <row r="139" spans="2:54">
      <c r="B139" s="24"/>
      <c r="C139" s="25"/>
      <c r="D139" s="26"/>
      <c r="E139" s="27"/>
      <c r="F139" s="26"/>
      <c r="G139" s="27"/>
      <c r="H139" s="26"/>
      <c r="I139" s="27"/>
      <c r="J139" s="26"/>
      <c r="K139" s="27"/>
      <c r="L139" s="26"/>
      <c r="M139" s="27"/>
      <c r="N139" s="26"/>
      <c r="O139" s="27"/>
      <c r="P139" s="26"/>
      <c r="Q139" s="27"/>
      <c r="R139" s="26"/>
      <c r="S139" s="27"/>
      <c r="T139" s="26"/>
      <c r="U139" s="27"/>
      <c r="V139" s="26"/>
      <c r="W139" s="27"/>
      <c r="X139" s="26"/>
      <c r="Y139" s="27"/>
      <c r="Z139" s="26"/>
      <c r="AA139" s="27"/>
      <c r="AB139" s="26"/>
      <c r="AC139" s="27"/>
      <c r="AD139" s="26"/>
      <c r="AE139" s="27"/>
      <c r="AF139" s="26"/>
      <c r="AG139" s="27"/>
      <c r="AH139" s="26"/>
      <c r="AI139" s="27"/>
      <c r="AJ139" s="26"/>
      <c r="AK139" s="27"/>
      <c r="AL139" s="26"/>
      <c r="AM139" s="27"/>
      <c r="AN139" s="26"/>
      <c r="AO139" s="27"/>
      <c r="AP139" s="26"/>
      <c r="AQ139" s="27"/>
      <c r="AR139" s="26"/>
      <c r="AS139" s="27"/>
      <c r="AT139" s="26"/>
      <c r="AU139" s="27"/>
      <c r="AV139" s="26"/>
      <c r="AW139" s="27"/>
      <c r="AX139" s="26"/>
      <c r="AY139" s="27"/>
    </row>
    <row r="140" spans="2:54">
      <c r="B140" s="24"/>
      <c r="C140" s="25"/>
      <c r="D140" s="26"/>
      <c r="E140" s="27"/>
      <c r="F140" s="26"/>
      <c r="G140" s="27"/>
      <c r="H140" s="26"/>
      <c r="I140" s="27"/>
      <c r="J140" s="26"/>
      <c r="K140" s="27"/>
      <c r="L140" s="26"/>
      <c r="M140" s="27"/>
      <c r="N140" s="26"/>
      <c r="O140" s="27"/>
      <c r="P140" s="26"/>
      <c r="Q140" s="27"/>
      <c r="R140" s="26"/>
      <c r="S140" s="27"/>
      <c r="T140" s="26"/>
      <c r="U140" s="27"/>
      <c r="V140" s="26"/>
      <c r="W140" s="27"/>
      <c r="X140" s="26"/>
      <c r="Y140" s="27"/>
      <c r="Z140" s="26"/>
      <c r="AA140" s="27"/>
      <c r="AB140" s="26"/>
      <c r="AC140" s="27"/>
      <c r="AD140" s="26"/>
      <c r="AE140" s="27"/>
      <c r="AF140" s="26"/>
      <c r="AG140" s="27"/>
      <c r="AH140" s="26"/>
      <c r="AI140" s="27"/>
      <c r="AJ140" s="26"/>
      <c r="AK140" s="27"/>
      <c r="AL140" s="26"/>
      <c r="AM140" s="27"/>
      <c r="AN140" s="26"/>
      <c r="AO140" s="27"/>
      <c r="AP140" s="26"/>
      <c r="AQ140" s="27"/>
      <c r="AR140" s="26"/>
      <c r="AS140" s="27"/>
      <c r="AT140" s="26"/>
      <c r="AU140" s="27"/>
      <c r="AV140" s="26"/>
      <c r="AW140" s="27"/>
      <c r="AX140" s="26"/>
      <c r="AY140" s="27"/>
    </row>
    <row r="141" spans="2:54">
      <c r="B141" s="24"/>
      <c r="C141" s="25"/>
      <c r="D141" s="26"/>
      <c r="E141" s="27"/>
      <c r="F141" s="26"/>
      <c r="G141" s="27"/>
      <c r="H141" s="26"/>
      <c r="I141" s="27"/>
      <c r="J141" s="26"/>
      <c r="K141" s="27"/>
      <c r="L141" s="26"/>
      <c r="M141" s="27"/>
      <c r="N141" s="26"/>
      <c r="O141" s="27"/>
      <c r="P141" s="26"/>
      <c r="Q141" s="27"/>
      <c r="R141" s="26"/>
      <c r="S141" s="27"/>
      <c r="T141" s="26"/>
      <c r="U141" s="27"/>
      <c r="V141" s="26"/>
      <c r="W141" s="27"/>
      <c r="X141" s="26"/>
      <c r="Y141" s="27"/>
      <c r="Z141" s="26"/>
      <c r="AA141" s="27"/>
      <c r="AB141" s="26"/>
      <c r="AC141" s="27"/>
      <c r="AD141" s="26"/>
      <c r="AE141" s="27"/>
      <c r="AF141" s="26"/>
      <c r="AG141" s="27"/>
      <c r="AH141" s="26"/>
      <c r="AI141" s="27"/>
      <c r="AJ141" s="26"/>
      <c r="AK141" s="27"/>
      <c r="AL141" s="26"/>
      <c r="AM141" s="27"/>
      <c r="AN141" s="26"/>
      <c r="AO141" s="27"/>
      <c r="AP141" s="26"/>
      <c r="AQ141" s="27"/>
      <c r="AR141" s="26"/>
      <c r="AS141" s="27"/>
      <c r="AT141" s="26"/>
      <c r="AU141" s="27"/>
      <c r="AV141" s="26"/>
      <c r="AW141" s="27"/>
      <c r="AX141" s="26"/>
      <c r="AY141" s="27"/>
    </row>
    <row r="142" spans="2:54">
      <c r="B142" s="24"/>
      <c r="C142" s="25"/>
      <c r="D142" s="26"/>
      <c r="E142" s="27"/>
      <c r="F142" s="26"/>
      <c r="G142" s="27"/>
      <c r="H142" s="26"/>
      <c r="I142" s="27"/>
      <c r="J142" s="26"/>
      <c r="K142" s="27"/>
      <c r="L142" s="26"/>
      <c r="M142" s="27"/>
      <c r="N142" s="26"/>
      <c r="O142" s="27"/>
      <c r="P142" s="26"/>
      <c r="Q142" s="27"/>
      <c r="R142" s="26"/>
      <c r="S142" s="27"/>
      <c r="T142" s="26"/>
      <c r="U142" s="27"/>
      <c r="V142" s="26"/>
      <c r="W142" s="27"/>
      <c r="X142" s="26"/>
      <c r="Y142" s="27"/>
      <c r="Z142" s="26"/>
      <c r="AA142" s="27"/>
      <c r="AB142" s="26"/>
      <c r="AC142" s="27"/>
      <c r="AD142" s="26"/>
      <c r="AE142" s="27"/>
      <c r="AF142" s="26"/>
      <c r="AG142" s="27"/>
      <c r="AH142" s="26"/>
      <c r="AI142" s="27"/>
      <c r="AJ142" s="26"/>
      <c r="AK142" s="27"/>
      <c r="AL142" s="26"/>
      <c r="AM142" s="27"/>
      <c r="AN142" s="26"/>
      <c r="AO142" s="27"/>
      <c r="AP142" s="26"/>
      <c r="AQ142" s="27"/>
      <c r="AR142" s="26"/>
      <c r="AS142" s="27"/>
      <c r="AT142" s="26"/>
      <c r="AU142" s="27"/>
      <c r="AV142" s="26"/>
      <c r="AW142" s="27"/>
      <c r="AX142" s="26"/>
      <c r="AY142" s="27"/>
    </row>
    <row r="143" spans="2:54">
      <c r="B143" s="24"/>
      <c r="C143" s="25"/>
      <c r="D143" s="26"/>
      <c r="E143" s="27"/>
      <c r="F143" s="26"/>
      <c r="G143" s="27"/>
      <c r="H143" s="26"/>
      <c r="I143" s="27"/>
      <c r="J143" s="26"/>
      <c r="K143" s="27"/>
      <c r="L143" s="26"/>
      <c r="M143" s="27"/>
      <c r="N143" s="26"/>
      <c r="O143" s="27"/>
      <c r="P143" s="26"/>
      <c r="Q143" s="27"/>
      <c r="R143" s="26"/>
      <c r="S143" s="27"/>
      <c r="T143" s="26"/>
      <c r="U143" s="27"/>
      <c r="V143" s="26"/>
      <c r="W143" s="27"/>
      <c r="X143" s="26"/>
      <c r="Y143" s="27"/>
      <c r="Z143" s="26"/>
      <c r="AA143" s="27"/>
      <c r="AB143" s="26"/>
      <c r="AC143" s="27"/>
      <c r="AD143" s="26"/>
      <c r="AE143" s="27"/>
      <c r="AF143" s="26"/>
      <c r="AG143" s="27"/>
      <c r="AH143" s="26"/>
      <c r="AI143" s="27"/>
      <c r="AJ143" s="26"/>
      <c r="AK143" s="27"/>
      <c r="AL143" s="26"/>
      <c r="AM143" s="27"/>
      <c r="AN143" s="26"/>
      <c r="AO143" s="27"/>
      <c r="AP143" s="26"/>
      <c r="AQ143" s="27"/>
      <c r="AR143" s="26"/>
      <c r="AS143" s="27"/>
      <c r="AT143" s="26"/>
      <c r="AU143" s="27"/>
      <c r="AV143" s="26"/>
      <c r="AW143" s="27"/>
      <c r="AX143" s="26"/>
      <c r="AY143" s="27"/>
    </row>
    <row r="144" spans="2:54">
      <c r="B144" s="24"/>
      <c r="C144" s="25"/>
      <c r="D144" s="26"/>
      <c r="E144" s="27"/>
      <c r="F144" s="26"/>
      <c r="G144" s="27"/>
      <c r="H144" s="26"/>
      <c r="I144" s="27"/>
      <c r="J144" s="26"/>
      <c r="K144" s="27"/>
      <c r="L144" s="26"/>
      <c r="M144" s="27"/>
      <c r="N144" s="26"/>
      <c r="O144" s="27"/>
      <c r="P144" s="26"/>
      <c r="Q144" s="27"/>
      <c r="R144" s="26"/>
      <c r="S144" s="27"/>
      <c r="T144" s="26"/>
      <c r="U144" s="27"/>
      <c r="V144" s="26"/>
      <c r="W144" s="27"/>
      <c r="X144" s="26"/>
      <c r="Y144" s="27"/>
      <c r="Z144" s="26"/>
      <c r="AA144" s="27"/>
      <c r="AB144" s="26"/>
      <c r="AC144" s="27"/>
      <c r="AD144" s="26"/>
      <c r="AE144" s="27"/>
      <c r="AF144" s="26"/>
      <c r="AG144" s="27"/>
      <c r="AH144" s="26"/>
      <c r="AI144" s="27"/>
      <c r="AJ144" s="26"/>
      <c r="AK144" s="27"/>
      <c r="AL144" s="26"/>
      <c r="AM144" s="27"/>
      <c r="AN144" s="26"/>
      <c r="AO144" s="27"/>
      <c r="AP144" s="26"/>
      <c r="AQ144" s="27"/>
      <c r="AR144" s="26"/>
      <c r="AS144" s="27"/>
      <c r="AT144" s="26"/>
      <c r="AU144" s="27"/>
      <c r="AV144" s="26"/>
      <c r="AW144" s="27"/>
      <c r="AX144" s="26"/>
      <c r="AY144" s="27"/>
    </row>
    <row r="145" spans="2:51">
      <c r="B145" s="24"/>
      <c r="C145" s="25"/>
      <c r="D145" s="26"/>
      <c r="E145" s="27"/>
      <c r="F145" s="26"/>
      <c r="G145" s="27"/>
      <c r="H145" s="26"/>
      <c r="I145" s="27"/>
      <c r="J145" s="26"/>
      <c r="K145" s="27"/>
      <c r="L145" s="26"/>
      <c r="M145" s="27"/>
      <c r="N145" s="26"/>
      <c r="O145" s="27"/>
      <c r="P145" s="26"/>
      <c r="Q145" s="27"/>
      <c r="R145" s="26"/>
      <c r="S145" s="27"/>
      <c r="T145" s="26"/>
      <c r="U145" s="27"/>
      <c r="V145" s="26"/>
      <c r="W145" s="27"/>
      <c r="X145" s="26"/>
      <c r="Y145" s="27"/>
      <c r="Z145" s="26"/>
      <c r="AA145" s="27"/>
      <c r="AB145" s="26"/>
      <c r="AC145" s="27"/>
      <c r="AD145" s="26"/>
      <c r="AE145" s="27"/>
      <c r="AF145" s="26"/>
      <c r="AG145" s="27"/>
      <c r="AH145" s="26"/>
      <c r="AI145" s="27"/>
      <c r="AJ145" s="26"/>
      <c r="AK145" s="27"/>
      <c r="AL145" s="26"/>
      <c r="AM145" s="27"/>
      <c r="AN145" s="26"/>
      <c r="AO145" s="27"/>
      <c r="AP145" s="26"/>
      <c r="AQ145" s="27"/>
      <c r="AR145" s="26"/>
      <c r="AS145" s="27"/>
      <c r="AT145" s="26"/>
      <c r="AU145" s="27"/>
      <c r="AV145" s="26"/>
      <c r="AW145" s="27"/>
      <c r="AX145" s="26"/>
      <c r="AY145" s="27"/>
    </row>
    <row r="146" spans="2:51">
      <c r="B146" s="24"/>
      <c r="C146" s="25"/>
      <c r="D146" s="26"/>
      <c r="E146" s="27"/>
      <c r="F146" s="26"/>
      <c r="G146" s="27"/>
      <c r="H146" s="26"/>
      <c r="I146" s="27"/>
      <c r="J146" s="26"/>
      <c r="K146" s="27"/>
      <c r="L146" s="26"/>
      <c r="M146" s="27"/>
      <c r="N146" s="26"/>
      <c r="O146" s="27"/>
      <c r="P146" s="26"/>
      <c r="Q146" s="27"/>
      <c r="R146" s="26"/>
      <c r="S146" s="27"/>
      <c r="T146" s="26"/>
      <c r="U146" s="27"/>
      <c r="V146" s="26"/>
      <c r="W146" s="27"/>
      <c r="X146" s="26"/>
      <c r="Y146" s="27"/>
      <c r="Z146" s="26"/>
      <c r="AA146" s="27"/>
      <c r="AB146" s="26"/>
      <c r="AC146" s="27"/>
      <c r="AD146" s="26"/>
      <c r="AE146" s="27"/>
      <c r="AF146" s="26"/>
      <c r="AG146" s="27"/>
      <c r="AH146" s="26"/>
      <c r="AI146" s="27"/>
      <c r="AJ146" s="26"/>
      <c r="AK146" s="27"/>
      <c r="AL146" s="26"/>
      <c r="AM146" s="27"/>
      <c r="AN146" s="26"/>
      <c r="AO146" s="27"/>
      <c r="AP146" s="26"/>
      <c r="AQ146" s="27"/>
      <c r="AR146" s="26"/>
      <c r="AS146" s="27"/>
      <c r="AT146" s="26"/>
      <c r="AU146" s="27"/>
      <c r="AV146" s="26"/>
      <c r="AW146" s="27"/>
      <c r="AX146" s="26"/>
      <c r="AY146" s="27"/>
    </row>
    <row r="147" spans="2:51">
      <c r="B147" s="24"/>
      <c r="C147" s="25"/>
      <c r="D147" s="26"/>
      <c r="E147" s="27"/>
      <c r="F147" s="26"/>
      <c r="G147" s="27"/>
      <c r="H147" s="26"/>
      <c r="I147" s="27"/>
      <c r="J147" s="26"/>
      <c r="K147" s="27"/>
      <c r="L147" s="26"/>
      <c r="M147" s="27"/>
      <c r="N147" s="26"/>
      <c r="O147" s="27"/>
      <c r="P147" s="26"/>
      <c r="Q147" s="27"/>
      <c r="R147" s="26"/>
      <c r="S147" s="27"/>
      <c r="T147" s="26"/>
      <c r="U147" s="27"/>
      <c r="V147" s="26"/>
      <c r="W147" s="27"/>
      <c r="X147" s="26"/>
      <c r="Y147" s="27"/>
      <c r="Z147" s="26"/>
      <c r="AA147" s="27"/>
      <c r="AB147" s="26"/>
      <c r="AC147" s="27"/>
      <c r="AD147" s="26"/>
      <c r="AE147" s="27"/>
      <c r="AF147" s="26"/>
      <c r="AG147" s="27"/>
      <c r="AH147" s="26"/>
      <c r="AI147" s="27"/>
      <c r="AJ147" s="26"/>
      <c r="AK147" s="27"/>
      <c r="AL147" s="26"/>
      <c r="AM147" s="27"/>
      <c r="AN147" s="26"/>
      <c r="AO147" s="27"/>
      <c r="AP147" s="26"/>
      <c r="AQ147" s="27"/>
      <c r="AR147" s="26"/>
      <c r="AS147" s="27"/>
      <c r="AT147" s="26"/>
      <c r="AU147" s="27"/>
      <c r="AV147" s="26"/>
      <c r="AW147" s="27"/>
      <c r="AX147" s="26"/>
      <c r="AY147" s="27"/>
    </row>
    <row r="148" spans="2:51" s="161" customFormat="1">
      <c r="B148" s="143">
        <v>1</v>
      </c>
      <c r="C148" s="144">
        <v>2</v>
      </c>
      <c r="D148" s="145">
        <v>3</v>
      </c>
      <c r="E148" s="146">
        <v>4</v>
      </c>
      <c r="F148" s="145">
        <v>5</v>
      </c>
      <c r="G148" s="146">
        <v>6</v>
      </c>
      <c r="H148" s="145">
        <v>7</v>
      </c>
      <c r="I148" s="146">
        <v>8</v>
      </c>
      <c r="J148" s="145">
        <v>9</v>
      </c>
      <c r="K148" s="146">
        <v>10</v>
      </c>
      <c r="L148" s="145">
        <v>11</v>
      </c>
      <c r="M148" s="146">
        <v>12</v>
      </c>
      <c r="N148" s="145">
        <v>13</v>
      </c>
      <c r="O148" s="146">
        <v>14</v>
      </c>
      <c r="P148" s="145">
        <v>15</v>
      </c>
      <c r="Q148" s="146">
        <v>16</v>
      </c>
      <c r="R148" s="145">
        <v>17</v>
      </c>
      <c r="S148" s="146">
        <v>18</v>
      </c>
      <c r="T148" s="145">
        <v>19</v>
      </c>
      <c r="U148" s="146">
        <v>20</v>
      </c>
      <c r="V148" s="145">
        <v>21</v>
      </c>
      <c r="W148" s="146">
        <v>22</v>
      </c>
      <c r="X148" s="145">
        <v>23</v>
      </c>
      <c r="Y148" s="146">
        <v>24</v>
      </c>
      <c r="Z148" s="145">
        <v>25</v>
      </c>
      <c r="AA148" s="146">
        <v>26</v>
      </c>
      <c r="AB148" s="145">
        <v>27</v>
      </c>
      <c r="AC148" s="146">
        <v>28</v>
      </c>
      <c r="AD148" s="145">
        <v>29</v>
      </c>
      <c r="AE148" s="146">
        <v>30</v>
      </c>
      <c r="AF148" s="145">
        <v>31</v>
      </c>
      <c r="AG148" s="146">
        <v>32</v>
      </c>
      <c r="AH148" s="145">
        <v>33</v>
      </c>
      <c r="AI148" s="146">
        <v>34</v>
      </c>
      <c r="AJ148" s="145">
        <v>35</v>
      </c>
      <c r="AK148" s="146">
        <v>36</v>
      </c>
      <c r="AL148" s="145">
        <v>37</v>
      </c>
      <c r="AM148" s="146">
        <v>38</v>
      </c>
      <c r="AN148" s="145">
        <v>39</v>
      </c>
      <c r="AO148" s="146">
        <v>40</v>
      </c>
      <c r="AP148" s="145">
        <v>41</v>
      </c>
      <c r="AQ148" s="146">
        <v>42</v>
      </c>
      <c r="AR148" s="145">
        <v>43</v>
      </c>
      <c r="AS148" s="146">
        <v>44</v>
      </c>
      <c r="AT148" s="145">
        <v>45</v>
      </c>
      <c r="AU148" s="146">
        <v>46</v>
      </c>
      <c r="AV148" s="145">
        <v>47</v>
      </c>
      <c r="AW148" s="146">
        <v>48</v>
      </c>
      <c r="AX148" s="145">
        <v>49</v>
      </c>
      <c r="AY148" s="146">
        <v>50</v>
      </c>
    </row>
    <row r="149" spans="2:51">
      <c r="B149" s="24"/>
      <c r="C149" s="25"/>
      <c r="D149" s="26"/>
      <c r="E149" s="27"/>
      <c r="F149" s="26"/>
      <c r="G149" s="27"/>
      <c r="H149" s="26"/>
      <c r="I149" s="27"/>
      <c r="J149" s="26"/>
      <c r="K149" s="27"/>
      <c r="L149" s="26"/>
      <c r="M149" s="27"/>
      <c r="N149" s="26"/>
      <c r="O149" s="27"/>
      <c r="P149" s="26"/>
      <c r="Q149" s="27"/>
      <c r="R149" s="26"/>
      <c r="S149" s="27"/>
      <c r="T149" s="26"/>
      <c r="U149" s="27"/>
      <c r="V149" s="26"/>
      <c r="W149" s="27"/>
      <c r="X149" s="26"/>
      <c r="Y149" s="27"/>
      <c r="Z149" s="26"/>
      <c r="AA149" s="27"/>
      <c r="AB149" s="26"/>
      <c r="AC149" s="27"/>
      <c r="AD149" s="26"/>
      <c r="AE149" s="27"/>
      <c r="AF149" s="26"/>
      <c r="AG149" s="27"/>
      <c r="AH149" s="26"/>
      <c r="AI149" s="27"/>
      <c r="AJ149" s="26"/>
      <c r="AK149" s="27"/>
      <c r="AL149" s="26"/>
      <c r="AM149" s="27"/>
      <c r="AN149" s="26"/>
      <c r="AO149" s="27"/>
      <c r="AP149" s="26"/>
      <c r="AQ149" s="27"/>
      <c r="AR149" s="26"/>
      <c r="AS149" s="27"/>
      <c r="AT149" s="26"/>
      <c r="AU149" s="27"/>
      <c r="AV149" s="26"/>
      <c r="AW149" s="27"/>
      <c r="AX149" s="26"/>
      <c r="AY149" s="27"/>
    </row>
    <row r="150" spans="2:51">
      <c r="B150" s="24"/>
      <c r="C150" s="25"/>
      <c r="D150" s="26"/>
      <c r="E150" s="27"/>
      <c r="F150" s="26"/>
      <c r="G150" s="27"/>
      <c r="H150" s="26"/>
      <c r="I150" s="27"/>
      <c r="J150" s="26"/>
      <c r="K150" s="27"/>
      <c r="L150" s="26"/>
      <c r="M150" s="27"/>
      <c r="N150" s="26"/>
      <c r="O150" s="27"/>
      <c r="P150" s="26"/>
      <c r="Q150" s="27"/>
      <c r="R150" s="26"/>
      <c r="S150" s="27"/>
      <c r="T150" s="26"/>
      <c r="U150" s="27"/>
      <c r="V150" s="26"/>
      <c r="W150" s="27"/>
      <c r="X150" s="26"/>
      <c r="Y150" s="27"/>
      <c r="Z150" s="26"/>
      <c r="AA150" s="27"/>
      <c r="AB150" s="26"/>
      <c r="AC150" s="27"/>
      <c r="AD150" s="26"/>
      <c r="AE150" s="27"/>
      <c r="AF150" s="26"/>
      <c r="AG150" s="27"/>
      <c r="AH150" s="26"/>
      <c r="AI150" s="27"/>
      <c r="AJ150" s="26"/>
      <c r="AK150" s="27"/>
      <c r="AL150" s="26"/>
      <c r="AM150" s="27"/>
      <c r="AN150" s="26"/>
      <c r="AO150" s="27"/>
      <c r="AP150" s="26"/>
      <c r="AQ150" s="27"/>
      <c r="AR150" s="26"/>
      <c r="AS150" s="27"/>
      <c r="AT150" s="26"/>
      <c r="AU150" s="27"/>
      <c r="AV150" s="26"/>
      <c r="AW150" s="27"/>
      <c r="AX150" s="26"/>
      <c r="AY150" s="27"/>
    </row>
    <row r="151" spans="2:51">
      <c r="B151" s="24"/>
      <c r="C151" s="25"/>
      <c r="D151" s="26"/>
      <c r="E151" s="27"/>
      <c r="F151" s="26"/>
      <c r="G151" s="27"/>
      <c r="H151" s="26"/>
      <c r="I151" s="27"/>
      <c r="J151" s="26"/>
      <c r="K151" s="27"/>
      <c r="L151" s="26"/>
      <c r="M151" s="27"/>
      <c r="N151" s="26"/>
      <c r="O151" s="27"/>
      <c r="P151" s="26"/>
      <c r="Q151" s="27"/>
      <c r="R151" s="26"/>
      <c r="S151" s="27"/>
      <c r="T151" s="26"/>
      <c r="U151" s="27"/>
      <c r="V151" s="26"/>
      <c r="W151" s="27"/>
      <c r="X151" s="26"/>
      <c r="Y151" s="27"/>
      <c r="Z151" s="26"/>
      <c r="AA151" s="27"/>
      <c r="AB151" s="26"/>
      <c r="AC151" s="27"/>
      <c r="AD151" s="26"/>
      <c r="AE151" s="27"/>
      <c r="AF151" s="26"/>
      <c r="AG151" s="27"/>
      <c r="AH151" s="26"/>
      <c r="AI151" s="27"/>
      <c r="AJ151" s="26"/>
      <c r="AK151" s="27"/>
      <c r="AL151" s="26"/>
      <c r="AM151" s="27"/>
      <c r="AN151" s="26"/>
      <c r="AO151" s="27"/>
      <c r="AP151" s="26"/>
      <c r="AQ151" s="27"/>
      <c r="AR151" s="26"/>
      <c r="AS151" s="27"/>
      <c r="AT151" s="26"/>
      <c r="AU151" s="27"/>
      <c r="AV151" s="26"/>
      <c r="AW151" s="27"/>
      <c r="AX151" s="26"/>
      <c r="AY151" s="27"/>
    </row>
    <row r="152" spans="2:51">
      <c r="B152" s="24"/>
      <c r="C152" s="25"/>
      <c r="D152" s="26"/>
      <c r="E152" s="27"/>
      <c r="F152" s="26"/>
      <c r="G152" s="27"/>
      <c r="H152" s="26"/>
      <c r="I152" s="27"/>
      <c r="J152" s="26"/>
      <c r="K152" s="27"/>
      <c r="L152" s="26"/>
      <c r="M152" s="27"/>
      <c r="N152" s="26"/>
      <c r="O152" s="27"/>
      <c r="P152" s="26"/>
      <c r="Q152" s="27"/>
      <c r="R152" s="26"/>
      <c r="S152" s="27"/>
      <c r="T152" s="26"/>
      <c r="U152" s="27"/>
      <c r="V152" s="26"/>
      <c r="W152" s="27"/>
      <c r="X152" s="26"/>
      <c r="Y152" s="27"/>
      <c r="Z152" s="26"/>
      <c r="AA152" s="27"/>
      <c r="AB152" s="26"/>
      <c r="AC152" s="27"/>
      <c r="AD152" s="26"/>
      <c r="AE152" s="27"/>
      <c r="AF152" s="26"/>
      <c r="AG152" s="27"/>
      <c r="AH152" s="26"/>
      <c r="AI152" s="27"/>
      <c r="AJ152" s="26"/>
      <c r="AK152" s="27"/>
      <c r="AL152" s="26"/>
      <c r="AM152" s="27"/>
      <c r="AN152" s="26"/>
      <c r="AO152" s="27"/>
      <c r="AP152" s="26"/>
      <c r="AQ152" s="27"/>
      <c r="AR152" s="26"/>
      <c r="AS152" s="27"/>
      <c r="AT152" s="26"/>
      <c r="AU152" s="27"/>
      <c r="AV152" s="26"/>
      <c r="AW152" s="27"/>
      <c r="AX152" s="26"/>
      <c r="AY152" s="27"/>
    </row>
    <row r="153" spans="2:51">
      <c r="B153" s="24"/>
      <c r="C153" s="25"/>
      <c r="D153" s="26"/>
      <c r="E153" s="27"/>
      <c r="F153" s="26"/>
      <c r="G153" s="27"/>
      <c r="H153" s="26"/>
      <c r="I153" s="27"/>
      <c r="J153" s="26"/>
      <c r="K153" s="27"/>
      <c r="L153" s="26"/>
      <c r="M153" s="27"/>
      <c r="N153" s="26"/>
      <c r="O153" s="27"/>
      <c r="P153" s="26"/>
      <c r="Q153" s="27"/>
      <c r="R153" s="26"/>
      <c r="S153" s="27"/>
      <c r="T153" s="26"/>
      <c r="U153" s="27"/>
      <c r="V153" s="26"/>
      <c r="W153" s="27"/>
      <c r="X153" s="26"/>
      <c r="Y153" s="27"/>
      <c r="Z153" s="26"/>
      <c r="AA153" s="27"/>
      <c r="AB153" s="26"/>
      <c r="AC153" s="27"/>
      <c r="AD153" s="26"/>
      <c r="AE153" s="27"/>
      <c r="AF153" s="26"/>
      <c r="AG153" s="27"/>
      <c r="AH153" s="26"/>
      <c r="AI153" s="27"/>
      <c r="AJ153" s="26"/>
      <c r="AK153" s="27"/>
      <c r="AL153" s="26"/>
      <c r="AM153" s="27"/>
      <c r="AN153" s="26"/>
      <c r="AO153" s="27"/>
      <c r="AP153" s="26"/>
      <c r="AQ153" s="27"/>
      <c r="AR153" s="26"/>
      <c r="AS153" s="27"/>
      <c r="AT153" s="26"/>
      <c r="AU153" s="27"/>
      <c r="AV153" s="26"/>
      <c r="AW153" s="27"/>
      <c r="AX153" s="26"/>
      <c r="AY153" s="27"/>
    </row>
    <row r="154" spans="2:51">
      <c r="B154" s="24"/>
      <c r="C154" s="25"/>
      <c r="D154" s="26"/>
      <c r="E154" s="27"/>
      <c r="F154" s="26"/>
      <c r="G154" s="27"/>
      <c r="H154" s="26"/>
      <c r="I154" s="27"/>
      <c r="J154" s="26"/>
      <c r="K154" s="27"/>
      <c r="L154" s="26"/>
      <c r="M154" s="27"/>
      <c r="N154" s="26"/>
      <c r="O154" s="27"/>
      <c r="P154" s="26"/>
      <c r="Q154" s="27"/>
      <c r="R154" s="26"/>
      <c r="S154" s="27"/>
      <c r="T154" s="26"/>
      <c r="U154" s="27"/>
      <c r="V154" s="26"/>
      <c r="W154" s="27"/>
      <c r="X154" s="26"/>
      <c r="Y154" s="27"/>
      <c r="Z154" s="26"/>
      <c r="AA154" s="27"/>
      <c r="AB154" s="26"/>
      <c r="AC154" s="27"/>
      <c r="AD154" s="26"/>
      <c r="AE154" s="27"/>
      <c r="AF154" s="26"/>
      <c r="AG154" s="27"/>
      <c r="AH154" s="26"/>
      <c r="AI154" s="27"/>
      <c r="AJ154" s="26"/>
      <c r="AK154" s="27"/>
      <c r="AL154" s="26"/>
      <c r="AM154" s="27"/>
      <c r="AN154" s="26"/>
      <c r="AO154" s="27"/>
      <c r="AP154" s="26"/>
      <c r="AQ154" s="27"/>
      <c r="AR154" s="26"/>
      <c r="AS154" s="27"/>
      <c r="AT154" s="26"/>
      <c r="AU154" s="27"/>
      <c r="AV154" s="26"/>
      <c r="AW154" s="27"/>
      <c r="AX154" s="26"/>
      <c r="AY154" s="27"/>
    </row>
    <row r="155" spans="2:51">
      <c r="B155" s="24"/>
      <c r="C155" s="25"/>
      <c r="D155" s="26"/>
      <c r="E155" s="27"/>
      <c r="F155" s="26"/>
      <c r="G155" s="27"/>
      <c r="H155" s="26"/>
      <c r="I155" s="27"/>
      <c r="J155" s="26"/>
      <c r="K155" s="27"/>
      <c r="L155" s="26"/>
      <c r="M155" s="27"/>
      <c r="N155" s="26"/>
      <c r="O155" s="27"/>
      <c r="P155" s="26"/>
      <c r="Q155" s="27"/>
      <c r="R155" s="26"/>
      <c r="S155" s="27"/>
      <c r="T155" s="26"/>
      <c r="U155" s="27"/>
      <c r="V155" s="26"/>
      <c r="W155" s="27"/>
      <c r="X155" s="26"/>
      <c r="Y155" s="27"/>
      <c r="Z155" s="26"/>
      <c r="AA155" s="27"/>
      <c r="AB155" s="26"/>
      <c r="AC155" s="27"/>
      <c r="AD155" s="26"/>
      <c r="AE155" s="27"/>
      <c r="AF155" s="26"/>
      <c r="AG155" s="27"/>
      <c r="AH155" s="26"/>
      <c r="AI155" s="27"/>
      <c r="AJ155" s="26"/>
      <c r="AK155" s="27"/>
      <c r="AL155" s="26"/>
      <c r="AM155" s="27"/>
      <c r="AN155" s="26"/>
      <c r="AO155" s="27"/>
      <c r="AP155" s="26"/>
      <c r="AQ155" s="27"/>
      <c r="AR155" s="26"/>
      <c r="AS155" s="27"/>
      <c r="AT155" s="26"/>
      <c r="AU155" s="27"/>
      <c r="AV155" s="26"/>
      <c r="AW155" s="27"/>
      <c r="AX155" s="26"/>
      <c r="AY155" s="27"/>
    </row>
    <row r="156" spans="2:51">
      <c r="B156" s="24"/>
      <c r="C156" s="25"/>
      <c r="D156" s="26"/>
      <c r="E156" s="27"/>
      <c r="F156" s="26"/>
      <c r="G156" s="27"/>
      <c r="H156" s="26"/>
      <c r="I156" s="27"/>
      <c r="J156" s="26"/>
      <c r="K156" s="27"/>
      <c r="L156" s="26"/>
      <c r="M156" s="27"/>
      <c r="N156" s="26"/>
      <c r="O156" s="27"/>
      <c r="P156" s="26"/>
      <c r="Q156" s="27"/>
      <c r="R156" s="26"/>
      <c r="S156" s="27"/>
      <c r="T156" s="26"/>
      <c r="U156" s="27"/>
      <c r="V156" s="26"/>
      <c r="W156" s="27"/>
      <c r="X156" s="26"/>
      <c r="Y156" s="27"/>
      <c r="Z156" s="26"/>
      <c r="AA156" s="27"/>
      <c r="AB156" s="26"/>
      <c r="AC156" s="27"/>
      <c r="AD156" s="26"/>
      <c r="AE156" s="27"/>
      <c r="AF156" s="26"/>
      <c r="AG156" s="27"/>
      <c r="AH156" s="26"/>
      <c r="AI156" s="27"/>
      <c r="AJ156" s="26"/>
      <c r="AK156" s="27"/>
      <c r="AL156" s="26"/>
      <c r="AM156" s="27"/>
      <c r="AN156" s="26"/>
      <c r="AO156" s="27"/>
      <c r="AP156" s="26"/>
      <c r="AQ156" s="27"/>
      <c r="AR156" s="26"/>
      <c r="AS156" s="27"/>
      <c r="AT156" s="26"/>
      <c r="AU156" s="27"/>
      <c r="AV156" s="26"/>
      <c r="AW156" s="27"/>
      <c r="AX156" s="26"/>
      <c r="AY156" s="27"/>
    </row>
    <row r="157" spans="2:51">
      <c r="B157" s="24"/>
      <c r="C157" s="25"/>
      <c r="D157" s="26"/>
      <c r="E157" s="27"/>
      <c r="F157" s="26"/>
      <c r="G157" s="27"/>
      <c r="H157" s="26"/>
      <c r="I157" s="27"/>
      <c r="J157" s="26"/>
      <c r="K157" s="27"/>
      <c r="L157" s="26"/>
      <c r="M157" s="27"/>
      <c r="N157" s="26"/>
      <c r="O157" s="27"/>
      <c r="P157" s="26"/>
      <c r="Q157" s="27"/>
      <c r="R157" s="26"/>
      <c r="S157" s="27"/>
      <c r="T157" s="26"/>
      <c r="U157" s="27"/>
      <c r="V157" s="26"/>
      <c r="W157" s="27"/>
      <c r="X157" s="26"/>
      <c r="Y157" s="27"/>
      <c r="Z157" s="26"/>
      <c r="AA157" s="27"/>
      <c r="AB157" s="26"/>
      <c r="AC157" s="27"/>
      <c r="AD157" s="26"/>
      <c r="AE157" s="27"/>
      <c r="AF157" s="26"/>
      <c r="AG157" s="27"/>
      <c r="AH157" s="26"/>
      <c r="AI157" s="27"/>
      <c r="AJ157" s="26"/>
      <c r="AK157" s="27"/>
      <c r="AL157" s="26"/>
      <c r="AM157" s="27"/>
      <c r="AN157" s="26"/>
      <c r="AO157" s="27"/>
      <c r="AP157" s="26"/>
      <c r="AQ157" s="27"/>
      <c r="AR157" s="26"/>
      <c r="AS157" s="27"/>
      <c r="AT157" s="26"/>
      <c r="AU157" s="27"/>
      <c r="AV157" s="26"/>
      <c r="AW157" s="27"/>
      <c r="AX157" s="26"/>
      <c r="AY157" s="27"/>
    </row>
    <row r="158" spans="2:51">
      <c r="B158" s="24"/>
      <c r="C158" s="25"/>
      <c r="D158" s="26"/>
      <c r="E158" s="27"/>
      <c r="F158" s="26"/>
      <c r="G158" s="27"/>
      <c r="H158" s="26"/>
      <c r="I158" s="27"/>
      <c r="J158" s="26"/>
      <c r="K158" s="27"/>
      <c r="L158" s="26"/>
      <c r="M158" s="27"/>
      <c r="N158" s="26"/>
      <c r="O158" s="27"/>
      <c r="P158" s="26"/>
      <c r="Q158" s="27"/>
      <c r="R158" s="26"/>
      <c r="S158" s="27"/>
      <c r="T158" s="26"/>
      <c r="U158" s="27"/>
      <c r="V158" s="26"/>
      <c r="W158" s="27"/>
      <c r="X158" s="26"/>
      <c r="Y158" s="27"/>
      <c r="Z158" s="26"/>
      <c r="AA158" s="27"/>
      <c r="AB158" s="26"/>
      <c r="AC158" s="27"/>
      <c r="AD158" s="26"/>
      <c r="AE158" s="27"/>
      <c r="AF158" s="26"/>
      <c r="AG158" s="27"/>
      <c r="AH158" s="26"/>
      <c r="AI158" s="27"/>
      <c r="AJ158" s="26"/>
      <c r="AK158" s="27"/>
      <c r="AL158" s="26"/>
      <c r="AM158" s="27"/>
      <c r="AN158" s="26"/>
      <c r="AO158" s="27"/>
      <c r="AP158" s="26"/>
      <c r="AQ158" s="27"/>
      <c r="AR158" s="26"/>
      <c r="AS158" s="27"/>
      <c r="AT158" s="26"/>
      <c r="AU158" s="27"/>
      <c r="AV158" s="26"/>
      <c r="AW158" s="27"/>
      <c r="AX158" s="26"/>
      <c r="AY158" s="27"/>
    </row>
    <row r="159" spans="2:51">
      <c r="B159" s="24"/>
      <c r="C159" s="25"/>
      <c r="D159" s="26"/>
      <c r="E159" s="27"/>
      <c r="F159" s="26"/>
      <c r="G159" s="27"/>
      <c r="H159" s="26"/>
      <c r="I159" s="27"/>
      <c r="J159" s="26"/>
      <c r="K159" s="27"/>
      <c r="L159" s="26"/>
      <c r="M159" s="27"/>
      <c r="N159" s="26"/>
      <c r="O159" s="27"/>
      <c r="P159" s="26"/>
      <c r="Q159" s="27"/>
      <c r="R159" s="26"/>
      <c r="S159" s="27"/>
      <c r="T159" s="26"/>
      <c r="U159" s="27"/>
      <c r="V159" s="26"/>
      <c r="W159" s="27"/>
      <c r="X159" s="26"/>
      <c r="Y159" s="27"/>
      <c r="Z159" s="26"/>
      <c r="AA159" s="27"/>
      <c r="AB159" s="26"/>
      <c r="AC159" s="27"/>
      <c r="AD159" s="26"/>
      <c r="AE159" s="27"/>
      <c r="AF159" s="26"/>
      <c r="AG159" s="27"/>
      <c r="AH159" s="26"/>
      <c r="AI159" s="27"/>
      <c r="AJ159" s="26"/>
      <c r="AK159" s="27"/>
      <c r="AL159" s="26"/>
      <c r="AM159" s="27"/>
      <c r="AN159" s="26"/>
      <c r="AO159" s="27"/>
      <c r="AP159" s="26"/>
      <c r="AQ159" s="27"/>
      <c r="AR159" s="26"/>
      <c r="AS159" s="27"/>
      <c r="AT159" s="26"/>
      <c r="AU159" s="27"/>
      <c r="AV159" s="26"/>
      <c r="AW159" s="27"/>
      <c r="AX159" s="26"/>
      <c r="AY159" s="27"/>
    </row>
    <row r="160" spans="2:51">
      <c r="B160" s="24"/>
      <c r="C160" s="25"/>
      <c r="D160" s="26"/>
      <c r="E160" s="27"/>
      <c r="F160" s="26"/>
      <c r="G160" s="27"/>
      <c r="H160" s="26"/>
      <c r="I160" s="27"/>
      <c r="J160" s="26"/>
      <c r="K160" s="27"/>
      <c r="L160" s="26"/>
      <c r="M160" s="27"/>
      <c r="N160" s="26"/>
      <c r="O160" s="27"/>
      <c r="P160" s="26"/>
      <c r="Q160" s="27"/>
      <c r="R160" s="26"/>
      <c r="S160" s="27"/>
      <c r="T160" s="26"/>
      <c r="U160" s="27"/>
      <c r="V160" s="26"/>
      <c r="W160" s="27"/>
      <c r="X160" s="26"/>
      <c r="Y160" s="27"/>
      <c r="Z160" s="26"/>
      <c r="AA160" s="27"/>
      <c r="AB160" s="26"/>
      <c r="AC160" s="27"/>
      <c r="AD160" s="26"/>
      <c r="AE160" s="27"/>
      <c r="AF160" s="26"/>
      <c r="AG160" s="27"/>
      <c r="AH160" s="26"/>
      <c r="AI160" s="27"/>
      <c r="AJ160" s="26"/>
      <c r="AK160" s="27"/>
      <c r="AL160" s="26"/>
      <c r="AM160" s="27"/>
      <c r="AN160" s="26"/>
      <c r="AO160" s="27"/>
      <c r="AP160" s="26"/>
      <c r="AQ160" s="27"/>
      <c r="AR160" s="26"/>
      <c r="AS160" s="27"/>
      <c r="AT160" s="26"/>
      <c r="AU160" s="27"/>
      <c r="AV160" s="26"/>
      <c r="AW160" s="27"/>
      <c r="AX160" s="26"/>
      <c r="AY160" s="27"/>
    </row>
    <row r="161" spans="2:51">
      <c r="B161" s="24"/>
      <c r="C161" s="25"/>
      <c r="D161" s="26"/>
      <c r="E161" s="27"/>
      <c r="F161" s="26"/>
      <c r="G161" s="27"/>
      <c r="H161" s="26"/>
      <c r="I161" s="27"/>
      <c r="J161" s="26"/>
      <c r="K161" s="27"/>
      <c r="L161" s="26"/>
      <c r="M161" s="27"/>
      <c r="N161" s="26"/>
      <c r="O161" s="27"/>
      <c r="P161" s="26"/>
      <c r="Q161" s="27"/>
      <c r="R161" s="26"/>
      <c r="S161" s="27"/>
      <c r="T161" s="26"/>
      <c r="U161" s="27"/>
      <c r="V161" s="26"/>
      <c r="W161" s="27"/>
      <c r="X161" s="26"/>
      <c r="Y161" s="27"/>
      <c r="Z161" s="26"/>
      <c r="AA161" s="27"/>
      <c r="AB161" s="26"/>
      <c r="AC161" s="27"/>
      <c r="AD161" s="26"/>
      <c r="AE161" s="27"/>
      <c r="AF161" s="26"/>
      <c r="AG161" s="27"/>
      <c r="AH161" s="26"/>
      <c r="AI161" s="27"/>
      <c r="AJ161" s="26"/>
      <c r="AK161" s="27"/>
      <c r="AL161" s="26"/>
      <c r="AM161" s="27"/>
      <c r="AN161" s="26"/>
      <c r="AO161" s="27"/>
      <c r="AP161" s="26"/>
      <c r="AQ161" s="27"/>
      <c r="AR161" s="26"/>
      <c r="AS161" s="27"/>
      <c r="AT161" s="26"/>
      <c r="AU161" s="27"/>
      <c r="AV161" s="26"/>
      <c r="AW161" s="27"/>
      <c r="AX161" s="26"/>
      <c r="AY161" s="27"/>
    </row>
    <row r="162" spans="2:51">
      <c r="B162" s="24"/>
      <c r="C162" s="25"/>
      <c r="D162" s="26"/>
      <c r="E162" s="27"/>
      <c r="F162" s="26"/>
      <c r="G162" s="27"/>
      <c r="H162" s="26"/>
      <c r="I162" s="27"/>
      <c r="J162" s="26"/>
      <c r="K162" s="27"/>
      <c r="L162" s="26"/>
      <c r="M162" s="27"/>
      <c r="N162" s="26"/>
      <c r="O162" s="27"/>
      <c r="P162" s="26"/>
      <c r="Q162" s="27"/>
      <c r="R162" s="26"/>
      <c r="S162" s="27"/>
      <c r="T162" s="26"/>
      <c r="U162" s="27"/>
      <c r="V162" s="26"/>
      <c r="W162" s="27"/>
      <c r="X162" s="26"/>
      <c r="Y162" s="27"/>
      <c r="Z162" s="26"/>
      <c r="AA162" s="27"/>
      <c r="AB162" s="26"/>
      <c r="AC162" s="27"/>
      <c r="AD162" s="26"/>
      <c r="AE162" s="27"/>
      <c r="AF162" s="26"/>
      <c r="AG162" s="27"/>
      <c r="AH162" s="26"/>
      <c r="AI162" s="27"/>
      <c r="AJ162" s="26"/>
      <c r="AK162" s="27"/>
      <c r="AL162" s="26"/>
      <c r="AM162" s="27"/>
      <c r="AN162" s="26"/>
      <c r="AO162" s="27"/>
      <c r="AP162" s="26"/>
      <c r="AQ162" s="27"/>
      <c r="AR162" s="26"/>
      <c r="AS162" s="27"/>
      <c r="AT162" s="26"/>
      <c r="AU162" s="27"/>
      <c r="AV162" s="26"/>
      <c r="AW162" s="27"/>
      <c r="AX162" s="26"/>
      <c r="AY162" s="27"/>
    </row>
    <row r="163" spans="2:51">
      <c r="B163" s="24"/>
      <c r="C163" s="25"/>
      <c r="D163" s="26"/>
      <c r="E163" s="27"/>
      <c r="F163" s="26"/>
      <c r="G163" s="27"/>
      <c r="H163" s="26"/>
      <c r="I163" s="27"/>
      <c r="J163" s="26"/>
      <c r="K163" s="27"/>
      <c r="L163" s="26"/>
      <c r="M163" s="27"/>
      <c r="N163" s="26"/>
      <c r="O163" s="27"/>
      <c r="P163" s="26"/>
      <c r="Q163" s="27"/>
      <c r="R163" s="26"/>
      <c r="S163" s="27"/>
      <c r="T163" s="26"/>
      <c r="U163" s="27"/>
      <c r="V163" s="26"/>
      <c r="W163" s="27"/>
      <c r="X163" s="26"/>
      <c r="Y163" s="27"/>
      <c r="Z163" s="26"/>
      <c r="AA163" s="27"/>
      <c r="AB163" s="26"/>
      <c r="AC163" s="27"/>
      <c r="AD163" s="26"/>
      <c r="AE163" s="27"/>
      <c r="AF163" s="26"/>
      <c r="AG163" s="27"/>
      <c r="AH163" s="26"/>
      <c r="AI163" s="27"/>
      <c r="AJ163" s="26"/>
      <c r="AK163" s="27"/>
      <c r="AL163" s="26"/>
      <c r="AM163" s="27"/>
      <c r="AN163" s="26"/>
      <c r="AO163" s="27"/>
      <c r="AP163" s="26"/>
      <c r="AQ163" s="27"/>
      <c r="AR163" s="26"/>
      <c r="AS163" s="27"/>
      <c r="AT163" s="26"/>
      <c r="AU163" s="27"/>
      <c r="AV163" s="26"/>
      <c r="AW163" s="27"/>
      <c r="AX163" s="26"/>
      <c r="AY163" s="27"/>
    </row>
    <row r="164" spans="2:51">
      <c r="B164" s="24"/>
      <c r="C164" s="25"/>
      <c r="D164" s="26"/>
      <c r="E164" s="27"/>
      <c r="F164" s="26"/>
      <c r="G164" s="27"/>
      <c r="H164" s="26"/>
      <c r="I164" s="27"/>
      <c r="J164" s="26"/>
      <c r="K164" s="27"/>
      <c r="L164" s="26"/>
      <c r="M164" s="27"/>
      <c r="N164" s="26"/>
      <c r="O164" s="27"/>
      <c r="P164" s="26"/>
      <c r="Q164" s="27"/>
      <c r="R164" s="26"/>
      <c r="S164" s="27"/>
      <c r="T164" s="26"/>
      <c r="U164" s="27"/>
      <c r="V164" s="26"/>
      <c r="W164" s="27"/>
      <c r="X164" s="26"/>
      <c r="Y164" s="27"/>
      <c r="Z164" s="26"/>
      <c r="AA164" s="27"/>
      <c r="AB164" s="26"/>
      <c r="AC164" s="27"/>
      <c r="AD164" s="26"/>
      <c r="AE164" s="27"/>
      <c r="AF164" s="26"/>
      <c r="AG164" s="27"/>
      <c r="AH164" s="26"/>
      <c r="AI164" s="27"/>
      <c r="AJ164" s="26"/>
      <c r="AK164" s="27"/>
      <c r="AL164" s="26"/>
      <c r="AM164" s="27"/>
      <c r="AN164" s="26"/>
      <c r="AO164" s="27"/>
      <c r="AP164" s="26"/>
      <c r="AQ164" s="27"/>
      <c r="AR164" s="26"/>
      <c r="AS164" s="27"/>
      <c r="AT164" s="26"/>
      <c r="AU164" s="27"/>
      <c r="AV164" s="26"/>
      <c r="AW164" s="27"/>
      <c r="AX164" s="26"/>
      <c r="AY164" s="27"/>
    </row>
    <row r="165" spans="2:51">
      <c r="B165" s="24"/>
      <c r="C165" s="25"/>
      <c r="D165" s="26"/>
      <c r="E165" s="27"/>
      <c r="F165" s="26"/>
      <c r="G165" s="27"/>
      <c r="H165" s="26"/>
      <c r="I165" s="27"/>
      <c r="J165" s="26"/>
      <c r="K165" s="27"/>
      <c r="L165" s="26"/>
      <c r="M165" s="27"/>
      <c r="N165" s="26"/>
      <c r="O165" s="27"/>
      <c r="P165" s="26"/>
      <c r="Q165" s="27"/>
      <c r="R165" s="26"/>
      <c r="S165" s="27"/>
      <c r="T165" s="26"/>
      <c r="U165" s="27"/>
      <c r="V165" s="26"/>
      <c r="W165" s="27"/>
      <c r="X165" s="26"/>
      <c r="Y165" s="27"/>
      <c r="Z165" s="26"/>
      <c r="AA165" s="27"/>
      <c r="AB165" s="26"/>
      <c r="AC165" s="27"/>
      <c r="AD165" s="26"/>
      <c r="AE165" s="27"/>
      <c r="AF165" s="26"/>
      <c r="AG165" s="27"/>
      <c r="AH165" s="26"/>
      <c r="AI165" s="27"/>
      <c r="AJ165" s="26"/>
      <c r="AK165" s="27"/>
      <c r="AL165" s="26"/>
      <c r="AM165" s="27"/>
      <c r="AN165" s="26"/>
      <c r="AO165" s="27"/>
      <c r="AP165" s="26"/>
      <c r="AQ165" s="27"/>
      <c r="AR165" s="26"/>
      <c r="AS165" s="27"/>
      <c r="AT165" s="26"/>
      <c r="AU165" s="27"/>
      <c r="AV165" s="26"/>
      <c r="AW165" s="27"/>
      <c r="AX165" s="26"/>
      <c r="AY165" s="27"/>
    </row>
    <row r="166" spans="2:51">
      <c r="B166" s="24"/>
      <c r="C166" s="25"/>
      <c r="D166" s="26"/>
      <c r="E166" s="27"/>
      <c r="F166" s="26"/>
      <c r="G166" s="27"/>
      <c r="H166" s="26"/>
      <c r="I166" s="27"/>
      <c r="J166" s="26"/>
      <c r="K166" s="27"/>
      <c r="L166" s="26"/>
      <c r="M166" s="27"/>
      <c r="N166" s="26"/>
      <c r="O166" s="27"/>
      <c r="P166" s="26"/>
      <c r="Q166" s="27"/>
      <c r="R166" s="26"/>
      <c r="S166" s="27"/>
      <c r="T166" s="26"/>
      <c r="U166" s="27"/>
      <c r="V166" s="26"/>
      <c r="W166" s="27"/>
      <c r="X166" s="26"/>
      <c r="Y166" s="27"/>
      <c r="Z166" s="26"/>
      <c r="AA166" s="27"/>
      <c r="AB166" s="26"/>
      <c r="AC166" s="27"/>
      <c r="AD166" s="26"/>
      <c r="AE166" s="27"/>
      <c r="AF166" s="26"/>
      <c r="AG166" s="27"/>
      <c r="AH166" s="26"/>
      <c r="AI166" s="27"/>
      <c r="AJ166" s="26"/>
      <c r="AK166" s="27"/>
      <c r="AL166" s="26"/>
      <c r="AM166" s="27"/>
      <c r="AN166" s="26"/>
      <c r="AO166" s="27"/>
      <c r="AP166" s="26"/>
      <c r="AQ166" s="27"/>
      <c r="AR166" s="26"/>
      <c r="AS166" s="27"/>
      <c r="AT166" s="26"/>
      <c r="AU166" s="27"/>
      <c r="AV166" s="26"/>
      <c r="AW166" s="27"/>
      <c r="AX166" s="26"/>
      <c r="AY166" s="27"/>
    </row>
  </sheetData>
  <conditionalFormatting sqref="B2:M2">
    <cfRule type="expression" dxfId="8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B0F0"/>
  </sheetPr>
  <dimension ref="A1:AY167"/>
  <sheetViews>
    <sheetView workbookViewId="0">
      <selection activeCell="B1" sqref="B1"/>
    </sheetView>
  </sheetViews>
  <sheetFormatPr defaultRowHeight="14.4"/>
  <cols>
    <col min="1" max="2" width="9.109375" style="109"/>
    <col min="3" max="3" width="29.44140625" style="109" bestFit="1" customWidth="1"/>
    <col min="4" max="4" width="11.5546875" style="109" bestFit="1" customWidth="1"/>
    <col min="5" max="5" width="9.33203125" style="109" bestFit="1" customWidth="1"/>
    <col min="6" max="6" width="11.5546875" style="109" bestFit="1" customWidth="1"/>
    <col min="7" max="7" width="9.33203125" style="109" bestFit="1" customWidth="1"/>
    <col min="8" max="8" width="11.5546875" style="109" bestFit="1" customWidth="1"/>
    <col min="9" max="9" width="9.33203125" style="109" bestFit="1" customWidth="1"/>
    <col min="10" max="10" width="11.5546875" style="109" bestFit="1" customWidth="1"/>
    <col min="11" max="11" width="9.33203125" style="109" bestFit="1" customWidth="1"/>
    <col min="12" max="12" width="11.5546875" style="109" bestFit="1" customWidth="1"/>
    <col min="13" max="13" width="9.33203125" style="109" bestFit="1" customWidth="1"/>
    <col min="14" max="14" width="11.5546875" style="109" bestFit="1" customWidth="1"/>
    <col min="15" max="15" width="9.33203125" style="109" bestFit="1" customWidth="1"/>
    <col min="16" max="16" width="11.5546875" style="109" bestFit="1" customWidth="1"/>
    <col min="17" max="17" width="9.33203125" style="109" bestFit="1" customWidth="1"/>
    <col min="18" max="18" width="11.5546875" style="109" bestFit="1" customWidth="1"/>
    <col min="19" max="19" width="9.33203125" style="109" bestFit="1" customWidth="1"/>
    <col min="20" max="20" width="11.5546875" style="109" bestFit="1" customWidth="1"/>
    <col min="21" max="21" width="9.33203125" style="109" bestFit="1" customWidth="1"/>
    <col min="22" max="22" width="11.5546875" style="109" bestFit="1" customWidth="1"/>
    <col min="23" max="23" width="9.33203125" style="109" bestFit="1" customWidth="1"/>
    <col min="24" max="24" width="11.5546875" style="109" bestFit="1" customWidth="1"/>
    <col min="25" max="25" width="9.33203125" style="109" bestFit="1" customWidth="1"/>
    <col min="26" max="26" width="11.5546875" style="109" bestFit="1" customWidth="1"/>
    <col min="27" max="27" width="9.33203125" style="109" bestFit="1" customWidth="1"/>
    <col min="28" max="28" width="11.5546875" style="109" bestFit="1" customWidth="1"/>
    <col min="29" max="29" width="9.33203125" style="109" bestFit="1" customWidth="1"/>
    <col min="30" max="30" width="11.5546875" style="109" bestFit="1" customWidth="1"/>
    <col min="31" max="31" width="9.33203125" style="109" bestFit="1" customWidth="1"/>
    <col min="32" max="32" width="11.5546875" style="109" bestFit="1" customWidth="1"/>
    <col min="33" max="33" width="9.33203125" style="109" bestFit="1" customWidth="1"/>
    <col min="34" max="34" width="11.5546875" style="109" bestFit="1" customWidth="1"/>
    <col min="35" max="35" width="9.33203125" style="109" bestFit="1" customWidth="1"/>
    <col min="36" max="36" width="11.5546875" style="109" bestFit="1" customWidth="1"/>
    <col min="37" max="37" width="9.33203125" style="109" bestFit="1" customWidth="1"/>
    <col min="38" max="38" width="11.5546875" style="109" bestFit="1" customWidth="1"/>
    <col min="39" max="39" width="9.33203125" style="109" bestFit="1" customWidth="1"/>
    <col min="40" max="40" width="11.5546875" style="109" bestFit="1" customWidth="1"/>
    <col min="41" max="41" width="9.33203125" style="109" bestFit="1" customWidth="1"/>
    <col min="42" max="42" width="11.5546875" style="109" bestFit="1" customWidth="1"/>
    <col min="43" max="43" width="9.33203125" style="109" bestFit="1" customWidth="1"/>
    <col min="44" max="44" width="11.5546875" style="109" bestFit="1" customWidth="1"/>
    <col min="45" max="45" width="9.33203125" style="109" bestFit="1" customWidth="1"/>
    <col min="46" max="46" width="11.5546875" style="109" bestFit="1" customWidth="1"/>
    <col min="47" max="47" width="9.33203125" style="109" bestFit="1" customWidth="1"/>
    <col min="48" max="48" width="11.5546875" style="109" bestFit="1" customWidth="1"/>
    <col min="49" max="49" width="9.33203125" style="109" bestFit="1" customWidth="1"/>
    <col min="50" max="50" width="11.5546875" style="109" bestFit="1" customWidth="1"/>
    <col min="51" max="51" width="9.33203125" style="109" bestFit="1" customWidth="1"/>
    <col min="52" max="258" width="9.109375" style="109"/>
    <col min="259" max="259" width="29.44140625" style="109" bestFit="1" customWidth="1"/>
    <col min="260" max="260" width="11.5546875" style="109" bestFit="1" customWidth="1"/>
    <col min="261" max="261" width="9.33203125" style="109" bestFit="1" customWidth="1"/>
    <col min="262" max="262" width="11.5546875" style="109" bestFit="1" customWidth="1"/>
    <col min="263" max="263" width="9.33203125" style="109" bestFit="1" customWidth="1"/>
    <col min="264" max="264" width="11.5546875" style="109" bestFit="1" customWidth="1"/>
    <col min="265" max="265" width="9.33203125" style="109" bestFit="1" customWidth="1"/>
    <col min="266" max="266" width="11.5546875" style="109" bestFit="1" customWidth="1"/>
    <col min="267" max="267" width="9.33203125" style="109" bestFit="1" customWidth="1"/>
    <col min="268" max="268" width="11.5546875" style="109" bestFit="1" customWidth="1"/>
    <col min="269" max="269" width="9.33203125" style="109" bestFit="1" customWidth="1"/>
    <col min="270" max="270" width="11.5546875" style="109" bestFit="1" customWidth="1"/>
    <col min="271" max="271" width="9.33203125" style="109" bestFit="1" customWidth="1"/>
    <col min="272" max="272" width="11.5546875" style="109" bestFit="1" customWidth="1"/>
    <col min="273" max="273" width="9.33203125" style="109" bestFit="1" customWidth="1"/>
    <col min="274" max="274" width="11.5546875" style="109" bestFit="1" customWidth="1"/>
    <col min="275" max="275" width="9.33203125" style="109" bestFit="1" customWidth="1"/>
    <col min="276" max="276" width="11.5546875" style="109" bestFit="1" customWidth="1"/>
    <col min="277" max="277" width="9.33203125" style="109" bestFit="1" customWidth="1"/>
    <col min="278" max="278" width="11.5546875" style="109" bestFit="1" customWidth="1"/>
    <col min="279" max="279" width="9.33203125" style="109" bestFit="1" customWidth="1"/>
    <col min="280" max="280" width="11.5546875" style="109" bestFit="1" customWidth="1"/>
    <col min="281" max="281" width="9.33203125" style="109" bestFit="1" customWidth="1"/>
    <col min="282" max="282" width="11.5546875" style="109" bestFit="1" customWidth="1"/>
    <col min="283" max="283" width="9.33203125" style="109" bestFit="1" customWidth="1"/>
    <col min="284" max="284" width="11.5546875" style="109" bestFit="1" customWidth="1"/>
    <col min="285" max="285" width="9.33203125" style="109" bestFit="1" customWidth="1"/>
    <col min="286" max="286" width="11.5546875" style="109" bestFit="1" customWidth="1"/>
    <col min="287" max="287" width="9.33203125" style="109" bestFit="1" customWidth="1"/>
    <col min="288" max="288" width="11.5546875" style="109" bestFit="1" customWidth="1"/>
    <col min="289" max="289" width="9.33203125" style="109" bestFit="1" customWidth="1"/>
    <col min="290" max="290" width="11.5546875" style="109" bestFit="1" customWidth="1"/>
    <col min="291" max="291" width="9.33203125" style="109" bestFit="1" customWidth="1"/>
    <col min="292" max="292" width="11.5546875" style="109" bestFit="1" customWidth="1"/>
    <col min="293" max="293" width="9.33203125" style="109" bestFit="1" customWidth="1"/>
    <col min="294" max="294" width="11.5546875" style="109" bestFit="1" customWidth="1"/>
    <col min="295" max="295" width="9.33203125" style="109" bestFit="1" customWidth="1"/>
    <col min="296" max="296" width="11.5546875" style="109" bestFit="1" customWidth="1"/>
    <col min="297" max="297" width="9.33203125" style="109" bestFit="1" customWidth="1"/>
    <col min="298" max="298" width="11.5546875" style="109" bestFit="1" customWidth="1"/>
    <col min="299" max="299" width="9.33203125" style="109" bestFit="1" customWidth="1"/>
    <col min="300" max="300" width="11.5546875" style="109" bestFit="1" customWidth="1"/>
    <col min="301" max="301" width="9.33203125" style="109" bestFit="1" customWidth="1"/>
    <col min="302" max="302" width="11.5546875" style="109" bestFit="1" customWidth="1"/>
    <col min="303" max="303" width="9.33203125" style="109" bestFit="1" customWidth="1"/>
    <col min="304" max="304" width="11.5546875" style="109" bestFit="1" customWidth="1"/>
    <col min="305" max="305" width="9.33203125" style="109" bestFit="1" customWidth="1"/>
    <col min="306" max="306" width="11.5546875" style="109" bestFit="1" customWidth="1"/>
    <col min="307" max="307" width="9.33203125" style="109" bestFit="1" customWidth="1"/>
    <col min="308" max="514" width="9.109375" style="109"/>
    <col min="515" max="515" width="29.44140625" style="109" bestFit="1" customWidth="1"/>
    <col min="516" max="516" width="11.5546875" style="109" bestFit="1" customWidth="1"/>
    <col min="517" max="517" width="9.33203125" style="109" bestFit="1" customWidth="1"/>
    <col min="518" max="518" width="11.5546875" style="109" bestFit="1" customWidth="1"/>
    <col min="519" max="519" width="9.33203125" style="109" bestFit="1" customWidth="1"/>
    <col min="520" max="520" width="11.5546875" style="109" bestFit="1" customWidth="1"/>
    <col min="521" max="521" width="9.33203125" style="109" bestFit="1" customWidth="1"/>
    <col min="522" max="522" width="11.5546875" style="109" bestFit="1" customWidth="1"/>
    <col min="523" max="523" width="9.33203125" style="109" bestFit="1" customWidth="1"/>
    <col min="524" max="524" width="11.5546875" style="109" bestFit="1" customWidth="1"/>
    <col min="525" max="525" width="9.33203125" style="109" bestFit="1" customWidth="1"/>
    <col min="526" max="526" width="11.5546875" style="109" bestFit="1" customWidth="1"/>
    <col min="527" max="527" width="9.33203125" style="109" bestFit="1" customWidth="1"/>
    <col min="528" max="528" width="11.5546875" style="109" bestFit="1" customWidth="1"/>
    <col min="529" max="529" width="9.33203125" style="109" bestFit="1" customWidth="1"/>
    <col min="530" max="530" width="11.5546875" style="109" bestFit="1" customWidth="1"/>
    <col min="531" max="531" width="9.33203125" style="109" bestFit="1" customWidth="1"/>
    <col min="532" max="532" width="11.5546875" style="109" bestFit="1" customWidth="1"/>
    <col min="533" max="533" width="9.33203125" style="109" bestFit="1" customWidth="1"/>
    <col min="534" max="534" width="11.5546875" style="109" bestFit="1" customWidth="1"/>
    <col min="535" max="535" width="9.33203125" style="109" bestFit="1" customWidth="1"/>
    <col min="536" max="536" width="11.5546875" style="109" bestFit="1" customWidth="1"/>
    <col min="537" max="537" width="9.33203125" style="109" bestFit="1" customWidth="1"/>
    <col min="538" max="538" width="11.5546875" style="109" bestFit="1" customWidth="1"/>
    <col min="539" max="539" width="9.33203125" style="109" bestFit="1" customWidth="1"/>
    <col min="540" max="540" width="11.5546875" style="109" bestFit="1" customWidth="1"/>
    <col min="541" max="541" width="9.33203125" style="109" bestFit="1" customWidth="1"/>
    <col min="542" max="542" width="11.5546875" style="109" bestFit="1" customWidth="1"/>
    <col min="543" max="543" width="9.33203125" style="109" bestFit="1" customWidth="1"/>
    <col min="544" max="544" width="11.5546875" style="109" bestFit="1" customWidth="1"/>
    <col min="545" max="545" width="9.33203125" style="109" bestFit="1" customWidth="1"/>
    <col min="546" max="546" width="11.5546875" style="109" bestFit="1" customWidth="1"/>
    <col min="547" max="547" width="9.33203125" style="109" bestFit="1" customWidth="1"/>
    <col min="548" max="548" width="11.5546875" style="109" bestFit="1" customWidth="1"/>
    <col min="549" max="549" width="9.33203125" style="109" bestFit="1" customWidth="1"/>
    <col min="550" max="550" width="11.5546875" style="109" bestFit="1" customWidth="1"/>
    <col min="551" max="551" width="9.33203125" style="109" bestFit="1" customWidth="1"/>
    <col min="552" max="552" width="11.5546875" style="109" bestFit="1" customWidth="1"/>
    <col min="553" max="553" width="9.33203125" style="109" bestFit="1" customWidth="1"/>
    <col min="554" max="554" width="11.5546875" style="109" bestFit="1" customWidth="1"/>
    <col min="555" max="555" width="9.33203125" style="109" bestFit="1" customWidth="1"/>
    <col min="556" max="556" width="11.5546875" style="109" bestFit="1" customWidth="1"/>
    <col min="557" max="557" width="9.33203125" style="109" bestFit="1" customWidth="1"/>
    <col min="558" max="558" width="11.5546875" style="109" bestFit="1" customWidth="1"/>
    <col min="559" max="559" width="9.33203125" style="109" bestFit="1" customWidth="1"/>
    <col min="560" max="560" width="11.5546875" style="109" bestFit="1" customWidth="1"/>
    <col min="561" max="561" width="9.33203125" style="109" bestFit="1" customWidth="1"/>
    <col min="562" max="562" width="11.5546875" style="109" bestFit="1" customWidth="1"/>
    <col min="563" max="563" width="9.33203125" style="109" bestFit="1" customWidth="1"/>
    <col min="564" max="770" width="9.109375" style="109"/>
    <col min="771" max="771" width="29.44140625" style="109" bestFit="1" customWidth="1"/>
    <col min="772" max="772" width="11.5546875" style="109" bestFit="1" customWidth="1"/>
    <col min="773" max="773" width="9.33203125" style="109" bestFit="1" customWidth="1"/>
    <col min="774" max="774" width="11.5546875" style="109" bestFit="1" customWidth="1"/>
    <col min="775" max="775" width="9.33203125" style="109" bestFit="1" customWidth="1"/>
    <col min="776" max="776" width="11.5546875" style="109" bestFit="1" customWidth="1"/>
    <col min="777" max="777" width="9.33203125" style="109" bestFit="1" customWidth="1"/>
    <col min="778" max="778" width="11.5546875" style="109" bestFit="1" customWidth="1"/>
    <col min="779" max="779" width="9.33203125" style="109" bestFit="1" customWidth="1"/>
    <col min="780" max="780" width="11.5546875" style="109" bestFit="1" customWidth="1"/>
    <col min="781" max="781" width="9.33203125" style="109" bestFit="1" customWidth="1"/>
    <col min="782" max="782" width="11.5546875" style="109" bestFit="1" customWidth="1"/>
    <col min="783" max="783" width="9.33203125" style="109" bestFit="1" customWidth="1"/>
    <col min="784" max="784" width="11.5546875" style="109" bestFit="1" customWidth="1"/>
    <col min="785" max="785" width="9.33203125" style="109" bestFit="1" customWidth="1"/>
    <col min="786" max="786" width="11.5546875" style="109" bestFit="1" customWidth="1"/>
    <col min="787" max="787" width="9.33203125" style="109" bestFit="1" customWidth="1"/>
    <col min="788" max="788" width="11.5546875" style="109" bestFit="1" customWidth="1"/>
    <col min="789" max="789" width="9.33203125" style="109" bestFit="1" customWidth="1"/>
    <col min="790" max="790" width="11.5546875" style="109" bestFit="1" customWidth="1"/>
    <col min="791" max="791" width="9.33203125" style="109" bestFit="1" customWidth="1"/>
    <col min="792" max="792" width="11.5546875" style="109" bestFit="1" customWidth="1"/>
    <col min="793" max="793" width="9.33203125" style="109" bestFit="1" customWidth="1"/>
    <col min="794" max="794" width="11.5546875" style="109" bestFit="1" customWidth="1"/>
    <col min="795" max="795" width="9.33203125" style="109" bestFit="1" customWidth="1"/>
    <col min="796" max="796" width="11.5546875" style="109" bestFit="1" customWidth="1"/>
    <col min="797" max="797" width="9.33203125" style="109" bestFit="1" customWidth="1"/>
    <col min="798" max="798" width="11.5546875" style="109" bestFit="1" customWidth="1"/>
    <col min="799" max="799" width="9.33203125" style="109" bestFit="1" customWidth="1"/>
    <col min="800" max="800" width="11.5546875" style="109" bestFit="1" customWidth="1"/>
    <col min="801" max="801" width="9.33203125" style="109" bestFit="1" customWidth="1"/>
    <col min="802" max="802" width="11.5546875" style="109" bestFit="1" customWidth="1"/>
    <col min="803" max="803" width="9.33203125" style="109" bestFit="1" customWidth="1"/>
    <col min="804" max="804" width="11.5546875" style="109" bestFit="1" customWidth="1"/>
    <col min="805" max="805" width="9.33203125" style="109" bestFit="1" customWidth="1"/>
    <col min="806" max="806" width="11.5546875" style="109" bestFit="1" customWidth="1"/>
    <col min="807" max="807" width="9.33203125" style="109" bestFit="1" customWidth="1"/>
    <col min="808" max="808" width="11.5546875" style="109" bestFit="1" customWidth="1"/>
    <col min="809" max="809" width="9.33203125" style="109" bestFit="1" customWidth="1"/>
    <col min="810" max="810" width="11.5546875" style="109" bestFit="1" customWidth="1"/>
    <col min="811" max="811" width="9.33203125" style="109" bestFit="1" customWidth="1"/>
    <col min="812" max="812" width="11.5546875" style="109" bestFit="1" customWidth="1"/>
    <col min="813" max="813" width="9.33203125" style="109" bestFit="1" customWidth="1"/>
    <col min="814" max="814" width="11.5546875" style="109" bestFit="1" customWidth="1"/>
    <col min="815" max="815" width="9.33203125" style="109" bestFit="1" customWidth="1"/>
    <col min="816" max="816" width="11.5546875" style="109" bestFit="1" customWidth="1"/>
    <col min="817" max="817" width="9.33203125" style="109" bestFit="1" customWidth="1"/>
    <col min="818" max="818" width="11.5546875" style="109" bestFit="1" customWidth="1"/>
    <col min="819" max="819" width="9.33203125" style="109" bestFit="1" customWidth="1"/>
    <col min="820" max="1026" width="9.109375" style="109"/>
    <col min="1027" max="1027" width="29.44140625" style="109" bestFit="1" customWidth="1"/>
    <col min="1028" max="1028" width="11.5546875" style="109" bestFit="1" customWidth="1"/>
    <col min="1029" max="1029" width="9.33203125" style="109" bestFit="1" customWidth="1"/>
    <col min="1030" max="1030" width="11.5546875" style="109" bestFit="1" customWidth="1"/>
    <col min="1031" max="1031" width="9.33203125" style="109" bestFit="1" customWidth="1"/>
    <col min="1032" max="1032" width="11.5546875" style="109" bestFit="1" customWidth="1"/>
    <col min="1033" max="1033" width="9.33203125" style="109" bestFit="1" customWidth="1"/>
    <col min="1034" max="1034" width="11.5546875" style="109" bestFit="1" customWidth="1"/>
    <col min="1035" max="1035" width="9.33203125" style="109" bestFit="1" customWidth="1"/>
    <col min="1036" max="1036" width="11.5546875" style="109" bestFit="1" customWidth="1"/>
    <col min="1037" max="1037" width="9.33203125" style="109" bestFit="1" customWidth="1"/>
    <col min="1038" max="1038" width="11.5546875" style="109" bestFit="1" customWidth="1"/>
    <col min="1039" max="1039" width="9.33203125" style="109" bestFit="1" customWidth="1"/>
    <col min="1040" max="1040" width="11.5546875" style="109" bestFit="1" customWidth="1"/>
    <col min="1041" max="1041" width="9.33203125" style="109" bestFit="1" customWidth="1"/>
    <col min="1042" max="1042" width="11.5546875" style="109" bestFit="1" customWidth="1"/>
    <col min="1043" max="1043" width="9.33203125" style="109" bestFit="1" customWidth="1"/>
    <col min="1044" max="1044" width="11.5546875" style="109" bestFit="1" customWidth="1"/>
    <col min="1045" max="1045" width="9.33203125" style="109" bestFit="1" customWidth="1"/>
    <col min="1046" max="1046" width="11.5546875" style="109" bestFit="1" customWidth="1"/>
    <col min="1047" max="1047" width="9.33203125" style="109" bestFit="1" customWidth="1"/>
    <col min="1048" max="1048" width="11.5546875" style="109" bestFit="1" customWidth="1"/>
    <col min="1049" max="1049" width="9.33203125" style="109" bestFit="1" customWidth="1"/>
    <col min="1050" max="1050" width="11.5546875" style="109" bestFit="1" customWidth="1"/>
    <col min="1051" max="1051" width="9.33203125" style="109" bestFit="1" customWidth="1"/>
    <col min="1052" max="1052" width="11.5546875" style="109" bestFit="1" customWidth="1"/>
    <col min="1053" max="1053" width="9.33203125" style="109" bestFit="1" customWidth="1"/>
    <col min="1054" max="1054" width="11.5546875" style="109" bestFit="1" customWidth="1"/>
    <col min="1055" max="1055" width="9.33203125" style="109" bestFit="1" customWidth="1"/>
    <col min="1056" max="1056" width="11.5546875" style="109" bestFit="1" customWidth="1"/>
    <col min="1057" max="1057" width="9.33203125" style="109" bestFit="1" customWidth="1"/>
    <col min="1058" max="1058" width="11.5546875" style="109" bestFit="1" customWidth="1"/>
    <col min="1059" max="1059" width="9.33203125" style="109" bestFit="1" customWidth="1"/>
    <col min="1060" max="1060" width="11.5546875" style="109" bestFit="1" customWidth="1"/>
    <col min="1061" max="1061" width="9.33203125" style="109" bestFit="1" customWidth="1"/>
    <col min="1062" max="1062" width="11.5546875" style="109" bestFit="1" customWidth="1"/>
    <col min="1063" max="1063" width="9.33203125" style="109" bestFit="1" customWidth="1"/>
    <col min="1064" max="1064" width="11.5546875" style="109" bestFit="1" customWidth="1"/>
    <col min="1065" max="1065" width="9.33203125" style="109" bestFit="1" customWidth="1"/>
    <col min="1066" max="1066" width="11.5546875" style="109" bestFit="1" customWidth="1"/>
    <col min="1067" max="1067" width="9.33203125" style="109" bestFit="1" customWidth="1"/>
    <col min="1068" max="1068" width="11.5546875" style="109" bestFit="1" customWidth="1"/>
    <col min="1069" max="1069" width="9.33203125" style="109" bestFit="1" customWidth="1"/>
    <col min="1070" max="1070" width="11.5546875" style="109" bestFit="1" customWidth="1"/>
    <col min="1071" max="1071" width="9.33203125" style="109" bestFit="1" customWidth="1"/>
    <col min="1072" max="1072" width="11.5546875" style="109" bestFit="1" customWidth="1"/>
    <col min="1073" max="1073" width="9.33203125" style="109" bestFit="1" customWidth="1"/>
    <col min="1074" max="1074" width="11.5546875" style="109" bestFit="1" customWidth="1"/>
    <col min="1075" max="1075" width="9.33203125" style="109" bestFit="1" customWidth="1"/>
    <col min="1076" max="1282" width="9.109375" style="109"/>
    <col min="1283" max="1283" width="29.44140625" style="109" bestFit="1" customWidth="1"/>
    <col min="1284" max="1284" width="11.5546875" style="109" bestFit="1" customWidth="1"/>
    <col min="1285" max="1285" width="9.33203125" style="109" bestFit="1" customWidth="1"/>
    <col min="1286" max="1286" width="11.5546875" style="109" bestFit="1" customWidth="1"/>
    <col min="1287" max="1287" width="9.33203125" style="109" bestFit="1" customWidth="1"/>
    <col min="1288" max="1288" width="11.5546875" style="109" bestFit="1" customWidth="1"/>
    <col min="1289" max="1289" width="9.33203125" style="109" bestFit="1" customWidth="1"/>
    <col min="1290" max="1290" width="11.5546875" style="109" bestFit="1" customWidth="1"/>
    <col min="1291" max="1291" width="9.33203125" style="109" bestFit="1" customWidth="1"/>
    <col min="1292" max="1292" width="11.5546875" style="109" bestFit="1" customWidth="1"/>
    <col min="1293" max="1293" width="9.33203125" style="109" bestFit="1" customWidth="1"/>
    <col min="1294" max="1294" width="11.5546875" style="109" bestFit="1" customWidth="1"/>
    <col min="1295" max="1295" width="9.33203125" style="109" bestFit="1" customWidth="1"/>
    <col min="1296" max="1296" width="11.5546875" style="109" bestFit="1" customWidth="1"/>
    <col min="1297" max="1297" width="9.33203125" style="109" bestFit="1" customWidth="1"/>
    <col min="1298" max="1298" width="11.5546875" style="109" bestFit="1" customWidth="1"/>
    <col min="1299" max="1299" width="9.33203125" style="109" bestFit="1" customWidth="1"/>
    <col min="1300" max="1300" width="11.5546875" style="109" bestFit="1" customWidth="1"/>
    <col min="1301" max="1301" width="9.33203125" style="109" bestFit="1" customWidth="1"/>
    <col min="1302" max="1302" width="11.5546875" style="109" bestFit="1" customWidth="1"/>
    <col min="1303" max="1303" width="9.33203125" style="109" bestFit="1" customWidth="1"/>
    <col min="1304" max="1304" width="11.5546875" style="109" bestFit="1" customWidth="1"/>
    <col min="1305" max="1305" width="9.33203125" style="109" bestFit="1" customWidth="1"/>
    <col min="1306" max="1306" width="11.5546875" style="109" bestFit="1" customWidth="1"/>
    <col min="1307" max="1307" width="9.33203125" style="109" bestFit="1" customWidth="1"/>
    <col min="1308" max="1308" width="11.5546875" style="109" bestFit="1" customWidth="1"/>
    <col min="1309" max="1309" width="9.33203125" style="109" bestFit="1" customWidth="1"/>
    <col min="1310" max="1310" width="11.5546875" style="109" bestFit="1" customWidth="1"/>
    <col min="1311" max="1311" width="9.33203125" style="109" bestFit="1" customWidth="1"/>
    <col min="1312" max="1312" width="11.5546875" style="109" bestFit="1" customWidth="1"/>
    <col min="1313" max="1313" width="9.33203125" style="109" bestFit="1" customWidth="1"/>
    <col min="1314" max="1314" width="11.5546875" style="109" bestFit="1" customWidth="1"/>
    <col min="1315" max="1315" width="9.33203125" style="109" bestFit="1" customWidth="1"/>
    <col min="1316" max="1316" width="11.5546875" style="109" bestFit="1" customWidth="1"/>
    <col min="1317" max="1317" width="9.33203125" style="109" bestFit="1" customWidth="1"/>
    <col min="1318" max="1318" width="11.5546875" style="109" bestFit="1" customWidth="1"/>
    <col min="1319" max="1319" width="9.33203125" style="109" bestFit="1" customWidth="1"/>
    <col min="1320" max="1320" width="11.5546875" style="109" bestFit="1" customWidth="1"/>
    <col min="1321" max="1321" width="9.33203125" style="109" bestFit="1" customWidth="1"/>
    <col min="1322" max="1322" width="11.5546875" style="109" bestFit="1" customWidth="1"/>
    <col min="1323" max="1323" width="9.33203125" style="109" bestFit="1" customWidth="1"/>
    <col min="1324" max="1324" width="11.5546875" style="109" bestFit="1" customWidth="1"/>
    <col min="1325" max="1325" width="9.33203125" style="109" bestFit="1" customWidth="1"/>
    <col min="1326" max="1326" width="11.5546875" style="109" bestFit="1" customWidth="1"/>
    <col min="1327" max="1327" width="9.33203125" style="109" bestFit="1" customWidth="1"/>
    <col min="1328" max="1328" width="11.5546875" style="109" bestFit="1" customWidth="1"/>
    <col min="1329" max="1329" width="9.33203125" style="109" bestFit="1" customWidth="1"/>
    <col min="1330" max="1330" width="11.5546875" style="109" bestFit="1" customWidth="1"/>
    <col min="1331" max="1331" width="9.33203125" style="109" bestFit="1" customWidth="1"/>
    <col min="1332" max="1538" width="9.109375" style="109"/>
    <col min="1539" max="1539" width="29.44140625" style="109" bestFit="1" customWidth="1"/>
    <col min="1540" max="1540" width="11.5546875" style="109" bestFit="1" customWidth="1"/>
    <col min="1541" max="1541" width="9.33203125" style="109" bestFit="1" customWidth="1"/>
    <col min="1542" max="1542" width="11.5546875" style="109" bestFit="1" customWidth="1"/>
    <col min="1543" max="1543" width="9.33203125" style="109" bestFit="1" customWidth="1"/>
    <col min="1544" max="1544" width="11.5546875" style="109" bestFit="1" customWidth="1"/>
    <col min="1545" max="1545" width="9.33203125" style="109" bestFit="1" customWidth="1"/>
    <col min="1546" max="1546" width="11.5546875" style="109" bestFit="1" customWidth="1"/>
    <col min="1547" max="1547" width="9.33203125" style="109" bestFit="1" customWidth="1"/>
    <col min="1548" max="1548" width="11.5546875" style="109" bestFit="1" customWidth="1"/>
    <col min="1549" max="1549" width="9.33203125" style="109" bestFit="1" customWidth="1"/>
    <col min="1550" max="1550" width="11.5546875" style="109" bestFit="1" customWidth="1"/>
    <col min="1551" max="1551" width="9.33203125" style="109" bestFit="1" customWidth="1"/>
    <col min="1552" max="1552" width="11.5546875" style="109" bestFit="1" customWidth="1"/>
    <col min="1553" max="1553" width="9.33203125" style="109" bestFit="1" customWidth="1"/>
    <col min="1554" max="1554" width="11.5546875" style="109" bestFit="1" customWidth="1"/>
    <col min="1555" max="1555" width="9.33203125" style="109" bestFit="1" customWidth="1"/>
    <col min="1556" max="1556" width="11.5546875" style="109" bestFit="1" customWidth="1"/>
    <col min="1557" max="1557" width="9.33203125" style="109" bestFit="1" customWidth="1"/>
    <col min="1558" max="1558" width="11.5546875" style="109" bestFit="1" customWidth="1"/>
    <col min="1559" max="1559" width="9.33203125" style="109" bestFit="1" customWidth="1"/>
    <col min="1560" max="1560" width="11.5546875" style="109" bestFit="1" customWidth="1"/>
    <col min="1561" max="1561" width="9.33203125" style="109" bestFit="1" customWidth="1"/>
    <col min="1562" max="1562" width="11.5546875" style="109" bestFit="1" customWidth="1"/>
    <col min="1563" max="1563" width="9.33203125" style="109" bestFit="1" customWidth="1"/>
    <col min="1564" max="1564" width="11.5546875" style="109" bestFit="1" customWidth="1"/>
    <col min="1565" max="1565" width="9.33203125" style="109" bestFit="1" customWidth="1"/>
    <col min="1566" max="1566" width="11.5546875" style="109" bestFit="1" customWidth="1"/>
    <col min="1567" max="1567" width="9.33203125" style="109" bestFit="1" customWidth="1"/>
    <col min="1568" max="1568" width="11.5546875" style="109" bestFit="1" customWidth="1"/>
    <col min="1569" max="1569" width="9.33203125" style="109" bestFit="1" customWidth="1"/>
    <col min="1570" max="1570" width="11.5546875" style="109" bestFit="1" customWidth="1"/>
    <col min="1571" max="1571" width="9.33203125" style="109" bestFit="1" customWidth="1"/>
    <col min="1572" max="1572" width="11.5546875" style="109" bestFit="1" customWidth="1"/>
    <col min="1573" max="1573" width="9.33203125" style="109" bestFit="1" customWidth="1"/>
    <col min="1574" max="1574" width="11.5546875" style="109" bestFit="1" customWidth="1"/>
    <col min="1575" max="1575" width="9.33203125" style="109" bestFit="1" customWidth="1"/>
    <col min="1576" max="1576" width="11.5546875" style="109" bestFit="1" customWidth="1"/>
    <col min="1577" max="1577" width="9.33203125" style="109" bestFit="1" customWidth="1"/>
    <col min="1578" max="1578" width="11.5546875" style="109" bestFit="1" customWidth="1"/>
    <col min="1579" max="1579" width="9.33203125" style="109" bestFit="1" customWidth="1"/>
    <col min="1580" max="1580" width="11.5546875" style="109" bestFit="1" customWidth="1"/>
    <col min="1581" max="1581" width="9.33203125" style="109" bestFit="1" customWidth="1"/>
    <col min="1582" max="1582" width="11.5546875" style="109" bestFit="1" customWidth="1"/>
    <col min="1583" max="1583" width="9.33203125" style="109" bestFit="1" customWidth="1"/>
    <col min="1584" max="1584" width="11.5546875" style="109" bestFit="1" customWidth="1"/>
    <col min="1585" max="1585" width="9.33203125" style="109" bestFit="1" customWidth="1"/>
    <col min="1586" max="1586" width="11.5546875" style="109" bestFit="1" customWidth="1"/>
    <col min="1587" max="1587" width="9.33203125" style="109" bestFit="1" customWidth="1"/>
    <col min="1588" max="1794" width="9.109375" style="109"/>
    <col min="1795" max="1795" width="29.44140625" style="109" bestFit="1" customWidth="1"/>
    <col min="1796" max="1796" width="11.5546875" style="109" bestFit="1" customWidth="1"/>
    <col min="1797" max="1797" width="9.33203125" style="109" bestFit="1" customWidth="1"/>
    <col min="1798" max="1798" width="11.5546875" style="109" bestFit="1" customWidth="1"/>
    <col min="1799" max="1799" width="9.33203125" style="109" bestFit="1" customWidth="1"/>
    <col min="1800" max="1800" width="11.5546875" style="109" bestFit="1" customWidth="1"/>
    <col min="1801" max="1801" width="9.33203125" style="109" bestFit="1" customWidth="1"/>
    <col min="1802" max="1802" width="11.5546875" style="109" bestFit="1" customWidth="1"/>
    <col min="1803" max="1803" width="9.33203125" style="109" bestFit="1" customWidth="1"/>
    <col min="1804" max="1804" width="11.5546875" style="109" bestFit="1" customWidth="1"/>
    <col min="1805" max="1805" width="9.33203125" style="109" bestFit="1" customWidth="1"/>
    <col min="1806" max="1806" width="11.5546875" style="109" bestFit="1" customWidth="1"/>
    <col min="1807" max="1807" width="9.33203125" style="109" bestFit="1" customWidth="1"/>
    <col min="1808" max="1808" width="11.5546875" style="109" bestFit="1" customWidth="1"/>
    <col min="1809" max="1809" width="9.33203125" style="109" bestFit="1" customWidth="1"/>
    <col min="1810" max="1810" width="11.5546875" style="109" bestFit="1" customWidth="1"/>
    <col min="1811" max="1811" width="9.33203125" style="109" bestFit="1" customWidth="1"/>
    <col min="1812" max="1812" width="11.5546875" style="109" bestFit="1" customWidth="1"/>
    <col min="1813" max="1813" width="9.33203125" style="109" bestFit="1" customWidth="1"/>
    <col min="1814" max="1814" width="11.5546875" style="109" bestFit="1" customWidth="1"/>
    <col min="1815" max="1815" width="9.33203125" style="109" bestFit="1" customWidth="1"/>
    <col min="1816" max="1816" width="11.5546875" style="109" bestFit="1" customWidth="1"/>
    <col min="1817" max="1817" width="9.33203125" style="109" bestFit="1" customWidth="1"/>
    <col min="1818" max="1818" width="11.5546875" style="109" bestFit="1" customWidth="1"/>
    <col min="1819" max="1819" width="9.33203125" style="109" bestFit="1" customWidth="1"/>
    <col min="1820" max="1820" width="11.5546875" style="109" bestFit="1" customWidth="1"/>
    <col min="1821" max="1821" width="9.33203125" style="109" bestFit="1" customWidth="1"/>
    <col min="1822" max="1822" width="11.5546875" style="109" bestFit="1" customWidth="1"/>
    <col min="1823" max="1823" width="9.33203125" style="109" bestFit="1" customWidth="1"/>
    <col min="1824" max="1824" width="11.5546875" style="109" bestFit="1" customWidth="1"/>
    <col min="1825" max="1825" width="9.33203125" style="109" bestFit="1" customWidth="1"/>
    <col min="1826" max="1826" width="11.5546875" style="109" bestFit="1" customWidth="1"/>
    <col min="1827" max="1827" width="9.33203125" style="109" bestFit="1" customWidth="1"/>
    <col min="1828" max="1828" width="11.5546875" style="109" bestFit="1" customWidth="1"/>
    <col min="1829" max="1829" width="9.33203125" style="109" bestFit="1" customWidth="1"/>
    <col min="1830" max="1830" width="11.5546875" style="109" bestFit="1" customWidth="1"/>
    <col min="1831" max="1831" width="9.33203125" style="109" bestFit="1" customWidth="1"/>
    <col min="1832" max="1832" width="11.5546875" style="109" bestFit="1" customWidth="1"/>
    <col min="1833" max="1833" width="9.33203125" style="109" bestFit="1" customWidth="1"/>
    <col min="1834" max="1834" width="11.5546875" style="109" bestFit="1" customWidth="1"/>
    <col min="1835" max="1835" width="9.33203125" style="109" bestFit="1" customWidth="1"/>
    <col min="1836" max="1836" width="11.5546875" style="109" bestFit="1" customWidth="1"/>
    <col min="1837" max="1837" width="9.33203125" style="109" bestFit="1" customWidth="1"/>
    <col min="1838" max="1838" width="11.5546875" style="109" bestFit="1" customWidth="1"/>
    <col min="1839" max="1839" width="9.33203125" style="109" bestFit="1" customWidth="1"/>
    <col min="1840" max="1840" width="11.5546875" style="109" bestFit="1" customWidth="1"/>
    <col min="1841" max="1841" width="9.33203125" style="109" bestFit="1" customWidth="1"/>
    <col min="1842" max="1842" width="11.5546875" style="109" bestFit="1" customWidth="1"/>
    <col min="1843" max="1843" width="9.33203125" style="109" bestFit="1" customWidth="1"/>
    <col min="1844" max="2050" width="9.109375" style="109"/>
    <col min="2051" max="2051" width="29.44140625" style="109" bestFit="1" customWidth="1"/>
    <col min="2052" max="2052" width="11.5546875" style="109" bestFit="1" customWidth="1"/>
    <col min="2053" max="2053" width="9.33203125" style="109" bestFit="1" customWidth="1"/>
    <col min="2054" max="2054" width="11.5546875" style="109" bestFit="1" customWidth="1"/>
    <col min="2055" max="2055" width="9.33203125" style="109" bestFit="1" customWidth="1"/>
    <col min="2056" max="2056" width="11.5546875" style="109" bestFit="1" customWidth="1"/>
    <col min="2057" max="2057" width="9.33203125" style="109" bestFit="1" customWidth="1"/>
    <col min="2058" max="2058" width="11.5546875" style="109" bestFit="1" customWidth="1"/>
    <col min="2059" max="2059" width="9.33203125" style="109" bestFit="1" customWidth="1"/>
    <col min="2060" max="2060" width="11.5546875" style="109" bestFit="1" customWidth="1"/>
    <col min="2061" max="2061" width="9.33203125" style="109" bestFit="1" customWidth="1"/>
    <col min="2062" max="2062" width="11.5546875" style="109" bestFit="1" customWidth="1"/>
    <col min="2063" max="2063" width="9.33203125" style="109" bestFit="1" customWidth="1"/>
    <col min="2064" max="2064" width="11.5546875" style="109" bestFit="1" customWidth="1"/>
    <col min="2065" max="2065" width="9.33203125" style="109" bestFit="1" customWidth="1"/>
    <col min="2066" max="2066" width="11.5546875" style="109" bestFit="1" customWidth="1"/>
    <col min="2067" max="2067" width="9.33203125" style="109" bestFit="1" customWidth="1"/>
    <col min="2068" max="2068" width="11.5546875" style="109" bestFit="1" customWidth="1"/>
    <col min="2069" max="2069" width="9.33203125" style="109" bestFit="1" customWidth="1"/>
    <col min="2070" max="2070" width="11.5546875" style="109" bestFit="1" customWidth="1"/>
    <col min="2071" max="2071" width="9.33203125" style="109" bestFit="1" customWidth="1"/>
    <col min="2072" max="2072" width="11.5546875" style="109" bestFit="1" customWidth="1"/>
    <col min="2073" max="2073" width="9.33203125" style="109" bestFit="1" customWidth="1"/>
    <col min="2074" max="2074" width="11.5546875" style="109" bestFit="1" customWidth="1"/>
    <col min="2075" max="2075" width="9.33203125" style="109" bestFit="1" customWidth="1"/>
    <col min="2076" max="2076" width="11.5546875" style="109" bestFit="1" customWidth="1"/>
    <col min="2077" max="2077" width="9.33203125" style="109" bestFit="1" customWidth="1"/>
    <col min="2078" max="2078" width="11.5546875" style="109" bestFit="1" customWidth="1"/>
    <col min="2079" max="2079" width="9.33203125" style="109" bestFit="1" customWidth="1"/>
    <col min="2080" max="2080" width="11.5546875" style="109" bestFit="1" customWidth="1"/>
    <col min="2081" max="2081" width="9.33203125" style="109" bestFit="1" customWidth="1"/>
    <col min="2082" max="2082" width="11.5546875" style="109" bestFit="1" customWidth="1"/>
    <col min="2083" max="2083" width="9.33203125" style="109" bestFit="1" customWidth="1"/>
    <col min="2084" max="2084" width="11.5546875" style="109" bestFit="1" customWidth="1"/>
    <col min="2085" max="2085" width="9.33203125" style="109" bestFit="1" customWidth="1"/>
    <col min="2086" max="2086" width="11.5546875" style="109" bestFit="1" customWidth="1"/>
    <col min="2087" max="2087" width="9.33203125" style="109" bestFit="1" customWidth="1"/>
    <col min="2088" max="2088" width="11.5546875" style="109" bestFit="1" customWidth="1"/>
    <col min="2089" max="2089" width="9.33203125" style="109" bestFit="1" customWidth="1"/>
    <col min="2090" max="2090" width="11.5546875" style="109" bestFit="1" customWidth="1"/>
    <col min="2091" max="2091" width="9.33203125" style="109" bestFit="1" customWidth="1"/>
    <col min="2092" max="2092" width="11.5546875" style="109" bestFit="1" customWidth="1"/>
    <col min="2093" max="2093" width="9.33203125" style="109" bestFit="1" customWidth="1"/>
    <col min="2094" max="2094" width="11.5546875" style="109" bestFit="1" customWidth="1"/>
    <col min="2095" max="2095" width="9.33203125" style="109" bestFit="1" customWidth="1"/>
    <col min="2096" max="2096" width="11.5546875" style="109" bestFit="1" customWidth="1"/>
    <col min="2097" max="2097" width="9.33203125" style="109" bestFit="1" customWidth="1"/>
    <col min="2098" max="2098" width="11.5546875" style="109" bestFit="1" customWidth="1"/>
    <col min="2099" max="2099" width="9.33203125" style="109" bestFit="1" customWidth="1"/>
    <col min="2100" max="2306" width="9.109375" style="109"/>
    <col min="2307" max="2307" width="29.44140625" style="109" bestFit="1" customWidth="1"/>
    <col min="2308" max="2308" width="11.5546875" style="109" bestFit="1" customWidth="1"/>
    <col min="2309" max="2309" width="9.33203125" style="109" bestFit="1" customWidth="1"/>
    <col min="2310" max="2310" width="11.5546875" style="109" bestFit="1" customWidth="1"/>
    <col min="2311" max="2311" width="9.33203125" style="109" bestFit="1" customWidth="1"/>
    <col min="2312" max="2312" width="11.5546875" style="109" bestFit="1" customWidth="1"/>
    <col min="2313" max="2313" width="9.33203125" style="109" bestFit="1" customWidth="1"/>
    <col min="2314" max="2314" width="11.5546875" style="109" bestFit="1" customWidth="1"/>
    <col min="2315" max="2315" width="9.33203125" style="109" bestFit="1" customWidth="1"/>
    <col min="2316" max="2316" width="11.5546875" style="109" bestFit="1" customWidth="1"/>
    <col min="2317" max="2317" width="9.33203125" style="109" bestFit="1" customWidth="1"/>
    <col min="2318" max="2318" width="11.5546875" style="109" bestFit="1" customWidth="1"/>
    <col min="2319" max="2319" width="9.33203125" style="109" bestFit="1" customWidth="1"/>
    <col min="2320" max="2320" width="11.5546875" style="109" bestFit="1" customWidth="1"/>
    <col min="2321" max="2321" width="9.33203125" style="109" bestFit="1" customWidth="1"/>
    <col min="2322" max="2322" width="11.5546875" style="109" bestFit="1" customWidth="1"/>
    <col min="2323" max="2323" width="9.33203125" style="109" bestFit="1" customWidth="1"/>
    <col min="2324" max="2324" width="11.5546875" style="109" bestFit="1" customWidth="1"/>
    <col min="2325" max="2325" width="9.33203125" style="109" bestFit="1" customWidth="1"/>
    <col min="2326" max="2326" width="11.5546875" style="109" bestFit="1" customWidth="1"/>
    <col min="2327" max="2327" width="9.33203125" style="109" bestFit="1" customWidth="1"/>
    <col min="2328" max="2328" width="11.5546875" style="109" bestFit="1" customWidth="1"/>
    <col min="2329" max="2329" width="9.33203125" style="109" bestFit="1" customWidth="1"/>
    <col min="2330" max="2330" width="11.5546875" style="109" bestFit="1" customWidth="1"/>
    <col min="2331" max="2331" width="9.33203125" style="109" bestFit="1" customWidth="1"/>
    <col min="2332" max="2332" width="11.5546875" style="109" bestFit="1" customWidth="1"/>
    <col min="2333" max="2333" width="9.33203125" style="109" bestFit="1" customWidth="1"/>
    <col min="2334" max="2334" width="11.5546875" style="109" bestFit="1" customWidth="1"/>
    <col min="2335" max="2335" width="9.33203125" style="109" bestFit="1" customWidth="1"/>
    <col min="2336" max="2336" width="11.5546875" style="109" bestFit="1" customWidth="1"/>
    <col min="2337" max="2337" width="9.33203125" style="109" bestFit="1" customWidth="1"/>
    <col min="2338" max="2338" width="11.5546875" style="109" bestFit="1" customWidth="1"/>
    <col min="2339" max="2339" width="9.33203125" style="109" bestFit="1" customWidth="1"/>
    <col min="2340" max="2340" width="11.5546875" style="109" bestFit="1" customWidth="1"/>
    <col min="2341" max="2341" width="9.33203125" style="109" bestFit="1" customWidth="1"/>
    <col min="2342" max="2342" width="11.5546875" style="109" bestFit="1" customWidth="1"/>
    <col min="2343" max="2343" width="9.33203125" style="109" bestFit="1" customWidth="1"/>
    <col min="2344" max="2344" width="11.5546875" style="109" bestFit="1" customWidth="1"/>
    <col min="2345" max="2345" width="9.33203125" style="109" bestFit="1" customWidth="1"/>
    <col min="2346" max="2346" width="11.5546875" style="109" bestFit="1" customWidth="1"/>
    <col min="2347" max="2347" width="9.33203125" style="109" bestFit="1" customWidth="1"/>
    <col min="2348" max="2348" width="11.5546875" style="109" bestFit="1" customWidth="1"/>
    <col min="2349" max="2349" width="9.33203125" style="109" bestFit="1" customWidth="1"/>
    <col min="2350" max="2350" width="11.5546875" style="109" bestFit="1" customWidth="1"/>
    <col min="2351" max="2351" width="9.33203125" style="109" bestFit="1" customWidth="1"/>
    <col min="2352" max="2352" width="11.5546875" style="109" bestFit="1" customWidth="1"/>
    <col min="2353" max="2353" width="9.33203125" style="109" bestFit="1" customWidth="1"/>
    <col min="2354" max="2354" width="11.5546875" style="109" bestFit="1" customWidth="1"/>
    <col min="2355" max="2355" width="9.33203125" style="109" bestFit="1" customWidth="1"/>
    <col min="2356" max="2562" width="9.109375" style="109"/>
    <col min="2563" max="2563" width="29.44140625" style="109" bestFit="1" customWidth="1"/>
    <col min="2564" max="2564" width="11.5546875" style="109" bestFit="1" customWidth="1"/>
    <col min="2565" max="2565" width="9.33203125" style="109" bestFit="1" customWidth="1"/>
    <col min="2566" max="2566" width="11.5546875" style="109" bestFit="1" customWidth="1"/>
    <col min="2567" max="2567" width="9.33203125" style="109" bestFit="1" customWidth="1"/>
    <col min="2568" max="2568" width="11.5546875" style="109" bestFit="1" customWidth="1"/>
    <col min="2569" max="2569" width="9.33203125" style="109" bestFit="1" customWidth="1"/>
    <col min="2570" max="2570" width="11.5546875" style="109" bestFit="1" customWidth="1"/>
    <col min="2571" max="2571" width="9.33203125" style="109" bestFit="1" customWidth="1"/>
    <col min="2572" max="2572" width="11.5546875" style="109" bestFit="1" customWidth="1"/>
    <col min="2573" max="2573" width="9.33203125" style="109" bestFit="1" customWidth="1"/>
    <col min="2574" max="2574" width="11.5546875" style="109" bestFit="1" customWidth="1"/>
    <col min="2575" max="2575" width="9.33203125" style="109" bestFit="1" customWidth="1"/>
    <col min="2576" max="2576" width="11.5546875" style="109" bestFit="1" customWidth="1"/>
    <col min="2577" max="2577" width="9.33203125" style="109" bestFit="1" customWidth="1"/>
    <col min="2578" max="2578" width="11.5546875" style="109" bestFit="1" customWidth="1"/>
    <col min="2579" max="2579" width="9.33203125" style="109" bestFit="1" customWidth="1"/>
    <col min="2580" max="2580" width="11.5546875" style="109" bestFit="1" customWidth="1"/>
    <col min="2581" max="2581" width="9.33203125" style="109" bestFit="1" customWidth="1"/>
    <col min="2582" max="2582" width="11.5546875" style="109" bestFit="1" customWidth="1"/>
    <col min="2583" max="2583" width="9.33203125" style="109" bestFit="1" customWidth="1"/>
    <col min="2584" max="2584" width="11.5546875" style="109" bestFit="1" customWidth="1"/>
    <col min="2585" max="2585" width="9.33203125" style="109" bestFit="1" customWidth="1"/>
    <col min="2586" max="2586" width="11.5546875" style="109" bestFit="1" customWidth="1"/>
    <col min="2587" max="2587" width="9.33203125" style="109" bestFit="1" customWidth="1"/>
    <col min="2588" max="2588" width="11.5546875" style="109" bestFit="1" customWidth="1"/>
    <col min="2589" max="2589" width="9.33203125" style="109" bestFit="1" customWidth="1"/>
    <col min="2590" max="2590" width="11.5546875" style="109" bestFit="1" customWidth="1"/>
    <col min="2591" max="2591" width="9.33203125" style="109" bestFit="1" customWidth="1"/>
    <col min="2592" max="2592" width="11.5546875" style="109" bestFit="1" customWidth="1"/>
    <col min="2593" max="2593" width="9.33203125" style="109" bestFit="1" customWidth="1"/>
    <col min="2594" max="2594" width="11.5546875" style="109" bestFit="1" customWidth="1"/>
    <col min="2595" max="2595" width="9.33203125" style="109" bestFit="1" customWidth="1"/>
    <col min="2596" max="2596" width="11.5546875" style="109" bestFit="1" customWidth="1"/>
    <col min="2597" max="2597" width="9.33203125" style="109" bestFit="1" customWidth="1"/>
    <col min="2598" max="2598" width="11.5546875" style="109" bestFit="1" customWidth="1"/>
    <col min="2599" max="2599" width="9.33203125" style="109" bestFit="1" customWidth="1"/>
    <col min="2600" max="2600" width="11.5546875" style="109" bestFit="1" customWidth="1"/>
    <col min="2601" max="2601" width="9.33203125" style="109" bestFit="1" customWidth="1"/>
    <col min="2602" max="2602" width="11.5546875" style="109" bestFit="1" customWidth="1"/>
    <col min="2603" max="2603" width="9.33203125" style="109" bestFit="1" customWidth="1"/>
    <col min="2604" max="2604" width="11.5546875" style="109" bestFit="1" customWidth="1"/>
    <col min="2605" max="2605" width="9.33203125" style="109" bestFit="1" customWidth="1"/>
    <col min="2606" max="2606" width="11.5546875" style="109" bestFit="1" customWidth="1"/>
    <col min="2607" max="2607" width="9.33203125" style="109" bestFit="1" customWidth="1"/>
    <col min="2608" max="2608" width="11.5546875" style="109" bestFit="1" customWidth="1"/>
    <col min="2609" max="2609" width="9.33203125" style="109" bestFit="1" customWidth="1"/>
    <col min="2610" max="2610" width="11.5546875" style="109" bestFit="1" customWidth="1"/>
    <col min="2611" max="2611" width="9.33203125" style="109" bestFit="1" customWidth="1"/>
    <col min="2612" max="2818" width="9.109375" style="109"/>
    <col min="2819" max="2819" width="29.44140625" style="109" bestFit="1" customWidth="1"/>
    <col min="2820" max="2820" width="11.5546875" style="109" bestFit="1" customWidth="1"/>
    <col min="2821" max="2821" width="9.33203125" style="109" bestFit="1" customWidth="1"/>
    <col min="2822" max="2822" width="11.5546875" style="109" bestFit="1" customWidth="1"/>
    <col min="2823" max="2823" width="9.33203125" style="109" bestFit="1" customWidth="1"/>
    <col min="2824" max="2824" width="11.5546875" style="109" bestFit="1" customWidth="1"/>
    <col min="2825" max="2825" width="9.33203125" style="109" bestFit="1" customWidth="1"/>
    <col min="2826" max="2826" width="11.5546875" style="109" bestFit="1" customWidth="1"/>
    <col min="2827" max="2827" width="9.33203125" style="109" bestFit="1" customWidth="1"/>
    <col min="2828" max="2828" width="11.5546875" style="109" bestFit="1" customWidth="1"/>
    <col min="2829" max="2829" width="9.33203125" style="109" bestFit="1" customWidth="1"/>
    <col min="2830" max="2830" width="11.5546875" style="109" bestFit="1" customWidth="1"/>
    <col min="2831" max="2831" width="9.33203125" style="109" bestFit="1" customWidth="1"/>
    <col min="2832" max="2832" width="11.5546875" style="109" bestFit="1" customWidth="1"/>
    <col min="2833" max="2833" width="9.33203125" style="109" bestFit="1" customWidth="1"/>
    <col min="2834" max="2834" width="11.5546875" style="109" bestFit="1" customWidth="1"/>
    <col min="2835" max="2835" width="9.33203125" style="109" bestFit="1" customWidth="1"/>
    <col min="2836" max="2836" width="11.5546875" style="109" bestFit="1" customWidth="1"/>
    <col min="2837" max="2837" width="9.33203125" style="109" bestFit="1" customWidth="1"/>
    <col min="2838" max="2838" width="11.5546875" style="109" bestFit="1" customWidth="1"/>
    <col min="2839" max="2839" width="9.33203125" style="109" bestFit="1" customWidth="1"/>
    <col min="2840" max="2840" width="11.5546875" style="109" bestFit="1" customWidth="1"/>
    <col min="2841" max="2841" width="9.33203125" style="109" bestFit="1" customWidth="1"/>
    <col min="2842" max="2842" width="11.5546875" style="109" bestFit="1" customWidth="1"/>
    <col min="2843" max="2843" width="9.33203125" style="109" bestFit="1" customWidth="1"/>
    <col min="2844" max="2844" width="11.5546875" style="109" bestFit="1" customWidth="1"/>
    <col min="2845" max="2845" width="9.33203125" style="109" bestFit="1" customWidth="1"/>
    <col min="2846" max="2846" width="11.5546875" style="109" bestFit="1" customWidth="1"/>
    <col min="2847" max="2847" width="9.33203125" style="109" bestFit="1" customWidth="1"/>
    <col min="2848" max="2848" width="11.5546875" style="109" bestFit="1" customWidth="1"/>
    <col min="2849" max="2849" width="9.33203125" style="109" bestFit="1" customWidth="1"/>
    <col min="2850" max="2850" width="11.5546875" style="109" bestFit="1" customWidth="1"/>
    <col min="2851" max="2851" width="9.33203125" style="109" bestFit="1" customWidth="1"/>
    <col min="2852" max="2852" width="11.5546875" style="109" bestFit="1" customWidth="1"/>
    <col min="2853" max="2853" width="9.33203125" style="109" bestFit="1" customWidth="1"/>
    <col min="2854" max="2854" width="11.5546875" style="109" bestFit="1" customWidth="1"/>
    <col min="2855" max="2855" width="9.33203125" style="109" bestFit="1" customWidth="1"/>
    <col min="2856" max="2856" width="11.5546875" style="109" bestFit="1" customWidth="1"/>
    <col min="2857" max="2857" width="9.33203125" style="109" bestFit="1" customWidth="1"/>
    <col min="2858" max="2858" width="11.5546875" style="109" bestFit="1" customWidth="1"/>
    <col min="2859" max="2859" width="9.33203125" style="109" bestFit="1" customWidth="1"/>
    <col min="2860" max="2860" width="11.5546875" style="109" bestFit="1" customWidth="1"/>
    <col min="2861" max="2861" width="9.33203125" style="109" bestFit="1" customWidth="1"/>
    <col min="2862" max="2862" width="11.5546875" style="109" bestFit="1" customWidth="1"/>
    <col min="2863" max="2863" width="9.33203125" style="109" bestFit="1" customWidth="1"/>
    <col min="2864" max="2864" width="11.5546875" style="109" bestFit="1" customWidth="1"/>
    <col min="2865" max="2865" width="9.33203125" style="109" bestFit="1" customWidth="1"/>
    <col min="2866" max="2866" width="11.5546875" style="109" bestFit="1" customWidth="1"/>
    <col min="2867" max="2867" width="9.33203125" style="109" bestFit="1" customWidth="1"/>
    <col min="2868" max="3074" width="9.109375" style="109"/>
    <col min="3075" max="3075" width="29.44140625" style="109" bestFit="1" customWidth="1"/>
    <col min="3076" max="3076" width="11.5546875" style="109" bestFit="1" customWidth="1"/>
    <col min="3077" max="3077" width="9.33203125" style="109" bestFit="1" customWidth="1"/>
    <col min="3078" max="3078" width="11.5546875" style="109" bestFit="1" customWidth="1"/>
    <col min="3079" max="3079" width="9.33203125" style="109" bestFit="1" customWidth="1"/>
    <col min="3080" max="3080" width="11.5546875" style="109" bestFit="1" customWidth="1"/>
    <col min="3081" max="3081" width="9.33203125" style="109" bestFit="1" customWidth="1"/>
    <col min="3082" max="3082" width="11.5546875" style="109" bestFit="1" customWidth="1"/>
    <col min="3083" max="3083" width="9.33203125" style="109" bestFit="1" customWidth="1"/>
    <col min="3084" max="3084" width="11.5546875" style="109" bestFit="1" customWidth="1"/>
    <col min="3085" max="3085" width="9.33203125" style="109" bestFit="1" customWidth="1"/>
    <col min="3086" max="3086" width="11.5546875" style="109" bestFit="1" customWidth="1"/>
    <col min="3087" max="3087" width="9.33203125" style="109" bestFit="1" customWidth="1"/>
    <col min="3088" max="3088" width="11.5546875" style="109" bestFit="1" customWidth="1"/>
    <col min="3089" max="3089" width="9.33203125" style="109" bestFit="1" customWidth="1"/>
    <col min="3090" max="3090" width="11.5546875" style="109" bestFit="1" customWidth="1"/>
    <col min="3091" max="3091" width="9.33203125" style="109" bestFit="1" customWidth="1"/>
    <col min="3092" max="3092" width="11.5546875" style="109" bestFit="1" customWidth="1"/>
    <col min="3093" max="3093" width="9.33203125" style="109" bestFit="1" customWidth="1"/>
    <col min="3094" max="3094" width="11.5546875" style="109" bestFit="1" customWidth="1"/>
    <col min="3095" max="3095" width="9.33203125" style="109" bestFit="1" customWidth="1"/>
    <col min="3096" max="3096" width="11.5546875" style="109" bestFit="1" customWidth="1"/>
    <col min="3097" max="3097" width="9.33203125" style="109" bestFit="1" customWidth="1"/>
    <col min="3098" max="3098" width="11.5546875" style="109" bestFit="1" customWidth="1"/>
    <col min="3099" max="3099" width="9.33203125" style="109" bestFit="1" customWidth="1"/>
    <col min="3100" max="3100" width="11.5546875" style="109" bestFit="1" customWidth="1"/>
    <col min="3101" max="3101" width="9.33203125" style="109" bestFit="1" customWidth="1"/>
    <col min="3102" max="3102" width="11.5546875" style="109" bestFit="1" customWidth="1"/>
    <col min="3103" max="3103" width="9.33203125" style="109" bestFit="1" customWidth="1"/>
    <col min="3104" max="3104" width="11.5546875" style="109" bestFit="1" customWidth="1"/>
    <col min="3105" max="3105" width="9.33203125" style="109" bestFit="1" customWidth="1"/>
    <col min="3106" max="3106" width="11.5546875" style="109" bestFit="1" customWidth="1"/>
    <col min="3107" max="3107" width="9.33203125" style="109" bestFit="1" customWidth="1"/>
    <col min="3108" max="3108" width="11.5546875" style="109" bestFit="1" customWidth="1"/>
    <col min="3109" max="3109" width="9.33203125" style="109" bestFit="1" customWidth="1"/>
    <col min="3110" max="3110" width="11.5546875" style="109" bestFit="1" customWidth="1"/>
    <col min="3111" max="3111" width="9.33203125" style="109" bestFit="1" customWidth="1"/>
    <col min="3112" max="3112" width="11.5546875" style="109" bestFit="1" customWidth="1"/>
    <col min="3113" max="3113" width="9.33203125" style="109" bestFit="1" customWidth="1"/>
    <col min="3114" max="3114" width="11.5546875" style="109" bestFit="1" customWidth="1"/>
    <col min="3115" max="3115" width="9.33203125" style="109" bestFit="1" customWidth="1"/>
    <col min="3116" max="3116" width="11.5546875" style="109" bestFit="1" customWidth="1"/>
    <col min="3117" max="3117" width="9.33203125" style="109" bestFit="1" customWidth="1"/>
    <col min="3118" max="3118" width="11.5546875" style="109" bestFit="1" customWidth="1"/>
    <col min="3119" max="3119" width="9.33203125" style="109" bestFit="1" customWidth="1"/>
    <col min="3120" max="3120" width="11.5546875" style="109" bestFit="1" customWidth="1"/>
    <col min="3121" max="3121" width="9.33203125" style="109" bestFit="1" customWidth="1"/>
    <col min="3122" max="3122" width="11.5546875" style="109" bestFit="1" customWidth="1"/>
    <col min="3123" max="3123" width="9.33203125" style="109" bestFit="1" customWidth="1"/>
    <col min="3124" max="3330" width="9.109375" style="109"/>
    <col min="3331" max="3331" width="29.44140625" style="109" bestFit="1" customWidth="1"/>
    <col min="3332" max="3332" width="11.5546875" style="109" bestFit="1" customWidth="1"/>
    <col min="3333" max="3333" width="9.33203125" style="109" bestFit="1" customWidth="1"/>
    <col min="3334" max="3334" width="11.5546875" style="109" bestFit="1" customWidth="1"/>
    <col min="3335" max="3335" width="9.33203125" style="109" bestFit="1" customWidth="1"/>
    <col min="3336" max="3336" width="11.5546875" style="109" bestFit="1" customWidth="1"/>
    <col min="3337" max="3337" width="9.33203125" style="109" bestFit="1" customWidth="1"/>
    <col min="3338" max="3338" width="11.5546875" style="109" bestFit="1" customWidth="1"/>
    <col min="3339" max="3339" width="9.33203125" style="109" bestFit="1" customWidth="1"/>
    <col min="3340" max="3340" width="11.5546875" style="109" bestFit="1" customWidth="1"/>
    <col min="3341" max="3341" width="9.33203125" style="109" bestFit="1" customWidth="1"/>
    <col min="3342" max="3342" width="11.5546875" style="109" bestFit="1" customWidth="1"/>
    <col min="3343" max="3343" width="9.33203125" style="109" bestFit="1" customWidth="1"/>
    <col min="3344" max="3344" width="11.5546875" style="109" bestFit="1" customWidth="1"/>
    <col min="3345" max="3345" width="9.33203125" style="109" bestFit="1" customWidth="1"/>
    <col min="3346" max="3346" width="11.5546875" style="109" bestFit="1" customWidth="1"/>
    <col min="3347" max="3347" width="9.33203125" style="109" bestFit="1" customWidth="1"/>
    <col min="3348" max="3348" width="11.5546875" style="109" bestFit="1" customWidth="1"/>
    <col min="3349" max="3349" width="9.33203125" style="109" bestFit="1" customWidth="1"/>
    <col min="3350" max="3350" width="11.5546875" style="109" bestFit="1" customWidth="1"/>
    <col min="3351" max="3351" width="9.33203125" style="109" bestFit="1" customWidth="1"/>
    <col min="3352" max="3352" width="11.5546875" style="109" bestFit="1" customWidth="1"/>
    <col min="3353" max="3353" width="9.33203125" style="109" bestFit="1" customWidth="1"/>
    <col min="3354" max="3354" width="11.5546875" style="109" bestFit="1" customWidth="1"/>
    <col min="3355" max="3355" width="9.33203125" style="109" bestFit="1" customWidth="1"/>
    <col min="3356" max="3356" width="11.5546875" style="109" bestFit="1" customWidth="1"/>
    <col min="3357" max="3357" width="9.33203125" style="109" bestFit="1" customWidth="1"/>
    <col min="3358" max="3358" width="11.5546875" style="109" bestFit="1" customWidth="1"/>
    <col min="3359" max="3359" width="9.33203125" style="109" bestFit="1" customWidth="1"/>
    <col min="3360" max="3360" width="11.5546875" style="109" bestFit="1" customWidth="1"/>
    <col min="3361" max="3361" width="9.33203125" style="109" bestFit="1" customWidth="1"/>
    <col min="3362" max="3362" width="11.5546875" style="109" bestFit="1" customWidth="1"/>
    <col min="3363" max="3363" width="9.33203125" style="109" bestFit="1" customWidth="1"/>
    <col min="3364" max="3364" width="11.5546875" style="109" bestFit="1" customWidth="1"/>
    <col min="3365" max="3365" width="9.33203125" style="109" bestFit="1" customWidth="1"/>
    <col min="3366" max="3366" width="11.5546875" style="109" bestFit="1" customWidth="1"/>
    <col min="3367" max="3367" width="9.33203125" style="109" bestFit="1" customWidth="1"/>
    <col min="3368" max="3368" width="11.5546875" style="109" bestFit="1" customWidth="1"/>
    <col min="3369" max="3369" width="9.33203125" style="109" bestFit="1" customWidth="1"/>
    <col min="3370" max="3370" width="11.5546875" style="109" bestFit="1" customWidth="1"/>
    <col min="3371" max="3371" width="9.33203125" style="109" bestFit="1" customWidth="1"/>
    <col min="3372" max="3372" width="11.5546875" style="109" bestFit="1" customWidth="1"/>
    <col min="3373" max="3373" width="9.33203125" style="109" bestFit="1" customWidth="1"/>
    <col min="3374" max="3374" width="11.5546875" style="109" bestFit="1" customWidth="1"/>
    <col min="3375" max="3375" width="9.33203125" style="109" bestFit="1" customWidth="1"/>
    <col min="3376" max="3376" width="11.5546875" style="109" bestFit="1" customWidth="1"/>
    <col min="3377" max="3377" width="9.33203125" style="109" bestFit="1" customWidth="1"/>
    <col min="3378" max="3378" width="11.5546875" style="109" bestFit="1" customWidth="1"/>
    <col min="3379" max="3379" width="9.33203125" style="109" bestFit="1" customWidth="1"/>
    <col min="3380" max="3586" width="9.109375" style="109"/>
    <col min="3587" max="3587" width="29.44140625" style="109" bestFit="1" customWidth="1"/>
    <col min="3588" max="3588" width="11.5546875" style="109" bestFit="1" customWidth="1"/>
    <col min="3589" max="3589" width="9.33203125" style="109" bestFit="1" customWidth="1"/>
    <col min="3590" max="3590" width="11.5546875" style="109" bestFit="1" customWidth="1"/>
    <col min="3591" max="3591" width="9.33203125" style="109" bestFit="1" customWidth="1"/>
    <col min="3592" max="3592" width="11.5546875" style="109" bestFit="1" customWidth="1"/>
    <col min="3593" max="3593" width="9.33203125" style="109" bestFit="1" customWidth="1"/>
    <col min="3594" max="3594" width="11.5546875" style="109" bestFit="1" customWidth="1"/>
    <col min="3595" max="3595" width="9.33203125" style="109" bestFit="1" customWidth="1"/>
    <col min="3596" max="3596" width="11.5546875" style="109" bestFit="1" customWidth="1"/>
    <col min="3597" max="3597" width="9.33203125" style="109" bestFit="1" customWidth="1"/>
    <col min="3598" max="3598" width="11.5546875" style="109" bestFit="1" customWidth="1"/>
    <col min="3599" max="3599" width="9.33203125" style="109" bestFit="1" customWidth="1"/>
    <col min="3600" max="3600" width="11.5546875" style="109" bestFit="1" customWidth="1"/>
    <col min="3601" max="3601" width="9.33203125" style="109" bestFit="1" customWidth="1"/>
    <col min="3602" max="3602" width="11.5546875" style="109" bestFit="1" customWidth="1"/>
    <col min="3603" max="3603" width="9.33203125" style="109" bestFit="1" customWidth="1"/>
    <col min="3604" max="3604" width="11.5546875" style="109" bestFit="1" customWidth="1"/>
    <col min="3605" max="3605" width="9.33203125" style="109" bestFit="1" customWidth="1"/>
    <col min="3606" max="3606" width="11.5546875" style="109" bestFit="1" customWidth="1"/>
    <col min="3607" max="3607" width="9.33203125" style="109" bestFit="1" customWidth="1"/>
    <col min="3608" max="3608" width="11.5546875" style="109" bestFit="1" customWidth="1"/>
    <col min="3609" max="3609" width="9.33203125" style="109" bestFit="1" customWidth="1"/>
    <col min="3610" max="3610" width="11.5546875" style="109" bestFit="1" customWidth="1"/>
    <col min="3611" max="3611" width="9.33203125" style="109" bestFit="1" customWidth="1"/>
    <col min="3612" max="3612" width="11.5546875" style="109" bestFit="1" customWidth="1"/>
    <col min="3613" max="3613" width="9.33203125" style="109" bestFit="1" customWidth="1"/>
    <col min="3614" max="3614" width="11.5546875" style="109" bestFit="1" customWidth="1"/>
    <col min="3615" max="3615" width="9.33203125" style="109" bestFit="1" customWidth="1"/>
    <col min="3616" max="3616" width="11.5546875" style="109" bestFit="1" customWidth="1"/>
    <col min="3617" max="3617" width="9.33203125" style="109" bestFit="1" customWidth="1"/>
    <col min="3618" max="3618" width="11.5546875" style="109" bestFit="1" customWidth="1"/>
    <col min="3619" max="3619" width="9.33203125" style="109" bestFit="1" customWidth="1"/>
    <col min="3620" max="3620" width="11.5546875" style="109" bestFit="1" customWidth="1"/>
    <col min="3621" max="3621" width="9.33203125" style="109" bestFit="1" customWidth="1"/>
    <col min="3622" max="3622" width="11.5546875" style="109" bestFit="1" customWidth="1"/>
    <col min="3623" max="3623" width="9.33203125" style="109" bestFit="1" customWidth="1"/>
    <col min="3624" max="3624" width="11.5546875" style="109" bestFit="1" customWidth="1"/>
    <col min="3625" max="3625" width="9.33203125" style="109" bestFit="1" customWidth="1"/>
    <col min="3626" max="3626" width="11.5546875" style="109" bestFit="1" customWidth="1"/>
    <col min="3627" max="3627" width="9.33203125" style="109" bestFit="1" customWidth="1"/>
    <col min="3628" max="3628" width="11.5546875" style="109" bestFit="1" customWidth="1"/>
    <col min="3629" max="3629" width="9.33203125" style="109" bestFit="1" customWidth="1"/>
    <col min="3630" max="3630" width="11.5546875" style="109" bestFit="1" customWidth="1"/>
    <col min="3631" max="3631" width="9.33203125" style="109" bestFit="1" customWidth="1"/>
    <col min="3632" max="3632" width="11.5546875" style="109" bestFit="1" customWidth="1"/>
    <col min="3633" max="3633" width="9.33203125" style="109" bestFit="1" customWidth="1"/>
    <col min="3634" max="3634" width="11.5546875" style="109" bestFit="1" customWidth="1"/>
    <col min="3635" max="3635" width="9.33203125" style="109" bestFit="1" customWidth="1"/>
    <col min="3636" max="3842" width="9.109375" style="109"/>
    <col min="3843" max="3843" width="29.44140625" style="109" bestFit="1" customWidth="1"/>
    <col min="3844" max="3844" width="11.5546875" style="109" bestFit="1" customWidth="1"/>
    <col min="3845" max="3845" width="9.33203125" style="109" bestFit="1" customWidth="1"/>
    <col min="3846" max="3846" width="11.5546875" style="109" bestFit="1" customWidth="1"/>
    <col min="3847" max="3847" width="9.33203125" style="109" bestFit="1" customWidth="1"/>
    <col min="3848" max="3848" width="11.5546875" style="109" bestFit="1" customWidth="1"/>
    <col min="3849" max="3849" width="9.33203125" style="109" bestFit="1" customWidth="1"/>
    <col min="3850" max="3850" width="11.5546875" style="109" bestFit="1" customWidth="1"/>
    <col min="3851" max="3851" width="9.33203125" style="109" bestFit="1" customWidth="1"/>
    <col min="3852" max="3852" width="11.5546875" style="109" bestFit="1" customWidth="1"/>
    <col min="3853" max="3853" width="9.33203125" style="109" bestFit="1" customWidth="1"/>
    <col min="3854" max="3854" width="11.5546875" style="109" bestFit="1" customWidth="1"/>
    <col min="3855" max="3855" width="9.33203125" style="109" bestFit="1" customWidth="1"/>
    <col min="3856" max="3856" width="11.5546875" style="109" bestFit="1" customWidth="1"/>
    <col min="3857" max="3857" width="9.33203125" style="109" bestFit="1" customWidth="1"/>
    <col min="3858" max="3858" width="11.5546875" style="109" bestFit="1" customWidth="1"/>
    <col min="3859" max="3859" width="9.33203125" style="109" bestFit="1" customWidth="1"/>
    <col min="3860" max="3860" width="11.5546875" style="109" bestFit="1" customWidth="1"/>
    <col min="3861" max="3861" width="9.33203125" style="109" bestFit="1" customWidth="1"/>
    <col min="3862" max="3862" width="11.5546875" style="109" bestFit="1" customWidth="1"/>
    <col min="3863" max="3863" width="9.33203125" style="109" bestFit="1" customWidth="1"/>
    <col min="3864" max="3864" width="11.5546875" style="109" bestFit="1" customWidth="1"/>
    <col min="3865" max="3865" width="9.33203125" style="109" bestFit="1" customWidth="1"/>
    <col min="3866" max="3866" width="11.5546875" style="109" bestFit="1" customWidth="1"/>
    <col min="3867" max="3867" width="9.33203125" style="109" bestFit="1" customWidth="1"/>
    <col min="3868" max="3868" width="11.5546875" style="109" bestFit="1" customWidth="1"/>
    <col min="3869" max="3869" width="9.33203125" style="109" bestFit="1" customWidth="1"/>
    <col min="3870" max="3870" width="11.5546875" style="109" bestFit="1" customWidth="1"/>
    <col min="3871" max="3871" width="9.33203125" style="109" bestFit="1" customWidth="1"/>
    <col min="3872" max="3872" width="11.5546875" style="109" bestFit="1" customWidth="1"/>
    <col min="3873" max="3873" width="9.33203125" style="109" bestFit="1" customWidth="1"/>
    <col min="3874" max="3874" width="11.5546875" style="109" bestFit="1" customWidth="1"/>
    <col min="3875" max="3875" width="9.33203125" style="109" bestFit="1" customWidth="1"/>
    <col min="3876" max="3876" width="11.5546875" style="109" bestFit="1" customWidth="1"/>
    <col min="3877" max="3877" width="9.33203125" style="109" bestFit="1" customWidth="1"/>
    <col min="3878" max="3878" width="11.5546875" style="109" bestFit="1" customWidth="1"/>
    <col min="3879" max="3879" width="9.33203125" style="109" bestFit="1" customWidth="1"/>
    <col min="3880" max="3880" width="11.5546875" style="109" bestFit="1" customWidth="1"/>
    <col min="3881" max="3881" width="9.33203125" style="109" bestFit="1" customWidth="1"/>
    <col min="3882" max="3882" width="11.5546875" style="109" bestFit="1" customWidth="1"/>
    <col min="3883" max="3883" width="9.33203125" style="109" bestFit="1" customWidth="1"/>
    <col min="3884" max="3884" width="11.5546875" style="109" bestFit="1" customWidth="1"/>
    <col min="3885" max="3885" width="9.33203125" style="109" bestFit="1" customWidth="1"/>
    <col min="3886" max="3886" width="11.5546875" style="109" bestFit="1" customWidth="1"/>
    <col min="3887" max="3887" width="9.33203125" style="109" bestFit="1" customWidth="1"/>
    <col min="3888" max="3888" width="11.5546875" style="109" bestFit="1" customWidth="1"/>
    <col min="3889" max="3889" width="9.33203125" style="109" bestFit="1" customWidth="1"/>
    <col min="3890" max="3890" width="11.5546875" style="109" bestFit="1" customWidth="1"/>
    <col min="3891" max="3891" width="9.33203125" style="109" bestFit="1" customWidth="1"/>
    <col min="3892" max="4098" width="9.109375" style="109"/>
    <col min="4099" max="4099" width="29.44140625" style="109" bestFit="1" customWidth="1"/>
    <col min="4100" max="4100" width="11.5546875" style="109" bestFit="1" customWidth="1"/>
    <col min="4101" max="4101" width="9.33203125" style="109" bestFit="1" customWidth="1"/>
    <col min="4102" max="4102" width="11.5546875" style="109" bestFit="1" customWidth="1"/>
    <col min="4103" max="4103" width="9.33203125" style="109" bestFit="1" customWidth="1"/>
    <col min="4104" max="4104" width="11.5546875" style="109" bestFit="1" customWidth="1"/>
    <col min="4105" max="4105" width="9.33203125" style="109" bestFit="1" customWidth="1"/>
    <col min="4106" max="4106" width="11.5546875" style="109" bestFit="1" customWidth="1"/>
    <col min="4107" max="4107" width="9.33203125" style="109" bestFit="1" customWidth="1"/>
    <col min="4108" max="4108" width="11.5546875" style="109" bestFit="1" customWidth="1"/>
    <col min="4109" max="4109" width="9.33203125" style="109" bestFit="1" customWidth="1"/>
    <col min="4110" max="4110" width="11.5546875" style="109" bestFit="1" customWidth="1"/>
    <col min="4111" max="4111" width="9.33203125" style="109" bestFit="1" customWidth="1"/>
    <col min="4112" max="4112" width="11.5546875" style="109" bestFit="1" customWidth="1"/>
    <col min="4113" max="4113" width="9.33203125" style="109" bestFit="1" customWidth="1"/>
    <col min="4114" max="4114" width="11.5546875" style="109" bestFit="1" customWidth="1"/>
    <col min="4115" max="4115" width="9.33203125" style="109" bestFit="1" customWidth="1"/>
    <col min="4116" max="4116" width="11.5546875" style="109" bestFit="1" customWidth="1"/>
    <col min="4117" max="4117" width="9.33203125" style="109" bestFit="1" customWidth="1"/>
    <col min="4118" max="4118" width="11.5546875" style="109" bestFit="1" customWidth="1"/>
    <col min="4119" max="4119" width="9.33203125" style="109" bestFit="1" customWidth="1"/>
    <col min="4120" max="4120" width="11.5546875" style="109" bestFit="1" customWidth="1"/>
    <col min="4121" max="4121" width="9.33203125" style="109" bestFit="1" customWidth="1"/>
    <col min="4122" max="4122" width="11.5546875" style="109" bestFit="1" customWidth="1"/>
    <col min="4123" max="4123" width="9.33203125" style="109" bestFit="1" customWidth="1"/>
    <col min="4124" max="4124" width="11.5546875" style="109" bestFit="1" customWidth="1"/>
    <col min="4125" max="4125" width="9.33203125" style="109" bestFit="1" customWidth="1"/>
    <col min="4126" max="4126" width="11.5546875" style="109" bestFit="1" customWidth="1"/>
    <col min="4127" max="4127" width="9.33203125" style="109" bestFit="1" customWidth="1"/>
    <col min="4128" max="4128" width="11.5546875" style="109" bestFit="1" customWidth="1"/>
    <col min="4129" max="4129" width="9.33203125" style="109" bestFit="1" customWidth="1"/>
    <col min="4130" max="4130" width="11.5546875" style="109" bestFit="1" customWidth="1"/>
    <col min="4131" max="4131" width="9.33203125" style="109" bestFit="1" customWidth="1"/>
    <col min="4132" max="4132" width="11.5546875" style="109" bestFit="1" customWidth="1"/>
    <col min="4133" max="4133" width="9.33203125" style="109" bestFit="1" customWidth="1"/>
    <col min="4134" max="4134" width="11.5546875" style="109" bestFit="1" customWidth="1"/>
    <col min="4135" max="4135" width="9.33203125" style="109" bestFit="1" customWidth="1"/>
    <col min="4136" max="4136" width="11.5546875" style="109" bestFit="1" customWidth="1"/>
    <col min="4137" max="4137" width="9.33203125" style="109" bestFit="1" customWidth="1"/>
    <col min="4138" max="4138" width="11.5546875" style="109" bestFit="1" customWidth="1"/>
    <col min="4139" max="4139" width="9.33203125" style="109" bestFit="1" customWidth="1"/>
    <col min="4140" max="4140" width="11.5546875" style="109" bestFit="1" customWidth="1"/>
    <col min="4141" max="4141" width="9.33203125" style="109" bestFit="1" customWidth="1"/>
    <col min="4142" max="4142" width="11.5546875" style="109" bestFit="1" customWidth="1"/>
    <col min="4143" max="4143" width="9.33203125" style="109" bestFit="1" customWidth="1"/>
    <col min="4144" max="4144" width="11.5546875" style="109" bestFit="1" customWidth="1"/>
    <col min="4145" max="4145" width="9.33203125" style="109" bestFit="1" customWidth="1"/>
    <col min="4146" max="4146" width="11.5546875" style="109" bestFit="1" customWidth="1"/>
    <col min="4147" max="4147" width="9.33203125" style="109" bestFit="1" customWidth="1"/>
    <col min="4148" max="4354" width="9.109375" style="109"/>
    <col min="4355" max="4355" width="29.44140625" style="109" bestFit="1" customWidth="1"/>
    <col min="4356" max="4356" width="11.5546875" style="109" bestFit="1" customWidth="1"/>
    <col min="4357" max="4357" width="9.33203125" style="109" bestFit="1" customWidth="1"/>
    <col min="4358" max="4358" width="11.5546875" style="109" bestFit="1" customWidth="1"/>
    <col min="4359" max="4359" width="9.33203125" style="109" bestFit="1" customWidth="1"/>
    <col min="4360" max="4360" width="11.5546875" style="109" bestFit="1" customWidth="1"/>
    <col min="4361" max="4361" width="9.33203125" style="109" bestFit="1" customWidth="1"/>
    <col min="4362" max="4362" width="11.5546875" style="109" bestFit="1" customWidth="1"/>
    <col min="4363" max="4363" width="9.33203125" style="109" bestFit="1" customWidth="1"/>
    <col min="4364" max="4364" width="11.5546875" style="109" bestFit="1" customWidth="1"/>
    <col min="4365" max="4365" width="9.33203125" style="109" bestFit="1" customWidth="1"/>
    <col min="4366" max="4366" width="11.5546875" style="109" bestFit="1" customWidth="1"/>
    <col min="4367" max="4367" width="9.33203125" style="109" bestFit="1" customWidth="1"/>
    <col min="4368" max="4368" width="11.5546875" style="109" bestFit="1" customWidth="1"/>
    <col min="4369" max="4369" width="9.33203125" style="109" bestFit="1" customWidth="1"/>
    <col min="4370" max="4370" width="11.5546875" style="109" bestFit="1" customWidth="1"/>
    <col min="4371" max="4371" width="9.33203125" style="109" bestFit="1" customWidth="1"/>
    <col min="4372" max="4372" width="11.5546875" style="109" bestFit="1" customWidth="1"/>
    <col min="4373" max="4373" width="9.33203125" style="109" bestFit="1" customWidth="1"/>
    <col min="4374" max="4374" width="11.5546875" style="109" bestFit="1" customWidth="1"/>
    <col min="4375" max="4375" width="9.33203125" style="109" bestFit="1" customWidth="1"/>
    <col min="4376" max="4376" width="11.5546875" style="109" bestFit="1" customWidth="1"/>
    <col min="4377" max="4377" width="9.33203125" style="109" bestFit="1" customWidth="1"/>
    <col min="4378" max="4378" width="11.5546875" style="109" bestFit="1" customWidth="1"/>
    <col min="4379" max="4379" width="9.33203125" style="109" bestFit="1" customWidth="1"/>
    <col min="4380" max="4380" width="11.5546875" style="109" bestFit="1" customWidth="1"/>
    <col min="4381" max="4381" width="9.33203125" style="109" bestFit="1" customWidth="1"/>
    <col min="4382" max="4382" width="11.5546875" style="109" bestFit="1" customWidth="1"/>
    <col min="4383" max="4383" width="9.33203125" style="109" bestFit="1" customWidth="1"/>
    <col min="4384" max="4384" width="11.5546875" style="109" bestFit="1" customWidth="1"/>
    <col min="4385" max="4385" width="9.33203125" style="109" bestFit="1" customWidth="1"/>
    <col min="4386" max="4386" width="11.5546875" style="109" bestFit="1" customWidth="1"/>
    <col min="4387" max="4387" width="9.33203125" style="109" bestFit="1" customWidth="1"/>
    <col min="4388" max="4388" width="11.5546875" style="109" bestFit="1" customWidth="1"/>
    <col min="4389" max="4389" width="9.33203125" style="109" bestFit="1" customWidth="1"/>
    <col min="4390" max="4390" width="11.5546875" style="109" bestFit="1" customWidth="1"/>
    <col min="4391" max="4391" width="9.33203125" style="109" bestFit="1" customWidth="1"/>
    <col min="4392" max="4392" width="11.5546875" style="109" bestFit="1" customWidth="1"/>
    <col min="4393" max="4393" width="9.33203125" style="109" bestFit="1" customWidth="1"/>
    <col min="4394" max="4394" width="11.5546875" style="109" bestFit="1" customWidth="1"/>
    <col min="4395" max="4395" width="9.33203125" style="109" bestFit="1" customWidth="1"/>
    <col min="4396" max="4396" width="11.5546875" style="109" bestFit="1" customWidth="1"/>
    <col min="4397" max="4397" width="9.33203125" style="109" bestFit="1" customWidth="1"/>
    <col min="4398" max="4398" width="11.5546875" style="109" bestFit="1" customWidth="1"/>
    <col min="4399" max="4399" width="9.33203125" style="109" bestFit="1" customWidth="1"/>
    <col min="4400" max="4400" width="11.5546875" style="109" bestFit="1" customWidth="1"/>
    <col min="4401" max="4401" width="9.33203125" style="109" bestFit="1" customWidth="1"/>
    <col min="4402" max="4402" width="11.5546875" style="109" bestFit="1" customWidth="1"/>
    <col min="4403" max="4403" width="9.33203125" style="109" bestFit="1" customWidth="1"/>
    <col min="4404" max="4610" width="9.109375" style="109"/>
    <col min="4611" max="4611" width="29.44140625" style="109" bestFit="1" customWidth="1"/>
    <col min="4612" max="4612" width="11.5546875" style="109" bestFit="1" customWidth="1"/>
    <col min="4613" max="4613" width="9.33203125" style="109" bestFit="1" customWidth="1"/>
    <col min="4614" max="4614" width="11.5546875" style="109" bestFit="1" customWidth="1"/>
    <col min="4615" max="4615" width="9.33203125" style="109" bestFit="1" customWidth="1"/>
    <col min="4616" max="4616" width="11.5546875" style="109" bestFit="1" customWidth="1"/>
    <col min="4617" max="4617" width="9.33203125" style="109" bestFit="1" customWidth="1"/>
    <col min="4618" max="4618" width="11.5546875" style="109" bestFit="1" customWidth="1"/>
    <col min="4619" max="4619" width="9.33203125" style="109" bestFit="1" customWidth="1"/>
    <col min="4620" max="4620" width="11.5546875" style="109" bestFit="1" customWidth="1"/>
    <col min="4621" max="4621" width="9.33203125" style="109" bestFit="1" customWidth="1"/>
    <col min="4622" max="4622" width="11.5546875" style="109" bestFit="1" customWidth="1"/>
    <col min="4623" max="4623" width="9.33203125" style="109" bestFit="1" customWidth="1"/>
    <col min="4624" max="4624" width="11.5546875" style="109" bestFit="1" customWidth="1"/>
    <col min="4625" max="4625" width="9.33203125" style="109" bestFit="1" customWidth="1"/>
    <col min="4626" max="4626" width="11.5546875" style="109" bestFit="1" customWidth="1"/>
    <col min="4627" max="4627" width="9.33203125" style="109" bestFit="1" customWidth="1"/>
    <col min="4628" max="4628" width="11.5546875" style="109" bestFit="1" customWidth="1"/>
    <col min="4629" max="4629" width="9.33203125" style="109" bestFit="1" customWidth="1"/>
    <col min="4630" max="4630" width="11.5546875" style="109" bestFit="1" customWidth="1"/>
    <col min="4631" max="4631" width="9.33203125" style="109" bestFit="1" customWidth="1"/>
    <col min="4632" max="4632" width="11.5546875" style="109" bestFit="1" customWidth="1"/>
    <col min="4633" max="4633" width="9.33203125" style="109" bestFit="1" customWidth="1"/>
    <col min="4634" max="4634" width="11.5546875" style="109" bestFit="1" customWidth="1"/>
    <col min="4635" max="4635" width="9.33203125" style="109" bestFit="1" customWidth="1"/>
    <col min="4636" max="4636" width="11.5546875" style="109" bestFit="1" customWidth="1"/>
    <col min="4637" max="4637" width="9.33203125" style="109" bestFit="1" customWidth="1"/>
    <col min="4638" max="4638" width="11.5546875" style="109" bestFit="1" customWidth="1"/>
    <col min="4639" max="4639" width="9.33203125" style="109" bestFit="1" customWidth="1"/>
    <col min="4640" max="4640" width="11.5546875" style="109" bestFit="1" customWidth="1"/>
    <col min="4641" max="4641" width="9.33203125" style="109" bestFit="1" customWidth="1"/>
    <col min="4642" max="4642" width="11.5546875" style="109" bestFit="1" customWidth="1"/>
    <col min="4643" max="4643" width="9.33203125" style="109" bestFit="1" customWidth="1"/>
    <col min="4644" max="4644" width="11.5546875" style="109" bestFit="1" customWidth="1"/>
    <col min="4645" max="4645" width="9.33203125" style="109" bestFit="1" customWidth="1"/>
    <col min="4646" max="4646" width="11.5546875" style="109" bestFit="1" customWidth="1"/>
    <col min="4647" max="4647" width="9.33203125" style="109" bestFit="1" customWidth="1"/>
    <col min="4648" max="4648" width="11.5546875" style="109" bestFit="1" customWidth="1"/>
    <col min="4649" max="4649" width="9.33203125" style="109" bestFit="1" customWidth="1"/>
    <col min="4650" max="4650" width="11.5546875" style="109" bestFit="1" customWidth="1"/>
    <col min="4651" max="4651" width="9.33203125" style="109" bestFit="1" customWidth="1"/>
    <col min="4652" max="4652" width="11.5546875" style="109" bestFit="1" customWidth="1"/>
    <col min="4653" max="4653" width="9.33203125" style="109" bestFit="1" customWidth="1"/>
    <col min="4654" max="4654" width="11.5546875" style="109" bestFit="1" customWidth="1"/>
    <col min="4655" max="4655" width="9.33203125" style="109" bestFit="1" customWidth="1"/>
    <col min="4656" max="4656" width="11.5546875" style="109" bestFit="1" customWidth="1"/>
    <col min="4657" max="4657" width="9.33203125" style="109" bestFit="1" customWidth="1"/>
    <col min="4658" max="4658" width="11.5546875" style="109" bestFit="1" customWidth="1"/>
    <col min="4659" max="4659" width="9.33203125" style="109" bestFit="1" customWidth="1"/>
    <col min="4660" max="4866" width="9.109375" style="109"/>
    <col min="4867" max="4867" width="29.44140625" style="109" bestFit="1" customWidth="1"/>
    <col min="4868" max="4868" width="11.5546875" style="109" bestFit="1" customWidth="1"/>
    <col min="4869" max="4869" width="9.33203125" style="109" bestFit="1" customWidth="1"/>
    <col min="4870" max="4870" width="11.5546875" style="109" bestFit="1" customWidth="1"/>
    <col min="4871" max="4871" width="9.33203125" style="109" bestFit="1" customWidth="1"/>
    <col min="4872" max="4872" width="11.5546875" style="109" bestFit="1" customWidth="1"/>
    <col min="4873" max="4873" width="9.33203125" style="109" bestFit="1" customWidth="1"/>
    <col min="4874" max="4874" width="11.5546875" style="109" bestFit="1" customWidth="1"/>
    <col min="4875" max="4875" width="9.33203125" style="109" bestFit="1" customWidth="1"/>
    <col min="4876" max="4876" width="11.5546875" style="109" bestFit="1" customWidth="1"/>
    <col min="4877" max="4877" width="9.33203125" style="109" bestFit="1" customWidth="1"/>
    <col min="4878" max="4878" width="11.5546875" style="109" bestFit="1" customWidth="1"/>
    <col min="4879" max="4879" width="9.33203125" style="109" bestFit="1" customWidth="1"/>
    <col min="4880" max="4880" width="11.5546875" style="109" bestFit="1" customWidth="1"/>
    <col min="4881" max="4881" width="9.33203125" style="109" bestFit="1" customWidth="1"/>
    <col min="4882" max="4882" width="11.5546875" style="109" bestFit="1" customWidth="1"/>
    <col min="4883" max="4883" width="9.33203125" style="109" bestFit="1" customWidth="1"/>
    <col min="4884" max="4884" width="11.5546875" style="109" bestFit="1" customWidth="1"/>
    <col min="4885" max="4885" width="9.33203125" style="109" bestFit="1" customWidth="1"/>
    <col min="4886" max="4886" width="11.5546875" style="109" bestFit="1" customWidth="1"/>
    <col min="4887" max="4887" width="9.33203125" style="109" bestFit="1" customWidth="1"/>
    <col min="4888" max="4888" width="11.5546875" style="109" bestFit="1" customWidth="1"/>
    <col min="4889" max="4889" width="9.33203125" style="109" bestFit="1" customWidth="1"/>
    <col min="4890" max="4890" width="11.5546875" style="109" bestFit="1" customWidth="1"/>
    <col min="4891" max="4891" width="9.33203125" style="109" bestFit="1" customWidth="1"/>
    <col min="4892" max="4892" width="11.5546875" style="109" bestFit="1" customWidth="1"/>
    <col min="4893" max="4893" width="9.33203125" style="109" bestFit="1" customWidth="1"/>
    <col min="4894" max="4894" width="11.5546875" style="109" bestFit="1" customWidth="1"/>
    <col min="4895" max="4895" width="9.33203125" style="109" bestFit="1" customWidth="1"/>
    <col min="4896" max="4896" width="11.5546875" style="109" bestFit="1" customWidth="1"/>
    <col min="4897" max="4897" width="9.33203125" style="109" bestFit="1" customWidth="1"/>
    <col min="4898" max="4898" width="11.5546875" style="109" bestFit="1" customWidth="1"/>
    <col min="4899" max="4899" width="9.33203125" style="109" bestFit="1" customWidth="1"/>
    <col min="4900" max="4900" width="11.5546875" style="109" bestFit="1" customWidth="1"/>
    <col min="4901" max="4901" width="9.33203125" style="109" bestFit="1" customWidth="1"/>
    <col min="4902" max="4902" width="11.5546875" style="109" bestFit="1" customWidth="1"/>
    <col min="4903" max="4903" width="9.33203125" style="109" bestFit="1" customWidth="1"/>
    <col min="4904" max="4904" width="11.5546875" style="109" bestFit="1" customWidth="1"/>
    <col min="4905" max="4905" width="9.33203125" style="109" bestFit="1" customWidth="1"/>
    <col min="4906" max="4906" width="11.5546875" style="109" bestFit="1" customWidth="1"/>
    <col min="4907" max="4907" width="9.33203125" style="109" bestFit="1" customWidth="1"/>
    <col min="4908" max="4908" width="11.5546875" style="109" bestFit="1" customWidth="1"/>
    <col min="4909" max="4909" width="9.33203125" style="109" bestFit="1" customWidth="1"/>
    <col min="4910" max="4910" width="11.5546875" style="109" bestFit="1" customWidth="1"/>
    <col min="4911" max="4911" width="9.33203125" style="109" bestFit="1" customWidth="1"/>
    <col min="4912" max="4912" width="11.5546875" style="109" bestFit="1" customWidth="1"/>
    <col min="4913" max="4913" width="9.33203125" style="109" bestFit="1" customWidth="1"/>
    <col min="4914" max="4914" width="11.5546875" style="109" bestFit="1" customWidth="1"/>
    <col min="4915" max="4915" width="9.33203125" style="109" bestFit="1" customWidth="1"/>
    <col min="4916" max="5122" width="9.109375" style="109"/>
    <col min="5123" max="5123" width="29.44140625" style="109" bestFit="1" customWidth="1"/>
    <col min="5124" max="5124" width="11.5546875" style="109" bestFit="1" customWidth="1"/>
    <col min="5125" max="5125" width="9.33203125" style="109" bestFit="1" customWidth="1"/>
    <col min="5126" max="5126" width="11.5546875" style="109" bestFit="1" customWidth="1"/>
    <col min="5127" max="5127" width="9.33203125" style="109" bestFit="1" customWidth="1"/>
    <col min="5128" max="5128" width="11.5546875" style="109" bestFit="1" customWidth="1"/>
    <col min="5129" max="5129" width="9.33203125" style="109" bestFit="1" customWidth="1"/>
    <col min="5130" max="5130" width="11.5546875" style="109" bestFit="1" customWidth="1"/>
    <col min="5131" max="5131" width="9.33203125" style="109" bestFit="1" customWidth="1"/>
    <col min="5132" max="5132" width="11.5546875" style="109" bestFit="1" customWidth="1"/>
    <col min="5133" max="5133" width="9.33203125" style="109" bestFit="1" customWidth="1"/>
    <col min="5134" max="5134" width="11.5546875" style="109" bestFit="1" customWidth="1"/>
    <col min="5135" max="5135" width="9.33203125" style="109" bestFit="1" customWidth="1"/>
    <col min="5136" max="5136" width="11.5546875" style="109" bestFit="1" customWidth="1"/>
    <col min="5137" max="5137" width="9.33203125" style="109" bestFit="1" customWidth="1"/>
    <col min="5138" max="5138" width="11.5546875" style="109" bestFit="1" customWidth="1"/>
    <col min="5139" max="5139" width="9.33203125" style="109" bestFit="1" customWidth="1"/>
    <col min="5140" max="5140" width="11.5546875" style="109" bestFit="1" customWidth="1"/>
    <col min="5141" max="5141" width="9.33203125" style="109" bestFit="1" customWidth="1"/>
    <col min="5142" max="5142" width="11.5546875" style="109" bestFit="1" customWidth="1"/>
    <col min="5143" max="5143" width="9.33203125" style="109" bestFit="1" customWidth="1"/>
    <col min="5144" max="5144" width="11.5546875" style="109" bestFit="1" customWidth="1"/>
    <col min="5145" max="5145" width="9.33203125" style="109" bestFit="1" customWidth="1"/>
    <col min="5146" max="5146" width="11.5546875" style="109" bestFit="1" customWidth="1"/>
    <col min="5147" max="5147" width="9.33203125" style="109" bestFit="1" customWidth="1"/>
    <col min="5148" max="5148" width="11.5546875" style="109" bestFit="1" customWidth="1"/>
    <col min="5149" max="5149" width="9.33203125" style="109" bestFit="1" customWidth="1"/>
    <col min="5150" max="5150" width="11.5546875" style="109" bestFit="1" customWidth="1"/>
    <col min="5151" max="5151" width="9.33203125" style="109" bestFit="1" customWidth="1"/>
    <col min="5152" max="5152" width="11.5546875" style="109" bestFit="1" customWidth="1"/>
    <col min="5153" max="5153" width="9.33203125" style="109" bestFit="1" customWidth="1"/>
    <col min="5154" max="5154" width="11.5546875" style="109" bestFit="1" customWidth="1"/>
    <col min="5155" max="5155" width="9.33203125" style="109" bestFit="1" customWidth="1"/>
    <col min="5156" max="5156" width="11.5546875" style="109" bestFit="1" customWidth="1"/>
    <col min="5157" max="5157" width="9.33203125" style="109" bestFit="1" customWidth="1"/>
    <col min="5158" max="5158" width="11.5546875" style="109" bestFit="1" customWidth="1"/>
    <col min="5159" max="5159" width="9.33203125" style="109" bestFit="1" customWidth="1"/>
    <col min="5160" max="5160" width="11.5546875" style="109" bestFit="1" customWidth="1"/>
    <col min="5161" max="5161" width="9.33203125" style="109" bestFit="1" customWidth="1"/>
    <col min="5162" max="5162" width="11.5546875" style="109" bestFit="1" customWidth="1"/>
    <col min="5163" max="5163" width="9.33203125" style="109" bestFit="1" customWidth="1"/>
    <col min="5164" max="5164" width="11.5546875" style="109" bestFit="1" customWidth="1"/>
    <col min="5165" max="5165" width="9.33203125" style="109" bestFit="1" customWidth="1"/>
    <col min="5166" max="5166" width="11.5546875" style="109" bestFit="1" customWidth="1"/>
    <col min="5167" max="5167" width="9.33203125" style="109" bestFit="1" customWidth="1"/>
    <col min="5168" max="5168" width="11.5546875" style="109" bestFit="1" customWidth="1"/>
    <col min="5169" max="5169" width="9.33203125" style="109" bestFit="1" customWidth="1"/>
    <col min="5170" max="5170" width="11.5546875" style="109" bestFit="1" customWidth="1"/>
    <col min="5171" max="5171" width="9.33203125" style="109" bestFit="1" customWidth="1"/>
    <col min="5172" max="5378" width="9.109375" style="109"/>
    <col min="5379" max="5379" width="29.44140625" style="109" bestFit="1" customWidth="1"/>
    <col min="5380" max="5380" width="11.5546875" style="109" bestFit="1" customWidth="1"/>
    <col min="5381" max="5381" width="9.33203125" style="109" bestFit="1" customWidth="1"/>
    <col min="5382" max="5382" width="11.5546875" style="109" bestFit="1" customWidth="1"/>
    <col min="5383" max="5383" width="9.33203125" style="109" bestFit="1" customWidth="1"/>
    <col min="5384" max="5384" width="11.5546875" style="109" bestFit="1" customWidth="1"/>
    <col min="5385" max="5385" width="9.33203125" style="109" bestFit="1" customWidth="1"/>
    <col min="5386" max="5386" width="11.5546875" style="109" bestFit="1" customWidth="1"/>
    <col min="5387" max="5387" width="9.33203125" style="109" bestFit="1" customWidth="1"/>
    <col min="5388" max="5388" width="11.5546875" style="109" bestFit="1" customWidth="1"/>
    <col min="5389" max="5389" width="9.33203125" style="109" bestFit="1" customWidth="1"/>
    <col min="5390" max="5390" width="11.5546875" style="109" bestFit="1" customWidth="1"/>
    <col min="5391" max="5391" width="9.33203125" style="109" bestFit="1" customWidth="1"/>
    <col min="5392" max="5392" width="11.5546875" style="109" bestFit="1" customWidth="1"/>
    <col min="5393" max="5393" width="9.33203125" style="109" bestFit="1" customWidth="1"/>
    <col min="5394" max="5394" width="11.5546875" style="109" bestFit="1" customWidth="1"/>
    <col min="5395" max="5395" width="9.33203125" style="109" bestFit="1" customWidth="1"/>
    <col min="5396" max="5396" width="11.5546875" style="109" bestFit="1" customWidth="1"/>
    <col min="5397" max="5397" width="9.33203125" style="109" bestFit="1" customWidth="1"/>
    <col min="5398" max="5398" width="11.5546875" style="109" bestFit="1" customWidth="1"/>
    <col min="5399" max="5399" width="9.33203125" style="109" bestFit="1" customWidth="1"/>
    <col min="5400" max="5400" width="11.5546875" style="109" bestFit="1" customWidth="1"/>
    <col min="5401" max="5401" width="9.33203125" style="109" bestFit="1" customWidth="1"/>
    <col min="5402" max="5402" width="11.5546875" style="109" bestFit="1" customWidth="1"/>
    <col min="5403" max="5403" width="9.33203125" style="109" bestFit="1" customWidth="1"/>
    <col min="5404" max="5404" width="11.5546875" style="109" bestFit="1" customWidth="1"/>
    <col min="5405" max="5405" width="9.33203125" style="109" bestFit="1" customWidth="1"/>
    <col min="5406" max="5406" width="11.5546875" style="109" bestFit="1" customWidth="1"/>
    <col min="5407" max="5407" width="9.33203125" style="109" bestFit="1" customWidth="1"/>
    <col min="5408" max="5408" width="11.5546875" style="109" bestFit="1" customWidth="1"/>
    <col min="5409" max="5409" width="9.33203125" style="109" bestFit="1" customWidth="1"/>
    <col min="5410" max="5410" width="11.5546875" style="109" bestFit="1" customWidth="1"/>
    <col min="5411" max="5411" width="9.33203125" style="109" bestFit="1" customWidth="1"/>
    <col min="5412" max="5412" width="11.5546875" style="109" bestFit="1" customWidth="1"/>
    <col min="5413" max="5413" width="9.33203125" style="109" bestFit="1" customWidth="1"/>
    <col min="5414" max="5414" width="11.5546875" style="109" bestFit="1" customWidth="1"/>
    <col min="5415" max="5415" width="9.33203125" style="109" bestFit="1" customWidth="1"/>
    <col min="5416" max="5416" width="11.5546875" style="109" bestFit="1" customWidth="1"/>
    <col min="5417" max="5417" width="9.33203125" style="109" bestFit="1" customWidth="1"/>
    <col min="5418" max="5418" width="11.5546875" style="109" bestFit="1" customWidth="1"/>
    <col min="5419" max="5419" width="9.33203125" style="109" bestFit="1" customWidth="1"/>
    <col min="5420" max="5420" width="11.5546875" style="109" bestFit="1" customWidth="1"/>
    <col min="5421" max="5421" width="9.33203125" style="109" bestFit="1" customWidth="1"/>
    <col min="5422" max="5422" width="11.5546875" style="109" bestFit="1" customWidth="1"/>
    <col min="5423" max="5423" width="9.33203125" style="109" bestFit="1" customWidth="1"/>
    <col min="5424" max="5424" width="11.5546875" style="109" bestFit="1" customWidth="1"/>
    <col min="5425" max="5425" width="9.33203125" style="109" bestFit="1" customWidth="1"/>
    <col min="5426" max="5426" width="11.5546875" style="109" bestFit="1" customWidth="1"/>
    <col min="5427" max="5427" width="9.33203125" style="109" bestFit="1" customWidth="1"/>
    <col min="5428" max="5634" width="9.109375" style="109"/>
    <col min="5635" max="5635" width="29.44140625" style="109" bestFit="1" customWidth="1"/>
    <col min="5636" max="5636" width="11.5546875" style="109" bestFit="1" customWidth="1"/>
    <col min="5637" max="5637" width="9.33203125" style="109" bestFit="1" customWidth="1"/>
    <col min="5638" max="5638" width="11.5546875" style="109" bestFit="1" customWidth="1"/>
    <col min="5639" max="5639" width="9.33203125" style="109" bestFit="1" customWidth="1"/>
    <col min="5640" max="5640" width="11.5546875" style="109" bestFit="1" customWidth="1"/>
    <col min="5641" max="5641" width="9.33203125" style="109" bestFit="1" customWidth="1"/>
    <col min="5642" max="5642" width="11.5546875" style="109" bestFit="1" customWidth="1"/>
    <col min="5643" max="5643" width="9.33203125" style="109" bestFit="1" customWidth="1"/>
    <col min="5644" max="5644" width="11.5546875" style="109" bestFit="1" customWidth="1"/>
    <col min="5645" max="5645" width="9.33203125" style="109" bestFit="1" customWidth="1"/>
    <col min="5646" max="5646" width="11.5546875" style="109" bestFit="1" customWidth="1"/>
    <col min="5647" max="5647" width="9.33203125" style="109" bestFit="1" customWidth="1"/>
    <col min="5648" max="5648" width="11.5546875" style="109" bestFit="1" customWidth="1"/>
    <col min="5649" max="5649" width="9.33203125" style="109" bestFit="1" customWidth="1"/>
    <col min="5650" max="5650" width="11.5546875" style="109" bestFit="1" customWidth="1"/>
    <col min="5651" max="5651" width="9.33203125" style="109" bestFit="1" customWidth="1"/>
    <col min="5652" max="5652" width="11.5546875" style="109" bestFit="1" customWidth="1"/>
    <col min="5653" max="5653" width="9.33203125" style="109" bestFit="1" customWidth="1"/>
    <col min="5654" max="5654" width="11.5546875" style="109" bestFit="1" customWidth="1"/>
    <col min="5655" max="5655" width="9.33203125" style="109" bestFit="1" customWidth="1"/>
    <col min="5656" max="5656" width="11.5546875" style="109" bestFit="1" customWidth="1"/>
    <col min="5657" max="5657" width="9.33203125" style="109" bestFit="1" customWidth="1"/>
    <col min="5658" max="5658" width="11.5546875" style="109" bestFit="1" customWidth="1"/>
    <col min="5659" max="5659" width="9.33203125" style="109" bestFit="1" customWidth="1"/>
    <col min="5660" max="5660" width="11.5546875" style="109" bestFit="1" customWidth="1"/>
    <col min="5661" max="5661" width="9.33203125" style="109" bestFit="1" customWidth="1"/>
    <col min="5662" max="5662" width="11.5546875" style="109" bestFit="1" customWidth="1"/>
    <col min="5663" max="5663" width="9.33203125" style="109" bestFit="1" customWidth="1"/>
    <col min="5664" max="5664" width="11.5546875" style="109" bestFit="1" customWidth="1"/>
    <col min="5665" max="5665" width="9.33203125" style="109" bestFit="1" customWidth="1"/>
    <col min="5666" max="5666" width="11.5546875" style="109" bestFit="1" customWidth="1"/>
    <col min="5667" max="5667" width="9.33203125" style="109" bestFit="1" customWidth="1"/>
    <col min="5668" max="5668" width="11.5546875" style="109" bestFit="1" customWidth="1"/>
    <col min="5669" max="5669" width="9.33203125" style="109" bestFit="1" customWidth="1"/>
    <col min="5670" max="5670" width="11.5546875" style="109" bestFit="1" customWidth="1"/>
    <col min="5671" max="5671" width="9.33203125" style="109" bestFit="1" customWidth="1"/>
    <col min="5672" max="5672" width="11.5546875" style="109" bestFit="1" customWidth="1"/>
    <col min="5673" max="5673" width="9.33203125" style="109" bestFit="1" customWidth="1"/>
    <col min="5674" max="5674" width="11.5546875" style="109" bestFit="1" customWidth="1"/>
    <col min="5675" max="5675" width="9.33203125" style="109" bestFit="1" customWidth="1"/>
    <col min="5676" max="5676" width="11.5546875" style="109" bestFit="1" customWidth="1"/>
    <col min="5677" max="5677" width="9.33203125" style="109" bestFit="1" customWidth="1"/>
    <col min="5678" max="5678" width="11.5546875" style="109" bestFit="1" customWidth="1"/>
    <col min="5679" max="5679" width="9.33203125" style="109" bestFit="1" customWidth="1"/>
    <col min="5680" max="5680" width="11.5546875" style="109" bestFit="1" customWidth="1"/>
    <col min="5681" max="5681" width="9.33203125" style="109" bestFit="1" customWidth="1"/>
    <col min="5682" max="5682" width="11.5546875" style="109" bestFit="1" customWidth="1"/>
    <col min="5683" max="5683" width="9.33203125" style="109" bestFit="1" customWidth="1"/>
    <col min="5684" max="5890" width="9.109375" style="109"/>
    <col min="5891" max="5891" width="29.44140625" style="109" bestFit="1" customWidth="1"/>
    <col min="5892" max="5892" width="11.5546875" style="109" bestFit="1" customWidth="1"/>
    <col min="5893" max="5893" width="9.33203125" style="109" bestFit="1" customWidth="1"/>
    <col min="5894" max="5894" width="11.5546875" style="109" bestFit="1" customWidth="1"/>
    <col min="5895" max="5895" width="9.33203125" style="109" bestFit="1" customWidth="1"/>
    <col min="5896" max="5896" width="11.5546875" style="109" bestFit="1" customWidth="1"/>
    <col min="5897" max="5897" width="9.33203125" style="109" bestFit="1" customWidth="1"/>
    <col min="5898" max="5898" width="11.5546875" style="109" bestFit="1" customWidth="1"/>
    <col min="5899" max="5899" width="9.33203125" style="109" bestFit="1" customWidth="1"/>
    <col min="5900" max="5900" width="11.5546875" style="109" bestFit="1" customWidth="1"/>
    <col min="5901" max="5901" width="9.33203125" style="109" bestFit="1" customWidth="1"/>
    <col min="5902" max="5902" width="11.5546875" style="109" bestFit="1" customWidth="1"/>
    <col min="5903" max="5903" width="9.33203125" style="109" bestFit="1" customWidth="1"/>
    <col min="5904" max="5904" width="11.5546875" style="109" bestFit="1" customWidth="1"/>
    <col min="5905" max="5905" width="9.33203125" style="109" bestFit="1" customWidth="1"/>
    <col min="5906" max="5906" width="11.5546875" style="109" bestFit="1" customWidth="1"/>
    <col min="5907" max="5907" width="9.33203125" style="109" bestFit="1" customWidth="1"/>
    <col min="5908" max="5908" width="11.5546875" style="109" bestFit="1" customWidth="1"/>
    <col min="5909" max="5909" width="9.33203125" style="109" bestFit="1" customWidth="1"/>
    <col min="5910" max="5910" width="11.5546875" style="109" bestFit="1" customWidth="1"/>
    <col min="5911" max="5911" width="9.33203125" style="109" bestFit="1" customWidth="1"/>
    <col min="5912" max="5912" width="11.5546875" style="109" bestFit="1" customWidth="1"/>
    <col min="5913" max="5913" width="9.33203125" style="109" bestFit="1" customWidth="1"/>
    <col min="5914" max="5914" width="11.5546875" style="109" bestFit="1" customWidth="1"/>
    <col min="5915" max="5915" width="9.33203125" style="109" bestFit="1" customWidth="1"/>
    <col min="5916" max="5916" width="11.5546875" style="109" bestFit="1" customWidth="1"/>
    <col min="5917" max="5917" width="9.33203125" style="109" bestFit="1" customWidth="1"/>
    <col min="5918" max="5918" width="11.5546875" style="109" bestFit="1" customWidth="1"/>
    <col min="5919" max="5919" width="9.33203125" style="109" bestFit="1" customWidth="1"/>
    <col min="5920" max="5920" width="11.5546875" style="109" bestFit="1" customWidth="1"/>
    <col min="5921" max="5921" width="9.33203125" style="109" bestFit="1" customWidth="1"/>
    <col min="5922" max="5922" width="11.5546875" style="109" bestFit="1" customWidth="1"/>
    <col min="5923" max="5923" width="9.33203125" style="109" bestFit="1" customWidth="1"/>
    <col min="5924" max="5924" width="11.5546875" style="109" bestFit="1" customWidth="1"/>
    <col min="5925" max="5925" width="9.33203125" style="109" bestFit="1" customWidth="1"/>
    <col min="5926" max="5926" width="11.5546875" style="109" bestFit="1" customWidth="1"/>
    <col min="5927" max="5927" width="9.33203125" style="109" bestFit="1" customWidth="1"/>
    <col min="5928" max="5928" width="11.5546875" style="109" bestFit="1" customWidth="1"/>
    <col min="5929" max="5929" width="9.33203125" style="109" bestFit="1" customWidth="1"/>
    <col min="5930" max="5930" width="11.5546875" style="109" bestFit="1" customWidth="1"/>
    <col min="5931" max="5931" width="9.33203125" style="109" bestFit="1" customWidth="1"/>
    <col min="5932" max="5932" width="11.5546875" style="109" bestFit="1" customWidth="1"/>
    <col min="5933" max="5933" width="9.33203125" style="109" bestFit="1" customWidth="1"/>
    <col min="5934" max="5934" width="11.5546875" style="109" bestFit="1" customWidth="1"/>
    <col min="5935" max="5935" width="9.33203125" style="109" bestFit="1" customWidth="1"/>
    <col min="5936" max="5936" width="11.5546875" style="109" bestFit="1" customWidth="1"/>
    <col min="5937" max="5937" width="9.33203125" style="109" bestFit="1" customWidth="1"/>
    <col min="5938" max="5938" width="11.5546875" style="109" bestFit="1" customWidth="1"/>
    <col min="5939" max="5939" width="9.33203125" style="109" bestFit="1" customWidth="1"/>
    <col min="5940" max="6146" width="9.109375" style="109"/>
    <col min="6147" max="6147" width="29.44140625" style="109" bestFit="1" customWidth="1"/>
    <col min="6148" max="6148" width="11.5546875" style="109" bestFit="1" customWidth="1"/>
    <col min="6149" max="6149" width="9.33203125" style="109" bestFit="1" customWidth="1"/>
    <col min="6150" max="6150" width="11.5546875" style="109" bestFit="1" customWidth="1"/>
    <col min="6151" max="6151" width="9.33203125" style="109" bestFit="1" customWidth="1"/>
    <col min="6152" max="6152" width="11.5546875" style="109" bestFit="1" customWidth="1"/>
    <col min="6153" max="6153" width="9.33203125" style="109" bestFit="1" customWidth="1"/>
    <col min="6154" max="6154" width="11.5546875" style="109" bestFit="1" customWidth="1"/>
    <col min="6155" max="6155" width="9.33203125" style="109" bestFit="1" customWidth="1"/>
    <col min="6156" max="6156" width="11.5546875" style="109" bestFit="1" customWidth="1"/>
    <col min="6157" max="6157" width="9.33203125" style="109" bestFit="1" customWidth="1"/>
    <col min="6158" max="6158" width="11.5546875" style="109" bestFit="1" customWidth="1"/>
    <col min="6159" max="6159" width="9.33203125" style="109" bestFit="1" customWidth="1"/>
    <col min="6160" max="6160" width="11.5546875" style="109" bestFit="1" customWidth="1"/>
    <col min="6161" max="6161" width="9.33203125" style="109" bestFit="1" customWidth="1"/>
    <col min="6162" max="6162" width="11.5546875" style="109" bestFit="1" customWidth="1"/>
    <col min="6163" max="6163" width="9.33203125" style="109" bestFit="1" customWidth="1"/>
    <col min="6164" max="6164" width="11.5546875" style="109" bestFit="1" customWidth="1"/>
    <col min="6165" max="6165" width="9.33203125" style="109" bestFit="1" customWidth="1"/>
    <col min="6166" max="6166" width="11.5546875" style="109" bestFit="1" customWidth="1"/>
    <col min="6167" max="6167" width="9.33203125" style="109" bestFit="1" customWidth="1"/>
    <col min="6168" max="6168" width="11.5546875" style="109" bestFit="1" customWidth="1"/>
    <col min="6169" max="6169" width="9.33203125" style="109" bestFit="1" customWidth="1"/>
    <col min="6170" max="6170" width="11.5546875" style="109" bestFit="1" customWidth="1"/>
    <col min="6171" max="6171" width="9.33203125" style="109" bestFit="1" customWidth="1"/>
    <col min="6172" max="6172" width="11.5546875" style="109" bestFit="1" customWidth="1"/>
    <col min="6173" max="6173" width="9.33203125" style="109" bestFit="1" customWidth="1"/>
    <col min="6174" max="6174" width="11.5546875" style="109" bestFit="1" customWidth="1"/>
    <col min="6175" max="6175" width="9.33203125" style="109" bestFit="1" customWidth="1"/>
    <col min="6176" max="6176" width="11.5546875" style="109" bestFit="1" customWidth="1"/>
    <col min="6177" max="6177" width="9.33203125" style="109" bestFit="1" customWidth="1"/>
    <col min="6178" max="6178" width="11.5546875" style="109" bestFit="1" customWidth="1"/>
    <col min="6179" max="6179" width="9.33203125" style="109" bestFit="1" customWidth="1"/>
    <col min="6180" max="6180" width="11.5546875" style="109" bestFit="1" customWidth="1"/>
    <col min="6181" max="6181" width="9.33203125" style="109" bestFit="1" customWidth="1"/>
    <col min="6182" max="6182" width="11.5546875" style="109" bestFit="1" customWidth="1"/>
    <col min="6183" max="6183" width="9.33203125" style="109" bestFit="1" customWidth="1"/>
    <col min="6184" max="6184" width="11.5546875" style="109" bestFit="1" customWidth="1"/>
    <col min="6185" max="6185" width="9.33203125" style="109" bestFit="1" customWidth="1"/>
    <col min="6186" max="6186" width="11.5546875" style="109" bestFit="1" customWidth="1"/>
    <col min="6187" max="6187" width="9.33203125" style="109" bestFit="1" customWidth="1"/>
    <col min="6188" max="6188" width="11.5546875" style="109" bestFit="1" customWidth="1"/>
    <col min="6189" max="6189" width="9.33203125" style="109" bestFit="1" customWidth="1"/>
    <col min="6190" max="6190" width="11.5546875" style="109" bestFit="1" customWidth="1"/>
    <col min="6191" max="6191" width="9.33203125" style="109" bestFit="1" customWidth="1"/>
    <col min="6192" max="6192" width="11.5546875" style="109" bestFit="1" customWidth="1"/>
    <col min="6193" max="6193" width="9.33203125" style="109" bestFit="1" customWidth="1"/>
    <col min="6194" max="6194" width="11.5546875" style="109" bestFit="1" customWidth="1"/>
    <col min="6195" max="6195" width="9.33203125" style="109" bestFit="1" customWidth="1"/>
    <col min="6196" max="6402" width="9.109375" style="109"/>
    <col min="6403" max="6403" width="29.44140625" style="109" bestFit="1" customWidth="1"/>
    <col min="6404" max="6404" width="11.5546875" style="109" bestFit="1" customWidth="1"/>
    <col min="6405" max="6405" width="9.33203125" style="109" bestFit="1" customWidth="1"/>
    <col min="6406" max="6406" width="11.5546875" style="109" bestFit="1" customWidth="1"/>
    <col min="6407" max="6407" width="9.33203125" style="109" bestFit="1" customWidth="1"/>
    <col min="6408" max="6408" width="11.5546875" style="109" bestFit="1" customWidth="1"/>
    <col min="6409" max="6409" width="9.33203125" style="109" bestFit="1" customWidth="1"/>
    <col min="6410" max="6410" width="11.5546875" style="109" bestFit="1" customWidth="1"/>
    <col min="6411" max="6411" width="9.33203125" style="109" bestFit="1" customWidth="1"/>
    <col min="6412" max="6412" width="11.5546875" style="109" bestFit="1" customWidth="1"/>
    <col min="6413" max="6413" width="9.33203125" style="109" bestFit="1" customWidth="1"/>
    <col min="6414" max="6414" width="11.5546875" style="109" bestFit="1" customWidth="1"/>
    <col min="6415" max="6415" width="9.33203125" style="109" bestFit="1" customWidth="1"/>
    <col min="6416" max="6416" width="11.5546875" style="109" bestFit="1" customWidth="1"/>
    <col min="6417" max="6417" width="9.33203125" style="109" bestFit="1" customWidth="1"/>
    <col min="6418" max="6418" width="11.5546875" style="109" bestFit="1" customWidth="1"/>
    <col min="6419" max="6419" width="9.33203125" style="109" bestFit="1" customWidth="1"/>
    <col min="6420" max="6420" width="11.5546875" style="109" bestFit="1" customWidth="1"/>
    <col min="6421" max="6421" width="9.33203125" style="109" bestFit="1" customWidth="1"/>
    <col min="6422" max="6422" width="11.5546875" style="109" bestFit="1" customWidth="1"/>
    <col min="6423" max="6423" width="9.33203125" style="109" bestFit="1" customWidth="1"/>
    <col min="6424" max="6424" width="11.5546875" style="109" bestFit="1" customWidth="1"/>
    <col min="6425" max="6425" width="9.33203125" style="109" bestFit="1" customWidth="1"/>
    <col min="6426" max="6426" width="11.5546875" style="109" bestFit="1" customWidth="1"/>
    <col min="6427" max="6427" width="9.33203125" style="109" bestFit="1" customWidth="1"/>
    <col min="6428" max="6428" width="11.5546875" style="109" bestFit="1" customWidth="1"/>
    <col min="6429" max="6429" width="9.33203125" style="109" bestFit="1" customWidth="1"/>
    <col min="6430" max="6430" width="11.5546875" style="109" bestFit="1" customWidth="1"/>
    <col min="6431" max="6431" width="9.33203125" style="109" bestFit="1" customWidth="1"/>
    <col min="6432" max="6432" width="11.5546875" style="109" bestFit="1" customWidth="1"/>
    <col min="6433" max="6433" width="9.33203125" style="109" bestFit="1" customWidth="1"/>
    <col min="6434" max="6434" width="11.5546875" style="109" bestFit="1" customWidth="1"/>
    <col min="6435" max="6435" width="9.33203125" style="109" bestFit="1" customWidth="1"/>
    <col min="6436" max="6436" width="11.5546875" style="109" bestFit="1" customWidth="1"/>
    <col min="6437" max="6437" width="9.33203125" style="109" bestFit="1" customWidth="1"/>
    <col min="6438" max="6438" width="11.5546875" style="109" bestFit="1" customWidth="1"/>
    <col min="6439" max="6439" width="9.33203125" style="109" bestFit="1" customWidth="1"/>
    <col min="6440" max="6440" width="11.5546875" style="109" bestFit="1" customWidth="1"/>
    <col min="6441" max="6441" width="9.33203125" style="109" bestFit="1" customWidth="1"/>
    <col min="6442" max="6442" width="11.5546875" style="109" bestFit="1" customWidth="1"/>
    <col min="6443" max="6443" width="9.33203125" style="109" bestFit="1" customWidth="1"/>
    <col min="6444" max="6444" width="11.5546875" style="109" bestFit="1" customWidth="1"/>
    <col min="6445" max="6445" width="9.33203125" style="109" bestFit="1" customWidth="1"/>
    <col min="6446" max="6446" width="11.5546875" style="109" bestFit="1" customWidth="1"/>
    <col min="6447" max="6447" width="9.33203125" style="109" bestFit="1" customWidth="1"/>
    <col min="6448" max="6448" width="11.5546875" style="109" bestFit="1" customWidth="1"/>
    <col min="6449" max="6449" width="9.33203125" style="109" bestFit="1" customWidth="1"/>
    <col min="6450" max="6450" width="11.5546875" style="109" bestFit="1" customWidth="1"/>
    <col min="6451" max="6451" width="9.33203125" style="109" bestFit="1" customWidth="1"/>
    <col min="6452" max="6658" width="9.109375" style="109"/>
    <col min="6659" max="6659" width="29.44140625" style="109" bestFit="1" customWidth="1"/>
    <col min="6660" max="6660" width="11.5546875" style="109" bestFit="1" customWidth="1"/>
    <col min="6661" max="6661" width="9.33203125" style="109" bestFit="1" customWidth="1"/>
    <col min="6662" max="6662" width="11.5546875" style="109" bestFit="1" customWidth="1"/>
    <col min="6663" max="6663" width="9.33203125" style="109" bestFit="1" customWidth="1"/>
    <col min="6664" max="6664" width="11.5546875" style="109" bestFit="1" customWidth="1"/>
    <col min="6665" max="6665" width="9.33203125" style="109" bestFit="1" customWidth="1"/>
    <col min="6666" max="6666" width="11.5546875" style="109" bestFit="1" customWidth="1"/>
    <col min="6667" max="6667" width="9.33203125" style="109" bestFit="1" customWidth="1"/>
    <col min="6668" max="6668" width="11.5546875" style="109" bestFit="1" customWidth="1"/>
    <col min="6669" max="6669" width="9.33203125" style="109" bestFit="1" customWidth="1"/>
    <col min="6670" max="6670" width="11.5546875" style="109" bestFit="1" customWidth="1"/>
    <col min="6671" max="6671" width="9.33203125" style="109" bestFit="1" customWidth="1"/>
    <col min="6672" max="6672" width="11.5546875" style="109" bestFit="1" customWidth="1"/>
    <col min="6673" max="6673" width="9.33203125" style="109" bestFit="1" customWidth="1"/>
    <col min="6674" max="6674" width="11.5546875" style="109" bestFit="1" customWidth="1"/>
    <col min="6675" max="6675" width="9.33203125" style="109" bestFit="1" customWidth="1"/>
    <col min="6676" max="6676" width="11.5546875" style="109" bestFit="1" customWidth="1"/>
    <col min="6677" max="6677" width="9.33203125" style="109" bestFit="1" customWidth="1"/>
    <col min="6678" max="6678" width="11.5546875" style="109" bestFit="1" customWidth="1"/>
    <col min="6679" max="6679" width="9.33203125" style="109" bestFit="1" customWidth="1"/>
    <col min="6680" max="6680" width="11.5546875" style="109" bestFit="1" customWidth="1"/>
    <col min="6681" max="6681" width="9.33203125" style="109" bestFit="1" customWidth="1"/>
    <col min="6682" max="6682" width="11.5546875" style="109" bestFit="1" customWidth="1"/>
    <col min="6683" max="6683" width="9.33203125" style="109" bestFit="1" customWidth="1"/>
    <col min="6684" max="6684" width="11.5546875" style="109" bestFit="1" customWidth="1"/>
    <col min="6685" max="6685" width="9.33203125" style="109" bestFit="1" customWidth="1"/>
    <col min="6686" max="6686" width="11.5546875" style="109" bestFit="1" customWidth="1"/>
    <col min="6687" max="6687" width="9.33203125" style="109" bestFit="1" customWidth="1"/>
    <col min="6688" max="6688" width="11.5546875" style="109" bestFit="1" customWidth="1"/>
    <col min="6689" max="6689" width="9.33203125" style="109" bestFit="1" customWidth="1"/>
    <col min="6690" max="6690" width="11.5546875" style="109" bestFit="1" customWidth="1"/>
    <col min="6691" max="6691" width="9.33203125" style="109" bestFit="1" customWidth="1"/>
    <col min="6692" max="6692" width="11.5546875" style="109" bestFit="1" customWidth="1"/>
    <col min="6693" max="6693" width="9.33203125" style="109" bestFit="1" customWidth="1"/>
    <col min="6694" max="6694" width="11.5546875" style="109" bestFit="1" customWidth="1"/>
    <col min="6695" max="6695" width="9.33203125" style="109" bestFit="1" customWidth="1"/>
    <col min="6696" max="6696" width="11.5546875" style="109" bestFit="1" customWidth="1"/>
    <col min="6697" max="6697" width="9.33203125" style="109" bestFit="1" customWidth="1"/>
    <col min="6698" max="6698" width="11.5546875" style="109" bestFit="1" customWidth="1"/>
    <col min="6699" max="6699" width="9.33203125" style="109" bestFit="1" customWidth="1"/>
    <col min="6700" max="6700" width="11.5546875" style="109" bestFit="1" customWidth="1"/>
    <col min="6701" max="6701" width="9.33203125" style="109" bestFit="1" customWidth="1"/>
    <col min="6702" max="6702" width="11.5546875" style="109" bestFit="1" customWidth="1"/>
    <col min="6703" max="6703" width="9.33203125" style="109" bestFit="1" customWidth="1"/>
    <col min="6704" max="6704" width="11.5546875" style="109" bestFit="1" customWidth="1"/>
    <col min="6705" max="6705" width="9.33203125" style="109" bestFit="1" customWidth="1"/>
    <col min="6706" max="6706" width="11.5546875" style="109" bestFit="1" customWidth="1"/>
    <col min="6707" max="6707" width="9.33203125" style="109" bestFit="1" customWidth="1"/>
    <col min="6708" max="6914" width="9.109375" style="109"/>
    <col min="6915" max="6915" width="29.44140625" style="109" bestFit="1" customWidth="1"/>
    <col min="6916" max="6916" width="11.5546875" style="109" bestFit="1" customWidth="1"/>
    <col min="6917" max="6917" width="9.33203125" style="109" bestFit="1" customWidth="1"/>
    <col min="6918" max="6918" width="11.5546875" style="109" bestFit="1" customWidth="1"/>
    <col min="6919" max="6919" width="9.33203125" style="109" bestFit="1" customWidth="1"/>
    <col min="6920" max="6920" width="11.5546875" style="109" bestFit="1" customWidth="1"/>
    <col min="6921" max="6921" width="9.33203125" style="109" bestFit="1" customWidth="1"/>
    <col min="6922" max="6922" width="11.5546875" style="109" bestFit="1" customWidth="1"/>
    <col min="6923" max="6923" width="9.33203125" style="109" bestFit="1" customWidth="1"/>
    <col min="6924" max="6924" width="11.5546875" style="109" bestFit="1" customWidth="1"/>
    <col min="6925" max="6925" width="9.33203125" style="109" bestFit="1" customWidth="1"/>
    <col min="6926" max="6926" width="11.5546875" style="109" bestFit="1" customWidth="1"/>
    <col min="6927" max="6927" width="9.33203125" style="109" bestFit="1" customWidth="1"/>
    <col min="6928" max="6928" width="11.5546875" style="109" bestFit="1" customWidth="1"/>
    <col min="6929" max="6929" width="9.33203125" style="109" bestFit="1" customWidth="1"/>
    <col min="6930" max="6930" width="11.5546875" style="109" bestFit="1" customWidth="1"/>
    <col min="6931" max="6931" width="9.33203125" style="109" bestFit="1" customWidth="1"/>
    <col min="6932" max="6932" width="11.5546875" style="109" bestFit="1" customWidth="1"/>
    <col min="6933" max="6933" width="9.33203125" style="109" bestFit="1" customWidth="1"/>
    <col min="6934" max="6934" width="11.5546875" style="109" bestFit="1" customWidth="1"/>
    <col min="6935" max="6935" width="9.33203125" style="109" bestFit="1" customWidth="1"/>
    <col min="6936" max="6936" width="11.5546875" style="109" bestFit="1" customWidth="1"/>
    <col min="6937" max="6937" width="9.33203125" style="109" bestFit="1" customWidth="1"/>
    <col min="6938" max="6938" width="11.5546875" style="109" bestFit="1" customWidth="1"/>
    <col min="6939" max="6939" width="9.33203125" style="109" bestFit="1" customWidth="1"/>
    <col min="6940" max="6940" width="11.5546875" style="109" bestFit="1" customWidth="1"/>
    <col min="6941" max="6941" width="9.33203125" style="109" bestFit="1" customWidth="1"/>
    <col min="6942" max="6942" width="11.5546875" style="109" bestFit="1" customWidth="1"/>
    <col min="6943" max="6943" width="9.33203125" style="109" bestFit="1" customWidth="1"/>
    <col min="6944" max="6944" width="11.5546875" style="109" bestFit="1" customWidth="1"/>
    <col min="6945" max="6945" width="9.33203125" style="109" bestFit="1" customWidth="1"/>
    <col min="6946" max="6946" width="11.5546875" style="109" bestFit="1" customWidth="1"/>
    <col min="6947" max="6947" width="9.33203125" style="109" bestFit="1" customWidth="1"/>
    <col min="6948" max="6948" width="11.5546875" style="109" bestFit="1" customWidth="1"/>
    <col min="6949" max="6949" width="9.33203125" style="109" bestFit="1" customWidth="1"/>
    <col min="6950" max="6950" width="11.5546875" style="109" bestFit="1" customWidth="1"/>
    <col min="6951" max="6951" width="9.33203125" style="109" bestFit="1" customWidth="1"/>
    <col min="6952" max="6952" width="11.5546875" style="109" bestFit="1" customWidth="1"/>
    <col min="6953" max="6953" width="9.33203125" style="109" bestFit="1" customWidth="1"/>
    <col min="6954" max="6954" width="11.5546875" style="109" bestFit="1" customWidth="1"/>
    <col min="6955" max="6955" width="9.33203125" style="109" bestFit="1" customWidth="1"/>
    <col min="6956" max="6956" width="11.5546875" style="109" bestFit="1" customWidth="1"/>
    <col min="6957" max="6957" width="9.33203125" style="109" bestFit="1" customWidth="1"/>
    <col min="6958" max="6958" width="11.5546875" style="109" bestFit="1" customWidth="1"/>
    <col min="6959" max="6959" width="9.33203125" style="109" bestFit="1" customWidth="1"/>
    <col min="6960" max="6960" width="11.5546875" style="109" bestFit="1" customWidth="1"/>
    <col min="6961" max="6961" width="9.33203125" style="109" bestFit="1" customWidth="1"/>
    <col min="6962" max="6962" width="11.5546875" style="109" bestFit="1" customWidth="1"/>
    <col min="6963" max="6963" width="9.33203125" style="109" bestFit="1" customWidth="1"/>
    <col min="6964" max="7170" width="9.109375" style="109"/>
    <col min="7171" max="7171" width="29.44140625" style="109" bestFit="1" customWidth="1"/>
    <col min="7172" max="7172" width="11.5546875" style="109" bestFit="1" customWidth="1"/>
    <col min="7173" max="7173" width="9.33203125" style="109" bestFit="1" customWidth="1"/>
    <col min="7174" max="7174" width="11.5546875" style="109" bestFit="1" customWidth="1"/>
    <col min="7175" max="7175" width="9.33203125" style="109" bestFit="1" customWidth="1"/>
    <col min="7176" max="7176" width="11.5546875" style="109" bestFit="1" customWidth="1"/>
    <col min="7177" max="7177" width="9.33203125" style="109" bestFit="1" customWidth="1"/>
    <col min="7178" max="7178" width="11.5546875" style="109" bestFit="1" customWidth="1"/>
    <col min="7179" max="7179" width="9.33203125" style="109" bestFit="1" customWidth="1"/>
    <col min="7180" max="7180" width="11.5546875" style="109" bestFit="1" customWidth="1"/>
    <col min="7181" max="7181" width="9.33203125" style="109" bestFit="1" customWidth="1"/>
    <col min="7182" max="7182" width="11.5546875" style="109" bestFit="1" customWidth="1"/>
    <col min="7183" max="7183" width="9.33203125" style="109" bestFit="1" customWidth="1"/>
    <col min="7184" max="7184" width="11.5546875" style="109" bestFit="1" customWidth="1"/>
    <col min="7185" max="7185" width="9.33203125" style="109" bestFit="1" customWidth="1"/>
    <col min="7186" max="7186" width="11.5546875" style="109" bestFit="1" customWidth="1"/>
    <col min="7187" max="7187" width="9.33203125" style="109" bestFit="1" customWidth="1"/>
    <col min="7188" max="7188" width="11.5546875" style="109" bestFit="1" customWidth="1"/>
    <col min="7189" max="7189" width="9.33203125" style="109" bestFit="1" customWidth="1"/>
    <col min="7190" max="7190" width="11.5546875" style="109" bestFit="1" customWidth="1"/>
    <col min="7191" max="7191" width="9.33203125" style="109" bestFit="1" customWidth="1"/>
    <col min="7192" max="7192" width="11.5546875" style="109" bestFit="1" customWidth="1"/>
    <col min="7193" max="7193" width="9.33203125" style="109" bestFit="1" customWidth="1"/>
    <col min="7194" max="7194" width="11.5546875" style="109" bestFit="1" customWidth="1"/>
    <col min="7195" max="7195" width="9.33203125" style="109" bestFit="1" customWidth="1"/>
    <col min="7196" max="7196" width="11.5546875" style="109" bestFit="1" customWidth="1"/>
    <col min="7197" max="7197" width="9.33203125" style="109" bestFit="1" customWidth="1"/>
    <col min="7198" max="7198" width="11.5546875" style="109" bestFit="1" customWidth="1"/>
    <col min="7199" max="7199" width="9.33203125" style="109" bestFit="1" customWidth="1"/>
    <col min="7200" max="7200" width="11.5546875" style="109" bestFit="1" customWidth="1"/>
    <col min="7201" max="7201" width="9.33203125" style="109" bestFit="1" customWidth="1"/>
    <col min="7202" max="7202" width="11.5546875" style="109" bestFit="1" customWidth="1"/>
    <col min="7203" max="7203" width="9.33203125" style="109" bestFit="1" customWidth="1"/>
    <col min="7204" max="7204" width="11.5546875" style="109" bestFit="1" customWidth="1"/>
    <col min="7205" max="7205" width="9.33203125" style="109" bestFit="1" customWidth="1"/>
    <col min="7206" max="7206" width="11.5546875" style="109" bestFit="1" customWidth="1"/>
    <col min="7207" max="7207" width="9.33203125" style="109" bestFit="1" customWidth="1"/>
    <col min="7208" max="7208" width="11.5546875" style="109" bestFit="1" customWidth="1"/>
    <col min="7209" max="7209" width="9.33203125" style="109" bestFit="1" customWidth="1"/>
    <col min="7210" max="7210" width="11.5546875" style="109" bestFit="1" customWidth="1"/>
    <col min="7211" max="7211" width="9.33203125" style="109" bestFit="1" customWidth="1"/>
    <col min="7212" max="7212" width="11.5546875" style="109" bestFit="1" customWidth="1"/>
    <col min="7213" max="7213" width="9.33203125" style="109" bestFit="1" customWidth="1"/>
    <col min="7214" max="7214" width="11.5546875" style="109" bestFit="1" customWidth="1"/>
    <col min="7215" max="7215" width="9.33203125" style="109" bestFit="1" customWidth="1"/>
    <col min="7216" max="7216" width="11.5546875" style="109" bestFit="1" customWidth="1"/>
    <col min="7217" max="7217" width="9.33203125" style="109" bestFit="1" customWidth="1"/>
    <col min="7218" max="7218" width="11.5546875" style="109" bestFit="1" customWidth="1"/>
    <col min="7219" max="7219" width="9.33203125" style="109" bestFit="1" customWidth="1"/>
    <col min="7220" max="7426" width="9.109375" style="109"/>
    <col min="7427" max="7427" width="29.44140625" style="109" bestFit="1" customWidth="1"/>
    <col min="7428" max="7428" width="11.5546875" style="109" bestFit="1" customWidth="1"/>
    <col min="7429" max="7429" width="9.33203125" style="109" bestFit="1" customWidth="1"/>
    <col min="7430" max="7430" width="11.5546875" style="109" bestFit="1" customWidth="1"/>
    <col min="7431" max="7431" width="9.33203125" style="109" bestFit="1" customWidth="1"/>
    <col min="7432" max="7432" width="11.5546875" style="109" bestFit="1" customWidth="1"/>
    <col min="7433" max="7433" width="9.33203125" style="109" bestFit="1" customWidth="1"/>
    <col min="7434" max="7434" width="11.5546875" style="109" bestFit="1" customWidth="1"/>
    <col min="7435" max="7435" width="9.33203125" style="109" bestFit="1" customWidth="1"/>
    <col min="7436" max="7436" width="11.5546875" style="109" bestFit="1" customWidth="1"/>
    <col min="7437" max="7437" width="9.33203125" style="109" bestFit="1" customWidth="1"/>
    <col min="7438" max="7438" width="11.5546875" style="109" bestFit="1" customWidth="1"/>
    <col min="7439" max="7439" width="9.33203125" style="109" bestFit="1" customWidth="1"/>
    <col min="7440" max="7440" width="11.5546875" style="109" bestFit="1" customWidth="1"/>
    <col min="7441" max="7441" width="9.33203125" style="109" bestFit="1" customWidth="1"/>
    <col min="7442" max="7442" width="11.5546875" style="109" bestFit="1" customWidth="1"/>
    <col min="7443" max="7443" width="9.33203125" style="109" bestFit="1" customWidth="1"/>
    <col min="7444" max="7444" width="11.5546875" style="109" bestFit="1" customWidth="1"/>
    <col min="7445" max="7445" width="9.33203125" style="109" bestFit="1" customWidth="1"/>
    <col min="7446" max="7446" width="11.5546875" style="109" bestFit="1" customWidth="1"/>
    <col min="7447" max="7447" width="9.33203125" style="109" bestFit="1" customWidth="1"/>
    <col min="7448" max="7448" width="11.5546875" style="109" bestFit="1" customWidth="1"/>
    <col min="7449" max="7449" width="9.33203125" style="109" bestFit="1" customWidth="1"/>
    <col min="7450" max="7450" width="11.5546875" style="109" bestFit="1" customWidth="1"/>
    <col min="7451" max="7451" width="9.33203125" style="109" bestFit="1" customWidth="1"/>
    <col min="7452" max="7452" width="11.5546875" style="109" bestFit="1" customWidth="1"/>
    <col min="7453" max="7453" width="9.33203125" style="109" bestFit="1" customWidth="1"/>
    <col min="7454" max="7454" width="11.5546875" style="109" bestFit="1" customWidth="1"/>
    <col min="7455" max="7455" width="9.33203125" style="109" bestFit="1" customWidth="1"/>
    <col min="7456" max="7456" width="11.5546875" style="109" bestFit="1" customWidth="1"/>
    <col min="7457" max="7457" width="9.33203125" style="109" bestFit="1" customWidth="1"/>
    <col min="7458" max="7458" width="11.5546875" style="109" bestFit="1" customWidth="1"/>
    <col min="7459" max="7459" width="9.33203125" style="109" bestFit="1" customWidth="1"/>
    <col min="7460" max="7460" width="11.5546875" style="109" bestFit="1" customWidth="1"/>
    <col min="7461" max="7461" width="9.33203125" style="109" bestFit="1" customWidth="1"/>
    <col min="7462" max="7462" width="11.5546875" style="109" bestFit="1" customWidth="1"/>
    <col min="7463" max="7463" width="9.33203125" style="109" bestFit="1" customWidth="1"/>
    <col min="7464" max="7464" width="11.5546875" style="109" bestFit="1" customWidth="1"/>
    <col min="7465" max="7465" width="9.33203125" style="109" bestFit="1" customWidth="1"/>
    <col min="7466" max="7466" width="11.5546875" style="109" bestFit="1" customWidth="1"/>
    <col min="7467" max="7467" width="9.33203125" style="109" bestFit="1" customWidth="1"/>
    <col min="7468" max="7468" width="11.5546875" style="109" bestFit="1" customWidth="1"/>
    <col min="7469" max="7469" width="9.33203125" style="109" bestFit="1" customWidth="1"/>
    <col min="7470" max="7470" width="11.5546875" style="109" bestFit="1" customWidth="1"/>
    <col min="7471" max="7471" width="9.33203125" style="109" bestFit="1" customWidth="1"/>
    <col min="7472" max="7472" width="11.5546875" style="109" bestFit="1" customWidth="1"/>
    <col min="7473" max="7473" width="9.33203125" style="109" bestFit="1" customWidth="1"/>
    <col min="7474" max="7474" width="11.5546875" style="109" bestFit="1" customWidth="1"/>
    <col min="7475" max="7475" width="9.33203125" style="109" bestFit="1" customWidth="1"/>
    <col min="7476" max="7682" width="9.109375" style="109"/>
    <col min="7683" max="7683" width="29.44140625" style="109" bestFit="1" customWidth="1"/>
    <col min="7684" max="7684" width="11.5546875" style="109" bestFit="1" customWidth="1"/>
    <col min="7685" max="7685" width="9.33203125" style="109" bestFit="1" customWidth="1"/>
    <col min="7686" max="7686" width="11.5546875" style="109" bestFit="1" customWidth="1"/>
    <col min="7687" max="7687" width="9.33203125" style="109" bestFit="1" customWidth="1"/>
    <col min="7688" max="7688" width="11.5546875" style="109" bestFit="1" customWidth="1"/>
    <col min="7689" max="7689" width="9.33203125" style="109" bestFit="1" customWidth="1"/>
    <col min="7690" max="7690" width="11.5546875" style="109" bestFit="1" customWidth="1"/>
    <col min="7691" max="7691" width="9.33203125" style="109" bestFit="1" customWidth="1"/>
    <col min="7692" max="7692" width="11.5546875" style="109" bestFit="1" customWidth="1"/>
    <col min="7693" max="7693" width="9.33203125" style="109" bestFit="1" customWidth="1"/>
    <col min="7694" max="7694" width="11.5546875" style="109" bestFit="1" customWidth="1"/>
    <col min="7695" max="7695" width="9.33203125" style="109" bestFit="1" customWidth="1"/>
    <col min="7696" max="7696" width="11.5546875" style="109" bestFit="1" customWidth="1"/>
    <col min="7697" max="7697" width="9.33203125" style="109" bestFit="1" customWidth="1"/>
    <col min="7698" max="7698" width="11.5546875" style="109" bestFit="1" customWidth="1"/>
    <col min="7699" max="7699" width="9.33203125" style="109" bestFit="1" customWidth="1"/>
    <col min="7700" max="7700" width="11.5546875" style="109" bestFit="1" customWidth="1"/>
    <col min="7701" max="7701" width="9.33203125" style="109" bestFit="1" customWidth="1"/>
    <col min="7702" max="7702" width="11.5546875" style="109" bestFit="1" customWidth="1"/>
    <col min="7703" max="7703" width="9.33203125" style="109" bestFit="1" customWidth="1"/>
    <col min="7704" max="7704" width="11.5546875" style="109" bestFit="1" customWidth="1"/>
    <col min="7705" max="7705" width="9.33203125" style="109" bestFit="1" customWidth="1"/>
    <col min="7706" max="7706" width="11.5546875" style="109" bestFit="1" customWidth="1"/>
    <col min="7707" max="7707" width="9.33203125" style="109" bestFit="1" customWidth="1"/>
    <col min="7708" max="7708" width="11.5546875" style="109" bestFit="1" customWidth="1"/>
    <col min="7709" max="7709" width="9.33203125" style="109" bestFit="1" customWidth="1"/>
    <col min="7710" max="7710" width="11.5546875" style="109" bestFit="1" customWidth="1"/>
    <col min="7711" max="7711" width="9.33203125" style="109" bestFit="1" customWidth="1"/>
    <col min="7712" max="7712" width="11.5546875" style="109" bestFit="1" customWidth="1"/>
    <col min="7713" max="7713" width="9.33203125" style="109" bestFit="1" customWidth="1"/>
    <col min="7714" max="7714" width="11.5546875" style="109" bestFit="1" customWidth="1"/>
    <col min="7715" max="7715" width="9.33203125" style="109" bestFit="1" customWidth="1"/>
    <col min="7716" max="7716" width="11.5546875" style="109" bestFit="1" customWidth="1"/>
    <col min="7717" max="7717" width="9.33203125" style="109" bestFit="1" customWidth="1"/>
    <col min="7718" max="7718" width="11.5546875" style="109" bestFit="1" customWidth="1"/>
    <col min="7719" max="7719" width="9.33203125" style="109" bestFit="1" customWidth="1"/>
    <col min="7720" max="7720" width="11.5546875" style="109" bestFit="1" customWidth="1"/>
    <col min="7721" max="7721" width="9.33203125" style="109" bestFit="1" customWidth="1"/>
    <col min="7722" max="7722" width="11.5546875" style="109" bestFit="1" customWidth="1"/>
    <col min="7723" max="7723" width="9.33203125" style="109" bestFit="1" customWidth="1"/>
    <col min="7724" max="7724" width="11.5546875" style="109" bestFit="1" customWidth="1"/>
    <col min="7725" max="7725" width="9.33203125" style="109" bestFit="1" customWidth="1"/>
    <col min="7726" max="7726" width="11.5546875" style="109" bestFit="1" customWidth="1"/>
    <col min="7727" max="7727" width="9.33203125" style="109" bestFit="1" customWidth="1"/>
    <col min="7728" max="7728" width="11.5546875" style="109" bestFit="1" customWidth="1"/>
    <col min="7729" max="7729" width="9.33203125" style="109" bestFit="1" customWidth="1"/>
    <col min="7730" max="7730" width="11.5546875" style="109" bestFit="1" customWidth="1"/>
    <col min="7731" max="7731" width="9.33203125" style="109" bestFit="1" customWidth="1"/>
    <col min="7732" max="7938" width="9.109375" style="109"/>
    <col min="7939" max="7939" width="29.44140625" style="109" bestFit="1" customWidth="1"/>
    <col min="7940" max="7940" width="11.5546875" style="109" bestFit="1" customWidth="1"/>
    <col min="7941" max="7941" width="9.33203125" style="109" bestFit="1" customWidth="1"/>
    <col min="7942" max="7942" width="11.5546875" style="109" bestFit="1" customWidth="1"/>
    <col min="7943" max="7943" width="9.33203125" style="109" bestFit="1" customWidth="1"/>
    <col min="7944" max="7944" width="11.5546875" style="109" bestFit="1" customWidth="1"/>
    <col min="7945" max="7945" width="9.33203125" style="109" bestFit="1" customWidth="1"/>
    <col min="7946" max="7946" width="11.5546875" style="109" bestFit="1" customWidth="1"/>
    <col min="7947" max="7947" width="9.33203125" style="109" bestFit="1" customWidth="1"/>
    <col min="7948" max="7948" width="11.5546875" style="109" bestFit="1" customWidth="1"/>
    <col min="7949" max="7949" width="9.33203125" style="109" bestFit="1" customWidth="1"/>
    <col min="7950" max="7950" width="11.5546875" style="109" bestFit="1" customWidth="1"/>
    <col min="7951" max="7951" width="9.33203125" style="109" bestFit="1" customWidth="1"/>
    <col min="7952" max="7952" width="11.5546875" style="109" bestFit="1" customWidth="1"/>
    <col min="7953" max="7953" width="9.33203125" style="109" bestFit="1" customWidth="1"/>
    <col min="7954" max="7954" width="11.5546875" style="109" bestFit="1" customWidth="1"/>
    <col min="7955" max="7955" width="9.33203125" style="109" bestFit="1" customWidth="1"/>
    <col min="7956" max="7956" width="11.5546875" style="109" bestFit="1" customWidth="1"/>
    <col min="7957" max="7957" width="9.33203125" style="109" bestFit="1" customWidth="1"/>
    <col min="7958" max="7958" width="11.5546875" style="109" bestFit="1" customWidth="1"/>
    <col min="7959" max="7959" width="9.33203125" style="109" bestFit="1" customWidth="1"/>
    <col min="7960" max="7960" width="11.5546875" style="109" bestFit="1" customWidth="1"/>
    <col min="7961" max="7961" width="9.33203125" style="109" bestFit="1" customWidth="1"/>
    <col min="7962" max="7962" width="11.5546875" style="109" bestFit="1" customWidth="1"/>
    <col min="7963" max="7963" width="9.33203125" style="109" bestFit="1" customWidth="1"/>
    <col min="7964" max="7964" width="11.5546875" style="109" bestFit="1" customWidth="1"/>
    <col min="7965" max="7965" width="9.33203125" style="109" bestFit="1" customWidth="1"/>
    <col min="7966" max="7966" width="11.5546875" style="109" bestFit="1" customWidth="1"/>
    <col min="7967" max="7967" width="9.33203125" style="109" bestFit="1" customWidth="1"/>
    <col min="7968" max="7968" width="11.5546875" style="109" bestFit="1" customWidth="1"/>
    <col min="7969" max="7969" width="9.33203125" style="109" bestFit="1" customWidth="1"/>
    <col min="7970" max="7970" width="11.5546875" style="109" bestFit="1" customWidth="1"/>
    <col min="7971" max="7971" width="9.33203125" style="109" bestFit="1" customWidth="1"/>
    <col min="7972" max="7972" width="11.5546875" style="109" bestFit="1" customWidth="1"/>
    <col min="7973" max="7973" width="9.33203125" style="109" bestFit="1" customWidth="1"/>
    <col min="7974" max="7974" width="11.5546875" style="109" bestFit="1" customWidth="1"/>
    <col min="7975" max="7975" width="9.33203125" style="109" bestFit="1" customWidth="1"/>
    <col min="7976" max="7976" width="11.5546875" style="109" bestFit="1" customWidth="1"/>
    <col min="7977" max="7977" width="9.33203125" style="109" bestFit="1" customWidth="1"/>
    <col min="7978" max="7978" width="11.5546875" style="109" bestFit="1" customWidth="1"/>
    <col min="7979" max="7979" width="9.33203125" style="109" bestFit="1" customWidth="1"/>
    <col min="7980" max="7980" width="11.5546875" style="109" bestFit="1" customWidth="1"/>
    <col min="7981" max="7981" width="9.33203125" style="109" bestFit="1" customWidth="1"/>
    <col min="7982" max="7982" width="11.5546875" style="109" bestFit="1" customWidth="1"/>
    <col min="7983" max="7983" width="9.33203125" style="109" bestFit="1" customWidth="1"/>
    <col min="7984" max="7984" width="11.5546875" style="109" bestFit="1" customWidth="1"/>
    <col min="7985" max="7985" width="9.33203125" style="109" bestFit="1" customWidth="1"/>
    <col min="7986" max="7986" width="11.5546875" style="109" bestFit="1" customWidth="1"/>
    <col min="7987" max="7987" width="9.33203125" style="109" bestFit="1" customWidth="1"/>
    <col min="7988" max="8194" width="9.109375" style="109"/>
    <col min="8195" max="8195" width="29.44140625" style="109" bestFit="1" customWidth="1"/>
    <col min="8196" max="8196" width="11.5546875" style="109" bestFit="1" customWidth="1"/>
    <col min="8197" max="8197" width="9.33203125" style="109" bestFit="1" customWidth="1"/>
    <col min="8198" max="8198" width="11.5546875" style="109" bestFit="1" customWidth="1"/>
    <col min="8199" max="8199" width="9.33203125" style="109" bestFit="1" customWidth="1"/>
    <col min="8200" max="8200" width="11.5546875" style="109" bestFit="1" customWidth="1"/>
    <col min="8201" max="8201" width="9.33203125" style="109" bestFit="1" customWidth="1"/>
    <col min="8202" max="8202" width="11.5546875" style="109" bestFit="1" customWidth="1"/>
    <col min="8203" max="8203" width="9.33203125" style="109" bestFit="1" customWidth="1"/>
    <col min="8204" max="8204" width="11.5546875" style="109" bestFit="1" customWidth="1"/>
    <col min="8205" max="8205" width="9.33203125" style="109" bestFit="1" customWidth="1"/>
    <col min="8206" max="8206" width="11.5546875" style="109" bestFit="1" customWidth="1"/>
    <col min="8207" max="8207" width="9.33203125" style="109" bestFit="1" customWidth="1"/>
    <col min="8208" max="8208" width="11.5546875" style="109" bestFit="1" customWidth="1"/>
    <col min="8209" max="8209" width="9.33203125" style="109" bestFit="1" customWidth="1"/>
    <col min="8210" max="8210" width="11.5546875" style="109" bestFit="1" customWidth="1"/>
    <col min="8211" max="8211" width="9.33203125" style="109" bestFit="1" customWidth="1"/>
    <col min="8212" max="8212" width="11.5546875" style="109" bestFit="1" customWidth="1"/>
    <col min="8213" max="8213" width="9.33203125" style="109" bestFit="1" customWidth="1"/>
    <col min="8214" max="8214" width="11.5546875" style="109" bestFit="1" customWidth="1"/>
    <col min="8215" max="8215" width="9.33203125" style="109" bestFit="1" customWidth="1"/>
    <col min="8216" max="8216" width="11.5546875" style="109" bestFit="1" customWidth="1"/>
    <col min="8217" max="8217" width="9.33203125" style="109" bestFit="1" customWidth="1"/>
    <col min="8218" max="8218" width="11.5546875" style="109" bestFit="1" customWidth="1"/>
    <col min="8219" max="8219" width="9.33203125" style="109" bestFit="1" customWidth="1"/>
    <col min="8220" max="8220" width="11.5546875" style="109" bestFit="1" customWidth="1"/>
    <col min="8221" max="8221" width="9.33203125" style="109" bestFit="1" customWidth="1"/>
    <col min="8222" max="8222" width="11.5546875" style="109" bestFit="1" customWidth="1"/>
    <col min="8223" max="8223" width="9.33203125" style="109" bestFit="1" customWidth="1"/>
    <col min="8224" max="8224" width="11.5546875" style="109" bestFit="1" customWidth="1"/>
    <col min="8225" max="8225" width="9.33203125" style="109" bestFit="1" customWidth="1"/>
    <col min="8226" max="8226" width="11.5546875" style="109" bestFit="1" customWidth="1"/>
    <col min="8227" max="8227" width="9.33203125" style="109" bestFit="1" customWidth="1"/>
    <col min="8228" max="8228" width="11.5546875" style="109" bestFit="1" customWidth="1"/>
    <col min="8229" max="8229" width="9.33203125" style="109" bestFit="1" customWidth="1"/>
    <col min="8230" max="8230" width="11.5546875" style="109" bestFit="1" customWidth="1"/>
    <col min="8231" max="8231" width="9.33203125" style="109" bestFit="1" customWidth="1"/>
    <col min="8232" max="8232" width="11.5546875" style="109" bestFit="1" customWidth="1"/>
    <col min="8233" max="8233" width="9.33203125" style="109" bestFit="1" customWidth="1"/>
    <col min="8234" max="8234" width="11.5546875" style="109" bestFit="1" customWidth="1"/>
    <col min="8235" max="8235" width="9.33203125" style="109" bestFit="1" customWidth="1"/>
    <col min="8236" max="8236" width="11.5546875" style="109" bestFit="1" customWidth="1"/>
    <col min="8237" max="8237" width="9.33203125" style="109" bestFit="1" customWidth="1"/>
    <col min="8238" max="8238" width="11.5546875" style="109" bestFit="1" customWidth="1"/>
    <col min="8239" max="8239" width="9.33203125" style="109" bestFit="1" customWidth="1"/>
    <col min="8240" max="8240" width="11.5546875" style="109" bestFit="1" customWidth="1"/>
    <col min="8241" max="8241" width="9.33203125" style="109" bestFit="1" customWidth="1"/>
    <col min="8242" max="8242" width="11.5546875" style="109" bestFit="1" customWidth="1"/>
    <col min="8243" max="8243" width="9.33203125" style="109" bestFit="1" customWidth="1"/>
    <col min="8244" max="8450" width="9.109375" style="109"/>
    <col min="8451" max="8451" width="29.44140625" style="109" bestFit="1" customWidth="1"/>
    <col min="8452" max="8452" width="11.5546875" style="109" bestFit="1" customWidth="1"/>
    <col min="8453" max="8453" width="9.33203125" style="109" bestFit="1" customWidth="1"/>
    <col min="8454" max="8454" width="11.5546875" style="109" bestFit="1" customWidth="1"/>
    <col min="8455" max="8455" width="9.33203125" style="109" bestFit="1" customWidth="1"/>
    <col min="8456" max="8456" width="11.5546875" style="109" bestFit="1" customWidth="1"/>
    <col min="8457" max="8457" width="9.33203125" style="109" bestFit="1" customWidth="1"/>
    <col min="8458" max="8458" width="11.5546875" style="109" bestFit="1" customWidth="1"/>
    <col min="8459" max="8459" width="9.33203125" style="109" bestFit="1" customWidth="1"/>
    <col min="8460" max="8460" width="11.5546875" style="109" bestFit="1" customWidth="1"/>
    <col min="8461" max="8461" width="9.33203125" style="109" bestFit="1" customWidth="1"/>
    <col min="8462" max="8462" width="11.5546875" style="109" bestFit="1" customWidth="1"/>
    <col min="8463" max="8463" width="9.33203125" style="109" bestFit="1" customWidth="1"/>
    <col min="8464" max="8464" width="11.5546875" style="109" bestFit="1" customWidth="1"/>
    <col min="8465" max="8465" width="9.33203125" style="109" bestFit="1" customWidth="1"/>
    <col min="8466" max="8466" width="11.5546875" style="109" bestFit="1" customWidth="1"/>
    <col min="8467" max="8467" width="9.33203125" style="109" bestFit="1" customWidth="1"/>
    <col min="8468" max="8468" width="11.5546875" style="109" bestFit="1" customWidth="1"/>
    <col min="8469" max="8469" width="9.33203125" style="109" bestFit="1" customWidth="1"/>
    <col min="8470" max="8470" width="11.5546875" style="109" bestFit="1" customWidth="1"/>
    <col min="8471" max="8471" width="9.33203125" style="109" bestFit="1" customWidth="1"/>
    <col min="8472" max="8472" width="11.5546875" style="109" bestFit="1" customWidth="1"/>
    <col min="8473" max="8473" width="9.33203125" style="109" bestFit="1" customWidth="1"/>
    <col min="8474" max="8474" width="11.5546875" style="109" bestFit="1" customWidth="1"/>
    <col min="8475" max="8475" width="9.33203125" style="109" bestFit="1" customWidth="1"/>
    <col min="8476" max="8476" width="11.5546875" style="109" bestFit="1" customWidth="1"/>
    <col min="8477" max="8477" width="9.33203125" style="109" bestFit="1" customWidth="1"/>
    <col min="8478" max="8478" width="11.5546875" style="109" bestFit="1" customWidth="1"/>
    <col min="8479" max="8479" width="9.33203125" style="109" bestFit="1" customWidth="1"/>
    <col min="8480" max="8480" width="11.5546875" style="109" bestFit="1" customWidth="1"/>
    <col min="8481" max="8481" width="9.33203125" style="109" bestFit="1" customWidth="1"/>
    <col min="8482" max="8482" width="11.5546875" style="109" bestFit="1" customWidth="1"/>
    <col min="8483" max="8483" width="9.33203125" style="109" bestFit="1" customWidth="1"/>
    <col min="8484" max="8484" width="11.5546875" style="109" bestFit="1" customWidth="1"/>
    <col min="8485" max="8485" width="9.33203125" style="109" bestFit="1" customWidth="1"/>
    <col min="8486" max="8486" width="11.5546875" style="109" bestFit="1" customWidth="1"/>
    <col min="8487" max="8487" width="9.33203125" style="109" bestFit="1" customWidth="1"/>
    <col min="8488" max="8488" width="11.5546875" style="109" bestFit="1" customWidth="1"/>
    <col min="8489" max="8489" width="9.33203125" style="109" bestFit="1" customWidth="1"/>
    <col min="8490" max="8490" width="11.5546875" style="109" bestFit="1" customWidth="1"/>
    <col min="8491" max="8491" width="9.33203125" style="109" bestFit="1" customWidth="1"/>
    <col min="8492" max="8492" width="11.5546875" style="109" bestFit="1" customWidth="1"/>
    <col min="8493" max="8493" width="9.33203125" style="109" bestFit="1" customWidth="1"/>
    <col min="8494" max="8494" width="11.5546875" style="109" bestFit="1" customWidth="1"/>
    <col min="8495" max="8495" width="9.33203125" style="109" bestFit="1" customWidth="1"/>
    <col min="8496" max="8496" width="11.5546875" style="109" bestFit="1" customWidth="1"/>
    <col min="8497" max="8497" width="9.33203125" style="109" bestFit="1" customWidth="1"/>
    <col min="8498" max="8498" width="11.5546875" style="109" bestFit="1" customWidth="1"/>
    <col min="8499" max="8499" width="9.33203125" style="109" bestFit="1" customWidth="1"/>
    <col min="8500" max="8706" width="9.109375" style="109"/>
    <col min="8707" max="8707" width="29.44140625" style="109" bestFit="1" customWidth="1"/>
    <col min="8708" max="8708" width="11.5546875" style="109" bestFit="1" customWidth="1"/>
    <col min="8709" max="8709" width="9.33203125" style="109" bestFit="1" customWidth="1"/>
    <col min="8710" max="8710" width="11.5546875" style="109" bestFit="1" customWidth="1"/>
    <col min="8711" max="8711" width="9.33203125" style="109" bestFit="1" customWidth="1"/>
    <col min="8712" max="8712" width="11.5546875" style="109" bestFit="1" customWidth="1"/>
    <col min="8713" max="8713" width="9.33203125" style="109" bestFit="1" customWidth="1"/>
    <col min="8714" max="8714" width="11.5546875" style="109" bestFit="1" customWidth="1"/>
    <col min="8715" max="8715" width="9.33203125" style="109" bestFit="1" customWidth="1"/>
    <col min="8716" max="8716" width="11.5546875" style="109" bestFit="1" customWidth="1"/>
    <col min="8717" max="8717" width="9.33203125" style="109" bestFit="1" customWidth="1"/>
    <col min="8718" max="8718" width="11.5546875" style="109" bestFit="1" customWidth="1"/>
    <col min="8719" max="8719" width="9.33203125" style="109" bestFit="1" customWidth="1"/>
    <col min="8720" max="8720" width="11.5546875" style="109" bestFit="1" customWidth="1"/>
    <col min="8721" max="8721" width="9.33203125" style="109" bestFit="1" customWidth="1"/>
    <col min="8722" max="8722" width="11.5546875" style="109" bestFit="1" customWidth="1"/>
    <col min="8723" max="8723" width="9.33203125" style="109" bestFit="1" customWidth="1"/>
    <col min="8724" max="8724" width="11.5546875" style="109" bestFit="1" customWidth="1"/>
    <col min="8725" max="8725" width="9.33203125" style="109" bestFit="1" customWidth="1"/>
    <col min="8726" max="8726" width="11.5546875" style="109" bestFit="1" customWidth="1"/>
    <col min="8727" max="8727" width="9.33203125" style="109" bestFit="1" customWidth="1"/>
    <col min="8728" max="8728" width="11.5546875" style="109" bestFit="1" customWidth="1"/>
    <col min="8729" max="8729" width="9.33203125" style="109" bestFit="1" customWidth="1"/>
    <col min="8730" max="8730" width="11.5546875" style="109" bestFit="1" customWidth="1"/>
    <col min="8731" max="8731" width="9.33203125" style="109" bestFit="1" customWidth="1"/>
    <col min="8732" max="8732" width="11.5546875" style="109" bestFit="1" customWidth="1"/>
    <col min="8733" max="8733" width="9.33203125" style="109" bestFit="1" customWidth="1"/>
    <col min="8734" max="8734" width="11.5546875" style="109" bestFit="1" customWidth="1"/>
    <col min="8735" max="8735" width="9.33203125" style="109" bestFit="1" customWidth="1"/>
    <col min="8736" max="8736" width="11.5546875" style="109" bestFit="1" customWidth="1"/>
    <col min="8737" max="8737" width="9.33203125" style="109" bestFit="1" customWidth="1"/>
    <col min="8738" max="8738" width="11.5546875" style="109" bestFit="1" customWidth="1"/>
    <col min="8739" max="8739" width="9.33203125" style="109" bestFit="1" customWidth="1"/>
    <col min="8740" max="8740" width="11.5546875" style="109" bestFit="1" customWidth="1"/>
    <col min="8741" max="8741" width="9.33203125" style="109" bestFit="1" customWidth="1"/>
    <col min="8742" max="8742" width="11.5546875" style="109" bestFit="1" customWidth="1"/>
    <col min="8743" max="8743" width="9.33203125" style="109" bestFit="1" customWidth="1"/>
    <col min="8744" max="8744" width="11.5546875" style="109" bestFit="1" customWidth="1"/>
    <col min="8745" max="8745" width="9.33203125" style="109" bestFit="1" customWidth="1"/>
    <col min="8746" max="8746" width="11.5546875" style="109" bestFit="1" customWidth="1"/>
    <col min="8747" max="8747" width="9.33203125" style="109" bestFit="1" customWidth="1"/>
    <col min="8748" max="8748" width="11.5546875" style="109" bestFit="1" customWidth="1"/>
    <col min="8749" max="8749" width="9.33203125" style="109" bestFit="1" customWidth="1"/>
    <col min="8750" max="8750" width="11.5546875" style="109" bestFit="1" customWidth="1"/>
    <col min="8751" max="8751" width="9.33203125" style="109" bestFit="1" customWidth="1"/>
    <col min="8752" max="8752" width="11.5546875" style="109" bestFit="1" customWidth="1"/>
    <col min="8753" max="8753" width="9.33203125" style="109" bestFit="1" customWidth="1"/>
    <col min="8754" max="8754" width="11.5546875" style="109" bestFit="1" customWidth="1"/>
    <col min="8755" max="8755" width="9.33203125" style="109" bestFit="1" customWidth="1"/>
    <col min="8756" max="8962" width="9.109375" style="109"/>
    <col min="8963" max="8963" width="29.44140625" style="109" bestFit="1" customWidth="1"/>
    <col min="8964" max="8964" width="11.5546875" style="109" bestFit="1" customWidth="1"/>
    <col min="8965" max="8965" width="9.33203125" style="109" bestFit="1" customWidth="1"/>
    <col min="8966" max="8966" width="11.5546875" style="109" bestFit="1" customWidth="1"/>
    <col min="8967" max="8967" width="9.33203125" style="109" bestFit="1" customWidth="1"/>
    <col min="8968" max="8968" width="11.5546875" style="109" bestFit="1" customWidth="1"/>
    <col min="8969" max="8969" width="9.33203125" style="109" bestFit="1" customWidth="1"/>
    <col min="8970" max="8970" width="11.5546875" style="109" bestFit="1" customWidth="1"/>
    <col min="8971" max="8971" width="9.33203125" style="109" bestFit="1" customWidth="1"/>
    <col min="8972" max="8972" width="11.5546875" style="109" bestFit="1" customWidth="1"/>
    <col min="8973" max="8973" width="9.33203125" style="109" bestFit="1" customWidth="1"/>
    <col min="8974" max="8974" width="11.5546875" style="109" bestFit="1" customWidth="1"/>
    <col min="8975" max="8975" width="9.33203125" style="109" bestFit="1" customWidth="1"/>
    <col min="8976" max="8976" width="11.5546875" style="109" bestFit="1" customWidth="1"/>
    <col min="8977" max="8977" width="9.33203125" style="109" bestFit="1" customWidth="1"/>
    <col min="8978" max="8978" width="11.5546875" style="109" bestFit="1" customWidth="1"/>
    <col min="8979" max="8979" width="9.33203125" style="109" bestFit="1" customWidth="1"/>
    <col min="8980" max="8980" width="11.5546875" style="109" bestFit="1" customWidth="1"/>
    <col min="8981" max="8981" width="9.33203125" style="109" bestFit="1" customWidth="1"/>
    <col min="8982" max="8982" width="11.5546875" style="109" bestFit="1" customWidth="1"/>
    <col min="8983" max="8983" width="9.33203125" style="109" bestFit="1" customWidth="1"/>
    <col min="8984" max="8984" width="11.5546875" style="109" bestFit="1" customWidth="1"/>
    <col min="8985" max="8985" width="9.33203125" style="109" bestFit="1" customWidth="1"/>
    <col min="8986" max="8986" width="11.5546875" style="109" bestFit="1" customWidth="1"/>
    <col min="8987" max="8987" width="9.33203125" style="109" bestFit="1" customWidth="1"/>
    <col min="8988" max="8988" width="11.5546875" style="109" bestFit="1" customWidth="1"/>
    <col min="8989" max="8989" width="9.33203125" style="109" bestFit="1" customWidth="1"/>
    <col min="8990" max="8990" width="11.5546875" style="109" bestFit="1" customWidth="1"/>
    <col min="8991" max="8991" width="9.33203125" style="109" bestFit="1" customWidth="1"/>
    <col min="8992" max="8992" width="11.5546875" style="109" bestFit="1" customWidth="1"/>
    <col min="8993" max="8993" width="9.33203125" style="109" bestFit="1" customWidth="1"/>
    <col min="8994" max="8994" width="11.5546875" style="109" bestFit="1" customWidth="1"/>
    <col min="8995" max="8995" width="9.33203125" style="109" bestFit="1" customWidth="1"/>
    <col min="8996" max="8996" width="11.5546875" style="109" bestFit="1" customWidth="1"/>
    <col min="8997" max="8997" width="9.33203125" style="109" bestFit="1" customWidth="1"/>
    <col min="8998" max="8998" width="11.5546875" style="109" bestFit="1" customWidth="1"/>
    <col min="8999" max="8999" width="9.33203125" style="109" bestFit="1" customWidth="1"/>
    <col min="9000" max="9000" width="11.5546875" style="109" bestFit="1" customWidth="1"/>
    <col min="9001" max="9001" width="9.33203125" style="109" bestFit="1" customWidth="1"/>
    <col min="9002" max="9002" width="11.5546875" style="109" bestFit="1" customWidth="1"/>
    <col min="9003" max="9003" width="9.33203125" style="109" bestFit="1" customWidth="1"/>
    <col min="9004" max="9004" width="11.5546875" style="109" bestFit="1" customWidth="1"/>
    <col min="9005" max="9005" width="9.33203125" style="109" bestFit="1" customWidth="1"/>
    <col min="9006" max="9006" width="11.5546875" style="109" bestFit="1" customWidth="1"/>
    <col min="9007" max="9007" width="9.33203125" style="109" bestFit="1" customWidth="1"/>
    <col min="9008" max="9008" width="11.5546875" style="109" bestFit="1" customWidth="1"/>
    <col min="9009" max="9009" width="9.33203125" style="109" bestFit="1" customWidth="1"/>
    <col min="9010" max="9010" width="11.5546875" style="109" bestFit="1" customWidth="1"/>
    <col min="9011" max="9011" width="9.33203125" style="109" bestFit="1" customWidth="1"/>
    <col min="9012" max="9218" width="9.109375" style="109"/>
    <col min="9219" max="9219" width="29.44140625" style="109" bestFit="1" customWidth="1"/>
    <col min="9220" max="9220" width="11.5546875" style="109" bestFit="1" customWidth="1"/>
    <col min="9221" max="9221" width="9.33203125" style="109" bestFit="1" customWidth="1"/>
    <col min="9222" max="9222" width="11.5546875" style="109" bestFit="1" customWidth="1"/>
    <col min="9223" max="9223" width="9.33203125" style="109" bestFit="1" customWidth="1"/>
    <col min="9224" max="9224" width="11.5546875" style="109" bestFit="1" customWidth="1"/>
    <col min="9225" max="9225" width="9.33203125" style="109" bestFit="1" customWidth="1"/>
    <col min="9226" max="9226" width="11.5546875" style="109" bestFit="1" customWidth="1"/>
    <col min="9227" max="9227" width="9.33203125" style="109" bestFit="1" customWidth="1"/>
    <col min="9228" max="9228" width="11.5546875" style="109" bestFit="1" customWidth="1"/>
    <col min="9229" max="9229" width="9.33203125" style="109" bestFit="1" customWidth="1"/>
    <col min="9230" max="9230" width="11.5546875" style="109" bestFit="1" customWidth="1"/>
    <col min="9231" max="9231" width="9.33203125" style="109" bestFit="1" customWidth="1"/>
    <col min="9232" max="9232" width="11.5546875" style="109" bestFit="1" customWidth="1"/>
    <col min="9233" max="9233" width="9.33203125" style="109" bestFit="1" customWidth="1"/>
    <col min="9234" max="9234" width="11.5546875" style="109" bestFit="1" customWidth="1"/>
    <col min="9235" max="9235" width="9.33203125" style="109" bestFit="1" customWidth="1"/>
    <col min="9236" max="9236" width="11.5546875" style="109" bestFit="1" customWidth="1"/>
    <col min="9237" max="9237" width="9.33203125" style="109" bestFit="1" customWidth="1"/>
    <col min="9238" max="9238" width="11.5546875" style="109" bestFit="1" customWidth="1"/>
    <col min="9239" max="9239" width="9.33203125" style="109" bestFit="1" customWidth="1"/>
    <col min="9240" max="9240" width="11.5546875" style="109" bestFit="1" customWidth="1"/>
    <col min="9241" max="9241" width="9.33203125" style="109" bestFit="1" customWidth="1"/>
    <col min="9242" max="9242" width="11.5546875" style="109" bestFit="1" customWidth="1"/>
    <col min="9243" max="9243" width="9.33203125" style="109" bestFit="1" customWidth="1"/>
    <col min="9244" max="9244" width="11.5546875" style="109" bestFit="1" customWidth="1"/>
    <col min="9245" max="9245" width="9.33203125" style="109" bestFit="1" customWidth="1"/>
    <col min="9246" max="9246" width="11.5546875" style="109" bestFit="1" customWidth="1"/>
    <col min="9247" max="9247" width="9.33203125" style="109" bestFit="1" customWidth="1"/>
    <col min="9248" max="9248" width="11.5546875" style="109" bestFit="1" customWidth="1"/>
    <col min="9249" max="9249" width="9.33203125" style="109" bestFit="1" customWidth="1"/>
    <col min="9250" max="9250" width="11.5546875" style="109" bestFit="1" customWidth="1"/>
    <col min="9251" max="9251" width="9.33203125" style="109" bestFit="1" customWidth="1"/>
    <col min="9252" max="9252" width="11.5546875" style="109" bestFit="1" customWidth="1"/>
    <col min="9253" max="9253" width="9.33203125" style="109" bestFit="1" customWidth="1"/>
    <col min="9254" max="9254" width="11.5546875" style="109" bestFit="1" customWidth="1"/>
    <col min="9255" max="9255" width="9.33203125" style="109" bestFit="1" customWidth="1"/>
    <col min="9256" max="9256" width="11.5546875" style="109" bestFit="1" customWidth="1"/>
    <col min="9257" max="9257" width="9.33203125" style="109" bestFit="1" customWidth="1"/>
    <col min="9258" max="9258" width="11.5546875" style="109" bestFit="1" customWidth="1"/>
    <col min="9259" max="9259" width="9.33203125" style="109" bestFit="1" customWidth="1"/>
    <col min="9260" max="9260" width="11.5546875" style="109" bestFit="1" customWidth="1"/>
    <col min="9261" max="9261" width="9.33203125" style="109" bestFit="1" customWidth="1"/>
    <col min="9262" max="9262" width="11.5546875" style="109" bestFit="1" customWidth="1"/>
    <col min="9263" max="9263" width="9.33203125" style="109" bestFit="1" customWidth="1"/>
    <col min="9264" max="9264" width="11.5546875" style="109" bestFit="1" customWidth="1"/>
    <col min="9265" max="9265" width="9.33203125" style="109" bestFit="1" customWidth="1"/>
    <col min="9266" max="9266" width="11.5546875" style="109" bestFit="1" customWidth="1"/>
    <col min="9267" max="9267" width="9.33203125" style="109" bestFit="1" customWidth="1"/>
    <col min="9268" max="9474" width="9.109375" style="109"/>
    <col min="9475" max="9475" width="29.44140625" style="109" bestFit="1" customWidth="1"/>
    <col min="9476" max="9476" width="11.5546875" style="109" bestFit="1" customWidth="1"/>
    <col min="9477" max="9477" width="9.33203125" style="109" bestFit="1" customWidth="1"/>
    <col min="9478" max="9478" width="11.5546875" style="109" bestFit="1" customWidth="1"/>
    <col min="9479" max="9479" width="9.33203125" style="109" bestFit="1" customWidth="1"/>
    <col min="9480" max="9480" width="11.5546875" style="109" bestFit="1" customWidth="1"/>
    <col min="9481" max="9481" width="9.33203125" style="109" bestFit="1" customWidth="1"/>
    <col min="9482" max="9482" width="11.5546875" style="109" bestFit="1" customWidth="1"/>
    <col min="9483" max="9483" width="9.33203125" style="109" bestFit="1" customWidth="1"/>
    <col min="9484" max="9484" width="11.5546875" style="109" bestFit="1" customWidth="1"/>
    <col min="9485" max="9485" width="9.33203125" style="109" bestFit="1" customWidth="1"/>
    <col min="9486" max="9486" width="11.5546875" style="109" bestFit="1" customWidth="1"/>
    <col min="9487" max="9487" width="9.33203125" style="109" bestFit="1" customWidth="1"/>
    <col min="9488" max="9488" width="11.5546875" style="109" bestFit="1" customWidth="1"/>
    <col min="9489" max="9489" width="9.33203125" style="109" bestFit="1" customWidth="1"/>
    <col min="9490" max="9490" width="11.5546875" style="109" bestFit="1" customWidth="1"/>
    <col min="9491" max="9491" width="9.33203125" style="109" bestFit="1" customWidth="1"/>
    <col min="9492" max="9492" width="11.5546875" style="109" bestFit="1" customWidth="1"/>
    <col min="9493" max="9493" width="9.33203125" style="109" bestFit="1" customWidth="1"/>
    <col min="9494" max="9494" width="11.5546875" style="109" bestFit="1" customWidth="1"/>
    <col min="9495" max="9495" width="9.33203125" style="109" bestFit="1" customWidth="1"/>
    <col min="9496" max="9496" width="11.5546875" style="109" bestFit="1" customWidth="1"/>
    <col min="9497" max="9497" width="9.33203125" style="109" bestFit="1" customWidth="1"/>
    <col min="9498" max="9498" width="11.5546875" style="109" bestFit="1" customWidth="1"/>
    <col min="9499" max="9499" width="9.33203125" style="109" bestFit="1" customWidth="1"/>
    <col min="9500" max="9500" width="11.5546875" style="109" bestFit="1" customWidth="1"/>
    <col min="9501" max="9501" width="9.33203125" style="109" bestFit="1" customWidth="1"/>
    <col min="9502" max="9502" width="11.5546875" style="109" bestFit="1" customWidth="1"/>
    <col min="9503" max="9503" width="9.33203125" style="109" bestFit="1" customWidth="1"/>
    <col min="9504" max="9504" width="11.5546875" style="109" bestFit="1" customWidth="1"/>
    <col min="9505" max="9505" width="9.33203125" style="109" bestFit="1" customWidth="1"/>
    <col min="9506" max="9506" width="11.5546875" style="109" bestFit="1" customWidth="1"/>
    <col min="9507" max="9507" width="9.33203125" style="109" bestFit="1" customWidth="1"/>
    <col min="9508" max="9508" width="11.5546875" style="109" bestFit="1" customWidth="1"/>
    <col min="9509" max="9509" width="9.33203125" style="109" bestFit="1" customWidth="1"/>
    <col min="9510" max="9510" width="11.5546875" style="109" bestFit="1" customWidth="1"/>
    <col min="9511" max="9511" width="9.33203125" style="109" bestFit="1" customWidth="1"/>
    <col min="9512" max="9512" width="11.5546875" style="109" bestFit="1" customWidth="1"/>
    <col min="9513" max="9513" width="9.33203125" style="109" bestFit="1" customWidth="1"/>
    <col min="9514" max="9514" width="11.5546875" style="109" bestFit="1" customWidth="1"/>
    <col min="9515" max="9515" width="9.33203125" style="109" bestFit="1" customWidth="1"/>
    <col min="9516" max="9516" width="11.5546875" style="109" bestFit="1" customWidth="1"/>
    <col min="9517" max="9517" width="9.33203125" style="109" bestFit="1" customWidth="1"/>
    <col min="9518" max="9518" width="11.5546875" style="109" bestFit="1" customWidth="1"/>
    <col min="9519" max="9519" width="9.33203125" style="109" bestFit="1" customWidth="1"/>
    <col min="9520" max="9520" width="11.5546875" style="109" bestFit="1" customWidth="1"/>
    <col min="9521" max="9521" width="9.33203125" style="109" bestFit="1" customWidth="1"/>
    <col min="9522" max="9522" width="11.5546875" style="109" bestFit="1" customWidth="1"/>
    <col min="9523" max="9523" width="9.33203125" style="109" bestFit="1" customWidth="1"/>
    <col min="9524" max="9730" width="9.109375" style="109"/>
    <col min="9731" max="9731" width="29.44140625" style="109" bestFit="1" customWidth="1"/>
    <col min="9732" max="9732" width="11.5546875" style="109" bestFit="1" customWidth="1"/>
    <col min="9733" max="9733" width="9.33203125" style="109" bestFit="1" customWidth="1"/>
    <col min="9734" max="9734" width="11.5546875" style="109" bestFit="1" customWidth="1"/>
    <col min="9735" max="9735" width="9.33203125" style="109" bestFit="1" customWidth="1"/>
    <col min="9736" max="9736" width="11.5546875" style="109" bestFit="1" customWidth="1"/>
    <col min="9737" max="9737" width="9.33203125" style="109" bestFit="1" customWidth="1"/>
    <col min="9738" max="9738" width="11.5546875" style="109" bestFit="1" customWidth="1"/>
    <col min="9739" max="9739" width="9.33203125" style="109" bestFit="1" customWidth="1"/>
    <col min="9740" max="9740" width="11.5546875" style="109" bestFit="1" customWidth="1"/>
    <col min="9741" max="9741" width="9.33203125" style="109" bestFit="1" customWidth="1"/>
    <col min="9742" max="9742" width="11.5546875" style="109" bestFit="1" customWidth="1"/>
    <col min="9743" max="9743" width="9.33203125" style="109" bestFit="1" customWidth="1"/>
    <col min="9744" max="9744" width="11.5546875" style="109" bestFit="1" customWidth="1"/>
    <col min="9745" max="9745" width="9.33203125" style="109" bestFit="1" customWidth="1"/>
    <col min="9746" max="9746" width="11.5546875" style="109" bestFit="1" customWidth="1"/>
    <col min="9747" max="9747" width="9.33203125" style="109" bestFit="1" customWidth="1"/>
    <col min="9748" max="9748" width="11.5546875" style="109" bestFit="1" customWidth="1"/>
    <col min="9749" max="9749" width="9.33203125" style="109" bestFit="1" customWidth="1"/>
    <col min="9750" max="9750" width="11.5546875" style="109" bestFit="1" customWidth="1"/>
    <col min="9751" max="9751" width="9.33203125" style="109" bestFit="1" customWidth="1"/>
    <col min="9752" max="9752" width="11.5546875" style="109" bestFit="1" customWidth="1"/>
    <col min="9753" max="9753" width="9.33203125" style="109" bestFit="1" customWidth="1"/>
    <col min="9754" max="9754" width="11.5546875" style="109" bestFit="1" customWidth="1"/>
    <col min="9755" max="9755" width="9.33203125" style="109" bestFit="1" customWidth="1"/>
    <col min="9756" max="9756" width="11.5546875" style="109" bestFit="1" customWidth="1"/>
    <col min="9757" max="9757" width="9.33203125" style="109" bestFit="1" customWidth="1"/>
    <col min="9758" max="9758" width="11.5546875" style="109" bestFit="1" customWidth="1"/>
    <col min="9759" max="9759" width="9.33203125" style="109" bestFit="1" customWidth="1"/>
    <col min="9760" max="9760" width="11.5546875" style="109" bestFit="1" customWidth="1"/>
    <col min="9761" max="9761" width="9.33203125" style="109" bestFit="1" customWidth="1"/>
    <col min="9762" max="9762" width="11.5546875" style="109" bestFit="1" customWidth="1"/>
    <col min="9763" max="9763" width="9.33203125" style="109" bestFit="1" customWidth="1"/>
    <col min="9764" max="9764" width="11.5546875" style="109" bestFit="1" customWidth="1"/>
    <col min="9765" max="9765" width="9.33203125" style="109" bestFit="1" customWidth="1"/>
    <col min="9766" max="9766" width="11.5546875" style="109" bestFit="1" customWidth="1"/>
    <col min="9767" max="9767" width="9.33203125" style="109" bestFit="1" customWidth="1"/>
    <col min="9768" max="9768" width="11.5546875" style="109" bestFit="1" customWidth="1"/>
    <col min="9769" max="9769" width="9.33203125" style="109" bestFit="1" customWidth="1"/>
    <col min="9770" max="9770" width="11.5546875" style="109" bestFit="1" customWidth="1"/>
    <col min="9771" max="9771" width="9.33203125" style="109" bestFit="1" customWidth="1"/>
    <col min="9772" max="9772" width="11.5546875" style="109" bestFit="1" customWidth="1"/>
    <col min="9773" max="9773" width="9.33203125" style="109" bestFit="1" customWidth="1"/>
    <col min="9774" max="9774" width="11.5546875" style="109" bestFit="1" customWidth="1"/>
    <col min="9775" max="9775" width="9.33203125" style="109" bestFit="1" customWidth="1"/>
    <col min="9776" max="9776" width="11.5546875" style="109" bestFit="1" customWidth="1"/>
    <col min="9777" max="9777" width="9.33203125" style="109" bestFit="1" customWidth="1"/>
    <col min="9778" max="9778" width="11.5546875" style="109" bestFit="1" customWidth="1"/>
    <col min="9779" max="9779" width="9.33203125" style="109" bestFit="1" customWidth="1"/>
    <col min="9780" max="9986" width="9.109375" style="109"/>
    <col min="9987" max="9987" width="29.44140625" style="109" bestFit="1" customWidth="1"/>
    <col min="9988" max="9988" width="11.5546875" style="109" bestFit="1" customWidth="1"/>
    <col min="9989" max="9989" width="9.33203125" style="109" bestFit="1" customWidth="1"/>
    <col min="9990" max="9990" width="11.5546875" style="109" bestFit="1" customWidth="1"/>
    <col min="9991" max="9991" width="9.33203125" style="109" bestFit="1" customWidth="1"/>
    <col min="9992" max="9992" width="11.5546875" style="109" bestFit="1" customWidth="1"/>
    <col min="9993" max="9993" width="9.33203125" style="109" bestFit="1" customWidth="1"/>
    <col min="9994" max="9994" width="11.5546875" style="109" bestFit="1" customWidth="1"/>
    <col min="9995" max="9995" width="9.33203125" style="109" bestFit="1" customWidth="1"/>
    <col min="9996" max="9996" width="11.5546875" style="109" bestFit="1" customWidth="1"/>
    <col min="9997" max="9997" width="9.33203125" style="109" bestFit="1" customWidth="1"/>
    <col min="9998" max="9998" width="11.5546875" style="109" bestFit="1" customWidth="1"/>
    <col min="9999" max="9999" width="9.33203125" style="109" bestFit="1" customWidth="1"/>
    <col min="10000" max="10000" width="11.5546875" style="109" bestFit="1" customWidth="1"/>
    <col min="10001" max="10001" width="9.33203125" style="109" bestFit="1" customWidth="1"/>
    <col min="10002" max="10002" width="11.5546875" style="109" bestFit="1" customWidth="1"/>
    <col min="10003" max="10003" width="9.33203125" style="109" bestFit="1" customWidth="1"/>
    <col min="10004" max="10004" width="11.5546875" style="109" bestFit="1" customWidth="1"/>
    <col min="10005" max="10005" width="9.33203125" style="109" bestFit="1" customWidth="1"/>
    <col min="10006" max="10006" width="11.5546875" style="109" bestFit="1" customWidth="1"/>
    <col min="10007" max="10007" width="9.33203125" style="109" bestFit="1" customWidth="1"/>
    <col min="10008" max="10008" width="11.5546875" style="109" bestFit="1" customWidth="1"/>
    <col min="10009" max="10009" width="9.33203125" style="109" bestFit="1" customWidth="1"/>
    <col min="10010" max="10010" width="11.5546875" style="109" bestFit="1" customWidth="1"/>
    <col min="10011" max="10011" width="9.33203125" style="109" bestFit="1" customWidth="1"/>
    <col min="10012" max="10012" width="11.5546875" style="109" bestFit="1" customWidth="1"/>
    <col min="10013" max="10013" width="9.33203125" style="109" bestFit="1" customWidth="1"/>
    <col min="10014" max="10014" width="11.5546875" style="109" bestFit="1" customWidth="1"/>
    <col min="10015" max="10015" width="9.33203125" style="109" bestFit="1" customWidth="1"/>
    <col min="10016" max="10016" width="11.5546875" style="109" bestFit="1" customWidth="1"/>
    <col min="10017" max="10017" width="9.33203125" style="109" bestFit="1" customWidth="1"/>
    <col min="10018" max="10018" width="11.5546875" style="109" bestFit="1" customWidth="1"/>
    <col min="10019" max="10019" width="9.33203125" style="109" bestFit="1" customWidth="1"/>
    <col min="10020" max="10020" width="11.5546875" style="109" bestFit="1" customWidth="1"/>
    <col min="10021" max="10021" width="9.33203125" style="109" bestFit="1" customWidth="1"/>
    <col min="10022" max="10022" width="11.5546875" style="109" bestFit="1" customWidth="1"/>
    <col min="10023" max="10023" width="9.33203125" style="109" bestFit="1" customWidth="1"/>
    <col min="10024" max="10024" width="11.5546875" style="109" bestFit="1" customWidth="1"/>
    <col min="10025" max="10025" width="9.33203125" style="109" bestFit="1" customWidth="1"/>
    <col min="10026" max="10026" width="11.5546875" style="109" bestFit="1" customWidth="1"/>
    <col min="10027" max="10027" width="9.33203125" style="109" bestFit="1" customWidth="1"/>
    <col min="10028" max="10028" width="11.5546875" style="109" bestFit="1" customWidth="1"/>
    <col min="10029" max="10029" width="9.33203125" style="109" bestFit="1" customWidth="1"/>
    <col min="10030" max="10030" width="11.5546875" style="109" bestFit="1" customWidth="1"/>
    <col min="10031" max="10031" width="9.33203125" style="109" bestFit="1" customWidth="1"/>
    <col min="10032" max="10032" width="11.5546875" style="109" bestFit="1" customWidth="1"/>
    <col min="10033" max="10033" width="9.33203125" style="109" bestFit="1" customWidth="1"/>
    <col min="10034" max="10034" width="11.5546875" style="109" bestFit="1" customWidth="1"/>
    <col min="10035" max="10035" width="9.33203125" style="109" bestFit="1" customWidth="1"/>
    <col min="10036" max="10242" width="9.109375" style="109"/>
    <col min="10243" max="10243" width="29.44140625" style="109" bestFit="1" customWidth="1"/>
    <col min="10244" max="10244" width="11.5546875" style="109" bestFit="1" customWidth="1"/>
    <col min="10245" max="10245" width="9.33203125" style="109" bestFit="1" customWidth="1"/>
    <col min="10246" max="10246" width="11.5546875" style="109" bestFit="1" customWidth="1"/>
    <col min="10247" max="10247" width="9.33203125" style="109" bestFit="1" customWidth="1"/>
    <col min="10248" max="10248" width="11.5546875" style="109" bestFit="1" customWidth="1"/>
    <col min="10249" max="10249" width="9.33203125" style="109" bestFit="1" customWidth="1"/>
    <col min="10250" max="10250" width="11.5546875" style="109" bestFit="1" customWidth="1"/>
    <col min="10251" max="10251" width="9.33203125" style="109" bestFit="1" customWidth="1"/>
    <col min="10252" max="10252" width="11.5546875" style="109" bestFit="1" customWidth="1"/>
    <col min="10253" max="10253" width="9.33203125" style="109" bestFit="1" customWidth="1"/>
    <col min="10254" max="10254" width="11.5546875" style="109" bestFit="1" customWidth="1"/>
    <col min="10255" max="10255" width="9.33203125" style="109" bestFit="1" customWidth="1"/>
    <col min="10256" max="10256" width="11.5546875" style="109" bestFit="1" customWidth="1"/>
    <col min="10257" max="10257" width="9.33203125" style="109" bestFit="1" customWidth="1"/>
    <col min="10258" max="10258" width="11.5546875" style="109" bestFit="1" customWidth="1"/>
    <col min="10259" max="10259" width="9.33203125" style="109" bestFit="1" customWidth="1"/>
    <col min="10260" max="10260" width="11.5546875" style="109" bestFit="1" customWidth="1"/>
    <col min="10261" max="10261" width="9.33203125" style="109" bestFit="1" customWidth="1"/>
    <col min="10262" max="10262" width="11.5546875" style="109" bestFit="1" customWidth="1"/>
    <col min="10263" max="10263" width="9.33203125" style="109" bestFit="1" customWidth="1"/>
    <col min="10264" max="10264" width="11.5546875" style="109" bestFit="1" customWidth="1"/>
    <col min="10265" max="10265" width="9.33203125" style="109" bestFit="1" customWidth="1"/>
    <col min="10266" max="10266" width="11.5546875" style="109" bestFit="1" customWidth="1"/>
    <col min="10267" max="10267" width="9.33203125" style="109" bestFit="1" customWidth="1"/>
    <col min="10268" max="10268" width="11.5546875" style="109" bestFit="1" customWidth="1"/>
    <col min="10269" max="10269" width="9.33203125" style="109" bestFit="1" customWidth="1"/>
    <col min="10270" max="10270" width="11.5546875" style="109" bestFit="1" customWidth="1"/>
    <col min="10271" max="10271" width="9.33203125" style="109" bestFit="1" customWidth="1"/>
    <col min="10272" max="10272" width="11.5546875" style="109" bestFit="1" customWidth="1"/>
    <col min="10273" max="10273" width="9.33203125" style="109" bestFit="1" customWidth="1"/>
    <col min="10274" max="10274" width="11.5546875" style="109" bestFit="1" customWidth="1"/>
    <col min="10275" max="10275" width="9.33203125" style="109" bestFit="1" customWidth="1"/>
    <col min="10276" max="10276" width="11.5546875" style="109" bestFit="1" customWidth="1"/>
    <col min="10277" max="10277" width="9.33203125" style="109" bestFit="1" customWidth="1"/>
    <col min="10278" max="10278" width="11.5546875" style="109" bestFit="1" customWidth="1"/>
    <col min="10279" max="10279" width="9.33203125" style="109" bestFit="1" customWidth="1"/>
    <col min="10280" max="10280" width="11.5546875" style="109" bestFit="1" customWidth="1"/>
    <col min="10281" max="10281" width="9.33203125" style="109" bestFit="1" customWidth="1"/>
    <col min="10282" max="10282" width="11.5546875" style="109" bestFit="1" customWidth="1"/>
    <col min="10283" max="10283" width="9.33203125" style="109" bestFit="1" customWidth="1"/>
    <col min="10284" max="10284" width="11.5546875" style="109" bestFit="1" customWidth="1"/>
    <col min="10285" max="10285" width="9.33203125" style="109" bestFit="1" customWidth="1"/>
    <col min="10286" max="10286" width="11.5546875" style="109" bestFit="1" customWidth="1"/>
    <col min="10287" max="10287" width="9.33203125" style="109" bestFit="1" customWidth="1"/>
    <col min="10288" max="10288" width="11.5546875" style="109" bestFit="1" customWidth="1"/>
    <col min="10289" max="10289" width="9.33203125" style="109" bestFit="1" customWidth="1"/>
    <col min="10290" max="10290" width="11.5546875" style="109" bestFit="1" customWidth="1"/>
    <col min="10291" max="10291" width="9.33203125" style="109" bestFit="1" customWidth="1"/>
    <col min="10292" max="10498" width="9.109375" style="109"/>
    <col min="10499" max="10499" width="29.44140625" style="109" bestFit="1" customWidth="1"/>
    <col min="10500" max="10500" width="11.5546875" style="109" bestFit="1" customWidth="1"/>
    <col min="10501" max="10501" width="9.33203125" style="109" bestFit="1" customWidth="1"/>
    <col min="10502" max="10502" width="11.5546875" style="109" bestFit="1" customWidth="1"/>
    <col min="10503" max="10503" width="9.33203125" style="109" bestFit="1" customWidth="1"/>
    <col min="10504" max="10504" width="11.5546875" style="109" bestFit="1" customWidth="1"/>
    <col min="10505" max="10505" width="9.33203125" style="109" bestFit="1" customWidth="1"/>
    <col min="10506" max="10506" width="11.5546875" style="109" bestFit="1" customWidth="1"/>
    <col min="10507" max="10507" width="9.33203125" style="109" bestFit="1" customWidth="1"/>
    <col min="10508" max="10508" width="11.5546875" style="109" bestFit="1" customWidth="1"/>
    <col min="10509" max="10509" width="9.33203125" style="109" bestFit="1" customWidth="1"/>
    <col min="10510" max="10510" width="11.5546875" style="109" bestFit="1" customWidth="1"/>
    <col min="10511" max="10511" width="9.33203125" style="109" bestFit="1" customWidth="1"/>
    <col min="10512" max="10512" width="11.5546875" style="109" bestFit="1" customWidth="1"/>
    <col min="10513" max="10513" width="9.33203125" style="109" bestFit="1" customWidth="1"/>
    <col min="10514" max="10514" width="11.5546875" style="109" bestFit="1" customWidth="1"/>
    <col min="10515" max="10515" width="9.33203125" style="109" bestFit="1" customWidth="1"/>
    <col min="10516" max="10516" width="11.5546875" style="109" bestFit="1" customWidth="1"/>
    <col min="10517" max="10517" width="9.33203125" style="109" bestFit="1" customWidth="1"/>
    <col min="10518" max="10518" width="11.5546875" style="109" bestFit="1" customWidth="1"/>
    <col min="10519" max="10519" width="9.33203125" style="109" bestFit="1" customWidth="1"/>
    <col min="10520" max="10520" width="11.5546875" style="109" bestFit="1" customWidth="1"/>
    <col min="10521" max="10521" width="9.33203125" style="109" bestFit="1" customWidth="1"/>
    <col min="10522" max="10522" width="11.5546875" style="109" bestFit="1" customWidth="1"/>
    <col min="10523" max="10523" width="9.33203125" style="109" bestFit="1" customWidth="1"/>
    <col min="10524" max="10524" width="11.5546875" style="109" bestFit="1" customWidth="1"/>
    <col min="10525" max="10525" width="9.33203125" style="109" bestFit="1" customWidth="1"/>
    <col min="10526" max="10526" width="11.5546875" style="109" bestFit="1" customWidth="1"/>
    <col min="10527" max="10527" width="9.33203125" style="109" bestFit="1" customWidth="1"/>
    <col min="10528" max="10528" width="11.5546875" style="109" bestFit="1" customWidth="1"/>
    <col min="10529" max="10529" width="9.33203125" style="109" bestFit="1" customWidth="1"/>
    <col min="10530" max="10530" width="11.5546875" style="109" bestFit="1" customWidth="1"/>
    <col min="10531" max="10531" width="9.33203125" style="109" bestFit="1" customWidth="1"/>
    <col min="10532" max="10532" width="11.5546875" style="109" bestFit="1" customWidth="1"/>
    <col min="10533" max="10533" width="9.33203125" style="109" bestFit="1" customWidth="1"/>
    <col min="10534" max="10534" width="11.5546875" style="109" bestFit="1" customWidth="1"/>
    <col min="10535" max="10535" width="9.33203125" style="109" bestFit="1" customWidth="1"/>
    <col min="10536" max="10536" width="11.5546875" style="109" bestFit="1" customWidth="1"/>
    <col min="10537" max="10537" width="9.33203125" style="109" bestFit="1" customWidth="1"/>
    <col min="10538" max="10538" width="11.5546875" style="109" bestFit="1" customWidth="1"/>
    <col min="10539" max="10539" width="9.33203125" style="109" bestFit="1" customWidth="1"/>
    <col min="10540" max="10540" width="11.5546875" style="109" bestFit="1" customWidth="1"/>
    <col min="10541" max="10541" width="9.33203125" style="109" bestFit="1" customWidth="1"/>
    <col min="10542" max="10542" width="11.5546875" style="109" bestFit="1" customWidth="1"/>
    <col min="10543" max="10543" width="9.33203125" style="109" bestFit="1" customWidth="1"/>
    <col min="10544" max="10544" width="11.5546875" style="109" bestFit="1" customWidth="1"/>
    <col min="10545" max="10545" width="9.33203125" style="109" bestFit="1" customWidth="1"/>
    <col min="10546" max="10546" width="11.5546875" style="109" bestFit="1" customWidth="1"/>
    <col min="10547" max="10547" width="9.33203125" style="109" bestFit="1" customWidth="1"/>
    <col min="10548" max="10754" width="9.109375" style="109"/>
    <col min="10755" max="10755" width="29.44140625" style="109" bestFit="1" customWidth="1"/>
    <col min="10756" max="10756" width="11.5546875" style="109" bestFit="1" customWidth="1"/>
    <col min="10757" max="10757" width="9.33203125" style="109" bestFit="1" customWidth="1"/>
    <col min="10758" max="10758" width="11.5546875" style="109" bestFit="1" customWidth="1"/>
    <col min="10759" max="10759" width="9.33203125" style="109" bestFit="1" customWidth="1"/>
    <col min="10760" max="10760" width="11.5546875" style="109" bestFit="1" customWidth="1"/>
    <col min="10761" max="10761" width="9.33203125" style="109" bestFit="1" customWidth="1"/>
    <col min="10762" max="10762" width="11.5546875" style="109" bestFit="1" customWidth="1"/>
    <col min="10763" max="10763" width="9.33203125" style="109" bestFit="1" customWidth="1"/>
    <col min="10764" max="10764" width="11.5546875" style="109" bestFit="1" customWidth="1"/>
    <col min="10765" max="10765" width="9.33203125" style="109" bestFit="1" customWidth="1"/>
    <col min="10766" max="10766" width="11.5546875" style="109" bestFit="1" customWidth="1"/>
    <col min="10767" max="10767" width="9.33203125" style="109" bestFit="1" customWidth="1"/>
    <col min="10768" max="10768" width="11.5546875" style="109" bestFit="1" customWidth="1"/>
    <col min="10769" max="10769" width="9.33203125" style="109" bestFit="1" customWidth="1"/>
    <col min="10770" max="10770" width="11.5546875" style="109" bestFit="1" customWidth="1"/>
    <col min="10771" max="10771" width="9.33203125" style="109" bestFit="1" customWidth="1"/>
    <col min="10772" max="10772" width="11.5546875" style="109" bestFit="1" customWidth="1"/>
    <col min="10773" max="10773" width="9.33203125" style="109" bestFit="1" customWidth="1"/>
    <col min="10774" max="10774" width="11.5546875" style="109" bestFit="1" customWidth="1"/>
    <col min="10775" max="10775" width="9.33203125" style="109" bestFit="1" customWidth="1"/>
    <col min="10776" max="10776" width="11.5546875" style="109" bestFit="1" customWidth="1"/>
    <col min="10777" max="10777" width="9.33203125" style="109" bestFit="1" customWidth="1"/>
    <col min="10778" max="10778" width="11.5546875" style="109" bestFit="1" customWidth="1"/>
    <col min="10779" max="10779" width="9.33203125" style="109" bestFit="1" customWidth="1"/>
    <col min="10780" max="10780" width="11.5546875" style="109" bestFit="1" customWidth="1"/>
    <col min="10781" max="10781" width="9.33203125" style="109" bestFit="1" customWidth="1"/>
    <col min="10782" max="10782" width="11.5546875" style="109" bestFit="1" customWidth="1"/>
    <col min="10783" max="10783" width="9.33203125" style="109" bestFit="1" customWidth="1"/>
    <col min="10784" max="10784" width="11.5546875" style="109" bestFit="1" customWidth="1"/>
    <col min="10785" max="10785" width="9.33203125" style="109" bestFit="1" customWidth="1"/>
    <col min="10786" max="10786" width="11.5546875" style="109" bestFit="1" customWidth="1"/>
    <col min="10787" max="10787" width="9.33203125" style="109" bestFit="1" customWidth="1"/>
    <col min="10788" max="10788" width="11.5546875" style="109" bestFit="1" customWidth="1"/>
    <col min="10789" max="10789" width="9.33203125" style="109" bestFit="1" customWidth="1"/>
    <col min="10790" max="10790" width="11.5546875" style="109" bestFit="1" customWidth="1"/>
    <col min="10791" max="10791" width="9.33203125" style="109" bestFit="1" customWidth="1"/>
    <col min="10792" max="10792" width="11.5546875" style="109" bestFit="1" customWidth="1"/>
    <col min="10793" max="10793" width="9.33203125" style="109" bestFit="1" customWidth="1"/>
    <col min="10794" max="10794" width="11.5546875" style="109" bestFit="1" customWidth="1"/>
    <col min="10795" max="10795" width="9.33203125" style="109" bestFit="1" customWidth="1"/>
    <col min="10796" max="10796" width="11.5546875" style="109" bestFit="1" customWidth="1"/>
    <col min="10797" max="10797" width="9.33203125" style="109" bestFit="1" customWidth="1"/>
    <col min="10798" max="10798" width="11.5546875" style="109" bestFit="1" customWidth="1"/>
    <col min="10799" max="10799" width="9.33203125" style="109" bestFit="1" customWidth="1"/>
    <col min="10800" max="10800" width="11.5546875" style="109" bestFit="1" customWidth="1"/>
    <col min="10801" max="10801" width="9.33203125" style="109" bestFit="1" customWidth="1"/>
    <col min="10802" max="10802" width="11.5546875" style="109" bestFit="1" customWidth="1"/>
    <col min="10803" max="10803" width="9.33203125" style="109" bestFit="1" customWidth="1"/>
    <col min="10804" max="11010" width="9.109375" style="109"/>
    <col min="11011" max="11011" width="29.44140625" style="109" bestFit="1" customWidth="1"/>
    <col min="11012" max="11012" width="11.5546875" style="109" bestFit="1" customWidth="1"/>
    <col min="11013" max="11013" width="9.33203125" style="109" bestFit="1" customWidth="1"/>
    <col min="11014" max="11014" width="11.5546875" style="109" bestFit="1" customWidth="1"/>
    <col min="11015" max="11015" width="9.33203125" style="109" bestFit="1" customWidth="1"/>
    <col min="11016" max="11016" width="11.5546875" style="109" bestFit="1" customWidth="1"/>
    <col min="11017" max="11017" width="9.33203125" style="109" bestFit="1" customWidth="1"/>
    <col min="11018" max="11018" width="11.5546875" style="109" bestFit="1" customWidth="1"/>
    <col min="11019" max="11019" width="9.33203125" style="109" bestFit="1" customWidth="1"/>
    <col min="11020" max="11020" width="11.5546875" style="109" bestFit="1" customWidth="1"/>
    <col min="11021" max="11021" width="9.33203125" style="109" bestFit="1" customWidth="1"/>
    <col min="11022" max="11022" width="11.5546875" style="109" bestFit="1" customWidth="1"/>
    <col min="11023" max="11023" width="9.33203125" style="109" bestFit="1" customWidth="1"/>
    <col min="11024" max="11024" width="11.5546875" style="109" bestFit="1" customWidth="1"/>
    <col min="11025" max="11025" width="9.33203125" style="109" bestFit="1" customWidth="1"/>
    <col min="11026" max="11026" width="11.5546875" style="109" bestFit="1" customWidth="1"/>
    <col min="11027" max="11027" width="9.33203125" style="109" bestFit="1" customWidth="1"/>
    <col min="11028" max="11028" width="11.5546875" style="109" bestFit="1" customWidth="1"/>
    <col min="11029" max="11029" width="9.33203125" style="109" bestFit="1" customWidth="1"/>
    <col min="11030" max="11030" width="11.5546875" style="109" bestFit="1" customWidth="1"/>
    <col min="11031" max="11031" width="9.33203125" style="109" bestFit="1" customWidth="1"/>
    <col min="11032" max="11032" width="11.5546875" style="109" bestFit="1" customWidth="1"/>
    <col min="11033" max="11033" width="9.33203125" style="109" bestFit="1" customWidth="1"/>
    <col min="11034" max="11034" width="11.5546875" style="109" bestFit="1" customWidth="1"/>
    <col min="11035" max="11035" width="9.33203125" style="109" bestFit="1" customWidth="1"/>
    <col min="11036" max="11036" width="11.5546875" style="109" bestFit="1" customWidth="1"/>
    <col min="11037" max="11037" width="9.33203125" style="109" bestFit="1" customWidth="1"/>
    <col min="11038" max="11038" width="11.5546875" style="109" bestFit="1" customWidth="1"/>
    <col min="11039" max="11039" width="9.33203125" style="109" bestFit="1" customWidth="1"/>
    <col min="11040" max="11040" width="11.5546875" style="109" bestFit="1" customWidth="1"/>
    <col min="11041" max="11041" width="9.33203125" style="109" bestFit="1" customWidth="1"/>
    <col min="11042" max="11042" width="11.5546875" style="109" bestFit="1" customWidth="1"/>
    <col min="11043" max="11043" width="9.33203125" style="109" bestFit="1" customWidth="1"/>
    <col min="11044" max="11044" width="11.5546875" style="109" bestFit="1" customWidth="1"/>
    <col min="11045" max="11045" width="9.33203125" style="109" bestFit="1" customWidth="1"/>
    <col min="11046" max="11046" width="11.5546875" style="109" bestFit="1" customWidth="1"/>
    <col min="11047" max="11047" width="9.33203125" style="109" bestFit="1" customWidth="1"/>
    <col min="11048" max="11048" width="11.5546875" style="109" bestFit="1" customWidth="1"/>
    <col min="11049" max="11049" width="9.33203125" style="109" bestFit="1" customWidth="1"/>
    <col min="11050" max="11050" width="11.5546875" style="109" bestFit="1" customWidth="1"/>
    <col min="11051" max="11051" width="9.33203125" style="109" bestFit="1" customWidth="1"/>
    <col min="11052" max="11052" width="11.5546875" style="109" bestFit="1" customWidth="1"/>
    <col min="11053" max="11053" width="9.33203125" style="109" bestFit="1" customWidth="1"/>
    <col min="11054" max="11054" width="11.5546875" style="109" bestFit="1" customWidth="1"/>
    <col min="11055" max="11055" width="9.33203125" style="109" bestFit="1" customWidth="1"/>
    <col min="11056" max="11056" width="11.5546875" style="109" bestFit="1" customWidth="1"/>
    <col min="11057" max="11057" width="9.33203125" style="109" bestFit="1" customWidth="1"/>
    <col min="11058" max="11058" width="11.5546875" style="109" bestFit="1" customWidth="1"/>
    <col min="11059" max="11059" width="9.33203125" style="109" bestFit="1" customWidth="1"/>
    <col min="11060" max="11266" width="9.109375" style="109"/>
    <col min="11267" max="11267" width="29.44140625" style="109" bestFit="1" customWidth="1"/>
    <col min="11268" max="11268" width="11.5546875" style="109" bestFit="1" customWidth="1"/>
    <col min="11269" max="11269" width="9.33203125" style="109" bestFit="1" customWidth="1"/>
    <col min="11270" max="11270" width="11.5546875" style="109" bestFit="1" customWidth="1"/>
    <col min="11271" max="11271" width="9.33203125" style="109" bestFit="1" customWidth="1"/>
    <col min="11272" max="11272" width="11.5546875" style="109" bestFit="1" customWidth="1"/>
    <col min="11273" max="11273" width="9.33203125" style="109" bestFit="1" customWidth="1"/>
    <col min="11274" max="11274" width="11.5546875" style="109" bestFit="1" customWidth="1"/>
    <col min="11275" max="11275" width="9.33203125" style="109" bestFit="1" customWidth="1"/>
    <col min="11276" max="11276" width="11.5546875" style="109" bestFit="1" customWidth="1"/>
    <col min="11277" max="11277" width="9.33203125" style="109" bestFit="1" customWidth="1"/>
    <col min="11278" max="11278" width="11.5546875" style="109" bestFit="1" customWidth="1"/>
    <col min="11279" max="11279" width="9.33203125" style="109" bestFit="1" customWidth="1"/>
    <col min="11280" max="11280" width="11.5546875" style="109" bestFit="1" customWidth="1"/>
    <col min="11281" max="11281" width="9.33203125" style="109" bestFit="1" customWidth="1"/>
    <col min="11282" max="11282" width="11.5546875" style="109" bestFit="1" customWidth="1"/>
    <col min="11283" max="11283" width="9.33203125" style="109" bestFit="1" customWidth="1"/>
    <col min="11284" max="11284" width="11.5546875" style="109" bestFit="1" customWidth="1"/>
    <col min="11285" max="11285" width="9.33203125" style="109" bestFit="1" customWidth="1"/>
    <col min="11286" max="11286" width="11.5546875" style="109" bestFit="1" customWidth="1"/>
    <col min="11287" max="11287" width="9.33203125" style="109" bestFit="1" customWidth="1"/>
    <col min="11288" max="11288" width="11.5546875" style="109" bestFit="1" customWidth="1"/>
    <col min="11289" max="11289" width="9.33203125" style="109" bestFit="1" customWidth="1"/>
    <col min="11290" max="11290" width="11.5546875" style="109" bestFit="1" customWidth="1"/>
    <col min="11291" max="11291" width="9.33203125" style="109" bestFit="1" customWidth="1"/>
    <col min="11292" max="11292" width="11.5546875" style="109" bestFit="1" customWidth="1"/>
    <col min="11293" max="11293" width="9.33203125" style="109" bestFit="1" customWidth="1"/>
    <col min="11294" max="11294" width="11.5546875" style="109" bestFit="1" customWidth="1"/>
    <col min="11295" max="11295" width="9.33203125" style="109" bestFit="1" customWidth="1"/>
    <col min="11296" max="11296" width="11.5546875" style="109" bestFit="1" customWidth="1"/>
    <col min="11297" max="11297" width="9.33203125" style="109" bestFit="1" customWidth="1"/>
    <col min="11298" max="11298" width="11.5546875" style="109" bestFit="1" customWidth="1"/>
    <col min="11299" max="11299" width="9.33203125" style="109" bestFit="1" customWidth="1"/>
    <col min="11300" max="11300" width="11.5546875" style="109" bestFit="1" customWidth="1"/>
    <col min="11301" max="11301" width="9.33203125" style="109" bestFit="1" customWidth="1"/>
    <col min="11302" max="11302" width="11.5546875" style="109" bestFit="1" customWidth="1"/>
    <col min="11303" max="11303" width="9.33203125" style="109" bestFit="1" customWidth="1"/>
    <col min="11304" max="11304" width="11.5546875" style="109" bestFit="1" customWidth="1"/>
    <col min="11305" max="11305" width="9.33203125" style="109" bestFit="1" customWidth="1"/>
    <col min="11306" max="11306" width="11.5546875" style="109" bestFit="1" customWidth="1"/>
    <col min="11307" max="11307" width="9.33203125" style="109" bestFit="1" customWidth="1"/>
    <col min="11308" max="11308" width="11.5546875" style="109" bestFit="1" customWidth="1"/>
    <col min="11309" max="11309" width="9.33203125" style="109" bestFit="1" customWidth="1"/>
    <col min="11310" max="11310" width="11.5546875" style="109" bestFit="1" customWidth="1"/>
    <col min="11311" max="11311" width="9.33203125" style="109" bestFit="1" customWidth="1"/>
    <col min="11312" max="11312" width="11.5546875" style="109" bestFit="1" customWidth="1"/>
    <col min="11313" max="11313" width="9.33203125" style="109" bestFit="1" customWidth="1"/>
    <col min="11314" max="11314" width="11.5546875" style="109" bestFit="1" customWidth="1"/>
    <col min="11315" max="11315" width="9.33203125" style="109" bestFit="1" customWidth="1"/>
    <col min="11316" max="11522" width="9.109375" style="109"/>
    <col min="11523" max="11523" width="29.44140625" style="109" bestFit="1" customWidth="1"/>
    <col min="11524" max="11524" width="11.5546875" style="109" bestFit="1" customWidth="1"/>
    <col min="11525" max="11525" width="9.33203125" style="109" bestFit="1" customWidth="1"/>
    <col min="11526" max="11526" width="11.5546875" style="109" bestFit="1" customWidth="1"/>
    <col min="11527" max="11527" width="9.33203125" style="109" bestFit="1" customWidth="1"/>
    <col min="11528" max="11528" width="11.5546875" style="109" bestFit="1" customWidth="1"/>
    <col min="11529" max="11529" width="9.33203125" style="109" bestFit="1" customWidth="1"/>
    <col min="11530" max="11530" width="11.5546875" style="109" bestFit="1" customWidth="1"/>
    <col min="11531" max="11531" width="9.33203125" style="109" bestFit="1" customWidth="1"/>
    <col min="11532" max="11532" width="11.5546875" style="109" bestFit="1" customWidth="1"/>
    <col min="11533" max="11533" width="9.33203125" style="109" bestFit="1" customWidth="1"/>
    <col min="11534" max="11534" width="11.5546875" style="109" bestFit="1" customWidth="1"/>
    <col min="11535" max="11535" width="9.33203125" style="109" bestFit="1" customWidth="1"/>
    <col min="11536" max="11536" width="11.5546875" style="109" bestFit="1" customWidth="1"/>
    <col min="11537" max="11537" width="9.33203125" style="109" bestFit="1" customWidth="1"/>
    <col min="11538" max="11538" width="11.5546875" style="109" bestFit="1" customWidth="1"/>
    <col min="11539" max="11539" width="9.33203125" style="109" bestFit="1" customWidth="1"/>
    <col min="11540" max="11540" width="11.5546875" style="109" bestFit="1" customWidth="1"/>
    <col min="11541" max="11541" width="9.33203125" style="109" bestFit="1" customWidth="1"/>
    <col min="11542" max="11542" width="11.5546875" style="109" bestFit="1" customWidth="1"/>
    <col min="11543" max="11543" width="9.33203125" style="109" bestFit="1" customWidth="1"/>
    <col min="11544" max="11544" width="11.5546875" style="109" bestFit="1" customWidth="1"/>
    <col min="11545" max="11545" width="9.33203125" style="109" bestFit="1" customWidth="1"/>
    <col min="11546" max="11546" width="11.5546875" style="109" bestFit="1" customWidth="1"/>
    <col min="11547" max="11547" width="9.33203125" style="109" bestFit="1" customWidth="1"/>
    <col min="11548" max="11548" width="11.5546875" style="109" bestFit="1" customWidth="1"/>
    <col min="11549" max="11549" width="9.33203125" style="109" bestFit="1" customWidth="1"/>
    <col min="11550" max="11550" width="11.5546875" style="109" bestFit="1" customWidth="1"/>
    <col min="11551" max="11551" width="9.33203125" style="109" bestFit="1" customWidth="1"/>
    <col min="11552" max="11552" width="11.5546875" style="109" bestFit="1" customWidth="1"/>
    <col min="11553" max="11553" width="9.33203125" style="109" bestFit="1" customWidth="1"/>
    <col min="11554" max="11554" width="11.5546875" style="109" bestFit="1" customWidth="1"/>
    <col min="11555" max="11555" width="9.33203125" style="109" bestFit="1" customWidth="1"/>
    <col min="11556" max="11556" width="11.5546875" style="109" bestFit="1" customWidth="1"/>
    <col min="11557" max="11557" width="9.33203125" style="109" bestFit="1" customWidth="1"/>
    <col min="11558" max="11558" width="11.5546875" style="109" bestFit="1" customWidth="1"/>
    <col min="11559" max="11559" width="9.33203125" style="109" bestFit="1" customWidth="1"/>
    <col min="11560" max="11560" width="11.5546875" style="109" bestFit="1" customWidth="1"/>
    <col min="11561" max="11561" width="9.33203125" style="109" bestFit="1" customWidth="1"/>
    <col min="11562" max="11562" width="11.5546875" style="109" bestFit="1" customWidth="1"/>
    <col min="11563" max="11563" width="9.33203125" style="109" bestFit="1" customWidth="1"/>
    <col min="11564" max="11564" width="11.5546875" style="109" bestFit="1" customWidth="1"/>
    <col min="11565" max="11565" width="9.33203125" style="109" bestFit="1" customWidth="1"/>
    <col min="11566" max="11566" width="11.5546875" style="109" bestFit="1" customWidth="1"/>
    <col min="11567" max="11567" width="9.33203125" style="109" bestFit="1" customWidth="1"/>
    <col min="11568" max="11568" width="11.5546875" style="109" bestFit="1" customWidth="1"/>
    <col min="11569" max="11569" width="9.33203125" style="109" bestFit="1" customWidth="1"/>
    <col min="11570" max="11570" width="11.5546875" style="109" bestFit="1" customWidth="1"/>
    <col min="11571" max="11571" width="9.33203125" style="109" bestFit="1" customWidth="1"/>
    <col min="11572" max="11778" width="9.109375" style="109"/>
    <col min="11779" max="11779" width="29.44140625" style="109" bestFit="1" customWidth="1"/>
    <col min="11780" max="11780" width="11.5546875" style="109" bestFit="1" customWidth="1"/>
    <col min="11781" max="11781" width="9.33203125" style="109" bestFit="1" customWidth="1"/>
    <col min="11782" max="11782" width="11.5546875" style="109" bestFit="1" customWidth="1"/>
    <col min="11783" max="11783" width="9.33203125" style="109" bestFit="1" customWidth="1"/>
    <col min="11784" max="11784" width="11.5546875" style="109" bestFit="1" customWidth="1"/>
    <col min="11785" max="11785" width="9.33203125" style="109" bestFit="1" customWidth="1"/>
    <col min="11786" max="11786" width="11.5546875" style="109" bestFit="1" customWidth="1"/>
    <col min="11787" max="11787" width="9.33203125" style="109" bestFit="1" customWidth="1"/>
    <col min="11788" max="11788" width="11.5546875" style="109" bestFit="1" customWidth="1"/>
    <col min="11789" max="11789" width="9.33203125" style="109" bestFit="1" customWidth="1"/>
    <col min="11790" max="11790" width="11.5546875" style="109" bestFit="1" customWidth="1"/>
    <col min="11791" max="11791" width="9.33203125" style="109" bestFit="1" customWidth="1"/>
    <col min="11792" max="11792" width="11.5546875" style="109" bestFit="1" customWidth="1"/>
    <col min="11793" max="11793" width="9.33203125" style="109" bestFit="1" customWidth="1"/>
    <col min="11794" max="11794" width="11.5546875" style="109" bestFit="1" customWidth="1"/>
    <col min="11795" max="11795" width="9.33203125" style="109" bestFit="1" customWidth="1"/>
    <col min="11796" max="11796" width="11.5546875" style="109" bestFit="1" customWidth="1"/>
    <col min="11797" max="11797" width="9.33203125" style="109" bestFit="1" customWidth="1"/>
    <col min="11798" max="11798" width="11.5546875" style="109" bestFit="1" customWidth="1"/>
    <col min="11799" max="11799" width="9.33203125" style="109" bestFit="1" customWidth="1"/>
    <col min="11800" max="11800" width="11.5546875" style="109" bestFit="1" customWidth="1"/>
    <col min="11801" max="11801" width="9.33203125" style="109" bestFit="1" customWidth="1"/>
    <col min="11802" max="11802" width="11.5546875" style="109" bestFit="1" customWidth="1"/>
    <col min="11803" max="11803" width="9.33203125" style="109" bestFit="1" customWidth="1"/>
    <col min="11804" max="11804" width="11.5546875" style="109" bestFit="1" customWidth="1"/>
    <col min="11805" max="11805" width="9.33203125" style="109" bestFit="1" customWidth="1"/>
    <col min="11806" max="11806" width="11.5546875" style="109" bestFit="1" customWidth="1"/>
    <col min="11807" max="11807" width="9.33203125" style="109" bestFit="1" customWidth="1"/>
    <col min="11808" max="11808" width="11.5546875" style="109" bestFit="1" customWidth="1"/>
    <col min="11809" max="11809" width="9.33203125" style="109" bestFit="1" customWidth="1"/>
    <col min="11810" max="11810" width="11.5546875" style="109" bestFit="1" customWidth="1"/>
    <col min="11811" max="11811" width="9.33203125" style="109" bestFit="1" customWidth="1"/>
    <col min="11812" max="11812" width="11.5546875" style="109" bestFit="1" customWidth="1"/>
    <col min="11813" max="11813" width="9.33203125" style="109" bestFit="1" customWidth="1"/>
    <col min="11814" max="11814" width="11.5546875" style="109" bestFit="1" customWidth="1"/>
    <col min="11815" max="11815" width="9.33203125" style="109" bestFit="1" customWidth="1"/>
    <col min="11816" max="11816" width="11.5546875" style="109" bestFit="1" customWidth="1"/>
    <col min="11817" max="11817" width="9.33203125" style="109" bestFit="1" customWidth="1"/>
    <col min="11818" max="11818" width="11.5546875" style="109" bestFit="1" customWidth="1"/>
    <col min="11819" max="11819" width="9.33203125" style="109" bestFit="1" customWidth="1"/>
    <col min="11820" max="11820" width="11.5546875" style="109" bestFit="1" customWidth="1"/>
    <col min="11821" max="11821" width="9.33203125" style="109" bestFit="1" customWidth="1"/>
    <col min="11822" max="11822" width="11.5546875" style="109" bestFit="1" customWidth="1"/>
    <col min="11823" max="11823" width="9.33203125" style="109" bestFit="1" customWidth="1"/>
    <col min="11824" max="11824" width="11.5546875" style="109" bestFit="1" customWidth="1"/>
    <col min="11825" max="11825" width="9.33203125" style="109" bestFit="1" customWidth="1"/>
    <col min="11826" max="11826" width="11.5546875" style="109" bestFit="1" customWidth="1"/>
    <col min="11827" max="11827" width="9.33203125" style="109" bestFit="1" customWidth="1"/>
    <col min="11828" max="12034" width="9.109375" style="109"/>
    <col min="12035" max="12035" width="29.44140625" style="109" bestFit="1" customWidth="1"/>
    <col min="12036" max="12036" width="11.5546875" style="109" bestFit="1" customWidth="1"/>
    <col min="12037" max="12037" width="9.33203125" style="109" bestFit="1" customWidth="1"/>
    <col min="12038" max="12038" width="11.5546875" style="109" bestFit="1" customWidth="1"/>
    <col min="12039" max="12039" width="9.33203125" style="109" bestFit="1" customWidth="1"/>
    <col min="12040" max="12040" width="11.5546875" style="109" bestFit="1" customWidth="1"/>
    <col min="12041" max="12041" width="9.33203125" style="109" bestFit="1" customWidth="1"/>
    <col min="12042" max="12042" width="11.5546875" style="109" bestFit="1" customWidth="1"/>
    <col min="12043" max="12043" width="9.33203125" style="109" bestFit="1" customWidth="1"/>
    <col min="12044" max="12044" width="11.5546875" style="109" bestFit="1" customWidth="1"/>
    <col min="12045" max="12045" width="9.33203125" style="109" bestFit="1" customWidth="1"/>
    <col min="12046" max="12046" width="11.5546875" style="109" bestFit="1" customWidth="1"/>
    <col min="12047" max="12047" width="9.33203125" style="109" bestFit="1" customWidth="1"/>
    <col min="12048" max="12048" width="11.5546875" style="109" bestFit="1" customWidth="1"/>
    <col min="12049" max="12049" width="9.33203125" style="109" bestFit="1" customWidth="1"/>
    <col min="12050" max="12050" width="11.5546875" style="109" bestFit="1" customWidth="1"/>
    <col min="12051" max="12051" width="9.33203125" style="109" bestFit="1" customWidth="1"/>
    <col min="12052" max="12052" width="11.5546875" style="109" bestFit="1" customWidth="1"/>
    <col min="12053" max="12053" width="9.33203125" style="109" bestFit="1" customWidth="1"/>
    <col min="12054" max="12054" width="11.5546875" style="109" bestFit="1" customWidth="1"/>
    <col min="12055" max="12055" width="9.33203125" style="109" bestFit="1" customWidth="1"/>
    <col min="12056" max="12056" width="11.5546875" style="109" bestFit="1" customWidth="1"/>
    <col min="12057" max="12057" width="9.33203125" style="109" bestFit="1" customWidth="1"/>
    <col min="12058" max="12058" width="11.5546875" style="109" bestFit="1" customWidth="1"/>
    <col min="12059" max="12059" width="9.33203125" style="109" bestFit="1" customWidth="1"/>
    <col min="12060" max="12060" width="11.5546875" style="109" bestFit="1" customWidth="1"/>
    <col min="12061" max="12061" width="9.33203125" style="109" bestFit="1" customWidth="1"/>
    <col min="12062" max="12062" width="11.5546875" style="109" bestFit="1" customWidth="1"/>
    <col min="12063" max="12063" width="9.33203125" style="109" bestFit="1" customWidth="1"/>
    <col min="12064" max="12064" width="11.5546875" style="109" bestFit="1" customWidth="1"/>
    <col min="12065" max="12065" width="9.33203125" style="109" bestFit="1" customWidth="1"/>
    <col min="12066" max="12066" width="11.5546875" style="109" bestFit="1" customWidth="1"/>
    <col min="12067" max="12067" width="9.33203125" style="109" bestFit="1" customWidth="1"/>
    <col min="12068" max="12068" width="11.5546875" style="109" bestFit="1" customWidth="1"/>
    <col min="12069" max="12069" width="9.33203125" style="109" bestFit="1" customWidth="1"/>
    <col min="12070" max="12070" width="11.5546875" style="109" bestFit="1" customWidth="1"/>
    <col min="12071" max="12071" width="9.33203125" style="109" bestFit="1" customWidth="1"/>
    <col min="12072" max="12072" width="11.5546875" style="109" bestFit="1" customWidth="1"/>
    <col min="12073" max="12073" width="9.33203125" style="109" bestFit="1" customWidth="1"/>
    <col min="12074" max="12074" width="11.5546875" style="109" bestFit="1" customWidth="1"/>
    <col min="12075" max="12075" width="9.33203125" style="109" bestFit="1" customWidth="1"/>
    <col min="12076" max="12076" width="11.5546875" style="109" bestFit="1" customWidth="1"/>
    <col min="12077" max="12077" width="9.33203125" style="109" bestFit="1" customWidth="1"/>
    <col min="12078" max="12078" width="11.5546875" style="109" bestFit="1" customWidth="1"/>
    <col min="12079" max="12079" width="9.33203125" style="109" bestFit="1" customWidth="1"/>
    <col min="12080" max="12080" width="11.5546875" style="109" bestFit="1" customWidth="1"/>
    <col min="12081" max="12081" width="9.33203125" style="109" bestFit="1" customWidth="1"/>
    <col min="12082" max="12082" width="11.5546875" style="109" bestFit="1" customWidth="1"/>
    <col min="12083" max="12083" width="9.33203125" style="109" bestFit="1" customWidth="1"/>
    <col min="12084" max="12290" width="9.109375" style="109"/>
    <col min="12291" max="12291" width="29.44140625" style="109" bestFit="1" customWidth="1"/>
    <col min="12292" max="12292" width="11.5546875" style="109" bestFit="1" customWidth="1"/>
    <col min="12293" max="12293" width="9.33203125" style="109" bestFit="1" customWidth="1"/>
    <col min="12294" max="12294" width="11.5546875" style="109" bestFit="1" customWidth="1"/>
    <col min="12295" max="12295" width="9.33203125" style="109" bestFit="1" customWidth="1"/>
    <col min="12296" max="12296" width="11.5546875" style="109" bestFit="1" customWidth="1"/>
    <col min="12297" max="12297" width="9.33203125" style="109" bestFit="1" customWidth="1"/>
    <col min="12298" max="12298" width="11.5546875" style="109" bestFit="1" customWidth="1"/>
    <col min="12299" max="12299" width="9.33203125" style="109" bestFit="1" customWidth="1"/>
    <col min="12300" max="12300" width="11.5546875" style="109" bestFit="1" customWidth="1"/>
    <col min="12301" max="12301" width="9.33203125" style="109" bestFit="1" customWidth="1"/>
    <col min="12302" max="12302" width="11.5546875" style="109" bestFit="1" customWidth="1"/>
    <col min="12303" max="12303" width="9.33203125" style="109" bestFit="1" customWidth="1"/>
    <col min="12304" max="12304" width="11.5546875" style="109" bestFit="1" customWidth="1"/>
    <col min="12305" max="12305" width="9.33203125" style="109" bestFit="1" customWidth="1"/>
    <col min="12306" max="12306" width="11.5546875" style="109" bestFit="1" customWidth="1"/>
    <col min="12307" max="12307" width="9.33203125" style="109" bestFit="1" customWidth="1"/>
    <col min="12308" max="12308" width="11.5546875" style="109" bestFit="1" customWidth="1"/>
    <col min="12309" max="12309" width="9.33203125" style="109" bestFit="1" customWidth="1"/>
    <col min="12310" max="12310" width="11.5546875" style="109" bestFit="1" customWidth="1"/>
    <col min="12311" max="12311" width="9.33203125" style="109" bestFit="1" customWidth="1"/>
    <col min="12312" max="12312" width="11.5546875" style="109" bestFit="1" customWidth="1"/>
    <col min="12313" max="12313" width="9.33203125" style="109" bestFit="1" customWidth="1"/>
    <col min="12314" max="12314" width="11.5546875" style="109" bestFit="1" customWidth="1"/>
    <col min="12315" max="12315" width="9.33203125" style="109" bestFit="1" customWidth="1"/>
    <col min="12316" max="12316" width="11.5546875" style="109" bestFit="1" customWidth="1"/>
    <col min="12317" max="12317" width="9.33203125" style="109" bestFit="1" customWidth="1"/>
    <col min="12318" max="12318" width="11.5546875" style="109" bestFit="1" customWidth="1"/>
    <col min="12319" max="12319" width="9.33203125" style="109" bestFit="1" customWidth="1"/>
    <col min="12320" max="12320" width="11.5546875" style="109" bestFit="1" customWidth="1"/>
    <col min="12321" max="12321" width="9.33203125" style="109" bestFit="1" customWidth="1"/>
    <col min="12322" max="12322" width="11.5546875" style="109" bestFit="1" customWidth="1"/>
    <col min="12323" max="12323" width="9.33203125" style="109" bestFit="1" customWidth="1"/>
    <col min="12324" max="12324" width="11.5546875" style="109" bestFit="1" customWidth="1"/>
    <col min="12325" max="12325" width="9.33203125" style="109" bestFit="1" customWidth="1"/>
    <col min="12326" max="12326" width="11.5546875" style="109" bestFit="1" customWidth="1"/>
    <col min="12327" max="12327" width="9.33203125" style="109" bestFit="1" customWidth="1"/>
    <col min="12328" max="12328" width="11.5546875" style="109" bestFit="1" customWidth="1"/>
    <col min="12329" max="12329" width="9.33203125" style="109" bestFit="1" customWidth="1"/>
    <col min="12330" max="12330" width="11.5546875" style="109" bestFit="1" customWidth="1"/>
    <col min="12331" max="12331" width="9.33203125" style="109" bestFit="1" customWidth="1"/>
    <col min="12332" max="12332" width="11.5546875" style="109" bestFit="1" customWidth="1"/>
    <col min="12333" max="12333" width="9.33203125" style="109" bestFit="1" customWidth="1"/>
    <col min="12334" max="12334" width="11.5546875" style="109" bestFit="1" customWidth="1"/>
    <col min="12335" max="12335" width="9.33203125" style="109" bestFit="1" customWidth="1"/>
    <col min="12336" max="12336" width="11.5546875" style="109" bestFit="1" customWidth="1"/>
    <col min="12337" max="12337" width="9.33203125" style="109" bestFit="1" customWidth="1"/>
    <col min="12338" max="12338" width="11.5546875" style="109" bestFit="1" customWidth="1"/>
    <col min="12339" max="12339" width="9.33203125" style="109" bestFit="1" customWidth="1"/>
    <col min="12340" max="12546" width="9.109375" style="109"/>
    <col min="12547" max="12547" width="29.44140625" style="109" bestFit="1" customWidth="1"/>
    <col min="12548" max="12548" width="11.5546875" style="109" bestFit="1" customWidth="1"/>
    <col min="12549" max="12549" width="9.33203125" style="109" bestFit="1" customWidth="1"/>
    <col min="12550" max="12550" width="11.5546875" style="109" bestFit="1" customWidth="1"/>
    <col min="12551" max="12551" width="9.33203125" style="109" bestFit="1" customWidth="1"/>
    <col min="12552" max="12552" width="11.5546875" style="109" bestFit="1" customWidth="1"/>
    <col min="12553" max="12553" width="9.33203125" style="109" bestFit="1" customWidth="1"/>
    <col min="12554" max="12554" width="11.5546875" style="109" bestFit="1" customWidth="1"/>
    <col min="12555" max="12555" width="9.33203125" style="109" bestFit="1" customWidth="1"/>
    <col min="12556" max="12556" width="11.5546875" style="109" bestFit="1" customWidth="1"/>
    <col min="12557" max="12557" width="9.33203125" style="109" bestFit="1" customWidth="1"/>
    <col min="12558" max="12558" width="11.5546875" style="109" bestFit="1" customWidth="1"/>
    <col min="12559" max="12559" width="9.33203125" style="109" bestFit="1" customWidth="1"/>
    <col min="12560" max="12560" width="11.5546875" style="109" bestFit="1" customWidth="1"/>
    <col min="12561" max="12561" width="9.33203125" style="109" bestFit="1" customWidth="1"/>
    <col min="12562" max="12562" width="11.5546875" style="109" bestFit="1" customWidth="1"/>
    <col min="12563" max="12563" width="9.33203125" style="109" bestFit="1" customWidth="1"/>
    <col min="12564" max="12564" width="11.5546875" style="109" bestFit="1" customWidth="1"/>
    <col min="12565" max="12565" width="9.33203125" style="109" bestFit="1" customWidth="1"/>
    <col min="12566" max="12566" width="11.5546875" style="109" bestFit="1" customWidth="1"/>
    <col min="12567" max="12567" width="9.33203125" style="109" bestFit="1" customWidth="1"/>
    <col min="12568" max="12568" width="11.5546875" style="109" bestFit="1" customWidth="1"/>
    <col min="12569" max="12569" width="9.33203125" style="109" bestFit="1" customWidth="1"/>
    <col min="12570" max="12570" width="11.5546875" style="109" bestFit="1" customWidth="1"/>
    <col min="12571" max="12571" width="9.33203125" style="109" bestFit="1" customWidth="1"/>
    <col min="12572" max="12572" width="11.5546875" style="109" bestFit="1" customWidth="1"/>
    <col min="12573" max="12573" width="9.33203125" style="109" bestFit="1" customWidth="1"/>
    <col min="12574" max="12574" width="11.5546875" style="109" bestFit="1" customWidth="1"/>
    <col min="12575" max="12575" width="9.33203125" style="109" bestFit="1" customWidth="1"/>
    <col min="12576" max="12576" width="11.5546875" style="109" bestFit="1" customWidth="1"/>
    <col min="12577" max="12577" width="9.33203125" style="109" bestFit="1" customWidth="1"/>
    <col min="12578" max="12578" width="11.5546875" style="109" bestFit="1" customWidth="1"/>
    <col min="12579" max="12579" width="9.33203125" style="109" bestFit="1" customWidth="1"/>
    <col min="12580" max="12580" width="11.5546875" style="109" bestFit="1" customWidth="1"/>
    <col min="12581" max="12581" width="9.33203125" style="109" bestFit="1" customWidth="1"/>
    <col min="12582" max="12582" width="11.5546875" style="109" bestFit="1" customWidth="1"/>
    <col min="12583" max="12583" width="9.33203125" style="109" bestFit="1" customWidth="1"/>
    <col min="12584" max="12584" width="11.5546875" style="109" bestFit="1" customWidth="1"/>
    <col min="12585" max="12585" width="9.33203125" style="109" bestFit="1" customWidth="1"/>
    <col min="12586" max="12586" width="11.5546875" style="109" bestFit="1" customWidth="1"/>
    <col min="12587" max="12587" width="9.33203125" style="109" bestFit="1" customWidth="1"/>
    <col min="12588" max="12588" width="11.5546875" style="109" bestFit="1" customWidth="1"/>
    <col min="12589" max="12589" width="9.33203125" style="109" bestFit="1" customWidth="1"/>
    <col min="12590" max="12590" width="11.5546875" style="109" bestFit="1" customWidth="1"/>
    <col min="12591" max="12591" width="9.33203125" style="109" bestFit="1" customWidth="1"/>
    <col min="12592" max="12592" width="11.5546875" style="109" bestFit="1" customWidth="1"/>
    <col min="12593" max="12593" width="9.33203125" style="109" bestFit="1" customWidth="1"/>
    <col min="12594" max="12594" width="11.5546875" style="109" bestFit="1" customWidth="1"/>
    <col min="12595" max="12595" width="9.33203125" style="109" bestFit="1" customWidth="1"/>
    <col min="12596" max="12802" width="9.109375" style="109"/>
    <col min="12803" max="12803" width="29.44140625" style="109" bestFit="1" customWidth="1"/>
    <col min="12804" max="12804" width="11.5546875" style="109" bestFit="1" customWidth="1"/>
    <col min="12805" max="12805" width="9.33203125" style="109" bestFit="1" customWidth="1"/>
    <col min="12806" max="12806" width="11.5546875" style="109" bestFit="1" customWidth="1"/>
    <col min="12807" max="12807" width="9.33203125" style="109" bestFit="1" customWidth="1"/>
    <col min="12808" max="12808" width="11.5546875" style="109" bestFit="1" customWidth="1"/>
    <col min="12809" max="12809" width="9.33203125" style="109" bestFit="1" customWidth="1"/>
    <col min="12810" max="12810" width="11.5546875" style="109" bestFit="1" customWidth="1"/>
    <col min="12811" max="12811" width="9.33203125" style="109" bestFit="1" customWidth="1"/>
    <col min="12812" max="12812" width="11.5546875" style="109" bestFit="1" customWidth="1"/>
    <col min="12813" max="12813" width="9.33203125" style="109" bestFit="1" customWidth="1"/>
    <col min="12814" max="12814" width="11.5546875" style="109" bestFit="1" customWidth="1"/>
    <col min="12815" max="12815" width="9.33203125" style="109" bestFit="1" customWidth="1"/>
    <col min="12816" max="12816" width="11.5546875" style="109" bestFit="1" customWidth="1"/>
    <col min="12817" max="12817" width="9.33203125" style="109" bestFit="1" customWidth="1"/>
    <col min="12818" max="12818" width="11.5546875" style="109" bestFit="1" customWidth="1"/>
    <col min="12819" max="12819" width="9.33203125" style="109" bestFit="1" customWidth="1"/>
    <col min="12820" max="12820" width="11.5546875" style="109" bestFit="1" customWidth="1"/>
    <col min="12821" max="12821" width="9.33203125" style="109" bestFit="1" customWidth="1"/>
    <col min="12822" max="12822" width="11.5546875" style="109" bestFit="1" customWidth="1"/>
    <col min="12823" max="12823" width="9.33203125" style="109" bestFit="1" customWidth="1"/>
    <col min="12824" max="12824" width="11.5546875" style="109" bestFit="1" customWidth="1"/>
    <col min="12825" max="12825" width="9.33203125" style="109" bestFit="1" customWidth="1"/>
    <col min="12826" max="12826" width="11.5546875" style="109" bestFit="1" customWidth="1"/>
    <col min="12827" max="12827" width="9.33203125" style="109" bestFit="1" customWidth="1"/>
    <col min="12828" max="12828" width="11.5546875" style="109" bestFit="1" customWidth="1"/>
    <col min="12829" max="12829" width="9.33203125" style="109" bestFit="1" customWidth="1"/>
    <col min="12830" max="12830" width="11.5546875" style="109" bestFit="1" customWidth="1"/>
    <col min="12831" max="12831" width="9.33203125" style="109" bestFit="1" customWidth="1"/>
    <col min="12832" max="12832" width="11.5546875" style="109" bestFit="1" customWidth="1"/>
    <col min="12833" max="12833" width="9.33203125" style="109" bestFit="1" customWidth="1"/>
    <col min="12834" max="12834" width="11.5546875" style="109" bestFit="1" customWidth="1"/>
    <col min="12835" max="12835" width="9.33203125" style="109" bestFit="1" customWidth="1"/>
    <col min="12836" max="12836" width="11.5546875" style="109" bestFit="1" customWidth="1"/>
    <col min="12837" max="12837" width="9.33203125" style="109" bestFit="1" customWidth="1"/>
    <col min="12838" max="12838" width="11.5546875" style="109" bestFit="1" customWidth="1"/>
    <col min="12839" max="12839" width="9.33203125" style="109" bestFit="1" customWidth="1"/>
    <col min="12840" max="12840" width="11.5546875" style="109" bestFit="1" customWidth="1"/>
    <col min="12841" max="12841" width="9.33203125" style="109" bestFit="1" customWidth="1"/>
    <col min="12842" max="12842" width="11.5546875" style="109" bestFit="1" customWidth="1"/>
    <col min="12843" max="12843" width="9.33203125" style="109" bestFit="1" customWidth="1"/>
    <col min="12844" max="12844" width="11.5546875" style="109" bestFit="1" customWidth="1"/>
    <col min="12845" max="12845" width="9.33203125" style="109" bestFit="1" customWidth="1"/>
    <col min="12846" max="12846" width="11.5546875" style="109" bestFit="1" customWidth="1"/>
    <col min="12847" max="12847" width="9.33203125" style="109" bestFit="1" customWidth="1"/>
    <col min="12848" max="12848" width="11.5546875" style="109" bestFit="1" customWidth="1"/>
    <col min="12849" max="12849" width="9.33203125" style="109" bestFit="1" customWidth="1"/>
    <col min="12850" max="12850" width="11.5546875" style="109" bestFit="1" customWidth="1"/>
    <col min="12851" max="12851" width="9.33203125" style="109" bestFit="1" customWidth="1"/>
    <col min="12852" max="13058" width="9.109375" style="109"/>
    <col min="13059" max="13059" width="29.44140625" style="109" bestFit="1" customWidth="1"/>
    <col min="13060" max="13060" width="11.5546875" style="109" bestFit="1" customWidth="1"/>
    <col min="13061" max="13061" width="9.33203125" style="109" bestFit="1" customWidth="1"/>
    <col min="13062" max="13062" width="11.5546875" style="109" bestFit="1" customWidth="1"/>
    <col min="13063" max="13063" width="9.33203125" style="109" bestFit="1" customWidth="1"/>
    <col min="13064" max="13064" width="11.5546875" style="109" bestFit="1" customWidth="1"/>
    <col min="13065" max="13065" width="9.33203125" style="109" bestFit="1" customWidth="1"/>
    <col min="13066" max="13066" width="11.5546875" style="109" bestFit="1" customWidth="1"/>
    <col min="13067" max="13067" width="9.33203125" style="109" bestFit="1" customWidth="1"/>
    <col min="13068" max="13068" width="11.5546875" style="109" bestFit="1" customWidth="1"/>
    <col min="13069" max="13069" width="9.33203125" style="109" bestFit="1" customWidth="1"/>
    <col min="13070" max="13070" width="11.5546875" style="109" bestFit="1" customWidth="1"/>
    <col min="13071" max="13071" width="9.33203125" style="109" bestFit="1" customWidth="1"/>
    <col min="13072" max="13072" width="11.5546875" style="109" bestFit="1" customWidth="1"/>
    <col min="13073" max="13073" width="9.33203125" style="109" bestFit="1" customWidth="1"/>
    <col min="13074" max="13074" width="11.5546875" style="109" bestFit="1" customWidth="1"/>
    <col min="13075" max="13075" width="9.33203125" style="109" bestFit="1" customWidth="1"/>
    <col min="13076" max="13076" width="11.5546875" style="109" bestFit="1" customWidth="1"/>
    <col min="13077" max="13077" width="9.33203125" style="109" bestFit="1" customWidth="1"/>
    <col min="13078" max="13078" width="11.5546875" style="109" bestFit="1" customWidth="1"/>
    <col min="13079" max="13079" width="9.33203125" style="109" bestFit="1" customWidth="1"/>
    <col min="13080" max="13080" width="11.5546875" style="109" bestFit="1" customWidth="1"/>
    <col min="13081" max="13081" width="9.33203125" style="109" bestFit="1" customWidth="1"/>
    <col min="13082" max="13082" width="11.5546875" style="109" bestFit="1" customWidth="1"/>
    <col min="13083" max="13083" width="9.33203125" style="109" bestFit="1" customWidth="1"/>
    <col min="13084" max="13084" width="11.5546875" style="109" bestFit="1" customWidth="1"/>
    <col min="13085" max="13085" width="9.33203125" style="109" bestFit="1" customWidth="1"/>
    <col min="13086" max="13086" width="11.5546875" style="109" bestFit="1" customWidth="1"/>
    <col min="13087" max="13087" width="9.33203125" style="109" bestFit="1" customWidth="1"/>
    <col min="13088" max="13088" width="11.5546875" style="109" bestFit="1" customWidth="1"/>
    <col min="13089" max="13089" width="9.33203125" style="109" bestFit="1" customWidth="1"/>
    <col min="13090" max="13090" width="11.5546875" style="109" bestFit="1" customWidth="1"/>
    <col min="13091" max="13091" width="9.33203125" style="109" bestFit="1" customWidth="1"/>
    <col min="13092" max="13092" width="11.5546875" style="109" bestFit="1" customWidth="1"/>
    <col min="13093" max="13093" width="9.33203125" style="109" bestFit="1" customWidth="1"/>
    <col min="13094" max="13094" width="11.5546875" style="109" bestFit="1" customWidth="1"/>
    <col min="13095" max="13095" width="9.33203125" style="109" bestFit="1" customWidth="1"/>
    <col min="13096" max="13096" width="11.5546875" style="109" bestFit="1" customWidth="1"/>
    <col min="13097" max="13097" width="9.33203125" style="109" bestFit="1" customWidth="1"/>
    <col min="13098" max="13098" width="11.5546875" style="109" bestFit="1" customWidth="1"/>
    <col min="13099" max="13099" width="9.33203125" style="109" bestFit="1" customWidth="1"/>
    <col min="13100" max="13100" width="11.5546875" style="109" bestFit="1" customWidth="1"/>
    <col min="13101" max="13101" width="9.33203125" style="109" bestFit="1" customWidth="1"/>
    <col min="13102" max="13102" width="11.5546875" style="109" bestFit="1" customWidth="1"/>
    <col min="13103" max="13103" width="9.33203125" style="109" bestFit="1" customWidth="1"/>
    <col min="13104" max="13104" width="11.5546875" style="109" bestFit="1" customWidth="1"/>
    <col min="13105" max="13105" width="9.33203125" style="109" bestFit="1" customWidth="1"/>
    <col min="13106" max="13106" width="11.5546875" style="109" bestFit="1" customWidth="1"/>
    <col min="13107" max="13107" width="9.33203125" style="109" bestFit="1" customWidth="1"/>
    <col min="13108" max="13314" width="9.109375" style="109"/>
    <col min="13315" max="13315" width="29.44140625" style="109" bestFit="1" customWidth="1"/>
    <col min="13316" max="13316" width="11.5546875" style="109" bestFit="1" customWidth="1"/>
    <col min="13317" max="13317" width="9.33203125" style="109" bestFit="1" customWidth="1"/>
    <col min="13318" max="13318" width="11.5546875" style="109" bestFit="1" customWidth="1"/>
    <col min="13319" max="13319" width="9.33203125" style="109" bestFit="1" customWidth="1"/>
    <col min="13320" max="13320" width="11.5546875" style="109" bestFit="1" customWidth="1"/>
    <col min="13321" max="13321" width="9.33203125" style="109" bestFit="1" customWidth="1"/>
    <col min="13322" max="13322" width="11.5546875" style="109" bestFit="1" customWidth="1"/>
    <col min="13323" max="13323" width="9.33203125" style="109" bestFit="1" customWidth="1"/>
    <col min="13324" max="13324" width="11.5546875" style="109" bestFit="1" customWidth="1"/>
    <col min="13325" max="13325" width="9.33203125" style="109" bestFit="1" customWidth="1"/>
    <col min="13326" max="13326" width="11.5546875" style="109" bestFit="1" customWidth="1"/>
    <col min="13327" max="13327" width="9.33203125" style="109" bestFit="1" customWidth="1"/>
    <col min="13328" max="13328" width="11.5546875" style="109" bestFit="1" customWidth="1"/>
    <col min="13329" max="13329" width="9.33203125" style="109" bestFit="1" customWidth="1"/>
    <col min="13330" max="13330" width="11.5546875" style="109" bestFit="1" customWidth="1"/>
    <col min="13331" max="13331" width="9.33203125" style="109" bestFit="1" customWidth="1"/>
    <col min="13332" max="13332" width="11.5546875" style="109" bestFit="1" customWidth="1"/>
    <col min="13333" max="13333" width="9.33203125" style="109" bestFit="1" customWidth="1"/>
    <col min="13334" max="13334" width="11.5546875" style="109" bestFit="1" customWidth="1"/>
    <col min="13335" max="13335" width="9.33203125" style="109" bestFit="1" customWidth="1"/>
    <col min="13336" max="13336" width="11.5546875" style="109" bestFit="1" customWidth="1"/>
    <col min="13337" max="13337" width="9.33203125" style="109" bestFit="1" customWidth="1"/>
    <col min="13338" max="13338" width="11.5546875" style="109" bestFit="1" customWidth="1"/>
    <col min="13339" max="13339" width="9.33203125" style="109" bestFit="1" customWidth="1"/>
    <col min="13340" max="13340" width="11.5546875" style="109" bestFit="1" customWidth="1"/>
    <col min="13341" max="13341" width="9.33203125" style="109" bestFit="1" customWidth="1"/>
    <col min="13342" max="13342" width="11.5546875" style="109" bestFit="1" customWidth="1"/>
    <col min="13343" max="13343" width="9.33203125" style="109" bestFit="1" customWidth="1"/>
    <col min="13344" max="13344" width="11.5546875" style="109" bestFit="1" customWidth="1"/>
    <col min="13345" max="13345" width="9.33203125" style="109" bestFit="1" customWidth="1"/>
    <col min="13346" max="13346" width="11.5546875" style="109" bestFit="1" customWidth="1"/>
    <col min="13347" max="13347" width="9.33203125" style="109" bestFit="1" customWidth="1"/>
    <col min="13348" max="13348" width="11.5546875" style="109" bestFit="1" customWidth="1"/>
    <col min="13349" max="13349" width="9.33203125" style="109" bestFit="1" customWidth="1"/>
    <col min="13350" max="13350" width="11.5546875" style="109" bestFit="1" customWidth="1"/>
    <col min="13351" max="13351" width="9.33203125" style="109" bestFit="1" customWidth="1"/>
    <col min="13352" max="13352" width="11.5546875" style="109" bestFit="1" customWidth="1"/>
    <col min="13353" max="13353" width="9.33203125" style="109" bestFit="1" customWidth="1"/>
    <col min="13354" max="13354" width="11.5546875" style="109" bestFit="1" customWidth="1"/>
    <col min="13355" max="13355" width="9.33203125" style="109" bestFit="1" customWidth="1"/>
    <col min="13356" max="13356" width="11.5546875" style="109" bestFit="1" customWidth="1"/>
    <col min="13357" max="13357" width="9.33203125" style="109" bestFit="1" customWidth="1"/>
    <col min="13358" max="13358" width="11.5546875" style="109" bestFit="1" customWidth="1"/>
    <col min="13359" max="13359" width="9.33203125" style="109" bestFit="1" customWidth="1"/>
    <col min="13360" max="13360" width="11.5546875" style="109" bestFit="1" customWidth="1"/>
    <col min="13361" max="13361" width="9.33203125" style="109" bestFit="1" customWidth="1"/>
    <col min="13362" max="13362" width="11.5546875" style="109" bestFit="1" customWidth="1"/>
    <col min="13363" max="13363" width="9.33203125" style="109" bestFit="1" customWidth="1"/>
    <col min="13364" max="13570" width="9.109375" style="109"/>
    <col min="13571" max="13571" width="29.44140625" style="109" bestFit="1" customWidth="1"/>
    <col min="13572" max="13572" width="11.5546875" style="109" bestFit="1" customWidth="1"/>
    <col min="13573" max="13573" width="9.33203125" style="109" bestFit="1" customWidth="1"/>
    <col min="13574" max="13574" width="11.5546875" style="109" bestFit="1" customWidth="1"/>
    <col min="13575" max="13575" width="9.33203125" style="109" bestFit="1" customWidth="1"/>
    <col min="13576" max="13576" width="11.5546875" style="109" bestFit="1" customWidth="1"/>
    <col min="13577" max="13577" width="9.33203125" style="109" bestFit="1" customWidth="1"/>
    <col min="13578" max="13578" width="11.5546875" style="109" bestFit="1" customWidth="1"/>
    <col min="13579" max="13579" width="9.33203125" style="109" bestFit="1" customWidth="1"/>
    <col min="13580" max="13580" width="11.5546875" style="109" bestFit="1" customWidth="1"/>
    <col min="13581" max="13581" width="9.33203125" style="109" bestFit="1" customWidth="1"/>
    <col min="13582" max="13582" width="11.5546875" style="109" bestFit="1" customWidth="1"/>
    <col min="13583" max="13583" width="9.33203125" style="109" bestFit="1" customWidth="1"/>
    <col min="13584" max="13584" width="11.5546875" style="109" bestFit="1" customWidth="1"/>
    <col min="13585" max="13585" width="9.33203125" style="109" bestFit="1" customWidth="1"/>
    <col min="13586" max="13586" width="11.5546875" style="109" bestFit="1" customWidth="1"/>
    <col min="13587" max="13587" width="9.33203125" style="109" bestFit="1" customWidth="1"/>
    <col min="13588" max="13588" width="11.5546875" style="109" bestFit="1" customWidth="1"/>
    <col min="13589" max="13589" width="9.33203125" style="109" bestFit="1" customWidth="1"/>
    <col min="13590" max="13590" width="11.5546875" style="109" bestFit="1" customWidth="1"/>
    <col min="13591" max="13591" width="9.33203125" style="109" bestFit="1" customWidth="1"/>
    <col min="13592" max="13592" width="11.5546875" style="109" bestFit="1" customWidth="1"/>
    <col min="13593" max="13593" width="9.33203125" style="109" bestFit="1" customWidth="1"/>
    <col min="13594" max="13594" width="11.5546875" style="109" bestFit="1" customWidth="1"/>
    <col min="13595" max="13595" width="9.33203125" style="109" bestFit="1" customWidth="1"/>
    <col min="13596" max="13596" width="11.5546875" style="109" bestFit="1" customWidth="1"/>
    <col min="13597" max="13597" width="9.33203125" style="109" bestFit="1" customWidth="1"/>
    <col min="13598" max="13598" width="11.5546875" style="109" bestFit="1" customWidth="1"/>
    <col min="13599" max="13599" width="9.33203125" style="109" bestFit="1" customWidth="1"/>
    <col min="13600" max="13600" width="11.5546875" style="109" bestFit="1" customWidth="1"/>
    <col min="13601" max="13601" width="9.33203125" style="109" bestFit="1" customWidth="1"/>
    <col min="13602" max="13602" width="11.5546875" style="109" bestFit="1" customWidth="1"/>
    <col min="13603" max="13603" width="9.33203125" style="109" bestFit="1" customWidth="1"/>
    <col min="13604" max="13604" width="11.5546875" style="109" bestFit="1" customWidth="1"/>
    <col min="13605" max="13605" width="9.33203125" style="109" bestFit="1" customWidth="1"/>
    <col min="13606" max="13606" width="11.5546875" style="109" bestFit="1" customWidth="1"/>
    <col min="13607" max="13607" width="9.33203125" style="109" bestFit="1" customWidth="1"/>
    <col min="13608" max="13608" width="11.5546875" style="109" bestFit="1" customWidth="1"/>
    <col min="13609" max="13609" width="9.33203125" style="109" bestFit="1" customWidth="1"/>
    <col min="13610" max="13610" width="11.5546875" style="109" bestFit="1" customWidth="1"/>
    <col min="13611" max="13611" width="9.33203125" style="109" bestFit="1" customWidth="1"/>
    <col min="13612" max="13612" width="11.5546875" style="109" bestFit="1" customWidth="1"/>
    <col min="13613" max="13613" width="9.33203125" style="109" bestFit="1" customWidth="1"/>
    <col min="13614" max="13614" width="11.5546875" style="109" bestFit="1" customWidth="1"/>
    <col min="13615" max="13615" width="9.33203125" style="109" bestFit="1" customWidth="1"/>
    <col min="13616" max="13616" width="11.5546875" style="109" bestFit="1" customWidth="1"/>
    <col min="13617" max="13617" width="9.33203125" style="109" bestFit="1" customWidth="1"/>
    <col min="13618" max="13618" width="11.5546875" style="109" bestFit="1" customWidth="1"/>
    <col min="13619" max="13619" width="9.33203125" style="109" bestFit="1" customWidth="1"/>
    <col min="13620" max="13826" width="9.109375" style="109"/>
    <col min="13827" max="13827" width="29.44140625" style="109" bestFit="1" customWidth="1"/>
    <col min="13828" max="13828" width="11.5546875" style="109" bestFit="1" customWidth="1"/>
    <col min="13829" max="13829" width="9.33203125" style="109" bestFit="1" customWidth="1"/>
    <col min="13830" max="13830" width="11.5546875" style="109" bestFit="1" customWidth="1"/>
    <col min="13831" max="13831" width="9.33203125" style="109" bestFit="1" customWidth="1"/>
    <col min="13832" max="13832" width="11.5546875" style="109" bestFit="1" customWidth="1"/>
    <col min="13833" max="13833" width="9.33203125" style="109" bestFit="1" customWidth="1"/>
    <col min="13834" max="13834" width="11.5546875" style="109" bestFit="1" customWidth="1"/>
    <col min="13835" max="13835" width="9.33203125" style="109" bestFit="1" customWidth="1"/>
    <col min="13836" max="13836" width="11.5546875" style="109" bestFit="1" customWidth="1"/>
    <col min="13837" max="13837" width="9.33203125" style="109" bestFit="1" customWidth="1"/>
    <col min="13838" max="13838" width="11.5546875" style="109" bestFit="1" customWidth="1"/>
    <col min="13839" max="13839" width="9.33203125" style="109" bestFit="1" customWidth="1"/>
    <col min="13840" max="13840" width="11.5546875" style="109" bestFit="1" customWidth="1"/>
    <col min="13841" max="13841" width="9.33203125" style="109" bestFit="1" customWidth="1"/>
    <col min="13842" max="13842" width="11.5546875" style="109" bestFit="1" customWidth="1"/>
    <col min="13843" max="13843" width="9.33203125" style="109" bestFit="1" customWidth="1"/>
    <col min="13844" max="13844" width="11.5546875" style="109" bestFit="1" customWidth="1"/>
    <col min="13845" max="13845" width="9.33203125" style="109" bestFit="1" customWidth="1"/>
    <col min="13846" max="13846" width="11.5546875" style="109" bestFit="1" customWidth="1"/>
    <col min="13847" max="13847" width="9.33203125" style="109" bestFit="1" customWidth="1"/>
    <col min="13848" max="13848" width="11.5546875" style="109" bestFit="1" customWidth="1"/>
    <col min="13849" max="13849" width="9.33203125" style="109" bestFit="1" customWidth="1"/>
    <col min="13850" max="13850" width="11.5546875" style="109" bestFit="1" customWidth="1"/>
    <col min="13851" max="13851" width="9.33203125" style="109" bestFit="1" customWidth="1"/>
    <col min="13852" max="13852" width="11.5546875" style="109" bestFit="1" customWidth="1"/>
    <col min="13853" max="13853" width="9.33203125" style="109" bestFit="1" customWidth="1"/>
    <col min="13854" max="13854" width="11.5546875" style="109" bestFit="1" customWidth="1"/>
    <col min="13855" max="13855" width="9.33203125" style="109" bestFit="1" customWidth="1"/>
    <col min="13856" max="13856" width="11.5546875" style="109" bestFit="1" customWidth="1"/>
    <col min="13857" max="13857" width="9.33203125" style="109" bestFit="1" customWidth="1"/>
    <col min="13858" max="13858" width="11.5546875" style="109" bestFit="1" customWidth="1"/>
    <col min="13859" max="13859" width="9.33203125" style="109" bestFit="1" customWidth="1"/>
    <col min="13860" max="13860" width="11.5546875" style="109" bestFit="1" customWidth="1"/>
    <col min="13861" max="13861" width="9.33203125" style="109" bestFit="1" customWidth="1"/>
    <col min="13862" max="13862" width="11.5546875" style="109" bestFit="1" customWidth="1"/>
    <col min="13863" max="13863" width="9.33203125" style="109" bestFit="1" customWidth="1"/>
    <col min="13864" max="13864" width="11.5546875" style="109" bestFit="1" customWidth="1"/>
    <col min="13865" max="13865" width="9.33203125" style="109" bestFit="1" customWidth="1"/>
    <col min="13866" max="13866" width="11.5546875" style="109" bestFit="1" customWidth="1"/>
    <col min="13867" max="13867" width="9.33203125" style="109" bestFit="1" customWidth="1"/>
    <col min="13868" max="13868" width="11.5546875" style="109" bestFit="1" customWidth="1"/>
    <col min="13869" max="13869" width="9.33203125" style="109" bestFit="1" customWidth="1"/>
    <col min="13870" max="13870" width="11.5546875" style="109" bestFit="1" customWidth="1"/>
    <col min="13871" max="13871" width="9.33203125" style="109" bestFit="1" customWidth="1"/>
    <col min="13872" max="13872" width="11.5546875" style="109" bestFit="1" customWidth="1"/>
    <col min="13873" max="13873" width="9.33203125" style="109" bestFit="1" customWidth="1"/>
    <col min="13874" max="13874" width="11.5546875" style="109" bestFit="1" customWidth="1"/>
    <col min="13875" max="13875" width="9.33203125" style="109" bestFit="1" customWidth="1"/>
    <col min="13876" max="14082" width="9.109375" style="109"/>
    <col min="14083" max="14083" width="29.44140625" style="109" bestFit="1" customWidth="1"/>
    <col min="14084" max="14084" width="11.5546875" style="109" bestFit="1" customWidth="1"/>
    <col min="14085" max="14085" width="9.33203125" style="109" bestFit="1" customWidth="1"/>
    <col min="14086" max="14086" width="11.5546875" style="109" bestFit="1" customWidth="1"/>
    <col min="14087" max="14087" width="9.33203125" style="109" bestFit="1" customWidth="1"/>
    <col min="14088" max="14088" width="11.5546875" style="109" bestFit="1" customWidth="1"/>
    <col min="14089" max="14089" width="9.33203125" style="109" bestFit="1" customWidth="1"/>
    <col min="14090" max="14090" width="11.5546875" style="109" bestFit="1" customWidth="1"/>
    <col min="14091" max="14091" width="9.33203125" style="109" bestFit="1" customWidth="1"/>
    <col min="14092" max="14092" width="11.5546875" style="109" bestFit="1" customWidth="1"/>
    <col min="14093" max="14093" width="9.33203125" style="109" bestFit="1" customWidth="1"/>
    <col min="14094" max="14094" width="11.5546875" style="109" bestFit="1" customWidth="1"/>
    <col min="14095" max="14095" width="9.33203125" style="109" bestFit="1" customWidth="1"/>
    <col min="14096" max="14096" width="11.5546875" style="109" bestFit="1" customWidth="1"/>
    <col min="14097" max="14097" width="9.33203125" style="109" bestFit="1" customWidth="1"/>
    <col min="14098" max="14098" width="11.5546875" style="109" bestFit="1" customWidth="1"/>
    <col min="14099" max="14099" width="9.33203125" style="109" bestFit="1" customWidth="1"/>
    <col min="14100" max="14100" width="11.5546875" style="109" bestFit="1" customWidth="1"/>
    <col min="14101" max="14101" width="9.33203125" style="109" bestFit="1" customWidth="1"/>
    <col min="14102" max="14102" width="11.5546875" style="109" bestFit="1" customWidth="1"/>
    <col min="14103" max="14103" width="9.33203125" style="109" bestFit="1" customWidth="1"/>
    <col min="14104" max="14104" width="11.5546875" style="109" bestFit="1" customWidth="1"/>
    <col min="14105" max="14105" width="9.33203125" style="109" bestFit="1" customWidth="1"/>
    <col min="14106" max="14106" width="11.5546875" style="109" bestFit="1" customWidth="1"/>
    <col min="14107" max="14107" width="9.33203125" style="109" bestFit="1" customWidth="1"/>
    <col min="14108" max="14108" width="11.5546875" style="109" bestFit="1" customWidth="1"/>
    <col min="14109" max="14109" width="9.33203125" style="109" bestFit="1" customWidth="1"/>
    <col min="14110" max="14110" width="11.5546875" style="109" bestFit="1" customWidth="1"/>
    <col min="14111" max="14111" width="9.33203125" style="109" bestFit="1" customWidth="1"/>
    <col min="14112" max="14112" width="11.5546875" style="109" bestFit="1" customWidth="1"/>
    <col min="14113" max="14113" width="9.33203125" style="109" bestFit="1" customWidth="1"/>
    <col min="14114" max="14114" width="11.5546875" style="109" bestFit="1" customWidth="1"/>
    <col min="14115" max="14115" width="9.33203125" style="109" bestFit="1" customWidth="1"/>
    <col min="14116" max="14116" width="11.5546875" style="109" bestFit="1" customWidth="1"/>
    <col min="14117" max="14117" width="9.33203125" style="109" bestFit="1" customWidth="1"/>
    <col min="14118" max="14118" width="11.5546875" style="109" bestFit="1" customWidth="1"/>
    <col min="14119" max="14119" width="9.33203125" style="109" bestFit="1" customWidth="1"/>
    <col min="14120" max="14120" width="11.5546875" style="109" bestFit="1" customWidth="1"/>
    <col min="14121" max="14121" width="9.33203125" style="109" bestFit="1" customWidth="1"/>
    <col min="14122" max="14122" width="11.5546875" style="109" bestFit="1" customWidth="1"/>
    <col min="14123" max="14123" width="9.33203125" style="109" bestFit="1" customWidth="1"/>
    <col min="14124" max="14124" width="11.5546875" style="109" bestFit="1" customWidth="1"/>
    <col min="14125" max="14125" width="9.33203125" style="109" bestFit="1" customWidth="1"/>
    <col min="14126" max="14126" width="11.5546875" style="109" bestFit="1" customWidth="1"/>
    <col min="14127" max="14127" width="9.33203125" style="109" bestFit="1" customWidth="1"/>
    <col min="14128" max="14128" width="11.5546875" style="109" bestFit="1" customWidth="1"/>
    <col min="14129" max="14129" width="9.33203125" style="109" bestFit="1" customWidth="1"/>
    <col min="14130" max="14130" width="11.5546875" style="109" bestFit="1" customWidth="1"/>
    <col min="14131" max="14131" width="9.33203125" style="109" bestFit="1" customWidth="1"/>
    <col min="14132" max="14338" width="9.109375" style="109"/>
    <col min="14339" max="14339" width="29.44140625" style="109" bestFit="1" customWidth="1"/>
    <col min="14340" max="14340" width="11.5546875" style="109" bestFit="1" customWidth="1"/>
    <col min="14341" max="14341" width="9.33203125" style="109" bestFit="1" customWidth="1"/>
    <col min="14342" max="14342" width="11.5546875" style="109" bestFit="1" customWidth="1"/>
    <col min="14343" max="14343" width="9.33203125" style="109" bestFit="1" customWidth="1"/>
    <col min="14344" max="14344" width="11.5546875" style="109" bestFit="1" customWidth="1"/>
    <col min="14345" max="14345" width="9.33203125" style="109" bestFit="1" customWidth="1"/>
    <col min="14346" max="14346" width="11.5546875" style="109" bestFit="1" customWidth="1"/>
    <col min="14347" max="14347" width="9.33203125" style="109" bestFit="1" customWidth="1"/>
    <col min="14348" max="14348" width="11.5546875" style="109" bestFit="1" customWidth="1"/>
    <col min="14349" max="14349" width="9.33203125" style="109" bestFit="1" customWidth="1"/>
    <col min="14350" max="14350" width="11.5546875" style="109" bestFit="1" customWidth="1"/>
    <col min="14351" max="14351" width="9.33203125" style="109" bestFit="1" customWidth="1"/>
    <col min="14352" max="14352" width="11.5546875" style="109" bestFit="1" customWidth="1"/>
    <col min="14353" max="14353" width="9.33203125" style="109" bestFit="1" customWidth="1"/>
    <col min="14354" max="14354" width="11.5546875" style="109" bestFit="1" customWidth="1"/>
    <col min="14355" max="14355" width="9.33203125" style="109" bestFit="1" customWidth="1"/>
    <col min="14356" max="14356" width="11.5546875" style="109" bestFit="1" customWidth="1"/>
    <col min="14357" max="14357" width="9.33203125" style="109" bestFit="1" customWidth="1"/>
    <col min="14358" max="14358" width="11.5546875" style="109" bestFit="1" customWidth="1"/>
    <col min="14359" max="14359" width="9.33203125" style="109" bestFit="1" customWidth="1"/>
    <col min="14360" max="14360" width="11.5546875" style="109" bestFit="1" customWidth="1"/>
    <col min="14361" max="14361" width="9.33203125" style="109" bestFit="1" customWidth="1"/>
    <col min="14362" max="14362" width="11.5546875" style="109" bestFit="1" customWidth="1"/>
    <col min="14363" max="14363" width="9.33203125" style="109" bestFit="1" customWidth="1"/>
    <col min="14364" max="14364" width="11.5546875" style="109" bestFit="1" customWidth="1"/>
    <col min="14365" max="14365" width="9.33203125" style="109" bestFit="1" customWidth="1"/>
    <col min="14366" max="14366" width="11.5546875" style="109" bestFit="1" customWidth="1"/>
    <col min="14367" max="14367" width="9.33203125" style="109" bestFit="1" customWidth="1"/>
    <col min="14368" max="14368" width="11.5546875" style="109" bestFit="1" customWidth="1"/>
    <col min="14369" max="14369" width="9.33203125" style="109" bestFit="1" customWidth="1"/>
    <col min="14370" max="14370" width="11.5546875" style="109" bestFit="1" customWidth="1"/>
    <col min="14371" max="14371" width="9.33203125" style="109" bestFit="1" customWidth="1"/>
    <col min="14372" max="14372" width="11.5546875" style="109" bestFit="1" customWidth="1"/>
    <col min="14373" max="14373" width="9.33203125" style="109" bestFit="1" customWidth="1"/>
    <col min="14374" max="14374" width="11.5546875" style="109" bestFit="1" customWidth="1"/>
    <col min="14375" max="14375" width="9.33203125" style="109" bestFit="1" customWidth="1"/>
    <col min="14376" max="14376" width="11.5546875" style="109" bestFit="1" customWidth="1"/>
    <col min="14377" max="14377" width="9.33203125" style="109" bestFit="1" customWidth="1"/>
    <col min="14378" max="14378" width="11.5546875" style="109" bestFit="1" customWidth="1"/>
    <col min="14379" max="14379" width="9.33203125" style="109" bestFit="1" customWidth="1"/>
    <col min="14380" max="14380" width="11.5546875" style="109" bestFit="1" customWidth="1"/>
    <col min="14381" max="14381" width="9.33203125" style="109" bestFit="1" customWidth="1"/>
    <col min="14382" max="14382" width="11.5546875" style="109" bestFit="1" customWidth="1"/>
    <col min="14383" max="14383" width="9.33203125" style="109" bestFit="1" customWidth="1"/>
    <col min="14384" max="14384" width="11.5546875" style="109" bestFit="1" customWidth="1"/>
    <col min="14385" max="14385" width="9.33203125" style="109" bestFit="1" customWidth="1"/>
    <col min="14386" max="14386" width="11.5546875" style="109" bestFit="1" customWidth="1"/>
    <col min="14387" max="14387" width="9.33203125" style="109" bestFit="1" customWidth="1"/>
    <col min="14388" max="14594" width="9.109375" style="109"/>
    <col min="14595" max="14595" width="29.44140625" style="109" bestFit="1" customWidth="1"/>
    <col min="14596" max="14596" width="11.5546875" style="109" bestFit="1" customWidth="1"/>
    <col min="14597" max="14597" width="9.33203125" style="109" bestFit="1" customWidth="1"/>
    <col min="14598" max="14598" width="11.5546875" style="109" bestFit="1" customWidth="1"/>
    <col min="14599" max="14599" width="9.33203125" style="109" bestFit="1" customWidth="1"/>
    <col min="14600" max="14600" width="11.5546875" style="109" bestFit="1" customWidth="1"/>
    <col min="14601" max="14601" width="9.33203125" style="109" bestFit="1" customWidth="1"/>
    <col min="14602" max="14602" width="11.5546875" style="109" bestFit="1" customWidth="1"/>
    <col min="14603" max="14603" width="9.33203125" style="109" bestFit="1" customWidth="1"/>
    <col min="14604" max="14604" width="11.5546875" style="109" bestFit="1" customWidth="1"/>
    <col min="14605" max="14605" width="9.33203125" style="109" bestFit="1" customWidth="1"/>
    <col min="14606" max="14606" width="11.5546875" style="109" bestFit="1" customWidth="1"/>
    <col min="14607" max="14607" width="9.33203125" style="109" bestFit="1" customWidth="1"/>
    <col min="14608" max="14608" width="11.5546875" style="109" bestFit="1" customWidth="1"/>
    <col min="14609" max="14609" width="9.33203125" style="109" bestFit="1" customWidth="1"/>
    <col min="14610" max="14610" width="11.5546875" style="109" bestFit="1" customWidth="1"/>
    <col min="14611" max="14611" width="9.33203125" style="109" bestFit="1" customWidth="1"/>
    <col min="14612" max="14612" width="11.5546875" style="109" bestFit="1" customWidth="1"/>
    <col min="14613" max="14613" width="9.33203125" style="109" bestFit="1" customWidth="1"/>
    <col min="14614" max="14614" width="11.5546875" style="109" bestFit="1" customWidth="1"/>
    <col min="14615" max="14615" width="9.33203125" style="109" bestFit="1" customWidth="1"/>
    <col min="14616" max="14616" width="11.5546875" style="109" bestFit="1" customWidth="1"/>
    <col min="14617" max="14617" width="9.33203125" style="109" bestFit="1" customWidth="1"/>
    <col min="14618" max="14618" width="11.5546875" style="109" bestFit="1" customWidth="1"/>
    <col min="14619" max="14619" width="9.33203125" style="109" bestFit="1" customWidth="1"/>
    <col min="14620" max="14620" width="11.5546875" style="109" bestFit="1" customWidth="1"/>
    <col min="14621" max="14621" width="9.33203125" style="109" bestFit="1" customWidth="1"/>
    <col min="14622" max="14622" width="11.5546875" style="109" bestFit="1" customWidth="1"/>
    <col min="14623" max="14623" width="9.33203125" style="109" bestFit="1" customWidth="1"/>
    <col min="14624" max="14624" width="11.5546875" style="109" bestFit="1" customWidth="1"/>
    <col min="14625" max="14625" width="9.33203125" style="109" bestFit="1" customWidth="1"/>
    <col min="14626" max="14626" width="11.5546875" style="109" bestFit="1" customWidth="1"/>
    <col min="14627" max="14627" width="9.33203125" style="109" bestFit="1" customWidth="1"/>
    <col min="14628" max="14628" width="11.5546875" style="109" bestFit="1" customWidth="1"/>
    <col min="14629" max="14629" width="9.33203125" style="109" bestFit="1" customWidth="1"/>
    <col min="14630" max="14630" width="11.5546875" style="109" bestFit="1" customWidth="1"/>
    <col min="14631" max="14631" width="9.33203125" style="109" bestFit="1" customWidth="1"/>
    <col min="14632" max="14632" width="11.5546875" style="109" bestFit="1" customWidth="1"/>
    <col min="14633" max="14633" width="9.33203125" style="109" bestFit="1" customWidth="1"/>
    <col min="14634" max="14634" width="11.5546875" style="109" bestFit="1" customWidth="1"/>
    <col min="14635" max="14635" width="9.33203125" style="109" bestFit="1" customWidth="1"/>
    <col min="14636" max="14636" width="11.5546875" style="109" bestFit="1" customWidth="1"/>
    <col min="14637" max="14637" width="9.33203125" style="109" bestFit="1" customWidth="1"/>
    <col min="14638" max="14638" width="11.5546875" style="109" bestFit="1" customWidth="1"/>
    <col min="14639" max="14639" width="9.33203125" style="109" bestFit="1" customWidth="1"/>
    <col min="14640" max="14640" width="11.5546875" style="109" bestFit="1" customWidth="1"/>
    <col min="14641" max="14641" width="9.33203125" style="109" bestFit="1" customWidth="1"/>
    <col min="14642" max="14642" width="11.5546875" style="109" bestFit="1" customWidth="1"/>
    <col min="14643" max="14643" width="9.33203125" style="109" bestFit="1" customWidth="1"/>
    <col min="14644" max="14850" width="9.109375" style="109"/>
    <col min="14851" max="14851" width="29.44140625" style="109" bestFit="1" customWidth="1"/>
    <col min="14852" max="14852" width="11.5546875" style="109" bestFit="1" customWidth="1"/>
    <col min="14853" max="14853" width="9.33203125" style="109" bestFit="1" customWidth="1"/>
    <col min="14854" max="14854" width="11.5546875" style="109" bestFit="1" customWidth="1"/>
    <col min="14855" max="14855" width="9.33203125" style="109" bestFit="1" customWidth="1"/>
    <col min="14856" max="14856" width="11.5546875" style="109" bestFit="1" customWidth="1"/>
    <col min="14857" max="14857" width="9.33203125" style="109" bestFit="1" customWidth="1"/>
    <col min="14858" max="14858" width="11.5546875" style="109" bestFit="1" customWidth="1"/>
    <col min="14859" max="14859" width="9.33203125" style="109" bestFit="1" customWidth="1"/>
    <col min="14860" max="14860" width="11.5546875" style="109" bestFit="1" customWidth="1"/>
    <col min="14861" max="14861" width="9.33203125" style="109" bestFit="1" customWidth="1"/>
    <col min="14862" max="14862" width="11.5546875" style="109" bestFit="1" customWidth="1"/>
    <col min="14863" max="14863" width="9.33203125" style="109" bestFit="1" customWidth="1"/>
    <col min="14864" max="14864" width="11.5546875" style="109" bestFit="1" customWidth="1"/>
    <col min="14865" max="14865" width="9.33203125" style="109" bestFit="1" customWidth="1"/>
    <col min="14866" max="14866" width="11.5546875" style="109" bestFit="1" customWidth="1"/>
    <col min="14867" max="14867" width="9.33203125" style="109" bestFit="1" customWidth="1"/>
    <col min="14868" max="14868" width="11.5546875" style="109" bestFit="1" customWidth="1"/>
    <col min="14869" max="14869" width="9.33203125" style="109" bestFit="1" customWidth="1"/>
    <col min="14870" max="14870" width="11.5546875" style="109" bestFit="1" customWidth="1"/>
    <col min="14871" max="14871" width="9.33203125" style="109" bestFit="1" customWidth="1"/>
    <col min="14872" max="14872" width="11.5546875" style="109" bestFit="1" customWidth="1"/>
    <col min="14873" max="14873" width="9.33203125" style="109" bestFit="1" customWidth="1"/>
    <col min="14874" max="14874" width="11.5546875" style="109" bestFit="1" customWidth="1"/>
    <col min="14875" max="14875" width="9.33203125" style="109" bestFit="1" customWidth="1"/>
    <col min="14876" max="14876" width="11.5546875" style="109" bestFit="1" customWidth="1"/>
    <col min="14877" max="14877" width="9.33203125" style="109" bestFit="1" customWidth="1"/>
    <col min="14878" max="14878" width="11.5546875" style="109" bestFit="1" customWidth="1"/>
    <col min="14879" max="14879" width="9.33203125" style="109" bestFit="1" customWidth="1"/>
    <col min="14880" max="14880" width="11.5546875" style="109" bestFit="1" customWidth="1"/>
    <col min="14881" max="14881" width="9.33203125" style="109" bestFit="1" customWidth="1"/>
    <col min="14882" max="14882" width="11.5546875" style="109" bestFit="1" customWidth="1"/>
    <col min="14883" max="14883" width="9.33203125" style="109" bestFit="1" customWidth="1"/>
    <col min="14884" max="14884" width="11.5546875" style="109" bestFit="1" customWidth="1"/>
    <col min="14885" max="14885" width="9.33203125" style="109" bestFit="1" customWidth="1"/>
    <col min="14886" max="14886" width="11.5546875" style="109" bestFit="1" customWidth="1"/>
    <col min="14887" max="14887" width="9.33203125" style="109" bestFit="1" customWidth="1"/>
    <col min="14888" max="14888" width="11.5546875" style="109" bestFit="1" customWidth="1"/>
    <col min="14889" max="14889" width="9.33203125" style="109" bestFit="1" customWidth="1"/>
    <col min="14890" max="14890" width="11.5546875" style="109" bestFit="1" customWidth="1"/>
    <col min="14891" max="14891" width="9.33203125" style="109" bestFit="1" customWidth="1"/>
    <col min="14892" max="14892" width="11.5546875" style="109" bestFit="1" customWidth="1"/>
    <col min="14893" max="14893" width="9.33203125" style="109" bestFit="1" customWidth="1"/>
    <col min="14894" max="14894" width="11.5546875" style="109" bestFit="1" customWidth="1"/>
    <col min="14895" max="14895" width="9.33203125" style="109" bestFit="1" customWidth="1"/>
    <col min="14896" max="14896" width="11.5546875" style="109" bestFit="1" customWidth="1"/>
    <col min="14897" max="14897" width="9.33203125" style="109" bestFit="1" customWidth="1"/>
    <col min="14898" max="14898" width="11.5546875" style="109" bestFit="1" customWidth="1"/>
    <col min="14899" max="14899" width="9.33203125" style="109" bestFit="1" customWidth="1"/>
    <col min="14900" max="15106" width="9.109375" style="109"/>
    <col min="15107" max="15107" width="29.44140625" style="109" bestFit="1" customWidth="1"/>
    <col min="15108" max="15108" width="11.5546875" style="109" bestFit="1" customWidth="1"/>
    <col min="15109" max="15109" width="9.33203125" style="109" bestFit="1" customWidth="1"/>
    <col min="15110" max="15110" width="11.5546875" style="109" bestFit="1" customWidth="1"/>
    <col min="15111" max="15111" width="9.33203125" style="109" bestFit="1" customWidth="1"/>
    <col min="15112" max="15112" width="11.5546875" style="109" bestFit="1" customWidth="1"/>
    <col min="15113" max="15113" width="9.33203125" style="109" bestFit="1" customWidth="1"/>
    <col min="15114" max="15114" width="11.5546875" style="109" bestFit="1" customWidth="1"/>
    <col min="15115" max="15115" width="9.33203125" style="109" bestFit="1" customWidth="1"/>
    <col min="15116" max="15116" width="11.5546875" style="109" bestFit="1" customWidth="1"/>
    <col min="15117" max="15117" width="9.33203125" style="109" bestFit="1" customWidth="1"/>
    <col min="15118" max="15118" width="11.5546875" style="109" bestFit="1" customWidth="1"/>
    <col min="15119" max="15119" width="9.33203125" style="109" bestFit="1" customWidth="1"/>
    <col min="15120" max="15120" width="11.5546875" style="109" bestFit="1" customWidth="1"/>
    <col min="15121" max="15121" width="9.33203125" style="109" bestFit="1" customWidth="1"/>
    <col min="15122" max="15122" width="11.5546875" style="109" bestFit="1" customWidth="1"/>
    <col min="15123" max="15123" width="9.33203125" style="109" bestFit="1" customWidth="1"/>
    <col min="15124" max="15124" width="11.5546875" style="109" bestFit="1" customWidth="1"/>
    <col min="15125" max="15125" width="9.33203125" style="109" bestFit="1" customWidth="1"/>
    <col min="15126" max="15126" width="11.5546875" style="109" bestFit="1" customWidth="1"/>
    <col min="15127" max="15127" width="9.33203125" style="109" bestFit="1" customWidth="1"/>
    <col min="15128" max="15128" width="11.5546875" style="109" bestFit="1" customWidth="1"/>
    <col min="15129" max="15129" width="9.33203125" style="109" bestFit="1" customWidth="1"/>
    <col min="15130" max="15130" width="11.5546875" style="109" bestFit="1" customWidth="1"/>
    <col min="15131" max="15131" width="9.33203125" style="109" bestFit="1" customWidth="1"/>
    <col min="15132" max="15132" width="11.5546875" style="109" bestFit="1" customWidth="1"/>
    <col min="15133" max="15133" width="9.33203125" style="109" bestFit="1" customWidth="1"/>
    <col min="15134" max="15134" width="11.5546875" style="109" bestFit="1" customWidth="1"/>
    <col min="15135" max="15135" width="9.33203125" style="109" bestFit="1" customWidth="1"/>
    <col min="15136" max="15136" width="11.5546875" style="109" bestFit="1" customWidth="1"/>
    <col min="15137" max="15137" width="9.33203125" style="109" bestFit="1" customWidth="1"/>
    <col min="15138" max="15138" width="11.5546875" style="109" bestFit="1" customWidth="1"/>
    <col min="15139" max="15139" width="9.33203125" style="109" bestFit="1" customWidth="1"/>
    <col min="15140" max="15140" width="11.5546875" style="109" bestFit="1" customWidth="1"/>
    <col min="15141" max="15141" width="9.33203125" style="109" bestFit="1" customWidth="1"/>
    <col min="15142" max="15142" width="11.5546875" style="109" bestFit="1" customWidth="1"/>
    <col min="15143" max="15143" width="9.33203125" style="109" bestFit="1" customWidth="1"/>
    <col min="15144" max="15144" width="11.5546875" style="109" bestFit="1" customWidth="1"/>
    <col min="15145" max="15145" width="9.33203125" style="109" bestFit="1" customWidth="1"/>
    <col min="15146" max="15146" width="11.5546875" style="109" bestFit="1" customWidth="1"/>
    <col min="15147" max="15147" width="9.33203125" style="109" bestFit="1" customWidth="1"/>
    <col min="15148" max="15148" width="11.5546875" style="109" bestFit="1" customWidth="1"/>
    <col min="15149" max="15149" width="9.33203125" style="109" bestFit="1" customWidth="1"/>
    <col min="15150" max="15150" width="11.5546875" style="109" bestFit="1" customWidth="1"/>
    <col min="15151" max="15151" width="9.33203125" style="109" bestFit="1" customWidth="1"/>
    <col min="15152" max="15152" width="11.5546875" style="109" bestFit="1" customWidth="1"/>
    <col min="15153" max="15153" width="9.33203125" style="109" bestFit="1" customWidth="1"/>
    <col min="15154" max="15154" width="11.5546875" style="109" bestFit="1" customWidth="1"/>
    <col min="15155" max="15155" width="9.33203125" style="109" bestFit="1" customWidth="1"/>
    <col min="15156" max="15362" width="9.109375" style="109"/>
    <col min="15363" max="15363" width="29.44140625" style="109" bestFit="1" customWidth="1"/>
    <col min="15364" max="15364" width="11.5546875" style="109" bestFit="1" customWidth="1"/>
    <col min="15365" max="15365" width="9.33203125" style="109" bestFit="1" customWidth="1"/>
    <col min="15366" max="15366" width="11.5546875" style="109" bestFit="1" customWidth="1"/>
    <col min="15367" max="15367" width="9.33203125" style="109" bestFit="1" customWidth="1"/>
    <col min="15368" max="15368" width="11.5546875" style="109" bestFit="1" customWidth="1"/>
    <col min="15369" max="15369" width="9.33203125" style="109" bestFit="1" customWidth="1"/>
    <col min="15370" max="15370" width="11.5546875" style="109" bestFit="1" customWidth="1"/>
    <col min="15371" max="15371" width="9.33203125" style="109" bestFit="1" customWidth="1"/>
    <col min="15372" max="15372" width="11.5546875" style="109" bestFit="1" customWidth="1"/>
    <col min="15373" max="15373" width="9.33203125" style="109" bestFit="1" customWidth="1"/>
    <col min="15374" max="15374" width="11.5546875" style="109" bestFit="1" customWidth="1"/>
    <col min="15375" max="15375" width="9.33203125" style="109" bestFit="1" customWidth="1"/>
    <col min="15376" max="15376" width="11.5546875" style="109" bestFit="1" customWidth="1"/>
    <col min="15377" max="15377" width="9.33203125" style="109" bestFit="1" customWidth="1"/>
    <col min="15378" max="15378" width="11.5546875" style="109" bestFit="1" customWidth="1"/>
    <col min="15379" max="15379" width="9.33203125" style="109" bestFit="1" customWidth="1"/>
    <col min="15380" max="15380" width="11.5546875" style="109" bestFit="1" customWidth="1"/>
    <col min="15381" max="15381" width="9.33203125" style="109" bestFit="1" customWidth="1"/>
    <col min="15382" max="15382" width="11.5546875" style="109" bestFit="1" customWidth="1"/>
    <col min="15383" max="15383" width="9.33203125" style="109" bestFit="1" customWidth="1"/>
    <col min="15384" max="15384" width="11.5546875" style="109" bestFit="1" customWidth="1"/>
    <col min="15385" max="15385" width="9.33203125" style="109" bestFit="1" customWidth="1"/>
    <col min="15386" max="15386" width="11.5546875" style="109" bestFit="1" customWidth="1"/>
    <col min="15387" max="15387" width="9.33203125" style="109" bestFit="1" customWidth="1"/>
    <col min="15388" max="15388" width="11.5546875" style="109" bestFit="1" customWidth="1"/>
    <col min="15389" max="15389" width="9.33203125" style="109" bestFit="1" customWidth="1"/>
    <col min="15390" max="15390" width="11.5546875" style="109" bestFit="1" customWidth="1"/>
    <col min="15391" max="15391" width="9.33203125" style="109" bestFit="1" customWidth="1"/>
    <col min="15392" max="15392" width="11.5546875" style="109" bestFit="1" customWidth="1"/>
    <col min="15393" max="15393" width="9.33203125" style="109" bestFit="1" customWidth="1"/>
    <col min="15394" max="15394" width="11.5546875" style="109" bestFit="1" customWidth="1"/>
    <col min="15395" max="15395" width="9.33203125" style="109" bestFit="1" customWidth="1"/>
    <col min="15396" max="15396" width="11.5546875" style="109" bestFit="1" customWidth="1"/>
    <col min="15397" max="15397" width="9.33203125" style="109" bestFit="1" customWidth="1"/>
    <col min="15398" max="15398" width="11.5546875" style="109" bestFit="1" customWidth="1"/>
    <col min="15399" max="15399" width="9.33203125" style="109" bestFit="1" customWidth="1"/>
    <col min="15400" max="15400" width="11.5546875" style="109" bestFit="1" customWidth="1"/>
    <col min="15401" max="15401" width="9.33203125" style="109" bestFit="1" customWidth="1"/>
    <col min="15402" max="15402" width="11.5546875" style="109" bestFit="1" customWidth="1"/>
    <col min="15403" max="15403" width="9.33203125" style="109" bestFit="1" customWidth="1"/>
    <col min="15404" max="15404" width="11.5546875" style="109" bestFit="1" customWidth="1"/>
    <col min="15405" max="15405" width="9.33203125" style="109" bestFit="1" customWidth="1"/>
    <col min="15406" max="15406" width="11.5546875" style="109" bestFit="1" customWidth="1"/>
    <col min="15407" max="15407" width="9.33203125" style="109" bestFit="1" customWidth="1"/>
    <col min="15408" max="15408" width="11.5546875" style="109" bestFit="1" customWidth="1"/>
    <col min="15409" max="15409" width="9.33203125" style="109" bestFit="1" customWidth="1"/>
    <col min="15410" max="15410" width="11.5546875" style="109" bestFit="1" customWidth="1"/>
    <col min="15411" max="15411" width="9.33203125" style="109" bestFit="1" customWidth="1"/>
    <col min="15412" max="15618" width="9.109375" style="109"/>
    <col min="15619" max="15619" width="29.44140625" style="109" bestFit="1" customWidth="1"/>
    <col min="15620" max="15620" width="11.5546875" style="109" bestFit="1" customWidth="1"/>
    <col min="15621" max="15621" width="9.33203125" style="109" bestFit="1" customWidth="1"/>
    <col min="15622" max="15622" width="11.5546875" style="109" bestFit="1" customWidth="1"/>
    <col min="15623" max="15623" width="9.33203125" style="109" bestFit="1" customWidth="1"/>
    <col min="15624" max="15624" width="11.5546875" style="109" bestFit="1" customWidth="1"/>
    <col min="15625" max="15625" width="9.33203125" style="109" bestFit="1" customWidth="1"/>
    <col min="15626" max="15626" width="11.5546875" style="109" bestFit="1" customWidth="1"/>
    <col min="15627" max="15627" width="9.33203125" style="109" bestFit="1" customWidth="1"/>
    <col min="15628" max="15628" width="11.5546875" style="109" bestFit="1" customWidth="1"/>
    <col min="15629" max="15629" width="9.33203125" style="109" bestFit="1" customWidth="1"/>
    <col min="15630" max="15630" width="11.5546875" style="109" bestFit="1" customWidth="1"/>
    <col min="15631" max="15631" width="9.33203125" style="109" bestFit="1" customWidth="1"/>
    <col min="15632" max="15632" width="11.5546875" style="109" bestFit="1" customWidth="1"/>
    <col min="15633" max="15633" width="9.33203125" style="109" bestFit="1" customWidth="1"/>
    <col min="15634" max="15634" width="11.5546875" style="109" bestFit="1" customWidth="1"/>
    <col min="15635" max="15635" width="9.33203125" style="109" bestFit="1" customWidth="1"/>
    <col min="15636" max="15636" width="11.5546875" style="109" bestFit="1" customWidth="1"/>
    <col min="15637" max="15637" width="9.33203125" style="109" bestFit="1" customWidth="1"/>
    <col min="15638" max="15638" width="11.5546875" style="109" bestFit="1" customWidth="1"/>
    <col min="15639" max="15639" width="9.33203125" style="109" bestFit="1" customWidth="1"/>
    <col min="15640" max="15640" width="11.5546875" style="109" bestFit="1" customWidth="1"/>
    <col min="15641" max="15641" width="9.33203125" style="109" bestFit="1" customWidth="1"/>
    <col min="15642" max="15642" width="11.5546875" style="109" bestFit="1" customWidth="1"/>
    <col min="15643" max="15643" width="9.33203125" style="109" bestFit="1" customWidth="1"/>
    <col min="15644" max="15644" width="11.5546875" style="109" bestFit="1" customWidth="1"/>
    <col min="15645" max="15645" width="9.33203125" style="109" bestFit="1" customWidth="1"/>
    <col min="15646" max="15646" width="11.5546875" style="109" bestFit="1" customWidth="1"/>
    <col min="15647" max="15647" width="9.33203125" style="109" bestFit="1" customWidth="1"/>
    <col min="15648" max="15648" width="11.5546875" style="109" bestFit="1" customWidth="1"/>
    <col min="15649" max="15649" width="9.33203125" style="109" bestFit="1" customWidth="1"/>
    <col min="15650" max="15650" width="11.5546875" style="109" bestFit="1" customWidth="1"/>
    <col min="15651" max="15651" width="9.33203125" style="109" bestFit="1" customWidth="1"/>
    <col min="15652" max="15652" width="11.5546875" style="109" bestFit="1" customWidth="1"/>
    <col min="15653" max="15653" width="9.33203125" style="109" bestFit="1" customWidth="1"/>
    <col min="15654" max="15654" width="11.5546875" style="109" bestFit="1" customWidth="1"/>
    <col min="15655" max="15655" width="9.33203125" style="109" bestFit="1" customWidth="1"/>
    <col min="15656" max="15656" width="11.5546875" style="109" bestFit="1" customWidth="1"/>
    <col min="15657" max="15657" width="9.33203125" style="109" bestFit="1" customWidth="1"/>
    <col min="15658" max="15658" width="11.5546875" style="109" bestFit="1" customWidth="1"/>
    <col min="15659" max="15659" width="9.33203125" style="109" bestFit="1" customWidth="1"/>
    <col min="15660" max="15660" width="11.5546875" style="109" bestFit="1" customWidth="1"/>
    <col min="15661" max="15661" width="9.33203125" style="109" bestFit="1" customWidth="1"/>
    <col min="15662" max="15662" width="11.5546875" style="109" bestFit="1" customWidth="1"/>
    <col min="15663" max="15663" width="9.33203125" style="109" bestFit="1" customWidth="1"/>
    <col min="15664" max="15664" width="11.5546875" style="109" bestFit="1" customWidth="1"/>
    <col min="15665" max="15665" width="9.33203125" style="109" bestFit="1" customWidth="1"/>
    <col min="15666" max="15666" width="11.5546875" style="109" bestFit="1" customWidth="1"/>
    <col min="15667" max="15667" width="9.33203125" style="109" bestFit="1" customWidth="1"/>
    <col min="15668" max="15874" width="9.109375" style="109"/>
    <col min="15875" max="15875" width="29.44140625" style="109" bestFit="1" customWidth="1"/>
    <col min="15876" max="15876" width="11.5546875" style="109" bestFit="1" customWidth="1"/>
    <col min="15877" max="15877" width="9.33203125" style="109" bestFit="1" customWidth="1"/>
    <col min="15878" max="15878" width="11.5546875" style="109" bestFit="1" customWidth="1"/>
    <col min="15879" max="15879" width="9.33203125" style="109" bestFit="1" customWidth="1"/>
    <col min="15880" max="15880" width="11.5546875" style="109" bestFit="1" customWidth="1"/>
    <col min="15881" max="15881" width="9.33203125" style="109" bestFit="1" customWidth="1"/>
    <col min="15882" max="15882" width="11.5546875" style="109" bestFit="1" customWidth="1"/>
    <col min="15883" max="15883" width="9.33203125" style="109" bestFit="1" customWidth="1"/>
    <col min="15884" max="15884" width="11.5546875" style="109" bestFit="1" customWidth="1"/>
    <col min="15885" max="15885" width="9.33203125" style="109" bestFit="1" customWidth="1"/>
    <col min="15886" max="15886" width="11.5546875" style="109" bestFit="1" customWidth="1"/>
    <col min="15887" max="15887" width="9.33203125" style="109" bestFit="1" customWidth="1"/>
    <col min="15888" max="15888" width="11.5546875" style="109" bestFit="1" customWidth="1"/>
    <col min="15889" max="15889" width="9.33203125" style="109" bestFit="1" customWidth="1"/>
    <col min="15890" max="15890" width="11.5546875" style="109" bestFit="1" customWidth="1"/>
    <col min="15891" max="15891" width="9.33203125" style="109" bestFit="1" customWidth="1"/>
    <col min="15892" max="15892" width="11.5546875" style="109" bestFit="1" customWidth="1"/>
    <col min="15893" max="15893" width="9.33203125" style="109" bestFit="1" customWidth="1"/>
    <col min="15894" max="15894" width="11.5546875" style="109" bestFit="1" customWidth="1"/>
    <col min="15895" max="15895" width="9.33203125" style="109" bestFit="1" customWidth="1"/>
    <col min="15896" max="15896" width="11.5546875" style="109" bestFit="1" customWidth="1"/>
    <col min="15897" max="15897" width="9.33203125" style="109" bestFit="1" customWidth="1"/>
    <col min="15898" max="15898" width="11.5546875" style="109" bestFit="1" customWidth="1"/>
    <col min="15899" max="15899" width="9.33203125" style="109" bestFit="1" customWidth="1"/>
    <col min="15900" max="15900" width="11.5546875" style="109" bestFit="1" customWidth="1"/>
    <col min="15901" max="15901" width="9.33203125" style="109" bestFit="1" customWidth="1"/>
    <col min="15902" max="15902" width="11.5546875" style="109" bestFit="1" customWidth="1"/>
    <col min="15903" max="15903" width="9.33203125" style="109" bestFit="1" customWidth="1"/>
    <col min="15904" max="15904" width="11.5546875" style="109" bestFit="1" customWidth="1"/>
    <col min="15905" max="15905" width="9.33203125" style="109" bestFit="1" customWidth="1"/>
    <col min="15906" max="15906" width="11.5546875" style="109" bestFit="1" customWidth="1"/>
    <col min="15907" max="15907" width="9.33203125" style="109" bestFit="1" customWidth="1"/>
    <col min="15908" max="15908" width="11.5546875" style="109" bestFit="1" customWidth="1"/>
    <col min="15909" max="15909" width="9.33203125" style="109" bestFit="1" customWidth="1"/>
    <col min="15910" max="15910" width="11.5546875" style="109" bestFit="1" customWidth="1"/>
    <col min="15911" max="15911" width="9.33203125" style="109" bestFit="1" customWidth="1"/>
    <col min="15912" max="15912" width="11.5546875" style="109" bestFit="1" customWidth="1"/>
    <col min="15913" max="15913" width="9.33203125" style="109" bestFit="1" customWidth="1"/>
    <col min="15914" max="15914" width="11.5546875" style="109" bestFit="1" customWidth="1"/>
    <col min="15915" max="15915" width="9.33203125" style="109" bestFit="1" customWidth="1"/>
    <col min="15916" max="15916" width="11.5546875" style="109" bestFit="1" customWidth="1"/>
    <col min="15917" max="15917" width="9.33203125" style="109" bestFit="1" customWidth="1"/>
    <col min="15918" max="15918" width="11.5546875" style="109" bestFit="1" customWidth="1"/>
    <col min="15919" max="15919" width="9.33203125" style="109" bestFit="1" customWidth="1"/>
    <col min="15920" max="15920" width="11.5546875" style="109" bestFit="1" customWidth="1"/>
    <col min="15921" max="15921" width="9.33203125" style="109" bestFit="1" customWidth="1"/>
    <col min="15922" max="15922" width="11.5546875" style="109" bestFit="1" customWidth="1"/>
    <col min="15923" max="15923" width="9.33203125" style="109" bestFit="1" customWidth="1"/>
    <col min="15924" max="16130" width="9.109375" style="109"/>
    <col min="16131" max="16131" width="29.44140625" style="109" bestFit="1" customWidth="1"/>
    <col min="16132" max="16132" width="11.5546875" style="109" bestFit="1" customWidth="1"/>
    <col min="16133" max="16133" width="9.33203125" style="109" bestFit="1" customWidth="1"/>
    <col min="16134" max="16134" width="11.5546875" style="109" bestFit="1" customWidth="1"/>
    <col min="16135" max="16135" width="9.33203125" style="109" bestFit="1" customWidth="1"/>
    <col min="16136" max="16136" width="11.5546875" style="109" bestFit="1" customWidth="1"/>
    <col min="16137" max="16137" width="9.33203125" style="109" bestFit="1" customWidth="1"/>
    <col min="16138" max="16138" width="11.5546875" style="109" bestFit="1" customWidth="1"/>
    <col min="16139" max="16139" width="9.33203125" style="109" bestFit="1" customWidth="1"/>
    <col min="16140" max="16140" width="11.5546875" style="109" bestFit="1" customWidth="1"/>
    <col min="16141" max="16141" width="9.33203125" style="109" bestFit="1" customWidth="1"/>
    <col min="16142" max="16142" width="11.5546875" style="109" bestFit="1" customWidth="1"/>
    <col min="16143" max="16143" width="9.33203125" style="109" bestFit="1" customWidth="1"/>
    <col min="16144" max="16144" width="11.5546875" style="109" bestFit="1" customWidth="1"/>
    <col min="16145" max="16145" width="9.33203125" style="109" bestFit="1" customWidth="1"/>
    <col min="16146" max="16146" width="11.5546875" style="109" bestFit="1" customWidth="1"/>
    <col min="16147" max="16147" width="9.33203125" style="109" bestFit="1" customWidth="1"/>
    <col min="16148" max="16148" width="11.5546875" style="109" bestFit="1" customWidth="1"/>
    <col min="16149" max="16149" width="9.33203125" style="109" bestFit="1" customWidth="1"/>
    <col min="16150" max="16150" width="11.5546875" style="109" bestFit="1" customWidth="1"/>
    <col min="16151" max="16151" width="9.33203125" style="109" bestFit="1" customWidth="1"/>
    <col min="16152" max="16152" width="11.5546875" style="109" bestFit="1" customWidth="1"/>
    <col min="16153" max="16153" width="9.33203125" style="109" bestFit="1" customWidth="1"/>
    <col min="16154" max="16154" width="11.5546875" style="109" bestFit="1" customWidth="1"/>
    <col min="16155" max="16155" width="9.33203125" style="109" bestFit="1" customWidth="1"/>
    <col min="16156" max="16156" width="11.5546875" style="109" bestFit="1" customWidth="1"/>
    <col min="16157" max="16157" width="9.33203125" style="109" bestFit="1" customWidth="1"/>
    <col min="16158" max="16158" width="11.5546875" style="109" bestFit="1" customWidth="1"/>
    <col min="16159" max="16159" width="9.33203125" style="109" bestFit="1" customWidth="1"/>
    <col min="16160" max="16160" width="11.5546875" style="109" bestFit="1" customWidth="1"/>
    <col min="16161" max="16161" width="9.33203125" style="109" bestFit="1" customWidth="1"/>
    <col min="16162" max="16162" width="11.5546875" style="109" bestFit="1" customWidth="1"/>
    <col min="16163" max="16163" width="9.33203125" style="109" bestFit="1" customWidth="1"/>
    <col min="16164" max="16164" width="11.5546875" style="109" bestFit="1" customWidth="1"/>
    <col min="16165" max="16165" width="9.33203125" style="109" bestFit="1" customWidth="1"/>
    <col min="16166" max="16166" width="11.5546875" style="109" bestFit="1" customWidth="1"/>
    <col min="16167" max="16167" width="9.33203125" style="109" bestFit="1" customWidth="1"/>
    <col min="16168" max="16168" width="11.5546875" style="109" bestFit="1" customWidth="1"/>
    <col min="16169" max="16169" width="9.33203125" style="109" bestFit="1" customWidth="1"/>
    <col min="16170" max="16170" width="11.5546875" style="109" bestFit="1" customWidth="1"/>
    <col min="16171" max="16171" width="9.33203125" style="109" bestFit="1" customWidth="1"/>
    <col min="16172" max="16172" width="11.5546875" style="109" bestFit="1" customWidth="1"/>
    <col min="16173" max="16173" width="9.33203125" style="109" bestFit="1" customWidth="1"/>
    <col min="16174" max="16174" width="11.5546875" style="109" bestFit="1" customWidth="1"/>
    <col min="16175" max="16175" width="9.33203125" style="109" bestFit="1" customWidth="1"/>
    <col min="16176" max="16176" width="11.5546875" style="109" bestFit="1" customWidth="1"/>
    <col min="16177" max="16177" width="9.33203125" style="109" bestFit="1" customWidth="1"/>
    <col min="16178" max="16178" width="11.5546875" style="109" bestFit="1" customWidth="1"/>
    <col min="16179" max="16179" width="9.33203125" style="109" bestFit="1" customWidth="1"/>
    <col min="16180" max="16384" width="9.109375" style="109"/>
  </cols>
  <sheetData>
    <row r="1" spans="1:51" s="23" customFormat="1">
      <c r="A1" s="109"/>
      <c r="B1" s="115" t="s">
        <v>145</v>
      </c>
      <c r="C1" s="109"/>
      <c r="D1" s="109"/>
      <c r="E1" s="109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8"/>
      <c r="Y1" s="208"/>
      <c r="Z1" s="208"/>
      <c r="AA1" s="208"/>
      <c r="AB1" s="208"/>
      <c r="AC1" s="208"/>
      <c r="AD1" s="208"/>
      <c r="AE1" s="208"/>
      <c r="AF1" s="208"/>
      <c r="AG1" s="208"/>
      <c r="AH1" s="208"/>
      <c r="AI1" s="208"/>
      <c r="AJ1" s="208"/>
      <c r="AK1" s="208"/>
      <c r="AL1" s="208"/>
      <c r="AM1" s="208"/>
      <c r="AN1" s="208"/>
      <c r="AO1" s="208"/>
      <c r="AP1" s="208"/>
      <c r="AQ1" s="208"/>
      <c r="AR1" s="208"/>
      <c r="AS1" s="208"/>
      <c r="AT1" s="208"/>
      <c r="AU1" s="208"/>
      <c r="AV1" s="208"/>
      <c r="AW1" s="208"/>
      <c r="AX1" s="208"/>
      <c r="AY1" s="208"/>
    </row>
    <row r="2" spans="1:51" s="23" customFormat="1">
      <c r="A2" s="109"/>
      <c r="B2" s="232"/>
      <c r="C2" s="232"/>
      <c r="D2" s="235">
        <v>44470</v>
      </c>
      <c r="E2" s="236">
        <v>44470</v>
      </c>
      <c r="F2" s="235">
        <v>44501</v>
      </c>
      <c r="G2" s="236">
        <v>44501</v>
      </c>
      <c r="H2" s="235">
        <v>44531</v>
      </c>
      <c r="I2" s="236">
        <v>44531</v>
      </c>
      <c r="J2" s="235">
        <v>44562</v>
      </c>
      <c r="K2" s="236">
        <v>44562</v>
      </c>
      <c r="L2" s="235">
        <v>44593</v>
      </c>
      <c r="M2" s="236">
        <v>44593</v>
      </c>
      <c r="N2" s="235">
        <v>44621</v>
      </c>
      <c r="O2" s="236">
        <v>44621</v>
      </c>
      <c r="P2" s="235">
        <v>44652</v>
      </c>
      <c r="Q2" s="236">
        <v>44652</v>
      </c>
      <c r="R2" s="235">
        <v>44682</v>
      </c>
      <c r="S2" s="236">
        <v>44682</v>
      </c>
      <c r="T2" s="235">
        <v>44713</v>
      </c>
      <c r="U2" s="236">
        <v>44713</v>
      </c>
      <c r="V2" s="235">
        <v>44743</v>
      </c>
      <c r="W2" s="236">
        <v>44743</v>
      </c>
      <c r="X2" s="235">
        <v>44774</v>
      </c>
      <c r="Y2" s="236">
        <v>44774</v>
      </c>
      <c r="Z2" s="235">
        <v>44805</v>
      </c>
      <c r="AA2" s="236">
        <v>44805</v>
      </c>
      <c r="AB2" s="235">
        <v>44835</v>
      </c>
      <c r="AC2" s="236">
        <v>44835</v>
      </c>
      <c r="AD2" s="235">
        <v>44866</v>
      </c>
      <c r="AE2" s="236">
        <v>44866</v>
      </c>
      <c r="AF2" s="235">
        <v>44896</v>
      </c>
      <c r="AG2" s="236">
        <v>44896</v>
      </c>
      <c r="AH2" s="235">
        <v>44927</v>
      </c>
      <c r="AI2" s="236">
        <v>44927</v>
      </c>
      <c r="AJ2" s="235">
        <v>44958</v>
      </c>
      <c r="AK2" s="236">
        <v>44958</v>
      </c>
      <c r="AL2" s="235">
        <v>44986</v>
      </c>
      <c r="AM2" s="236">
        <v>44986</v>
      </c>
      <c r="AN2" s="235">
        <v>45017</v>
      </c>
      <c r="AO2" s="236">
        <v>45017</v>
      </c>
      <c r="AP2" s="235">
        <v>45047</v>
      </c>
      <c r="AQ2" s="236">
        <v>45047</v>
      </c>
      <c r="AR2" s="235">
        <v>45078</v>
      </c>
      <c r="AS2" s="236">
        <v>45078</v>
      </c>
      <c r="AT2" s="235">
        <v>45108</v>
      </c>
      <c r="AU2" s="236">
        <v>45108</v>
      </c>
      <c r="AV2" s="235">
        <v>45139</v>
      </c>
      <c r="AW2" s="236">
        <v>45139</v>
      </c>
      <c r="AX2" s="235">
        <v>45170</v>
      </c>
      <c r="AY2" s="236">
        <v>45170</v>
      </c>
    </row>
    <row r="3" spans="1:51" s="23" customFormat="1">
      <c r="A3" s="109"/>
      <c r="B3" s="233" t="s">
        <v>2</v>
      </c>
      <c r="C3" s="233" t="s">
        <v>147</v>
      </c>
      <c r="D3" s="237" t="s">
        <v>143</v>
      </c>
      <c r="E3" s="238" t="s">
        <v>144</v>
      </c>
      <c r="F3" s="237" t="s">
        <v>143</v>
      </c>
      <c r="G3" s="238" t="s">
        <v>144</v>
      </c>
      <c r="H3" s="237" t="s">
        <v>143</v>
      </c>
      <c r="I3" s="238" t="s">
        <v>144</v>
      </c>
      <c r="J3" s="237" t="s">
        <v>143</v>
      </c>
      <c r="K3" s="238" t="s">
        <v>144</v>
      </c>
      <c r="L3" s="237" t="s">
        <v>143</v>
      </c>
      <c r="M3" s="238" t="s">
        <v>144</v>
      </c>
      <c r="N3" s="237" t="s">
        <v>143</v>
      </c>
      <c r="O3" s="238" t="s">
        <v>144</v>
      </c>
      <c r="P3" s="237" t="s">
        <v>143</v>
      </c>
      <c r="Q3" s="238" t="s">
        <v>144</v>
      </c>
      <c r="R3" s="237" t="s">
        <v>143</v>
      </c>
      <c r="S3" s="238" t="s">
        <v>144</v>
      </c>
      <c r="T3" s="237" t="s">
        <v>143</v>
      </c>
      <c r="U3" s="238" t="s">
        <v>144</v>
      </c>
      <c r="V3" s="237" t="s">
        <v>143</v>
      </c>
      <c r="W3" s="238" t="s">
        <v>144</v>
      </c>
      <c r="X3" s="237" t="s">
        <v>143</v>
      </c>
      <c r="Y3" s="238" t="s">
        <v>144</v>
      </c>
      <c r="Z3" s="237" t="s">
        <v>143</v>
      </c>
      <c r="AA3" s="238" t="s">
        <v>144</v>
      </c>
      <c r="AB3" s="237" t="s">
        <v>143</v>
      </c>
      <c r="AC3" s="238" t="s">
        <v>144</v>
      </c>
      <c r="AD3" s="237" t="s">
        <v>143</v>
      </c>
      <c r="AE3" s="238" t="s">
        <v>144</v>
      </c>
      <c r="AF3" s="237" t="s">
        <v>143</v>
      </c>
      <c r="AG3" s="238" t="s">
        <v>144</v>
      </c>
      <c r="AH3" s="237" t="s">
        <v>143</v>
      </c>
      <c r="AI3" s="238" t="s">
        <v>144</v>
      </c>
      <c r="AJ3" s="237" t="s">
        <v>143</v>
      </c>
      <c r="AK3" s="238" t="s">
        <v>144</v>
      </c>
      <c r="AL3" s="237" t="s">
        <v>143</v>
      </c>
      <c r="AM3" s="238" t="s">
        <v>144</v>
      </c>
      <c r="AN3" s="237" t="s">
        <v>143</v>
      </c>
      <c r="AO3" s="238" t="s">
        <v>144</v>
      </c>
      <c r="AP3" s="237" t="s">
        <v>143</v>
      </c>
      <c r="AQ3" s="238" t="s">
        <v>144</v>
      </c>
      <c r="AR3" s="237" t="s">
        <v>143</v>
      </c>
      <c r="AS3" s="238" t="s">
        <v>144</v>
      </c>
      <c r="AT3" s="237" t="s">
        <v>143</v>
      </c>
      <c r="AU3" s="238" t="s">
        <v>144</v>
      </c>
      <c r="AV3" s="237" t="s">
        <v>143</v>
      </c>
      <c r="AW3" s="238" t="s">
        <v>144</v>
      </c>
      <c r="AX3" s="237" t="s">
        <v>143</v>
      </c>
      <c r="AY3" s="238" t="s">
        <v>144</v>
      </c>
    </row>
    <row r="4" spans="1:51">
      <c r="B4" s="232">
        <v>10005</v>
      </c>
      <c r="C4" s="232" t="s">
        <v>7</v>
      </c>
      <c r="D4" s="241">
        <v>77.639423076922952</v>
      </c>
      <c r="E4" s="242">
        <v>0</v>
      </c>
      <c r="F4" s="242">
        <v>84.680000000000035</v>
      </c>
      <c r="G4" s="242">
        <v>0</v>
      </c>
      <c r="H4" s="242">
        <v>75.853365384615572</v>
      </c>
      <c r="I4" s="242">
        <v>0</v>
      </c>
      <c r="J4" s="242">
        <v>86.130000000000038</v>
      </c>
      <c r="K4" s="242">
        <v>0</v>
      </c>
      <c r="L4" s="242">
        <v>63.416666666666679</v>
      </c>
      <c r="M4" s="242">
        <v>0</v>
      </c>
      <c r="N4" s="242">
        <v>217.44212962962973</v>
      </c>
      <c r="O4" s="242">
        <v>0</v>
      </c>
      <c r="P4" s="242">
        <v>46.603365384615344</v>
      </c>
      <c r="Q4" s="242">
        <v>0</v>
      </c>
      <c r="R4" s="242">
        <v>68.972499999999997</v>
      </c>
      <c r="S4" s="242">
        <v>0</v>
      </c>
      <c r="T4" s="242">
        <v>157.46394230769235</v>
      </c>
      <c r="U4" s="242">
        <v>0</v>
      </c>
      <c r="V4" s="242">
        <v>79.810000000000016</v>
      </c>
      <c r="W4" s="242">
        <v>0</v>
      </c>
      <c r="X4" s="242">
        <v>143.94675925925927</v>
      </c>
      <c r="Y4" s="242">
        <v>0</v>
      </c>
      <c r="Z4" s="242">
        <v>134.88499999999999</v>
      </c>
      <c r="AA4" s="242">
        <v>0</v>
      </c>
      <c r="AB4" s="242">
        <v>52.125000000000085</v>
      </c>
      <c r="AC4" s="242">
        <v>0</v>
      </c>
      <c r="AD4" s="242">
        <v>88.725000000000108</v>
      </c>
      <c r="AE4" s="242">
        <v>0</v>
      </c>
      <c r="AF4" s="242">
        <v>79.704326923076891</v>
      </c>
      <c r="AG4" s="242">
        <v>0</v>
      </c>
      <c r="AH4" s="242">
        <v>88.702500000000128</v>
      </c>
      <c r="AI4" s="242">
        <v>0</v>
      </c>
      <c r="AJ4" s="242">
        <v>181.24999999999991</v>
      </c>
      <c r="AK4" s="242">
        <v>0</v>
      </c>
      <c r="AL4" s="242">
        <v>218.96527777777774</v>
      </c>
      <c r="AM4" s="242">
        <v>0</v>
      </c>
      <c r="AN4" s="242">
        <v>18.792500000000157</v>
      </c>
      <c r="AO4" s="242">
        <v>0</v>
      </c>
      <c r="AP4" s="242">
        <v>91.125000000000014</v>
      </c>
      <c r="AQ4" s="242">
        <v>0</v>
      </c>
      <c r="AR4" s="242">
        <v>157.46394230769235</v>
      </c>
      <c r="AS4" s="242">
        <v>0</v>
      </c>
      <c r="AT4" s="242">
        <v>79.810000000000016</v>
      </c>
      <c r="AU4" s="242">
        <v>0</v>
      </c>
      <c r="AV4" s="242">
        <v>163.9907407407407</v>
      </c>
      <c r="AW4" s="242">
        <v>0</v>
      </c>
      <c r="AX4" s="242">
        <v>111.8924999999999</v>
      </c>
      <c r="AY4" s="242">
        <v>0</v>
      </c>
    </row>
    <row r="5" spans="1:51">
      <c r="B5" s="232">
        <v>10015</v>
      </c>
      <c r="C5" s="232" t="s">
        <v>8</v>
      </c>
      <c r="D5" s="242">
        <v>242.92067307692301</v>
      </c>
      <c r="E5" s="242">
        <v>0</v>
      </c>
      <c r="F5" s="242">
        <v>0</v>
      </c>
      <c r="G5" s="242">
        <v>0</v>
      </c>
      <c r="H5" s="242">
        <v>0</v>
      </c>
      <c r="I5" s="242">
        <v>0</v>
      </c>
      <c r="J5" s="242">
        <v>92.374999999999986</v>
      </c>
      <c r="K5" s="242">
        <v>0</v>
      </c>
      <c r="L5" s="242">
        <v>173.27343749999991</v>
      </c>
      <c r="M5" s="242">
        <v>0</v>
      </c>
      <c r="N5" s="242">
        <v>173.90046296296291</v>
      </c>
      <c r="O5" s="242">
        <v>0</v>
      </c>
      <c r="P5" s="242">
        <v>509.63701923076911</v>
      </c>
      <c r="Q5" s="242">
        <v>0</v>
      </c>
      <c r="R5" s="242">
        <v>404.8075</v>
      </c>
      <c r="S5" s="242">
        <v>0</v>
      </c>
      <c r="T5" s="242">
        <v>433.05288461538447</v>
      </c>
      <c r="U5" s="242">
        <v>0</v>
      </c>
      <c r="V5" s="242">
        <v>540.24999999999989</v>
      </c>
      <c r="W5" s="242">
        <v>0</v>
      </c>
      <c r="X5" s="242">
        <v>318.54629629629636</v>
      </c>
      <c r="Y5" s="242">
        <v>0</v>
      </c>
      <c r="Z5" s="242">
        <v>470.45000000000005</v>
      </c>
      <c r="AA5" s="242">
        <v>0</v>
      </c>
      <c r="AB5" s="242">
        <v>242.92067307692301</v>
      </c>
      <c r="AC5" s="242">
        <v>0</v>
      </c>
      <c r="AD5" s="242">
        <v>0</v>
      </c>
      <c r="AE5" s="242">
        <v>0</v>
      </c>
      <c r="AF5" s="242">
        <v>0</v>
      </c>
      <c r="AG5" s="242">
        <v>0</v>
      </c>
      <c r="AH5" s="242">
        <v>92.374999999999986</v>
      </c>
      <c r="AI5" s="242">
        <v>0</v>
      </c>
      <c r="AJ5" s="242">
        <v>180.67968749999997</v>
      </c>
      <c r="AK5" s="242">
        <v>0</v>
      </c>
      <c r="AL5" s="242">
        <v>173.90046296296291</v>
      </c>
      <c r="AM5" s="242">
        <v>0</v>
      </c>
      <c r="AN5" s="242">
        <v>494.3024999999999</v>
      </c>
      <c r="AO5" s="242">
        <v>0</v>
      </c>
      <c r="AP5" s="242">
        <v>430.08413461538476</v>
      </c>
      <c r="AQ5" s="242">
        <v>0</v>
      </c>
      <c r="AR5" s="242">
        <v>433.05288461538447</v>
      </c>
      <c r="AS5" s="242">
        <v>0</v>
      </c>
      <c r="AT5" s="242">
        <v>540.24999999999989</v>
      </c>
      <c r="AU5" s="242">
        <v>0</v>
      </c>
      <c r="AV5" s="242">
        <v>318.54629629629636</v>
      </c>
      <c r="AW5" s="242">
        <v>0</v>
      </c>
      <c r="AX5" s="242">
        <v>470.45000000000005</v>
      </c>
      <c r="AY5" s="242">
        <v>0</v>
      </c>
    </row>
    <row r="6" spans="1:51">
      <c r="B6" s="232">
        <v>10024</v>
      </c>
      <c r="C6" s="232" t="s">
        <v>9</v>
      </c>
      <c r="D6" s="242">
        <v>11437.810096153868</v>
      </c>
      <c r="E6" s="242">
        <v>0</v>
      </c>
      <c r="F6" s="242">
        <v>21388.077499999996</v>
      </c>
      <c r="G6" s="242">
        <v>0</v>
      </c>
      <c r="H6" s="242">
        <v>34734.161057692298</v>
      </c>
      <c r="I6" s="242">
        <v>0</v>
      </c>
      <c r="J6" s="242">
        <v>24299.255000000001</v>
      </c>
      <c r="K6" s="242">
        <v>0</v>
      </c>
      <c r="L6" s="242">
        <v>1191.5026041666863</v>
      </c>
      <c r="M6" s="242">
        <v>0</v>
      </c>
      <c r="N6" s="242">
        <v>27873.291666666653</v>
      </c>
      <c r="O6" s="242">
        <v>0</v>
      </c>
      <c r="P6" s="242">
        <v>53656.271634615368</v>
      </c>
      <c r="Q6" s="242">
        <v>0</v>
      </c>
      <c r="R6" s="242">
        <v>0</v>
      </c>
      <c r="S6" s="242">
        <v>0</v>
      </c>
      <c r="T6" s="242">
        <v>47383.439903846156</v>
      </c>
      <c r="U6" s="242">
        <v>0</v>
      </c>
      <c r="V6" s="242">
        <v>46907.812500000029</v>
      </c>
      <c r="W6" s="242">
        <v>0</v>
      </c>
      <c r="X6" s="242">
        <v>64714.777777777752</v>
      </c>
      <c r="Y6" s="242">
        <v>0</v>
      </c>
      <c r="Z6" s="242">
        <v>9437.2974999999933</v>
      </c>
      <c r="AA6" s="242">
        <v>0</v>
      </c>
      <c r="AB6" s="242">
        <v>11400.84134615384</v>
      </c>
      <c r="AC6" s="242">
        <v>0</v>
      </c>
      <c r="AD6" s="242">
        <v>21565.58249999999</v>
      </c>
      <c r="AE6" s="242">
        <v>0</v>
      </c>
      <c r="AF6" s="242">
        <v>35724.14423076922</v>
      </c>
      <c r="AG6" s="242">
        <v>0</v>
      </c>
      <c r="AH6" s="242">
        <v>25122.327499999996</v>
      </c>
      <c r="AI6" s="242">
        <v>0</v>
      </c>
      <c r="AJ6" s="242">
        <v>1944.9739583333496</v>
      </c>
      <c r="AK6" s="242">
        <v>0</v>
      </c>
      <c r="AL6" s="242">
        <v>28031.314814814828</v>
      </c>
      <c r="AM6" s="242">
        <v>0</v>
      </c>
      <c r="AN6" s="242">
        <v>46546.39499999999</v>
      </c>
      <c r="AO6" s="242">
        <v>0</v>
      </c>
      <c r="AP6" s="242">
        <v>0</v>
      </c>
      <c r="AQ6" s="242">
        <v>0</v>
      </c>
      <c r="AR6" s="242">
        <v>47864.165865384646</v>
      </c>
      <c r="AS6" s="242">
        <v>0</v>
      </c>
      <c r="AT6" s="242">
        <v>47408.022500000006</v>
      </c>
      <c r="AU6" s="242">
        <v>0</v>
      </c>
      <c r="AV6" s="242">
        <v>65304.960648148182</v>
      </c>
      <c r="AW6" s="242">
        <v>0</v>
      </c>
      <c r="AX6" s="242">
        <v>9675.9150000000245</v>
      </c>
      <c r="AY6" s="242">
        <v>0</v>
      </c>
    </row>
    <row r="7" spans="1:51">
      <c r="B7" s="232">
        <v>10025</v>
      </c>
      <c r="C7" s="232" t="s">
        <v>10</v>
      </c>
      <c r="D7" s="242">
        <v>0</v>
      </c>
      <c r="E7" s="242">
        <v>0</v>
      </c>
      <c r="F7" s="242">
        <v>370.71500000000765</v>
      </c>
      <c r="G7" s="242">
        <v>0</v>
      </c>
      <c r="H7" s="242">
        <v>18440.516826923074</v>
      </c>
      <c r="I7" s="242">
        <v>0</v>
      </c>
      <c r="J7" s="242">
        <v>7159.8599999999951</v>
      </c>
      <c r="K7" s="242">
        <v>0</v>
      </c>
      <c r="L7" s="242">
        <v>106.67708333333792</v>
      </c>
      <c r="M7" s="242">
        <v>0</v>
      </c>
      <c r="N7" s="242">
        <v>3388.8703703703732</v>
      </c>
      <c r="O7" s="242">
        <v>0</v>
      </c>
      <c r="P7" s="242">
        <v>0</v>
      </c>
      <c r="Q7" s="242">
        <v>0</v>
      </c>
      <c r="R7" s="242">
        <v>1003.6500000000003</v>
      </c>
      <c r="S7" s="242">
        <v>0</v>
      </c>
      <c r="T7" s="242">
        <v>9306.2908653846152</v>
      </c>
      <c r="U7" s="242">
        <v>0</v>
      </c>
      <c r="V7" s="242">
        <v>14186.707500000006</v>
      </c>
      <c r="W7" s="242">
        <v>0</v>
      </c>
      <c r="X7" s="242">
        <v>18338.532407407398</v>
      </c>
      <c r="Y7" s="242">
        <v>0</v>
      </c>
      <c r="Z7" s="242">
        <v>8120.7749999999996</v>
      </c>
      <c r="AA7" s="242">
        <v>0</v>
      </c>
      <c r="AB7" s="242">
        <v>0</v>
      </c>
      <c r="AC7" s="242">
        <v>0</v>
      </c>
      <c r="AD7" s="242">
        <v>195.69000000000258</v>
      </c>
      <c r="AE7" s="242">
        <v>0</v>
      </c>
      <c r="AF7" s="242">
        <v>18527.360576923074</v>
      </c>
      <c r="AG7" s="242">
        <v>0</v>
      </c>
      <c r="AH7" s="242">
        <v>7438.6250000000018</v>
      </c>
      <c r="AI7" s="242">
        <v>0</v>
      </c>
      <c r="AJ7" s="242">
        <v>137.7786458333361</v>
      </c>
      <c r="AK7" s="242">
        <v>0</v>
      </c>
      <c r="AL7" s="242">
        <v>3369.0810185185178</v>
      </c>
      <c r="AM7" s="242">
        <v>0</v>
      </c>
      <c r="AN7" s="242">
        <v>0</v>
      </c>
      <c r="AO7" s="242">
        <v>0</v>
      </c>
      <c r="AP7" s="242">
        <v>3632.5913461538375</v>
      </c>
      <c r="AQ7" s="242">
        <v>0</v>
      </c>
      <c r="AR7" s="242">
        <v>9200.9807692307731</v>
      </c>
      <c r="AS7" s="242">
        <v>0</v>
      </c>
      <c r="AT7" s="242">
        <v>14119.91</v>
      </c>
      <c r="AU7" s="242">
        <v>0</v>
      </c>
      <c r="AV7" s="242">
        <v>18291.134259259266</v>
      </c>
      <c r="AW7" s="242">
        <v>0</v>
      </c>
      <c r="AX7" s="242">
        <v>8050.0049999999901</v>
      </c>
      <c r="AY7" s="242">
        <v>0</v>
      </c>
    </row>
    <row r="8" spans="1:51">
      <c r="B8" s="232">
        <v>10027</v>
      </c>
      <c r="C8" s="232" t="s">
        <v>11</v>
      </c>
      <c r="D8" s="242">
        <v>11454.822115384601</v>
      </c>
      <c r="E8" s="242">
        <v>0</v>
      </c>
      <c r="F8" s="242">
        <v>5364.2349999999969</v>
      </c>
      <c r="G8" s="242">
        <v>0</v>
      </c>
      <c r="H8" s="242">
        <v>10355.766826923076</v>
      </c>
      <c r="I8" s="242">
        <v>0</v>
      </c>
      <c r="J8" s="242">
        <v>4193.7500000000045</v>
      </c>
      <c r="K8" s="242">
        <v>0</v>
      </c>
      <c r="L8" s="242">
        <v>1384.0130208333292</v>
      </c>
      <c r="M8" s="242">
        <v>0</v>
      </c>
      <c r="N8" s="242">
        <v>8935.8379629629562</v>
      </c>
      <c r="O8" s="242">
        <v>0</v>
      </c>
      <c r="P8" s="242">
        <v>27858.218749999996</v>
      </c>
      <c r="Q8" s="242">
        <v>0</v>
      </c>
      <c r="R8" s="242">
        <v>8802.6874999999982</v>
      </c>
      <c r="S8" s="242">
        <v>0</v>
      </c>
      <c r="T8" s="242">
        <v>6875.870192307676</v>
      </c>
      <c r="U8" s="242">
        <v>0</v>
      </c>
      <c r="V8" s="242">
        <v>10107.990000000009</v>
      </c>
      <c r="W8" s="242">
        <v>0</v>
      </c>
      <c r="X8" s="242">
        <v>23605.553240740745</v>
      </c>
      <c r="Y8" s="242">
        <v>0</v>
      </c>
      <c r="Z8" s="242">
        <v>13691.047499999995</v>
      </c>
      <c r="AA8" s="242">
        <v>0</v>
      </c>
      <c r="AB8" s="242">
        <v>11920.663461538454</v>
      </c>
      <c r="AC8" s="242">
        <v>0</v>
      </c>
      <c r="AD8" s="242">
        <v>5828.1675000000032</v>
      </c>
      <c r="AE8" s="242">
        <v>0</v>
      </c>
      <c r="AF8" s="242">
        <v>10832.769230769234</v>
      </c>
      <c r="AG8" s="242">
        <v>0</v>
      </c>
      <c r="AH8" s="242">
        <v>4657.4849999999979</v>
      </c>
      <c r="AI8" s="242">
        <v>0</v>
      </c>
      <c r="AJ8" s="242">
        <v>2849.4895833333303</v>
      </c>
      <c r="AK8" s="242">
        <v>0</v>
      </c>
      <c r="AL8" s="242">
        <v>9411.6597222222263</v>
      </c>
      <c r="AM8" s="242">
        <v>0</v>
      </c>
      <c r="AN8" s="242">
        <v>26325.404999999992</v>
      </c>
      <c r="AO8" s="242">
        <v>0</v>
      </c>
      <c r="AP8" s="242">
        <v>12944.459134615392</v>
      </c>
      <c r="AQ8" s="242">
        <v>0</v>
      </c>
      <c r="AR8" s="242">
        <v>7343.4879807692432</v>
      </c>
      <c r="AS8" s="242">
        <v>0</v>
      </c>
      <c r="AT8" s="242">
        <v>10574.592500000001</v>
      </c>
      <c r="AU8" s="242">
        <v>0</v>
      </c>
      <c r="AV8" s="242">
        <v>24082.745370370372</v>
      </c>
      <c r="AW8" s="242">
        <v>0</v>
      </c>
      <c r="AX8" s="242">
        <v>14157.804999999995</v>
      </c>
      <c r="AY8" s="242">
        <v>0</v>
      </c>
    </row>
    <row r="9" spans="1:51">
      <c r="B9" s="232">
        <v>10029</v>
      </c>
      <c r="C9" s="232" t="s">
        <v>12</v>
      </c>
      <c r="D9" s="242">
        <v>0</v>
      </c>
      <c r="E9" s="242">
        <v>0</v>
      </c>
      <c r="F9" s="242">
        <v>0</v>
      </c>
      <c r="G9" s="242">
        <v>0</v>
      </c>
      <c r="H9" s="242">
        <v>0</v>
      </c>
      <c r="I9" s="242">
        <v>0</v>
      </c>
      <c r="J9" s="242">
        <v>0</v>
      </c>
      <c r="K9" s="242">
        <v>0</v>
      </c>
      <c r="L9" s="242">
        <v>0</v>
      </c>
      <c r="M9" s="242">
        <v>0</v>
      </c>
      <c r="N9" s="242">
        <v>0</v>
      </c>
      <c r="O9" s="242">
        <v>0</v>
      </c>
      <c r="P9" s="242">
        <v>0</v>
      </c>
      <c r="Q9" s="242">
        <v>0</v>
      </c>
      <c r="R9" s="242">
        <v>0</v>
      </c>
      <c r="S9" s="242">
        <v>0</v>
      </c>
      <c r="T9" s="242">
        <v>0</v>
      </c>
      <c r="U9" s="242">
        <v>0</v>
      </c>
      <c r="V9" s="242">
        <v>0</v>
      </c>
      <c r="W9" s="242">
        <v>0</v>
      </c>
      <c r="X9" s="242">
        <v>0</v>
      </c>
      <c r="Y9" s="242">
        <v>0</v>
      </c>
      <c r="Z9" s="242">
        <v>0</v>
      </c>
      <c r="AA9" s="242">
        <v>0</v>
      </c>
      <c r="AB9" s="242">
        <v>0</v>
      </c>
      <c r="AC9" s="242">
        <v>0</v>
      </c>
      <c r="AD9" s="242">
        <v>0</v>
      </c>
      <c r="AE9" s="242">
        <v>0</v>
      </c>
      <c r="AF9" s="242">
        <v>0</v>
      </c>
      <c r="AG9" s="242">
        <v>0</v>
      </c>
      <c r="AH9" s="242">
        <v>0</v>
      </c>
      <c r="AI9" s="242">
        <v>0</v>
      </c>
      <c r="AJ9" s="242">
        <v>0</v>
      </c>
      <c r="AK9" s="242">
        <v>0</v>
      </c>
      <c r="AL9" s="242">
        <v>0</v>
      </c>
      <c r="AM9" s="242">
        <v>0</v>
      </c>
      <c r="AN9" s="242">
        <v>0</v>
      </c>
      <c r="AO9" s="242">
        <v>0</v>
      </c>
      <c r="AP9" s="242">
        <v>0</v>
      </c>
      <c r="AQ9" s="242">
        <v>0</v>
      </c>
      <c r="AR9" s="242">
        <v>0</v>
      </c>
      <c r="AS9" s="242">
        <v>0</v>
      </c>
      <c r="AT9" s="242">
        <v>0</v>
      </c>
      <c r="AU9" s="242">
        <v>0</v>
      </c>
      <c r="AV9" s="242">
        <v>0</v>
      </c>
      <c r="AW9" s="242">
        <v>0</v>
      </c>
      <c r="AX9" s="242">
        <v>0</v>
      </c>
      <c r="AY9" s="242">
        <v>0</v>
      </c>
    </row>
    <row r="10" spans="1:51">
      <c r="B10" s="232">
        <v>10044</v>
      </c>
      <c r="C10" s="232" t="s">
        <v>13</v>
      </c>
      <c r="D10" s="242">
        <v>0</v>
      </c>
      <c r="E10" s="242">
        <v>0</v>
      </c>
      <c r="F10" s="242">
        <v>1082.9525000000056</v>
      </c>
      <c r="G10" s="242">
        <v>0</v>
      </c>
      <c r="H10" s="242">
        <v>2524.3894230769247</v>
      </c>
      <c r="I10" s="242">
        <v>0</v>
      </c>
      <c r="J10" s="242">
        <v>0</v>
      </c>
      <c r="K10" s="242">
        <v>0</v>
      </c>
      <c r="L10" s="242">
        <v>2726.5078124999986</v>
      </c>
      <c r="M10" s="242">
        <v>0</v>
      </c>
      <c r="N10" s="242">
        <v>2706.4791666666733</v>
      </c>
      <c r="O10" s="242">
        <v>0</v>
      </c>
      <c r="P10" s="242">
        <v>0</v>
      </c>
      <c r="Q10" s="242">
        <v>0</v>
      </c>
      <c r="R10" s="242">
        <v>799.93000000000382</v>
      </c>
      <c r="S10" s="242">
        <v>0</v>
      </c>
      <c r="T10" s="242">
        <v>6069.8124999999964</v>
      </c>
      <c r="U10" s="242">
        <v>0</v>
      </c>
      <c r="V10" s="242">
        <v>1759.4899999999996</v>
      </c>
      <c r="W10" s="242">
        <v>0</v>
      </c>
      <c r="X10" s="242">
        <v>5528.9074074074088</v>
      </c>
      <c r="Y10" s="242">
        <v>0</v>
      </c>
      <c r="Z10" s="242">
        <v>6132.5375000000022</v>
      </c>
      <c r="AA10" s="242">
        <v>0</v>
      </c>
      <c r="AB10" s="242">
        <v>0</v>
      </c>
      <c r="AC10" s="242">
        <v>0</v>
      </c>
      <c r="AD10" s="242">
        <v>984.07</v>
      </c>
      <c r="AE10" s="242">
        <v>0</v>
      </c>
      <c r="AF10" s="242">
        <v>2391.9567307692296</v>
      </c>
      <c r="AG10" s="242">
        <v>0</v>
      </c>
      <c r="AH10" s="242">
        <v>0</v>
      </c>
      <c r="AI10" s="242">
        <v>0</v>
      </c>
      <c r="AJ10" s="242">
        <v>3756.1145833333312</v>
      </c>
      <c r="AK10" s="242">
        <v>0</v>
      </c>
      <c r="AL10" s="242">
        <v>2595.7384259259284</v>
      </c>
      <c r="AM10" s="242">
        <v>0</v>
      </c>
      <c r="AN10" s="242">
        <v>0</v>
      </c>
      <c r="AO10" s="242">
        <v>0</v>
      </c>
      <c r="AP10" s="242">
        <v>1637.5961538461543</v>
      </c>
      <c r="AQ10" s="242">
        <v>0</v>
      </c>
      <c r="AR10" s="242">
        <v>6038.7884615384546</v>
      </c>
      <c r="AS10" s="242">
        <v>0</v>
      </c>
      <c r="AT10" s="242">
        <v>1704.1725000000056</v>
      </c>
      <c r="AU10" s="242">
        <v>0</v>
      </c>
      <c r="AV10" s="242">
        <v>6334.7916666666633</v>
      </c>
      <c r="AW10" s="242">
        <v>0</v>
      </c>
      <c r="AX10" s="242">
        <v>5290.4550000000027</v>
      </c>
      <c r="AY10" s="242">
        <v>0</v>
      </c>
    </row>
    <row r="11" spans="1:51">
      <c r="B11" s="232">
        <v>10046</v>
      </c>
      <c r="C11" s="232" t="s">
        <v>14</v>
      </c>
      <c r="D11" s="242">
        <v>0</v>
      </c>
      <c r="E11" s="242">
        <v>0</v>
      </c>
      <c r="F11" s="242">
        <v>0</v>
      </c>
      <c r="G11" s="242">
        <v>0</v>
      </c>
      <c r="H11" s="242">
        <v>0</v>
      </c>
      <c r="I11" s="242">
        <v>0</v>
      </c>
      <c r="J11" s="242">
        <v>0</v>
      </c>
      <c r="K11" s="242">
        <v>0</v>
      </c>
      <c r="L11" s="242">
        <v>0</v>
      </c>
      <c r="M11" s="242">
        <v>0</v>
      </c>
      <c r="N11" s="242">
        <v>0</v>
      </c>
      <c r="O11" s="242">
        <v>0</v>
      </c>
      <c r="P11" s="242">
        <v>0</v>
      </c>
      <c r="Q11" s="242">
        <v>0</v>
      </c>
      <c r="R11" s="242">
        <v>0</v>
      </c>
      <c r="S11" s="242">
        <v>0</v>
      </c>
      <c r="T11" s="242">
        <v>0</v>
      </c>
      <c r="U11" s="242">
        <v>0</v>
      </c>
      <c r="V11" s="242">
        <v>0</v>
      </c>
      <c r="W11" s="242">
        <v>0</v>
      </c>
      <c r="X11" s="242">
        <v>0</v>
      </c>
      <c r="Y11" s="242">
        <v>0</v>
      </c>
      <c r="Z11" s="242">
        <v>0</v>
      </c>
      <c r="AA11" s="242">
        <v>0</v>
      </c>
      <c r="AB11" s="242">
        <v>0</v>
      </c>
      <c r="AC11" s="242">
        <v>0</v>
      </c>
      <c r="AD11" s="242">
        <v>0</v>
      </c>
      <c r="AE11" s="242">
        <v>0</v>
      </c>
      <c r="AF11" s="242">
        <v>0</v>
      </c>
      <c r="AG11" s="242">
        <v>0</v>
      </c>
      <c r="AH11" s="242">
        <v>0</v>
      </c>
      <c r="AI11" s="242">
        <v>0</v>
      </c>
      <c r="AJ11" s="242">
        <v>0</v>
      </c>
      <c r="AK11" s="242">
        <v>0</v>
      </c>
      <c r="AL11" s="242">
        <v>0</v>
      </c>
      <c r="AM11" s="242">
        <v>0</v>
      </c>
      <c r="AN11" s="242">
        <v>0</v>
      </c>
      <c r="AO11" s="242">
        <v>0</v>
      </c>
      <c r="AP11" s="242">
        <v>0</v>
      </c>
      <c r="AQ11" s="242">
        <v>0</v>
      </c>
      <c r="AR11" s="242">
        <v>0</v>
      </c>
      <c r="AS11" s="242">
        <v>0</v>
      </c>
      <c r="AT11" s="242">
        <v>0</v>
      </c>
      <c r="AU11" s="242">
        <v>0</v>
      </c>
      <c r="AV11" s="242">
        <v>0</v>
      </c>
      <c r="AW11" s="242">
        <v>0</v>
      </c>
      <c r="AX11" s="242">
        <v>0</v>
      </c>
      <c r="AY11" s="242">
        <v>0</v>
      </c>
    </row>
    <row r="12" spans="1:51">
      <c r="B12" s="232">
        <v>10047</v>
      </c>
      <c r="C12" s="232" t="s">
        <v>15</v>
      </c>
      <c r="D12" s="242">
        <v>0</v>
      </c>
      <c r="E12" s="242">
        <v>0</v>
      </c>
      <c r="F12" s="242">
        <v>7846.1125000000247</v>
      </c>
      <c r="G12" s="242">
        <v>0</v>
      </c>
      <c r="H12" s="242">
        <v>19062.137019230762</v>
      </c>
      <c r="I12" s="242">
        <v>0</v>
      </c>
      <c r="J12" s="242">
        <v>0</v>
      </c>
      <c r="K12" s="242">
        <v>0</v>
      </c>
      <c r="L12" s="242">
        <v>6644.6067708333203</v>
      </c>
      <c r="M12" s="242">
        <v>0</v>
      </c>
      <c r="N12" s="242">
        <v>29710.148148148135</v>
      </c>
      <c r="O12" s="242">
        <v>0</v>
      </c>
      <c r="P12" s="242">
        <v>22165.302884615379</v>
      </c>
      <c r="Q12" s="242">
        <v>0</v>
      </c>
      <c r="R12" s="242">
        <v>5029.5824999999932</v>
      </c>
      <c r="S12" s="242">
        <v>0</v>
      </c>
      <c r="T12" s="242">
        <v>18522.052884615368</v>
      </c>
      <c r="U12" s="242">
        <v>0</v>
      </c>
      <c r="V12" s="242">
        <v>0</v>
      </c>
      <c r="W12" s="242">
        <v>0</v>
      </c>
      <c r="X12" s="242">
        <v>8547.1550925925894</v>
      </c>
      <c r="Y12" s="242">
        <v>0</v>
      </c>
      <c r="Z12" s="242">
        <v>13180.297499999999</v>
      </c>
      <c r="AA12" s="242">
        <v>0</v>
      </c>
      <c r="AB12" s="242">
        <v>0</v>
      </c>
      <c r="AC12" s="242">
        <v>0</v>
      </c>
      <c r="AD12" s="242">
        <v>7638.4575000000086</v>
      </c>
      <c r="AE12" s="242">
        <v>0</v>
      </c>
      <c r="AF12" s="242">
        <v>18824.362980769223</v>
      </c>
      <c r="AG12" s="242">
        <v>0</v>
      </c>
      <c r="AH12" s="242">
        <v>0</v>
      </c>
      <c r="AI12" s="242">
        <v>0</v>
      </c>
      <c r="AJ12" s="242">
        <v>13630.731770833336</v>
      </c>
      <c r="AK12" s="242">
        <v>0</v>
      </c>
      <c r="AL12" s="242">
        <v>29501.435185185186</v>
      </c>
      <c r="AM12" s="242">
        <v>0</v>
      </c>
      <c r="AN12" s="242">
        <v>15502.807499999981</v>
      </c>
      <c r="AO12" s="242">
        <v>0</v>
      </c>
      <c r="AP12" s="242">
        <v>10341.314903846143</v>
      </c>
      <c r="AQ12" s="242">
        <v>0</v>
      </c>
      <c r="AR12" s="242">
        <v>18358.329326923078</v>
      </c>
      <c r="AS12" s="242">
        <v>0</v>
      </c>
      <c r="AT12" s="242">
        <v>0</v>
      </c>
      <c r="AU12" s="242">
        <v>0</v>
      </c>
      <c r="AV12" s="242">
        <v>13520.155092592575</v>
      </c>
      <c r="AW12" s="242">
        <v>0</v>
      </c>
      <c r="AX12" s="242">
        <v>7493.5299999999961</v>
      </c>
      <c r="AY12" s="242">
        <v>0</v>
      </c>
    </row>
    <row r="13" spans="1:51">
      <c r="B13" s="232">
        <v>10055</v>
      </c>
      <c r="C13" s="232" t="s">
        <v>16</v>
      </c>
      <c r="D13" s="242">
        <v>86.908653846153811</v>
      </c>
      <c r="E13" s="242">
        <v>0</v>
      </c>
      <c r="F13" s="242">
        <v>0</v>
      </c>
      <c r="G13" s="242">
        <v>0</v>
      </c>
      <c r="H13" s="242">
        <v>243.44230769230771</v>
      </c>
      <c r="I13" s="242">
        <v>0</v>
      </c>
      <c r="J13" s="242">
        <v>149.82999999999996</v>
      </c>
      <c r="K13" s="242">
        <v>0</v>
      </c>
      <c r="L13" s="242">
        <v>37.369791666666735</v>
      </c>
      <c r="M13" s="242">
        <v>0</v>
      </c>
      <c r="N13" s="242">
        <v>86.881944444444528</v>
      </c>
      <c r="O13" s="242">
        <v>0</v>
      </c>
      <c r="P13" s="242">
        <v>0</v>
      </c>
      <c r="Q13" s="242">
        <v>0</v>
      </c>
      <c r="R13" s="242">
        <v>0</v>
      </c>
      <c r="S13" s="242">
        <v>0</v>
      </c>
      <c r="T13" s="242">
        <v>10.574519230769269</v>
      </c>
      <c r="U13" s="242">
        <v>0</v>
      </c>
      <c r="V13" s="242">
        <v>12.797499999999955</v>
      </c>
      <c r="W13" s="242">
        <v>0</v>
      </c>
      <c r="X13" s="242">
        <v>37.930555555555578</v>
      </c>
      <c r="Y13" s="242">
        <v>0</v>
      </c>
      <c r="Z13" s="242">
        <v>0</v>
      </c>
      <c r="AA13" s="242">
        <v>0</v>
      </c>
      <c r="AB13" s="242">
        <v>72.954326923076962</v>
      </c>
      <c r="AC13" s="242">
        <v>0</v>
      </c>
      <c r="AD13" s="242">
        <v>0</v>
      </c>
      <c r="AE13" s="242">
        <v>0</v>
      </c>
      <c r="AF13" s="242">
        <v>243.44230769230771</v>
      </c>
      <c r="AG13" s="242">
        <v>0</v>
      </c>
      <c r="AH13" s="242">
        <v>149.82999999999996</v>
      </c>
      <c r="AI13" s="242">
        <v>0</v>
      </c>
      <c r="AJ13" s="242">
        <v>58.791666666666771</v>
      </c>
      <c r="AK13" s="242">
        <v>0</v>
      </c>
      <c r="AL13" s="242">
        <v>86.881944444444528</v>
      </c>
      <c r="AM13" s="242">
        <v>0</v>
      </c>
      <c r="AN13" s="242">
        <v>0</v>
      </c>
      <c r="AO13" s="242">
        <v>0</v>
      </c>
      <c r="AP13" s="242">
        <v>0</v>
      </c>
      <c r="AQ13" s="242">
        <v>0</v>
      </c>
      <c r="AR13" s="242">
        <v>10.574519230769269</v>
      </c>
      <c r="AS13" s="242">
        <v>0</v>
      </c>
      <c r="AT13" s="242">
        <v>12.797499999999955</v>
      </c>
      <c r="AU13" s="242">
        <v>0</v>
      </c>
      <c r="AV13" s="242">
        <v>48.835648148148117</v>
      </c>
      <c r="AW13" s="242">
        <v>0</v>
      </c>
      <c r="AX13" s="242">
        <v>0</v>
      </c>
      <c r="AY13" s="242">
        <v>0</v>
      </c>
    </row>
    <row r="14" spans="1:51">
      <c r="B14" s="232">
        <v>10057</v>
      </c>
      <c r="C14" s="232" t="s">
        <v>17</v>
      </c>
      <c r="D14" s="242">
        <v>0</v>
      </c>
      <c r="E14" s="242">
        <v>0</v>
      </c>
      <c r="F14" s="242">
        <v>0</v>
      </c>
      <c r="G14" s="242">
        <v>0</v>
      </c>
      <c r="H14" s="242">
        <v>1585.2451923076885</v>
      </c>
      <c r="I14" s="242">
        <v>0</v>
      </c>
      <c r="J14" s="242">
        <v>0</v>
      </c>
      <c r="K14" s="242">
        <v>0</v>
      </c>
      <c r="L14" s="242">
        <v>672.03125000000341</v>
      </c>
      <c r="M14" s="242">
        <v>0</v>
      </c>
      <c r="N14" s="242">
        <v>3021.138888888891</v>
      </c>
      <c r="O14" s="242">
        <v>0</v>
      </c>
      <c r="P14" s="242">
        <v>1496.2427884615402</v>
      </c>
      <c r="Q14" s="242">
        <v>0</v>
      </c>
      <c r="R14" s="242">
        <v>0</v>
      </c>
      <c r="S14" s="242">
        <v>0</v>
      </c>
      <c r="T14" s="242">
        <v>5167.4014423076942</v>
      </c>
      <c r="U14" s="242">
        <v>0</v>
      </c>
      <c r="V14" s="242">
        <v>171.02499999999665</v>
      </c>
      <c r="W14" s="242">
        <v>0</v>
      </c>
      <c r="X14" s="242">
        <v>2433.2523148148139</v>
      </c>
      <c r="Y14" s="242">
        <v>0</v>
      </c>
      <c r="Z14" s="242">
        <v>0</v>
      </c>
      <c r="AA14" s="242">
        <v>0</v>
      </c>
      <c r="AB14" s="242">
        <v>0</v>
      </c>
      <c r="AC14" s="242">
        <v>0</v>
      </c>
      <c r="AD14" s="242">
        <v>0</v>
      </c>
      <c r="AE14" s="242">
        <v>0</v>
      </c>
      <c r="AF14" s="242">
        <v>1585.2451923076885</v>
      </c>
      <c r="AG14" s="242">
        <v>0</v>
      </c>
      <c r="AH14" s="242">
        <v>0</v>
      </c>
      <c r="AI14" s="242">
        <v>0</v>
      </c>
      <c r="AJ14" s="242">
        <v>1674.1718750000025</v>
      </c>
      <c r="AK14" s="242">
        <v>0</v>
      </c>
      <c r="AL14" s="242">
        <v>3021.138888888891</v>
      </c>
      <c r="AM14" s="242">
        <v>0</v>
      </c>
      <c r="AN14" s="242">
        <v>677.13250000000255</v>
      </c>
      <c r="AO14" s="242">
        <v>0</v>
      </c>
      <c r="AP14" s="242">
        <v>0</v>
      </c>
      <c r="AQ14" s="242">
        <v>0</v>
      </c>
      <c r="AR14" s="242">
        <v>5167.4014423076942</v>
      </c>
      <c r="AS14" s="242">
        <v>0</v>
      </c>
      <c r="AT14" s="242">
        <v>171.02499999999665</v>
      </c>
      <c r="AU14" s="242">
        <v>0</v>
      </c>
      <c r="AV14" s="242">
        <v>3279.673611111109</v>
      </c>
      <c r="AW14" s="242">
        <v>0</v>
      </c>
      <c r="AX14" s="242">
        <v>0</v>
      </c>
      <c r="AY14" s="242">
        <v>0</v>
      </c>
    </row>
    <row r="15" spans="1:51">
      <c r="B15" s="232">
        <v>10059</v>
      </c>
      <c r="C15" s="232" t="s">
        <v>18</v>
      </c>
      <c r="D15" s="242">
        <v>0</v>
      </c>
      <c r="E15" s="242">
        <v>0</v>
      </c>
      <c r="F15" s="242">
        <v>104.2500000000004</v>
      </c>
      <c r="G15" s="242">
        <v>0</v>
      </c>
      <c r="H15" s="242">
        <v>1996.1947115384614</v>
      </c>
      <c r="I15" s="242">
        <v>0</v>
      </c>
      <c r="J15" s="242">
        <v>2282.9899999999989</v>
      </c>
      <c r="K15" s="242">
        <v>0</v>
      </c>
      <c r="L15" s="242">
        <v>414.83854166666578</v>
      </c>
      <c r="M15" s="242">
        <v>0</v>
      </c>
      <c r="N15" s="242">
        <v>2412.2731481481469</v>
      </c>
      <c r="O15" s="242">
        <v>0</v>
      </c>
      <c r="P15" s="242">
        <v>1154.3437500000011</v>
      </c>
      <c r="Q15" s="242">
        <v>0</v>
      </c>
      <c r="R15" s="242">
        <v>0</v>
      </c>
      <c r="S15" s="242">
        <v>0</v>
      </c>
      <c r="T15" s="242">
        <v>945.5096153846157</v>
      </c>
      <c r="U15" s="242">
        <v>0</v>
      </c>
      <c r="V15" s="242">
        <v>173.78750000000053</v>
      </c>
      <c r="W15" s="242">
        <v>0</v>
      </c>
      <c r="X15" s="242">
        <v>487.87037037037038</v>
      </c>
      <c r="Y15" s="242">
        <v>0</v>
      </c>
      <c r="Z15" s="242">
        <v>546.55499999999927</v>
      </c>
      <c r="AA15" s="242">
        <v>0</v>
      </c>
      <c r="AB15" s="242">
        <v>0</v>
      </c>
      <c r="AC15" s="242">
        <v>0</v>
      </c>
      <c r="AD15" s="242">
        <v>104.2500000000004</v>
      </c>
      <c r="AE15" s="242">
        <v>0</v>
      </c>
      <c r="AF15" s="242">
        <v>1996.1947115384614</v>
      </c>
      <c r="AG15" s="242">
        <v>0</v>
      </c>
      <c r="AH15" s="242">
        <v>2282.9899999999989</v>
      </c>
      <c r="AI15" s="242">
        <v>0</v>
      </c>
      <c r="AJ15" s="242">
        <v>859.03645833333451</v>
      </c>
      <c r="AK15" s="242">
        <v>0</v>
      </c>
      <c r="AL15" s="242">
        <v>2412.2731481481469</v>
      </c>
      <c r="AM15" s="242">
        <v>0</v>
      </c>
      <c r="AN15" s="242">
        <v>810.23749999999995</v>
      </c>
      <c r="AO15" s="242">
        <v>0</v>
      </c>
      <c r="AP15" s="242">
        <v>0</v>
      </c>
      <c r="AQ15" s="242">
        <v>0</v>
      </c>
      <c r="AR15" s="242">
        <v>945.5096153846157</v>
      </c>
      <c r="AS15" s="242">
        <v>0</v>
      </c>
      <c r="AT15" s="242">
        <v>173.78750000000053</v>
      </c>
      <c r="AU15" s="242">
        <v>0</v>
      </c>
      <c r="AV15" s="242">
        <v>737.15972222222126</v>
      </c>
      <c r="AW15" s="242">
        <v>0</v>
      </c>
      <c r="AX15" s="242">
        <v>272.98749999999882</v>
      </c>
      <c r="AY15" s="242">
        <v>0</v>
      </c>
    </row>
    <row r="16" spans="1:51">
      <c r="B16" s="232">
        <v>10061</v>
      </c>
      <c r="C16" s="232" t="s">
        <v>19</v>
      </c>
      <c r="D16" s="242">
        <v>638.14663461538407</v>
      </c>
      <c r="E16" s="242">
        <v>0</v>
      </c>
      <c r="F16" s="242">
        <v>912.92249999999967</v>
      </c>
      <c r="G16" s="242">
        <v>0</v>
      </c>
      <c r="H16" s="242">
        <v>1715.0336538461534</v>
      </c>
      <c r="I16" s="242">
        <v>0</v>
      </c>
      <c r="J16" s="242">
        <v>849.91499999999928</v>
      </c>
      <c r="K16" s="242">
        <v>0</v>
      </c>
      <c r="L16" s="242">
        <v>66.005208333334451</v>
      </c>
      <c r="M16" s="242">
        <v>0</v>
      </c>
      <c r="N16" s="242">
        <v>1737.0300925925917</v>
      </c>
      <c r="O16" s="242">
        <v>0</v>
      </c>
      <c r="P16" s="242">
        <v>874.61778846153697</v>
      </c>
      <c r="Q16" s="242">
        <v>0</v>
      </c>
      <c r="R16" s="242">
        <v>450.14999999999907</v>
      </c>
      <c r="S16" s="242">
        <v>0</v>
      </c>
      <c r="T16" s="242">
        <v>1632.8173076923063</v>
      </c>
      <c r="U16" s="242">
        <v>0</v>
      </c>
      <c r="V16" s="242">
        <v>794.47000000000162</v>
      </c>
      <c r="W16" s="242">
        <v>0</v>
      </c>
      <c r="X16" s="242">
        <v>1568.1041666666677</v>
      </c>
      <c r="Y16" s="242">
        <v>0</v>
      </c>
      <c r="Z16" s="242">
        <v>1470.2124999999999</v>
      </c>
      <c r="AA16" s="242">
        <v>0</v>
      </c>
      <c r="AB16" s="242">
        <v>273.46153846153862</v>
      </c>
      <c r="AC16" s="242">
        <v>0</v>
      </c>
      <c r="AD16" s="242">
        <v>941.97500000000025</v>
      </c>
      <c r="AE16" s="242">
        <v>0</v>
      </c>
      <c r="AF16" s="242">
        <v>1742.4495192307684</v>
      </c>
      <c r="AG16" s="242">
        <v>0</v>
      </c>
      <c r="AH16" s="242">
        <v>859.91000000000111</v>
      </c>
      <c r="AI16" s="242">
        <v>0</v>
      </c>
      <c r="AJ16" s="242">
        <v>1172.6744791666672</v>
      </c>
      <c r="AK16" s="242">
        <v>0</v>
      </c>
      <c r="AL16" s="242">
        <v>1751.9745370370372</v>
      </c>
      <c r="AM16" s="242">
        <v>0</v>
      </c>
      <c r="AN16" s="242">
        <v>479.93499999999955</v>
      </c>
      <c r="AO16" s="242">
        <v>0</v>
      </c>
      <c r="AP16" s="242">
        <v>828.50961538461661</v>
      </c>
      <c r="AQ16" s="242">
        <v>0</v>
      </c>
      <c r="AR16" s="242">
        <v>1643.0961538461534</v>
      </c>
      <c r="AS16" s="242">
        <v>0</v>
      </c>
      <c r="AT16" s="242">
        <v>801.49000000000046</v>
      </c>
      <c r="AU16" s="242">
        <v>0</v>
      </c>
      <c r="AV16" s="242">
        <v>1916.7037037037048</v>
      </c>
      <c r="AW16" s="242">
        <v>0</v>
      </c>
      <c r="AX16" s="242">
        <v>1106.872499999999</v>
      </c>
      <c r="AY16" s="242">
        <v>0</v>
      </c>
    </row>
    <row r="17" spans="2:51">
      <c r="B17" s="232">
        <v>10062</v>
      </c>
      <c r="C17" s="232" t="s">
        <v>20</v>
      </c>
      <c r="D17" s="242">
        <v>0</v>
      </c>
      <c r="E17" s="242">
        <v>0</v>
      </c>
      <c r="F17" s="242">
        <v>1009.2649999999994</v>
      </c>
      <c r="G17" s="242">
        <v>0</v>
      </c>
      <c r="H17" s="242">
        <v>1965.4543269230785</v>
      </c>
      <c r="I17" s="242">
        <v>0</v>
      </c>
      <c r="J17" s="242">
        <v>114.64750000000068</v>
      </c>
      <c r="K17" s="242">
        <v>0</v>
      </c>
      <c r="L17" s="242">
        <v>385.22135416666623</v>
      </c>
      <c r="M17" s="242">
        <v>0</v>
      </c>
      <c r="N17" s="242">
        <v>532.35185185185219</v>
      </c>
      <c r="O17" s="242">
        <v>0</v>
      </c>
      <c r="P17" s="242">
        <v>932.03605769230705</v>
      </c>
      <c r="Q17" s="242">
        <v>0</v>
      </c>
      <c r="R17" s="242">
        <v>852.04500000000064</v>
      </c>
      <c r="S17" s="242">
        <v>0</v>
      </c>
      <c r="T17" s="242">
        <v>454.28365384615364</v>
      </c>
      <c r="U17" s="242">
        <v>0</v>
      </c>
      <c r="V17" s="242">
        <v>677.09500000000139</v>
      </c>
      <c r="W17" s="242">
        <v>0</v>
      </c>
      <c r="X17" s="242">
        <v>936.20833333333371</v>
      </c>
      <c r="Y17" s="242">
        <v>0</v>
      </c>
      <c r="Z17" s="242">
        <v>667.00249999999949</v>
      </c>
      <c r="AA17" s="242">
        <v>0</v>
      </c>
      <c r="AB17" s="242">
        <v>0</v>
      </c>
      <c r="AC17" s="242">
        <v>0</v>
      </c>
      <c r="AD17" s="242">
        <v>1002.7449999999993</v>
      </c>
      <c r="AE17" s="242">
        <v>0</v>
      </c>
      <c r="AF17" s="242">
        <v>1963.6995192307688</v>
      </c>
      <c r="AG17" s="242">
        <v>0</v>
      </c>
      <c r="AH17" s="242">
        <v>115.20749999999902</v>
      </c>
      <c r="AI17" s="242">
        <v>0</v>
      </c>
      <c r="AJ17" s="242">
        <v>1014.794270833332</v>
      </c>
      <c r="AK17" s="242">
        <v>0</v>
      </c>
      <c r="AL17" s="242">
        <v>539.48611111111222</v>
      </c>
      <c r="AM17" s="242">
        <v>0</v>
      </c>
      <c r="AN17" s="242">
        <v>540.44999999999902</v>
      </c>
      <c r="AO17" s="242">
        <v>0</v>
      </c>
      <c r="AP17" s="242">
        <v>1190.2740384615386</v>
      </c>
      <c r="AQ17" s="242">
        <v>0</v>
      </c>
      <c r="AR17" s="242">
        <v>448.96874999999994</v>
      </c>
      <c r="AS17" s="242">
        <v>0</v>
      </c>
      <c r="AT17" s="242">
        <v>671.82000000000028</v>
      </c>
      <c r="AU17" s="242">
        <v>0</v>
      </c>
      <c r="AV17" s="242">
        <v>933.82175925925878</v>
      </c>
      <c r="AW17" s="242">
        <v>0</v>
      </c>
      <c r="AX17" s="242">
        <v>661.31500000000074</v>
      </c>
      <c r="AY17" s="242">
        <v>0</v>
      </c>
    </row>
    <row r="18" spans="2:51">
      <c r="B18" s="232">
        <v>10064</v>
      </c>
      <c r="C18" s="232" t="s">
        <v>21</v>
      </c>
      <c r="D18" s="242">
        <v>2720.3533653846143</v>
      </c>
      <c r="E18" s="242">
        <v>0</v>
      </c>
      <c r="F18" s="242">
        <v>740.87499999999955</v>
      </c>
      <c r="G18" s="242">
        <v>0</v>
      </c>
      <c r="H18" s="242">
        <v>2812.03125</v>
      </c>
      <c r="I18" s="242">
        <v>0</v>
      </c>
      <c r="J18" s="242">
        <v>1841.3650000000009</v>
      </c>
      <c r="K18" s="242">
        <v>0</v>
      </c>
      <c r="L18" s="242">
        <v>492.35937499999903</v>
      </c>
      <c r="M18" s="242">
        <v>0</v>
      </c>
      <c r="N18" s="242">
        <v>3365.2499999999973</v>
      </c>
      <c r="O18" s="242">
        <v>0</v>
      </c>
      <c r="P18" s="242">
        <v>2084.1225961538448</v>
      </c>
      <c r="Q18" s="242">
        <v>0</v>
      </c>
      <c r="R18" s="242">
        <v>684.47500000000082</v>
      </c>
      <c r="S18" s="242">
        <v>0</v>
      </c>
      <c r="T18" s="242">
        <v>4405.4759615384601</v>
      </c>
      <c r="U18" s="242">
        <v>0</v>
      </c>
      <c r="V18" s="242">
        <v>2797.2649999999985</v>
      </c>
      <c r="W18" s="242">
        <v>0</v>
      </c>
      <c r="X18" s="242">
        <v>3446.1620370370365</v>
      </c>
      <c r="Y18" s="242">
        <v>0</v>
      </c>
      <c r="Z18" s="242">
        <v>2670.1774999999975</v>
      </c>
      <c r="AA18" s="242">
        <v>0</v>
      </c>
      <c r="AB18" s="242">
        <v>2404.7331730769238</v>
      </c>
      <c r="AC18" s="242">
        <v>0</v>
      </c>
      <c r="AD18" s="242">
        <v>915.86500000000058</v>
      </c>
      <c r="AE18" s="242">
        <v>0</v>
      </c>
      <c r="AF18" s="242">
        <v>3025.3533653846171</v>
      </c>
      <c r="AG18" s="242">
        <v>0</v>
      </c>
      <c r="AH18" s="242">
        <v>2123.6049999999987</v>
      </c>
      <c r="AI18" s="242">
        <v>0</v>
      </c>
      <c r="AJ18" s="242">
        <v>1578.1067708333328</v>
      </c>
      <c r="AK18" s="242">
        <v>0</v>
      </c>
      <c r="AL18" s="242">
        <v>3801.0439814814822</v>
      </c>
      <c r="AM18" s="242">
        <v>0</v>
      </c>
      <c r="AN18" s="242">
        <v>1693.8299999999997</v>
      </c>
      <c r="AO18" s="242">
        <v>0</v>
      </c>
      <c r="AP18" s="242">
        <v>1703.9687500000032</v>
      </c>
      <c r="AQ18" s="242">
        <v>0</v>
      </c>
      <c r="AR18" s="242">
        <v>4974.8990384615399</v>
      </c>
      <c r="AS18" s="242">
        <v>0</v>
      </c>
      <c r="AT18" s="242">
        <v>3107.5524999999998</v>
      </c>
      <c r="AU18" s="242">
        <v>0</v>
      </c>
      <c r="AV18" s="242">
        <v>4497.3680555555575</v>
      </c>
      <c r="AW18" s="242">
        <v>0</v>
      </c>
      <c r="AX18" s="242">
        <v>2631.1750000000025</v>
      </c>
      <c r="AY18" s="242">
        <v>0</v>
      </c>
    </row>
    <row r="19" spans="2:51">
      <c r="B19" s="232">
        <v>10065</v>
      </c>
      <c r="C19" s="232" t="s">
        <v>22</v>
      </c>
      <c r="D19" s="242">
        <v>0</v>
      </c>
      <c r="E19" s="242">
        <v>0</v>
      </c>
      <c r="F19" s="242">
        <v>0</v>
      </c>
      <c r="G19" s="242">
        <v>0</v>
      </c>
      <c r="H19" s="242">
        <v>144.51201923076934</v>
      </c>
      <c r="I19" s="242">
        <v>0</v>
      </c>
      <c r="J19" s="242">
        <v>0</v>
      </c>
      <c r="K19" s="242">
        <v>0</v>
      </c>
      <c r="L19" s="242">
        <v>443.49739583333292</v>
      </c>
      <c r="M19" s="242">
        <v>0</v>
      </c>
      <c r="N19" s="242">
        <v>119.03240740740812</v>
      </c>
      <c r="O19" s="242">
        <v>0</v>
      </c>
      <c r="P19" s="242">
        <v>0</v>
      </c>
      <c r="Q19" s="242">
        <v>0</v>
      </c>
      <c r="R19" s="242">
        <v>0</v>
      </c>
      <c r="S19" s="242">
        <v>0</v>
      </c>
      <c r="T19" s="242">
        <v>0</v>
      </c>
      <c r="U19" s="242">
        <v>0</v>
      </c>
      <c r="V19" s="242">
        <v>0</v>
      </c>
      <c r="W19" s="242">
        <v>0</v>
      </c>
      <c r="X19" s="242">
        <v>0</v>
      </c>
      <c r="Y19" s="242">
        <v>0</v>
      </c>
      <c r="Z19" s="242">
        <v>211.46999999999983</v>
      </c>
      <c r="AA19" s="242">
        <v>0</v>
      </c>
      <c r="AB19" s="242">
        <v>0</v>
      </c>
      <c r="AC19" s="242">
        <v>0</v>
      </c>
      <c r="AD19" s="242">
        <v>0</v>
      </c>
      <c r="AE19" s="242">
        <v>0</v>
      </c>
      <c r="AF19" s="242">
        <v>141.48317307692233</v>
      </c>
      <c r="AG19" s="242">
        <v>0</v>
      </c>
      <c r="AH19" s="242">
        <v>0</v>
      </c>
      <c r="AI19" s="242">
        <v>0</v>
      </c>
      <c r="AJ19" s="242">
        <v>602.48958333333292</v>
      </c>
      <c r="AK19" s="242">
        <v>0</v>
      </c>
      <c r="AL19" s="242">
        <v>156.18287037036987</v>
      </c>
      <c r="AM19" s="242">
        <v>0</v>
      </c>
      <c r="AN19" s="242">
        <v>0</v>
      </c>
      <c r="AO19" s="242">
        <v>0</v>
      </c>
      <c r="AP19" s="242">
        <v>0</v>
      </c>
      <c r="AQ19" s="242">
        <v>0</v>
      </c>
      <c r="AR19" s="242">
        <v>0</v>
      </c>
      <c r="AS19" s="242">
        <v>0</v>
      </c>
      <c r="AT19" s="242">
        <v>0</v>
      </c>
      <c r="AU19" s="242">
        <v>0</v>
      </c>
      <c r="AV19" s="242">
        <v>3.0972222222222512</v>
      </c>
      <c r="AW19" s="242">
        <v>0</v>
      </c>
      <c r="AX19" s="242">
        <v>134.74250000000021</v>
      </c>
      <c r="AY19" s="242">
        <v>0</v>
      </c>
    </row>
    <row r="20" spans="2:51">
      <c r="B20" s="232">
        <v>10066</v>
      </c>
      <c r="C20" s="232" t="s">
        <v>23</v>
      </c>
      <c r="D20" s="242">
        <v>0</v>
      </c>
      <c r="E20" s="242">
        <v>0</v>
      </c>
      <c r="F20" s="242">
        <v>2930.8650000000007</v>
      </c>
      <c r="G20" s="242">
        <v>0</v>
      </c>
      <c r="H20" s="242">
        <v>7738.1225961538439</v>
      </c>
      <c r="I20" s="242">
        <v>0</v>
      </c>
      <c r="J20" s="242">
        <v>1225.8725000000065</v>
      </c>
      <c r="K20" s="242">
        <v>0</v>
      </c>
      <c r="L20" s="242">
        <v>373.75781249999386</v>
      </c>
      <c r="M20" s="242">
        <v>0</v>
      </c>
      <c r="N20" s="242">
        <v>6930.6967592592537</v>
      </c>
      <c r="O20" s="242">
        <v>0</v>
      </c>
      <c r="P20" s="242">
        <v>2557.4687500000018</v>
      </c>
      <c r="Q20" s="242">
        <v>0</v>
      </c>
      <c r="R20" s="242">
        <v>0</v>
      </c>
      <c r="S20" s="242">
        <v>0</v>
      </c>
      <c r="T20" s="242">
        <v>5291.7211538461552</v>
      </c>
      <c r="U20" s="242">
        <v>0</v>
      </c>
      <c r="V20" s="242">
        <v>970.71250000000214</v>
      </c>
      <c r="W20" s="242">
        <v>0</v>
      </c>
      <c r="X20" s="242">
        <v>5678.0162037037016</v>
      </c>
      <c r="Y20" s="242">
        <v>0</v>
      </c>
      <c r="Z20" s="242">
        <v>2195.1699999999983</v>
      </c>
      <c r="AA20" s="242">
        <v>0</v>
      </c>
      <c r="AB20" s="242">
        <v>0</v>
      </c>
      <c r="AC20" s="242">
        <v>0</v>
      </c>
      <c r="AD20" s="242">
        <v>3142.9125000000049</v>
      </c>
      <c r="AE20" s="242">
        <v>0</v>
      </c>
      <c r="AF20" s="242">
        <v>7834.6514423076887</v>
      </c>
      <c r="AG20" s="242">
        <v>0</v>
      </c>
      <c r="AH20" s="242">
        <v>1289.6399999999967</v>
      </c>
      <c r="AI20" s="242">
        <v>0</v>
      </c>
      <c r="AJ20" s="242">
        <v>4060.2057291666665</v>
      </c>
      <c r="AK20" s="242">
        <v>0</v>
      </c>
      <c r="AL20" s="242">
        <v>6925.1481481481514</v>
      </c>
      <c r="AM20" s="242">
        <v>0</v>
      </c>
      <c r="AN20" s="242">
        <v>1125.7675000000056</v>
      </c>
      <c r="AO20" s="242">
        <v>0</v>
      </c>
      <c r="AP20" s="242">
        <v>864.21875000000182</v>
      </c>
      <c r="AQ20" s="242">
        <v>0</v>
      </c>
      <c r="AR20" s="242">
        <v>5287.9519230769256</v>
      </c>
      <c r="AS20" s="242">
        <v>0</v>
      </c>
      <c r="AT20" s="242">
        <v>966.63750000000186</v>
      </c>
      <c r="AU20" s="242">
        <v>0</v>
      </c>
      <c r="AV20" s="242">
        <v>6665.5162037037026</v>
      </c>
      <c r="AW20" s="242">
        <v>0</v>
      </c>
      <c r="AX20" s="242">
        <v>1154.0075000000031</v>
      </c>
      <c r="AY20" s="242">
        <v>0</v>
      </c>
    </row>
    <row r="21" spans="2:51">
      <c r="B21" s="232">
        <v>10067</v>
      </c>
      <c r="C21" s="232" t="s">
        <v>24</v>
      </c>
      <c r="D21" s="242">
        <v>3282.5120192307704</v>
      </c>
      <c r="E21" s="242">
        <v>0</v>
      </c>
      <c r="F21" s="242">
        <v>5033.9599999999982</v>
      </c>
      <c r="G21" s="242">
        <v>0</v>
      </c>
      <c r="H21" s="242">
        <v>4155.5336538461561</v>
      </c>
      <c r="I21" s="242">
        <v>0</v>
      </c>
      <c r="J21" s="242">
        <v>5305.0925000000007</v>
      </c>
      <c r="K21" s="242">
        <v>0</v>
      </c>
      <c r="L21" s="242">
        <v>3301.4869791666656</v>
      </c>
      <c r="M21" s="242">
        <v>0</v>
      </c>
      <c r="N21" s="242">
        <v>4890.6805555555538</v>
      </c>
      <c r="O21" s="242">
        <v>0</v>
      </c>
      <c r="P21" s="242">
        <v>5498.7379807692332</v>
      </c>
      <c r="Q21" s="242">
        <v>0</v>
      </c>
      <c r="R21" s="242">
        <v>3802.6250000000014</v>
      </c>
      <c r="S21" s="242">
        <v>0</v>
      </c>
      <c r="T21" s="242">
        <v>3812.4447115384619</v>
      </c>
      <c r="U21" s="242">
        <v>0</v>
      </c>
      <c r="V21" s="242">
        <v>4924.3824999999979</v>
      </c>
      <c r="W21" s="242">
        <v>0</v>
      </c>
      <c r="X21" s="242">
        <v>4655.0277777777774</v>
      </c>
      <c r="Y21" s="242">
        <v>0</v>
      </c>
      <c r="Z21" s="242">
        <v>5490.3225000000002</v>
      </c>
      <c r="AA21" s="242">
        <v>0</v>
      </c>
      <c r="AB21" s="242">
        <v>3032.8701923076924</v>
      </c>
      <c r="AC21" s="242">
        <v>0</v>
      </c>
      <c r="AD21" s="242">
        <v>4857.215000000002</v>
      </c>
      <c r="AE21" s="242">
        <v>0</v>
      </c>
      <c r="AF21" s="242">
        <v>4022.7572115384619</v>
      </c>
      <c r="AG21" s="242">
        <v>0</v>
      </c>
      <c r="AH21" s="242">
        <v>5184.7499999999973</v>
      </c>
      <c r="AI21" s="242">
        <v>0</v>
      </c>
      <c r="AJ21" s="242">
        <v>3795.2656250000036</v>
      </c>
      <c r="AK21" s="242">
        <v>0</v>
      </c>
      <c r="AL21" s="242">
        <v>4744.1805555555511</v>
      </c>
      <c r="AM21" s="242">
        <v>0</v>
      </c>
      <c r="AN21" s="242">
        <v>4577.7149999999992</v>
      </c>
      <c r="AO21" s="242">
        <v>0</v>
      </c>
      <c r="AP21" s="242">
        <v>4241.8966346153848</v>
      </c>
      <c r="AQ21" s="242">
        <v>0</v>
      </c>
      <c r="AR21" s="242">
        <v>3615.923076923079</v>
      </c>
      <c r="AS21" s="242">
        <v>0</v>
      </c>
      <c r="AT21" s="242">
        <v>4773.6774999999998</v>
      </c>
      <c r="AU21" s="242">
        <v>0</v>
      </c>
      <c r="AV21" s="242">
        <v>4512.9930555555575</v>
      </c>
      <c r="AW21" s="242">
        <v>0</v>
      </c>
      <c r="AX21" s="242">
        <v>5283.8824999999997</v>
      </c>
      <c r="AY21" s="242">
        <v>0</v>
      </c>
    </row>
    <row r="22" spans="2:51">
      <c r="B22" s="232">
        <v>10068</v>
      </c>
      <c r="C22" s="232" t="s">
        <v>25</v>
      </c>
      <c r="D22" s="242">
        <v>0</v>
      </c>
      <c r="E22" s="242">
        <v>0</v>
      </c>
      <c r="F22" s="242">
        <v>258.03749999999945</v>
      </c>
      <c r="G22" s="242">
        <v>0</v>
      </c>
      <c r="H22" s="242">
        <v>438.07451923076923</v>
      </c>
      <c r="I22" s="242">
        <v>0</v>
      </c>
      <c r="J22" s="242">
        <v>487.58500000000038</v>
      </c>
      <c r="K22" s="242">
        <v>0</v>
      </c>
      <c r="L22" s="242">
        <v>161.34374999999989</v>
      </c>
      <c r="M22" s="242">
        <v>0</v>
      </c>
      <c r="N22" s="242">
        <v>398.40740740740733</v>
      </c>
      <c r="O22" s="242">
        <v>0</v>
      </c>
      <c r="P22" s="242">
        <v>486.06971153846155</v>
      </c>
      <c r="Q22" s="242">
        <v>0</v>
      </c>
      <c r="R22" s="242">
        <v>238.52750000000006</v>
      </c>
      <c r="S22" s="242">
        <v>0</v>
      </c>
      <c r="T22" s="242">
        <v>278.75961538461559</v>
      </c>
      <c r="U22" s="242">
        <v>0</v>
      </c>
      <c r="V22" s="242">
        <v>745.38499999999954</v>
      </c>
      <c r="W22" s="242">
        <v>0</v>
      </c>
      <c r="X22" s="242">
        <v>735.37500000000011</v>
      </c>
      <c r="Y22" s="242">
        <v>0</v>
      </c>
      <c r="Z22" s="242">
        <v>350.88249999999994</v>
      </c>
      <c r="AA22" s="242">
        <v>0</v>
      </c>
      <c r="AB22" s="242">
        <v>0</v>
      </c>
      <c r="AC22" s="242">
        <v>0</v>
      </c>
      <c r="AD22" s="242">
        <v>258.03749999999945</v>
      </c>
      <c r="AE22" s="242">
        <v>0</v>
      </c>
      <c r="AF22" s="242">
        <v>438.07451923076923</v>
      </c>
      <c r="AG22" s="242">
        <v>0</v>
      </c>
      <c r="AH22" s="242">
        <v>487.58500000000038</v>
      </c>
      <c r="AI22" s="242">
        <v>0</v>
      </c>
      <c r="AJ22" s="242">
        <v>280.1979166666668</v>
      </c>
      <c r="AK22" s="242">
        <v>0</v>
      </c>
      <c r="AL22" s="242">
        <v>398.40740740740733</v>
      </c>
      <c r="AM22" s="242">
        <v>0</v>
      </c>
      <c r="AN22" s="242">
        <v>386.23250000000019</v>
      </c>
      <c r="AO22" s="242">
        <v>0</v>
      </c>
      <c r="AP22" s="242">
        <v>324.7379807692306</v>
      </c>
      <c r="AQ22" s="242">
        <v>0</v>
      </c>
      <c r="AR22" s="242">
        <v>278.75961538461559</v>
      </c>
      <c r="AS22" s="242">
        <v>0</v>
      </c>
      <c r="AT22" s="242">
        <v>745.38499999999954</v>
      </c>
      <c r="AU22" s="242">
        <v>0</v>
      </c>
      <c r="AV22" s="242">
        <v>735.37500000000011</v>
      </c>
      <c r="AW22" s="242">
        <v>0</v>
      </c>
      <c r="AX22" s="242">
        <v>350.88249999999994</v>
      </c>
      <c r="AY22" s="242">
        <v>0</v>
      </c>
    </row>
    <row r="23" spans="2:51">
      <c r="B23" s="232">
        <v>10070</v>
      </c>
      <c r="C23" s="232" t="s">
        <v>26</v>
      </c>
      <c r="D23" s="242">
        <v>70.689903846153811</v>
      </c>
      <c r="E23" s="242">
        <v>0</v>
      </c>
      <c r="F23" s="242">
        <v>18.165000000000013</v>
      </c>
      <c r="G23" s="242">
        <v>0</v>
      </c>
      <c r="H23" s="242">
        <v>120.39663461538464</v>
      </c>
      <c r="I23" s="242">
        <v>0</v>
      </c>
      <c r="J23" s="242">
        <v>45.042499999999983</v>
      </c>
      <c r="K23" s="242">
        <v>0</v>
      </c>
      <c r="L23" s="242">
        <v>20.278645833333414</v>
      </c>
      <c r="M23" s="242">
        <v>0</v>
      </c>
      <c r="N23" s="242">
        <v>81.013888888888886</v>
      </c>
      <c r="O23" s="242">
        <v>0</v>
      </c>
      <c r="P23" s="242">
        <v>32.516826923076863</v>
      </c>
      <c r="Q23" s="242">
        <v>0</v>
      </c>
      <c r="R23" s="242">
        <v>4.0375000000000547</v>
      </c>
      <c r="S23" s="242">
        <v>0</v>
      </c>
      <c r="T23" s="242">
        <v>69.480769230769212</v>
      </c>
      <c r="U23" s="242">
        <v>0</v>
      </c>
      <c r="V23" s="242">
        <v>43.295000000000073</v>
      </c>
      <c r="W23" s="242">
        <v>0</v>
      </c>
      <c r="X23" s="242">
        <v>74.983796296296248</v>
      </c>
      <c r="Y23" s="242">
        <v>0</v>
      </c>
      <c r="Z23" s="242">
        <v>68.140000000000015</v>
      </c>
      <c r="AA23" s="242">
        <v>0</v>
      </c>
      <c r="AB23" s="242">
        <v>56.39182692307687</v>
      </c>
      <c r="AC23" s="242">
        <v>0</v>
      </c>
      <c r="AD23" s="242">
        <v>17.73749999999999</v>
      </c>
      <c r="AE23" s="242">
        <v>0</v>
      </c>
      <c r="AF23" s="242">
        <v>119.88942307692308</v>
      </c>
      <c r="AG23" s="242">
        <v>0</v>
      </c>
      <c r="AH23" s="242">
        <v>44.487500000000011</v>
      </c>
      <c r="AI23" s="242">
        <v>0</v>
      </c>
      <c r="AJ23" s="242">
        <v>39.343750000000036</v>
      </c>
      <c r="AK23" s="242">
        <v>0</v>
      </c>
      <c r="AL23" s="242">
        <v>81.620370370370338</v>
      </c>
      <c r="AM23" s="242">
        <v>0</v>
      </c>
      <c r="AN23" s="242">
        <v>17.582499999999975</v>
      </c>
      <c r="AO23" s="242">
        <v>0</v>
      </c>
      <c r="AP23" s="242">
        <v>17.995192307692339</v>
      </c>
      <c r="AQ23" s="242">
        <v>0</v>
      </c>
      <c r="AR23" s="242">
        <v>70.149038461538495</v>
      </c>
      <c r="AS23" s="242">
        <v>0</v>
      </c>
      <c r="AT23" s="242">
        <v>42.905000000000015</v>
      </c>
      <c r="AU23" s="242">
        <v>0</v>
      </c>
      <c r="AV23" s="242">
        <v>87.754629629629534</v>
      </c>
      <c r="AW23" s="242">
        <v>0</v>
      </c>
      <c r="AX23" s="242">
        <v>55.367500000000057</v>
      </c>
      <c r="AY23" s="242">
        <v>0</v>
      </c>
    </row>
    <row r="24" spans="2:51">
      <c r="B24" s="232">
        <v>10071</v>
      </c>
      <c r="C24" s="232" t="s">
        <v>27</v>
      </c>
      <c r="D24" s="242">
        <v>44.680288461538375</v>
      </c>
      <c r="E24" s="242">
        <v>0</v>
      </c>
      <c r="F24" s="242">
        <v>138.21999999999989</v>
      </c>
      <c r="G24" s="242">
        <v>0</v>
      </c>
      <c r="H24" s="242">
        <v>419.60096153846217</v>
      </c>
      <c r="I24" s="242">
        <v>0</v>
      </c>
      <c r="J24" s="242">
        <v>104.20500000000033</v>
      </c>
      <c r="K24" s="242">
        <v>0</v>
      </c>
      <c r="L24" s="242">
        <v>32.192708333333208</v>
      </c>
      <c r="M24" s="242">
        <v>0</v>
      </c>
      <c r="N24" s="242">
        <v>440.40972222222206</v>
      </c>
      <c r="O24" s="242">
        <v>0</v>
      </c>
      <c r="P24" s="242">
        <v>356.90625</v>
      </c>
      <c r="Q24" s="242">
        <v>0</v>
      </c>
      <c r="R24" s="242">
        <v>0</v>
      </c>
      <c r="S24" s="242">
        <v>0</v>
      </c>
      <c r="T24" s="242">
        <v>155.74999999999994</v>
      </c>
      <c r="U24" s="242">
        <v>0</v>
      </c>
      <c r="V24" s="242">
        <v>24.745000000000129</v>
      </c>
      <c r="W24" s="242">
        <v>0</v>
      </c>
      <c r="X24" s="242">
        <v>219.7939814814815</v>
      </c>
      <c r="Y24" s="242">
        <v>0</v>
      </c>
      <c r="Z24" s="242">
        <v>40.67749999999981</v>
      </c>
      <c r="AA24" s="242">
        <v>0</v>
      </c>
      <c r="AB24" s="242">
        <v>0</v>
      </c>
      <c r="AC24" s="242">
        <v>0</v>
      </c>
      <c r="AD24" s="242">
        <v>138.21999999999989</v>
      </c>
      <c r="AE24" s="242">
        <v>0</v>
      </c>
      <c r="AF24" s="242">
        <v>419.60096153846217</v>
      </c>
      <c r="AG24" s="242">
        <v>0</v>
      </c>
      <c r="AH24" s="242">
        <v>104.20500000000033</v>
      </c>
      <c r="AI24" s="242">
        <v>0</v>
      </c>
      <c r="AJ24" s="242">
        <v>131.7369791666666</v>
      </c>
      <c r="AK24" s="242">
        <v>0</v>
      </c>
      <c r="AL24" s="242">
        <v>440.40972222222206</v>
      </c>
      <c r="AM24" s="242">
        <v>0</v>
      </c>
      <c r="AN24" s="242">
        <v>275.46249999999992</v>
      </c>
      <c r="AO24" s="242">
        <v>0</v>
      </c>
      <c r="AP24" s="242">
        <v>0</v>
      </c>
      <c r="AQ24" s="242">
        <v>0</v>
      </c>
      <c r="AR24" s="242">
        <v>155.74999999999994</v>
      </c>
      <c r="AS24" s="242">
        <v>0</v>
      </c>
      <c r="AT24" s="242">
        <v>24.745000000000129</v>
      </c>
      <c r="AU24" s="242">
        <v>0</v>
      </c>
      <c r="AV24" s="242">
        <v>273.6111111111112</v>
      </c>
      <c r="AW24" s="242">
        <v>0</v>
      </c>
      <c r="AX24" s="242">
        <v>0</v>
      </c>
      <c r="AY24" s="242">
        <v>0</v>
      </c>
    </row>
    <row r="25" spans="2:51">
      <c r="B25" s="232">
        <v>10072</v>
      </c>
      <c r="C25" s="232" t="s">
        <v>28</v>
      </c>
      <c r="D25" s="242">
        <v>0</v>
      </c>
      <c r="E25" s="242">
        <v>0</v>
      </c>
      <c r="F25" s="242">
        <v>0</v>
      </c>
      <c r="G25" s="242">
        <v>0</v>
      </c>
      <c r="H25" s="242">
        <v>3319.4423076923063</v>
      </c>
      <c r="I25" s="242">
        <v>0</v>
      </c>
      <c r="J25" s="242">
        <v>1838.9849999999947</v>
      </c>
      <c r="K25" s="242">
        <v>0</v>
      </c>
      <c r="L25" s="242">
        <v>620.34375000000534</v>
      </c>
      <c r="M25" s="242">
        <v>0</v>
      </c>
      <c r="N25" s="242">
        <v>2006.631944444445</v>
      </c>
      <c r="O25" s="242">
        <v>0</v>
      </c>
      <c r="P25" s="242">
        <v>2410.2596153846139</v>
      </c>
      <c r="Q25" s="242">
        <v>0</v>
      </c>
      <c r="R25" s="242">
        <v>1584.7099999999989</v>
      </c>
      <c r="S25" s="242">
        <v>0</v>
      </c>
      <c r="T25" s="242">
        <v>4322.1249999999991</v>
      </c>
      <c r="U25" s="242">
        <v>0</v>
      </c>
      <c r="V25" s="242">
        <v>2213.4899999999993</v>
      </c>
      <c r="W25" s="242">
        <v>0</v>
      </c>
      <c r="X25" s="242">
        <v>5805.3935185185201</v>
      </c>
      <c r="Y25" s="242">
        <v>0</v>
      </c>
      <c r="Z25" s="242">
        <v>2950.8374999999987</v>
      </c>
      <c r="AA25" s="242">
        <v>0</v>
      </c>
      <c r="AB25" s="242">
        <v>0</v>
      </c>
      <c r="AC25" s="242">
        <v>0</v>
      </c>
      <c r="AD25" s="242">
        <v>0</v>
      </c>
      <c r="AE25" s="242">
        <v>0</v>
      </c>
      <c r="AF25" s="242">
        <v>3403.7596153846157</v>
      </c>
      <c r="AG25" s="242">
        <v>0</v>
      </c>
      <c r="AH25" s="242">
        <v>1824.3900000000019</v>
      </c>
      <c r="AI25" s="242">
        <v>0</v>
      </c>
      <c r="AJ25" s="242">
        <v>746.12760416666822</v>
      </c>
      <c r="AK25" s="242">
        <v>0</v>
      </c>
      <c r="AL25" s="242">
        <v>2016.5949074074074</v>
      </c>
      <c r="AM25" s="242">
        <v>0</v>
      </c>
      <c r="AN25" s="242">
        <v>1385.8699999999967</v>
      </c>
      <c r="AO25" s="242">
        <v>0</v>
      </c>
      <c r="AP25" s="242">
        <v>2535.9687500000036</v>
      </c>
      <c r="AQ25" s="242">
        <v>0</v>
      </c>
      <c r="AR25" s="242">
        <v>4367.2451923076878</v>
      </c>
      <c r="AS25" s="242">
        <v>0</v>
      </c>
      <c r="AT25" s="242">
        <v>2221.1400000000008</v>
      </c>
      <c r="AU25" s="242">
        <v>0</v>
      </c>
      <c r="AV25" s="242">
        <v>5834.3449074074088</v>
      </c>
      <c r="AW25" s="242">
        <v>0</v>
      </c>
      <c r="AX25" s="242">
        <v>3000.8500000000035</v>
      </c>
      <c r="AY25" s="242">
        <v>0</v>
      </c>
    </row>
    <row r="26" spans="2:51">
      <c r="B26" s="232">
        <v>10074</v>
      </c>
      <c r="C26" s="232" t="s">
        <v>29</v>
      </c>
      <c r="D26" s="242">
        <v>0</v>
      </c>
      <c r="E26" s="242">
        <v>0</v>
      </c>
      <c r="F26" s="242">
        <v>1083.9000000000017</v>
      </c>
      <c r="G26" s="242">
        <v>0</v>
      </c>
      <c r="H26" s="242">
        <v>1652.6875000000043</v>
      </c>
      <c r="I26" s="242">
        <v>0</v>
      </c>
      <c r="J26" s="242">
        <v>0</v>
      </c>
      <c r="K26" s="242">
        <v>0</v>
      </c>
      <c r="L26" s="242">
        <v>968.24479166665787</v>
      </c>
      <c r="M26" s="242">
        <v>0</v>
      </c>
      <c r="N26" s="242">
        <v>4032.6921296296296</v>
      </c>
      <c r="O26" s="242">
        <v>0</v>
      </c>
      <c r="P26" s="242">
        <v>551.8894230769256</v>
      </c>
      <c r="Q26" s="242">
        <v>0</v>
      </c>
      <c r="R26" s="242">
        <v>462.60999999999706</v>
      </c>
      <c r="S26" s="242">
        <v>0</v>
      </c>
      <c r="T26" s="242">
        <v>11707.822115384619</v>
      </c>
      <c r="U26" s="242">
        <v>0</v>
      </c>
      <c r="V26" s="242">
        <v>6356.7100000000028</v>
      </c>
      <c r="W26" s="242">
        <v>0</v>
      </c>
      <c r="X26" s="242">
        <v>6624.6041666666633</v>
      </c>
      <c r="Y26" s="242">
        <v>0</v>
      </c>
      <c r="Z26" s="242">
        <v>10378.974999999999</v>
      </c>
      <c r="AA26" s="242">
        <v>0</v>
      </c>
      <c r="AB26" s="242">
        <v>0</v>
      </c>
      <c r="AC26" s="242">
        <v>0</v>
      </c>
      <c r="AD26" s="242">
        <v>784.11999999999614</v>
      </c>
      <c r="AE26" s="242">
        <v>0</v>
      </c>
      <c r="AF26" s="242">
        <v>1326.8149038461611</v>
      </c>
      <c r="AG26" s="242">
        <v>0</v>
      </c>
      <c r="AH26" s="242">
        <v>0</v>
      </c>
      <c r="AI26" s="242">
        <v>0</v>
      </c>
      <c r="AJ26" s="242">
        <v>2302.7135416666715</v>
      </c>
      <c r="AK26" s="242">
        <v>0</v>
      </c>
      <c r="AL26" s="242">
        <v>3739.3657407407368</v>
      </c>
      <c r="AM26" s="242">
        <v>0</v>
      </c>
      <c r="AN26" s="242">
        <v>0</v>
      </c>
      <c r="AO26" s="242">
        <v>0</v>
      </c>
      <c r="AP26" s="242">
        <v>1417.6346153846202</v>
      </c>
      <c r="AQ26" s="242">
        <v>0</v>
      </c>
      <c r="AR26" s="242">
        <v>11977.254807692309</v>
      </c>
      <c r="AS26" s="242">
        <v>0</v>
      </c>
      <c r="AT26" s="242">
        <v>6597.2749999999996</v>
      </c>
      <c r="AU26" s="242">
        <v>0</v>
      </c>
      <c r="AV26" s="242">
        <v>8035.2800925926003</v>
      </c>
      <c r="AW26" s="242">
        <v>0</v>
      </c>
      <c r="AX26" s="242">
        <v>9466.6824999999953</v>
      </c>
      <c r="AY26" s="242">
        <v>0</v>
      </c>
    </row>
    <row r="27" spans="2:51">
      <c r="B27" s="232">
        <v>10076</v>
      </c>
      <c r="C27" s="232" t="s">
        <v>30</v>
      </c>
      <c r="D27" s="242">
        <v>661.18990384615381</v>
      </c>
      <c r="E27" s="242">
        <v>0</v>
      </c>
      <c r="F27" s="242">
        <v>0</v>
      </c>
      <c r="G27" s="242">
        <v>0</v>
      </c>
      <c r="H27" s="242">
        <v>910.63221153846246</v>
      </c>
      <c r="I27" s="242">
        <v>0</v>
      </c>
      <c r="J27" s="242">
        <v>0</v>
      </c>
      <c r="K27" s="242">
        <v>0</v>
      </c>
      <c r="L27" s="242">
        <v>0</v>
      </c>
      <c r="M27" s="242">
        <v>0</v>
      </c>
      <c r="N27" s="242">
        <v>444.3634259259257</v>
      </c>
      <c r="O27" s="242">
        <v>0</v>
      </c>
      <c r="P27" s="242">
        <v>134.31730769230788</v>
      </c>
      <c r="Q27" s="242">
        <v>0</v>
      </c>
      <c r="R27" s="242">
        <v>0</v>
      </c>
      <c r="S27" s="242">
        <v>0</v>
      </c>
      <c r="T27" s="242">
        <v>1144.7115384615399</v>
      </c>
      <c r="U27" s="242">
        <v>0</v>
      </c>
      <c r="V27" s="242">
        <v>389.81999999999925</v>
      </c>
      <c r="W27" s="242">
        <v>0</v>
      </c>
      <c r="X27" s="242">
        <v>713.86342592592462</v>
      </c>
      <c r="Y27" s="242">
        <v>0</v>
      </c>
      <c r="Z27" s="242">
        <v>877.91499999999951</v>
      </c>
      <c r="AA27" s="242">
        <v>0</v>
      </c>
      <c r="AB27" s="242">
        <v>393.80769230769283</v>
      </c>
      <c r="AC27" s="242">
        <v>0</v>
      </c>
      <c r="AD27" s="242">
        <v>0</v>
      </c>
      <c r="AE27" s="242">
        <v>0</v>
      </c>
      <c r="AF27" s="242">
        <v>946.65144230769147</v>
      </c>
      <c r="AG27" s="242">
        <v>0</v>
      </c>
      <c r="AH27" s="242">
        <v>0</v>
      </c>
      <c r="AI27" s="242">
        <v>0</v>
      </c>
      <c r="AJ27" s="242">
        <v>0</v>
      </c>
      <c r="AK27" s="242">
        <v>0</v>
      </c>
      <c r="AL27" s="242">
        <v>476.15740740740529</v>
      </c>
      <c r="AM27" s="242">
        <v>0</v>
      </c>
      <c r="AN27" s="242">
        <v>0</v>
      </c>
      <c r="AO27" s="242">
        <v>0</v>
      </c>
      <c r="AP27" s="242">
        <v>247.0697115384624</v>
      </c>
      <c r="AQ27" s="242">
        <v>0</v>
      </c>
      <c r="AR27" s="242">
        <v>1168.9615384615383</v>
      </c>
      <c r="AS27" s="242">
        <v>0</v>
      </c>
      <c r="AT27" s="242">
        <v>409.19499999999942</v>
      </c>
      <c r="AU27" s="242">
        <v>0</v>
      </c>
      <c r="AV27" s="242">
        <v>1013.7893518518526</v>
      </c>
      <c r="AW27" s="242">
        <v>0</v>
      </c>
      <c r="AX27" s="242">
        <v>610.14749999999981</v>
      </c>
      <c r="AY27" s="242">
        <v>0</v>
      </c>
    </row>
    <row r="28" spans="2:51">
      <c r="B28" s="232">
        <v>10078</v>
      </c>
      <c r="C28" s="232" t="s">
        <v>31</v>
      </c>
      <c r="D28" s="242">
        <v>1205.6298076923083</v>
      </c>
      <c r="E28" s="242">
        <v>0</v>
      </c>
      <c r="F28" s="242">
        <v>1633.5725</v>
      </c>
      <c r="G28" s="242">
        <v>0</v>
      </c>
      <c r="H28" s="242">
        <v>1484.514423076924</v>
      </c>
      <c r="I28" s="242">
        <v>0</v>
      </c>
      <c r="J28" s="242">
        <v>952.80999999999972</v>
      </c>
      <c r="K28" s="242">
        <v>0</v>
      </c>
      <c r="L28" s="242">
        <v>1229.6484374999993</v>
      </c>
      <c r="M28" s="242">
        <v>0</v>
      </c>
      <c r="N28" s="242">
        <v>1687.108796296297</v>
      </c>
      <c r="O28" s="242">
        <v>0</v>
      </c>
      <c r="P28" s="242">
        <v>918.01442307692355</v>
      </c>
      <c r="Q28" s="242">
        <v>0</v>
      </c>
      <c r="R28" s="242">
        <v>942.56999999999948</v>
      </c>
      <c r="S28" s="242">
        <v>0</v>
      </c>
      <c r="T28" s="242">
        <v>844.43269230769238</v>
      </c>
      <c r="U28" s="242">
        <v>0</v>
      </c>
      <c r="V28" s="242">
        <v>137.53250000000028</v>
      </c>
      <c r="W28" s="242">
        <v>0</v>
      </c>
      <c r="X28" s="242">
        <v>1040.5462962962961</v>
      </c>
      <c r="Y28" s="242">
        <v>0</v>
      </c>
      <c r="Z28" s="242">
        <v>1092.2299999999996</v>
      </c>
      <c r="AA28" s="242">
        <v>0</v>
      </c>
      <c r="AB28" s="242">
        <v>1238.0312500000002</v>
      </c>
      <c r="AC28" s="242">
        <v>0</v>
      </c>
      <c r="AD28" s="242">
        <v>1793.0725000000004</v>
      </c>
      <c r="AE28" s="242">
        <v>0</v>
      </c>
      <c r="AF28" s="242">
        <v>1539.4639423076915</v>
      </c>
      <c r="AG28" s="242">
        <v>0</v>
      </c>
      <c r="AH28" s="242">
        <v>1062.9325000000008</v>
      </c>
      <c r="AI28" s="242">
        <v>0</v>
      </c>
      <c r="AJ28" s="242">
        <v>1448.1302083333342</v>
      </c>
      <c r="AK28" s="242">
        <v>0</v>
      </c>
      <c r="AL28" s="242">
        <v>1853.8518518518522</v>
      </c>
      <c r="AM28" s="242">
        <v>0</v>
      </c>
      <c r="AN28" s="242">
        <v>893.0850000000006</v>
      </c>
      <c r="AO28" s="242">
        <v>0</v>
      </c>
      <c r="AP28" s="242">
        <v>1257.5432692307697</v>
      </c>
      <c r="AQ28" s="242">
        <v>0</v>
      </c>
      <c r="AR28" s="242">
        <v>959.55769230769226</v>
      </c>
      <c r="AS28" s="242">
        <v>0</v>
      </c>
      <c r="AT28" s="242">
        <v>185.10249999999974</v>
      </c>
      <c r="AU28" s="242">
        <v>0</v>
      </c>
      <c r="AV28" s="242">
        <v>1275.7222222222231</v>
      </c>
      <c r="AW28" s="242">
        <v>0</v>
      </c>
      <c r="AX28" s="242">
        <v>1106.2625000000003</v>
      </c>
      <c r="AY28" s="242">
        <v>0</v>
      </c>
    </row>
    <row r="29" spans="2:51">
      <c r="B29" s="232">
        <v>10079</v>
      </c>
      <c r="C29" s="232" t="s">
        <v>32</v>
      </c>
      <c r="D29" s="242">
        <v>19481.846153846134</v>
      </c>
      <c r="E29" s="242">
        <v>0</v>
      </c>
      <c r="F29" s="242">
        <v>29683.362500000003</v>
      </c>
      <c r="G29" s="242">
        <v>0</v>
      </c>
      <c r="H29" s="242">
        <v>24422.288461538479</v>
      </c>
      <c r="I29" s="242">
        <v>0</v>
      </c>
      <c r="J29" s="242">
        <v>14057.765000000003</v>
      </c>
      <c r="K29" s="242">
        <v>0</v>
      </c>
      <c r="L29" s="242">
        <v>3009.3203125000018</v>
      </c>
      <c r="M29" s="242">
        <v>0</v>
      </c>
      <c r="N29" s="242">
        <v>27136.733796296299</v>
      </c>
      <c r="O29" s="242">
        <v>0</v>
      </c>
      <c r="P29" s="242">
        <v>21789.249999999996</v>
      </c>
      <c r="Q29" s="242">
        <v>0</v>
      </c>
      <c r="R29" s="242">
        <v>19229.192500000005</v>
      </c>
      <c r="S29" s="242">
        <v>0</v>
      </c>
      <c r="T29" s="242">
        <v>33205.879807692305</v>
      </c>
      <c r="U29" s="242">
        <v>0</v>
      </c>
      <c r="V29" s="242">
        <v>21215.47749999999</v>
      </c>
      <c r="W29" s="242">
        <v>0</v>
      </c>
      <c r="X29" s="242">
        <v>24521.83101851854</v>
      </c>
      <c r="Y29" s="242">
        <v>0</v>
      </c>
      <c r="Z29" s="242">
        <v>18334.525000000012</v>
      </c>
      <c r="AA29" s="242">
        <v>0</v>
      </c>
      <c r="AB29" s="242">
        <v>16444.329326923096</v>
      </c>
      <c r="AC29" s="242">
        <v>0</v>
      </c>
      <c r="AD29" s="242">
        <v>29435.667499999992</v>
      </c>
      <c r="AE29" s="242">
        <v>0</v>
      </c>
      <c r="AF29" s="242">
        <v>24193.540865384613</v>
      </c>
      <c r="AG29" s="242">
        <v>0</v>
      </c>
      <c r="AH29" s="242">
        <v>13705.325000000015</v>
      </c>
      <c r="AI29" s="242">
        <v>0</v>
      </c>
      <c r="AJ29" s="242">
        <v>3303.6406250000068</v>
      </c>
      <c r="AK29" s="242">
        <v>0</v>
      </c>
      <c r="AL29" s="242">
        <v>26883.793981481474</v>
      </c>
      <c r="AM29" s="242">
        <v>0</v>
      </c>
      <c r="AN29" s="242">
        <v>17905.779999999977</v>
      </c>
      <c r="AO29" s="242">
        <v>0</v>
      </c>
      <c r="AP29" s="242">
        <v>22374.632211538476</v>
      </c>
      <c r="AQ29" s="242">
        <v>0</v>
      </c>
      <c r="AR29" s="242">
        <v>32951.92788461539</v>
      </c>
      <c r="AS29" s="242">
        <v>0</v>
      </c>
      <c r="AT29" s="242">
        <v>20941.990000000005</v>
      </c>
      <c r="AU29" s="242">
        <v>0</v>
      </c>
      <c r="AV29" s="242">
        <v>26720.29398148146</v>
      </c>
      <c r="AW29" s="242">
        <v>0</v>
      </c>
      <c r="AX29" s="242">
        <v>15497.182499999994</v>
      </c>
      <c r="AY29" s="242">
        <v>0</v>
      </c>
    </row>
    <row r="30" spans="2:51">
      <c r="B30" s="232">
        <v>10080</v>
      </c>
      <c r="C30" s="232" t="s">
        <v>33</v>
      </c>
      <c r="D30" s="242">
        <v>0</v>
      </c>
      <c r="E30" s="242">
        <v>0</v>
      </c>
      <c r="F30" s="242">
        <v>0</v>
      </c>
      <c r="G30" s="242">
        <v>0</v>
      </c>
      <c r="H30" s="242">
        <v>1914.4182692307681</v>
      </c>
      <c r="I30" s="242">
        <v>0</v>
      </c>
      <c r="J30" s="242">
        <v>1038.7175000000002</v>
      </c>
      <c r="K30" s="242">
        <v>0</v>
      </c>
      <c r="L30" s="242">
        <v>210.29687499999915</v>
      </c>
      <c r="M30" s="242">
        <v>0</v>
      </c>
      <c r="N30" s="242">
        <v>457.08564814814798</v>
      </c>
      <c r="O30" s="242">
        <v>0</v>
      </c>
      <c r="P30" s="242">
        <v>555.02403846153766</v>
      </c>
      <c r="Q30" s="242">
        <v>0</v>
      </c>
      <c r="R30" s="242">
        <v>888.92250000000013</v>
      </c>
      <c r="S30" s="242">
        <v>0</v>
      </c>
      <c r="T30" s="242">
        <v>2080.1033653846152</v>
      </c>
      <c r="U30" s="242">
        <v>0</v>
      </c>
      <c r="V30" s="242">
        <v>1373.4975000000006</v>
      </c>
      <c r="W30" s="242">
        <v>0</v>
      </c>
      <c r="X30" s="242">
        <v>1867.9560185185178</v>
      </c>
      <c r="Y30" s="242">
        <v>0</v>
      </c>
      <c r="Z30" s="242">
        <v>1382.6849999999999</v>
      </c>
      <c r="AA30" s="242">
        <v>0</v>
      </c>
      <c r="AB30" s="242">
        <v>0</v>
      </c>
      <c r="AC30" s="242">
        <v>0</v>
      </c>
      <c r="AD30" s="242">
        <v>0</v>
      </c>
      <c r="AE30" s="242">
        <v>0</v>
      </c>
      <c r="AF30" s="242">
        <v>1907.2620192307686</v>
      </c>
      <c r="AG30" s="242">
        <v>0</v>
      </c>
      <c r="AH30" s="242">
        <v>1030.9075000000009</v>
      </c>
      <c r="AI30" s="242">
        <v>0</v>
      </c>
      <c r="AJ30" s="242">
        <v>528.09895833333269</v>
      </c>
      <c r="AK30" s="242">
        <v>0</v>
      </c>
      <c r="AL30" s="242">
        <v>450.59027777777794</v>
      </c>
      <c r="AM30" s="242">
        <v>0</v>
      </c>
      <c r="AN30" s="242">
        <v>266.90749999999963</v>
      </c>
      <c r="AO30" s="242">
        <v>0</v>
      </c>
      <c r="AP30" s="242">
        <v>1127.658653846154</v>
      </c>
      <c r="AQ30" s="242">
        <v>0</v>
      </c>
      <c r="AR30" s="242">
        <v>2088.9807692307691</v>
      </c>
      <c r="AS30" s="242">
        <v>0</v>
      </c>
      <c r="AT30" s="242">
        <v>1382.9600000000005</v>
      </c>
      <c r="AU30" s="242">
        <v>0</v>
      </c>
      <c r="AV30" s="242">
        <v>2080.7986111111109</v>
      </c>
      <c r="AW30" s="242">
        <v>0</v>
      </c>
      <c r="AX30" s="242">
        <v>1181.3049999999996</v>
      </c>
      <c r="AY30" s="242">
        <v>0</v>
      </c>
    </row>
    <row r="31" spans="2:51">
      <c r="B31" s="232">
        <v>10081</v>
      </c>
      <c r="C31" s="232" t="s">
        <v>34</v>
      </c>
      <c r="D31" s="242">
        <v>0</v>
      </c>
      <c r="E31" s="242">
        <v>0</v>
      </c>
      <c r="F31" s="242">
        <v>0</v>
      </c>
      <c r="G31" s="242">
        <v>0</v>
      </c>
      <c r="H31" s="242">
        <v>4199.2355769230762</v>
      </c>
      <c r="I31" s="242">
        <v>0</v>
      </c>
      <c r="J31" s="242">
        <v>0</v>
      </c>
      <c r="K31" s="242">
        <v>0</v>
      </c>
      <c r="L31" s="242">
        <v>255.10937499999909</v>
      </c>
      <c r="M31" s="242">
        <v>0</v>
      </c>
      <c r="N31" s="242">
        <v>2594.4212962962993</v>
      </c>
      <c r="O31" s="242">
        <v>0</v>
      </c>
      <c r="P31" s="242">
        <v>1470.1899038461538</v>
      </c>
      <c r="Q31" s="242">
        <v>0</v>
      </c>
      <c r="R31" s="242">
        <v>0</v>
      </c>
      <c r="S31" s="242">
        <v>0</v>
      </c>
      <c r="T31" s="242">
        <v>3699.375</v>
      </c>
      <c r="U31" s="242">
        <v>0</v>
      </c>
      <c r="V31" s="242">
        <v>1567.7975000000019</v>
      </c>
      <c r="W31" s="242">
        <v>0</v>
      </c>
      <c r="X31" s="242">
        <v>2002.3726851851861</v>
      </c>
      <c r="Y31" s="242">
        <v>0</v>
      </c>
      <c r="Z31" s="242">
        <v>1372.2474999999995</v>
      </c>
      <c r="AA31" s="242">
        <v>0</v>
      </c>
      <c r="AB31" s="242">
        <v>0</v>
      </c>
      <c r="AC31" s="242">
        <v>0</v>
      </c>
      <c r="AD31" s="242">
        <v>0</v>
      </c>
      <c r="AE31" s="242">
        <v>0</v>
      </c>
      <c r="AF31" s="242">
        <v>4199.2355769230762</v>
      </c>
      <c r="AG31" s="242">
        <v>0</v>
      </c>
      <c r="AH31" s="242">
        <v>0</v>
      </c>
      <c r="AI31" s="242">
        <v>0</v>
      </c>
      <c r="AJ31" s="242">
        <v>870.09374999999966</v>
      </c>
      <c r="AK31" s="242">
        <v>0</v>
      </c>
      <c r="AL31" s="242">
        <v>2594.4212962962993</v>
      </c>
      <c r="AM31" s="242">
        <v>0</v>
      </c>
      <c r="AN31" s="242">
        <v>1041.8375000000005</v>
      </c>
      <c r="AO31" s="242">
        <v>0</v>
      </c>
      <c r="AP31" s="242">
        <v>0</v>
      </c>
      <c r="AQ31" s="242">
        <v>0</v>
      </c>
      <c r="AR31" s="242">
        <v>3699.375</v>
      </c>
      <c r="AS31" s="242">
        <v>0</v>
      </c>
      <c r="AT31" s="242">
        <v>1567.7975000000019</v>
      </c>
      <c r="AU31" s="242">
        <v>0</v>
      </c>
      <c r="AV31" s="242">
        <v>2542.3773148148143</v>
      </c>
      <c r="AW31" s="242">
        <v>0</v>
      </c>
      <c r="AX31" s="242">
        <v>877.40249999999969</v>
      </c>
      <c r="AY31" s="242">
        <v>0</v>
      </c>
    </row>
    <row r="32" spans="2:51">
      <c r="B32" s="232">
        <v>10082</v>
      </c>
      <c r="C32" s="232" t="s">
        <v>35</v>
      </c>
      <c r="D32" s="242">
        <v>9.4759615384615437</v>
      </c>
      <c r="E32" s="242">
        <v>0</v>
      </c>
      <c r="F32" s="242">
        <v>13.162499999999994</v>
      </c>
      <c r="G32" s="242">
        <v>0</v>
      </c>
      <c r="H32" s="242">
        <v>32.064903846153868</v>
      </c>
      <c r="I32" s="242">
        <v>0</v>
      </c>
      <c r="J32" s="242">
        <v>53.714999999999996</v>
      </c>
      <c r="K32" s="242">
        <v>0</v>
      </c>
      <c r="L32" s="242">
        <v>13.062500000000005</v>
      </c>
      <c r="M32" s="242">
        <v>0</v>
      </c>
      <c r="N32" s="242">
        <v>14.916666666666661</v>
      </c>
      <c r="O32" s="242">
        <v>0</v>
      </c>
      <c r="P32" s="242">
        <v>1.1610576923076765</v>
      </c>
      <c r="Q32" s="242">
        <v>0</v>
      </c>
      <c r="R32" s="242">
        <v>0</v>
      </c>
      <c r="S32" s="242">
        <v>0</v>
      </c>
      <c r="T32" s="242">
        <v>1.2019230769232114E-2</v>
      </c>
      <c r="U32" s="242">
        <v>0</v>
      </c>
      <c r="V32" s="242">
        <v>5.2749999999999986</v>
      </c>
      <c r="W32" s="242">
        <v>0</v>
      </c>
      <c r="X32" s="242">
        <v>8.9467592592592524</v>
      </c>
      <c r="Y32" s="242">
        <v>0</v>
      </c>
      <c r="Z32" s="242">
        <v>10.317500000000008</v>
      </c>
      <c r="AA32" s="242">
        <v>0</v>
      </c>
      <c r="AB32" s="242">
        <v>6.0408653846153877</v>
      </c>
      <c r="AC32" s="242">
        <v>0</v>
      </c>
      <c r="AD32" s="242">
        <v>13.162499999999994</v>
      </c>
      <c r="AE32" s="242">
        <v>0</v>
      </c>
      <c r="AF32" s="242">
        <v>32.064903846153868</v>
      </c>
      <c r="AG32" s="242">
        <v>0</v>
      </c>
      <c r="AH32" s="242">
        <v>53.714999999999996</v>
      </c>
      <c r="AI32" s="242">
        <v>0</v>
      </c>
      <c r="AJ32" s="242">
        <v>18.591145833333321</v>
      </c>
      <c r="AK32" s="242">
        <v>0</v>
      </c>
      <c r="AL32" s="242">
        <v>14.916666666666661</v>
      </c>
      <c r="AM32" s="242">
        <v>0</v>
      </c>
      <c r="AN32" s="242">
        <v>0</v>
      </c>
      <c r="AO32" s="242">
        <v>0</v>
      </c>
      <c r="AP32" s="242">
        <v>0</v>
      </c>
      <c r="AQ32" s="242">
        <v>0</v>
      </c>
      <c r="AR32" s="242">
        <v>1.2019230769232114E-2</v>
      </c>
      <c r="AS32" s="242">
        <v>0</v>
      </c>
      <c r="AT32" s="242">
        <v>5.2749999999999986</v>
      </c>
      <c r="AU32" s="242">
        <v>0</v>
      </c>
      <c r="AV32" s="242">
        <v>11.685185185185173</v>
      </c>
      <c r="AW32" s="242">
        <v>0</v>
      </c>
      <c r="AX32" s="242">
        <v>7.4550000000000036</v>
      </c>
      <c r="AY32" s="242">
        <v>0</v>
      </c>
    </row>
    <row r="33" spans="2:51">
      <c r="B33" s="232">
        <v>10083</v>
      </c>
      <c r="C33" s="232" t="s">
        <v>36</v>
      </c>
      <c r="D33" s="242">
        <v>1.6105769230776446</v>
      </c>
      <c r="E33" s="242">
        <v>0</v>
      </c>
      <c r="F33" s="242">
        <v>0</v>
      </c>
      <c r="G33" s="242">
        <v>0</v>
      </c>
      <c r="H33" s="242">
        <v>888.22836538461434</v>
      </c>
      <c r="I33" s="242">
        <v>0</v>
      </c>
      <c r="J33" s="242">
        <v>8.2924999999982596</v>
      </c>
      <c r="K33" s="242">
        <v>0</v>
      </c>
      <c r="L33" s="242">
        <v>1268.3020833333321</v>
      </c>
      <c r="M33" s="242">
        <v>0</v>
      </c>
      <c r="N33" s="242">
        <v>1938.305555555555</v>
      </c>
      <c r="O33" s="242">
        <v>0</v>
      </c>
      <c r="P33" s="242">
        <v>452.05048076923003</v>
      </c>
      <c r="Q33" s="242">
        <v>0</v>
      </c>
      <c r="R33" s="242">
        <v>799.7824999999998</v>
      </c>
      <c r="S33" s="242">
        <v>0</v>
      </c>
      <c r="T33" s="242">
        <v>4625.9663461538466</v>
      </c>
      <c r="U33" s="242">
        <v>0</v>
      </c>
      <c r="V33" s="242">
        <v>1697.1125000000002</v>
      </c>
      <c r="W33" s="242">
        <v>0</v>
      </c>
      <c r="X33" s="242">
        <v>3204.1203703703704</v>
      </c>
      <c r="Y33" s="242">
        <v>0</v>
      </c>
      <c r="Z33" s="242">
        <v>1899.635</v>
      </c>
      <c r="AA33" s="242">
        <v>0</v>
      </c>
      <c r="AB33" s="242">
        <v>0</v>
      </c>
      <c r="AC33" s="242">
        <v>0</v>
      </c>
      <c r="AD33" s="242">
        <v>0</v>
      </c>
      <c r="AE33" s="242">
        <v>0</v>
      </c>
      <c r="AF33" s="242">
        <v>864.86538461538441</v>
      </c>
      <c r="AG33" s="242">
        <v>0</v>
      </c>
      <c r="AH33" s="242">
        <v>0</v>
      </c>
      <c r="AI33" s="242">
        <v>0</v>
      </c>
      <c r="AJ33" s="242">
        <v>1665.8072916666656</v>
      </c>
      <c r="AK33" s="242">
        <v>0</v>
      </c>
      <c r="AL33" s="242">
        <v>1914.9259259259263</v>
      </c>
      <c r="AM33" s="242">
        <v>0</v>
      </c>
      <c r="AN33" s="242">
        <v>63.342500000000527</v>
      </c>
      <c r="AO33" s="242">
        <v>0</v>
      </c>
      <c r="AP33" s="242">
        <v>1048.7668269230769</v>
      </c>
      <c r="AQ33" s="242">
        <v>0</v>
      </c>
      <c r="AR33" s="242">
        <v>4615.4543269230771</v>
      </c>
      <c r="AS33" s="242">
        <v>0</v>
      </c>
      <c r="AT33" s="242">
        <v>1675.7225000000001</v>
      </c>
      <c r="AU33" s="242">
        <v>0</v>
      </c>
      <c r="AV33" s="242">
        <v>3498.6898148148152</v>
      </c>
      <c r="AW33" s="242">
        <v>0</v>
      </c>
      <c r="AX33" s="242">
        <v>1542.5825</v>
      </c>
      <c r="AY33" s="242">
        <v>0</v>
      </c>
    </row>
    <row r="34" spans="2:51">
      <c r="B34" s="232">
        <v>10086</v>
      </c>
      <c r="C34" s="232" t="s">
        <v>37</v>
      </c>
      <c r="D34" s="242">
        <v>528.68750000000045</v>
      </c>
      <c r="E34" s="242">
        <v>0</v>
      </c>
      <c r="F34" s="242">
        <v>545.09500000000014</v>
      </c>
      <c r="G34" s="242">
        <v>0</v>
      </c>
      <c r="H34" s="242">
        <v>844.87019230769272</v>
      </c>
      <c r="I34" s="242">
        <v>0</v>
      </c>
      <c r="J34" s="242">
        <v>644.60500000000059</v>
      </c>
      <c r="K34" s="242">
        <v>0</v>
      </c>
      <c r="L34" s="242">
        <v>457.90104166666754</v>
      </c>
      <c r="M34" s="242">
        <v>0</v>
      </c>
      <c r="N34" s="242">
        <v>913.31712962962968</v>
      </c>
      <c r="O34" s="242">
        <v>0</v>
      </c>
      <c r="P34" s="242">
        <v>1178.5504807692309</v>
      </c>
      <c r="Q34" s="242">
        <v>0</v>
      </c>
      <c r="R34" s="242">
        <v>420.05000000000047</v>
      </c>
      <c r="S34" s="242">
        <v>0</v>
      </c>
      <c r="T34" s="242">
        <v>580.54086538461581</v>
      </c>
      <c r="U34" s="242">
        <v>0</v>
      </c>
      <c r="V34" s="242">
        <v>372.32249999999965</v>
      </c>
      <c r="W34" s="242">
        <v>0</v>
      </c>
      <c r="X34" s="242">
        <v>631.74305555555497</v>
      </c>
      <c r="Y34" s="242">
        <v>0</v>
      </c>
      <c r="Z34" s="242">
        <v>718.87249999999995</v>
      </c>
      <c r="AA34" s="242">
        <v>0</v>
      </c>
      <c r="AB34" s="242">
        <v>395.29807692307651</v>
      </c>
      <c r="AC34" s="242">
        <v>0</v>
      </c>
      <c r="AD34" s="242">
        <v>549.11749999999972</v>
      </c>
      <c r="AE34" s="242">
        <v>0</v>
      </c>
      <c r="AF34" s="242">
        <v>849.54326923076894</v>
      </c>
      <c r="AG34" s="242">
        <v>0</v>
      </c>
      <c r="AH34" s="242">
        <v>648.31250000000057</v>
      </c>
      <c r="AI34" s="242">
        <v>0</v>
      </c>
      <c r="AJ34" s="242">
        <v>669.81250000000034</v>
      </c>
      <c r="AK34" s="242">
        <v>0</v>
      </c>
      <c r="AL34" s="242">
        <v>918.26620370370347</v>
      </c>
      <c r="AM34" s="242">
        <v>0</v>
      </c>
      <c r="AN34" s="242">
        <v>1022.0175000000003</v>
      </c>
      <c r="AO34" s="242">
        <v>0</v>
      </c>
      <c r="AP34" s="242">
        <v>566.25721153846189</v>
      </c>
      <c r="AQ34" s="242">
        <v>0</v>
      </c>
      <c r="AR34" s="242">
        <v>583.85576923076974</v>
      </c>
      <c r="AS34" s="242">
        <v>0</v>
      </c>
      <c r="AT34" s="242">
        <v>374.16750000000042</v>
      </c>
      <c r="AU34" s="242">
        <v>0</v>
      </c>
      <c r="AV34" s="242">
        <v>745.8171296296299</v>
      </c>
      <c r="AW34" s="242">
        <v>0</v>
      </c>
      <c r="AX34" s="242">
        <v>602.82000000000005</v>
      </c>
      <c r="AY34" s="242">
        <v>0</v>
      </c>
    </row>
    <row r="35" spans="2:51">
      <c r="B35" s="232">
        <v>10087</v>
      </c>
      <c r="C35" s="232" t="s">
        <v>38</v>
      </c>
      <c r="D35" s="242">
        <v>0</v>
      </c>
      <c r="E35" s="242">
        <v>0</v>
      </c>
      <c r="F35" s="242">
        <v>0</v>
      </c>
      <c r="G35" s="242">
        <v>0</v>
      </c>
      <c r="H35" s="242">
        <v>4205.3293269230817</v>
      </c>
      <c r="I35" s="242">
        <v>0</v>
      </c>
      <c r="J35" s="242">
        <v>0</v>
      </c>
      <c r="K35" s="242">
        <v>0</v>
      </c>
      <c r="L35" s="242">
        <v>0</v>
      </c>
      <c r="M35" s="242">
        <v>0</v>
      </c>
      <c r="N35" s="242">
        <v>0</v>
      </c>
      <c r="O35" s="242">
        <v>0</v>
      </c>
      <c r="P35" s="242">
        <v>0</v>
      </c>
      <c r="Q35" s="242">
        <v>0</v>
      </c>
      <c r="R35" s="242">
        <v>0</v>
      </c>
      <c r="S35" s="242">
        <v>0</v>
      </c>
      <c r="T35" s="242">
        <v>0</v>
      </c>
      <c r="U35" s="242">
        <v>0</v>
      </c>
      <c r="V35" s="242">
        <v>0</v>
      </c>
      <c r="W35" s="242">
        <v>0</v>
      </c>
      <c r="X35" s="242">
        <v>0</v>
      </c>
      <c r="Y35" s="242">
        <v>0</v>
      </c>
      <c r="Z35" s="242">
        <v>0</v>
      </c>
      <c r="AA35" s="242">
        <v>0</v>
      </c>
      <c r="AB35" s="242">
        <v>0</v>
      </c>
      <c r="AC35" s="242">
        <v>0</v>
      </c>
      <c r="AD35" s="242">
        <v>0</v>
      </c>
      <c r="AE35" s="242">
        <v>0</v>
      </c>
      <c r="AF35" s="242">
        <v>4205.3293269230817</v>
      </c>
      <c r="AG35" s="242">
        <v>0</v>
      </c>
      <c r="AH35" s="242">
        <v>0</v>
      </c>
      <c r="AI35" s="242">
        <v>0</v>
      </c>
      <c r="AJ35" s="242">
        <v>0</v>
      </c>
      <c r="AK35" s="242">
        <v>0</v>
      </c>
      <c r="AL35" s="242">
        <v>0</v>
      </c>
      <c r="AM35" s="242">
        <v>0</v>
      </c>
      <c r="AN35" s="242">
        <v>0</v>
      </c>
      <c r="AO35" s="242">
        <v>0</v>
      </c>
      <c r="AP35" s="242">
        <v>0</v>
      </c>
      <c r="AQ35" s="242">
        <v>0</v>
      </c>
      <c r="AR35" s="242">
        <v>0</v>
      </c>
      <c r="AS35" s="242">
        <v>0</v>
      </c>
      <c r="AT35" s="242">
        <v>0</v>
      </c>
      <c r="AU35" s="242">
        <v>0</v>
      </c>
      <c r="AV35" s="242">
        <v>0</v>
      </c>
      <c r="AW35" s="242">
        <v>0</v>
      </c>
      <c r="AX35" s="242">
        <v>0</v>
      </c>
      <c r="AY35" s="242">
        <v>0</v>
      </c>
    </row>
    <row r="36" spans="2:51">
      <c r="B36" s="232">
        <v>10089</v>
      </c>
      <c r="C36" s="232" t="s">
        <v>39</v>
      </c>
      <c r="D36" s="242">
        <v>1136.6514423076878</v>
      </c>
      <c r="E36" s="242">
        <v>0</v>
      </c>
      <c r="F36" s="242">
        <v>2834.7299999999864</v>
      </c>
      <c r="G36" s="242">
        <v>0</v>
      </c>
      <c r="H36" s="242">
        <v>21948.781250000007</v>
      </c>
      <c r="I36" s="242">
        <v>0</v>
      </c>
      <c r="J36" s="242">
        <v>4636.1925000000001</v>
      </c>
      <c r="K36" s="242">
        <v>0</v>
      </c>
      <c r="L36" s="242">
        <v>0</v>
      </c>
      <c r="M36" s="242">
        <v>0</v>
      </c>
      <c r="N36" s="242">
        <v>17655.759259259259</v>
      </c>
      <c r="O36" s="242">
        <v>0</v>
      </c>
      <c r="P36" s="242">
        <v>20225.21875</v>
      </c>
      <c r="Q36" s="242">
        <v>0</v>
      </c>
      <c r="R36" s="242">
        <v>3135.1674999999977</v>
      </c>
      <c r="S36" s="242">
        <v>0</v>
      </c>
      <c r="T36" s="242">
        <v>33114.971153846127</v>
      </c>
      <c r="U36" s="242">
        <v>0</v>
      </c>
      <c r="V36" s="242">
        <v>17816.427500000005</v>
      </c>
      <c r="W36" s="242">
        <v>0</v>
      </c>
      <c r="X36" s="242">
        <v>29759.833333333358</v>
      </c>
      <c r="Y36" s="242">
        <v>0</v>
      </c>
      <c r="Z36" s="242">
        <v>22054.772499999985</v>
      </c>
      <c r="AA36" s="242">
        <v>0</v>
      </c>
      <c r="AB36" s="242">
        <v>0</v>
      </c>
      <c r="AC36" s="242">
        <v>0</v>
      </c>
      <c r="AD36" s="242">
        <v>3008.4274999999893</v>
      </c>
      <c r="AE36" s="242">
        <v>0</v>
      </c>
      <c r="AF36" s="242">
        <v>22669.783653846149</v>
      </c>
      <c r="AG36" s="242">
        <v>0</v>
      </c>
      <c r="AH36" s="242">
        <v>5185.8099999999822</v>
      </c>
      <c r="AI36" s="242">
        <v>0</v>
      </c>
      <c r="AJ36" s="242">
        <v>0</v>
      </c>
      <c r="AK36" s="242">
        <v>0</v>
      </c>
      <c r="AL36" s="242">
        <v>17766.752314814828</v>
      </c>
      <c r="AM36" s="242">
        <v>0</v>
      </c>
      <c r="AN36" s="242">
        <v>16146.697499999991</v>
      </c>
      <c r="AO36" s="242">
        <v>0</v>
      </c>
      <c r="AP36" s="242">
        <v>7497.6081730769301</v>
      </c>
      <c r="AQ36" s="242">
        <v>0</v>
      </c>
      <c r="AR36" s="242">
        <v>33281.975961538461</v>
      </c>
      <c r="AS36" s="242">
        <v>0</v>
      </c>
      <c r="AT36" s="242">
        <v>17943.205000000009</v>
      </c>
      <c r="AU36" s="242">
        <v>0</v>
      </c>
      <c r="AV36" s="242">
        <v>34964.87731481481</v>
      </c>
      <c r="AW36" s="242">
        <v>0</v>
      </c>
      <c r="AX36" s="242">
        <v>17768.947499999995</v>
      </c>
      <c r="AY36" s="242">
        <v>0</v>
      </c>
    </row>
    <row r="37" spans="2:51">
      <c r="B37" s="232">
        <v>10091</v>
      </c>
      <c r="C37" s="232" t="s">
        <v>40</v>
      </c>
      <c r="D37" s="242">
        <v>351.59134615384602</v>
      </c>
      <c r="E37" s="242">
        <v>0</v>
      </c>
      <c r="F37" s="242">
        <v>792.39499999999816</v>
      </c>
      <c r="G37" s="242">
        <v>0</v>
      </c>
      <c r="H37" s="242">
        <v>1819.5745192307697</v>
      </c>
      <c r="I37" s="242">
        <v>0</v>
      </c>
      <c r="J37" s="242">
        <v>1271.8674999999994</v>
      </c>
      <c r="K37" s="242">
        <v>0</v>
      </c>
      <c r="L37" s="242">
        <v>210.62760416666748</v>
      </c>
      <c r="M37" s="242">
        <v>0</v>
      </c>
      <c r="N37" s="242">
        <v>267.83101851851887</v>
      </c>
      <c r="O37" s="242">
        <v>0</v>
      </c>
      <c r="P37" s="242">
        <v>786.15865384615313</v>
      </c>
      <c r="Q37" s="242">
        <v>0</v>
      </c>
      <c r="R37" s="242">
        <v>782.1724999999999</v>
      </c>
      <c r="S37" s="242">
        <v>0</v>
      </c>
      <c r="T37" s="242">
        <v>820.84374999999989</v>
      </c>
      <c r="U37" s="242">
        <v>0</v>
      </c>
      <c r="V37" s="242">
        <v>728.15749999999923</v>
      </c>
      <c r="W37" s="242">
        <v>0</v>
      </c>
      <c r="X37" s="242">
        <v>1091.0902777777778</v>
      </c>
      <c r="Y37" s="242">
        <v>0</v>
      </c>
      <c r="Z37" s="242">
        <v>569.77250000000072</v>
      </c>
      <c r="AA37" s="242">
        <v>0</v>
      </c>
      <c r="AB37" s="242">
        <v>351.59134615384602</v>
      </c>
      <c r="AC37" s="242">
        <v>0</v>
      </c>
      <c r="AD37" s="242">
        <v>792.39499999999816</v>
      </c>
      <c r="AE37" s="242">
        <v>0</v>
      </c>
      <c r="AF37" s="242">
        <v>1819.5745192307697</v>
      </c>
      <c r="AG37" s="242">
        <v>0</v>
      </c>
      <c r="AH37" s="242">
        <v>1271.8674999999994</v>
      </c>
      <c r="AI37" s="242">
        <v>0</v>
      </c>
      <c r="AJ37" s="242">
        <v>624.7421875000008</v>
      </c>
      <c r="AK37" s="242">
        <v>0</v>
      </c>
      <c r="AL37" s="242">
        <v>267.83101851851887</v>
      </c>
      <c r="AM37" s="242">
        <v>0</v>
      </c>
      <c r="AN37" s="242">
        <v>437.7649999999993</v>
      </c>
      <c r="AO37" s="242">
        <v>0</v>
      </c>
      <c r="AP37" s="242">
        <v>1098.3197115384621</v>
      </c>
      <c r="AQ37" s="242">
        <v>0</v>
      </c>
      <c r="AR37" s="242">
        <v>820.84374999999989</v>
      </c>
      <c r="AS37" s="242">
        <v>0</v>
      </c>
      <c r="AT37" s="242">
        <v>728.15749999999923</v>
      </c>
      <c r="AU37" s="242">
        <v>0</v>
      </c>
      <c r="AV37" s="242">
        <v>1091.0902777777778</v>
      </c>
      <c r="AW37" s="242">
        <v>0</v>
      </c>
      <c r="AX37" s="242">
        <v>569.77250000000072</v>
      </c>
      <c r="AY37" s="242">
        <v>0</v>
      </c>
    </row>
    <row r="38" spans="2:51">
      <c r="B38" s="232">
        <v>10094</v>
      </c>
      <c r="C38" s="232" t="s">
        <v>41</v>
      </c>
      <c r="D38" s="242">
        <v>465.22836538461553</v>
      </c>
      <c r="E38" s="242">
        <v>0</v>
      </c>
      <c r="F38" s="242">
        <v>255.91500000000067</v>
      </c>
      <c r="G38" s="242">
        <v>0</v>
      </c>
      <c r="H38" s="242">
        <v>480.5432692307686</v>
      </c>
      <c r="I38" s="242">
        <v>0</v>
      </c>
      <c r="J38" s="242">
        <v>473.52249999999958</v>
      </c>
      <c r="K38" s="242">
        <v>0</v>
      </c>
      <c r="L38" s="242">
        <v>323.2005208333324</v>
      </c>
      <c r="M38" s="242">
        <v>0</v>
      </c>
      <c r="N38" s="242">
        <v>622.18518518518567</v>
      </c>
      <c r="O38" s="242">
        <v>0</v>
      </c>
      <c r="P38" s="242">
        <v>570.91346153846212</v>
      </c>
      <c r="Q38" s="242">
        <v>0</v>
      </c>
      <c r="R38" s="242">
        <v>390.24499999999978</v>
      </c>
      <c r="S38" s="242">
        <v>0</v>
      </c>
      <c r="T38" s="242">
        <v>469.293269230769</v>
      </c>
      <c r="U38" s="242">
        <v>0</v>
      </c>
      <c r="V38" s="242">
        <v>497.55999999999943</v>
      </c>
      <c r="W38" s="242">
        <v>0</v>
      </c>
      <c r="X38" s="242">
        <v>545.8518518518523</v>
      </c>
      <c r="Y38" s="242">
        <v>0</v>
      </c>
      <c r="Z38" s="242">
        <v>458.54249999999996</v>
      </c>
      <c r="AA38" s="242">
        <v>0</v>
      </c>
      <c r="AB38" s="242">
        <v>465.22836538461553</v>
      </c>
      <c r="AC38" s="242">
        <v>0</v>
      </c>
      <c r="AD38" s="242">
        <v>255.91500000000067</v>
      </c>
      <c r="AE38" s="242">
        <v>0</v>
      </c>
      <c r="AF38" s="242">
        <v>480.5432692307686</v>
      </c>
      <c r="AG38" s="242">
        <v>0</v>
      </c>
      <c r="AH38" s="242">
        <v>473.52249999999958</v>
      </c>
      <c r="AI38" s="242">
        <v>0</v>
      </c>
      <c r="AJ38" s="242">
        <v>461.91666666666629</v>
      </c>
      <c r="AK38" s="242">
        <v>0</v>
      </c>
      <c r="AL38" s="242">
        <v>622.18518518518567</v>
      </c>
      <c r="AM38" s="242">
        <v>0</v>
      </c>
      <c r="AN38" s="242">
        <v>440.95000000000044</v>
      </c>
      <c r="AO38" s="242">
        <v>0</v>
      </c>
      <c r="AP38" s="242">
        <v>506.69711538461513</v>
      </c>
      <c r="AQ38" s="242">
        <v>0</v>
      </c>
      <c r="AR38" s="242">
        <v>469.293269230769</v>
      </c>
      <c r="AS38" s="242">
        <v>0</v>
      </c>
      <c r="AT38" s="242">
        <v>497.55999999999943</v>
      </c>
      <c r="AU38" s="242">
        <v>0</v>
      </c>
      <c r="AV38" s="242">
        <v>545.8518518518523</v>
      </c>
      <c r="AW38" s="242">
        <v>0</v>
      </c>
      <c r="AX38" s="242">
        <v>458.54249999999996</v>
      </c>
      <c r="AY38" s="242">
        <v>0</v>
      </c>
    </row>
    <row r="39" spans="2:51">
      <c r="B39" s="232">
        <v>10095</v>
      </c>
      <c r="C39" s="232" t="s">
        <v>42</v>
      </c>
      <c r="D39" s="242">
        <v>507.38942307692281</v>
      </c>
      <c r="E39" s="242">
        <v>0</v>
      </c>
      <c r="F39" s="242">
        <v>305.24750000000012</v>
      </c>
      <c r="G39" s="242">
        <v>0</v>
      </c>
      <c r="H39" s="242">
        <v>609.98557692307736</v>
      </c>
      <c r="I39" s="242">
        <v>0</v>
      </c>
      <c r="J39" s="242">
        <v>261.70999999999987</v>
      </c>
      <c r="K39" s="242">
        <v>0</v>
      </c>
      <c r="L39" s="242">
        <v>241.7473958333336</v>
      </c>
      <c r="M39" s="242">
        <v>0</v>
      </c>
      <c r="N39" s="242">
        <v>304.19675925925935</v>
      </c>
      <c r="O39" s="242">
        <v>0</v>
      </c>
      <c r="P39" s="242">
        <v>353.97596153846246</v>
      </c>
      <c r="Q39" s="242">
        <v>0</v>
      </c>
      <c r="R39" s="242">
        <v>0</v>
      </c>
      <c r="S39" s="242">
        <v>0</v>
      </c>
      <c r="T39" s="242">
        <v>214.46634615384608</v>
      </c>
      <c r="U39" s="242">
        <v>0</v>
      </c>
      <c r="V39" s="242">
        <v>53.292499999999741</v>
      </c>
      <c r="W39" s="242">
        <v>0</v>
      </c>
      <c r="X39" s="242">
        <v>129.67824074074008</v>
      </c>
      <c r="Y39" s="242">
        <v>0</v>
      </c>
      <c r="Z39" s="242">
        <v>255.3674999999993</v>
      </c>
      <c r="AA39" s="242">
        <v>0</v>
      </c>
      <c r="AB39" s="242">
        <v>388.06971153846092</v>
      </c>
      <c r="AC39" s="242">
        <v>0</v>
      </c>
      <c r="AD39" s="242">
        <v>300.86250000000001</v>
      </c>
      <c r="AE39" s="242">
        <v>0</v>
      </c>
      <c r="AF39" s="242">
        <v>602.70192307692309</v>
      </c>
      <c r="AG39" s="242">
        <v>0</v>
      </c>
      <c r="AH39" s="242">
        <v>265.68000000000058</v>
      </c>
      <c r="AI39" s="242">
        <v>0</v>
      </c>
      <c r="AJ39" s="242">
        <v>353.85937500000011</v>
      </c>
      <c r="AK39" s="242">
        <v>0</v>
      </c>
      <c r="AL39" s="242">
        <v>308.79398148148084</v>
      </c>
      <c r="AM39" s="242">
        <v>0</v>
      </c>
      <c r="AN39" s="242">
        <v>187.76499999999984</v>
      </c>
      <c r="AO39" s="242">
        <v>0</v>
      </c>
      <c r="AP39" s="242">
        <v>141.68990384615387</v>
      </c>
      <c r="AQ39" s="242">
        <v>0</v>
      </c>
      <c r="AR39" s="242">
        <v>215.44230769230776</v>
      </c>
      <c r="AS39" s="242">
        <v>0</v>
      </c>
      <c r="AT39" s="242">
        <v>54.43999999999982</v>
      </c>
      <c r="AU39" s="242">
        <v>0</v>
      </c>
      <c r="AV39" s="242">
        <v>240.52314814814812</v>
      </c>
      <c r="AW39" s="242">
        <v>0</v>
      </c>
      <c r="AX39" s="242">
        <v>139.74749999999946</v>
      </c>
      <c r="AY39" s="242">
        <v>0</v>
      </c>
    </row>
    <row r="40" spans="2:51">
      <c r="B40" s="232">
        <v>10097</v>
      </c>
      <c r="C40" s="232" t="s">
        <v>43</v>
      </c>
      <c r="D40" s="242">
        <v>444.98317307692304</v>
      </c>
      <c r="E40" s="242">
        <v>0</v>
      </c>
      <c r="F40" s="242">
        <v>291.62250000000017</v>
      </c>
      <c r="G40" s="242">
        <v>0</v>
      </c>
      <c r="H40" s="242">
        <v>753.06009615384608</v>
      </c>
      <c r="I40" s="242">
        <v>0</v>
      </c>
      <c r="J40" s="242">
        <v>550.68249999999955</v>
      </c>
      <c r="K40" s="242">
        <v>0</v>
      </c>
      <c r="L40" s="242">
        <v>160.69010416666697</v>
      </c>
      <c r="M40" s="242">
        <v>0</v>
      </c>
      <c r="N40" s="242">
        <v>414.12962962962939</v>
      </c>
      <c r="O40" s="242">
        <v>0</v>
      </c>
      <c r="P40" s="242">
        <v>467.98317307692304</v>
      </c>
      <c r="Q40" s="242">
        <v>0</v>
      </c>
      <c r="R40" s="242">
        <v>225.66250000000011</v>
      </c>
      <c r="S40" s="242">
        <v>0</v>
      </c>
      <c r="T40" s="242">
        <v>288.90625000000017</v>
      </c>
      <c r="U40" s="242">
        <v>0</v>
      </c>
      <c r="V40" s="242">
        <v>192.14750000000018</v>
      </c>
      <c r="W40" s="242">
        <v>0</v>
      </c>
      <c r="X40" s="242">
        <v>281.58796296296305</v>
      </c>
      <c r="Y40" s="242">
        <v>0</v>
      </c>
      <c r="Z40" s="242">
        <v>281.07499999999999</v>
      </c>
      <c r="AA40" s="242">
        <v>0</v>
      </c>
      <c r="AB40" s="242">
        <v>446.83413461538493</v>
      </c>
      <c r="AC40" s="242">
        <v>0</v>
      </c>
      <c r="AD40" s="242">
        <v>292.91499999999962</v>
      </c>
      <c r="AE40" s="242">
        <v>0</v>
      </c>
      <c r="AF40" s="242">
        <v>755.91586538461524</v>
      </c>
      <c r="AG40" s="242">
        <v>0</v>
      </c>
      <c r="AH40" s="242">
        <v>553.15750000000037</v>
      </c>
      <c r="AI40" s="242">
        <v>0</v>
      </c>
      <c r="AJ40" s="242">
        <v>255.71874999999966</v>
      </c>
      <c r="AK40" s="242">
        <v>0</v>
      </c>
      <c r="AL40" s="242">
        <v>416.40277777777754</v>
      </c>
      <c r="AM40" s="242">
        <v>0</v>
      </c>
      <c r="AN40" s="242">
        <v>388.55000000000018</v>
      </c>
      <c r="AO40" s="242">
        <v>0</v>
      </c>
      <c r="AP40" s="242">
        <v>288.54807692307685</v>
      </c>
      <c r="AQ40" s="242">
        <v>0</v>
      </c>
      <c r="AR40" s="242">
        <v>289.92307692307725</v>
      </c>
      <c r="AS40" s="242">
        <v>0</v>
      </c>
      <c r="AT40" s="242">
        <v>192.99500000000029</v>
      </c>
      <c r="AU40" s="242">
        <v>0</v>
      </c>
      <c r="AV40" s="242">
        <v>281.64351851851853</v>
      </c>
      <c r="AW40" s="242">
        <v>0</v>
      </c>
      <c r="AX40" s="242">
        <v>282.10749999999996</v>
      </c>
      <c r="AY40" s="242">
        <v>0</v>
      </c>
    </row>
    <row r="41" spans="2:51">
      <c r="B41" s="232">
        <v>10101</v>
      </c>
      <c r="C41" s="232" t="s">
        <v>44</v>
      </c>
      <c r="D41" s="242">
        <v>0</v>
      </c>
      <c r="E41" s="242">
        <v>0</v>
      </c>
      <c r="F41" s="242">
        <v>0</v>
      </c>
      <c r="G41" s="242">
        <v>0</v>
      </c>
      <c r="H41" s="242">
        <v>31214.295673076926</v>
      </c>
      <c r="I41" s="242">
        <v>0</v>
      </c>
      <c r="J41" s="242">
        <v>21792.807500000003</v>
      </c>
      <c r="K41" s="242">
        <v>0</v>
      </c>
      <c r="L41" s="242">
        <v>18066.484374999996</v>
      </c>
      <c r="M41" s="242">
        <v>0</v>
      </c>
      <c r="N41" s="242">
        <v>16467.696759259248</v>
      </c>
      <c r="O41" s="242">
        <v>0</v>
      </c>
      <c r="P41" s="242">
        <v>19184.209134615387</v>
      </c>
      <c r="Q41" s="242">
        <v>0</v>
      </c>
      <c r="R41" s="242">
        <v>13835.387500000003</v>
      </c>
      <c r="S41" s="242">
        <v>0</v>
      </c>
      <c r="T41" s="242">
        <v>11045.742788461535</v>
      </c>
      <c r="U41" s="242">
        <v>0</v>
      </c>
      <c r="V41" s="242">
        <v>5487.3999999999924</v>
      </c>
      <c r="W41" s="242">
        <v>0</v>
      </c>
      <c r="X41" s="242">
        <v>9740.5740740740766</v>
      </c>
      <c r="Y41" s="242">
        <v>0</v>
      </c>
      <c r="Z41" s="242">
        <v>12446.689999999997</v>
      </c>
      <c r="AA41" s="242">
        <v>0</v>
      </c>
      <c r="AB41" s="242">
        <v>0</v>
      </c>
      <c r="AC41" s="242">
        <v>0</v>
      </c>
      <c r="AD41" s="242">
        <v>218.1824999999975</v>
      </c>
      <c r="AE41" s="242">
        <v>0</v>
      </c>
      <c r="AF41" s="242">
        <v>32262.144230769245</v>
      </c>
      <c r="AG41" s="242">
        <v>0</v>
      </c>
      <c r="AH41" s="242">
        <v>22839.542500000014</v>
      </c>
      <c r="AI41" s="242">
        <v>0</v>
      </c>
      <c r="AJ41" s="242">
        <v>22084.708333333347</v>
      </c>
      <c r="AK41" s="242">
        <v>0</v>
      </c>
      <c r="AL41" s="242">
        <v>17512.057870370376</v>
      </c>
      <c r="AM41" s="242">
        <v>0</v>
      </c>
      <c r="AN41" s="242">
        <v>16985.579999999998</v>
      </c>
      <c r="AO41" s="242">
        <v>0</v>
      </c>
      <c r="AP41" s="242">
        <v>17416.27163461539</v>
      </c>
      <c r="AQ41" s="242">
        <v>0</v>
      </c>
      <c r="AR41" s="242">
        <v>11910.822115384623</v>
      </c>
      <c r="AS41" s="242">
        <v>0</v>
      </c>
      <c r="AT41" s="242">
        <v>6363.3075000000026</v>
      </c>
      <c r="AU41" s="242">
        <v>0</v>
      </c>
      <c r="AV41" s="242">
        <v>10616.817129629626</v>
      </c>
      <c r="AW41" s="242">
        <v>0</v>
      </c>
      <c r="AX41" s="242">
        <v>13383.482500000007</v>
      </c>
      <c r="AY41" s="242">
        <v>0</v>
      </c>
    </row>
    <row r="42" spans="2:51">
      <c r="B42" s="232">
        <v>10103</v>
      </c>
      <c r="C42" s="232" t="s">
        <v>45</v>
      </c>
      <c r="D42" s="242">
        <v>0</v>
      </c>
      <c r="E42" s="242">
        <v>0</v>
      </c>
      <c r="F42" s="242">
        <v>0</v>
      </c>
      <c r="G42" s="242">
        <v>0</v>
      </c>
      <c r="H42" s="242">
        <v>0</v>
      </c>
      <c r="I42" s="242">
        <v>0</v>
      </c>
      <c r="J42" s="242">
        <v>0</v>
      </c>
      <c r="K42" s="242">
        <v>0</v>
      </c>
      <c r="L42" s="242">
        <v>0</v>
      </c>
      <c r="M42" s="242">
        <v>0</v>
      </c>
      <c r="N42" s="242">
        <v>0</v>
      </c>
      <c r="O42" s="242">
        <v>0</v>
      </c>
      <c r="P42" s="242">
        <v>0</v>
      </c>
      <c r="Q42" s="242">
        <v>0</v>
      </c>
      <c r="R42" s="242">
        <v>0</v>
      </c>
      <c r="S42" s="242">
        <v>0</v>
      </c>
      <c r="T42" s="242">
        <v>0</v>
      </c>
      <c r="U42" s="242">
        <v>0</v>
      </c>
      <c r="V42" s="242">
        <v>0</v>
      </c>
      <c r="W42" s="242">
        <v>0</v>
      </c>
      <c r="X42" s="242">
        <v>0</v>
      </c>
      <c r="Y42" s="242">
        <v>0</v>
      </c>
      <c r="Z42" s="242">
        <v>0</v>
      </c>
      <c r="AA42" s="242">
        <v>0</v>
      </c>
      <c r="AB42" s="242">
        <v>0</v>
      </c>
      <c r="AC42" s="242">
        <v>0</v>
      </c>
      <c r="AD42" s="242">
        <v>0</v>
      </c>
      <c r="AE42" s="242">
        <v>0</v>
      </c>
      <c r="AF42" s="242">
        <v>0</v>
      </c>
      <c r="AG42" s="242">
        <v>0</v>
      </c>
      <c r="AH42" s="242">
        <v>0</v>
      </c>
      <c r="AI42" s="242">
        <v>0</v>
      </c>
      <c r="AJ42" s="242">
        <v>0</v>
      </c>
      <c r="AK42" s="242">
        <v>0</v>
      </c>
      <c r="AL42" s="242">
        <v>0</v>
      </c>
      <c r="AM42" s="242">
        <v>0</v>
      </c>
      <c r="AN42" s="242">
        <v>0</v>
      </c>
      <c r="AO42" s="242">
        <v>0</v>
      </c>
      <c r="AP42" s="242">
        <v>0</v>
      </c>
      <c r="AQ42" s="242">
        <v>0</v>
      </c>
      <c r="AR42" s="242">
        <v>0</v>
      </c>
      <c r="AS42" s="242">
        <v>0</v>
      </c>
      <c r="AT42" s="242">
        <v>0</v>
      </c>
      <c r="AU42" s="242">
        <v>0</v>
      </c>
      <c r="AV42" s="242">
        <v>0</v>
      </c>
      <c r="AW42" s="242">
        <v>0</v>
      </c>
      <c r="AX42" s="242">
        <v>0</v>
      </c>
      <c r="AY42" s="242">
        <v>0</v>
      </c>
    </row>
    <row r="43" spans="2:51">
      <c r="B43" s="232">
        <v>10105</v>
      </c>
      <c r="C43" s="232" t="s">
        <v>46</v>
      </c>
      <c r="D43" s="242">
        <v>0</v>
      </c>
      <c r="E43" s="242">
        <v>0</v>
      </c>
      <c r="F43" s="242">
        <v>0</v>
      </c>
      <c r="G43" s="242">
        <v>0</v>
      </c>
      <c r="H43" s="242">
        <v>0</v>
      </c>
      <c r="I43" s="242">
        <v>0</v>
      </c>
      <c r="J43" s="242">
        <v>0</v>
      </c>
      <c r="K43" s="242">
        <v>0</v>
      </c>
      <c r="L43" s="242">
        <v>0</v>
      </c>
      <c r="M43" s="242">
        <v>0</v>
      </c>
      <c r="N43" s="242">
        <v>0</v>
      </c>
      <c r="O43" s="242">
        <v>0</v>
      </c>
      <c r="P43" s="242">
        <v>0</v>
      </c>
      <c r="Q43" s="242">
        <v>0</v>
      </c>
      <c r="R43" s="242">
        <v>0</v>
      </c>
      <c r="S43" s="242">
        <v>0</v>
      </c>
      <c r="T43" s="242">
        <v>0</v>
      </c>
      <c r="U43" s="242">
        <v>0</v>
      </c>
      <c r="V43" s="242">
        <v>0</v>
      </c>
      <c r="W43" s="242">
        <v>0</v>
      </c>
      <c r="X43" s="242">
        <v>0</v>
      </c>
      <c r="Y43" s="242">
        <v>0</v>
      </c>
      <c r="Z43" s="242">
        <v>0</v>
      </c>
      <c r="AA43" s="242">
        <v>0</v>
      </c>
      <c r="AB43" s="242">
        <v>0</v>
      </c>
      <c r="AC43" s="242">
        <v>0</v>
      </c>
      <c r="AD43" s="242">
        <v>0</v>
      </c>
      <c r="AE43" s="242">
        <v>0</v>
      </c>
      <c r="AF43" s="242">
        <v>0</v>
      </c>
      <c r="AG43" s="242">
        <v>0</v>
      </c>
      <c r="AH43" s="242">
        <v>0</v>
      </c>
      <c r="AI43" s="242">
        <v>0</v>
      </c>
      <c r="AJ43" s="242">
        <v>0</v>
      </c>
      <c r="AK43" s="242">
        <v>0</v>
      </c>
      <c r="AL43" s="242">
        <v>0</v>
      </c>
      <c r="AM43" s="242">
        <v>0</v>
      </c>
      <c r="AN43" s="242">
        <v>0</v>
      </c>
      <c r="AO43" s="242">
        <v>0</v>
      </c>
      <c r="AP43" s="242">
        <v>0</v>
      </c>
      <c r="AQ43" s="242">
        <v>0</v>
      </c>
      <c r="AR43" s="242">
        <v>0</v>
      </c>
      <c r="AS43" s="242">
        <v>0</v>
      </c>
      <c r="AT43" s="242">
        <v>0</v>
      </c>
      <c r="AU43" s="242">
        <v>0</v>
      </c>
      <c r="AV43" s="242">
        <v>0</v>
      </c>
      <c r="AW43" s="242">
        <v>0</v>
      </c>
      <c r="AX43" s="242">
        <v>0</v>
      </c>
      <c r="AY43" s="242">
        <v>0</v>
      </c>
    </row>
    <row r="44" spans="2:51">
      <c r="B44" s="232">
        <v>10106</v>
      </c>
      <c r="C44" s="232" t="s">
        <v>47</v>
      </c>
      <c r="D44" s="242">
        <v>0</v>
      </c>
      <c r="E44" s="242">
        <v>0</v>
      </c>
      <c r="F44" s="242">
        <v>0</v>
      </c>
      <c r="G44" s="242">
        <v>0</v>
      </c>
      <c r="H44" s="242">
        <v>0</v>
      </c>
      <c r="I44" s="242">
        <v>0</v>
      </c>
      <c r="J44" s="242">
        <v>0</v>
      </c>
      <c r="K44" s="242">
        <v>0</v>
      </c>
      <c r="L44" s="242">
        <v>0</v>
      </c>
      <c r="M44" s="242">
        <v>0</v>
      </c>
      <c r="N44" s="242">
        <v>0</v>
      </c>
      <c r="O44" s="242">
        <v>0</v>
      </c>
      <c r="P44" s="242">
        <v>0</v>
      </c>
      <c r="Q44" s="242">
        <v>0</v>
      </c>
      <c r="R44" s="242">
        <v>0</v>
      </c>
      <c r="S44" s="242">
        <v>0</v>
      </c>
      <c r="T44" s="242">
        <v>0</v>
      </c>
      <c r="U44" s="242">
        <v>0</v>
      </c>
      <c r="V44" s="242">
        <v>0</v>
      </c>
      <c r="W44" s="242">
        <v>0</v>
      </c>
      <c r="X44" s="242">
        <v>0</v>
      </c>
      <c r="Y44" s="242">
        <v>0</v>
      </c>
      <c r="Z44" s="242">
        <v>0</v>
      </c>
      <c r="AA44" s="242">
        <v>0</v>
      </c>
      <c r="AB44" s="242">
        <v>0</v>
      </c>
      <c r="AC44" s="242">
        <v>0</v>
      </c>
      <c r="AD44" s="242">
        <v>0</v>
      </c>
      <c r="AE44" s="242">
        <v>0</v>
      </c>
      <c r="AF44" s="242">
        <v>0</v>
      </c>
      <c r="AG44" s="242">
        <v>0</v>
      </c>
      <c r="AH44" s="242">
        <v>0</v>
      </c>
      <c r="AI44" s="242">
        <v>0</v>
      </c>
      <c r="AJ44" s="242">
        <v>0</v>
      </c>
      <c r="AK44" s="242">
        <v>0</v>
      </c>
      <c r="AL44" s="242">
        <v>0</v>
      </c>
      <c r="AM44" s="242">
        <v>0</v>
      </c>
      <c r="AN44" s="242">
        <v>0</v>
      </c>
      <c r="AO44" s="242">
        <v>0</v>
      </c>
      <c r="AP44" s="242">
        <v>0</v>
      </c>
      <c r="AQ44" s="242">
        <v>0</v>
      </c>
      <c r="AR44" s="242">
        <v>0</v>
      </c>
      <c r="AS44" s="242">
        <v>0</v>
      </c>
      <c r="AT44" s="242">
        <v>0</v>
      </c>
      <c r="AU44" s="242">
        <v>0</v>
      </c>
      <c r="AV44" s="242">
        <v>0</v>
      </c>
      <c r="AW44" s="242">
        <v>0</v>
      </c>
      <c r="AX44" s="242">
        <v>0</v>
      </c>
      <c r="AY44" s="242">
        <v>0</v>
      </c>
    </row>
    <row r="45" spans="2:51">
      <c r="B45" s="232">
        <v>10109</v>
      </c>
      <c r="C45" s="232" t="s">
        <v>48</v>
      </c>
      <c r="D45" s="242">
        <v>4719.9062499999964</v>
      </c>
      <c r="E45" s="242">
        <v>0</v>
      </c>
      <c r="F45" s="242">
        <v>1884.9374999999986</v>
      </c>
      <c r="G45" s="242">
        <v>0</v>
      </c>
      <c r="H45" s="242">
        <v>3797.9927884615358</v>
      </c>
      <c r="I45" s="242">
        <v>0</v>
      </c>
      <c r="J45" s="242">
        <v>4216.0300000000016</v>
      </c>
      <c r="K45" s="242">
        <v>0</v>
      </c>
      <c r="L45" s="242">
        <v>3787.7864583333335</v>
      </c>
      <c r="M45" s="242">
        <v>0</v>
      </c>
      <c r="N45" s="242">
        <v>5164.7407407407409</v>
      </c>
      <c r="O45" s="242">
        <v>0</v>
      </c>
      <c r="P45" s="242">
        <v>4248.2331730769229</v>
      </c>
      <c r="Q45" s="242">
        <v>0</v>
      </c>
      <c r="R45" s="242">
        <v>1431.9649999999995</v>
      </c>
      <c r="S45" s="242">
        <v>0</v>
      </c>
      <c r="T45" s="242">
        <v>3666.4663461538412</v>
      </c>
      <c r="U45" s="242">
        <v>0</v>
      </c>
      <c r="V45" s="242">
        <v>2969.9000000000019</v>
      </c>
      <c r="W45" s="242">
        <v>0</v>
      </c>
      <c r="X45" s="242">
        <v>3600.0231481481474</v>
      </c>
      <c r="Y45" s="242">
        <v>0</v>
      </c>
      <c r="Z45" s="242">
        <v>4626.4324999999999</v>
      </c>
      <c r="AA45" s="242">
        <v>0</v>
      </c>
      <c r="AB45" s="242">
        <v>4183.4975961538448</v>
      </c>
      <c r="AC45" s="242">
        <v>0</v>
      </c>
      <c r="AD45" s="242">
        <v>1916.8749999999984</v>
      </c>
      <c r="AE45" s="242">
        <v>0</v>
      </c>
      <c r="AF45" s="242">
        <v>3874.3413461538453</v>
      </c>
      <c r="AG45" s="242">
        <v>0</v>
      </c>
      <c r="AH45" s="242">
        <v>4262.9599999999982</v>
      </c>
      <c r="AI45" s="242">
        <v>0</v>
      </c>
      <c r="AJ45" s="242">
        <v>4088.3619791666661</v>
      </c>
      <c r="AK45" s="242">
        <v>0</v>
      </c>
      <c r="AL45" s="242">
        <v>5188.2523148148175</v>
      </c>
      <c r="AM45" s="242">
        <v>0</v>
      </c>
      <c r="AN45" s="242">
        <v>3598.5249999999987</v>
      </c>
      <c r="AO45" s="242">
        <v>0</v>
      </c>
      <c r="AP45" s="242">
        <v>2114.0697115384605</v>
      </c>
      <c r="AQ45" s="242">
        <v>0</v>
      </c>
      <c r="AR45" s="242">
        <v>3644.4471153846134</v>
      </c>
      <c r="AS45" s="242">
        <v>0</v>
      </c>
      <c r="AT45" s="242">
        <v>2954.9600000000023</v>
      </c>
      <c r="AU45" s="242">
        <v>0</v>
      </c>
      <c r="AV45" s="242">
        <v>4321.3194444444453</v>
      </c>
      <c r="AW45" s="242">
        <v>0</v>
      </c>
      <c r="AX45" s="242">
        <v>3944.2624999999971</v>
      </c>
      <c r="AY45" s="242">
        <v>0</v>
      </c>
    </row>
    <row r="46" spans="2:51">
      <c r="B46" s="232">
        <v>10111</v>
      </c>
      <c r="C46" s="232" t="s">
        <v>49</v>
      </c>
      <c r="D46" s="242">
        <v>563.22355769230785</v>
      </c>
      <c r="E46" s="242">
        <v>0</v>
      </c>
      <c r="F46" s="242">
        <v>79.422499999999957</v>
      </c>
      <c r="G46" s="242">
        <v>0</v>
      </c>
      <c r="H46" s="242">
        <v>898.71634615384608</v>
      </c>
      <c r="I46" s="242">
        <v>0</v>
      </c>
      <c r="J46" s="242">
        <v>915.36500000000024</v>
      </c>
      <c r="K46" s="242">
        <v>0</v>
      </c>
      <c r="L46" s="242">
        <v>0</v>
      </c>
      <c r="M46" s="242">
        <v>0</v>
      </c>
      <c r="N46" s="242">
        <v>932.98842592592553</v>
      </c>
      <c r="O46" s="242">
        <v>0</v>
      </c>
      <c r="P46" s="242">
        <v>465.49038461538458</v>
      </c>
      <c r="Q46" s="242">
        <v>0</v>
      </c>
      <c r="R46" s="242">
        <v>47.237499999999265</v>
      </c>
      <c r="S46" s="242">
        <v>0</v>
      </c>
      <c r="T46" s="242">
        <v>636.52644230769215</v>
      </c>
      <c r="U46" s="242">
        <v>0</v>
      </c>
      <c r="V46" s="242">
        <v>471.67749999999984</v>
      </c>
      <c r="W46" s="242">
        <v>0</v>
      </c>
      <c r="X46" s="242">
        <v>707.76851851851802</v>
      </c>
      <c r="Y46" s="242">
        <v>0</v>
      </c>
      <c r="Z46" s="242">
        <v>713.95500000000015</v>
      </c>
      <c r="AA46" s="242">
        <v>0</v>
      </c>
      <c r="AB46" s="242">
        <v>461.07932692307651</v>
      </c>
      <c r="AC46" s="242">
        <v>0</v>
      </c>
      <c r="AD46" s="242">
        <v>77.715000000000202</v>
      </c>
      <c r="AE46" s="242">
        <v>0</v>
      </c>
      <c r="AF46" s="242">
        <v>878.71394230769238</v>
      </c>
      <c r="AG46" s="242">
        <v>0</v>
      </c>
      <c r="AH46" s="242">
        <v>901.90499999999997</v>
      </c>
      <c r="AI46" s="242">
        <v>0</v>
      </c>
      <c r="AJ46" s="242">
        <v>141.6197916666666</v>
      </c>
      <c r="AK46" s="242">
        <v>0</v>
      </c>
      <c r="AL46" s="242">
        <v>930.55555555555623</v>
      </c>
      <c r="AM46" s="242">
        <v>0</v>
      </c>
      <c r="AN46" s="242">
        <v>351.82000000000022</v>
      </c>
      <c r="AO46" s="242">
        <v>0</v>
      </c>
      <c r="AP46" s="242">
        <v>169.68269230769207</v>
      </c>
      <c r="AQ46" s="242">
        <v>0</v>
      </c>
      <c r="AR46" s="242">
        <v>639.70192307692344</v>
      </c>
      <c r="AS46" s="242">
        <v>0</v>
      </c>
      <c r="AT46" s="242">
        <v>473.90250000000003</v>
      </c>
      <c r="AU46" s="242">
        <v>0</v>
      </c>
      <c r="AV46" s="242">
        <v>872.67361111111131</v>
      </c>
      <c r="AW46" s="242">
        <v>0</v>
      </c>
      <c r="AX46" s="242">
        <v>571.77999999999975</v>
      </c>
      <c r="AY46" s="242">
        <v>0</v>
      </c>
    </row>
    <row r="47" spans="2:51">
      <c r="B47" s="232">
        <v>10112</v>
      </c>
      <c r="C47" s="232" t="s">
        <v>50</v>
      </c>
      <c r="D47" s="242">
        <v>5595.3197115384719</v>
      </c>
      <c r="E47" s="242">
        <v>0</v>
      </c>
      <c r="F47" s="242">
        <v>3759.9125000000004</v>
      </c>
      <c r="G47" s="242">
        <v>0</v>
      </c>
      <c r="H47" s="242">
        <v>3775.3701923076815</v>
      </c>
      <c r="I47" s="242">
        <v>0</v>
      </c>
      <c r="J47" s="242">
        <v>0</v>
      </c>
      <c r="K47" s="242">
        <v>0</v>
      </c>
      <c r="L47" s="242">
        <v>8079.5156250000009</v>
      </c>
      <c r="M47" s="242">
        <v>0</v>
      </c>
      <c r="N47" s="242">
        <v>5915.8055555555538</v>
      </c>
      <c r="O47" s="242">
        <v>0</v>
      </c>
      <c r="P47" s="242">
        <v>11492.050480769221</v>
      </c>
      <c r="Q47" s="242">
        <v>0</v>
      </c>
      <c r="R47" s="242">
        <v>8443.4599999999973</v>
      </c>
      <c r="S47" s="242">
        <v>0</v>
      </c>
      <c r="T47" s="242">
        <v>13333.451923076922</v>
      </c>
      <c r="U47" s="242">
        <v>0</v>
      </c>
      <c r="V47" s="242">
        <v>13466.782500000005</v>
      </c>
      <c r="W47" s="242">
        <v>0</v>
      </c>
      <c r="X47" s="242">
        <v>16001.752314814823</v>
      </c>
      <c r="Y47" s="242">
        <v>0</v>
      </c>
      <c r="Z47" s="242">
        <v>8624.0050000000047</v>
      </c>
      <c r="AA47" s="242">
        <v>0</v>
      </c>
      <c r="AB47" s="242">
        <v>5212.4278846153793</v>
      </c>
      <c r="AC47" s="242">
        <v>0</v>
      </c>
      <c r="AD47" s="242">
        <v>3366.772500000005</v>
      </c>
      <c r="AE47" s="242">
        <v>0</v>
      </c>
      <c r="AF47" s="242">
        <v>3360.1995192307809</v>
      </c>
      <c r="AG47" s="242">
        <v>0</v>
      </c>
      <c r="AH47" s="242">
        <v>0</v>
      </c>
      <c r="AI47" s="242">
        <v>0</v>
      </c>
      <c r="AJ47" s="242">
        <v>9782.4687500000091</v>
      </c>
      <c r="AK47" s="242">
        <v>0</v>
      </c>
      <c r="AL47" s="242">
        <v>5540.4652777777874</v>
      </c>
      <c r="AM47" s="242">
        <v>0</v>
      </c>
      <c r="AN47" s="242">
        <v>8599.6124999999975</v>
      </c>
      <c r="AO47" s="242">
        <v>0</v>
      </c>
      <c r="AP47" s="242">
        <v>10243.045673076924</v>
      </c>
      <c r="AQ47" s="242">
        <v>0</v>
      </c>
      <c r="AR47" s="242">
        <v>13286.927884615388</v>
      </c>
      <c r="AS47" s="242">
        <v>0</v>
      </c>
      <c r="AT47" s="242">
        <v>13422.537500000008</v>
      </c>
      <c r="AU47" s="242">
        <v>0</v>
      </c>
      <c r="AV47" s="242">
        <v>15949.611111111113</v>
      </c>
      <c r="AW47" s="242">
        <v>0</v>
      </c>
      <c r="AX47" s="242">
        <v>8537.2350000000024</v>
      </c>
      <c r="AY47" s="242">
        <v>0</v>
      </c>
    </row>
    <row r="48" spans="2:51">
      <c r="B48" s="232">
        <v>10113</v>
      </c>
      <c r="C48" s="232" t="s">
        <v>51</v>
      </c>
      <c r="D48" s="242">
        <v>0</v>
      </c>
      <c r="E48" s="242">
        <v>0</v>
      </c>
      <c r="F48" s="242">
        <v>0</v>
      </c>
      <c r="G48" s="242">
        <v>0</v>
      </c>
      <c r="H48" s="242">
        <v>0</v>
      </c>
      <c r="I48" s="242">
        <v>0</v>
      </c>
      <c r="J48" s="242">
        <v>0</v>
      </c>
      <c r="K48" s="242">
        <v>0</v>
      </c>
      <c r="L48" s="242">
        <v>0</v>
      </c>
      <c r="M48" s="242">
        <v>0</v>
      </c>
      <c r="N48" s="242">
        <v>0</v>
      </c>
      <c r="O48" s="242">
        <v>0</v>
      </c>
      <c r="P48" s="242">
        <v>1305.1033653846175</v>
      </c>
      <c r="Q48" s="242">
        <v>0</v>
      </c>
      <c r="R48" s="242">
        <v>0</v>
      </c>
      <c r="S48" s="242">
        <v>0</v>
      </c>
      <c r="T48" s="242">
        <v>15362.117788461544</v>
      </c>
      <c r="U48" s="242">
        <v>0</v>
      </c>
      <c r="V48" s="242">
        <v>839.23499999998444</v>
      </c>
      <c r="W48" s="242">
        <v>0</v>
      </c>
      <c r="X48" s="242">
        <v>11055.759259259261</v>
      </c>
      <c r="Y48" s="242">
        <v>0</v>
      </c>
      <c r="Z48" s="242">
        <v>1732.9199999999928</v>
      </c>
      <c r="AA48" s="242">
        <v>0</v>
      </c>
      <c r="AB48" s="242">
        <v>0</v>
      </c>
      <c r="AC48" s="242">
        <v>0</v>
      </c>
      <c r="AD48" s="242">
        <v>0</v>
      </c>
      <c r="AE48" s="242">
        <v>0</v>
      </c>
      <c r="AF48" s="242">
        <v>0</v>
      </c>
      <c r="AG48" s="242">
        <v>0</v>
      </c>
      <c r="AH48" s="242">
        <v>0</v>
      </c>
      <c r="AI48" s="242">
        <v>0</v>
      </c>
      <c r="AJ48" s="242">
        <v>0</v>
      </c>
      <c r="AK48" s="242">
        <v>0</v>
      </c>
      <c r="AL48" s="242">
        <v>0</v>
      </c>
      <c r="AM48" s="242">
        <v>0</v>
      </c>
      <c r="AN48" s="242">
        <v>0</v>
      </c>
      <c r="AO48" s="242">
        <v>0</v>
      </c>
      <c r="AP48" s="242">
        <v>0</v>
      </c>
      <c r="AQ48" s="242">
        <v>0</v>
      </c>
      <c r="AR48" s="242">
        <v>14529.752403846158</v>
      </c>
      <c r="AS48" s="242">
        <v>0</v>
      </c>
      <c r="AT48" s="242">
        <v>0</v>
      </c>
      <c r="AU48" s="242">
        <v>0</v>
      </c>
      <c r="AV48" s="242">
        <v>12943.766203703703</v>
      </c>
      <c r="AW48" s="242">
        <v>0</v>
      </c>
      <c r="AX48" s="242">
        <v>0</v>
      </c>
      <c r="AY48" s="242">
        <v>0</v>
      </c>
    </row>
    <row r="49" spans="2:51">
      <c r="B49" s="232">
        <v>10116</v>
      </c>
      <c r="C49" s="232" t="s">
        <v>52</v>
      </c>
      <c r="D49" s="242">
        <v>0</v>
      </c>
      <c r="E49" s="242">
        <v>0</v>
      </c>
      <c r="F49" s="242">
        <v>0</v>
      </c>
      <c r="G49" s="242">
        <v>0</v>
      </c>
      <c r="H49" s="242">
        <v>0</v>
      </c>
      <c r="I49" s="242">
        <v>0</v>
      </c>
      <c r="J49" s="242">
        <v>0</v>
      </c>
      <c r="K49" s="242">
        <v>0</v>
      </c>
      <c r="L49" s="242">
        <v>0</v>
      </c>
      <c r="M49" s="242">
        <v>0</v>
      </c>
      <c r="N49" s="242">
        <v>0</v>
      </c>
      <c r="O49" s="242">
        <v>0</v>
      </c>
      <c r="P49" s="242">
        <v>0</v>
      </c>
      <c r="Q49" s="242">
        <v>0</v>
      </c>
      <c r="R49" s="242">
        <v>0</v>
      </c>
      <c r="S49" s="242">
        <v>0</v>
      </c>
      <c r="T49" s="242">
        <v>0</v>
      </c>
      <c r="U49" s="242">
        <v>0</v>
      </c>
      <c r="V49" s="242">
        <v>0</v>
      </c>
      <c r="W49" s="242">
        <v>0</v>
      </c>
      <c r="X49" s="242">
        <v>0</v>
      </c>
      <c r="Y49" s="242">
        <v>0</v>
      </c>
      <c r="Z49" s="242">
        <v>0</v>
      </c>
      <c r="AA49" s="242">
        <v>0</v>
      </c>
      <c r="AB49" s="242">
        <v>0</v>
      </c>
      <c r="AC49" s="242">
        <v>0</v>
      </c>
      <c r="AD49" s="242">
        <v>0</v>
      </c>
      <c r="AE49" s="242">
        <v>0</v>
      </c>
      <c r="AF49" s="242">
        <v>0</v>
      </c>
      <c r="AG49" s="242">
        <v>0</v>
      </c>
      <c r="AH49" s="242">
        <v>0</v>
      </c>
      <c r="AI49" s="242">
        <v>0</v>
      </c>
      <c r="AJ49" s="242">
        <v>0</v>
      </c>
      <c r="AK49" s="242">
        <v>0</v>
      </c>
      <c r="AL49" s="242">
        <v>0</v>
      </c>
      <c r="AM49" s="242">
        <v>0</v>
      </c>
      <c r="AN49" s="242">
        <v>0</v>
      </c>
      <c r="AO49" s="242">
        <v>0</v>
      </c>
      <c r="AP49" s="242">
        <v>0</v>
      </c>
      <c r="AQ49" s="242">
        <v>0</v>
      </c>
      <c r="AR49" s="242">
        <v>0</v>
      </c>
      <c r="AS49" s="242">
        <v>0</v>
      </c>
      <c r="AT49" s="242">
        <v>0</v>
      </c>
      <c r="AU49" s="242">
        <v>0</v>
      </c>
      <c r="AV49" s="242">
        <v>0</v>
      </c>
      <c r="AW49" s="242">
        <v>0</v>
      </c>
      <c r="AX49" s="242">
        <v>0</v>
      </c>
      <c r="AY49" s="242">
        <v>0</v>
      </c>
    </row>
    <row r="50" spans="2:51">
      <c r="B50" s="232">
        <v>10118</v>
      </c>
      <c r="C50" s="232" t="s">
        <v>53</v>
      </c>
      <c r="D50" s="242">
        <v>0</v>
      </c>
      <c r="E50" s="242">
        <v>0</v>
      </c>
      <c r="F50" s="242">
        <v>0</v>
      </c>
      <c r="G50" s="242">
        <v>0</v>
      </c>
      <c r="H50" s="242">
        <v>0</v>
      </c>
      <c r="I50" s="242">
        <v>0</v>
      </c>
      <c r="J50" s="242">
        <v>0</v>
      </c>
      <c r="K50" s="242">
        <v>0</v>
      </c>
      <c r="L50" s="242">
        <v>0</v>
      </c>
      <c r="M50" s="242">
        <v>0</v>
      </c>
      <c r="N50" s="242">
        <v>0</v>
      </c>
      <c r="O50" s="242">
        <v>0</v>
      </c>
      <c r="P50" s="242">
        <v>0</v>
      </c>
      <c r="Q50" s="242">
        <v>0</v>
      </c>
      <c r="R50" s="242">
        <v>0</v>
      </c>
      <c r="S50" s="242">
        <v>0</v>
      </c>
      <c r="T50" s="242">
        <v>0</v>
      </c>
      <c r="U50" s="242">
        <v>0</v>
      </c>
      <c r="V50" s="242">
        <v>0</v>
      </c>
      <c r="W50" s="242">
        <v>0</v>
      </c>
      <c r="X50" s="242">
        <v>0</v>
      </c>
      <c r="Y50" s="242">
        <v>0</v>
      </c>
      <c r="Z50" s="242">
        <v>0</v>
      </c>
      <c r="AA50" s="242">
        <v>0</v>
      </c>
      <c r="AB50" s="242">
        <v>0</v>
      </c>
      <c r="AC50" s="242">
        <v>0</v>
      </c>
      <c r="AD50" s="242">
        <v>0</v>
      </c>
      <c r="AE50" s="242">
        <v>0</v>
      </c>
      <c r="AF50" s="242">
        <v>0</v>
      </c>
      <c r="AG50" s="242">
        <v>0</v>
      </c>
      <c r="AH50" s="242">
        <v>0</v>
      </c>
      <c r="AI50" s="242">
        <v>0</v>
      </c>
      <c r="AJ50" s="242">
        <v>0</v>
      </c>
      <c r="AK50" s="242">
        <v>0</v>
      </c>
      <c r="AL50" s="242">
        <v>0</v>
      </c>
      <c r="AM50" s="242">
        <v>0</v>
      </c>
      <c r="AN50" s="242">
        <v>0</v>
      </c>
      <c r="AO50" s="242">
        <v>0</v>
      </c>
      <c r="AP50" s="242">
        <v>0</v>
      </c>
      <c r="AQ50" s="242">
        <v>0</v>
      </c>
      <c r="AR50" s="242">
        <v>0</v>
      </c>
      <c r="AS50" s="242">
        <v>0</v>
      </c>
      <c r="AT50" s="242">
        <v>0</v>
      </c>
      <c r="AU50" s="242">
        <v>0</v>
      </c>
      <c r="AV50" s="242">
        <v>0</v>
      </c>
      <c r="AW50" s="242">
        <v>0</v>
      </c>
      <c r="AX50" s="242">
        <v>0</v>
      </c>
      <c r="AY50" s="242">
        <v>0</v>
      </c>
    </row>
    <row r="51" spans="2:51">
      <c r="B51" s="232">
        <v>10121</v>
      </c>
      <c r="C51" s="232" t="s">
        <v>54</v>
      </c>
      <c r="D51" s="242">
        <v>0</v>
      </c>
      <c r="E51" s="242">
        <v>0</v>
      </c>
      <c r="F51" s="242">
        <v>0</v>
      </c>
      <c r="G51" s="242">
        <v>0</v>
      </c>
      <c r="H51" s="242">
        <v>0</v>
      </c>
      <c r="I51" s="242">
        <v>0</v>
      </c>
      <c r="J51" s="242">
        <v>0</v>
      </c>
      <c r="K51" s="242">
        <v>0</v>
      </c>
      <c r="L51" s="242">
        <v>0</v>
      </c>
      <c r="M51" s="242">
        <v>0</v>
      </c>
      <c r="N51" s="242">
        <v>0</v>
      </c>
      <c r="O51" s="242">
        <v>0</v>
      </c>
      <c r="P51" s="242">
        <v>0</v>
      </c>
      <c r="Q51" s="242">
        <v>0</v>
      </c>
      <c r="R51" s="242">
        <v>0</v>
      </c>
      <c r="S51" s="242">
        <v>0</v>
      </c>
      <c r="T51" s="242">
        <v>0</v>
      </c>
      <c r="U51" s="242">
        <v>0</v>
      </c>
      <c r="V51" s="242">
        <v>0</v>
      </c>
      <c r="W51" s="242">
        <v>0</v>
      </c>
      <c r="X51" s="242">
        <v>0</v>
      </c>
      <c r="Y51" s="242">
        <v>0</v>
      </c>
      <c r="Z51" s="242">
        <v>0</v>
      </c>
      <c r="AA51" s="242">
        <v>0</v>
      </c>
      <c r="AB51" s="242">
        <v>0</v>
      </c>
      <c r="AC51" s="242">
        <v>0</v>
      </c>
      <c r="AD51" s="242">
        <v>0</v>
      </c>
      <c r="AE51" s="242">
        <v>0</v>
      </c>
      <c r="AF51" s="242">
        <v>0</v>
      </c>
      <c r="AG51" s="242">
        <v>0</v>
      </c>
      <c r="AH51" s="242">
        <v>0</v>
      </c>
      <c r="AI51" s="242">
        <v>0</v>
      </c>
      <c r="AJ51" s="242">
        <v>0</v>
      </c>
      <c r="AK51" s="242">
        <v>0</v>
      </c>
      <c r="AL51" s="242">
        <v>0</v>
      </c>
      <c r="AM51" s="242">
        <v>0</v>
      </c>
      <c r="AN51" s="242">
        <v>0</v>
      </c>
      <c r="AO51" s="242">
        <v>0</v>
      </c>
      <c r="AP51" s="242">
        <v>0</v>
      </c>
      <c r="AQ51" s="242">
        <v>0</v>
      </c>
      <c r="AR51" s="242">
        <v>0</v>
      </c>
      <c r="AS51" s="242">
        <v>0</v>
      </c>
      <c r="AT51" s="242">
        <v>0</v>
      </c>
      <c r="AU51" s="242">
        <v>0</v>
      </c>
      <c r="AV51" s="242">
        <v>0</v>
      </c>
      <c r="AW51" s="242">
        <v>0</v>
      </c>
      <c r="AX51" s="242">
        <v>0</v>
      </c>
      <c r="AY51" s="242">
        <v>0</v>
      </c>
    </row>
    <row r="52" spans="2:51">
      <c r="B52" s="232">
        <v>10123</v>
      </c>
      <c r="C52" s="232" t="s">
        <v>55</v>
      </c>
      <c r="D52" s="242">
        <v>0</v>
      </c>
      <c r="E52" s="242">
        <v>0</v>
      </c>
      <c r="F52" s="242">
        <v>0</v>
      </c>
      <c r="G52" s="242">
        <v>0</v>
      </c>
      <c r="H52" s="242">
        <v>0</v>
      </c>
      <c r="I52" s="242">
        <v>0</v>
      </c>
      <c r="J52" s="242">
        <v>0</v>
      </c>
      <c r="K52" s="242">
        <v>0</v>
      </c>
      <c r="L52" s="242">
        <v>0</v>
      </c>
      <c r="M52" s="242">
        <v>0</v>
      </c>
      <c r="N52" s="242">
        <v>0</v>
      </c>
      <c r="O52" s="242">
        <v>0</v>
      </c>
      <c r="P52" s="242">
        <v>0</v>
      </c>
      <c r="Q52" s="242">
        <v>0</v>
      </c>
      <c r="R52" s="242">
        <v>0</v>
      </c>
      <c r="S52" s="242">
        <v>0</v>
      </c>
      <c r="T52" s="242">
        <v>0</v>
      </c>
      <c r="U52" s="242">
        <v>0</v>
      </c>
      <c r="V52" s="242">
        <v>0</v>
      </c>
      <c r="W52" s="242">
        <v>0</v>
      </c>
      <c r="X52" s="242">
        <v>0</v>
      </c>
      <c r="Y52" s="242">
        <v>0</v>
      </c>
      <c r="Z52" s="242">
        <v>0</v>
      </c>
      <c r="AA52" s="242">
        <v>0</v>
      </c>
      <c r="AB52" s="242">
        <v>0</v>
      </c>
      <c r="AC52" s="242">
        <v>0</v>
      </c>
      <c r="AD52" s="242">
        <v>0</v>
      </c>
      <c r="AE52" s="242">
        <v>0</v>
      </c>
      <c r="AF52" s="242">
        <v>0</v>
      </c>
      <c r="AG52" s="242">
        <v>0</v>
      </c>
      <c r="AH52" s="242">
        <v>0</v>
      </c>
      <c r="AI52" s="242">
        <v>0</v>
      </c>
      <c r="AJ52" s="242">
        <v>0</v>
      </c>
      <c r="AK52" s="242">
        <v>0</v>
      </c>
      <c r="AL52" s="242">
        <v>0</v>
      </c>
      <c r="AM52" s="242">
        <v>0</v>
      </c>
      <c r="AN52" s="242">
        <v>0</v>
      </c>
      <c r="AO52" s="242">
        <v>0</v>
      </c>
      <c r="AP52" s="242">
        <v>0</v>
      </c>
      <c r="AQ52" s="242">
        <v>0</v>
      </c>
      <c r="AR52" s="242">
        <v>0</v>
      </c>
      <c r="AS52" s="242">
        <v>0</v>
      </c>
      <c r="AT52" s="242">
        <v>0</v>
      </c>
      <c r="AU52" s="242">
        <v>0</v>
      </c>
      <c r="AV52" s="242">
        <v>0</v>
      </c>
      <c r="AW52" s="242">
        <v>0</v>
      </c>
      <c r="AX52" s="242">
        <v>0</v>
      </c>
      <c r="AY52" s="242">
        <v>0</v>
      </c>
    </row>
    <row r="53" spans="2:51">
      <c r="B53" s="232">
        <v>10136</v>
      </c>
      <c r="C53" s="232" t="s">
        <v>56</v>
      </c>
      <c r="D53" s="242">
        <v>0</v>
      </c>
      <c r="E53" s="242">
        <v>0</v>
      </c>
      <c r="F53" s="242">
        <v>0</v>
      </c>
      <c r="G53" s="242">
        <v>0</v>
      </c>
      <c r="H53" s="242">
        <v>0</v>
      </c>
      <c r="I53" s="242">
        <v>0</v>
      </c>
      <c r="J53" s="242">
        <v>0</v>
      </c>
      <c r="K53" s="242">
        <v>0</v>
      </c>
      <c r="L53" s="242">
        <v>0</v>
      </c>
      <c r="M53" s="242">
        <v>0</v>
      </c>
      <c r="N53" s="242">
        <v>0</v>
      </c>
      <c r="O53" s="242">
        <v>0</v>
      </c>
      <c r="P53" s="242">
        <v>0</v>
      </c>
      <c r="Q53" s="242">
        <v>0</v>
      </c>
      <c r="R53" s="242">
        <v>0</v>
      </c>
      <c r="S53" s="242">
        <v>0</v>
      </c>
      <c r="T53" s="242">
        <v>0</v>
      </c>
      <c r="U53" s="242">
        <v>0</v>
      </c>
      <c r="V53" s="242">
        <v>0</v>
      </c>
      <c r="W53" s="242">
        <v>0</v>
      </c>
      <c r="X53" s="242">
        <v>0</v>
      </c>
      <c r="Y53" s="242">
        <v>0</v>
      </c>
      <c r="Z53" s="242">
        <v>0</v>
      </c>
      <c r="AA53" s="242">
        <v>0</v>
      </c>
      <c r="AB53" s="242">
        <v>0</v>
      </c>
      <c r="AC53" s="242">
        <v>0</v>
      </c>
      <c r="AD53" s="242">
        <v>0</v>
      </c>
      <c r="AE53" s="242">
        <v>0</v>
      </c>
      <c r="AF53" s="242">
        <v>0</v>
      </c>
      <c r="AG53" s="242">
        <v>0</v>
      </c>
      <c r="AH53" s="242">
        <v>0</v>
      </c>
      <c r="AI53" s="242">
        <v>0</v>
      </c>
      <c r="AJ53" s="242">
        <v>0</v>
      </c>
      <c r="AK53" s="242">
        <v>0</v>
      </c>
      <c r="AL53" s="242">
        <v>0</v>
      </c>
      <c r="AM53" s="242">
        <v>0</v>
      </c>
      <c r="AN53" s="242">
        <v>0</v>
      </c>
      <c r="AO53" s="242">
        <v>0</v>
      </c>
      <c r="AP53" s="242">
        <v>0</v>
      </c>
      <c r="AQ53" s="242">
        <v>0</v>
      </c>
      <c r="AR53" s="242">
        <v>0</v>
      </c>
      <c r="AS53" s="242">
        <v>0</v>
      </c>
      <c r="AT53" s="242">
        <v>0</v>
      </c>
      <c r="AU53" s="242">
        <v>0</v>
      </c>
      <c r="AV53" s="242">
        <v>0</v>
      </c>
      <c r="AW53" s="242">
        <v>0</v>
      </c>
      <c r="AX53" s="242">
        <v>0</v>
      </c>
      <c r="AY53" s="242">
        <v>0</v>
      </c>
    </row>
    <row r="54" spans="2:51">
      <c r="B54" s="232">
        <v>10142</v>
      </c>
      <c r="C54" s="232" t="s">
        <v>57</v>
      </c>
      <c r="D54" s="242">
        <v>612.71875</v>
      </c>
      <c r="E54" s="242">
        <v>0</v>
      </c>
      <c r="F54" s="242">
        <v>185.8000000000003</v>
      </c>
      <c r="G54" s="242">
        <v>0</v>
      </c>
      <c r="H54" s="242">
        <v>766.44711538461524</v>
      </c>
      <c r="I54" s="242">
        <v>0</v>
      </c>
      <c r="J54" s="242">
        <v>569.24500000000023</v>
      </c>
      <c r="K54" s="242">
        <v>0</v>
      </c>
      <c r="L54" s="242">
        <v>154.41145833333337</v>
      </c>
      <c r="M54" s="242">
        <v>0</v>
      </c>
      <c r="N54" s="242">
        <v>513.52083333333303</v>
      </c>
      <c r="O54" s="242">
        <v>0</v>
      </c>
      <c r="P54" s="242">
        <v>493.06490384615387</v>
      </c>
      <c r="Q54" s="242">
        <v>0</v>
      </c>
      <c r="R54" s="242">
        <v>319.31500000000068</v>
      </c>
      <c r="S54" s="242">
        <v>0</v>
      </c>
      <c r="T54" s="242">
        <v>880.87259615384573</v>
      </c>
      <c r="U54" s="242">
        <v>0</v>
      </c>
      <c r="V54" s="242">
        <v>787.46499999999912</v>
      </c>
      <c r="W54" s="242">
        <v>0</v>
      </c>
      <c r="X54" s="242">
        <v>875.80787037037067</v>
      </c>
      <c r="Y54" s="242">
        <v>0</v>
      </c>
      <c r="Z54" s="242">
        <v>589.55500000000006</v>
      </c>
      <c r="AA54" s="242">
        <v>0</v>
      </c>
      <c r="AB54" s="242">
        <v>524.18269230769226</v>
      </c>
      <c r="AC54" s="242">
        <v>0</v>
      </c>
      <c r="AD54" s="242">
        <v>186.29749999999967</v>
      </c>
      <c r="AE54" s="242">
        <v>0</v>
      </c>
      <c r="AF54" s="242">
        <v>764.92788461538441</v>
      </c>
      <c r="AG54" s="242">
        <v>0</v>
      </c>
      <c r="AH54" s="242">
        <v>567.73000000000025</v>
      </c>
      <c r="AI54" s="242">
        <v>0</v>
      </c>
      <c r="AJ54" s="242">
        <v>449.08593749999983</v>
      </c>
      <c r="AK54" s="242">
        <v>0</v>
      </c>
      <c r="AL54" s="242">
        <v>515.88425925925935</v>
      </c>
      <c r="AM54" s="242">
        <v>0</v>
      </c>
      <c r="AN54" s="242">
        <v>395.00500000000028</v>
      </c>
      <c r="AO54" s="242">
        <v>0</v>
      </c>
      <c r="AP54" s="242">
        <v>502.58894230769192</v>
      </c>
      <c r="AQ54" s="242">
        <v>0</v>
      </c>
      <c r="AR54" s="242">
        <v>901.65624999999966</v>
      </c>
      <c r="AS54" s="242">
        <v>0</v>
      </c>
      <c r="AT54" s="242">
        <v>800.3299999999997</v>
      </c>
      <c r="AU54" s="242">
        <v>0</v>
      </c>
      <c r="AV54" s="242">
        <v>1052.1851851851854</v>
      </c>
      <c r="AW54" s="242">
        <v>0</v>
      </c>
      <c r="AX54" s="242">
        <v>495.36250000000035</v>
      </c>
      <c r="AY54" s="242">
        <v>0</v>
      </c>
    </row>
    <row r="55" spans="2:51">
      <c r="B55" s="232">
        <v>10144</v>
      </c>
      <c r="C55" s="232" t="s">
        <v>58</v>
      </c>
      <c r="D55" s="242">
        <v>480.82451923076871</v>
      </c>
      <c r="E55" s="242">
        <v>0</v>
      </c>
      <c r="F55" s="242">
        <v>295.79999999999984</v>
      </c>
      <c r="G55" s="242">
        <v>0</v>
      </c>
      <c r="H55" s="242">
        <v>1307.65625</v>
      </c>
      <c r="I55" s="242">
        <v>0</v>
      </c>
      <c r="J55" s="242">
        <v>1259.0150000000003</v>
      </c>
      <c r="K55" s="242">
        <v>0</v>
      </c>
      <c r="L55" s="242">
        <v>502.822916666666</v>
      </c>
      <c r="M55" s="242">
        <v>0</v>
      </c>
      <c r="N55" s="242">
        <v>1288.5324074074074</v>
      </c>
      <c r="O55" s="242">
        <v>0</v>
      </c>
      <c r="P55" s="242">
        <v>728.47115384615347</v>
      </c>
      <c r="Q55" s="242">
        <v>0</v>
      </c>
      <c r="R55" s="242">
        <v>506.17999999999961</v>
      </c>
      <c r="S55" s="242">
        <v>0</v>
      </c>
      <c r="T55" s="242">
        <v>685.33173076923106</v>
      </c>
      <c r="U55" s="242">
        <v>0</v>
      </c>
      <c r="V55" s="242">
        <v>402.37250000000012</v>
      </c>
      <c r="W55" s="242">
        <v>0</v>
      </c>
      <c r="X55" s="242">
        <v>722.49768518518522</v>
      </c>
      <c r="Y55" s="242">
        <v>0</v>
      </c>
      <c r="Z55" s="242">
        <v>523.73250000000019</v>
      </c>
      <c r="AA55" s="242">
        <v>0</v>
      </c>
      <c r="AB55" s="242">
        <v>342.31009615384613</v>
      </c>
      <c r="AC55" s="242">
        <v>0</v>
      </c>
      <c r="AD55" s="242">
        <v>297.81999999999977</v>
      </c>
      <c r="AE55" s="242">
        <v>0</v>
      </c>
      <c r="AF55" s="242">
        <v>1310.4975961538462</v>
      </c>
      <c r="AG55" s="242">
        <v>0</v>
      </c>
      <c r="AH55" s="242">
        <v>1260.1599999999996</v>
      </c>
      <c r="AI55" s="242">
        <v>0</v>
      </c>
      <c r="AJ55" s="242">
        <v>1002.2031250000001</v>
      </c>
      <c r="AK55" s="242">
        <v>0</v>
      </c>
      <c r="AL55" s="242">
        <v>1289.9699074074072</v>
      </c>
      <c r="AM55" s="242">
        <v>0</v>
      </c>
      <c r="AN55" s="242">
        <v>588.79750000000013</v>
      </c>
      <c r="AO55" s="242">
        <v>0</v>
      </c>
      <c r="AP55" s="242">
        <v>610.87980769230785</v>
      </c>
      <c r="AQ55" s="242">
        <v>0</v>
      </c>
      <c r="AR55" s="242">
        <v>685.33173076923106</v>
      </c>
      <c r="AS55" s="242">
        <v>0</v>
      </c>
      <c r="AT55" s="242">
        <v>402.37250000000012</v>
      </c>
      <c r="AU55" s="242">
        <v>0</v>
      </c>
      <c r="AV55" s="242">
        <v>828.1458333333336</v>
      </c>
      <c r="AW55" s="242">
        <v>0</v>
      </c>
      <c r="AX55" s="242">
        <v>414.97750000000025</v>
      </c>
      <c r="AY55" s="242">
        <v>0</v>
      </c>
    </row>
    <row r="56" spans="2:51">
      <c r="B56" s="232">
        <v>10156</v>
      </c>
      <c r="C56" s="232" t="s">
        <v>59</v>
      </c>
      <c r="D56" s="242">
        <v>0</v>
      </c>
      <c r="E56" s="242">
        <v>0</v>
      </c>
      <c r="F56" s="242">
        <v>1690.0225000000014</v>
      </c>
      <c r="G56" s="242">
        <v>0</v>
      </c>
      <c r="H56" s="242">
        <v>10654.139423076922</v>
      </c>
      <c r="I56" s="242">
        <v>0</v>
      </c>
      <c r="J56" s="242">
        <v>6149.9349999999977</v>
      </c>
      <c r="K56" s="242">
        <v>0</v>
      </c>
      <c r="L56" s="242">
        <v>4350.721354166657</v>
      </c>
      <c r="M56" s="242">
        <v>0</v>
      </c>
      <c r="N56" s="242">
        <v>1529.2499999999975</v>
      </c>
      <c r="O56" s="242">
        <v>0</v>
      </c>
      <c r="P56" s="242">
        <v>5014.461538461539</v>
      </c>
      <c r="Q56" s="242">
        <v>0</v>
      </c>
      <c r="R56" s="242">
        <v>656.58500000000151</v>
      </c>
      <c r="S56" s="242">
        <v>0</v>
      </c>
      <c r="T56" s="242">
        <v>8002.444711538461</v>
      </c>
      <c r="U56" s="242">
        <v>0</v>
      </c>
      <c r="V56" s="242">
        <v>8810.1024999999954</v>
      </c>
      <c r="W56" s="242">
        <v>0</v>
      </c>
      <c r="X56" s="242">
        <v>10836.27546296296</v>
      </c>
      <c r="Y56" s="242">
        <v>0</v>
      </c>
      <c r="Z56" s="242">
        <v>5416.0375000000031</v>
      </c>
      <c r="AA56" s="242">
        <v>0</v>
      </c>
      <c r="AB56" s="242">
        <v>0</v>
      </c>
      <c r="AC56" s="242">
        <v>0</v>
      </c>
      <c r="AD56" s="242">
        <v>1918.7024999999985</v>
      </c>
      <c r="AE56" s="242">
        <v>0</v>
      </c>
      <c r="AF56" s="242">
        <v>11039.336538461543</v>
      </c>
      <c r="AG56" s="242">
        <v>0</v>
      </c>
      <c r="AH56" s="242">
        <v>6529.0899999999947</v>
      </c>
      <c r="AI56" s="242">
        <v>0</v>
      </c>
      <c r="AJ56" s="242">
        <v>5847.6145833333303</v>
      </c>
      <c r="AK56" s="242">
        <v>0</v>
      </c>
      <c r="AL56" s="242">
        <v>1734.9999999999995</v>
      </c>
      <c r="AM56" s="242">
        <v>0</v>
      </c>
      <c r="AN56" s="242">
        <v>3913.9750000000008</v>
      </c>
      <c r="AO56" s="242">
        <v>0</v>
      </c>
      <c r="AP56" s="242">
        <v>1909.1298076923078</v>
      </c>
      <c r="AQ56" s="242">
        <v>0</v>
      </c>
      <c r="AR56" s="242">
        <v>8197.1322115384646</v>
      </c>
      <c r="AS56" s="242">
        <v>0</v>
      </c>
      <c r="AT56" s="242">
        <v>9017.7125000000051</v>
      </c>
      <c r="AU56" s="242">
        <v>0</v>
      </c>
      <c r="AV56" s="242">
        <v>11049.831018518522</v>
      </c>
      <c r="AW56" s="242">
        <v>0</v>
      </c>
      <c r="AX56" s="242">
        <v>5612.1150000000007</v>
      </c>
      <c r="AY56" s="242">
        <v>0</v>
      </c>
    </row>
    <row r="57" spans="2:51">
      <c r="B57" s="232">
        <v>10157</v>
      </c>
      <c r="C57" s="232" t="s">
        <v>60</v>
      </c>
      <c r="D57" s="242">
        <v>0</v>
      </c>
      <c r="E57" s="242">
        <v>0</v>
      </c>
      <c r="F57" s="242">
        <v>0</v>
      </c>
      <c r="G57" s="242">
        <v>0</v>
      </c>
      <c r="H57" s="242">
        <v>0</v>
      </c>
      <c r="I57" s="242">
        <v>0</v>
      </c>
      <c r="J57" s="242">
        <v>0</v>
      </c>
      <c r="K57" s="242">
        <v>0</v>
      </c>
      <c r="L57" s="242">
        <v>0</v>
      </c>
      <c r="M57" s="242">
        <v>0</v>
      </c>
      <c r="N57" s="242">
        <v>0</v>
      </c>
      <c r="O57" s="242">
        <v>0</v>
      </c>
      <c r="P57" s="242">
        <v>0</v>
      </c>
      <c r="Q57" s="242">
        <v>0</v>
      </c>
      <c r="R57" s="242">
        <v>0</v>
      </c>
      <c r="S57" s="242">
        <v>0</v>
      </c>
      <c r="T57" s="242">
        <v>0</v>
      </c>
      <c r="U57" s="242">
        <v>0</v>
      </c>
      <c r="V57" s="242">
        <v>0</v>
      </c>
      <c r="W57" s="242">
        <v>0</v>
      </c>
      <c r="X57" s="242">
        <v>0</v>
      </c>
      <c r="Y57" s="242">
        <v>0</v>
      </c>
      <c r="Z57" s="242">
        <v>0</v>
      </c>
      <c r="AA57" s="242">
        <v>0</v>
      </c>
      <c r="AB57" s="242">
        <v>0</v>
      </c>
      <c r="AC57" s="242">
        <v>0</v>
      </c>
      <c r="AD57" s="242">
        <v>0</v>
      </c>
      <c r="AE57" s="242">
        <v>0</v>
      </c>
      <c r="AF57" s="242">
        <v>0</v>
      </c>
      <c r="AG57" s="242">
        <v>0</v>
      </c>
      <c r="AH57" s="242">
        <v>0</v>
      </c>
      <c r="AI57" s="242">
        <v>0</v>
      </c>
      <c r="AJ57" s="242">
        <v>0</v>
      </c>
      <c r="AK57" s="242">
        <v>0</v>
      </c>
      <c r="AL57" s="242">
        <v>0</v>
      </c>
      <c r="AM57" s="242">
        <v>0</v>
      </c>
      <c r="AN57" s="242">
        <v>0</v>
      </c>
      <c r="AO57" s="242">
        <v>0</v>
      </c>
      <c r="AP57" s="242">
        <v>0</v>
      </c>
      <c r="AQ57" s="242">
        <v>0</v>
      </c>
      <c r="AR57" s="242">
        <v>0</v>
      </c>
      <c r="AS57" s="242">
        <v>0</v>
      </c>
      <c r="AT57" s="242">
        <v>0</v>
      </c>
      <c r="AU57" s="242">
        <v>0</v>
      </c>
      <c r="AV57" s="242">
        <v>0</v>
      </c>
      <c r="AW57" s="242">
        <v>0</v>
      </c>
      <c r="AX57" s="242">
        <v>0</v>
      </c>
      <c r="AY57" s="242">
        <v>0</v>
      </c>
    </row>
    <row r="58" spans="2:51">
      <c r="B58" s="232">
        <v>10158</v>
      </c>
      <c r="C58" s="232" t="s">
        <v>61</v>
      </c>
      <c r="D58" s="242">
        <v>254.32692307692329</v>
      </c>
      <c r="E58" s="242">
        <v>0</v>
      </c>
      <c r="F58" s="242">
        <v>0</v>
      </c>
      <c r="G58" s="242">
        <v>0</v>
      </c>
      <c r="H58" s="242">
        <v>835.6754807692306</v>
      </c>
      <c r="I58" s="242">
        <v>0</v>
      </c>
      <c r="J58" s="242">
        <v>504.02499999999981</v>
      </c>
      <c r="K58" s="242">
        <v>0</v>
      </c>
      <c r="L58" s="242">
        <v>229.21874999999946</v>
      </c>
      <c r="M58" s="242">
        <v>0</v>
      </c>
      <c r="N58" s="242">
        <v>665.48379629629665</v>
      </c>
      <c r="O58" s="242">
        <v>0</v>
      </c>
      <c r="P58" s="242">
        <v>440.5745192307694</v>
      </c>
      <c r="Q58" s="242">
        <v>0</v>
      </c>
      <c r="R58" s="242">
        <v>128.755</v>
      </c>
      <c r="S58" s="242">
        <v>0</v>
      </c>
      <c r="T58" s="242">
        <v>203.16105769230768</v>
      </c>
      <c r="U58" s="242">
        <v>0</v>
      </c>
      <c r="V58" s="242">
        <v>227.61749999999981</v>
      </c>
      <c r="W58" s="242">
        <v>0</v>
      </c>
      <c r="X58" s="242">
        <v>320.79398148148141</v>
      </c>
      <c r="Y58" s="242">
        <v>0</v>
      </c>
      <c r="Z58" s="242">
        <v>17.840000000000078</v>
      </c>
      <c r="AA58" s="242">
        <v>0</v>
      </c>
      <c r="AB58" s="242">
        <v>182.35576923076923</v>
      </c>
      <c r="AC58" s="242">
        <v>0</v>
      </c>
      <c r="AD58" s="242">
        <v>0</v>
      </c>
      <c r="AE58" s="242">
        <v>0</v>
      </c>
      <c r="AF58" s="242">
        <v>835.6754807692306</v>
      </c>
      <c r="AG58" s="242">
        <v>0</v>
      </c>
      <c r="AH58" s="242">
        <v>504.02499999999981</v>
      </c>
      <c r="AI58" s="242">
        <v>0</v>
      </c>
      <c r="AJ58" s="242">
        <v>339.32031250000006</v>
      </c>
      <c r="AK58" s="242">
        <v>0</v>
      </c>
      <c r="AL58" s="242">
        <v>665.48379629629665</v>
      </c>
      <c r="AM58" s="242">
        <v>0</v>
      </c>
      <c r="AN58" s="242">
        <v>357.23750000000018</v>
      </c>
      <c r="AO58" s="242">
        <v>0</v>
      </c>
      <c r="AP58" s="242">
        <v>207.07211538461539</v>
      </c>
      <c r="AQ58" s="242">
        <v>0</v>
      </c>
      <c r="AR58" s="242">
        <v>203.16105769230768</v>
      </c>
      <c r="AS58" s="242">
        <v>0</v>
      </c>
      <c r="AT58" s="242">
        <v>227.61749999999981</v>
      </c>
      <c r="AU58" s="242">
        <v>0</v>
      </c>
      <c r="AV58" s="242">
        <v>390.14120370370364</v>
      </c>
      <c r="AW58" s="242">
        <v>0</v>
      </c>
      <c r="AX58" s="242">
        <v>0</v>
      </c>
      <c r="AY58" s="242">
        <v>0</v>
      </c>
    </row>
    <row r="59" spans="2:51">
      <c r="B59" s="232">
        <v>10170</v>
      </c>
      <c r="C59" s="232" t="s">
        <v>62</v>
      </c>
      <c r="D59" s="242">
        <v>0</v>
      </c>
      <c r="E59" s="242">
        <v>0</v>
      </c>
      <c r="F59" s="242">
        <v>0</v>
      </c>
      <c r="G59" s="242">
        <v>0</v>
      </c>
      <c r="H59" s="242">
        <v>0</v>
      </c>
      <c r="I59" s="242">
        <v>0</v>
      </c>
      <c r="J59" s="242">
        <v>0</v>
      </c>
      <c r="K59" s="242">
        <v>0</v>
      </c>
      <c r="L59" s="242">
        <v>0</v>
      </c>
      <c r="M59" s="242">
        <v>0</v>
      </c>
      <c r="N59" s="242">
        <v>0</v>
      </c>
      <c r="O59" s="242">
        <v>0</v>
      </c>
      <c r="P59" s="242">
        <v>0</v>
      </c>
      <c r="Q59" s="242">
        <v>0</v>
      </c>
      <c r="R59" s="242">
        <v>0</v>
      </c>
      <c r="S59" s="242">
        <v>0</v>
      </c>
      <c r="T59" s="242">
        <v>0</v>
      </c>
      <c r="U59" s="242">
        <v>0</v>
      </c>
      <c r="V59" s="242">
        <v>0</v>
      </c>
      <c r="W59" s="242">
        <v>0</v>
      </c>
      <c r="X59" s="242">
        <v>0</v>
      </c>
      <c r="Y59" s="242">
        <v>0</v>
      </c>
      <c r="Z59" s="242">
        <v>0</v>
      </c>
      <c r="AA59" s="242">
        <v>0</v>
      </c>
      <c r="AB59" s="242">
        <v>0</v>
      </c>
      <c r="AC59" s="242">
        <v>0</v>
      </c>
      <c r="AD59" s="242">
        <v>0</v>
      </c>
      <c r="AE59" s="242">
        <v>0</v>
      </c>
      <c r="AF59" s="242">
        <v>0</v>
      </c>
      <c r="AG59" s="242">
        <v>0</v>
      </c>
      <c r="AH59" s="242">
        <v>0</v>
      </c>
      <c r="AI59" s="242">
        <v>0</v>
      </c>
      <c r="AJ59" s="242">
        <v>0</v>
      </c>
      <c r="AK59" s="242">
        <v>0</v>
      </c>
      <c r="AL59" s="242">
        <v>0</v>
      </c>
      <c r="AM59" s="242">
        <v>0</v>
      </c>
      <c r="AN59" s="242">
        <v>0</v>
      </c>
      <c r="AO59" s="242">
        <v>0</v>
      </c>
      <c r="AP59" s="242">
        <v>0</v>
      </c>
      <c r="AQ59" s="242">
        <v>0</v>
      </c>
      <c r="AR59" s="242">
        <v>0</v>
      </c>
      <c r="AS59" s="242">
        <v>0</v>
      </c>
      <c r="AT59" s="242">
        <v>0</v>
      </c>
      <c r="AU59" s="242">
        <v>0</v>
      </c>
      <c r="AV59" s="242">
        <v>0</v>
      </c>
      <c r="AW59" s="242">
        <v>0</v>
      </c>
      <c r="AX59" s="242">
        <v>0</v>
      </c>
      <c r="AY59" s="242">
        <v>0</v>
      </c>
    </row>
    <row r="60" spans="2:51">
      <c r="B60" s="232">
        <v>10172</v>
      </c>
      <c r="C60" s="232" t="s">
        <v>63</v>
      </c>
      <c r="D60" s="242">
        <v>935.9423076923083</v>
      </c>
      <c r="E60" s="242">
        <v>0</v>
      </c>
      <c r="F60" s="242">
        <v>1383.9250000000002</v>
      </c>
      <c r="G60" s="242">
        <v>0</v>
      </c>
      <c r="H60" s="242">
        <v>1325.569711538461</v>
      </c>
      <c r="I60" s="242">
        <v>0</v>
      </c>
      <c r="J60" s="242">
        <v>1258.83</v>
      </c>
      <c r="K60" s="242">
        <v>0</v>
      </c>
      <c r="L60" s="242">
        <v>1410.2838541666663</v>
      </c>
      <c r="M60" s="242">
        <v>0</v>
      </c>
      <c r="N60" s="242">
        <v>1398.4652777777787</v>
      </c>
      <c r="O60" s="242">
        <v>0</v>
      </c>
      <c r="P60" s="242">
        <v>1270.7259615384619</v>
      </c>
      <c r="Q60" s="242">
        <v>0</v>
      </c>
      <c r="R60" s="242">
        <v>1319.2800000000002</v>
      </c>
      <c r="S60" s="242">
        <v>0</v>
      </c>
      <c r="T60" s="242">
        <v>949.60817307692218</v>
      </c>
      <c r="U60" s="242">
        <v>0</v>
      </c>
      <c r="V60" s="242">
        <v>880.5524999999999</v>
      </c>
      <c r="W60" s="242">
        <v>0</v>
      </c>
      <c r="X60" s="242">
        <v>1484.4189814814815</v>
      </c>
      <c r="Y60" s="242">
        <v>0</v>
      </c>
      <c r="Z60" s="242">
        <v>727.8900000000001</v>
      </c>
      <c r="AA60" s="242">
        <v>0</v>
      </c>
      <c r="AB60" s="242">
        <v>938.54567307692389</v>
      </c>
      <c r="AC60" s="242">
        <v>0</v>
      </c>
      <c r="AD60" s="242">
        <v>1388.4824999999998</v>
      </c>
      <c r="AE60" s="242">
        <v>0</v>
      </c>
      <c r="AF60" s="242">
        <v>1329.4855769230767</v>
      </c>
      <c r="AG60" s="242">
        <v>0</v>
      </c>
      <c r="AH60" s="242">
        <v>1261.9099999999996</v>
      </c>
      <c r="AI60" s="242">
        <v>0</v>
      </c>
      <c r="AJ60" s="242">
        <v>1684.9895833333337</v>
      </c>
      <c r="AK60" s="242">
        <v>0</v>
      </c>
      <c r="AL60" s="242">
        <v>1401.4143518518517</v>
      </c>
      <c r="AM60" s="242">
        <v>0</v>
      </c>
      <c r="AN60" s="242">
        <v>1061.1899999999998</v>
      </c>
      <c r="AO60" s="242">
        <v>0</v>
      </c>
      <c r="AP60" s="242">
        <v>1537.5240384615386</v>
      </c>
      <c r="AQ60" s="242">
        <v>0</v>
      </c>
      <c r="AR60" s="242">
        <v>955.60576923076997</v>
      </c>
      <c r="AS60" s="242">
        <v>0</v>
      </c>
      <c r="AT60" s="242">
        <v>885.24499999999989</v>
      </c>
      <c r="AU60" s="242">
        <v>0</v>
      </c>
      <c r="AV60" s="242">
        <v>1491.0972222222217</v>
      </c>
      <c r="AW60" s="242">
        <v>0</v>
      </c>
      <c r="AX60" s="242">
        <v>732.91499999999996</v>
      </c>
      <c r="AY60" s="242">
        <v>0</v>
      </c>
    </row>
    <row r="61" spans="2:51">
      <c r="B61" s="232">
        <v>10173</v>
      </c>
      <c r="C61" s="232" t="s">
        <v>64</v>
      </c>
      <c r="D61" s="242">
        <v>0</v>
      </c>
      <c r="E61" s="242">
        <v>0</v>
      </c>
      <c r="F61" s="242">
        <v>0</v>
      </c>
      <c r="G61" s="242">
        <v>0</v>
      </c>
      <c r="H61" s="242">
        <v>0</v>
      </c>
      <c r="I61" s="242">
        <v>0</v>
      </c>
      <c r="J61" s="242">
        <v>0</v>
      </c>
      <c r="K61" s="242">
        <v>0</v>
      </c>
      <c r="L61" s="242">
        <v>0</v>
      </c>
      <c r="M61" s="242">
        <v>0</v>
      </c>
      <c r="N61" s="242">
        <v>0</v>
      </c>
      <c r="O61" s="242">
        <v>0</v>
      </c>
      <c r="P61" s="242">
        <v>0</v>
      </c>
      <c r="Q61" s="242">
        <v>0</v>
      </c>
      <c r="R61" s="242">
        <v>0</v>
      </c>
      <c r="S61" s="242">
        <v>0</v>
      </c>
      <c r="T61" s="242">
        <v>0</v>
      </c>
      <c r="U61" s="242">
        <v>0</v>
      </c>
      <c r="V61" s="242">
        <v>0</v>
      </c>
      <c r="W61" s="242">
        <v>0</v>
      </c>
      <c r="X61" s="242">
        <v>0</v>
      </c>
      <c r="Y61" s="242">
        <v>0</v>
      </c>
      <c r="Z61" s="242">
        <v>0</v>
      </c>
      <c r="AA61" s="242">
        <v>0</v>
      </c>
      <c r="AB61" s="242">
        <v>0</v>
      </c>
      <c r="AC61" s="242">
        <v>0</v>
      </c>
      <c r="AD61" s="242">
        <v>0</v>
      </c>
      <c r="AE61" s="242">
        <v>0</v>
      </c>
      <c r="AF61" s="242">
        <v>0</v>
      </c>
      <c r="AG61" s="242">
        <v>0</v>
      </c>
      <c r="AH61" s="242">
        <v>0</v>
      </c>
      <c r="AI61" s="242">
        <v>0</v>
      </c>
      <c r="AJ61" s="242">
        <v>0</v>
      </c>
      <c r="AK61" s="242">
        <v>0</v>
      </c>
      <c r="AL61" s="242">
        <v>0</v>
      </c>
      <c r="AM61" s="242">
        <v>0</v>
      </c>
      <c r="AN61" s="242">
        <v>0</v>
      </c>
      <c r="AO61" s="242">
        <v>0</v>
      </c>
      <c r="AP61" s="242">
        <v>0</v>
      </c>
      <c r="AQ61" s="242">
        <v>0</v>
      </c>
      <c r="AR61" s="242">
        <v>0</v>
      </c>
      <c r="AS61" s="242">
        <v>0</v>
      </c>
      <c r="AT61" s="242">
        <v>0</v>
      </c>
      <c r="AU61" s="242">
        <v>0</v>
      </c>
      <c r="AV61" s="242">
        <v>0</v>
      </c>
      <c r="AW61" s="242">
        <v>0</v>
      </c>
      <c r="AX61" s="242">
        <v>0</v>
      </c>
      <c r="AY61" s="242">
        <v>0</v>
      </c>
    </row>
    <row r="62" spans="2:51">
      <c r="B62" s="232">
        <v>10174</v>
      </c>
      <c r="C62" s="232" t="s">
        <v>65</v>
      </c>
      <c r="D62" s="242">
        <v>59.608173076923038</v>
      </c>
      <c r="E62" s="242">
        <v>0</v>
      </c>
      <c r="F62" s="242">
        <v>0</v>
      </c>
      <c r="G62" s="242">
        <v>0</v>
      </c>
      <c r="H62" s="242">
        <v>165.72596153846146</v>
      </c>
      <c r="I62" s="242">
        <v>0</v>
      </c>
      <c r="J62" s="242">
        <v>121.86999999999998</v>
      </c>
      <c r="K62" s="242">
        <v>0</v>
      </c>
      <c r="L62" s="242">
        <v>3.6328124999999991</v>
      </c>
      <c r="M62" s="242">
        <v>0</v>
      </c>
      <c r="N62" s="242">
        <v>64.543981481481467</v>
      </c>
      <c r="O62" s="242">
        <v>0</v>
      </c>
      <c r="P62" s="242">
        <v>8.2860576923077804</v>
      </c>
      <c r="Q62" s="242">
        <v>0</v>
      </c>
      <c r="R62" s="242">
        <v>0</v>
      </c>
      <c r="S62" s="242">
        <v>0</v>
      </c>
      <c r="T62" s="242">
        <v>58.862980769230788</v>
      </c>
      <c r="U62" s="242">
        <v>0</v>
      </c>
      <c r="V62" s="242">
        <v>4.5174999999999379</v>
      </c>
      <c r="W62" s="242">
        <v>0</v>
      </c>
      <c r="X62" s="242">
        <v>6.9814814814814223</v>
      </c>
      <c r="Y62" s="242">
        <v>0</v>
      </c>
      <c r="Z62" s="242">
        <v>0</v>
      </c>
      <c r="AA62" s="242">
        <v>0</v>
      </c>
      <c r="AB62" s="242">
        <v>42.141826923076856</v>
      </c>
      <c r="AC62" s="242">
        <v>0</v>
      </c>
      <c r="AD62" s="242">
        <v>0</v>
      </c>
      <c r="AE62" s="242">
        <v>0</v>
      </c>
      <c r="AF62" s="242">
        <v>165.47596153846149</v>
      </c>
      <c r="AG62" s="242">
        <v>0</v>
      </c>
      <c r="AH62" s="242">
        <v>121.60249999999989</v>
      </c>
      <c r="AI62" s="242">
        <v>0</v>
      </c>
      <c r="AJ62" s="242">
        <v>27.929687499999993</v>
      </c>
      <c r="AK62" s="242">
        <v>0</v>
      </c>
      <c r="AL62" s="242">
        <v>64.2986111111111</v>
      </c>
      <c r="AM62" s="242">
        <v>0</v>
      </c>
      <c r="AN62" s="242">
        <v>0</v>
      </c>
      <c r="AO62" s="242">
        <v>0</v>
      </c>
      <c r="AP62" s="242">
        <v>16.170673076922991</v>
      </c>
      <c r="AQ62" s="242">
        <v>0</v>
      </c>
      <c r="AR62" s="242">
        <v>58.588942307692278</v>
      </c>
      <c r="AS62" s="242">
        <v>0</v>
      </c>
      <c r="AT62" s="242">
        <v>4.2275000000000365</v>
      </c>
      <c r="AU62" s="242">
        <v>0</v>
      </c>
      <c r="AV62" s="242">
        <v>22.962962962962909</v>
      </c>
      <c r="AW62" s="242">
        <v>0</v>
      </c>
      <c r="AX62" s="242">
        <v>0</v>
      </c>
      <c r="AY62" s="242">
        <v>0</v>
      </c>
    </row>
    <row r="63" spans="2:51">
      <c r="B63" s="232">
        <v>10177</v>
      </c>
      <c r="C63" s="232" t="s">
        <v>66</v>
      </c>
      <c r="D63" s="242">
        <v>0</v>
      </c>
      <c r="E63" s="242">
        <v>0</v>
      </c>
      <c r="F63" s="242">
        <v>0</v>
      </c>
      <c r="G63" s="242">
        <v>0</v>
      </c>
      <c r="H63" s="242">
        <v>1114.1899038461545</v>
      </c>
      <c r="I63" s="242">
        <v>0</v>
      </c>
      <c r="J63" s="242">
        <v>1355.4199999999983</v>
      </c>
      <c r="K63" s="242">
        <v>0</v>
      </c>
      <c r="L63" s="242">
        <v>1620.7239583333326</v>
      </c>
      <c r="M63" s="242">
        <v>0</v>
      </c>
      <c r="N63" s="242">
        <v>5.2893518518533078</v>
      </c>
      <c r="O63" s="242">
        <v>0</v>
      </c>
      <c r="P63" s="242">
        <v>632.68269230769158</v>
      </c>
      <c r="Q63" s="242">
        <v>0</v>
      </c>
      <c r="R63" s="242">
        <v>0</v>
      </c>
      <c r="S63" s="242">
        <v>0</v>
      </c>
      <c r="T63" s="242">
        <v>303.29086538461536</v>
      </c>
      <c r="U63" s="242">
        <v>0</v>
      </c>
      <c r="V63" s="242">
        <v>170.62499999999937</v>
      </c>
      <c r="W63" s="242">
        <v>0</v>
      </c>
      <c r="X63" s="242">
        <v>1591.6759259259254</v>
      </c>
      <c r="Y63" s="242">
        <v>0</v>
      </c>
      <c r="Z63" s="242">
        <v>34.75999999999901</v>
      </c>
      <c r="AA63" s="242">
        <v>0</v>
      </c>
      <c r="AB63" s="242">
        <v>0</v>
      </c>
      <c r="AC63" s="242">
        <v>0</v>
      </c>
      <c r="AD63" s="242">
        <v>104.17749999999958</v>
      </c>
      <c r="AE63" s="242">
        <v>0</v>
      </c>
      <c r="AF63" s="242">
        <v>1599.1298076923085</v>
      </c>
      <c r="AG63" s="242">
        <v>0</v>
      </c>
      <c r="AH63" s="242">
        <v>1766.7800000000002</v>
      </c>
      <c r="AI63" s="242">
        <v>0</v>
      </c>
      <c r="AJ63" s="242">
        <v>2549.7291666666656</v>
      </c>
      <c r="AK63" s="242">
        <v>0</v>
      </c>
      <c r="AL63" s="242">
        <v>400.91666666666504</v>
      </c>
      <c r="AM63" s="242">
        <v>0</v>
      </c>
      <c r="AN63" s="242">
        <v>793.66250000000036</v>
      </c>
      <c r="AO63" s="242">
        <v>0</v>
      </c>
      <c r="AP63" s="242">
        <v>853.69711538461513</v>
      </c>
      <c r="AQ63" s="242">
        <v>0</v>
      </c>
      <c r="AR63" s="242">
        <v>939.27884615384573</v>
      </c>
      <c r="AS63" s="242">
        <v>0</v>
      </c>
      <c r="AT63" s="242">
        <v>851.18749999999909</v>
      </c>
      <c r="AU63" s="242">
        <v>0</v>
      </c>
      <c r="AV63" s="242">
        <v>2649.3009259259275</v>
      </c>
      <c r="AW63" s="242">
        <v>0</v>
      </c>
      <c r="AX63" s="242">
        <v>873.46499999999901</v>
      </c>
      <c r="AY63" s="242">
        <v>0</v>
      </c>
    </row>
    <row r="64" spans="2:51">
      <c r="B64" s="232">
        <v>10179</v>
      </c>
      <c r="C64" s="232" t="s">
        <v>67</v>
      </c>
      <c r="D64" s="242">
        <v>0</v>
      </c>
      <c r="E64" s="242">
        <v>0</v>
      </c>
      <c r="F64" s="242">
        <v>0</v>
      </c>
      <c r="G64" s="242">
        <v>0</v>
      </c>
      <c r="H64" s="242">
        <v>0</v>
      </c>
      <c r="I64" s="242">
        <v>0</v>
      </c>
      <c r="J64" s="242">
        <v>0</v>
      </c>
      <c r="K64" s="242">
        <v>0</v>
      </c>
      <c r="L64" s="242">
        <v>0</v>
      </c>
      <c r="M64" s="242">
        <v>0</v>
      </c>
      <c r="N64" s="242">
        <v>0</v>
      </c>
      <c r="O64" s="242">
        <v>0</v>
      </c>
      <c r="P64" s="242">
        <v>0</v>
      </c>
      <c r="Q64" s="242">
        <v>0</v>
      </c>
      <c r="R64" s="242">
        <v>0</v>
      </c>
      <c r="S64" s="242">
        <v>0</v>
      </c>
      <c r="T64" s="242">
        <v>0</v>
      </c>
      <c r="U64" s="242">
        <v>0</v>
      </c>
      <c r="V64" s="242">
        <v>0</v>
      </c>
      <c r="W64" s="242">
        <v>0</v>
      </c>
      <c r="X64" s="242">
        <v>0</v>
      </c>
      <c r="Y64" s="242">
        <v>0</v>
      </c>
      <c r="Z64" s="242">
        <v>0</v>
      </c>
      <c r="AA64" s="242">
        <v>0</v>
      </c>
      <c r="AB64" s="242">
        <v>0</v>
      </c>
      <c r="AC64" s="242">
        <v>0</v>
      </c>
      <c r="AD64" s="242">
        <v>0</v>
      </c>
      <c r="AE64" s="242">
        <v>0</v>
      </c>
      <c r="AF64" s="242">
        <v>0</v>
      </c>
      <c r="AG64" s="242">
        <v>0</v>
      </c>
      <c r="AH64" s="242">
        <v>0</v>
      </c>
      <c r="AI64" s="242">
        <v>0</v>
      </c>
      <c r="AJ64" s="242">
        <v>0</v>
      </c>
      <c r="AK64" s="242">
        <v>0</v>
      </c>
      <c r="AL64" s="242">
        <v>0</v>
      </c>
      <c r="AM64" s="242">
        <v>0</v>
      </c>
      <c r="AN64" s="242">
        <v>0</v>
      </c>
      <c r="AO64" s="242">
        <v>0</v>
      </c>
      <c r="AP64" s="242">
        <v>0</v>
      </c>
      <c r="AQ64" s="242">
        <v>0</v>
      </c>
      <c r="AR64" s="242">
        <v>0</v>
      </c>
      <c r="AS64" s="242">
        <v>0</v>
      </c>
      <c r="AT64" s="242">
        <v>0</v>
      </c>
      <c r="AU64" s="242">
        <v>0</v>
      </c>
      <c r="AV64" s="242">
        <v>0</v>
      </c>
      <c r="AW64" s="242">
        <v>0</v>
      </c>
      <c r="AX64" s="242">
        <v>0</v>
      </c>
      <c r="AY64" s="242">
        <v>0</v>
      </c>
    </row>
    <row r="65" spans="2:51">
      <c r="B65" s="232">
        <v>10183</v>
      </c>
      <c r="C65" s="232" t="s">
        <v>68</v>
      </c>
      <c r="D65" s="242">
        <v>0</v>
      </c>
      <c r="E65" s="242">
        <v>0</v>
      </c>
      <c r="F65" s="242">
        <v>0</v>
      </c>
      <c r="G65" s="242">
        <v>0</v>
      </c>
      <c r="H65" s="242">
        <v>0</v>
      </c>
      <c r="I65" s="242">
        <v>0</v>
      </c>
      <c r="J65" s="242">
        <v>0</v>
      </c>
      <c r="K65" s="242">
        <v>0</v>
      </c>
      <c r="L65" s="242">
        <v>0</v>
      </c>
      <c r="M65" s="242">
        <v>0</v>
      </c>
      <c r="N65" s="242">
        <v>0</v>
      </c>
      <c r="O65" s="242">
        <v>0</v>
      </c>
      <c r="P65" s="242">
        <v>0</v>
      </c>
      <c r="Q65" s="242">
        <v>0</v>
      </c>
      <c r="R65" s="242">
        <v>0</v>
      </c>
      <c r="S65" s="242">
        <v>0</v>
      </c>
      <c r="T65" s="242">
        <v>0</v>
      </c>
      <c r="U65" s="242">
        <v>0</v>
      </c>
      <c r="V65" s="242">
        <v>0</v>
      </c>
      <c r="W65" s="242">
        <v>0</v>
      </c>
      <c r="X65" s="242">
        <v>0</v>
      </c>
      <c r="Y65" s="242">
        <v>0</v>
      </c>
      <c r="Z65" s="242">
        <v>0</v>
      </c>
      <c r="AA65" s="242">
        <v>0</v>
      </c>
      <c r="AB65" s="242">
        <v>0</v>
      </c>
      <c r="AC65" s="242">
        <v>0</v>
      </c>
      <c r="AD65" s="242">
        <v>0</v>
      </c>
      <c r="AE65" s="242">
        <v>0</v>
      </c>
      <c r="AF65" s="242">
        <v>0</v>
      </c>
      <c r="AG65" s="242">
        <v>0</v>
      </c>
      <c r="AH65" s="242">
        <v>0</v>
      </c>
      <c r="AI65" s="242">
        <v>0</v>
      </c>
      <c r="AJ65" s="242">
        <v>0</v>
      </c>
      <c r="AK65" s="242">
        <v>0</v>
      </c>
      <c r="AL65" s="242">
        <v>0</v>
      </c>
      <c r="AM65" s="242">
        <v>0</v>
      </c>
      <c r="AN65" s="242">
        <v>0</v>
      </c>
      <c r="AO65" s="242">
        <v>0</v>
      </c>
      <c r="AP65" s="242">
        <v>0</v>
      </c>
      <c r="AQ65" s="242">
        <v>0</v>
      </c>
      <c r="AR65" s="242">
        <v>0</v>
      </c>
      <c r="AS65" s="242">
        <v>0</v>
      </c>
      <c r="AT65" s="242">
        <v>0</v>
      </c>
      <c r="AU65" s="242">
        <v>0</v>
      </c>
      <c r="AV65" s="242">
        <v>0</v>
      </c>
      <c r="AW65" s="242">
        <v>0</v>
      </c>
      <c r="AX65" s="242">
        <v>0</v>
      </c>
      <c r="AY65" s="242">
        <v>0</v>
      </c>
    </row>
    <row r="66" spans="2:51">
      <c r="B66" s="232">
        <v>10186</v>
      </c>
      <c r="C66" s="232" t="s">
        <v>69</v>
      </c>
      <c r="D66" s="242">
        <v>1302.4687500000005</v>
      </c>
      <c r="E66" s="242">
        <v>0</v>
      </c>
      <c r="F66" s="242">
        <v>685.32249999999988</v>
      </c>
      <c r="G66" s="242">
        <v>0</v>
      </c>
      <c r="H66" s="242">
        <v>3062.408653846157</v>
      </c>
      <c r="I66" s="242">
        <v>0</v>
      </c>
      <c r="J66" s="242">
        <v>3244.2324999999964</v>
      </c>
      <c r="K66" s="242">
        <v>0</v>
      </c>
      <c r="L66" s="242">
        <v>3391.0885416666688</v>
      </c>
      <c r="M66" s="242">
        <v>0</v>
      </c>
      <c r="N66" s="242">
        <v>3651.5254629629635</v>
      </c>
      <c r="O66" s="242">
        <v>0</v>
      </c>
      <c r="P66" s="242">
        <v>3424.853365384618</v>
      </c>
      <c r="Q66" s="242">
        <v>0</v>
      </c>
      <c r="R66" s="242">
        <v>1714.9774999999986</v>
      </c>
      <c r="S66" s="242">
        <v>0</v>
      </c>
      <c r="T66" s="242">
        <v>1936.5408653846148</v>
      </c>
      <c r="U66" s="242">
        <v>0</v>
      </c>
      <c r="V66" s="242">
        <v>3765.4900000000007</v>
      </c>
      <c r="W66" s="242">
        <v>0</v>
      </c>
      <c r="X66" s="242">
        <v>2763.8263888888896</v>
      </c>
      <c r="Y66" s="242">
        <v>0</v>
      </c>
      <c r="Z66" s="242">
        <v>1949.1599999999983</v>
      </c>
      <c r="AA66" s="242">
        <v>0</v>
      </c>
      <c r="AB66" s="242">
        <v>1313.5312500000018</v>
      </c>
      <c r="AC66" s="242">
        <v>0</v>
      </c>
      <c r="AD66" s="242">
        <v>699.09250000000077</v>
      </c>
      <c r="AE66" s="242">
        <v>0</v>
      </c>
      <c r="AF66" s="242">
        <v>3078.9639423076928</v>
      </c>
      <c r="AG66" s="242">
        <v>0</v>
      </c>
      <c r="AH66" s="242">
        <v>3263.8600000000019</v>
      </c>
      <c r="AI66" s="242">
        <v>0</v>
      </c>
      <c r="AJ66" s="242">
        <v>4260.5364583333339</v>
      </c>
      <c r="AK66" s="242">
        <v>0</v>
      </c>
      <c r="AL66" s="242">
        <v>3667.2129629629621</v>
      </c>
      <c r="AM66" s="242">
        <v>0</v>
      </c>
      <c r="AN66" s="242">
        <v>2612.8924999999977</v>
      </c>
      <c r="AO66" s="242">
        <v>0</v>
      </c>
      <c r="AP66" s="242">
        <v>2468.3437499999982</v>
      </c>
      <c r="AQ66" s="242">
        <v>0</v>
      </c>
      <c r="AR66" s="242">
        <v>1944.461538461539</v>
      </c>
      <c r="AS66" s="242">
        <v>0</v>
      </c>
      <c r="AT66" s="242">
        <v>3776.7324999999987</v>
      </c>
      <c r="AU66" s="242">
        <v>0</v>
      </c>
      <c r="AV66" s="242">
        <v>2772.1481481481464</v>
      </c>
      <c r="AW66" s="242">
        <v>0</v>
      </c>
      <c r="AX66" s="242">
        <v>1959.8350000000009</v>
      </c>
      <c r="AY66" s="242">
        <v>0</v>
      </c>
    </row>
    <row r="67" spans="2:51">
      <c r="B67" s="232">
        <v>10190</v>
      </c>
      <c r="C67" s="232" t="s">
        <v>70</v>
      </c>
      <c r="D67" s="242">
        <v>550.38701923077053</v>
      </c>
      <c r="E67" s="242">
        <v>0</v>
      </c>
      <c r="F67" s="242">
        <v>1540.7000000000012</v>
      </c>
      <c r="G67" s="242">
        <v>0</v>
      </c>
      <c r="H67" s="242">
        <v>3072.3749999999986</v>
      </c>
      <c r="I67" s="242">
        <v>0</v>
      </c>
      <c r="J67" s="242">
        <v>1909.6125000000002</v>
      </c>
      <c r="K67" s="242">
        <v>0</v>
      </c>
      <c r="L67" s="242">
        <v>1027.1510416666665</v>
      </c>
      <c r="M67" s="242">
        <v>0</v>
      </c>
      <c r="N67" s="242">
        <v>2469.9236111111118</v>
      </c>
      <c r="O67" s="242">
        <v>0</v>
      </c>
      <c r="P67" s="242">
        <v>1366.7980769230774</v>
      </c>
      <c r="Q67" s="242">
        <v>0</v>
      </c>
      <c r="R67" s="242">
        <v>793.43249999999955</v>
      </c>
      <c r="S67" s="242">
        <v>0</v>
      </c>
      <c r="T67" s="242">
        <v>772.86057692307827</v>
      </c>
      <c r="U67" s="242">
        <v>0</v>
      </c>
      <c r="V67" s="242">
        <v>816.80750000000035</v>
      </c>
      <c r="W67" s="242">
        <v>0</v>
      </c>
      <c r="X67" s="242">
        <v>1298.9467592592589</v>
      </c>
      <c r="Y67" s="242">
        <v>0</v>
      </c>
      <c r="Z67" s="242">
        <v>949.99500000000046</v>
      </c>
      <c r="AA67" s="242">
        <v>0</v>
      </c>
      <c r="AB67" s="242">
        <v>550.38701923077053</v>
      </c>
      <c r="AC67" s="242">
        <v>0</v>
      </c>
      <c r="AD67" s="242">
        <v>1540.7000000000012</v>
      </c>
      <c r="AE67" s="242">
        <v>0</v>
      </c>
      <c r="AF67" s="242">
        <v>3072.3749999999986</v>
      </c>
      <c r="AG67" s="242">
        <v>0</v>
      </c>
      <c r="AH67" s="242">
        <v>1909.6125000000002</v>
      </c>
      <c r="AI67" s="242">
        <v>0</v>
      </c>
      <c r="AJ67" s="242">
        <v>1383.0416666666672</v>
      </c>
      <c r="AK67" s="242">
        <v>0</v>
      </c>
      <c r="AL67" s="242">
        <v>2469.9236111111118</v>
      </c>
      <c r="AM67" s="242">
        <v>0</v>
      </c>
      <c r="AN67" s="242">
        <v>1112.4300000000012</v>
      </c>
      <c r="AO67" s="242">
        <v>0</v>
      </c>
      <c r="AP67" s="242">
        <v>1027.9927884615379</v>
      </c>
      <c r="AQ67" s="242">
        <v>0</v>
      </c>
      <c r="AR67" s="242">
        <v>772.86057692307827</v>
      </c>
      <c r="AS67" s="242">
        <v>0</v>
      </c>
      <c r="AT67" s="242">
        <v>816.80750000000035</v>
      </c>
      <c r="AU67" s="242">
        <v>0</v>
      </c>
      <c r="AV67" s="242">
        <v>1298.9467592592589</v>
      </c>
      <c r="AW67" s="242">
        <v>0</v>
      </c>
      <c r="AX67" s="242">
        <v>949.99500000000046</v>
      </c>
      <c r="AY67" s="242">
        <v>0</v>
      </c>
    </row>
    <row r="68" spans="2:51">
      <c r="B68" s="232">
        <v>10191</v>
      </c>
      <c r="C68" s="232" t="s">
        <v>71</v>
      </c>
      <c r="D68" s="242">
        <v>2186.3124999999995</v>
      </c>
      <c r="E68" s="242">
        <v>0</v>
      </c>
      <c r="F68" s="242">
        <v>10581.814999999999</v>
      </c>
      <c r="G68" s="242">
        <v>0</v>
      </c>
      <c r="H68" s="242">
        <v>30613.932692307691</v>
      </c>
      <c r="I68" s="242">
        <v>0</v>
      </c>
      <c r="J68" s="242">
        <v>9937.5200000000095</v>
      </c>
      <c r="K68" s="242">
        <v>0</v>
      </c>
      <c r="L68" s="242">
        <v>4504.5598958333176</v>
      </c>
      <c r="M68" s="242">
        <v>0</v>
      </c>
      <c r="N68" s="242">
        <v>27081.472222222226</v>
      </c>
      <c r="O68" s="242">
        <v>0</v>
      </c>
      <c r="P68" s="242">
        <v>7589.2139423077078</v>
      </c>
      <c r="Q68" s="242">
        <v>0</v>
      </c>
      <c r="R68" s="242">
        <v>2236.5725000000084</v>
      </c>
      <c r="S68" s="242">
        <v>0</v>
      </c>
      <c r="T68" s="242">
        <v>14734.10576923077</v>
      </c>
      <c r="U68" s="242">
        <v>0</v>
      </c>
      <c r="V68" s="242">
        <v>2108.3624999999902</v>
      </c>
      <c r="W68" s="242">
        <v>0</v>
      </c>
      <c r="X68" s="242">
        <v>10745.944444444422</v>
      </c>
      <c r="Y68" s="242">
        <v>0</v>
      </c>
      <c r="Z68" s="242">
        <v>15122.880000000001</v>
      </c>
      <c r="AA68" s="242">
        <v>0</v>
      </c>
      <c r="AB68" s="242">
        <v>0</v>
      </c>
      <c r="AC68" s="242">
        <v>0</v>
      </c>
      <c r="AD68" s="242">
        <v>10409.075000000023</v>
      </c>
      <c r="AE68" s="242">
        <v>0</v>
      </c>
      <c r="AF68" s="242">
        <v>30320.389423076911</v>
      </c>
      <c r="AG68" s="242">
        <v>0</v>
      </c>
      <c r="AH68" s="242">
        <v>9742.0550000000258</v>
      </c>
      <c r="AI68" s="242">
        <v>0</v>
      </c>
      <c r="AJ68" s="242">
        <v>18870.7109375</v>
      </c>
      <c r="AK68" s="242">
        <v>0</v>
      </c>
      <c r="AL68" s="242">
        <v>26885.872685185175</v>
      </c>
      <c r="AM68" s="242">
        <v>0</v>
      </c>
      <c r="AN68" s="242">
        <v>1889.0625000000227</v>
      </c>
      <c r="AO68" s="242">
        <v>0</v>
      </c>
      <c r="AP68" s="242">
        <v>6995.5480769230862</v>
      </c>
      <c r="AQ68" s="242">
        <v>0</v>
      </c>
      <c r="AR68" s="242">
        <v>14668.930288461528</v>
      </c>
      <c r="AS68" s="242">
        <v>0</v>
      </c>
      <c r="AT68" s="242">
        <v>2094.680000000003</v>
      </c>
      <c r="AU68" s="242">
        <v>0</v>
      </c>
      <c r="AV68" s="242">
        <v>15041.46064814815</v>
      </c>
      <c r="AW68" s="242">
        <v>0</v>
      </c>
      <c r="AX68" s="242">
        <v>10382.717500000004</v>
      </c>
      <c r="AY68" s="242">
        <v>0</v>
      </c>
    </row>
    <row r="69" spans="2:51">
      <c r="B69" s="232">
        <v>10197</v>
      </c>
      <c r="C69" s="232" t="s">
        <v>72</v>
      </c>
      <c r="D69" s="242">
        <v>6919.2956730769256</v>
      </c>
      <c r="E69" s="242">
        <v>0</v>
      </c>
      <c r="F69" s="242">
        <v>3261.3225000000025</v>
      </c>
      <c r="G69" s="242">
        <v>0</v>
      </c>
      <c r="H69" s="242">
        <v>3931.5817307692305</v>
      </c>
      <c r="I69" s="242">
        <v>0</v>
      </c>
      <c r="J69" s="242">
        <v>33.867500000003488</v>
      </c>
      <c r="K69" s="242">
        <v>0</v>
      </c>
      <c r="L69" s="242">
        <v>207.25260416666603</v>
      </c>
      <c r="M69" s="242">
        <v>0</v>
      </c>
      <c r="N69" s="242">
        <v>517.5092592592589</v>
      </c>
      <c r="O69" s="242">
        <v>0</v>
      </c>
      <c r="P69" s="242">
        <v>3256.2187499999895</v>
      </c>
      <c r="Q69" s="242">
        <v>0</v>
      </c>
      <c r="R69" s="242">
        <v>0</v>
      </c>
      <c r="S69" s="242">
        <v>0</v>
      </c>
      <c r="T69" s="242">
        <v>11284.495192307686</v>
      </c>
      <c r="U69" s="242">
        <v>0</v>
      </c>
      <c r="V69" s="242">
        <v>0</v>
      </c>
      <c r="W69" s="242">
        <v>0</v>
      </c>
      <c r="X69" s="242">
        <v>4234.7916666666733</v>
      </c>
      <c r="Y69" s="242">
        <v>0</v>
      </c>
      <c r="Z69" s="242">
        <v>8250.7424999999912</v>
      </c>
      <c r="AA69" s="242">
        <v>0</v>
      </c>
      <c r="AB69" s="242">
        <v>2963.4543269230844</v>
      </c>
      <c r="AC69" s="242">
        <v>0</v>
      </c>
      <c r="AD69" s="242">
        <v>0</v>
      </c>
      <c r="AE69" s="242">
        <v>0</v>
      </c>
      <c r="AF69" s="242">
        <v>0</v>
      </c>
      <c r="AG69" s="242">
        <v>0</v>
      </c>
      <c r="AH69" s="242">
        <v>0</v>
      </c>
      <c r="AI69" s="242">
        <v>0</v>
      </c>
      <c r="AJ69" s="242">
        <v>745.05989583332916</v>
      </c>
      <c r="AK69" s="242">
        <v>0</v>
      </c>
      <c r="AL69" s="242">
        <v>155.96296296296242</v>
      </c>
      <c r="AM69" s="242">
        <v>0</v>
      </c>
      <c r="AN69" s="242">
        <v>1884.2575000000056</v>
      </c>
      <c r="AO69" s="242">
        <v>0</v>
      </c>
      <c r="AP69" s="242">
        <v>0</v>
      </c>
      <c r="AQ69" s="242">
        <v>0</v>
      </c>
      <c r="AR69" s="242">
        <v>10864.786057692312</v>
      </c>
      <c r="AS69" s="242">
        <v>0</v>
      </c>
      <c r="AT69" s="242">
        <v>0</v>
      </c>
      <c r="AU69" s="242">
        <v>0</v>
      </c>
      <c r="AV69" s="242">
        <v>6024.9467592592582</v>
      </c>
      <c r="AW69" s="242">
        <v>0</v>
      </c>
      <c r="AX69" s="242">
        <v>6254.4275000000089</v>
      </c>
      <c r="AY69" s="242">
        <v>0</v>
      </c>
    </row>
    <row r="70" spans="2:51">
      <c r="B70" s="232">
        <v>10202</v>
      </c>
      <c r="C70" s="232" t="s">
        <v>73</v>
      </c>
      <c r="D70" s="242">
        <v>2495.2644230769229</v>
      </c>
      <c r="E70" s="242">
        <v>0</v>
      </c>
      <c r="F70" s="242">
        <v>1711.2375000000025</v>
      </c>
      <c r="G70" s="242">
        <v>0</v>
      </c>
      <c r="H70" s="242">
        <v>1081.8750000000007</v>
      </c>
      <c r="I70" s="242">
        <v>0</v>
      </c>
      <c r="J70" s="242">
        <v>0</v>
      </c>
      <c r="K70" s="242">
        <v>0</v>
      </c>
      <c r="L70" s="242">
        <v>2959.2916666666679</v>
      </c>
      <c r="M70" s="242">
        <v>0</v>
      </c>
      <c r="N70" s="242">
        <v>3232.6851851851852</v>
      </c>
      <c r="O70" s="242">
        <v>0</v>
      </c>
      <c r="P70" s="242">
        <v>0</v>
      </c>
      <c r="Q70" s="242">
        <v>0</v>
      </c>
      <c r="R70" s="242">
        <v>0</v>
      </c>
      <c r="S70" s="242">
        <v>0</v>
      </c>
      <c r="T70" s="242">
        <v>2186.2235576923094</v>
      </c>
      <c r="U70" s="242">
        <v>0</v>
      </c>
      <c r="V70" s="242">
        <v>983.94500000000073</v>
      </c>
      <c r="W70" s="242">
        <v>0</v>
      </c>
      <c r="X70" s="242">
        <v>2090.8472222222231</v>
      </c>
      <c r="Y70" s="242">
        <v>0</v>
      </c>
      <c r="Z70" s="242">
        <v>3317.1975000000007</v>
      </c>
      <c r="AA70" s="242">
        <v>0</v>
      </c>
      <c r="AB70" s="242">
        <v>1707.9134615384617</v>
      </c>
      <c r="AC70" s="242">
        <v>0</v>
      </c>
      <c r="AD70" s="242">
        <v>1565.427499999998</v>
      </c>
      <c r="AE70" s="242">
        <v>0</v>
      </c>
      <c r="AF70" s="242">
        <v>921.69230769230785</v>
      </c>
      <c r="AG70" s="242">
        <v>0</v>
      </c>
      <c r="AH70" s="242">
        <v>0</v>
      </c>
      <c r="AI70" s="242">
        <v>0</v>
      </c>
      <c r="AJ70" s="242">
        <v>3562.104166666667</v>
      </c>
      <c r="AK70" s="242">
        <v>0</v>
      </c>
      <c r="AL70" s="242">
        <v>3101.9791666666656</v>
      </c>
      <c r="AM70" s="242">
        <v>0</v>
      </c>
      <c r="AN70" s="242">
        <v>0</v>
      </c>
      <c r="AO70" s="242">
        <v>0</v>
      </c>
      <c r="AP70" s="242">
        <v>20.290865384618328</v>
      </c>
      <c r="AQ70" s="242">
        <v>0</v>
      </c>
      <c r="AR70" s="242">
        <v>2213.2764423076924</v>
      </c>
      <c r="AS70" s="242">
        <v>0</v>
      </c>
      <c r="AT70" s="242">
        <v>1004.1750000000005</v>
      </c>
      <c r="AU70" s="242">
        <v>0</v>
      </c>
      <c r="AV70" s="242">
        <v>2723.0555555555538</v>
      </c>
      <c r="AW70" s="242">
        <v>0</v>
      </c>
      <c r="AX70" s="242">
        <v>2673.9575000000018</v>
      </c>
      <c r="AY70" s="242">
        <v>0</v>
      </c>
    </row>
    <row r="71" spans="2:51">
      <c r="B71" s="232">
        <v>10203</v>
      </c>
      <c r="C71" s="232" t="s">
        <v>74</v>
      </c>
      <c r="D71" s="242">
        <v>691.44951923076951</v>
      </c>
      <c r="E71" s="242">
        <v>0</v>
      </c>
      <c r="F71" s="242">
        <v>875.00500000000068</v>
      </c>
      <c r="G71" s="242">
        <v>0</v>
      </c>
      <c r="H71" s="242">
        <v>657.95192307692525</v>
      </c>
      <c r="I71" s="242">
        <v>0</v>
      </c>
      <c r="J71" s="242">
        <v>542.85250000000087</v>
      </c>
      <c r="K71" s="242">
        <v>0</v>
      </c>
      <c r="L71" s="242">
        <v>1125.3984375</v>
      </c>
      <c r="M71" s="242">
        <v>0</v>
      </c>
      <c r="N71" s="242">
        <v>1338.4305555555561</v>
      </c>
      <c r="O71" s="242">
        <v>0</v>
      </c>
      <c r="P71" s="242">
        <v>683.90865384615336</v>
      </c>
      <c r="Q71" s="242">
        <v>0</v>
      </c>
      <c r="R71" s="242">
        <v>1343.7450000000006</v>
      </c>
      <c r="S71" s="242">
        <v>0</v>
      </c>
      <c r="T71" s="242">
        <v>1214.2788461538469</v>
      </c>
      <c r="U71" s="242">
        <v>0</v>
      </c>
      <c r="V71" s="242">
        <v>1320.0850000000009</v>
      </c>
      <c r="W71" s="242">
        <v>0</v>
      </c>
      <c r="X71" s="242">
        <v>1131.7638888888882</v>
      </c>
      <c r="Y71" s="242">
        <v>0</v>
      </c>
      <c r="Z71" s="242">
        <v>1235.1224999999997</v>
      </c>
      <c r="AA71" s="242">
        <v>0</v>
      </c>
      <c r="AB71" s="242">
        <v>703.27163461538555</v>
      </c>
      <c r="AC71" s="242">
        <v>0</v>
      </c>
      <c r="AD71" s="242">
        <v>890.27249999999913</v>
      </c>
      <c r="AE71" s="242">
        <v>0</v>
      </c>
      <c r="AF71" s="242">
        <v>672.90144230769181</v>
      </c>
      <c r="AG71" s="242">
        <v>0</v>
      </c>
      <c r="AH71" s="242">
        <v>558.69000000000085</v>
      </c>
      <c r="AI71" s="242">
        <v>0</v>
      </c>
      <c r="AJ71" s="242">
        <v>1142.0182291666667</v>
      </c>
      <c r="AK71" s="242">
        <v>0</v>
      </c>
      <c r="AL71" s="242">
        <v>1353.4351851851857</v>
      </c>
      <c r="AM71" s="242">
        <v>0</v>
      </c>
      <c r="AN71" s="242">
        <v>426.30500000000058</v>
      </c>
      <c r="AO71" s="242">
        <v>0</v>
      </c>
      <c r="AP71" s="242">
        <v>1575.0625000000009</v>
      </c>
      <c r="AQ71" s="242">
        <v>0</v>
      </c>
      <c r="AR71" s="242">
        <v>1222.6730769230774</v>
      </c>
      <c r="AS71" s="242">
        <v>0</v>
      </c>
      <c r="AT71" s="242">
        <v>1329.6275000000003</v>
      </c>
      <c r="AU71" s="242">
        <v>0</v>
      </c>
      <c r="AV71" s="242">
        <v>1141.8634259259263</v>
      </c>
      <c r="AW71" s="242">
        <v>0</v>
      </c>
      <c r="AX71" s="242">
        <v>1243.6475000000003</v>
      </c>
      <c r="AY71" s="242">
        <v>0</v>
      </c>
    </row>
    <row r="72" spans="2:51">
      <c r="B72" s="232">
        <v>10204</v>
      </c>
      <c r="C72" s="232" t="s">
        <v>75</v>
      </c>
      <c r="D72" s="242">
        <v>0</v>
      </c>
      <c r="E72" s="242">
        <v>0</v>
      </c>
      <c r="F72" s="242">
        <v>0</v>
      </c>
      <c r="G72" s="242">
        <v>0</v>
      </c>
      <c r="H72" s="242">
        <v>0</v>
      </c>
      <c r="I72" s="242">
        <v>0</v>
      </c>
      <c r="J72" s="242">
        <v>0</v>
      </c>
      <c r="K72" s="242">
        <v>0</v>
      </c>
      <c r="L72" s="242">
        <v>0</v>
      </c>
      <c r="M72" s="242">
        <v>0</v>
      </c>
      <c r="N72" s="242">
        <v>0</v>
      </c>
      <c r="O72" s="242">
        <v>0</v>
      </c>
      <c r="P72" s="242">
        <v>0</v>
      </c>
      <c r="Q72" s="242">
        <v>0</v>
      </c>
      <c r="R72" s="242">
        <v>0</v>
      </c>
      <c r="S72" s="242">
        <v>0</v>
      </c>
      <c r="T72" s="242">
        <v>0</v>
      </c>
      <c r="U72" s="242">
        <v>0</v>
      </c>
      <c r="V72" s="242">
        <v>0</v>
      </c>
      <c r="W72" s="242">
        <v>0</v>
      </c>
      <c r="X72" s="242">
        <v>0</v>
      </c>
      <c r="Y72" s="242">
        <v>0</v>
      </c>
      <c r="Z72" s="242">
        <v>0</v>
      </c>
      <c r="AA72" s="242">
        <v>0</v>
      </c>
      <c r="AB72" s="242">
        <v>0</v>
      </c>
      <c r="AC72" s="242">
        <v>0</v>
      </c>
      <c r="AD72" s="242">
        <v>0</v>
      </c>
      <c r="AE72" s="242">
        <v>0</v>
      </c>
      <c r="AF72" s="242">
        <v>0</v>
      </c>
      <c r="AG72" s="242">
        <v>0</v>
      </c>
      <c r="AH72" s="242">
        <v>0</v>
      </c>
      <c r="AI72" s="242">
        <v>0</v>
      </c>
      <c r="AJ72" s="242">
        <v>0</v>
      </c>
      <c r="AK72" s="242">
        <v>0</v>
      </c>
      <c r="AL72" s="242">
        <v>0</v>
      </c>
      <c r="AM72" s="242">
        <v>0</v>
      </c>
      <c r="AN72" s="242">
        <v>0</v>
      </c>
      <c r="AO72" s="242">
        <v>0</v>
      </c>
      <c r="AP72" s="242">
        <v>0</v>
      </c>
      <c r="AQ72" s="242">
        <v>0</v>
      </c>
      <c r="AR72" s="242">
        <v>0</v>
      </c>
      <c r="AS72" s="242">
        <v>0</v>
      </c>
      <c r="AT72" s="242">
        <v>0</v>
      </c>
      <c r="AU72" s="242">
        <v>0</v>
      </c>
      <c r="AV72" s="242">
        <v>0</v>
      </c>
      <c r="AW72" s="242">
        <v>0</v>
      </c>
      <c r="AX72" s="242">
        <v>0</v>
      </c>
      <c r="AY72" s="242">
        <v>0</v>
      </c>
    </row>
    <row r="73" spans="2:51">
      <c r="B73" s="232">
        <v>10209</v>
      </c>
      <c r="C73" s="232" t="s">
        <v>76</v>
      </c>
      <c r="D73" s="242">
        <v>6940.3701923076969</v>
      </c>
      <c r="E73" s="242">
        <v>0</v>
      </c>
      <c r="F73" s="242">
        <v>21265.857499999966</v>
      </c>
      <c r="G73" s="242">
        <v>0</v>
      </c>
      <c r="H73" s="242">
        <v>29597.163461538439</v>
      </c>
      <c r="I73" s="242">
        <v>0</v>
      </c>
      <c r="J73" s="242">
        <v>15450.354999999981</v>
      </c>
      <c r="K73" s="242">
        <v>0</v>
      </c>
      <c r="L73" s="242">
        <v>9146.7421874999964</v>
      </c>
      <c r="M73" s="242">
        <v>0</v>
      </c>
      <c r="N73" s="242">
        <v>31077.020833333343</v>
      </c>
      <c r="O73" s="242">
        <v>0</v>
      </c>
      <c r="P73" s="242">
        <v>36759.555288461546</v>
      </c>
      <c r="Q73" s="242">
        <v>0</v>
      </c>
      <c r="R73" s="242">
        <v>18705.00249999997</v>
      </c>
      <c r="S73" s="242">
        <v>0</v>
      </c>
      <c r="T73" s="242">
        <v>31847.401442307702</v>
      </c>
      <c r="U73" s="242">
        <v>0</v>
      </c>
      <c r="V73" s="242">
        <v>28951.929999999986</v>
      </c>
      <c r="W73" s="242">
        <v>0</v>
      </c>
      <c r="X73" s="242">
        <v>29890.462962962956</v>
      </c>
      <c r="Y73" s="242">
        <v>0</v>
      </c>
      <c r="Z73" s="242">
        <v>25183.494999999995</v>
      </c>
      <c r="AA73" s="242">
        <v>0</v>
      </c>
      <c r="AB73" s="242">
        <v>6782.5480769230926</v>
      </c>
      <c r="AC73" s="242">
        <v>0</v>
      </c>
      <c r="AD73" s="242">
        <v>21270.442499999986</v>
      </c>
      <c r="AE73" s="242">
        <v>0</v>
      </c>
      <c r="AF73" s="242">
        <v>29368.473557692323</v>
      </c>
      <c r="AG73" s="242">
        <v>0</v>
      </c>
      <c r="AH73" s="242">
        <v>15779.11750000002</v>
      </c>
      <c r="AI73" s="242">
        <v>0</v>
      </c>
      <c r="AJ73" s="242">
        <v>14552.864583333332</v>
      </c>
      <c r="AK73" s="242">
        <v>0</v>
      </c>
      <c r="AL73" s="242">
        <v>31208.847222222212</v>
      </c>
      <c r="AM73" s="242">
        <v>0</v>
      </c>
      <c r="AN73" s="242">
        <v>31878.435000000005</v>
      </c>
      <c r="AO73" s="242">
        <v>0</v>
      </c>
      <c r="AP73" s="242">
        <v>23066.718750000015</v>
      </c>
      <c r="AQ73" s="242">
        <v>0</v>
      </c>
      <c r="AR73" s="242">
        <v>31712.524038461543</v>
      </c>
      <c r="AS73" s="242">
        <v>0</v>
      </c>
      <c r="AT73" s="242">
        <v>28757.989999999987</v>
      </c>
      <c r="AU73" s="242">
        <v>0</v>
      </c>
      <c r="AV73" s="242">
        <v>29735.562499999985</v>
      </c>
      <c r="AW73" s="242">
        <v>0</v>
      </c>
      <c r="AX73" s="242">
        <v>25019.210000000017</v>
      </c>
      <c r="AY73" s="242">
        <v>0</v>
      </c>
    </row>
    <row r="74" spans="2:51">
      <c r="B74" s="232">
        <v>10230</v>
      </c>
      <c r="C74" s="232" t="s">
        <v>77</v>
      </c>
      <c r="D74" s="242">
        <v>4080.7716346153848</v>
      </c>
      <c r="E74" s="242">
        <v>0</v>
      </c>
      <c r="F74" s="242">
        <v>2086.0124999999998</v>
      </c>
      <c r="G74" s="242">
        <v>0</v>
      </c>
      <c r="H74" s="242">
        <v>3643.5817307692346</v>
      </c>
      <c r="I74" s="242">
        <v>0</v>
      </c>
      <c r="J74" s="242">
        <v>2991.6925000000001</v>
      </c>
      <c r="K74" s="242">
        <v>0</v>
      </c>
      <c r="L74" s="242">
        <v>3814.4557291666647</v>
      </c>
      <c r="M74" s="242">
        <v>0</v>
      </c>
      <c r="N74" s="242">
        <v>3743.0439814814813</v>
      </c>
      <c r="O74" s="242">
        <v>0</v>
      </c>
      <c r="P74" s="242">
        <v>2215.8245192307736</v>
      </c>
      <c r="Q74" s="242">
        <v>0</v>
      </c>
      <c r="R74" s="242">
        <v>1973.0174999999974</v>
      </c>
      <c r="S74" s="242">
        <v>0</v>
      </c>
      <c r="T74" s="242">
        <v>3764.8076923076928</v>
      </c>
      <c r="U74" s="242">
        <v>0</v>
      </c>
      <c r="V74" s="242">
        <v>2450.2800000000016</v>
      </c>
      <c r="W74" s="242">
        <v>0</v>
      </c>
      <c r="X74" s="242">
        <v>3238.0023148148161</v>
      </c>
      <c r="Y74" s="242">
        <v>0</v>
      </c>
      <c r="Z74" s="242">
        <v>2216.7074999999982</v>
      </c>
      <c r="AA74" s="242">
        <v>0</v>
      </c>
      <c r="AB74" s="242">
        <v>4101.8870192307695</v>
      </c>
      <c r="AC74" s="242">
        <v>0</v>
      </c>
      <c r="AD74" s="242">
        <v>2152.8999999999996</v>
      </c>
      <c r="AE74" s="242">
        <v>0</v>
      </c>
      <c r="AF74" s="242">
        <v>3713.7620192307709</v>
      </c>
      <c r="AG74" s="242">
        <v>0</v>
      </c>
      <c r="AH74" s="242">
        <v>3065.1049999999964</v>
      </c>
      <c r="AI74" s="242">
        <v>0</v>
      </c>
      <c r="AJ74" s="242">
        <v>4404.5755208333358</v>
      </c>
      <c r="AK74" s="242">
        <v>0</v>
      </c>
      <c r="AL74" s="242">
        <v>3826.275462962963</v>
      </c>
      <c r="AM74" s="242">
        <v>0</v>
      </c>
      <c r="AN74" s="242">
        <v>1776.4675000000007</v>
      </c>
      <c r="AO74" s="242">
        <v>0</v>
      </c>
      <c r="AP74" s="242">
        <v>2513.2596153846139</v>
      </c>
      <c r="AQ74" s="242">
        <v>0</v>
      </c>
      <c r="AR74" s="242">
        <v>3871.7572115384596</v>
      </c>
      <c r="AS74" s="242">
        <v>0</v>
      </c>
      <c r="AT74" s="242">
        <v>2494.4325000000008</v>
      </c>
      <c r="AU74" s="242">
        <v>0</v>
      </c>
      <c r="AV74" s="242">
        <v>3292.101851851854</v>
      </c>
      <c r="AW74" s="242">
        <v>0</v>
      </c>
      <c r="AX74" s="242">
        <v>2256.5775000000008</v>
      </c>
      <c r="AY74" s="242">
        <v>0</v>
      </c>
    </row>
    <row r="75" spans="2:51">
      <c r="B75" s="232">
        <v>10231</v>
      </c>
      <c r="C75" s="232" t="s">
        <v>78</v>
      </c>
      <c r="D75" s="242">
        <v>0</v>
      </c>
      <c r="E75" s="242">
        <v>0</v>
      </c>
      <c r="F75" s="242">
        <v>668.52500000001851</v>
      </c>
      <c r="G75" s="242">
        <v>0</v>
      </c>
      <c r="H75" s="242">
        <v>8407.8533653846189</v>
      </c>
      <c r="I75" s="242">
        <v>0</v>
      </c>
      <c r="J75" s="242">
        <v>0</v>
      </c>
      <c r="K75" s="242">
        <v>0</v>
      </c>
      <c r="L75" s="242">
        <v>1201.4921874999941</v>
      </c>
      <c r="M75" s="242">
        <v>0</v>
      </c>
      <c r="N75" s="242">
        <v>6812.4050925925985</v>
      </c>
      <c r="O75" s="242">
        <v>0</v>
      </c>
      <c r="P75" s="242">
        <v>655.80048076922992</v>
      </c>
      <c r="Q75" s="242">
        <v>0</v>
      </c>
      <c r="R75" s="242">
        <v>2331.5075000000106</v>
      </c>
      <c r="S75" s="242">
        <v>0</v>
      </c>
      <c r="T75" s="242">
        <v>11213.370192307686</v>
      </c>
      <c r="U75" s="242">
        <v>0</v>
      </c>
      <c r="V75" s="242">
        <v>60.667500000018748</v>
      </c>
      <c r="W75" s="242">
        <v>0</v>
      </c>
      <c r="X75" s="242">
        <v>9080.3472222222226</v>
      </c>
      <c r="Y75" s="242">
        <v>0</v>
      </c>
      <c r="Z75" s="242">
        <v>1311.1350000000073</v>
      </c>
      <c r="AA75" s="242">
        <v>0</v>
      </c>
      <c r="AB75" s="242">
        <v>0</v>
      </c>
      <c r="AC75" s="242">
        <v>0</v>
      </c>
      <c r="AD75" s="242">
        <v>394.7124999999989</v>
      </c>
      <c r="AE75" s="242">
        <v>0</v>
      </c>
      <c r="AF75" s="242">
        <v>8409.8173076923031</v>
      </c>
      <c r="AG75" s="242">
        <v>0</v>
      </c>
      <c r="AH75" s="242">
        <v>0</v>
      </c>
      <c r="AI75" s="242">
        <v>0</v>
      </c>
      <c r="AJ75" s="242">
        <v>1714.5026041666683</v>
      </c>
      <c r="AK75" s="242">
        <v>0</v>
      </c>
      <c r="AL75" s="242">
        <v>6563.1921296296341</v>
      </c>
      <c r="AM75" s="242">
        <v>0</v>
      </c>
      <c r="AN75" s="242">
        <v>0</v>
      </c>
      <c r="AO75" s="242">
        <v>0</v>
      </c>
      <c r="AP75" s="242">
        <v>4261.615384615392</v>
      </c>
      <c r="AQ75" s="242">
        <v>0</v>
      </c>
      <c r="AR75" s="242">
        <v>10842.584134615387</v>
      </c>
      <c r="AS75" s="242">
        <v>0</v>
      </c>
      <c r="AT75" s="242">
        <v>0</v>
      </c>
      <c r="AU75" s="242">
        <v>0</v>
      </c>
      <c r="AV75" s="242">
        <v>11392.462962962973</v>
      </c>
      <c r="AW75" s="242">
        <v>0</v>
      </c>
      <c r="AX75" s="242">
        <v>0</v>
      </c>
      <c r="AY75" s="242">
        <v>0</v>
      </c>
    </row>
    <row r="76" spans="2:51">
      <c r="B76" s="232">
        <v>10234</v>
      </c>
      <c r="C76" s="232" t="s">
        <v>79</v>
      </c>
      <c r="D76" s="242">
        <v>10690.307692307688</v>
      </c>
      <c r="E76" s="242">
        <v>0</v>
      </c>
      <c r="F76" s="242">
        <v>7636.9424999999965</v>
      </c>
      <c r="G76" s="242">
        <v>0</v>
      </c>
      <c r="H76" s="242">
        <v>17013.649038461535</v>
      </c>
      <c r="I76" s="242">
        <v>0</v>
      </c>
      <c r="J76" s="242">
        <v>16862.417499999985</v>
      </c>
      <c r="K76" s="242">
        <v>0</v>
      </c>
      <c r="L76" s="242">
        <v>11611.294270833345</v>
      </c>
      <c r="M76" s="242">
        <v>0</v>
      </c>
      <c r="N76" s="242">
        <v>17495.787037037029</v>
      </c>
      <c r="O76" s="242">
        <v>0</v>
      </c>
      <c r="P76" s="242">
        <v>15538.09855769231</v>
      </c>
      <c r="Q76" s="242">
        <v>0</v>
      </c>
      <c r="R76" s="242">
        <v>10644.869999999997</v>
      </c>
      <c r="S76" s="242">
        <v>0</v>
      </c>
      <c r="T76" s="242">
        <v>16714.879807692312</v>
      </c>
      <c r="U76" s="242">
        <v>0</v>
      </c>
      <c r="V76" s="242">
        <v>21435.312500000004</v>
      </c>
      <c r="W76" s="242">
        <v>0</v>
      </c>
      <c r="X76" s="242">
        <v>23988.287037037029</v>
      </c>
      <c r="Y76" s="242">
        <v>0</v>
      </c>
      <c r="Z76" s="242">
        <v>14627.897499999999</v>
      </c>
      <c r="AA76" s="242">
        <v>0</v>
      </c>
      <c r="AB76" s="242">
        <v>11533.324519230764</v>
      </c>
      <c r="AC76" s="242">
        <v>0</v>
      </c>
      <c r="AD76" s="242">
        <v>8465.7174999999897</v>
      </c>
      <c r="AE76" s="242">
        <v>0</v>
      </c>
      <c r="AF76" s="242">
        <v>17957.18269230771</v>
      </c>
      <c r="AG76" s="242">
        <v>0</v>
      </c>
      <c r="AH76" s="242">
        <v>17801.64</v>
      </c>
      <c r="AI76" s="242">
        <v>0</v>
      </c>
      <c r="AJ76" s="242">
        <v>13222.252604166673</v>
      </c>
      <c r="AK76" s="242">
        <v>0</v>
      </c>
      <c r="AL76" s="242">
        <v>18442.250000000011</v>
      </c>
      <c r="AM76" s="242">
        <v>0</v>
      </c>
      <c r="AN76" s="242">
        <v>13542.234999999993</v>
      </c>
      <c r="AO76" s="242">
        <v>0</v>
      </c>
      <c r="AP76" s="242">
        <v>13989.213942307686</v>
      </c>
      <c r="AQ76" s="242">
        <v>0</v>
      </c>
      <c r="AR76" s="242">
        <v>17526.807692307684</v>
      </c>
      <c r="AS76" s="242">
        <v>0</v>
      </c>
      <c r="AT76" s="242">
        <v>22283.859999999982</v>
      </c>
      <c r="AU76" s="242">
        <v>0</v>
      </c>
      <c r="AV76" s="242">
        <v>24906.520833333321</v>
      </c>
      <c r="AW76" s="242">
        <v>0</v>
      </c>
      <c r="AX76" s="242">
        <v>15421.235000000006</v>
      </c>
      <c r="AY76" s="242">
        <v>0</v>
      </c>
    </row>
    <row r="77" spans="2:51">
      <c r="B77" s="232">
        <v>10235</v>
      </c>
      <c r="C77" s="232" t="s">
        <v>80</v>
      </c>
      <c r="D77" s="242">
        <v>2194.4903846153816</v>
      </c>
      <c r="E77" s="242">
        <v>0</v>
      </c>
      <c r="F77" s="242">
        <v>1805.9375000000007</v>
      </c>
      <c r="G77" s="242">
        <v>0</v>
      </c>
      <c r="H77" s="242">
        <v>8650.7668269230762</v>
      </c>
      <c r="I77" s="242">
        <v>0</v>
      </c>
      <c r="J77" s="242">
        <v>4656.0675000000056</v>
      </c>
      <c r="K77" s="242">
        <v>0</v>
      </c>
      <c r="L77" s="242">
        <v>2203.4036458333348</v>
      </c>
      <c r="M77" s="242">
        <v>0</v>
      </c>
      <c r="N77" s="242">
        <v>5474.4675925925912</v>
      </c>
      <c r="O77" s="242">
        <v>0</v>
      </c>
      <c r="P77" s="242">
        <v>6003.0625000000009</v>
      </c>
      <c r="Q77" s="242">
        <v>0</v>
      </c>
      <c r="R77" s="242">
        <v>2146.1799999999985</v>
      </c>
      <c r="S77" s="242">
        <v>0</v>
      </c>
      <c r="T77" s="242">
        <v>5292.983173076922</v>
      </c>
      <c r="U77" s="242">
        <v>0</v>
      </c>
      <c r="V77" s="242">
        <v>2556.0599999999995</v>
      </c>
      <c r="W77" s="242">
        <v>0</v>
      </c>
      <c r="X77" s="242">
        <v>4509.7314814814845</v>
      </c>
      <c r="Y77" s="242">
        <v>0</v>
      </c>
      <c r="Z77" s="242">
        <v>5221.7800000000052</v>
      </c>
      <c r="AA77" s="242">
        <v>0</v>
      </c>
      <c r="AB77" s="242">
        <v>1123.0937499999989</v>
      </c>
      <c r="AC77" s="242">
        <v>0</v>
      </c>
      <c r="AD77" s="242">
        <v>1875.3550000000007</v>
      </c>
      <c r="AE77" s="242">
        <v>0</v>
      </c>
      <c r="AF77" s="242">
        <v>8731.7788461538457</v>
      </c>
      <c r="AG77" s="242">
        <v>0</v>
      </c>
      <c r="AH77" s="242">
        <v>4732.9025000000011</v>
      </c>
      <c r="AI77" s="242">
        <v>0</v>
      </c>
      <c r="AJ77" s="242">
        <v>3953.0416666666656</v>
      </c>
      <c r="AK77" s="242">
        <v>0</v>
      </c>
      <c r="AL77" s="242">
        <v>5541.0972222222226</v>
      </c>
      <c r="AM77" s="242">
        <v>0</v>
      </c>
      <c r="AN77" s="242">
        <v>4823.3225000000057</v>
      </c>
      <c r="AO77" s="242">
        <v>0</v>
      </c>
      <c r="AP77" s="242">
        <v>3308.3966346153888</v>
      </c>
      <c r="AQ77" s="242">
        <v>0</v>
      </c>
      <c r="AR77" s="242">
        <v>5344.2932692307631</v>
      </c>
      <c r="AS77" s="242">
        <v>0</v>
      </c>
      <c r="AT77" s="242">
        <v>2606.8900000000008</v>
      </c>
      <c r="AU77" s="242">
        <v>0</v>
      </c>
      <c r="AV77" s="242">
        <v>5542.9467592592619</v>
      </c>
      <c r="AW77" s="242">
        <v>0</v>
      </c>
      <c r="AX77" s="242">
        <v>4253.9199999999964</v>
      </c>
      <c r="AY77" s="242">
        <v>0</v>
      </c>
    </row>
    <row r="78" spans="2:51">
      <c r="B78" s="232">
        <v>10236</v>
      </c>
      <c r="C78" s="232" t="s">
        <v>81</v>
      </c>
      <c r="D78" s="242">
        <v>0</v>
      </c>
      <c r="E78" s="242">
        <v>0</v>
      </c>
      <c r="F78" s="242">
        <v>0</v>
      </c>
      <c r="G78" s="242">
        <v>0</v>
      </c>
      <c r="H78" s="242">
        <v>0</v>
      </c>
      <c r="I78" s="242">
        <v>0</v>
      </c>
      <c r="J78" s="242">
        <v>0</v>
      </c>
      <c r="K78" s="242">
        <v>0</v>
      </c>
      <c r="L78" s="242">
        <v>0</v>
      </c>
      <c r="M78" s="242">
        <v>0</v>
      </c>
      <c r="N78" s="242">
        <v>0</v>
      </c>
      <c r="O78" s="242">
        <v>0</v>
      </c>
      <c r="P78" s="242">
        <v>0</v>
      </c>
      <c r="Q78" s="242">
        <v>0</v>
      </c>
      <c r="R78" s="242">
        <v>0</v>
      </c>
      <c r="S78" s="242">
        <v>0</v>
      </c>
      <c r="T78" s="242">
        <v>0</v>
      </c>
      <c r="U78" s="242">
        <v>0</v>
      </c>
      <c r="V78" s="242">
        <v>0</v>
      </c>
      <c r="W78" s="242">
        <v>0</v>
      </c>
      <c r="X78" s="242">
        <v>0</v>
      </c>
      <c r="Y78" s="242">
        <v>0</v>
      </c>
      <c r="Z78" s="242">
        <v>0</v>
      </c>
      <c r="AA78" s="242">
        <v>0</v>
      </c>
      <c r="AB78" s="242">
        <v>0</v>
      </c>
      <c r="AC78" s="242">
        <v>0</v>
      </c>
      <c r="AD78" s="242">
        <v>0</v>
      </c>
      <c r="AE78" s="242">
        <v>0</v>
      </c>
      <c r="AF78" s="242">
        <v>0</v>
      </c>
      <c r="AG78" s="242">
        <v>0</v>
      </c>
      <c r="AH78" s="242">
        <v>0</v>
      </c>
      <c r="AI78" s="242">
        <v>0</v>
      </c>
      <c r="AJ78" s="242">
        <v>0</v>
      </c>
      <c r="AK78" s="242">
        <v>0</v>
      </c>
      <c r="AL78" s="242">
        <v>0</v>
      </c>
      <c r="AM78" s="242">
        <v>0</v>
      </c>
      <c r="AN78" s="242">
        <v>0</v>
      </c>
      <c r="AO78" s="242">
        <v>0</v>
      </c>
      <c r="AP78" s="242">
        <v>0</v>
      </c>
      <c r="AQ78" s="242">
        <v>0</v>
      </c>
      <c r="AR78" s="242">
        <v>0</v>
      </c>
      <c r="AS78" s="242">
        <v>0</v>
      </c>
      <c r="AT78" s="242">
        <v>0</v>
      </c>
      <c r="AU78" s="242">
        <v>0</v>
      </c>
      <c r="AV78" s="242">
        <v>0</v>
      </c>
      <c r="AW78" s="242">
        <v>0</v>
      </c>
      <c r="AX78" s="242">
        <v>0</v>
      </c>
      <c r="AY78" s="242">
        <v>0</v>
      </c>
    </row>
    <row r="79" spans="2:51">
      <c r="B79" s="232">
        <v>10237</v>
      </c>
      <c r="C79" s="232" t="s">
        <v>82</v>
      </c>
      <c r="D79" s="242">
        <v>0</v>
      </c>
      <c r="E79" s="242">
        <v>0</v>
      </c>
      <c r="F79" s="242">
        <v>0</v>
      </c>
      <c r="G79" s="242">
        <v>0</v>
      </c>
      <c r="H79" s="242">
        <v>0</v>
      </c>
      <c r="I79" s="242">
        <v>0</v>
      </c>
      <c r="J79" s="242">
        <v>0</v>
      </c>
      <c r="K79" s="242">
        <v>0</v>
      </c>
      <c r="L79" s="242">
        <v>0</v>
      </c>
      <c r="M79" s="242">
        <v>0</v>
      </c>
      <c r="N79" s="242">
        <v>0</v>
      </c>
      <c r="O79" s="242">
        <v>0</v>
      </c>
      <c r="P79" s="242">
        <v>0</v>
      </c>
      <c r="Q79" s="242">
        <v>0</v>
      </c>
      <c r="R79" s="242">
        <v>0</v>
      </c>
      <c r="S79" s="242">
        <v>0</v>
      </c>
      <c r="T79" s="242">
        <v>0</v>
      </c>
      <c r="U79" s="242">
        <v>0</v>
      </c>
      <c r="V79" s="242">
        <v>0</v>
      </c>
      <c r="W79" s="242">
        <v>0</v>
      </c>
      <c r="X79" s="242">
        <v>0</v>
      </c>
      <c r="Y79" s="242">
        <v>0</v>
      </c>
      <c r="Z79" s="242">
        <v>0</v>
      </c>
      <c r="AA79" s="242">
        <v>0</v>
      </c>
      <c r="AB79" s="242">
        <v>0</v>
      </c>
      <c r="AC79" s="242">
        <v>0</v>
      </c>
      <c r="AD79" s="242">
        <v>0</v>
      </c>
      <c r="AE79" s="242">
        <v>0</v>
      </c>
      <c r="AF79" s="242">
        <v>0</v>
      </c>
      <c r="AG79" s="242">
        <v>0</v>
      </c>
      <c r="AH79" s="242">
        <v>0</v>
      </c>
      <c r="AI79" s="242">
        <v>0</v>
      </c>
      <c r="AJ79" s="242">
        <v>0</v>
      </c>
      <c r="AK79" s="242">
        <v>0</v>
      </c>
      <c r="AL79" s="242">
        <v>0</v>
      </c>
      <c r="AM79" s="242">
        <v>0</v>
      </c>
      <c r="AN79" s="242">
        <v>0</v>
      </c>
      <c r="AO79" s="242">
        <v>0</v>
      </c>
      <c r="AP79" s="242">
        <v>0</v>
      </c>
      <c r="AQ79" s="242">
        <v>0</v>
      </c>
      <c r="AR79" s="242">
        <v>0</v>
      </c>
      <c r="AS79" s="242">
        <v>0</v>
      </c>
      <c r="AT79" s="242">
        <v>0</v>
      </c>
      <c r="AU79" s="242">
        <v>0</v>
      </c>
      <c r="AV79" s="242">
        <v>0</v>
      </c>
      <c r="AW79" s="242">
        <v>0</v>
      </c>
      <c r="AX79" s="242">
        <v>0</v>
      </c>
      <c r="AY79" s="242">
        <v>0</v>
      </c>
    </row>
    <row r="80" spans="2:51">
      <c r="B80" s="232">
        <v>10239</v>
      </c>
      <c r="C80" s="232" t="s">
        <v>83</v>
      </c>
      <c r="D80" s="242">
        <v>0</v>
      </c>
      <c r="E80" s="242">
        <v>0</v>
      </c>
      <c r="F80" s="242">
        <v>0</v>
      </c>
      <c r="G80" s="242">
        <v>0</v>
      </c>
      <c r="H80" s="242">
        <v>0</v>
      </c>
      <c r="I80" s="242">
        <v>0</v>
      </c>
      <c r="J80" s="242">
        <v>0</v>
      </c>
      <c r="K80" s="242">
        <v>0</v>
      </c>
      <c r="L80" s="242">
        <v>0</v>
      </c>
      <c r="M80" s="242">
        <v>0</v>
      </c>
      <c r="N80" s="242">
        <v>0</v>
      </c>
      <c r="O80" s="242">
        <v>0</v>
      </c>
      <c r="P80" s="242">
        <v>0</v>
      </c>
      <c r="Q80" s="242">
        <v>0</v>
      </c>
      <c r="R80" s="242">
        <v>0</v>
      </c>
      <c r="S80" s="242">
        <v>0</v>
      </c>
      <c r="T80" s="242">
        <v>0</v>
      </c>
      <c r="U80" s="242">
        <v>0</v>
      </c>
      <c r="V80" s="242">
        <v>0</v>
      </c>
      <c r="W80" s="242">
        <v>0</v>
      </c>
      <c r="X80" s="242">
        <v>0</v>
      </c>
      <c r="Y80" s="242">
        <v>0</v>
      </c>
      <c r="Z80" s="242">
        <v>0</v>
      </c>
      <c r="AA80" s="242">
        <v>0</v>
      </c>
      <c r="AB80" s="242">
        <v>0</v>
      </c>
      <c r="AC80" s="242">
        <v>0</v>
      </c>
      <c r="AD80" s="242">
        <v>0</v>
      </c>
      <c r="AE80" s="242">
        <v>0</v>
      </c>
      <c r="AF80" s="242">
        <v>0</v>
      </c>
      <c r="AG80" s="242">
        <v>0</v>
      </c>
      <c r="AH80" s="242">
        <v>0</v>
      </c>
      <c r="AI80" s="242">
        <v>0</v>
      </c>
      <c r="AJ80" s="242">
        <v>0</v>
      </c>
      <c r="AK80" s="242">
        <v>0</v>
      </c>
      <c r="AL80" s="242">
        <v>0</v>
      </c>
      <c r="AM80" s="242">
        <v>0</v>
      </c>
      <c r="AN80" s="242">
        <v>0</v>
      </c>
      <c r="AO80" s="242">
        <v>0</v>
      </c>
      <c r="AP80" s="242">
        <v>0</v>
      </c>
      <c r="AQ80" s="242">
        <v>0</v>
      </c>
      <c r="AR80" s="242">
        <v>0</v>
      </c>
      <c r="AS80" s="242">
        <v>0</v>
      </c>
      <c r="AT80" s="242">
        <v>0</v>
      </c>
      <c r="AU80" s="242">
        <v>0</v>
      </c>
      <c r="AV80" s="242">
        <v>0</v>
      </c>
      <c r="AW80" s="242">
        <v>0</v>
      </c>
      <c r="AX80" s="242">
        <v>0</v>
      </c>
      <c r="AY80" s="242">
        <v>0</v>
      </c>
    </row>
    <row r="81" spans="2:51">
      <c r="B81" s="232">
        <v>10242</v>
      </c>
      <c r="C81" s="232" t="s">
        <v>84</v>
      </c>
      <c r="D81" s="242">
        <v>2884.7740384615372</v>
      </c>
      <c r="E81" s="242">
        <v>0</v>
      </c>
      <c r="F81" s="242">
        <v>787.28749999999923</v>
      </c>
      <c r="G81" s="242">
        <v>0</v>
      </c>
      <c r="H81" s="242">
        <v>991.24278846153891</v>
      </c>
      <c r="I81" s="242">
        <v>0</v>
      </c>
      <c r="J81" s="242">
        <v>804.99499999999989</v>
      </c>
      <c r="K81" s="242">
        <v>0</v>
      </c>
      <c r="L81" s="242">
        <v>373.29687499999943</v>
      </c>
      <c r="M81" s="242">
        <v>0</v>
      </c>
      <c r="N81" s="242">
        <v>1450.4143518518511</v>
      </c>
      <c r="O81" s="242">
        <v>0</v>
      </c>
      <c r="P81" s="242">
        <v>2276.5456730769229</v>
      </c>
      <c r="Q81" s="242">
        <v>0</v>
      </c>
      <c r="R81" s="242">
        <v>0</v>
      </c>
      <c r="S81" s="242">
        <v>0</v>
      </c>
      <c r="T81" s="242">
        <v>4360.5048076923085</v>
      </c>
      <c r="U81" s="242">
        <v>0</v>
      </c>
      <c r="V81" s="242">
        <v>2843.6375000000039</v>
      </c>
      <c r="W81" s="242">
        <v>0</v>
      </c>
      <c r="X81" s="242">
        <v>2706.4513888888878</v>
      </c>
      <c r="Y81" s="242">
        <v>0</v>
      </c>
      <c r="Z81" s="242">
        <v>3700.7724999999991</v>
      </c>
      <c r="AA81" s="242">
        <v>0</v>
      </c>
      <c r="AB81" s="242">
        <v>2925.3966346153852</v>
      </c>
      <c r="AC81" s="242">
        <v>0</v>
      </c>
      <c r="AD81" s="242">
        <v>815.57000000000062</v>
      </c>
      <c r="AE81" s="242">
        <v>0</v>
      </c>
      <c r="AF81" s="242">
        <v>1012.5288461538466</v>
      </c>
      <c r="AG81" s="242">
        <v>0</v>
      </c>
      <c r="AH81" s="242">
        <v>824.60250000000008</v>
      </c>
      <c r="AI81" s="242">
        <v>0</v>
      </c>
      <c r="AJ81" s="242">
        <v>1060.8906250000007</v>
      </c>
      <c r="AK81" s="242">
        <v>0</v>
      </c>
      <c r="AL81" s="242">
        <v>1484.4421296296302</v>
      </c>
      <c r="AM81" s="242">
        <v>0</v>
      </c>
      <c r="AN81" s="242">
        <v>2086.85</v>
      </c>
      <c r="AO81" s="242">
        <v>0</v>
      </c>
      <c r="AP81" s="242">
        <v>426.64423076922907</v>
      </c>
      <c r="AQ81" s="242">
        <v>0</v>
      </c>
      <c r="AR81" s="242">
        <v>4452.5504807692332</v>
      </c>
      <c r="AS81" s="242">
        <v>0</v>
      </c>
      <c r="AT81" s="242">
        <v>2896.8624999999979</v>
      </c>
      <c r="AU81" s="242">
        <v>0</v>
      </c>
      <c r="AV81" s="242">
        <v>2753.2060185185196</v>
      </c>
      <c r="AW81" s="242">
        <v>0</v>
      </c>
      <c r="AX81" s="242">
        <v>3874.4449999999997</v>
      </c>
      <c r="AY81" s="242">
        <v>0</v>
      </c>
    </row>
    <row r="82" spans="2:51">
      <c r="B82" s="232">
        <v>10244</v>
      </c>
      <c r="C82" s="232" t="s">
        <v>85</v>
      </c>
      <c r="D82" s="242">
        <v>12398.444711538477</v>
      </c>
      <c r="E82" s="242">
        <v>0</v>
      </c>
      <c r="F82" s="242">
        <v>17959.840000000007</v>
      </c>
      <c r="G82" s="242">
        <v>0</v>
      </c>
      <c r="H82" s="242">
        <v>21250.850961538439</v>
      </c>
      <c r="I82" s="242">
        <v>0</v>
      </c>
      <c r="J82" s="242">
        <v>31840.06749999999</v>
      </c>
      <c r="K82" s="242">
        <v>0</v>
      </c>
      <c r="L82" s="242">
        <v>9389.2916666666642</v>
      </c>
      <c r="M82" s="242">
        <v>0</v>
      </c>
      <c r="N82" s="242">
        <v>24101.250000000007</v>
      </c>
      <c r="O82" s="242">
        <v>0</v>
      </c>
      <c r="P82" s="242">
        <v>23487.682692307695</v>
      </c>
      <c r="Q82" s="242">
        <v>0</v>
      </c>
      <c r="R82" s="242">
        <v>15123.200000000004</v>
      </c>
      <c r="S82" s="242">
        <v>0</v>
      </c>
      <c r="T82" s="242">
        <v>16348.23798076922</v>
      </c>
      <c r="U82" s="242">
        <v>0</v>
      </c>
      <c r="V82" s="242">
        <v>11501.712500000005</v>
      </c>
      <c r="W82" s="242">
        <v>0</v>
      </c>
      <c r="X82" s="242">
        <v>11689.395833333334</v>
      </c>
      <c r="Y82" s="242">
        <v>0</v>
      </c>
      <c r="Z82" s="242">
        <v>19353.512500000004</v>
      </c>
      <c r="AA82" s="242">
        <v>0</v>
      </c>
      <c r="AB82" s="242">
        <v>13347.721153846169</v>
      </c>
      <c r="AC82" s="242">
        <v>0</v>
      </c>
      <c r="AD82" s="242">
        <v>18958.28249999999</v>
      </c>
      <c r="AE82" s="242">
        <v>0</v>
      </c>
      <c r="AF82" s="242">
        <v>22313.694711538454</v>
      </c>
      <c r="AG82" s="242">
        <v>0</v>
      </c>
      <c r="AH82" s="242">
        <v>32825.452499999999</v>
      </c>
      <c r="AI82" s="242">
        <v>0</v>
      </c>
      <c r="AJ82" s="242">
        <v>13214.968749999984</v>
      </c>
      <c r="AK82" s="242">
        <v>0</v>
      </c>
      <c r="AL82" s="242">
        <v>25176.337962962945</v>
      </c>
      <c r="AM82" s="242">
        <v>0</v>
      </c>
      <c r="AN82" s="242">
        <v>20500.614999999991</v>
      </c>
      <c r="AO82" s="242">
        <v>0</v>
      </c>
      <c r="AP82" s="242">
        <v>18563.855769230762</v>
      </c>
      <c r="AQ82" s="242">
        <v>0</v>
      </c>
      <c r="AR82" s="242">
        <v>16716.95673076922</v>
      </c>
      <c r="AS82" s="242">
        <v>0</v>
      </c>
      <c r="AT82" s="242">
        <v>11867.085000000012</v>
      </c>
      <c r="AU82" s="242">
        <v>0</v>
      </c>
      <c r="AV82" s="242">
        <v>12079.831018518516</v>
      </c>
      <c r="AW82" s="242">
        <v>0</v>
      </c>
      <c r="AX82" s="242">
        <v>19728.839999999989</v>
      </c>
      <c r="AY82" s="242">
        <v>0</v>
      </c>
    </row>
    <row r="83" spans="2:51">
      <c r="B83" s="232">
        <v>10246</v>
      </c>
      <c r="C83" s="232" t="s">
        <v>86</v>
      </c>
      <c r="D83" s="242">
        <v>897.55048076923322</v>
      </c>
      <c r="E83" s="242">
        <v>0</v>
      </c>
      <c r="F83" s="242">
        <v>1376.5449999999992</v>
      </c>
      <c r="G83" s="242">
        <v>0</v>
      </c>
      <c r="H83" s="242">
        <v>4714.1490384615372</v>
      </c>
      <c r="I83" s="242">
        <v>0</v>
      </c>
      <c r="J83" s="242">
        <v>2954.29</v>
      </c>
      <c r="K83" s="242">
        <v>0</v>
      </c>
      <c r="L83" s="242">
        <v>2252.0546875000027</v>
      </c>
      <c r="M83" s="242">
        <v>0</v>
      </c>
      <c r="N83" s="242">
        <v>3823.6828703703718</v>
      </c>
      <c r="O83" s="242">
        <v>0</v>
      </c>
      <c r="P83" s="242">
        <v>2758.1538461538489</v>
      </c>
      <c r="Q83" s="242">
        <v>0</v>
      </c>
      <c r="R83" s="242">
        <v>1479.1800000000012</v>
      </c>
      <c r="S83" s="242">
        <v>0</v>
      </c>
      <c r="T83" s="242">
        <v>2710.9927884615381</v>
      </c>
      <c r="U83" s="242">
        <v>0</v>
      </c>
      <c r="V83" s="242">
        <v>1377.4424999999997</v>
      </c>
      <c r="W83" s="242">
        <v>0</v>
      </c>
      <c r="X83" s="242">
        <v>2269.2592592592582</v>
      </c>
      <c r="Y83" s="242">
        <v>0</v>
      </c>
      <c r="Z83" s="242">
        <v>709.6750000000003</v>
      </c>
      <c r="AA83" s="242">
        <v>0</v>
      </c>
      <c r="AB83" s="242">
        <v>524.95673076923129</v>
      </c>
      <c r="AC83" s="242">
        <v>0</v>
      </c>
      <c r="AD83" s="242">
        <v>1400.229999999998</v>
      </c>
      <c r="AE83" s="242">
        <v>0</v>
      </c>
      <c r="AF83" s="242">
        <v>4745.0528846153829</v>
      </c>
      <c r="AG83" s="242">
        <v>0</v>
      </c>
      <c r="AH83" s="242">
        <v>2981.8349999999996</v>
      </c>
      <c r="AI83" s="242">
        <v>0</v>
      </c>
      <c r="AJ83" s="242">
        <v>2837.1692708333339</v>
      </c>
      <c r="AK83" s="242">
        <v>0</v>
      </c>
      <c r="AL83" s="242">
        <v>3852.9375000000023</v>
      </c>
      <c r="AM83" s="242">
        <v>0</v>
      </c>
      <c r="AN83" s="242">
        <v>2348.8550000000018</v>
      </c>
      <c r="AO83" s="242">
        <v>0</v>
      </c>
      <c r="AP83" s="242">
        <v>1830.9278846153845</v>
      </c>
      <c r="AQ83" s="242">
        <v>0</v>
      </c>
      <c r="AR83" s="242">
        <v>2738.2668269230771</v>
      </c>
      <c r="AS83" s="242">
        <v>0</v>
      </c>
      <c r="AT83" s="242">
        <v>1402.3025</v>
      </c>
      <c r="AU83" s="242">
        <v>0</v>
      </c>
      <c r="AV83" s="242">
        <v>2602.7777777777796</v>
      </c>
      <c r="AW83" s="242">
        <v>0</v>
      </c>
      <c r="AX83" s="242">
        <v>401.13249999999965</v>
      </c>
      <c r="AY83" s="242">
        <v>0</v>
      </c>
    </row>
    <row r="84" spans="2:51">
      <c r="B84" s="232">
        <v>10247</v>
      </c>
      <c r="C84" s="232" t="s">
        <v>87</v>
      </c>
      <c r="D84" s="242">
        <v>0</v>
      </c>
      <c r="E84" s="242">
        <v>0</v>
      </c>
      <c r="F84" s="242">
        <v>2144.8849999999879</v>
      </c>
      <c r="G84" s="242">
        <v>0</v>
      </c>
      <c r="H84" s="242">
        <v>20455.596153846174</v>
      </c>
      <c r="I84" s="242">
        <v>0</v>
      </c>
      <c r="J84" s="242">
        <v>13946.085000000006</v>
      </c>
      <c r="K84" s="242">
        <v>0</v>
      </c>
      <c r="L84" s="242">
        <v>12437.473958333318</v>
      </c>
      <c r="M84" s="242">
        <v>0</v>
      </c>
      <c r="N84" s="242">
        <v>20027.574074074073</v>
      </c>
      <c r="O84" s="242">
        <v>0</v>
      </c>
      <c r="P84" s="242">
        <v>11753.656249999985</v>
      </c>
      <c r="Q84" s="242">
        <v>0</v>
      </c>
      <c r="R84" s="242">
        <v>0</v>
      </c>
      <c r="S84" s="242">
        <v>0</v>
      </c>
      <c r="T84" s="242">
        <v>6119.2716346153884</v>
      </c>
      <c r="U84" s="242">
        <v>0</v>
      </c>
      <c r="V84" s="242">
        <v>11765.232500000009</v>
      </c>
      <c r="W84" s="242">
        <v>0</v>
      </c>
      <c r="X84" s="242">
        <v>21902.789351851858</v>
      </c>
      <c r="Y84" s="242">
        <v>0</v>
      </c>
      <c r="Z84" s="242">
        <v>199.18250000001692</v>
      </c>
      <c r="AA84" s="242">
        <v>0</v>
      </c>
      <c r="AB84" s="242">
        <v>0</v>
      </c>
      <c r="AC84" s="242">
        <v>0</v>
      </c>
      <c r="AD84" s="242">
        <v>2147.0649999999978</v>
      </c>
      <c r="AE84" s="242">
        <v>0</v>
      </c>
      <c r="AF84" s="242">
        <v>20534.079326923093</v>
      </c>
      <c r="AG84" s="242">
        <v>0</v>
      </c>
      <c r="AH84" s="242">
        <v>13996.760000000006</v>
      </c>
      <c r="AI84" s="242">
        <v>0</v>
      </c>
      <c r="AJ84" s="242">
        <v>14295.523437499998</v>
      </c>
      <c r="AK84" s="242">
        <v>0</v>
      </c>
      <c r="AL84" s="242">
        <v>20104.34259259258</v>
      </c>
      <c r="AM84" s="242">
        <v>0</v>
      </c>
      <c r="AN84" s="242">
        <v>8383.0500000000047</v>
      </c>
      <c r="AO84" s="242">
        <v>0</v>
      </c>
      <c r="AP84" s="242">
        <v>1505.108173076927</v>
      </c>
      <c r="AQ84" s="242">
        <v>0</v>
      </c>
      <c r="AR84" s="242">
        <v>6137.3221153846071</v>
      </c>
      <c r="AS84" s="242">
        <v>0</v>
      </c>
      <c r="AT84" s="242">
        <v>11818.080000000007</v>
      </c>
      <c r="AU84" s="242">
        <v>0</v>
      </c>
      <c r="AV84" s="242">
        <v>21992.106481481478</v>
      </c>
      <c r="AW84" s="242">
        <v>0</v>
      </c>
      <c r="AX84" s="242">
        <v>192.7150000000033</v>
      </c>
      <c r="AY84" s="242">
        <v>0</v>
      </c>
    </row>
    <row r="85" spans="2:51">
      <c r="B85" s="232">
        <v>10256</v>
      </c>
      <c r="C85" s="232" t="s">
        <v>88</v>
      </c>
      <c r="D85" s="242">
        <v>11036.168269230764</v>
      </c>
      <c r="E85" s="242">
        <v>0</v>
      </c>
      <c r="F85" s="242">
        <v>7440.2050000000127</v>
      </c>
      <c r="G85" s="242">
        <v>0</v>
      </c>
      <c r="H85" s="242">
        <v>19455.170673076922</v>
      </c>
      <c r="I85" s="242">
        <v>0</v>
      </c>
      <c r="J85" s="242">
        <v>15367.624999999989</v>
      </c>
      <c r="K85" s="242">
        <v>0</v>
      </c>
      <c r="L85" s="242">
        <v>1212.4479166666724</v>
      </c>
      <c r="M85" s="242">
        <v>0</v>
      </c>
      <c r="N85" s="242">
        <v>14572.287037037036</v>
      </c>
      <c r="O85" s="242">
        <v>0</v>
      </c>
      <c r="P85" s="242">
        <v>13609.901442307695</v>
      </c>
      <c r="Q85" s="242">
        <v>0</v>
      </c>
      <c r="R85" s="242">
        <v>5829.6924999999965</v>
      </c>
      <c r="S85" s="242">
        <v>0</v>
      </c>
      <c r="T85" s="242">
        <v>6486.7403846153902</v>
      </c>
      <c r="U85" s="242">
        <v>0</v>
      </c>
      <c r="V85" s="242">
        <v>3973.6250000000055</v>
      </c>
      <c r="W85" s="242">
        <v>0</v>
      </c>
      <c r="X85" s="242">
        <v>7538.0208333333385</v>
      </c>
      <c r="Y85" s="242">
        <v>0</v>
      </c>
      <c r="Z85" s="242">
        <v>2614.4374999999923</v>
      </c>
      <c r="AA85" s="242">
        <v>0</v>
      </c>
      <c r="AB85" s="242">
        <v>11789.67307692308</v>
      </c>
      <c r="AC85" s="242">
        <v>0</v>
      </c>
      <c r="AD85" s="242">
        <v>8119.2575000000033</v>
      </c>
      <c r="AE85" s="242">
        <v>0</v>
      </c>
      <c r="AF85" s="242">
        <v>20130.504807692319</v>
      </c>
      <c r="AG85" s="242">
        <v>0</v>
      </c>
      <c r="AH85" s="242">
        <v>15961.597499999996</v>
      </c>
      <c r="AI85" s="242">
        <v>0</v>
      </c>
      <c r="AJ85" s="242">
        <v>11148.507812499996</v>
      </c>
      <c r="AK85" s="242">
        <v>0</v>
      </c>
      <c r="AL85" s="242">
        <v>15239.888888888878</v>
      </c>
      <c r="AM85" s="242">
        <v>0</v>
      </c>
      <c r="AN85" s="242">
        <v>11891.820000000003</v>
      </c>
      <c r="AO85" s="242">
        <v>0</v>
      </c>
      <c r="AP85" s="242">
        <v>8351.6850961538476</v>
      </c>
      <c r="AQ85" s="242">
        <v>0</v>
      </c>
      <c r="AR85" s="242">
        <v>6660.1466346153829</v>
      </c>
      <c r="AS85" s="242">
        <v>0</v>
      </c>
      <c r="AT85" s="242">
        <v>4096.8275000000103</v>
      </c>
      <c r="AU85" s="242">
        <v>0</v>
      </c>
      <c r="AV85" s="242">
        <v>7682.2870370370401</v>
      </c>
      <c r="AW85" s="242">
        <v>0</v>
      </c>
      <c r="AX85" s="242">
        <v>2849.6875</v>
      </c>
      <c r="AY85" s="242">
        <v>0</v>
      </c>
    </row>
    <row r="86" spans="2:51">
      <c r="B86" s="232">
        <v>10258</v>
      </c>
      <c r="C86" s="232" t="s">
        <v>89</v>
      </c>
      <c r="D86" s="242">
        <v>3664.4254807692337</v>
      </c>
      <c r="E86" s="242">
        <v>0</v>
      </c>
      <c r="F86" s="242">
        <v>2965.5799999999958</v>
      </c>
      <c r="G86" s="242">
        <v>0</v>
      </c>
      <c r="H86" s="242">
        <v>6189.2139423077006</v>
      </c>
      <c r="I86" s="242">
        <v>0</v>
      </c>
      <c r="J86" s="242">
        <v>0</v>
      </c>
      <c r="K86" s="242">
        <v>0</v>
      </c>
      <c r="L86" s="242">
        <v>14741.393229166661</v>
      </c>
      <c r="M86" s="242">
        <v>0</v>
      </c>
      <c r="N86" s="242">
        <v>11068.055555555562</v>
      </c>
      <c r="O86" s="242">
        <v>0</v>
      </c>
      <c r="P86" s="242">
        <v>9168.2379807692414</v>
      </c>
      <c r="Q86" s="242">
        <v>0</v>
      </c>
      <c r="R86" s="242">
        <v>0</v>
      </c>
      <c r="S86" s="242">
        <v>0</v>
      </c>
      <c r="T86" s="242">
        <v>9079.826923076922</v>
      </c>
      <c r="U86" s="242">
        <v>0</v>
      </c>
      <c r="V86" s="242">
        <v>11313.125000000004</v>
      </c>
      <c r="W86" s="242">
        <v>0</v>
      </c>
      <c r="X86" s="242">
        <v>9263.5185185185237</v>
      </c>
      <c r="Y86" s="242">
        <v>0</v>
      </c>
      <c r="Z86" s="242">
        <v>5194.0325000000003</v>
      </c>
      <c r="AA86" s="242">
        <v>0</v>
      </c>
      <c r="AB86" s="242">
        <v>3795.6875000000014</v>
      </c>
      <c r="AC86" s="242">
        <v>0</v>
      </c>
      <c r="AD86" s="242">
        <v>3102.4599999999937</v>
      </c>
      <c r="AE86" s="242">
        <v>0</v>
      </c>
      <c r="AF86" s="242">
        <v>6337.3485576923067</v>
      </c>
      <c r="AG86" s="242">
        <v>0</v>
      </c>
      <c r="AH86" s="242">
        <v>0</v>
      </c>
      <c r="AI86" s="242">
        <v>0</v>
      </c>
      <c r="AJ86" s="242">
        <v>17246.807291666672</v>
      </c>
      <c r="AK86" s="242">
        <v>0</v>
      </c>
      <c r="AL86" s="242">
        <v>11247.585648148155</v>
      </c>
      <c r="AM86" s="242">
        <v>0</v>
      </c>
      <c r="AN86" s="242">
        <v>7387.9900000000089</v>
      </c>
      <c r="AO86" s="242">
        <v>0</v>
      </c>
      <c r="AP86" s="242">
        <v>1187.1538461538441</v>
      </c>
      <c r="AQ86" s="242">
        <v>0</v>
      </c>
      <c r="AR86" s="242">
        <v>9075.7403846153866</v>
      </c>
      <c r="AS86" s="242">
        <v>0</v>
      </c>
      <c r="AT86" s="242">
        <v>11291.999999999998</v>
      </c>
      <c r="AU86" s="242">
        <v>0</v>
      </c>
      <c r="AV86" s="242">
        <v>9238.6064814814836</v>
      </c>
      <c r="AW86" s="242">
        <v>0</v>
      </c>
      <c r="AX86" s="242">
        <v>5174.495000000009</v>
      </c>
      <c r="AY86" s="242">
        <v>0</v>
      </c>
    </row>
    <row r="87" spans="2:51">
      <c r="B87" s="232">
        <v>10259</v>
      </c>
      <c r="C87" s="232" t="s">
        <v>90</v>
      </c>
      <c r="D87" s="242">
        <v>3757.3798076923117</v>
      </c>
      <c r="E87" s="242">
        <v>0</v>
      </c>
      <c r="F87" s="242">
        <v>4706.9875000000002</v>
      </c>
      <c r="G87" s="242">
        <v>0</v>
      </c>
      <c r="H87" s="242">
        <v>5109.6802884615381</v>
      </c>
      <c r="I87" s="242">
        <v>0</v>
      </c>
      <c r="J87" s="242">
        <v>2242.7499999999982</v>
      </c>
      <c r="K87" s="242">
        <v>0</v>
      </c>
      <c r="L87" s="242">
        <v>2068.6171874999982</v>
      </c>
      <c r="M87" s="242">
        <v>0</v>
      </c>
      <c r="N87" s="242">
        <v>8320.1782407407409</v>
      </c>
      <c r="O87" s="242">
        <v>0</v>
      </c>
      <c r="P87" s="242">
        <v>7449.3437499999982</v>
      </c>
      <c r="Q87" s="242">
        <v>0</v>
      </c>
      <c r="R87" s="242">
        <v>3882.8199999999979</v>
      </c>
      <c r="S87" s="242">
        <v>0</v>
      </c>
      <c r="T87" s="242">
        <v>7502.836538461539</v>
      </c>
      <c r="U87" s="242">
        <v>0</v>
      </c>
      <c r="V87" s="242">
        <v>5775.3925000000045</v>
      </c>
      <c r="W87" s="242">
        <v>0</v>
      </c>
      <c r="X87" s="242">
        <v>6941.4953703703723</v>
      </c>
      <c r="Y87" s="242">
        <v>0</v>
      </c>
      <c r="Z87" s="242">
        <v>6359.0049999999983</v>
      </c>
      <c r="AA87" s="242">
        <v>0</v>
      </c>
      <c r="AB87" s="242">
        <v>2547.7500000000023</v>
      </c>
      <c r="AC87" s="242">
        <v>0</v>
      </c>
      <c r="AD87" s="242">
        <v>4850.9624999999978</v>
      </c>
      <c r="AE87" s="242">
        <v>0</v>
      </c>
      <c r="AF87" s="242">
        <v>5261.9591346153866</v>
      </c>
      <c r="AG87" s="242">
        <v>0</v>
      </c>
      <c r="AH87" s="242">
        <v>2349.940000000001</v>
      </c>
      <c r="AI87" s="242">
        <v>0</v>
      </c>
      <c r="AJ87" s="242">
        <v>6444.1692708333376</v>
      </c>
      <c r="AK87" s="242">
        <v>0</v>
      </c>
      <c r="AL87" s="242">
        <v>8500.5810185185201</v>
      </c>
      <c r="AM87" s="242">
        <v>0</v>
      </c>
      <c r="AN87" s="242">
        <v>6294.3450000000012</v>
      </c>
      <c r="AO87" s="242">
        <v>0</v>
      </c>
      <c r="AP87" s="242">
        <v>5179.2572115384619</v>
      </c>
      <c r="AQ87" s="242">
        <v>0</v>
      </c>
      <c r="AR87" s="242">
        <v>7640.9687499999973</v>
      </c>
      <c r="AS87" s="242">
        <v>0</v>
      </c>
      <c r="AT87" s="242">
        <v>5886.4549999999999</v>
      </c>
      <c r="AU87" s="242">
        <v>0</v>
      </c>
      <c r="AV87" s="242">
        <v>8360.9722222222263</v>
      </c>
      <c r="AW87" s="242">
        <v>0</v>
      </c>
      <c r="AX87" s="242">
        <v>5243.8075000000044</v>
      </c>
      <c r="AY87" s="242">
        <v>0</v>
      </c>
    </row>
    <row r="88" spans="2:51">
      <c r="B88" s="232">
        <v>10260</v>
      </c>
      <c r="C88" s="232" t="s">
        <v>91</v>
      </c>
      <c r="D88" s="242">
        <v>3192.4471153846189</v>
      </c>
      <c r="E88" s="242">
        <v>0</v>
      </c>
      <c r="F88" s="242">
        <v>4206.5849999999991</v>
      </c>
      <c r="G88" s="242">
        <v>0</v>
      </c>
      <c r="H88" s="242">
        <v>6747.1634615384592</v>
      </c>
      <c r="I88" s="242">
        <v>0</v>
      </c>
      <c r="J88" s="242">
        <v>5024.9549999999963</v>
      </c>
      <c r="K88" s="242">
        <v>0</v>
      </c>
      <c r="L88" s="242">
        <v>3568.9895833333321</v>
      </c>
      <c r="M88" s="242">
        <v>0</v>
      </c>
      <c r="N88" s="242">
        <v>5613.9097222222208</v>
      </c>
      <c r="O88" s="242">
        <v>0</v>
      </c>
      <c r="P88" s="242">
        <v>7124.6754807692323</v>
      </c>
      <c r="Q88" s="242">
        <v>0</v>
      </c>
      <c r="R88" s="242">
        <v>5798.8849999999966</v>
      </c>
      <c r="S88" s="242">
        <v>0</v>
      </c>
      <c r="T88" s="242">
        <v>7822.7908653846198</v>
      </c>
      <c r="U88" s="242">
        <v>0</v>
      </c>
      <c r="V88" s="242">
        <v>5568.3349999999955</v>
      </c>
      <c r="W88" s="242">
        <v>0</v>
      </c>
      <c r="X88" s="242">
        <v>7095.8124999999964</v>
      </c>
      <c r="Y88" s="242">
        <v>0</v>
      </c>
      <c r="Z88" s="242">
        <v>6716.2099999999991</v>
      </c>
      <c r="AA88" s="242">
        <v>0</v>
      </c>
      <c r="AB88" s="242">
        <v>3196.334134615382</v>
      </c>
      <c r="AC88" s="242">
        <v>0</v>
      </c>
      <c r="AD88" s="242">
        <v>4213.3175000000001</v>
      </c>
      <c r="AE88" s="242">
        <v>0</v>
      </c>
      <c r="AF88" s="242">
        <v>6758.7307692307695</v>
      </c>
      <c r="AG88" s="242">
        <v>0</v>
      </c>
      <c r="AH88" s="242">
        <v>5031.6924999999965</v>
      </c>
      <c r="AI88" s="242">
        <v>0</v>
      </c>
      <c r="AJ88" s="242">
        <v>4556.2942708333394</v>
      </c>
      <c r="AK88" s="242">
        <v>0</v>
      </c>
      <c r="AL88" s="242">
        <v>5626.6134259259279</v>
      </c>
      <c r="AM88" s="242">
        <v>0</v>
      </c>
      <c r="AN88" s="242">
        <v>6048.4675000000025</v>
      </c>
      <c r="AO88" s="242">
        <v>0</v>
      </c>
      <c r="AP88" s="242">
        <v>6796.7475961538476</v>
      </c>
      <c r="AQ88" s="242">
        <v>0</v>
      </c>
      <c r="AR88" s="242">
        <v>7825.6033653846134</v>
      </c>
      <c r="AS88" s="242">
        <v>0</v>
      </c>
      <c r="AT88" s="242">
        <v>5568.1549999999988</v>
      </c>
      <c r="AU88" s="242">
        <v>0</v>
      </c>
      <c r="AV88" s="242">
        <v>7101.2083333333385</v>
      </c>
      <c r="AW88" s="242">
        <v>0</v>
      </c>
      <c r="AX88" s="242">
        <v>6719.7075000000013</v>
      </c>
      <c r="AY88" s="242">
        <v>0</v>
      </c>
    </row>
    <row r="89" spans="2:51">
      <c r="B89" s="232">
        <v>10273</v>
      </c>
      <c r="C89" s="232" t="s">
        <v>92</v>
      </c>
      <c r="D89" s="242">
        <v>2633.2860576923067</v>
      </c>
      <c r="E89" s="242">
        <v>0</v>
      </c>
      <c r="F89" s="242">
        <v>714.20000000000084</v>
      </c>
      <c r="G89" s="242">
        <v>0</v>
      </c>
      <c r="H89" s="242">
        <v>2160.7524038461534</v>
      </c>
      <c r="I89" s="242">
        <v>0</v>
      </c>
      <c r="J89" s="242">
        <v>1668.9649999999983</v>
      </c>
      <c r="K89" s="242">
        <v>0</v>
      </c>
      <c r="L89" s="242">
        <v>1191.4088541666681</v>
      </c>
      <c r="M89" s="242">
        <v>0</v>
      </c>
      <c r="N89" s="242">
        <v>2063.4143518518517</v>
      </c>
      <c r="O89" s="242">
        <v>0</v>
      </c>
      <c r="P89" s="242">
        <v>649.8052884615397</v>
      </c>
      <c r="Q89" s="242">
        <v>0</v>
      </c>
      <c r="R89" s="242">
        <v>890.60999999999876</v>
      </c>
      <c r="S89" s="242">
        <v>0</v>
      </c>
      <c r="T89" s="242">
        <v>2524.7908653846157</v>
      </c>
      <c r="U89" s="242">
        <v>0</v>
      </c>
      <c r="V89" s="242">
        <v>1842.5174999999997</v>
      </c>
      <c r="W89" s="242">
        <v>0</v>
      </c>
      <c r="X89" s="242">
        <v>3225.6481481481487</v>
      </c>
      <c r="Y89" s="242">
        <v>0</v>
      </c>
      <c r="Z89" s="242">
        <v>3017.9249999999988</v>
      </c>
      <c r="AA89" s="242">
        <v>0</v>
      </c>
      <c r="AB89" s="242">
        <v>2680.5</v>
      </c>
      <c r="AC89" s="242">
        <v>0</v>
      </c>
      <c r="AD89" s="242">
        <v>819.08750000000111</v>
      </c>
      <c r="AE89" s="242">
        <v>0</v>
      </c>
      <c r="AF89" s="242">
        <v>2288.692307692309</v>
      </c>
      <c r="AG89" s="242">
        <v>0</v>
      </c>
      <c r="AH89" s="242">
        <v>1804.4149999999988</v>
      </c>
      <c r="AI89" s="242">
        <v>0</v>
      </c>
      <c r="AJ89" s="242">
        <v>1527.5703125000009</v>
      </c>
      <c r="AK89" s="242">
        <v>0</v>
      </c>
      <c r="AL89" s="242">
        <v>2137.4259259259256</v>
      </c>
      <c r="AM89" s="242">
        <v>0</v>
      </c>
      <c r="AN89" s="242">
        <v>444.79500000000007</v>
      </c>
      <c r="AO89" s="242">
        <v>0</v>
      </c>
      <c r="AP89" s="242">
        <v>1277.6586538461547</v>
      </c>
      <c r="AQ89" s="242">
        <v>0</v>
      </c>
      <c r="AR89" s="242">
        <v>2574.2475961538453</v>
      </c>
      <c r="AS89" s="242">
        <v>0</v>
      </c>
      <c r="AT89" s="242">
        <v>1892.6324999999997</v>
      </c>
      <c r="AU89" s="242">
        <v>0</v>
      </c>
      <c r="AV89" s="242">
        <v>3276.1875000000005</v>
      </c>
      <c r="AW89" s="242">
        <v>0</v>
      </c>
      <c r="AX89" s="242">
        <v>3068.4325000000003</v>
      </c>
      <c r="AY89" s="242">
        <v>0</v>
      </c>
    </row>
    <row r="90" spans="2:51">
      <c r="B90" s="232">
        <v>10278</v>
      </c>
      <c r="C90" s="232" t="s">
        <v>93</v>
      </c>
      <c r="D90" s="242">
        <v>0</v>
      </c>
      <c r="E90" s="242">
        <v>0</v>
      </c>
      <c r="F90" s="242">
        <v>0</v>
      </c>
      <c r="G90" s="242">
        <v>0</v>
      </c>
      <c r="H90" s="242">
        <v>0</v>
      </c>
      <c r="I90" s="242">
        <v>0</v>
      </c>
      <c r="J90" s="242">
        <v>0</v>
      </c>
      <c r="K90" s="242">
        <v>0</v>
      </c>
      <c r="L90" s="242">
        <v>0</v>
      </c>
      <c r="M90" s="242">
        <v>0</v>
      </c>
      <c r="N90" s="242">
        <v>0</v>
      </c>
      <c r="O90" s="242">
        <v>0</v>
      </c>
      <c r="P90" s="242">
        <v>0</v>
      </c>
      <c r="Q90" s="242">
        <v>0</v>
      </c>
      <c r="R90" s="242">
        <v>0</v>
      </c>
      <c r="S90" s="242">
        <v>0</v>
      </c>
      <c r="T90" s="242">
        <v>0</v>
      </c>
      <c r="U90" s="242">
        <v>0</v>
      </c>
      <c r="V90" s="242">
        <v>0</v>
      </c>
      <c r="W90" s="242">
        <v>0</v>
      </c>
      <c r="X90" s="242">
        <v>0</v>
      </c>
      <c r="Y90" s="242">
        <v>0</v>
      </c>
      <c r="Z90" s="242">
        <v>0</v>
      </c>
      <c r="AA90" s="242">
        <v>0</v>
      </c>
      <c r="AB90" s="242">
        <v>0</v>
      </c>
      <c r="AC90" s="242">
        <v>0</v>
      </c>
      <c r="AD90" s="242">
        <v>0</v>
      </c>
      <c r="AE90" s="242">
        <v>0</v>
      </c>
      <c r="AF90" s="242">
        <v>0</v>
      </c>
      <c r="AG90" s="242">
        <v>0</v>
      </c>
      <c r="AH90" s="242">
        <v>0</v>
      </c>
      <c r="AI90" s="242">
        <v>0</v>
      </c>
      <c r="AJ90" s="242">
        <v>0</v>
      </c>
      <c r="AK90" s="242">
        <v>0</v>
      </c>
      <c r="AL90" s="242">
        <v>0</v>
      </c>
      <c r="AM90" s="242">
        <v>0</v>
      </c>
      <c r="AN90" s="242">
        <v>0</v>
      </c>
      <c r="AO90" s="242">
        <v>0</v>
      </c>
      <c r="AP90" s="242">
        <v>0</v>
      </c>
      <c r="AQ90" s="242">
        <v>0</v>
      </c>
      <c r="AR90" s="242">
        <v>0</v>
      </c>
      <c r="AS90" s="242">
        <v>0</v>
      </c>
      <c r="AT90" s="242">
        <v>0</v>
      </c>
      <c r="AU90" s="242">
        <v>0</v>
      </c>
      <c r="AV90" s="242">
        <v>0</v>
      </c>
      <c r="AW90" s="242">
        <v>0</v>
      </c>
      <c r="AX90" s="242">
        <v>0</v>
      </c>
      <c r="AY90" s="242">
        <v>0</v>
      </c>
    </row>
    <row r="91" spans="2:51">
      <c r="B91" s="232">
        <v>10279</v>
      </c>
      <c r="C91" s="232" t="s">
        <v>94</v>
      </c>
      <c r="D91" s="242">
        <v>0</v>
      </c>
      <c r="E91" s="242">
        <v>0</v>
      </c>
      <c r="F91" s="242">
        <v>0</v>
      </c>
      <c r="G91" s="242">
        <v>0</v>
      </c>
      <c r="H91" s="242">
        <v>0</v>
      </c>
      <c r="I91" s="242">
        <v>0</v>
      </c>
      <c r="J91" s="242">
        <v>0</v>
      </c>
      <c r="K91" s="242">
        <v>0</v>
      </c>
      <c r="L91" s="242">
        <v>0</v>
      </c>
      <c r="M91" s="242">
        <v>0</v>
      </c>
      <c r="N91" s="242">
        <v>0</v>
      </c>
      <c r="O91" s="242">
        <v>0</v>
      </c>
      <c r="P91" s="242">
        <v>0</v>
      </c>
      <c r="Q91" s="242">
        <v>0</v>
      </c>
      <c r="R91" s="242">
        <v>0</v>
      </c>
      <c r="S91" s="242">
        <v>0</v>
      </c>
      <c r="T91" s="242">
        <v>0</v>
      </c>
      <c r="U91" s="242">
        <v>0</v>
      </c>
      <c r="V91" s="242">
        <v>0</v>
      </c>
      <c r="W91" s="242">
        <v>0</v>
      </c>
      <c r="X91" s="242">
        <v>0</v>
      </c>
      <c r="Y91" s="242">
        <v>0</v>
      </c>
      <c r="Z91" s="242">
        <v>0</v>
      </c>
      <c r="AA91" s="242">
        <v>0</v>
      </c>
      <c r="AB91" s="242">
        <v>0</v>
      </c>
      <c r="AC91" s="242">
        <v>0</v>
      </c>
      <c r="AD91" s="242">
        <v>0</v>
      </c>
      <c r="AE91" s="242">
        <v>0</v>
      </c>
      <c r="AF91" s="242">
        <v>0</v>
      </c>
      <c r="AG91" s="242">
        <v>0</v>
      </c>
      <c r="AH91" s="242">
        <v>0</v>
      </c>
      <c r="AI91" s="242">
        <v>0</v>
      </c>
      <c r="AJ91" s="242">
        <v>0</v>
      </c>
      <c r="AK91" s="242">
        <v>0</v>
      </c>
      <c r="AL91" s="242">
        <v>0</v>
      </c>
      <c r="AM91" s="242">
        <v>0</v>
      </c>
      <c r="AN91" s="242">
        <v>0</v>
      </c>
      <c r="AO91" s="242">
        <v>0</v>
      </c>
      <c r="AP91" s="242">
        <v>0</v>
      </c>
      <c r="AQ91" s="242">
        <v>0</v>
      </c>
      <c r="AR91" s="242">
        <v>0</v>
      </c>
      <c r="AS91" s="242">
        <v>0</v>
      </c>
      <c r="AT91" s="242">
        <v>0</v>
      </c>
      <c r="AU91" s="242">
        <v>0</v>
      </c>
      <c r="AV91" s="242">
        <v>0</v>
      </c>
      <c r="AW91" s="242">
        <v>0</v>
      </c>
      <c r="AX91" s="242">
        <v>0</v>
      </c>
      <c r="AY91" s="242">
        <v>0</v>
      </c>
    </row>
    <row r="92" spans="2:51">
      <c r="B92" s="232">
        <v>10284</v>
      </c>
      <c r="C92" s="232" t="s">
        <v>95</v>
      </c>
      <c r="D92" s="242">
        <v>1551.5240384615377</v>
      </c>
      <c r="E92" s="242">
        <v>0</v>
      </c>
      <c r="F92" s="242">
        <v>1297.2575000000015</v>
      </c>
      <c r="G92" s="242">
        <v>0</v>
      </c>
      <c r="H92" s="242">
        <v>4122.8365384615372</v>
      </c>
      <c r="I92" s="242">
        <v>0</v>
      </c>
      <c r="J92" s="242">
        <v>3409.7874999999985</v>
      </c>
      <c r="K92" s="242">
        <v>0</v>
      </c>
      <c r="L92" s="242">
        <v>465.59375</v>
      </c>
      <c r="M92" s="242">
        <v>0</v>
      </c>
      <c r="N92" s="242">
        <v>2857.7523148148175</v>
      </c>
      <c r="O92" s="242">
        <v>0</v>
      </c>
      <c r="P92" s="242">
        <v>2069.0048076923081</v>
      </c>
      <c r="Q92" s="242">
        <v>0</v>
      </c>
      <c r="R92" s="242">
        <v>0</v>
      </c>
      <c r="S92" s="242">
        <v>0</v>
      </c>
      <c r="T92" s="242">
        <v>2698.4206730769242</v>
      </c>
      <c r="U92" s="242">
        <v>0</v>
      </c>
      <c r="V92" s="242">
        <v>1682.9074999999993</v>
      </c>
      <c r="W92" s="242">
        <v>0</v>
      </c>
      <c r="X92" s="242">
        <v>2794.5972222222222</v>
      </c>
      <c r="Y92" s="242">
        <v>0</v>
      </c>
      <c r="Z92" s="242">
        <v>1299.5499999999995</v>
      </c>
      <c r="AA92" s="242">
        <v>0</v>
      </c>
      <c r="AB92" s="242">
        <v>1153.5072115384598</v>
      </c>
      <c r="AC92" s="242">
        <v>0</v>
      </c>
      <c r="AD92" s="242">
        <v>1371.0475000000004</v>
      </c>
      <c r="AE92" s="242">
        <v>0</v>
      </c>
      <c r="AF92" s="242">
        <v>4191.5721153846134</v>
      </c>
      <c r="AG92" s="242">
        <v>0</v>
      </c>
      <c r="AH92" s="242">
        <v>3474.6475000000014</v>
      </c>
      <c r="AI92" s="242">
        <v>0</v>
      </c>
      <c r="AJ92" s="242">
        <v>2374.0885416666638</v>
      </c>
      <c r="AK92" s="242">
        <v>0</v>
      </c>
      <c r="AL92" s="242">
        <v>2940.05324074074</v>
      </c>
      <c r="AM92" s="242">
        <v>0</v>
      </c>
      <c r="AN92" s="242">
        <v>1710.2024999999985</v>
      </c>
      <c r="AO92" s="242">
        <v>0</v>
      </c>
      <c r="AP92" s="242">
        <v>0</v>
      </c>
      <c r="AQ92" s="242">
        <v>0</v>
      </c>
      <c r="AR92" s="242">
        <v>2768.5913461538471</v>
      </c>
      <c r="AS92" s="242">
        <v>0</v>
      </c>
      <c r="AT92" s="242">
        <v>1735.9049999999993</v>
      </c>
      <c r="AU92" s="242">
        <v>0</v>
      </c>
      <c r="AV92" s="242">
        <v>3209.4953703703691</v>
      </c>
      <c r="AW92" s="242">
        <v>0</v>
      </c>
      <c r="AX92" s="242">
        <v>1006.2874999999996</v>
      </c>
      <c r="AY92" s="242">
        <v>0</v>
      </c>
    </row>
    <row r="93" spans="2:51">
      <c r="B93" s="232">
        <v>10285</v>
      </c>
      <c r="C93" s="232" t="s">
        <v>96</v>
      </c>
      <c r="D93" s="242">
        <v>0</v>
      </c>
      <c r="E93" s="242">
        <v>0</v>
      </c>
      <c r="F93" s="242">
        <v>0</v>
      </c>
      <c r="G93" s="242">
        <v>0</v>
      </c>
      <c r="H93" s="242">
        <v>0</v>
      </c>
      <c r="I93" s="242">
        <v>0</v>
      </c>
      <c r="J93" s="242">
        <v>0</v>
      </c>
      <c r="K93" s="242">
        <v>0</v>
      </c>
      <c r="L93" s="242">
        <v>0</v>
      </c>
      <c r="M93" s="242">
        <v>0</v>
      </c>
      <c r="N93" s="242">
        <v>0</v>
      </c>
      <c r="O93" s="242">
        <v>0</v>
      </c>
      <c r="P93" s="242">
        <v>0</v>
      </c>
      <c r="Q93" s="242">
        <v>0</v>
      </c>
      <c r="R93" s="242">
        <v>0</v>
      </c>
      <c r="S93" s="242">
        <v>0</v>
      </c>
      <c r="T93" s="242">
        <v>0</v>
      </c>
      <c r="U93" s="242">
        <v>0</v>
      </c>
      <c r="V93" s="242">
        <v>0</v>
      </c>
      <c r="W93" s="242">
        <v>0</v>
      </c>
      <c r="X93" s="242">
        <v>0</v>
      </c>
      <c r="Y93" s="242">
        <v>0</v>
      </c>
      <c r="Z93" s="242">
        <v>0</v>
      </c>
      <c r="AA93" s="242">
        <v>0</v>
      </c>
      <c r="AB93" s="242">
        <v>0</v>
      </c>
      <c r="AC93" s="242">
        <v>0</v>
      </c>
      <c r="AD93" s="242">
        <v>0</v>
      </c>
      <c r="AE93" s="242">
        <v>0</v>
      </c>
      <c r="AF93" s="242">
        <v>0</v>
      </c>
      <c r="AG93" s="242">
        <v>0</v>
      </c>
      <c r="AH93" s="242">
        <v>0</v>
      </c>
      <c r="AI93" s="242">
        <v>0</v>
      </c>
      <c r="AJ93" s="242">
        <v>0</v>
      </c>
      <c r="AK93" s="242">
        <v>0</v>
      </c>
      <c r="AL93" s="242">
        <v>0</v>
      </c>
      <c r="AM93" s="242">
        <v>0</v>
      </c>
      <c r="AN93" s="242">
        <v>0</v>
      </c>
      <c r="AO93" s="242">
        <v>0</v>
      </c>
      <c r="AP93" s="242">
        <v>0</v>
      </c>
      <c r="AQ93" s="242">
        <v>0</v>
      </c>
      <c r="AR93" s="242">
        <v>0</v>
      </c>
      <c r="AS93" s="242">
        <v>0</v>
      </c>
      <c r="AT93" s="242">
        <v>0</v>
      </c>
      <c r="AU93" s="242">
        <v>0</v>
      </c>
      <c r="AV93" s="242">
        <v>0</v>
      </c>
      <c r="AW93" s="242">
        <v>0</v>
      </c>
      <c r="AX93" s="242">
        <v>0</v>
      </c>
      <c r="AY93" s="242">
        <v>0</v>
      </c>
    </row>
    <row r="94" spans="2:51">
      <c r="B94" s="232">
        <v>10286</v>
      </c>
      <c r="C94" s="232" t="s">
        <v>97</v>
      </c>
      <c r="D94" s="242">
        <v>0</v>
      </c>
      <c r="E94" s="242">
        <v>0</v>
      </c>
      <c r="F94" s="242">
        <v>0</v>
      </c>
      <c r="G94" s="242">
        <v>0</v>
      </c>
      <c r="H94" s="242">
        <v>0</v>
      </c>
      <c r="I94" s="242">
        <v>0</v>
      </c>
      <c r="J94" s="242">
        <v>0</v>
      </c>
      <c r="K94" s="242">
        <v>0</v>
      </c>
      <c r="L94" s="242">
        <v>0</v>
      </c>
      <c r="M94" s="242">
        <v>0</v>
      </c>
      <c r="N94" s="242">
        <v>0</v>
      </c>
      <c r="O94" s="242">
        <v>0</v>
      </c>
      <c r="P94" s="242">
        <v>0</v>
      </c>
      <c r="Q94" s="242">
        <v>0</v>
      </c>
      <c r="R94" s="242">
        <v>0</v>
      </c>
      <c r="S94" s="242">
        <v>0</v>
      </c>
      <c r="T94" s="242">
        <v>0</v>
      </c>
      <c r="U94" s="242">
        <v>0</v>
      </c>
      <c r="V94" s="242">
        <v>0</v>
      </c>
      <c r="W94" s="242">
        <v>0</v>
      </c>
      <c r="X94" s="242">
        <v>0</v>
      </c>
      <c r="Y94" s="242">
        <v>0</v>
      </c>
      <c r="Z94" s="242">
        <v>0</v>
      </c>
      <c r="AA94" s="242">
        <v>0</v>
      </c>
      <c r="AB94" s="242">
        <v>0</v>
      </c>
      <c r="AC94" s="242">
        <v>0</v>
      </c>
      <c r="AD94" s="242">
        <v>0</v>
      </c>
      <c r="AE94" s="242">
        <v>0</v>
      </c>
      <c r="AF94" s="242">
        <v>0</v>
      </c>
      <c r="AG94" s="242">
        <v>0</v>
      </c>
      <c r="AH94" s="242">
        <v>0</v>
      </c>
      <c r="AI94" s="242">
        <v>0</v>
      </c>
      <c r="AJ94" s="242">
        <v>0</v>
      </c>
      <c r="AK94" s="242">
        <v>0</v>
      </c>
      <c r="AL94" s="242">
        <v>0</v>
      </c>
      <c r="AM94" s="242">
        <v>0</v>
      </c>
      <c r="AN94" s="242">
        <v>0</v>
      </c>
      <c r="AO94" s="242">
        <v>0</v>
      </c>
      <c r="AP94" s="242">
        <v>0</v>
      </c>
      <c r="AQ94" s="242">
        <v>0</v>
      </c>
      <c r="AR94" s="242">
        <v>0</v>
      </c>
      <c r="AS94" s="242">
        <v>0</v>
      </c>
      <c r="AT94" s="242">
        <v>0</v>
      </c>
      <c r="AU94" s="242">
        <v>0</v>
      </c>
      <c r="AV94" s="242">
        <v>0</v>
      </c>
      <c r="AW94" s="242">
        <v>0</v>
      </c>
      <c r="AX94" s="242">
        <v>0</v>
      </c>
      <c r="AY94" s="242">
        <v>0</v>
      </c>
    </row>
    <row r="95" spans="2:51">
      <c r="B95" s="232">
        <v>10288</v>
      </c>
      <c r="C95" s="232" t="s">
        <v>98</v>
      </c>
      <c r="D95" s="242">
        <v>0</v>
      </c>
      <c r="E95" s="242">
        <v>0</v>
      </c>
      <c r="F95" s="242">
        <v>0</v>
      </c>
      <c r="G95" s="242">
        <v>0</v>
      </c>
      <c r="H95" s="242">
        <v>0</v>
      </c>
      <c r="I95" s="242">
        <v>0</v>
      </c>
      <c r="J95" s="242">
        <v>0</v>
      </c>
      <c r="K95" s="242">
        <v>0</v>
      </c>
      <c r="L95" s="242">
        <v>0</v>
      </c>
      <c r="M95" s="242">
        <v>0</v>
      </c>
      <c r="N95" s="242">
        <v>0</v>
      </c>
      <c r="O95" s="242">
        <v>0</v>
      </c>
      <c r="P95" s="242">
        <v>0</v>
      </c>
      <c r="Q95" s="242">
        <v>0</v>
      </c>
      <c r="R95" s="242">
        <v>0</v>
      </c>
      <c r="S95" s="242">
        <v>0</v>
      </c>
      <c r="T95" s="242">
        <v>0</v>
      </c>
      <c r="U95" s="242">
        <v>0</v>
      </c>
      <c r="V95" s="242">
        <v>0</v>
      </c>
      <c r="W95" s="242">
        <v>0</v>
      </c>
      <c r="X95" s="242">
        <v>0</v>
      </c>
      <c r="Y95" s="242">
        <v>0</v>
      </c>
      <c r="Z95" s="242">
        <v>0</v>
      </c>
      <c r="AA95" s="242">
        <v>0</v>
      </c>
      <c r="AB95" s="242">
        <v>0</v>
      </c>
      <c r="AC95" s="242">
        <v>0</v>
      </c>
      <c r="AD95" s="242">
        <v>0</v>
      </c>
      <c r="AE95" s="242">
        <v>0</v>
      </c>
      <c r="AF95" s="242">
        <v>0</v>
      </c>
      <c r="AG95" s="242">
        <v>0</v>
      </c>
      <c r="AH95" s="242">
        <v>0</v>
      </c>
      <c r="AI95" s="242">
        <v>0</v>
      </c>
      <c r="AJ95" s="242">
        <v>0</v>
      </c>
      <c r="AK95" s="242">
        <v>0</v>
      </c>
      <c r="AL95" s="242">
        <v>0</v>
      </c>
      <c r="AM95" s="242">
        <v>0</v>
      </c>
      <c r="AN95" s="242">
        <v>0</v>
      </c>
      <c r="AO95" s="242">
        <v>0</v>
      </c>
      <c r="AP95" s="242">
        <v>0</v>
      </c>
      <c r="AQ95" s="242">
        <v>0</v>
      </c>
      <c r="AR95" s="242">
        <v>0</v>
      </c>
      <c r="AS95" s="242">
        <v>0</v>
      </c>
      <c r="AT95" s="242">
        <v>0</v>
      </c>
      <c r="AU95" s="242">
        <v>0</v>
      </c>
      <c r="AV95" s="242">
        <v>0</v>
      </c>
      <c r="AW95" s="242">
        <v>0</v>
      </c>
      <c r="AX95" s="242">
        <v>0</v>
      </c>
      <c r="AY95" s="242">
        <v>0</v>
      </c>
    </row>
    <row r="96" spans="2:51">
      <c r="B96" s="232">
        <v>10291</v>
      </c>
      <c r="C96" s="232" t="s">
        <v>99</v>
      </c>
      <c r="D96" s="242">
        <v>11123.81490384616</v>
      </c>
      <c r="E96" s="242">
        <v>0</v>
      </c>
      <c r="F96" s="242">
        <v>5036.7375000000011</v>
      </c>
      <c r="G96" s="242">
        <v>0</v>
      </c>
      <c r="H96" s="242">
        <v>19273.781250000015</v>
      </c>
      <c r="I96" s="242">
        <v>0</v>
      </c>
      <c r="J96" s="242">
        <v>11545.152500000011</v>
      </c>
      <c r="K96" s="242">
        <v>0</v>
      </c>
      <c r="L96" s="242">
        <v>4439.8802083333421</v>
      </c>
      <c r="M96" s="242">
        <v>0</v>
      </c>
      <c r="N96" s="242">
        <v>16668.41435185185</v>
      </c>
      <c r="O96" s="242">
        <v>0</v>
      </c>
      <c r="P96" s="242">
        <v>13573.572115384612</v>
      </c>
      <c r="Q96" s="242">
        <v>0</v>
      </c>
      <c r="R96" s="242">
        <v>3974.9299999999844</v>
      </c>
      <c r="S96" s="242">
        <v>0</v>
      </c>
      <c r="T96" s="242">
        <v>16240.579326923083</v>
      </c>
      <c r="U96" s="242">
        <v>0</v>
      </c>
      <c r="V96" s="242">
        <v>15588.450000000013</v>
      </c>
      <c r="W96" s="242">
        <v>0</v>
      </c>
      <c r="X96" s="242">
        <v>21067.38425925927</v>
      </c>
      <c r="Y96" s="242">
        <v>0</v>
      </c>
      <c r="Z96" s="242">
        <v>14458.44250000001</v>
      </c>
      <c r="AA96" s="242">
        <v>0</v>
      </c>
      <c r="AB96" s="242">
        <v>8280.7908653846243</v>
      </c>
      <c r="AC96" s="242">
        <v>0</v>
      </c>
      <c r="AD96" s="242">
        <v>5035.8075000000044</v>
      </c>
      <c r="AE96" s="242">
        <v>0</v>
      </c>
      <c r="AF96" s="242">
        <v>19209.740384615387</v>
      </c>
      <c r="AG96" s="242">
        <v>0</v>
      </c>
      <c r="AH96" s="242">
        <v>11519.477500000005</v>
      </c>
      <c r="AI96" s="242">
        <v>0</v>
      </c>
      <c r="AJ96" s="242">
        <v>13356.07291666667</v>
      </c>
      <c r="AK96" s="242">
        <v>0</v>
      </c>
      <c r="AL96" s="242">
        <v>16679.497685185182</v>
      </c>
      <c r="AM96" s="242">
        <v>0</v>
      </c>
      <c r="AN96" s="242">
        <v>10460.754999999996</v>
      </c>
      <c r="AO96" s="242">
        <v>0</v>
      </c>
      <c r="AP96" s="242">
        <v>7144.798076923079</v>
      </c>
      <c r="AQ96" s="242">
        <v>0</v>
      </c>
      <c r="AR96" s="242">
        <v>16277.725961538465</v>
      </c>
      <c r="AS96" s="242">
        <v>0</v>
      </c>
      <c r="AT96" s="242">
        <v>15615.322499999997</v>
      </c>
      <c r="AU96" s="242">
        <v>0</v>
      </c>
      <c r="AV96" s="242">
        <v>24321.013888888883</v>
      </c>
      <c r="AW96" s="242">
        <v>0</v>
      </c>
      <c r="AX96" s="242">
        <v>11608.477499999985</v>
      </c>
      <c r="AY96" s="242">
        <v>0</v>
      </c>
    </row>
    <row r="97" spans="2:51">
      <c r="B97" s="232">
        <v>10294</v>
      </c>
      <c r="C97" s="232" t="s">
        <v>100</v>
      </c>
      <c r="D97" s="242">
        <v>4564.4831730769229</v>
      </c>
      <c r="E97" s="242">
        <v>0</v>
      </c>
      <c r="F97" s="242">
        <v>1394.1650000000045</v>
      </c>
      <c r="G97" s="242">
        <v>0</v>
      </c>
      <c r="H97" s="242">
        <v>11620.192307692307</v>
      </c>
      <c r="I97" s="242">
        <v>0</v>
      </c>
      <c r="J97" s="242">
        <v>10098.960000000008</v>
      </c>
      <c r="K97" s="242">
        <v>0</v>
      </c>
      <c r="L97" s="242">
        <v>6121.4661458333421</v>
      </c>
      <c r="M97" s="242">
        <v>0</v>
      </c>
      <c r="N97" s="242">
        <v>16167.622685185193</v>
      </c>
      <c r="O97" s="242">
        <v>0</v>
      </c>
      <c r="P97" s="242">
        <v>8850.2548076923067</v>
      </c>
      <c r="Q97" s="242">
        <v>0</v>
      </c>
      <c r="R97" s="242">
        <v>5047.6675000000014</v>
      </c>
      <c r="S97" s="242">
        <v>0</v>
      </c>
      <c r="T97" s="242">
        <v>5048.0841346153884</v>
      </c>
      <c r="U97" s="242">
        <v>0</v>
      </c>
      <c r="V97" s="242">
        <v>934.83499999999879</v>
      </c>
      <c r="W97" s="242">
        <v>0</v>
      </c>
      <c r="X97" s="242">
        <v>1870.7939814814795</v>
      </c>
      <c r="Y97" s="242">
        <v>0</v>
      </c>
      <c r="Z97" s="242">
        <v>4405.5875000000015</v>
      </c>
      <c r="AA97" s="242">
        <v>0</v>
      </c>
      <c r="AB97" s="242">
        <v>3231.1249999999986</v>
      </c>
      <c r="AC97" s="242">
        <v>0</v>
      </c>
      <c r="AD97" s="242">
        <v>1453.0100000000098</v>
      </c>
      <c r="AE97" s="242">
        <v>0</v>
      </c>
      <c r="AF97" s="242">
        <v>11697.257211538457</v>
      </c>
      <c r="AG97" s="242">
        <v>0</v>
      </c>
      <c r="AH97" s="242">
        <v>10167.662500000009</v>
      </c>
      <c r="AI97" s="242">
        <v>0</v>
      </c>
      <c r="AJ97" s="242">
        <v>8276.2890625000018</v>
      </c>
      <c r="AK97" s="242">
        <v>0</v>
      </c>
      <c r="AL97" s="242">
        <v>16275.083333333328</v>
      </c>
      <c r="AM97" s="242">
        <v>0</v>
      </c>
      <c r="AN97" s="242">
        <v>7362.2324999999955</v>
      </c>
      <c r="AO97" s="242">
        <v>0</v>
      </c>
      <c r="AP97" s="242">
        <v>6385.7355769230808</v>
      </c>
      <c r="AQ97" s="242">
        <v>0</v>
      </c>
      <c r="AR97" s="242">
        <v>5072.1586538461579</v>
      </c>
      <c r="AS97" s="242">
        <v>0</v>
      </c>
      <c r="AT97" s="242">
        <v>921.78499999999894</v>
      </c>
      <c r="AU97" s="242">
        <v>0</v>
      </c>
      <c r="AV97" s="242">
        <v>2903.7314814814786</v>
      </c>
      <c r="AW97" s="242">
        <v>0</v>
      </c>
      <c r="AX97" s="242">
        <v>3292.440000000001</v>
      </c>
      <c r="AY97" s="242">
        <v>0</v>
      </c>
    </row>
    <row r="98" spans="2:51">
      <c r="B98" s="232">
        <v>10304</v>
      </c>
      <c r="C98" s="232" t="s">
        <v>101</v>
      </c>
      <c r="D98" s="242">
        <v>0</v>
      </c>
      <c r="E98" s="242">
        <v>0</v>
      </c>
      <c r="F98" s="242">
        <v>347.47000000000037</v>
      </c>
      <c r="G98" s="242">
        <v>0</v>
      </c>
      <c r="H98" s="242">
        <v>4220.8701923076933</v>
      </c>
      <c r="I98" s="242">
        <v>0</v>
      </c>
      <c r="J98" s="242">
        <v>2412.5249999999983</v>
      </c>
      <c r="K98" s="242">
        <v>0</v>
      </c>
      <c r="L98" s="242">
        <v>1384.8020833333337</v>
      </c>
      <c r="M98" s="242">
        <v>0</v>
      </c>
      <c r="N98" s="242">
        <v>120.14583333333206</v>
      </c>
      <c r="O98" s="242">
        <v>0</v>
      </c>
      <c r="P98" s="242">
        <v>1001.281249999999</v>
      </c>
      <c r="Q98" s="242">
        <v>0</v>
      </c>
      <c r="R98" s="242">
        <v>1754.9449999999997</v>
      </c>
      <c r="S98" s="242">
        <v>0</v>
      </c>
      <c r="T98" s="242">
        <v>2271.9951923076928</v>
      </c>
      <c r="U98" s="242">
        <v>0</v>
      </c>
      <c r="V98" s="242">
        <v>1105.2199999999984</v>
      </c>
      <c r="W98" s="242">
        <v>0</v>
      </c>
      <c r="X98" s="242">
        <v>1943.4467592592603</v>
      </c>
      <c r="Y98" s="242">
        <v>0</v>
      </c>
      <c r="Z98" s="242">
        <v>2736.1250000000005</v>
      </c>
      <c r="AA98" s="242">
        <v>0</v>
      </c>
      <c r="AB98" s="242">
        <v>0</v>
      </c>
      <c r="AC98" s="242">
        <v>0</v>
      </c>
      <c r="AD98" s="242">
        <v>412.56000000000182</v>
      </c>
      <c r="AE98" s="242">
        <v>0</v>
      </c>
      <c r="AF98" s="242">
        <v>4287.1346153846162</v>
      </c>
      <c r="AG98" s="242">
        <v>0</v>
      </c>
      <c r="AH98" s="242">
        <v>2477.3000000000029</v>
      </c>
      <c r="AI98" s="242">
        <v>0</v>
      </c>
      <c r="AJ98" s="242">
        <v>1948.3932291666654</v>
      </c>
      <c r="AK98" s="242">
        <v>0</v>
      </c>
      <c r="AL98" s="242">
        <v>177.91898148147922</v>
      </c>
      <c r="AM98" s="242">
        <v>0</v>
      </c>
      <c r="AN98" s="242">
        <v>506.19250000000005</v>
      </c>
      <c r="AO98" s="242">
        <v>0</v>
      </c>
      <c r="AP98" s="242">
        <v>2268.9158653846175</v>
      </c>
      <c r="AQ98" s="242">
        <v>0</v>
      </c>
      <c r="AR98" s="242">
        <v>2336.9278846153857</v>
      </c>
      <c r="AS98" s="242">
        <v>0</v>
      </c>
      <c r="AT98" s="242">
        <v>1167.2874999999999</v>
      </c>
      <c r="AU98" s="242">
        <v>0</v>
      </c>
      <c r="AV98" s="242">
        <v>2005.6828703703707</v>
      </c>
      <c r="AW98" s="242">
        <v>0</v>
      </c>
      <c r="AX98" s="242">
        <v>2801.8474999999999</v>
      </c>
      <c r="AY98" s="242">
        <v>0</v>
      </c>
    </row>
    <row r="99" spans="2:51">
      <c r="B99" s="232">
        <v>10306</v>
      </c>
      <c r="C99" s="232" t="s">
        <v>102</v>
      </c>
      <c r="D99" s="242">
        <v>0</v>
      </c>
      <c r="E99" s="242">
        <v>0</v>
      </c>
      <c r="F99" s="242">
        <v>0</v>
      </c>
      <c r="G99" s="242">
        <v>0</v>
      </c>
      <c r="H99" s="242">
        <v>0</v>
      </c>
      <c r="I99" s="242">
        <v>0</v>
      </c>
      <c r="J99" s="242">
        <v>0</v>
      </c>
      <c r="K99" s="242">
        <v>0</v>
      </c>
      <c r="L99" s="242">
        <v>0</v>
      </c>
      <c r="M99" s="242">
        <v>0</v>
      </c>
      <c r="N99" s="242">
        <v>0</v>
      </c>
      <c r="O99" s="242">
        <v>0</v>
      </c>
      <c r="P99" s="242">
        <v>0</v>
      </c>
      <c r="Q99" s="242">
        <v>0</v>
      </c>
      <c r="R99" s="242">
        <v>0</v>
      </c>
      <c r="S99" s="242">
        <v>0</v>
      </c>
      <c r="T99" s="242">
        <v>0</v>
      </c>
      <c r="U99" s="242">
        <v>0</v>
      </c>
      <c r="V99" s="242">
        <v>0</v>
      </c>
      <c r="W99" s="242">
        <v>0</v>
      </c>
      <c r="X99" s="242">
        <v>0</v>
      </c>
      <c r="Y99" s="242">
        <v>0</v>
      </c>
      <c r="Z99" s="242">
        <v>0</v>
      </c>
      <c r="AA99" s="242">
        <v>0</v>
      </c>
      <c r="AB99" s="242">
        <v>0</v>
      </c>
      <c r="AC99" s="242">
        <v>0</v>
      </c>
      <c r="AD99" s="242">
        <v>0</v>
      </c>
      <c r="AE99" s="242">
        <v>0</v>
      </c>
      <c r="AF99" s="242">
        <v>0</v>
      </c>
      <c r="AG99" s="242">
        <v>0</v>
      </c>
      <c r="AH99" s="242">
        <v>0</v>
      </c>
      <c r="AI99" s="242">
        <v>0</v>
      </c>
      <c r="AJ99" s="242">
        <v>0</v>
      </c>
      <c r="AK99" s="242">
        <v>0</v>
      </c>
      <c r="AL99" s="242">
        <v>0</v>
      </c>
      <c r="AM99" s="242">
        <v>0</v>
      </c>
      <c r="AN99" s="242">
        <v>0</v>
      </c>
      <c r="AO99" s="242">
        <v>0</v>
      </c>
      <c r="AP99" s="242">
        <v>0</v>
      </c>
      <c r="AQ99" s="242">
        <v>0</v>
      </c>
      <c r="AR99" s="242">
        <v>0</v>
      </c>
      <c r="AS99" s="242">
        <v>0</v>
      </c>
      <c r="AT99" s="242">
        <v>0</v>
      </c>
      <c r="AU99" s="242">
        <v>0</v>
      </c>
      <c r="AV99" s="242">
        <v>0</v>
      </c>
      <c r="AW99" s="242">
        <v>0</v>
      </c>
      <c r="AX99" s="242">
        <v>0</v>
      </c>
      <c r="AY99" s="242">
        <v>0</v>
      </c>
    </row>
    <row r="100" spans="2:51">
      <c r="B100" s="232">
        <v>10307</v>
      </c>
      <c r="C100" s="232" t="s">
        <v>103</v>
      </c>
      <c r="D100" s="242">
        <v>542.20913461539408</v>
      </c>
      <c r="E100" s="242">
        <v>0</v>
      </c>
      <c r="F100" s="242">
        <v>3572.9200000000033</v>
      </c>
      <c r="G100" s="242">
        <v>0</v>
      </c>
      <c r="H100" s="242">
        <v>25416.882211538446</v>
      </c>
      <c r="I100" s="242">
        <v>0</v>
      </c>
      <c r="J100" s="242">
        <v>13793.389999999996</v>
      </c>
      <c r="K100" s="242">
        <v>0</v>
      </c>
      <c r="L100" s="242">
        <v>5433.55468750001</v>
      </c>
      <c r="M100" s="242">
        <v>0</v>
      </c>
      <c r="N100" s="242">
        <v>15334.868055555549</v>
      </c>
      <c r="O100" s="242">
        <v>0</v>
      </c>
      <c r="P100" s="242">
        <v>11135.908653846158</v>
      </c>
      <c r="Q100" s="242">
        <v>0</v>
      </c>
      <c r="R100" s="242">
        <v>13687.084999999999</v>
      </c>
      <c r="S100" s="242">
        <v>0</v>
      </c>
      <c r="T100" s="242">
        <v>20385.60336538461</v>
      </c>
      <c r="U100" s="242">
        <v>0</v>
      </c>
      <c r="V100" s="242">
        <v>14613.199999999995</v>
      </c>
      <c r="W100" s="242">
        <v>0</v>
      </c>
      <c r="X100" s="242">
        <v>19337.231481481482</v>
      </c>
      <c r="Y100" s="242">
        <v>0</v>
      </c>
      <c r="Z100" s="242">
        <v>14040.360000000008</v>
      </c>
      <c r="AA100" s="242">
        <v>0</v>
      </c>
      <c r="AB100" s="242">
        <v>0</v>
      </c>
      <c r="AC100" s="242">
        <v>0</v>
      </c>
      <c r="AD100" s="242">
        <v>4530.987500000002</v>
      </c>
      <c r="AE100" s="242">
        <v>0</v>
      </c>
      <c r="AF100" s="242">
        <v>26333.742788461546</v>
      </c>
      <c r="AG100" s="242">
        <v>0</v>
      </c>
      <c r="AH100" s="242">
        <v>14702.1425</v>
      </c>
      <c r="AI100" s="242">
        <v>0</v>
      </c>
      <c r="AJ100" s="242">
        <v>10010.257812500004</v>
      </c>
      <c r="AK100" s="242">
        <v>0</v>
      </c>
      <c r="AL100" s="242">
        <v>16245.997685185177</v>
      </c>
      <c r="AM100" s="242">
        <v>0</v>
      </c>
      <c r="AN100" s="242">
        <v>9165.5125000000062</v>
      </c>
      <c r="AO100" s="242">
        <v>0</v>
      </c>
      <c r="AP100" s="242">
        <v>16928.033653846152</v>
      </c>
      <c r="AQ100" s="242">
        <v>0</v>
      </c>
      <c r="AR100" s="242">
        <v>21330.254807692305</v>
      </c>
      <c r="AS100" s="242">
        <v>0</v>
      </c>
      <c r="AT100" s="242">
        <v>15599.149999999991</v>
      </c>
      <c r="AU100" s="242">
        <v>0</v>
      </c>
      <c r="AV100" s="242">
        <v>22505.870370370369</v>
      </c>
      <c r="AW100" s="242">
        <v>0</v>
      </c>
      <c r="AX100" s="242">
        <v>12677.237499999999</v>
      </c>
      <c r="AY100" s="242">
        <v>0</v>
      </c>
    </row>
    <row r="101" spans="2:51">
      <c r="B101" s="232">
        <v>10326</v>
      </c>
      <c r="C101" s="232" t="s">
        <v>104</v>
      </c>
      <c r="D101" s="242">
        <v>2293.2644230769288</v>
      </c>
      <c r="E101" s="242">
        <v>0</v>
      </c>
      <c r="F101" s="242">
        <v>0</v>
      </c>
      <c r="G101" s="242">
        <v>0</v>
      </c>
      <c r="H101" s="242">
        <v>6404.9975961538476</v>
      </c>
      <c r="I101" s="242">
        <v>0</v>
      </c>
      <c r="J101" s="242">
        <v>0</v>
      </c>
      <c r="K101" s="242">
        <v>0</v>
      </c>
      <c r="L101" s="242">
        <v>1938.328124999992</v>
      </c>
      <c r="M101" s="242">
        <v>0</v>
      </c>
      <c r="N101" s="242">
        <v>5969.1342592592564</v>
      </c>
      <c r="O101" s="242">
        <v>0</v>
      </c>
      <c r="P101" s="242">
        <v>485.27644230769693</v>
      </c>
      <c r="Q101" s="242">
        <v>0</v>
      </c>
      <c r="R101" s="242">
        <v>0</v>
      </c>
      <c r="S101" s="242">
        <v>0</v>
      </c>
      <c r="T101" s="242">
        <v>4222.8750000000036</v>
      </c>
      <c r="U101" s="242">
        <v>0</v>
      </c>
      <c r="V101" s="242">
        <v>3040.9024999999942</v>
      </c>
      <c r="W101" s="242">
        <v>0</v>
      </c>
      <c r="X101" s="242">
        <v>3531.9814814814767</v>
      </c>
      <c r="Y101" s="242">
        <v>0</v>
      </c>
      <c r="Z101" s="242">
        <v>6499.2700000000023</v>
      </c>
      <c r="AA101" s="242">
        <v>0</v>
      </c>
      <c r="AB101" s="242">
        <v>1814.9927884615327</v>
      </c>
      <c r="AC101" s="242">
        <v>0</v>
      </c>
      <c r="AD101" s="242">
        <v>802.28000000000497</v>
      </c>
      <c r="AE101" s="242">
        <v>0</v>
      </c>
      <c r="AF101" s="242">
        <v>7402.8100961538503</v>
      </c>
      <c r="AG101" s="242">
        <v>0</v>
      </c>
      <c r="AH101" s="242">
        <v>529.55250000000115</v>
      </c>
      <c r="AI101" s="242">
        <v>0</v>
      </c>
      <c r="AJ101" s="242">
        <v>5538.2473958333312</v>
      </c>
      <c r="AK101" s="242">
        <v>0</v>
      </c>
      <c r="AL101" s="242">
        <v>6599.5648148148121</v>
      </c>
      <c r="AM101" s="242">
        <v>0</v>
      </c>
      <c r="AN101" s="242">
        <v>0</v>
      </c>
      <c r="AO101" s="242">
        <v>0</v>
      </c>
      <c r="AP101" s="242">
        <v>1400.4423076923035</v>
      </c>
      <c r="AQ101" s="242">
        <v>0</v>
      </c>
      <c r="AR101" s="242">
        <v>4280.5504807692305</v>
      </c>
      <c r="AS101" s="242">
        <v>0</v>
      </c>
      <c r="AT101" s="242">
        <v>3087.7300000000005</v>
      </c>
      <c r="AU101" s="242">
        <v>0</v>
      </c>
      <c r="AV101" s="242">
        <v>4775.724537037032</v>
      </c>
      <c r="AW101" s="242">
        <v>0</v>
      </c>
      <c r="AX101" s="242">
        <v>5244.9950000000017</v>
      </c>
      <c r="AY101" s="242">
        <v>0</v>
      </c>
    </row>
    <row r="102" spans="2:51">
      <c r="B102" s="232">
        <v>10331</v>
      </c>
      <c r="C102" s="232" t="s">
        <v>105</v>
      </c>
      <c r="D102" s="242">
        <v>0</v>
      </c>
      <c r="E102" s="242">
        <v>0</v>
      </c>
      <c r="F102" s="242">
        <v>0</v>
      </c>
      <c r="G102" s="242">
        <v>0</v>
      </c>
      <c r="H102" s="242">
        <v>0</v>
      </c>
      <c r="I102" s="242">
        <v>0</v>
      </c>
      <c r="J102" s="242">
        <v>0</v>
      </c>
      <c r="K102" s="242">
        <v>0</v>
      </c>
      <c r="L102" s="242">
        <v>0</v>
      </c>
      <c r="M102" s="242">
        <v>0</v>
      </c>
      <c r="N102" s="242">
        <v>0</v>
      </c>
      <c r="O102" s="242">
        <v>0</v>
      </c>
      <c r="P102" s="242">
        <v>0</v>
      </c>
      <c r="Q102" s="242">
        <v>0</v>
      </c>
      <c r="R102" s="242">
        <v>0</v>
      </c>
      <c r="S102" s="242">
        <v>0</v>
      </c>
      <c r="T102" s="242">
        <v>0</v>
      </c>
      <c r="U102" s="242">
        <v>0</v>
      </c>
      <c r="V102" s="242">
        <v>0</v>
      </c>
      <c r="W102" s="242">
        <v>0</v>
      </c>
      <c r="X102" s="242">
        <v>0</v>
      </c>
      <c r="Y102" s="242">
        <v>0</v>
      </c>
      <c r="Z102" s="242">
        <v>0</v>
      </c>
      <c r="AA102" s="242">
        <v>0</v>
      </c>
      <c r="AB102" s="242">
        <v>0</v>
      </c>
      <c r="AC102" s="242">
        <v>0</v>
      </c>
      <c r="AD102" s="242">
        <v>0</v>
      </c>
      <c r="AE102" s="242">
        <v>0</v>
      </c>
      <c r="AF102" s="242">
        <v>0</v>
      </c>
      <c r="AG102" s="242">
        <v>0</v>
      </c>
      <c r="AH102" s="242">
        <v>0</v>
      </c>
      <c r="AI102" s="242">
        <v>0</v>
      </c>
      <c r="AJ102" s="242">
        <v>0</v>
      </c>
      <c r="AK102" s="242">
        <v>0</v>
      </c>
      <c r="AL102" s="242">
        <v>0</v>
      </c>
      <c r="AM102" s="242">
        <v>0</v>
      </c>
      <c r="AN102" s="242">
        <v>0</v>
      </c>
      <c r="AO102" s="242">
        <v>0</v>
      </c>
      <c r="AP102" s="242">
        <v>0</v>
      </c>
      <c r="AQ102" s="242">
        <v>0</v>
      </c>
      <c r="AR102" s="242">
        <v>0</v>
      </c>
      <c r="AS102" s="242">
        <v>0</v>
      </c>
      <c r="AT102" s="242">
        <v>0</v>
      </c>
      <c r="AU102" s="242">
        <v>0</v>
      </c>
      <c r="AV102" s="242">
        <v>0</v>
      </c>
      <c r="AW102" s="242">
        <v>0</v>
      </c>
      <c r="AX102" s="242">
        <v>0</v>
      </c>
      <c r="AY102" s="242">
        <v>0</v>
      </c>
    </row>
    <row r="103" spans="2:51">
      <c r="B103" s="232">
        <v>10333</v>
      </c>
      <c r="C103" s="232" t="s">
        <v>106</v>
      </c>
      <c r="D103" s="242">
        <v>0</v>
      </c>
      <c r="E103" s="242">
        <v>0</v>
      </c>
      <c r="F103" s="242">
        <v>0</v>
      </c>
      <c r="G103" s="242">
        <v>0</v>
      </c>
      <c r="H103" s="242">
        <v>0</v>
      </c>
      <c r="I103" s="242">
        <v>0</v>
      </c>
      <c r="J103" s="242">
        <v>0</v>
      </c>
      <c r="K103" s="242">
        <v>0</v>
      </c>
      <c r="L103" s="242">
        <v>0</v>
      </c>
      <c r="M103" s="242">
        <v>0</v>
      </c>
      <c r="N103" s="242">
        <v>0</v>
      </c>
      <c r="O103" s="242">
        <v>0</v>
      </c>
      <c r="P103" s="242">
        <v>0</v>
      </c>
      <c r="Q103" s="242">
        <v>0</v>
      </c>
      <c r="R103" s="242">
        <v>0</v>
      </c>
      <c r="S103" s="242">
        <v>0</v>
      </c>
      <c r="T103" s="242">
        <v>0</v>
      </c>
      <c r="U103" s="242">
        <v>0</v>
      </c>
      <c r="V103" s="242">
        <v>0</v>
      </c>
      <c r="W103" s="242">
        <v>0</v>
      </c>
      <c r="X103" s="242">
        <v>0</v>
      </c>
      <c r="Y103" s="242">
        <v>0</v>
      </c>
      <c r="Z103" s="242">
        <v>0</v>
      </c>
      <c r="AA103" s="242">
        <v>0</v>
      </c>
      <c r="AB103" s="242">
        <v>0</v>
      </c>
      <c r="AC103" s="242">
        <v>0</v>
      </c>
      <c r="AD103" s="242">
        <v>0</v>
      </c>
      <c r="AE103" s="242">
        <v>0</v>
      </c>
      <c r="AF103" s="242">
        <v>0</v>
      </c>
      <c r="AG103" s="242">
        <v>0</v>
      </c>
      <c r="AH103" s="242">
        <v>0</v>
      </c>
      <c r="AI103" s="242">
        <v>0</v>
      </c>
      <c r="AJ103" s="242">
        <v>0</v>
      </c>
      <c r="AK103" s="242">
        <v>0</v>
      </c>
      <c r="AL103" s="242">
        <v>0</v>
      </c>
      <c r="AM103" s="242">
        <v>0</v>
      </c>
      <c r="AN103" s="242">
        <v>0</v>
      </c>
      <c r="AO103" s="242">
        <v>0</v>
      </c>
      <c r="AP103" s="242">
        <v>0</v>
      </c>
      <c r="AQ103" s="242">
        <v>0</v>
      </c>
      <c r="AR103" s="242">
        <v>0</v>
      </c>
      <c r="AS103" s="242">
        <v>0</v>
      </c>
      <c r="AT103" s="242">
        <v>0</v>
      </c>
      <c r="AU103" s="242">
        <v>0</v>
      </c>
      <c r="AV103" s="242">
        <v>0</v>
      </c>
      <c r="AW103" s="242">
        <v>0</v>
      </c>
      <c r="AX103" s="242">
        <v>0</v>
      </c>
      <c r="AY103" s="242">
        <v>0</v>
      </c>
    </row>
    <row r="104" spans="2:51">
      <c r="B104" s="232">
        <v>10338</v>
      </c>
      <c r="C104" s="232" t="s">
        <v>107</v>
      </c>
      <c r="D104" s="242">
        <v>0</v>
      </c>
      <c r="E104" s="242">
        <v>0</v>
      </c>
      <c r="F104" s="242">
        <v>0</v>
      </c>
      <c r="G104" s="242">
        <v>0</v>
      </c>
      <c r="H104" s="242">
        <v>533.58413461538487</v>
      </c>
      <c r="I104" s="242">
        <v>0</v>
      </c>
      <c r="J104" s="242">
        <v>304.92499999999944</v>
      </c>
      <c r="K104" s="242">
        <v>0</v>
      </c>
      <c r="L104" s="242">
        <v>32.986979166666373</v>
      </c>
      <c r="M104" s="242">
        <v>0</v>
      </c>
      <c r="N104" s="242">
        <v>331.46990740740745</v>
      </c>
      <c r="O104" s="242">
        <v>0</v>
      </c>
      <c r="P104" s="242">
        <v>193.01442307692307</v>
      </c>
      <c r="Q104" s="242">
        <v>0</v>
      </c>
      <c r="R104" s="242">
        <v>629.85749999999962</v>
      </c>
      <c r="S104" s="242">
        <v>0</v>
      </c>
      <c r="T104" s="242">
        <v>533.99278846153902</v>
      </c>
      <c r="U104" s="242">
        <v>0</v>
      </c>
      <c r="V104" s="242">
        <v>415.78250000000003</v>
      </c>
      <c r="W104" s="242">
        <v>0</v>
      </c>
      <c r="X104" s="242">
        <v>485.71527777777743</v>
      </c>
      <c r="Y104" s="242">
        <v>0</v>
      </c>
      <c r="Z104" s="242">
        <v>379.82249999999971</v>
      </c>
      <c r="AA104" s="242">
        <v>0</v>
      </c>
      <c r="AB104" s="242">
        <v>0</v>
      </c>
      <c r="AC104" s="242">
        <v>0</v>
      </c>
      <c r="AD104" s="242">
        <v>0</v>
      </c>
      <c r="AE104" s="242">
        <v>0</v>
      </c>
      <c r="AF104" s="242">
        <v>517.79567307692355</v>
      </c>
      <c r="AG104" s="242">
        <v>0</v>
      </c>
      <c r="AH104" s="242">
        <v>286.05500000000018</v>
      </c>
      <c r="AI104" s="242">
        <v>0</v>
      </c>
      <c r="AJ104" s="242">
        <v>91.585937499999886</v>
      </c>
      <c r="AK104" s="242">
        <v>0</v>
      </c>
      <c r="AL104" s="242">
        <v>314.55092592592558</v>
      </c>
      <c r="AM104" s="242">
        <v>0</v>
      </c>
      <c r="AN104" s="242">
        <v>75.695000000000064</v>
      </c>
      <c r="AO104" s="242">
        <v>0</v>
      </c>
      <c r="AP104" s="242">
        <v>736.95673076923117</v>
      </c>
      <c r="AQ104" s="242">
        <v>0</v>
      </c>
      <c r="AR104" s="242">
        <v>515.88221153846109</v>
      </c>
      <c r="AS104" s="242">
        <v>0</v>
      </c>
      <c r="AT104" s="242">
        <v>394.75750000000022</v>
      </c>
      <c r="AU104" s="242">
        <v>0</v>
      </c>
      <c r="AV104" s="242">
        <v>592.27777777777828</v>
      </c>
      <c r="AW104" s="242">
        <v>0</v>
      </c>
      <c r="AX104" s="242">
        <v>268.91999999999985</v>
      </c>
      <c r="AY104" s="242">
        <v>0</v>
      </c>
    </row>
    <row r="105" spans="2:51">
      <c r="B105" s="232">
        <v>10342</v>
      </c>
      <c r="C105" s="232" t="s">
        <v>108</v>
      </c>
      <c r="D105" s="242">
        <v>2002.6754807692316</v>
      </c>
      <c r="E105" s="242">
        <v>0</v>
      </c>
      <c r="F105" s="242">
        <v>566.54499999999962</v>
      </c>
      <c r="G105" s="242">
        <v>0</v>
      </c>
      <c r="H105" s="242">
        <v>1951.1923076923078</v>
      </c>
      <c r="I105" s="242">
        <v>0</v>
      </c>
      <c r="J105" s="242">
        <v>1892.9624999999976</v>
      </c>
      <c r="K105" s="242">
        <v>0</v>
      </c>
      <c r="L105" s="242">
        <v>1354.9062500000009</v>
      </c>
      <c r="M105" s="242">
        <v>0</v>
      </c>
      <c r="N105" s="242">
        <v>8028.9583333333358</v>
      </c>
      <c r="O105" s="242">
        <v>0</v>
      </c>
      <c r="P105" s="242">
        <v>2823.9567307692328</v>
      </c>
      <c r="Q105" s="242">
        <v>0</v>
      </c>
      <c r="R105" s="242">
        <v>5142.442500000001</v>
      </c>
      <c r="S105" s="242">
        <v>0</v>
      </c>
      <c r="T105" s="242">
        <v>20416.194711538461</v>
      </c>
      <c r="U105" s="242">
        <v>0</v>
      </c>
      <c r="V105" s="242">
        <v>11655.679999999995</v>
      </c>
      <c r="W105" s="242">
        <v>0</v>
      </c>
      <c r="X105" s="242">
        <v>14157.571759259252</v>
      </c>
      <c r="Y105" s="242">
        <v>0</v>
      </c>
      <c r="Z105" s="242">
        <v>14715.7875</v>
      </c>
      <c r="AA105" s="242">
        <v>0</v>
      </c>
      <c r="AB105" s="242">
        <v>392.84375000000171</v>
      </c>
      <c r="AC105" s="242">
        <v>0</v>
      </c>
      <c r="AD105" s="242">
        <v>420.91499999999547</v>
      </c>
      <c r="AE105" s="242">
        <v>0</v>
      </c>
      <c r="AF105" s="242">
        <v>1769.6081730769233</v>
      </c>
      <c r="AG105" s="242">
        <v>0</v>
      </c>
      <c r="AH105" s="242">
        <v>1697.6524999999986</v>
      </c>
      <c r="AI105" s="242">
        <v>0</v>
      </c>
      <c r="AJ105" s="242">
        <v>3190.9999999999973</v>
      </c>
      <c r="AK105" s="242">
        <v>0</v>
      </c>
      <c r="AL105" s="242">
        <v>7901.1041666666624</v>
      </c>
      <c r="AM105" s="242">
        <v>0</v>
      </c>
      <c r="AN105" s="242">
        <v>1094.4224999999933</v>
      </c>
      <c r="AO105" s="242">
        <v>0</v>
      </c>
      <c r="AP105" s="242">
        <v>6475.4615384615308</v>
      </c>
      <c r="AQ105" s="242">
        <v>0</v>
      </c>
      <c r="AR105" s="242">
        <v>20750.370192307695</v>
      </c>
      <c r="AS105" s="242">
        <v>0</v>
      </c>
      <c r="AT105" s="242">
        <v>11993.774999999998</v>
      </c>
      <c r="AU105" s="242">
        <v>0</v>
      </c>
      <c r="AV105" s="242">
        <v>16006.3611111111</v>
      </c>
      <c r="AW105" s="242">
        <v>0</v>
      </c>
      <c r="AX105" s="242">
        <v>13494.532500000001</v>
      </c>
      <c r="AY105" s="242">
        <v>0</v>
      </c>
    </row>
    <row r="106" spans="2:51">
      <c r="B106" s="232">
        <v>10343</v>
      </c>
      <c r="C106" s="232" t="s">
        <v>109</v>
      </c>
      <c r="D106" s="242">
        <v>0</v>
      </c>
      <c r="E106" s="242">
        <v>0</v>
      </c>
      <c r="F106" s="242">
        <v>0</v>
      </c>
      <c r="G106" s="242">
        <v>0</v>
      </c>
      <c r="H106" s="242">
        <v>0</v>
      </c>
      <c r="I106" s="242">
        <v>0</v>
      </c>
      <c r="J106" s="242">
        <v>0</v>
      </c>
      <c r="K106" s="242">
        <v>0</v>
      </c>
      <c r="L106" s="242">
        <v>0</v>
      </c>
      <c r="M106" s="242">
        <v>0</v>
      </c>
      <c r="N106" s="242">
        <v>0</v>
      </c>
      <c r="O106" s="242">
        <v>0</v>
      </c>
      <c r="P106" s="242">
        <v>0</v>
      </c>
      <c r="Q106" s="242">
        <v>0</v>
      </c>
      <c r="R106" s="242">
        <v>0</v>
      </c>
      <c r="S106" s="242">
        <v>0</v>
      </c>
      <c r="T106" s="242">
        <v>0</v>
      </c>
      <c r="U106" s="242">
        <v>0</v>
      </c>
      <c r="V106" s="242">
        <v>0</v>
      </c>
      <c r="W106" s="242">
        <v>0</v>
      </c>
      <c r="X106" s="242">
        <v>0</v>
      </c>
      <c r="Y106" s="242">
        <v>0</v>
      </c>
      <c r="Z106" s="242">
        <v>0</v>
      </c>
      <c r="AA106" s="242">
        <v>0</v>
      </c>
      <c r="AB106" s="242">
        <v>0</v>
      </c>
      <c r="AC106" s="242">
        <v>0</v>
      </c>
      <c r="AD106" s="242">
        <v>0</v>
      </c>
      <c r="AE106" s="242">
        <v>0</v>
      </c>
      <c r="AF106" s="242">
        <v>0</v>
      </c>
      <c r="AG106" s="242">
        <v>0</v>
      </c>
      <c r="AH106" s="242">
        <v>0</v>
      </c>
      <c r="AI106" s="242">
        <v>0</v>
      </c>
      <c r="AJ106" s="242">
        <v>0</v>
      </c>
      <c r="AK106" s="242">
        <v>0</v>
      </c>
      <c r="AL106" s="242">
        <v>0</v>
      </c>
      <c r="AM106" s="242">
        <v>0</v>
      </c>
      <c r="AN106" s="242">
        <v>0</v>
      </c>
      <c r="AO106" s="242">
        <v>0</v>
      </c>
      <c r="AP106" s="242">
        <v>0</v>
      </c>
      <c r="AQ106" s="242">
        <v>0</v>
      </c>
      <c r="AR106" s="242">
        <v>0</v>
      </c>
      <c r="AS106" s="242">
        <v>0</v>
      </c>
      <c r="AT106" s="242">
        <v>0</v>
      </c>
      <c r="AU106" s="242">
        <v>0</v>
      </c>
      <c r="AV106" s="242">
        <v>0</v>
      </c>
      <c r="AW106" s="242">
        <v>0</v>
      </c>
      <c r="AX106" s="242">
        <v>0</v>
      </c>
      <c r="AY106" s="242">
        <v>0</v>
      </c>
    </row>
    <row r="107" spans="2:51">
      <c r="B107" s="232">
        <v>10349</v>
      </c>
      <c r="C107" s="232" t="s">
        <v>110</v>
      </c>
      <c r="D107" s="242">
        <v>0</v>
      </c>
      <c r="E107" s="242">
        <v>0</v>
      </c>
      <c r="F107" s="242">
        <v>0</v>
      </c>
      <c r="G107" s="242">
        <v>0</v>
      </c>
      <c r="H107" s="242">
        <v>0</v>
      </c>
      <c r="I107" s="242">
        <v>0</v>
      </c>
      <c r="J107" s="242">
        <v>0</v>
      </c>
      <c r="K107" s="242">
        <v>0</v>
      </c>
      <c r="L107" s="242">
        <v>0</v>
      </c>
      <c r="M107" s="242">
        <v>0</v>
      </c>
      <c r="N107" s="242">
        <v>0</v>
      </c>
      <c r="O107" s="242">
        <v>0</v>
      </c>
      <c r="P107" s="242">
        <v>0</v>
      </c>
      <c r="Q107" s="242">
        <v>0</v>
      </c>
      <c r="R107" s="242">
        <v>0</v>
      </c>
      <c r="S107" s="242">
        <v>0</v>
      </c>
      <c r="T107" s="242">
        <v>0</v>
      </c>
      <c r="U107" s="242">
        <v>0</v>
      </c>
      <c r="V107" s="242">
        <v>0</v>
      </c>
      <c r="W107" s="242">
        <v>0</v>
      </c>
      <c r="X107" s="242">
        <v>0</v>
      </c>
      <c r="Y107" s="242">
        <v>0</v>
      </c>
      <c r="Z107" s="242">
        <v>0</v>
      </c>
      <c r="AA107" s="242">
        <v>0</v>
      </c>
      <c r="AB107" s="242">
        <v>0</v>
      </c>
      <c r="AC107" s="242">
        <v>0</v>
      </c>
      <c r="AD107" s="242">
        <v>0</v>
      </c>
      <c r="AE107" s="242">
        <v>0</v>
      </c>
      <c r="AF107" s="242">
        <v>0</v>
      </c>
      <c r="AG107" s="242">
        <v>0</v>
      </c>
      <c r="AH107" s="242">
        <v>0</v>
      </c>
      <c r="AI107" s="242">
        <v>0</v>
      </c>
      <c r="AJ107" s="242">
        <v>0</v>
      </c>
      <c r="AK107" s="242">
        <v>0</v>
      </c>
      <c r="AL107" s="242">
        <v>0</v>
      </c>
      <c r="AM107" s="242">
        <v>0</v>
      </c>
      <c r="AN107" s="242">
        <v>0</v>
      </c>
      <c r="AO107" s="242">
        <v>0</v>
      </c>
      <c r="AP107" s="242">
        <v>0</v>
      </c>
      <c r="AQ107" s="242">
        <v>0</v>
      </c>
      <c r="AR107" s="242">
        <v>0</v>
      </c>
      <c r="AS107" s="242">
        <v>0</v>
      </c>
      <c r="AT107" s="242">
        <v>0</v>
      </c>
      <c r="AU107" s="242">
        <v>0</v>
      </c>
      <c r="AV107" s="242">
        <v>0</v>
      </c>
      <c r="AW107" s="242">
        <v>0</v>
      </c>
      <c r="AX107" s="242">
        <v>0</v>
      </c>
      <c r="AY107" s="242">
        <v>0</v>
      </c>
    </row>
    <row r="108" spans="2:51">
      <c r="B108" s="232">
        <v>10352</v>
      </c>
      <c r="C108" s="232" t="s">
        <v>111</v>
      </c>
      <c r="D108" s="242">
        <v>1184.9447115384626</v>
      </c>
      <c r="E108" s="242">
        <v>0</v>
      </c>
      <c r="F108" s="242">
        <v>817.85750000000326</v>
      </c>
      <c r="G108" s="242">
        <v>0</v>
      </c>
      <c r="H108" s="242">
        <v>3388.3629807692278</v>
      </c>
      <c r="I108" s="242">
        <v>0</v>
      </c>
      <c r="J108" s="242">
        <v>0</v>
      </c>
      <c r="K108" s="242">
        <v>0</v>
      </c>
      <c r="L108" s="242">
        <v>5203.0755208333303</v>
      </c>
      <c r="M108" s="242">
        <v>0</v>
      </c>
      <c r="N108" s="242">
        <v>4971.3796296296296</v>
      </c>
      <c r="O108" s="242">
        <v>0</v>
      </c>
      <c r="P108" s="242">
        <v>1231.2716346153866</v>
      </c>
      <c r="Q108" s="242">
        <v>0</v>
      </c>
      <c r="R108" s="242">
        <v>0</v>
      </c>
      <c r="S108" s="242">
        <v>0</v>
      </c>
      <c r="T108" s="242">
        <v>4783.7355769230744</v>
      </c>
      <c r="U108" s="242">
        <v>0</v>
      </c>
      <c r="V108" s="242">
        <v>2355.1049999999996</v>
      </c>
      <c r="W108" s="242">
        <v>0</v>
      </c>
      <c r="X108" s="242">
        <v>3769.8124999999986</v>
      </c>
      <c r="Y108" s="242">
        <v>0</v>
      </c>
      <c r="Z108" s="242">
        <v>2386.3025000000002</v>
      </c>
      <c r="AA108" s="242">
        <v>0</v>
      </c>
      <c r="AB108" s="242">
        <v>559.04326923076917</v>
      </c>
      <c r="AC108" s="242">
        <v>0</v>
      </c>
      <c r="AD108" s="242">
        <v>816.13999999999805</v>
      </c>
      <c r="AE108" s="242">
        <v>0</v>
      </c>
      <c r="AF108" s="242">
        <v>3381.0264423076942</v>
      </c>
      <c r="AG108" s="242">
        <v>0</v>
      </c>
      <c r="AH108" s="242">
        <v>0</v>
      </c>
      <c r="AI108" s="242">
        <v>0</v>
      </c>
      <c r="AJ108" s="242">
        <v>6137.6875000000055</v>
      </c>
      <c r="AK108" s="242">
        <v>0</v>
      </c>
      <c r="AL108" s="242">
        <v>4977.7314814814799</v>
      </c>
      <c r="AM108" s="242">
        <v>0</v>
      </c>
      <c r="AN108" s="242">
        <v>513.00500000000056</v>
      </c>
      <c r="AO108" s="242">
        <v>0</v>
      </c>
      <c r="AP108" s="242">
        <v>0</v>
      </c>
      <c r="AQ108" s="242">
        <v>0</v>
      </c>
      <c r="AR108" s="242">
        <v>4835.3725961538476</v>
      </c>
      <c r="AS108" s="242">
        <v>0</v>
      </c>
      <c r="AT108" s="242">
        <v>2396.9349999999986</v>
      </c>
      <c r="AU108" s="242">
        <v>0</v>
      </c>
      <c r="AV108" s="242">
        <v>4343.9745370370365</v>
      </c>
      <c r="AW108" s="242">
        <v>0</v>
      </c>
      <c r="AX108" s="242">
        <v>1882.7050000000006</v>
      </c>
      <c r="AY108" s="242">
        <v>0</v>
      </c>
    </row>
    <row r="109" spans="2:51">
      <c r="B109" s="232">
        <v>10354</v>
      </c>
      <c r="C109" s="232" t="s">
        <v>112</v>
      </c>
      <c r="D109" s="242">
        <v>0</v>
      </c>
      <c r="E109" s="242">
        <v>0</v>
      </c>
      <c r="F109" s="242">
        <v>0</v>
      </c>
      <c r="G109" s="242">
        <v>0</v>
      </c>
      <c r="H109" s="242">
        <v>0</v>
      </c>
      <c r="I109" s="242">
        <v>0</v>
      </c>
      <c r="J109" s="242">
        <v>0</v>
      </c>
      <c r="K109" s="242">
        <v>0</v>
      </c>
      <c r="L109" s="242">
        <v>0</v>
      </c>
      <c r="M109" s="242">
        <v>0</v>
      </c>
      <c r="N109" s="242">
        <v>0</v>
      </c>
      <c r="O109" s="242">
        <v>0</v>
      </c>
      <c r="P109" s="242">
        <v>0</v>
      </c>
      <c r="Q109" s="242">
        <v>0</v>
      </c>
      <c r="R109" s="242">
        <v>0</v>
      </c>
      <c r="S109" s="242">
        <v>0</v>
      </c>
      <c r="T109" s="242">
        <v>0</v>
      </c>
      <c r="U109" s="242">
        <v>0</v>
      </c>
      <c r="V109" s="242">
        <v>0</v>
      </c>
      <c r="W109" s="242">
        <v>0</v>
      </c>
      <c r="X109" s="242">
        <v>0</v>
      </c>
      <c r="Y109" s="242">
        <v>0</v>
      </c>
      <c r="Z109" s="242">
        <v>0</v>
      </c>
      <c r="AA109" s="242">
        <v>0</v>
      </c>
      <c r="AB109" s="242">
        <v>0</v>
      </c>
      <c r="AC109" s="242">
        <v>0</v>
      </c>
      <c r="AD109" s="242">
        <v>0</v>
      </c>
      <c r="AE109" s="242">
        <v>0</v>
      </c>
      <c r="AF109" s="242">
        <v>0</v>
      </c>
      <c r="AG109" s="242">
        <v>0</v>
      </c>
      <c r="AH109" s="242">
        <v>0</v>
      </c>
      <c r="AI109" s="242">
        <v>0</v>
      </c>
      <c r="AJ109" s="242">
        <v>0</v>
      </c>
      <c r="AK109" s="242">
        <v>0</v>
      </c>
      <c r="AL109" s="242">
        <v>0</v>
      </c>
      <c r="AM109" s="242">
        <v>0</v>
      </c>
      <c r="AN109" s="242">
        <v>0</v>
      </c>
      <c r="AO109" s="242">
        <v>0</v>
      </c>
      <c r="AP109" s="242">
        <v>0</v>
      </c>
      <c r="AQ109" s="242">
        <v>0</v>
      </c>
      <c r="AR109" s="242">
        <v>0</v>
      </c>
      <c r="AS109" s="242">
        <v>0</v>
      </c>
      <c r="AT109" s="242">
        <v>0</v>
      </c>
      <c r="AU109" s="242">
        <v>0</v>
      </c>
      <c r="AV109" s="242">
        <v>0</v>
      </c>
      <c r="AW109" s="242">
        <v>0</v>
      </c>
      <c r="AX109" s="242">
        <v>0</v>
      </c>
      <c r="AY109" s="242">
        <v>0</v>
      </c>
    </row>
    <row r="110" spans="2:51">
      <c r="B110" s="232">
        <v>10360</v>
      </c>
      <c r="C110" s="232" t="s">
        <v>113</v>
      </c>
      <c r="D110" s="242">
        <v>1151.122596153846</v>
      </c>
      <c r="E110" s="242">
        <v>0</v>
      </c>
      <c r="F110" s="242">
        <v>368.25750000000033</v>
      </c>
      <c r="G110" s="242">
        <v>0</v>
      </c>
      <c r="H110" s="242">
        <v>977.20192307692218</v>
      </c>
      <c r="I110" s="242">
        <v>0</v>
      </c>
      <c r="J110" s="242">
        <v>549.70500000000061</v>
      </c>
      <c r="K110" s="242">
        <v>0</v>
      </c>
      <c r="L110" s="242">
        <v>28.635416666666469</v>
      </c>
      <c r="M110" s="242">
        <v>0</v>
      </c>
      <c r="N110" s="242">
        <v>512.87962962962968</v>
      </c>
      <c r="O110" s="242">
        <v>0</v>
      </c>
      <c r="P110" s="242">
        <v>1290.466346153846</v>
      </c>
      <c r="Q110" s="242">
        <v>0</v>
      </c>
      <c r="R110" s="242">
        <v>735.85500000000036</v>
      </c>
      <c r="S110" s="242">
        <v>0</v>
      </c>
      <c r="T110" s="242">
        <v>2092.9831730769224</v>
      </c>
      <c r="U110" s="242">
        <v>0</v>
      </c>
      <c r="V110" s="242">
        <v>1110.8175000000006</v>
      </c>
      <c r="W110" s="242">
        <v>0</v>
      </c>
      <c r="X110" s="242">
        <v>1456.06712962963</v>
      </c>
      <c r="Y110" s="242">
        <v>0</v>
      </c>
      <c r="Z110" s="242">
        <v>1315.1825000000001</v>
      </c>
      <c r="AA110" s="242">
        <v>0</v>
      </c>
      <c r="AB110" s="242">
        <v>973.3317307692306</v>
      </c>
      <c r="AC110" s="242">
        <v>0</v>
      </c>
      <c r="AD110" s="242">
        <v>368.70500000000027</v>
      </c>
      <c r="AE110" s="242">
        <v>0</v>
      </c>
      <c r="AF110" s="242">
        <v>922.99519230769249</v>
      </c>
      <c r="AG110" s="242">
        <v>0</v>
      </c>
      <c r="AH110" s="242">
        <v>490.28000000000048</v>
      </c>
      <c r="AI110" s="242">
        <v>0</v>
      </c>
      <c r="AJ110" s="242">
        <v>104.80989583333277</v>
      </c>
      <c r="AK110" s="242">
        <v>0</v>
      </c>
      <c r="AL110" s="242">
        <v>479.93055555555617</v>
      </c>
      <c r="AM110" s="242">
        <v>0</v>
      </c>
      <c r="AN110" s="242">
        <v>1070.0074999999995</v>
      </c>
      <c r="AO110" s="242">
        <v>0</v>
      </c>
      <c r="AP110" s="242">
        <v>1098.8605769230762</v>
      </c>
      <c r="AQ110" s="242">
        <v>0</v>
      </c>
      <c r="AR110" s="242">
        <v>2040.9879807692328</v>
      </c>
      <c r="AS110" s="242">
        <v>0</v>
      </c>
      <c r="AT110" s="242">
        <v>1110.0000000000002</v>
      </c>
      <c r="AU110" s="242">
        <v>0</v>
      </c>
      <c r="AV110" s="242">
        <v>1916.5347222222231</v>
      </c>
      <c r="AW110" s="242">
        <v>0</v>
      </c>
      <c r="AX110" s="242">
        <v>1006.3475000000009</v>
      </c>
      <c r="AY110" s="242">
        <v>0</v>
      </c>
    </row>
    <row r="111" spans="2:51">
      <c r="B111" s="232">
        <v>10363</v>
      </c>
      <c r="C111" s="232" t="s">
        <v>114</v>
      </c>
      <c r="D111" s="242">
        <v>0</v>
      </c>
      <c r="E111" s="242">
        <v>0</v>
      </c>
      <c r="F111" s="242">
        <v>0</v>
      </c>
      <c r="G111" s="242">
        <v>0</v>
      </c>
      <c r="H111" s="242">
        <v>22662.081730769212</v>
      </c>
      <c r="I111" s="242">
        <v>0</v>
      </c>
      <c r="J111" s="242">
        <v>6988.8949999999959</v>
      </c>
      <c r="K111" s="242">
        <v>0</v>
      </c>
      <c r="L111" s="242">
        <v>0</v>
      </c>
      <c r="M111" s="242">
        <v>0</v>
      </c>
      <c r="N111" s="242">
        <v>15897.437499999982</v>
      </c>
      <c r="O111" s="242">
        <v>0</v>
      </c>
      <c r="P111" s="242">
        <v>5953.1754807692432</v>
      </c>
      <c r="Q111" s="242">
        <v>0</v>
      </c>
      <c r="R111" s="242">
        <v>0</v>
      </c>
      <c r="S111" s="242">
        <v>0</v>
      </c>
      <c r="T111" s="242">
        <v>18199.817307692312</v>
      </c>
      <c r="U111" s="242">
        <v>0</v>
      </c>
      <c r="V111" s="242">
        <v>2999.4775000000081</v>
      </c>
      <c r="W111" s="242">
        <v>0</v>
      </c>
      <c r="X111" s="242">
        <v>14633.062500000007</v>
      </c>
      <c r="Y111" s="242">
        <v>0</v>
      </c>
      <c r="Z111" s="242">
        <v>11147.937499999991</v>
      </c>
      <c r="AA111" s="242">
        <v>0</v>
      </c>
      <c r="AB111" s="242">
        <v>0</v>
      </c>
      <c r="AC111" s="242">
        <v>0</v>
      </c>
      <c r="AD111" s="242">
        <v>11.102500000010451</v>
      </c>
      <c r="AE111" s="242">
        <v>0</v>
      </c>
      <c r="AF111" s="242">
        <v>22882.59134615384</v>
      </c>
      <c r="AG111" s="242">
        <v>0</v>
      </c>
      <c r="AH111" s="242">
        <v>7054.9050000000161</v>
      </c>
      <c r="AI111" s="242">
        <v>0</v>
      </c>
      <c r="AJ111" s="242">
        <v>0</v>
      </c>
      <c r="AK111" s="242">
        <v>0</v>
      </c>
      <c r="AL111" s="242">
        <v>15993.629629629637</v>
      </c>
      <c r="AM111" s="242">
        <v>0</v>
      </c>
      <c r="AN111" s="242">
        <v>2213.369999999994</v>
      </c>
      <c r="AO111" s="242">
        <v>0</v>
      </c>
      <c r="AP111" s="242">
        <v>1219.901442307684</v>
      </c>
      <c r="AQ111" s="242">
        <v>0</v>
      </c>
      <c r="AR111" s="242">
        <v>18284.658653846152</v>
      </c>
      <c r="AS111" s="242">
        <v>0</v>
      </c>
      <c r="AT111" s="242">
        <v>2916.6375000000039</v>
      </c>
      <c r="AU111" s="242">
        <v>0</v>
      </c>
      <c r="AV111" s="242">
        <v>18059.175925925942</v>
      </c>
      <c r="AW111" s="242">
        <v>0</v>
      </c>
      <c r="AX111" s="242">
        <v>7766.715000000012</v>
      </c>
      <c r="AY111" s="242">
        <v>0</v>
      </c>
    </row>
    <row r="112" spans="2:51">
      <c r="B112" s="232">
        <v>10369</v>
      </c>
      <c r="C112" s="232" t="s">
        <v>115</v>
      </c>
      <c r="D112" s="242">
        <v>3098.6658653846171</v>
      </c>
      <c r="E112" s="242">
        <v>0</v>
      </c>
      <c r="F112" s="242">
        <v>903.33750000000191</v>
      </c>
      <c r="G112" s="242">
        <v>0</v>
      </c>
      <c r="H112" s="242">
        <v>2010.5721153846146</v>
      </c>
      <c r="I112" s="242">
        <v>0</v>
      </c>
      <c r="J112" s="242">
        <v>1796.3425000000011</v>
      </c>
      <c r="K112" s="242">
        <v>0</v>
      </c>
      <c r="L112" s="242">
        <v>860.72916666666993</v>
      </c>
      <c r="M112" s="242">
        <v>0</v>
      </c>
      <c r="N112" s="242">
        <v>2346.6620370370374</v>
      </c>
      <c r="O112" s="242">
        <v>0</v>
      </c>
      <c r="P112" s="242">
        <v>3825.6778846153852</v>
      </c>
      <c r="Q112" s="242">
        <v>0</v>
      </c>
      <c r="R112" s="242">
        <v>2604.8675000000035</v>
      </c>
      <c r="S112" s="242">
        <v>0</v>
      </c>
      <c r="T112" s="242">
        <v>4499.9086538461561</v>
      </c>
      <c r="U112" s="242">
        <v>0</v>
      </c>
      <c r="V112" s="242">
        <v>1842.1575000000023</v>
      </c>
      <c r="W112" s="242">
        <v>0</v>
      </c>
      <c r="X112" s="242">
        <v>3971.6898148148143</v>
      </c>
      <c r="Y112" s="242">
        <v>0</v>
      </c>
      <c r="Z112" s="242">
        <v>6134.3349999999955</v>
      </c>
      <c r="AA112" s="242">
        <v>0</v>
      </c>
      <c r="AB112" s="242">
        <v>2612.7908653846152</v>
      </c>
      <c r="AC112" s="242">
        <v>0</v>
      </c>
      <c r="AD112" s="242">
        <v>903.33750000000191</v>
      </c>
      <c r="AE112" s="242">
        <v>0</v>
      </c>
      <c r="AF112" s="242">
        <v>2010.5721153846146</v>
      </c>
      <c r="AG112" s="242">
        <v>0</v>
      </c>
      <c r="AH112" s="242">
        <v>1796.3425000000011</v>
      </c>
      <c r="AI112" s="242">
        <v>0</v>
      </c>
      <c r="AJ112" s="242">
        <v>2010.1223958333358</v>
      </c>
      <c r="AK112" s="242">
        <v>0</v>
      </c>
      <c r="AL112" s="242">
        <v>2346.6620370370374</v>
      </c>
      <c r="AM112" s="242">
        <v>0</v>
      </c>
      <c r="AN112" s="242">
        <v>3253.8650000000002</v>
      </c>
      <c r="AO112" s="242">
        <v>0</v>
      </c>
      <c r="AP112" s="242">
        <v>3474.9110576923094</v>
      </c>
      <c r="AQ112" s="242">
        <v>0</v>
      </c>
      <c r="AR112" s="242">
        <v>4499.9086538461561</v>
      </c>
      <c r="AS112" s="242">
        <v>0</v>
      </c>
      <c r="AT112" s="242">
        <v>1842.1575000000023</v>
      </c>
      <c r="AU112" s="242">
        <v>0</v>
      </c>
      <c r="AV112" s="242">
        <v>5243.925925925927</v>
      </c>
      <c r="AW112" s="242">
        <v>0</v>
      </c>
      <c r="AX112" s="242">
        <v>5208.1924999999983</v>
      </c>
      <c r="AY112" s="242">
        <v>0</v>
      </c>
    </row>
    <row r="113" spans="2:51">
      <c r="B113" s="232">
        <v>10370</v>
      </c>
      <c r="C113" s="232" t="s">
        <v>116</v>
      </c>
      <c r="D113" s="242">
        <v>0</v>
      </c>
      <c r="E113" s="242">
        <v>0</v>
      </c>
      <c r="F113" s="242">
        <v>0</v>
      </c>
      <c r="G113" s="242">
        <v>0</v>
      </c>
      <c r="H113" s="242">
        <v>0</v>
      </c>
      <c r="I113" s="242">
        <v>0</v>
      </c>
      <c r="J113" s="242">
        <v>0</v>
      </c>
      <c r="K113" s="242">
        <v>0</v>
      </c>
      <c r="L113" s="242">
        <v>0</v>
      </c>
      <c r="M113" s="242">
        <v>0</v>
      </c>
      <c r="N113" s="242">
        <v>0</v>
      </c>
      <c r="O113" s="242">
        <v>0</v>
      </c>
      <c r="P113" s="242">
        <v>0</v>
      </c>
      <c r="Q113" s="242">
        <v>0</v>
      </c>
      <c r="R113" s="242">
        <v>0</v>
      </c>
      <c r="S113" s="242">
        <v>0</v>
      </c>
      <c r="T113" s="242">
        <v>0</v>
      </c>
      <c r="U113" s="242">
        <v>0</v>
      </c>
      <c r="V113" s="242">
        <v>0</v>
      </c>
      <c r="W113" s="242">
        <v>0</v>
      </c>
      <c r="X113" s="242">
        <v>0</v>
      </c>
      <c r="Y113" s="242">
        <v>0</v>
      </c>
      <c r="Z113" s="242">
        <v>0</v>
      </c>
      <c r="AA113" s="242">
        <v>0</v>
      </c>
      <c r="AB113" s="242">
        <v>0</v>
      </c>
      <c r="AC113" s="242">
        <v>0</v>
      </c>
      <c r="AD113" s="242">
        <v>0</v>
      </c>
      <c r="AE113" s="242">
        <v>0</v>
      </c>
      <c r="AF113" s="242">
        <v>0</v>
      </c>
      <c r="AG113" s="242">
        <v>0</v>
      </c>
      <c r="AH113" s="242">
        <v>0</v>
      </c>
      <c r="AI113" s="242">
        <v>0</v>
      </c>
      <c r="AJ113" s="242">
        <v>0</v>
      </c>
      <c r="AK113" s="242">
        <v>0</v>
      </c>
      <c r="AL113" s="242">
        <v>0</v>
      </c>
      <c r="AM113" s="242">
        <v>0</v>
      </c>
      <c r="AN113" s="242">
        <v>0</v>
      </c>
      <c r="AO113" s="242">
        <v>0</v>
      </c>
      <c r="AP113" s="242">
        <v>0</v>
      </c>
      <c r="AQ113" s="242">
        <v>0</v>
      </c>
      <c r="AR113" s="242">
        <v>0</v>
      </c>
      <c r="AS113" s="242">
        <v>0</v>
      </c>
      <c r="AT113" s="242">
        <v>0</v>
      </c>
      <c r="AU113" s="242">
        <v>0</v>
      </c>
      <c r="AV113" s="242">
        <v>0</v>
      </c>
      <c r="AW113" s="242">
        <v>0</v>
      </c>
      <c r="AX113" s="242">
        <v>0</v>
      </c>
      <c r="AY113" s="242">
        <v>0</v>
      </c>
    </row>
    <row r="114" spans="2:51">
      <c r="B114" s="232">
        <v>10371</v>
      </c>
      <c r="C114" s="232" t="s">
        <v>117</v>
      </c>
      <c r="D114" s="242">
        <v>0</v>
      </c>
      <c r="E114" s="242">
        <v>0</v>
      </c>
      <c r="F114" s="242">
        <v>0</v>
      </c>
      <c r="G114" s="242">
        <v>0</v>
      </c>
      <c r="H114" s="242">
        <v>0</v>
      </c>
      <c r="I114" s="242">
        <v>0</v>
      </c>
      <c r="J114" s="242">
        <v>0</v>
      </c>
      <c r="K114" s="242">
        <v>0</v>
      </c>
      <c r="L114" s="242">
        <v>0</v>
      </c>
      <c r="M114" s="242">
        <v>0</v>
      </c>
      <c r="N114" s="242">
        <v>0</v>
      </c>
      <c r="O114" s="242">
        <v>0</v>
      </c>
      <c r="P114" s="242">
        <v>519.82211538461524</v>
      </c>
      <c r="Q114" s="242">
        <v>0</v>
      </c>
      <c r="R114" s="242">
        <v>76.635000000000005</v>
      </c>
      <c r="S114" s="242">
        <v>0</v>
      </c>
      <c r="T114" s="242">
        <v>1638.2764423076919</v>
      </c>
      <c r="U114" s="242">
        <v>0</v>
      </c>
      <c r="V114" s="242">
        <v>977.27999999999884</v>
      </c>
      <c r="W114" s="242">
        <v>0</v>
      </c>
      <c r="X114" s="242">
        <v>1612.7175925925926</v>
      </c>
      <c r="Y114" s="242">
        <v>0</v>
      </c>
      <c r="Z114" s="242">
        <v>161.35250000000133</v>
      </c>
      <c r="AA114" s="242">
        <v>0</v>
      </c>
      <c r="AB114" s="242">
        <v>0</v>
      </c>
      <c r="AC114" s="242">
        <v>0</v>
      </c>
      <c r="AD114" s="242">
        <v>0</v>
      </c>
      <c r="AE114" s="242">
        <v>0</v>
      </c>
      <c r="AF114" s="242">
        <v>0</v>
      </c>
      <c r="AG114" s="242">
        <v>0</v>
      </c>
      <c r="AH114" s="242">
        <v>23.140000000002381</v>
      </c>
      <c r="AI114" s="242">
        <v>0</v>
      </c>
      <c r="AJ114" s="242">
        <v>10.091145833332149</v>
      </c>
      <c r="AK114" s="242">
        <v>0</v>
      </c>
      <c r="AL114" s="242">
        <v>0</v>
      </c>
      <c r="AM114" s="242">
        <v>0</v>
      </c>
      <c r="AN114" s="242">
        <v>130.73250000000058</v>
      </c>
      <c r="AO114" s="242">
        <v>0</v>
      </c>
      <c r="AP114" s="242">
        <v>541.89663461538419</v>
      </c>
      <c r="AQ114" s="242">
        <v>0</v>
      </c>
      <c r="AR114" s="242">
        <v>1712.9326923076922</v>
      </c>
      <c r="AS114" s="242">
        <v>0</v>
      </c>
      <c r="AT114" s="242">
        <v>1045.3700000000003</v>
      </c>
      <c r="AU114" s="242">
        <v>0</v>
      </c>
      <c r="AV114" s="242">
        <v>1682.4444444444448</v>
      </c>
      <c r="AW114" s="242">
        <v>0</v>
      </c>
      <c r="AX114" s="242">
        <v>224.94249999999914</v>
      </c>
      <c r="AY114" s="242">
        <v>0</v>
      </c>
    </row>
    <row r="115" spans="2:51">
      <c r="B115" s="232">
        <v>10376</v>
      </c>
      <c r="C115" s="232" t="s">
        <v>118</v>
      </c>
      <c r="D115" s="242">
        <v>1069.6658653846214</v>
      </c>
      <c r="E115" s="242">
        <v>0</v>
      </c>
      <c r="F115" s="242">
        <v>2749.5624999999995</v>
      </c>
      <c r="G115" s="242">
        <v>0</v>
      </c>
      <c r="H115" s="242">
        <v>13239.536057692301</v>
      </c>
      <c r="I115" s="242">
        <v>0</v>
      </c>
      <c r="J115" s="242">
        <v>6753.7525000000041</v>
      </c>
      <c r="K115" s="242">
        <v>0</v>
      </c>
      <c r="L115" s="242">
        <v>0</v>
      </c>
      <c r="M115" s="242">
        <v>0</v>
      </c>
      <c r="N115" s="242">
        <v>9745.9560185185237</v>
      </c>
      <c r="O115" s="242">
        <v>0</v>
      </c>
      <c r="P115" s="242">
        <v>4867.2812499999982</v>
      </c>
      <c r="Q115" s="242">
        <v>0</v>
      </c>
      <c r="R115" s="242">
        <v>1201.222499999993</v>
      </c>
      <c r="S115" s="242">
        <v>0</v>
      </c>
      <c r="T115" s="242">
        <v>7036.9519230769174</v>
      </c>
      <c r="U115" s="242">
        <v>0</v>
      </c>
      <c r="V115" s="242">
        <v>2055.6375000000025</v>
      </c>
      <c r="W115" s="242">
        <v>0</v>
      </c>
      <c r="X115" s="242">
        <v>2432.2407407407413</v>
      </c>
      <c r="Y115" s="242">
        <v>0</v>
      </c>
      <c r="Z115" s="242">
        <v>3444.4950000000035</v>
      </c>
      <c r="AA115" s="242">
        <v>0</v>
      </c>
      <c r="AB115" s="242">
        <v>0</v>
      </c>
      <c r="AC115" s="242">
        <v>0</v>
      </c>
      <c r="AD115" s="242">
        <v>2752.2675000000058</v>
      </c>
      <c r="AE115" s="242">
        <v>0</v>
      </c>
      <c r="AF115" s="242">
        <v>13333.413461538466</v>
      </c>
      <c r="AG115" s="242">
        <v>0</v>
      </c>
      <c r="AH115" s="242">
        <v>6867.679999999993</v>
      </c>
      <c r="AI115" s="242">
        <v>0</v>
      </c>
      <c r="AJ115" s="242">
        <v>0</v>
      </c>
      <c r="AK115" s="242">
        <v>0</v>
      </c>
      <c r="AL115" s="242">
        <v>9816.835648148146</v>
      </c>
      <c r="AM115" s="242">
        <v>0</v>
      </c>
      <c r="AN115" s="242">
        <v>2443.6800000000003</v>
      </c>
      <c r="AO115" s="242">
        <v>0</v>
      </c>
      <c r="AP115" s="242">
        <v>3335.3149038461538</v>
      </c>
      <c r="AQ115" s="242">
        <v>0</v>
      </c>
      <c r="AR115" s="242">
        <v>7066.1322115384637</v>
      </c>
      <c r="AS115" s="242">
        <v>0</v>
      </c>
      <c r="AT115" s="242">
        <v>2067.0399999999981</v>
      </c>
      <c r="AU115" s="242">
        <v>0</v>
      </c>
      <c r="AV115" s="242">
        <v>4397.972222222219</v>
      </c>
      <c r="AW115" s="242">
        <v>0</v>
      </c>
      <c r="AX115" s="242">
        <v>1387.8025000000066</v>
      </c>
      <c r="AY115" s="242">
        <v>0</v>
      </c>
    </row>
    <row r="116" spans="2:51">
      <c r="B116" s="232">
        <v>10378</v>
      </c>
      <c r="C116" s="232" t="s">
        <v>119</v>
      </c>
      <c r="D116" s="242">
        <v>55.500000000000213</v>
      </c>
      <c r="E116" s="242">
        <v>0</v>
      </c>
      <c r="F116" s="242">
        <v>260.87000000000018</v>
      </c>
      <c r="G116" s="242">
        <v>0</v>
      </c>
      <c r="H116" s="242">
        <v>898.67307692307713</v>
      </c>
      <c r="I116" s="242">
        <v>0</v>
      </c>
      <c r="J116" s="242">
        <v>933.625</v>
      </c>
      <c r="K116" s="242">
        <v>0</v>
      </c>
      <c r="L116" s="242">
        <v>612.28125000000011</v>
      </c>
      <c r="M116" s="242">
        <v>0</v>
      </c>
      <c r="N116" s="242">
        <v>676.47222222222229</v>
      </c>
      <c r="O116" s="242">
        <v>0</v>
      </c>
      <c r="P116" s="242">
        <v>660.93269230769261</v>
      </c>
      <c r="Q116" s="242">
        <v>0</v>
      </c>
      <c r="R116" s="242">
        <v>256.62499999999994</v>
      </c>
      <c r="S116" s="242">
        <v>0</v>
      </c>
      <c r="T116" s="242">
        <v>440.49278846153862</v>
      </c>
      <c r="U116" s="242">
        <v>0</v>
      </c>
      <c r="V116" s="242">
        <v>400.9099999999998</v>
      </c>
      <c r="W116" s="242">
        <v>0</v>
      </c>
      <c r="X116" s="242">
        <v>470.25694444444434</v>
      </c>
      <c r="Y116" s="242">
        <v>0</v>
      </c>
      <c r="Z116" s="242">
        <v>609.43999999999994</v>
      </c>
      <c r="AA116" s="242">
        <v>0</v>
      </c>
      <c r="AB116" s="242">
        <v>58.052884615384606</v>
      </c>
      <c r="AC116" s="242">
        <v>0</v>
      </c>
      <c r="AD116" s="242">
        <v>268.74249999999967</v>
      </c>
      <c r="AE116" s="242">
        <v>0</v>
      </c>
      <c r="AF116" s="242">
        <v>911.97115384615381</v>
      </c>
      <c r="AG116" s="242">
        <v>0</v>
      </c>
      <c r="AH116" s="242">
        <v>948.52249999999958</v>
      </c>
      <c r="AI116" s="242">
        <v>0</v>
      </c>
      <c r="AJ116" s="242">
        <v>716.02864583333405</v>
      </c>
      <c r="AK116" s="242">
        <v>0</v>
      </c>
      <c r="AL116" s="242">
        <v>685.87268518518522</v>
      </c>
      <c r="AM116" s="242">
        <v>0</v>
      </c>
      <c r="AN116" s="242">
        <v>591.2325000000003</v>
      </c>
      <c r="AO116" s="242">
        <v>0</v>
      </c>
      <c r="AP116" s="242">
        <v>313.05769230769226</v>
      </c>
      <c r="AQ116" s="242">
        <v>0</v>
      </c>
      <c r="AR116" s="242">
        <v>439.81009615384602</v>
      </c>
      <c r="AS116" s="242">
        <v>0</v>
      </c>
      <c r="AT116" s="242">
        <v>402.13999999999987</v>
      </c>
      <c r="AU116" s="242">
        <v>0</v>
      </c>
      <c r="AV116" s="242">
        <v>470.92592592592587</v>
      </c>
      <c r="AW116" s="242">
        <v>0</v>
      </c>
      <c r="AX116" s="242">
        <v>609.79000000000008</v>
      </c>
      <c r="AY116" s="242">
        <v>0</v>
      </c>
    </row>
    <row r="117" spans="2:51">
      <c r="B117" s="232">
        <v>10379</v>
      </c>
      <c r="C117" s="232" t="s">
        <v>120</v>
      </c>
      <c r="D117" s="242">
        <v>307.21153846153817</v>
      </c>
      <c r="E117" s="242">
        <v>0</v>
      </c>
      <c r="F117" s="242">
        <v>0</v>
      </c>
      <c r="G117" s="242">
        <v>0</v>
      </c>
      <c r="H117" s="242">
        <v>1135.1298076923085</v>
      </c>
      <c r="I117" s="242">
        <v>0</v>
      </c>
      <c r="J117" s="242">
        <v>834.31749999999977</v>
      </c>
      <c r="K117" s="242">
        <v>0</v>
      </c>
      <c r="L117" s="242">
        <v>534.09114583333394</v>
      </c>
      <c r="M117" s="242">
        <v>0</v>
      </c>
      <c r="N117" s="242">
        <v>888.17592592592609</v>
      </c>
      <c r="O117" s="242">
        <v>0</v>
      </c>
      <c r="P117" s="242">
        <v>262.04086538461536</v>
      </c>
      <c r="Q117" s="242">
        <v>0</v>
      </c>
      <c r="R117" s="242">
        <v>434.55250000000012</v>
      </c>
      <c r="S117" s="242">
        <v>0</v>
      </c>
      <c r="T117" s="242">
        <v>1226.3750000000005</v>
      </c>
      <c r="U117" s="242">
        <v>0</v>
      </c>
      <c r="V117" s="242">
        <v>927.12499999999977</v>
      </c>
      <c r="W117" s="242">
        <v>0</v>
      </c>
      <c r="X117" s="242">
        <v>1230.023148148148</v>
      </c>
      <c r="Y117" s="242">
        <v>0</v>
      </c>
      <c r="Z117" s="242">
        <v>978.83500000000049</v>
      </c>
      <c r="AA117" s="242">
        <v>0</v>
      </c>
      <c r="AB117" s="242">
        <v>318.49278846153874</v>
      </c>
      <c r="AC117" s="242">
        <v>0</v>
      </c>
      <c r="AD117" s="242">
        <v>7.6974999999990246</v>
      </c>
      <c r="AE117" s="242">
        <v>0</v>
      </c>
      <c r="AF117" s="242">
        <v>1146.0504807692321</v>
      </c>
      <c r="AG117" s="242">
        <v>0</v>
      </c>
      <c r="AH117" s="242">
        <v>845.70750000000032</v>
      </c>
      <c r="AI117" s="242">
        <v>0</v>
      </c>
      <c r="AJ117" s="242">
        <v>728.71875000000136</v>
      </c>
      <c r="AK117" s="242">
        <v>0</v>
      </c>
      <c r="AL117" s="242">
        <v>902.78009259259261</v>
      </c>
      <c r="AM117" s="242">
        <v>0</v>
      </c>
      <c r="AN117" s="242">
        <v>81.342499999999873</v>
      </c>
      <c r="AO117" s="242">
        <v>0</v>
      </c>
      <c r="AP117" s="242">
        <v>601.87019230769238</v>
      </c>
      <c r="AQ117" s="242">
        <v>0</v>
      </c>
      <c r="AR117" s="242">
        <v>1241.0889423076919</v>
      </c>
      <c r="AS117" s="242">
        <v>0</v>
      </c>
      <c r="AT117" s="242">
        <v>941.60750000000041</v>
      </c>
      <c r="AU117" s="242">
        <v>0</v>
      </c>
      <c r="AV117" s="242">
        <v>1245.4212962962963</v>
      </c>
      <c r="AW117" s="242">
        <v>0</v>
      </c>
      <c r="AX117" s="242">
        <v>991.13750000000016</v>
      </c>
      <c r="AY117" s="242">
        <v>0</v>
      </c>
    </row>
    <row r="118" spans="2:51">
      <c r="B118" s="232">
        <v>10388</v>
      </c>
      <c r="C118" s="232" t="s">
        <v>121</v>
      </c>
      <c r="D118" s="242">
        <v>0</v>
      </c>
      <c r="E118" s="242">
        <v>0</v>
      </c>
      <c r="F118" s="242">
        <v>0</v>
      </c>
      <c r="G118" s="242">
        <v>0</v>
      </c>
      <c r="H118" s="242">
        <v>0</v>
      </c>
      <c r="I118" s="242">
        <v>0</v>
      </c>
      <c r="J118" s="242">
        <v>0</v>
      </c>
      <c r="K118" s="242">
        <v>0</v>
      </c>
      <c r="L118" s="242">
        <v>0</v>
      </c>
      <c r="M118" s="242">
        <v>0</v>
      </c>
      <c r="N118" s="242">
        <v>0</v>
      </c>
      <c r="O118" s="242">
        <v>0</v>
      </c>
      <c r="P118" s="242">
        <v>0</v>
      </c>
      <c r="Q118" s="242">
        <v>0</v>
      </c>
      <c r="R118" s="242">
        <v>0</v>
      </c>
      <c r="S118" s="242">
        <v>0</v>
      </c>
      <c r="T118" s="242">
        <v>0</v>
      </c>
      <c r="U118" s="242">
        <v>0</v>
      </c>
      <c r="V118" s="242">
        <v>0</v>
      </c>
      <c r="W118" s="242">
        <v>0</v>
      </c>
      <c r="X118" s="242">
        <v>0</v>
      </c>
      <c r="Y118" s="242">
        <v>0</v>
      </c>
      <c r="Z118" s="242">
        <v>0</v>
      </c>
      <c r="AA118" s="242">
        <v>0</v>
      </c>
      <c r="AB118" s="242">
        <v>47541.745192307797</v>
      </c>
      <c r="AC118" s="242">
        <v>0</v>
      </c>
      <c r="AD118" s="242">
        <v>7440.890000000124</v>
      </c>
      <c r="AE118" s="242">
        <v>0</v>
      </c>
      <c r="AF118" s="242">
        <v>0</v>
      </c>
      <c r="AG118" s="242">
        <v>0</v>
      </c>
      <c r="AH118" s="242">
        <v>0</v>
      </c>
      <c r="AI118" s="242">
        <v>0</v>
      </c>
      <c r="AJ118" s="242">
        <v>0</v>
      </c>
      <c r="AK118" s="242">
        <v>0</v>
      </c>
      <c r="AL118" s="242">
        <v>0</v>
      </c>
      <c r="AM118" s="242">
        <v>0</v>
      </c>
      <c r="AN118" s="242">
        <v>27836.625000000047</v>
      </c>
      <c r="AO118" s="242">
        <v>0</v>
      </c>
      <c r="AP118" s="242">
        <v>16307.644230769363</v>
      </c>
      <c r="AQ118" s="242">
        <v>0</v>
      </c>
      <c r="AR118" s="242">
        <v>647.06009615392725</v>
      </c>
      <c r="AS118" s="242">
        <v>0</v>
      </c>
      <c r="AT118" s="242">
        <v>65500.967500000115</v>
      </c>
      <c r="AU118" s="242">
        <v>0</v>
      </c>
      <c r="AV118" s="242">
        <v>0</v>
      </c>
      <c r="AW118" s="242">
        <v>0</v>
      </c>
      <c r="AX118" s="242">
        <v>0</v>
      </c>
      <c r="AY118" s="242">
        <v>0</v>
      </c>
    </row>
    <row r="119" spans="2:51">
      <c r="B119" s="232">
        <v>10391</v>
      </c>
      <c r="C119" s="232" t="s">
        <v>122</v>
      </c>
      <c r="D119" s="242">
        <v>1603.9447115384612</v>
      </c>
      <c r="E119" s="242">
        <v>0</v>
      </c>
      <c r="F119" s="242">
        <v>3683.7700000000009</v>
      </c>
      <c r="G119" s="242">
        <v>0</v>
      </c>
      <c r="H119" s="242">
        <v>7489.5216346153875</v>
      </c>
      <c r="I119" s="242">
        <v>0</v>
      </c>
      <c r="J119" s="242">
        <v>5182.869999999999</v>
      </c>
      <c r="K119" s="242">
        <v>0</v>
      </c>
      <c r="L119" s="242">
        <v>1003.8489583333305</v>
      </c>
      <c r="M119" s="242">
        <v>0</v>
      </c>
      <c r="N119" s="242">
        <v>2926.4884259259284</v>
      </c>
      <c r="O119" s="242">
        <v>0</v>
      </c>
      <c r="P119" s="242">
        <v>1785.0817307692264</v>
      </c>
      <c r="Q119" s="242">
        <v>0</v>
      </c>
      <c r="R119" s="242">
        <v>3398.9475000000066</v>
      </c>
      <c r="S119" s="242">
        <v>0</v>
      </c>
      <c r="T119" s="242">
        <v>4179.6033653846152</v>
      </c>
      <c r="U119" s="242">
        <v>0</v>
      </c>
      <c r="V119" s="242">
        <v>8933.119999999999</v>
      </c>
      <c r="W119" s="242">
        <v>0</v>
      </c>
      <c r="X119" s="242">
        <v>8647.1504629629635</v>
      </c>
      <c r="Y119" s="242">
        <v>0</v>
      </c>
      <c r="Z119" s="242">
        <v>1381.9049999999997</v>
      </c>
      <c r="AA119" s="242">
        <v>0</v>
      </c>
      <c r="AB119" s="242">
        <v>1831.1418269230737</v>
      </c>
      <c r="AC119" s="242">
        <v>0</v>
      </c>
      <c r="AD119" s="242">
        <v>3921.6999999999994</v>
      </c>
      <c r="AE119" s="242">
        <v>0</v>
      </c>
      <c r="AF119" s="242">
        <v>7746.4495192307668</v>
      </c>
      <c r="AG119" s="242">
        <v>0</v>
      </c>
      <c r="AH119" s="242">
        <v>5420.7199999999939</v>
      </c>
      <c r="AI119" s="242">
        <v>0</v>
      </c>
      <c r="AJ119" s="242">
        <v>1841.125</v>
      </c>
      <c r="AK119" s="242">
        <v>0</v>
      </c>
      <c r="AL119" s="242">
        <v>3185.0671296296332</v>
      </c>
      <c r="AM119" s="242">
        <v>0</v>
      </c>
      <c r="AN119" s="242">
        <v>606.1499999999977</v>
      </c>
      <c r="AO119" s="242">
        <v>0</v>
      </c>
      <c r="AP119" s="242">
        <v>5276.8437499999982</v>
      </c>
      <c r="AQ119" s="242">
        <v>0</v>
      </c>
      <c r="AR119" s="242">
        <v>4408.6899038461524</v>
      </c>
      <c r="AS119" s="242">
        <v>0</v>
      </c>
      <c r="AT119" s="242">
        <v>9163.4900000000071</v>
      </c>
      <c r="AU119" s="242">
        <v>0</v>
      </c>
      <c r="AV119" s="242">
        <v>8890.1666666666679</v>
      </c>
      <c r="AW119" s="242">
        <v>0</v>
      </c>
      <c r="AX119" s="242">
        <v>1605.5324999999989</v>
      </c>
      <c r="AY119" s="242">
        <v>0</v>
      </c>
    </row>
    <row r="120" spans="2:51">
      <c r="B120" s="232">
        <v>10406</v>
      </c>
      <c r="C120" s="232" t="s">
        <v>123</v>
      </c>
      <c r="D120" s="242">
        <v>73.850961538461576</v>
      </c>
      <c r="E120" s="242">
        <v>0</v>
      </c>
      <c r="F120" s="242">
        <v>154.96249999999984</v>
      </c>
      <c r="G120" s="242">
        <v>0</v>
      </c>
      <c r="H120" s="242">
        <v>0</v>
      </c>
      <c r="I120" s="242">
        <v>0</v>
      </c>
      <c r="J120" s="242">
        <v>217.09250000000011</v>
      </c>
      <c r="K120" s="242">
        <v>0</v>
      </c>
      <c r="L120" s="242">
        <v>40.39843750000005</v>
      </c>
      <c r="M120" s="242">
        <v>0</v>
      </c>
      <c r="N120" s="242">
        <v>235.53472222222211</v>
      </c>
      <c r="O120" s="242">
        <v>0</v>
      </c>
      <c r="P120" s="242">
        <v>152.02884615384622</v>
      </c>
      <c r="Q120" s="242">
        <v>0</v>
      </c>
      <c r="R120" s="242">
        <v>31.572500000000005</v>
      </c>
      <c r="S120" s="242">
        <v>0</v>
      </c>
      <c r="T120" s="242">
        <v>72.468750000000028</v>
      </c>
      <c r="U120" s="242">
        <v>0</v>
      </c>
      <c r="V120" s="242">
        <v>0</v>
      </c>
      <c r="W120" s="242">
        <v>0</v>
      </c>
      <c r="X120" s="242">
        <v>0</v>
      </c>
      <c r="Y120" s="242">
        <v>0</v>
      </c>
      <c r="Z120" s="242">
        <v>55.024999999999991</v>
      </c>
      <c r="AA120" s="242">
        <v>0</v>
      </c>
      <c r="AB120" s="242">
        <v>44.132211538461554</v>
      </c>
      <c r="AC120" s="242">
        <v>0</v>
      </c>
      <c r="AD120" s="242">
        <v>148.87250000000003</v>
      </c>
      <c r="AE120" s="242">
        <v>0</v>
      </c>
      <c r="AF120" s="242">
        <v>0</v>
      </c>
      <c r="AG120" s="242">
        <v>0</v>
      </c>
      <c r="AH120" s="242">
        <v>209.755</v>
      </c>
      <c r="AI120" s="242">
        <v>0</v>
      </c>
      <c r="AJ120" s="242">
        <v>71.752604166666629</v>
      </c>
      <c r="AK120" s="242">
        <v>0</v>
      </c>
      <c r="AL120" s="242">
        <v>229.72453703703704</v>
      </c>
      <c r="AM120" s="242">
        <v>0</v>
      </c>
      <c r="AN120" s="242">
        <v>122.14249999999998</v>
      </c>
      <c r="AO120" s="242">
        <v>0</v>
      </c>
      <c r="AP120" s="242">
        <v>48.461538461538446</v>
      </c>
      <c r="AQ120" s="242">
        <v>0</v>
      </c>
      <c r="AR120" s="242">
        <v>75.343750000000043</v>
      </c>
      <c r="AS120" s="242">
        <v>0</v>
      </c>
      <c r="AT120" s="242">
        <v>0</v>
      </c>
      <c r="AU120" s="242">
        <v>0</v>
      </c>
      <c r="AV120" s="242">
        <v>0</v>
      </c>
      <c r="AW120" s="242">
        <v>0</v>
      </c>
      <c r="AX120" s="242">
        <v>37.622500000000059</v>
      </c>
      <c r="AY120" s="242">
        <v>0</v>
      </c>
    </row>
    <row r="121" spans="2:51">
      <c r="B121" s="232">
        <v>10408</v>
      </c>
      <c r="C121" s="232" t="s">
        <v>124</v>
      </c>
      <c r="D121" s="242">
        <v>136.34855769230765</v>
      </c>
      <c r="E121" s="242">
        <v>0</v>
      </c>
      <c r="F121" s="242">
        <v>206.36749999999981</v>
      </c>
      <c r="G121" s="242">
        <v>0</v>
      </c>
      <c r="H121" s="242">
        <v>318.62740384615387</v>
      </c>
      <c r="I121" s="242">
        <v>0</v>
      </c>
      <c r="J121" s="242">
        <v>88.697500000000076</v>
      </c>
      <c r="K121" s="242">
        <v>0</v>
      </c>
      <c r="L121" s="242">
        <v>218.36979166666643</v>
      </c>
      <c r="M121" s="242">
        <v>0</v>
      </c>
      <c r="N121" s="242">
        <v>395.0625</v>
      </c>
      <c r="O121" s="242">
        <v>0</v>
      </c>
      <c r="P121" s="242">
        <v>185.19711538461559</v>
      </c>
      <c r="Q121" s="242">
        <v>0</v>
      </c>
      <c r="R121" s="242">
        <v>135.80500000000006</v>
      </c>
      <c r="S121" s="242">
        <v>0</v>
      </c>
      <c r="T121" s="242">
        <v>349.18028846153851</v>
      </c>
      <c r="U121" s="242">
        <v>0</v>
      </c>
      <c r="V121" s="242">
        <v>131.91250000000016</v>
      </c>
      <c r="W121" s="242">
        <v>0</v>
      </c>
      <c r="X121" s="242">
        <v>267.18749999999994</v>
      </c>
      <c r="Y121" s="242">
        <v>0</v>
      </c>
      <c r="Z121" s="242">
        <v>198.24749999999992</v>
      </c>
      <c r="AA121" s="242">
        <v>0</v>
      </c>
      <c r="AB121" s="242">
        <v>50.153846153846295</v>
      </c>
      <c r="AC121" s="242">
        <v>0</v>
      </c>
      <c r="AD121" s="242">
        <v>206.36749999999981</v>
      </c>
      <c r="AE121" s="242">
        <v>0</v>
      </c>
      <c r="AF121" s="242">
        <v>318.62740384615387</v>
      </c>
      <c r="AG121" s="242">
        <v>0</v>
      </c>
      <c r="AH121" s="242">
        <v>88.697500000000076</v>
      </c>
      <c r="AI121" s="242">
        <v>0</v>
      </c>
      <c r="AJ121" s="242">
        <v>296.609375</v>
      </c>
      <c r="AK121" s="242">
        <v>0</v>
      </c>
      <c r="AL121" s="242">
        <v>395.0625</v>
      </c>
      <c r="AM121" s="242">
        <v>0</v>
      </c>
      <c r="AN121" s="242">
        <v>117.84500000000007</v>
      </c>
      <c r="AO121" s="242">
        <v>0</v>
      </c>
      <c r="AP121" s="242">
        <v>196.54326923076925</v>
      </c>
      <c r="AQ121" s="242">
        <v>0</v>
      </c>
      <c r="AR121" s="242">
        <v>349.18028846153851</v>
      </c>
      <c r="AS121" s="242">
        <v>0</v>
      </c>
      <c r="AT121" s="242">
        <v>131.91250000000016</v>
      </c>
      <c r="AU121" s="242">
        <v>0</v>
      </c>
      <c r="AV121" s="242">
        <v>337.33796296296299</v>
      </c>
      <c r="AW121" s="242">
        <v>0</v>
      </c>
      <c r="AX121" s="242">
        <v>148.73249999999993</v>
      </c>
      <c r="AY121" s="242">
        <v>0</v>
      </c>
    </row>
    <row r="122" spans="2:51">
      <c r="B122" s="232">
        <v>10409</v>
      </c>
      <c r="C122" s="232" t="s">
        <v>125</v>
      </c>
      <c r="D122" s="242">
        <v>5697.060096153843</v>
      </c>
      <c r="E122" s="242">
        <v>0</v>
      </c>
      <c r="F122" s="242">
        <v>4801.3150000000087</v>
      </c>
      <c r="G122" s="242">
        <v>0</v>
      </c>
      <c r="H122" s="242">
        <v>7232.5937500000027</v>
      </c>
      <c r="I122" s="242">
        <v>0</v>
      </c>
      <c r="J122" s="242">
        <v>5873.2725000000028</v>
      </c>
      <c r="K122" s="242">
        <v>0</v>
      </c>
      <c r="L122" s="242">
        <v>5346.7604166666652</v>
      </c>
      <c r="M122" s="242">
        <v>0</v>
      </c>
      <c r="N122" s="242">
        <v>7445.5532407407381</v>
      </c>
      <c r="O122" s="242">
        <v>0</v>
      </c>
      <c r="P122" s="242">
        <v>5670.4687500000009</v>
      </c>
      <c r="Q122" s="242">
        <v>0</v>
      </c>
      <c r="R122" s="242">
        <v>4571.862500000002</v>
      </c>
      <c r="S122" s="242">
        <v>0</v>
      </c>
      <c r="T122" s="242">
        <v>7642.3605769230726</v>
      </c>
      <c r="U122" s="242">
        <v>0</v>
      </c>
      <c r="V122" s="242">
        <v>5174.7225000000017</v>
      </c>
      <c r="W122" s="242">
        <v>0</v>
      </c>
      <c r="X122" s="242">
        <v>6779.2037037037035</v>
      </c>
      <c r="Y122" s="242">
        <v>0</v>
      </c>
      <c r="Z122" s="242">
        <v>6370.1774999999989</v>
      </c>
      <c r="AA122" s="242">
        <v>0</v>
      </c>
      <c r="AB122" s="242">
        <v>4993.2235576923085</v>
      </c>
      <c r="AC122" s="242">
        <v>0</v>
      </c>
      <c r="AD122" s="242">
        <v>4801.3150000000087</v>
      </c>
      <c r="AE122" s="242">
        <v>0</v>
      </c>
      <c r="AF122" s="242">
        <v>7232.5937500000027</v>
      </c>
      <c r="AG122" s="242">
        <v>0</v>
      </c>
      <c r="AH122" s="242">
        <v>5873.2725000000028</v>
      </c>
      <c r="AI122" s="242">
        <v>0</v>
      </c>
      <c r="AJ122" s="242">
        <v>7376.4114583333294</v>
      </c>
      <c r="AK122" s="242">
        <v>0</v>
      </c>
      <c r="AL122" s="242">
        <v>7445.5532407407381</v>
      </c>
      <c r="AM122" s="242">
        <v>0</v>
      </c>
      <c r="AN122" s="242">
        <v>4569.5274999999992</v>
      </c>
      <c r="AO122" s="242">
        <v>0</v>
      </c>
      <c r="AP122" s="242">
        <v>5587.1370192307704</v>
      </c>
      <c r="AQ122" s="242">
        <v>0</v>
      </c>
      <c r="AR122" s="242">
        <v>7642.3605769230726</v>
      </c>
      <c r="AS122" s="242">
        <v>0</v>
      </c>
      <c r="AT122" s="242">
        <v>5174.7225000000017</v>
      </c>
      <c r="AU122" s="242">
        <v>0</v>
      </c>
      <c r="AV122" s="242">
        <v>7400.3773148148139</v>
      </c>
      <c r="AW122" s="242">
        <v>0</v>
      </c>
      <c r="AX122" s="242">
        <v>5714.1900000000005</v>
      </c>
      <c r="AY122" s="242">
        <v>0</v>
      </c>
    </row>
    <row r="123" spans="2:51">
      <c r="B123" s="232">
        <v>10426</v>
      </c>
      <c r="C123" s="232" t="s">
        <v>126</v>
      </c>
      <c r="D123" s="242">
        <v>4255.0504807692287</v>
      </c>
      <c r="E123" s="242">
        <v>0</v>
      </c>
      <c r="F123" s="242">
        <v>2980.2274999999991</v>
      </c>
      <c r="G123" s="242">
        <v>0</v>
      </c>
      <c r="H123" s="242">
        <v>6485.3798076923113</v>
      </c>
      <c r="I123" s="242">
        <v>0</v>
      </c>
      <c r="J123" s="242">
        <v>4349.5175000000017</v>
      </c>
      <c r="K123" s="242">
        <v>0</v>
      </c>
      <c r="L123" s="242">
        <v>1601.8697916666706</v>
      </c>
      <c r="M123" s="242">
        <v>0</v>
      </c>
      <c r="N123" s="242">
        <v>8397.3703703703723</v>
      </c>
      <c r="O123" s="242">
        <v>0</v>
      </c>
      <c r="P123" s="242">
        <v>6976.9182692307722</v>
      </c>
      <c r="Q123" s="242">
        <v>0</v>
      </c>
      <c r="R123" s="242">
        <v>3158.4675000000043</v>
      </c>
      <c r="S123" s="242">
        <v>0</v>
      </c>
      <c r="T123" s="242">
        <v>3669.4062499999977</v>
      </c>
      <c r="U123" s="242">
        <v>0</v>
      </c>
      <c r="V123" s="242">
        <v>3076.1624999999999</v>
      </c>
      <c r="W123" s="242">
        <v>0</v>
      </c>
      <c r="X123" s="242">
        <v>5302.6481481481514</v>
      </c>
      <c r="Y123" s="242">
        <v>0</v>
      </c>
      <c r="Z123" s="242">
        <v>4225.5225000000019</v>
      </c>
      <c r="AA123" s="242">
        <v>0</v>
      </c>
      <c r="AB123" s="242">
        <v>4482.8942307692341</v>
      </c>
      <c r="AC123" s="242">
        <v>0</v>
      </c>
      <c r="AD123" s="242">
        <v>3244.4350000000036</v>
      </c>
      <c r="AE123" s="242">
        <v>0</v>
      </c>
      <c r="AF123" s="242">
        <v>7070.9999999999909</v>
      </c>
      <c r="AG123" s="242">
        <v>0</v>
      </c>
      <c r="AH123" s="242">
        <v>4532.2399999999989</v>
      </c>
      <c r="AI123" s="242">
        <v>0</v>
      </c>
      <c r="AJ123" s="242">
        <v>2214.1406250000041</v>
      </c>
      <c r="AK123" s="242">
        <v>0</v>
      </c>
      <c r="AL123" s="242">
        <v>9042.9282407407409</v>
      </c>
      <c r="AM123" s="242">
        <v>0</v>
      </c>
      <c r="AN123" s="242">
        <v>6017.0349999999962</v>
      </c>
      <c r="AO123" s="242">
        <v>0</v>
      </c>
      <c r="AP123" s="242">
        <v>4622.1346153846098</v>
      </c>
      <c r="AQ123" s="242">
        <v>0</v>
      </c>
      <c r="AR123" s="242">
        <v>3736.507211538466</v>
      </c>
      <c r="AS123" s="242">
        <v>0</v>
      </c>
      <c r="AT123" s="242">
        <v>2973.4899999999957</v>
      </c>
      <c r="AU123" s="242">
        <v>0</v>
      </c>
      <c r="AV123" s="242">
        <v>5425.6527777777774</v>
      </c>
      <c r="AW123" s="242">
        <v>0</v>
      </c>
      <c r="AX123" s="242">
        <v>4393.3425000000007</v>
      </c>
      <c r="AY123" s="242">
        <v>0</v>
      </c>
    </row>
    <row r="124" spans="2:51">
      <c r="B124" s="232">
        <v>10434</v>
      </c>
      <c r="C124" s="232" t="s">
        <v>127</v>
      </c>
      <c r="D124" s="242">
        <v>0</v>
      </c>
      <c r="E124" s="242">
        <v>0</v>
      </c>
      <c r="F124" s="242">
        <v>623.11749999999756</v>
      </c>
      <c r="G124" s="242">
        <v>0</v>
      </c>
      <c r="H124" s="242">
        <v>3288.6947115384596</v>
      </c>
      <c r="I124" s="242">
        <v>0</v>
      </c>
      <c r="J124" s="242">
        <v>7627.0225000000028</v>
      </c>
      <c r="K124" s="242">
        <v>0</v>
      </c>
      <c r="L124" s="242">
        <v>0</v>
      </c>
      <c r="M124" s="242">
        <v>0</v>
      </c>
      <c r="N124" s="242">
        <v>1722.2824074074135</v>
      </c>
      <c r="O124" s="242">
        <v>0</v>
      </c>
      <c r="P124" s="242">
        <v>3568.9158653846162</v>
      </c>
      <c r="Q124" s="242">
        <v>0</v>
      </c>
      <c r="R124" s="242">
        <v>4777.2325000000028</v>
      </c>
      <c r="S124" s="242">
        <v>0</v>
      </c>
      <c r="T124" s="242">
        <v>8579.0264423076933</v>
      </c>
      <c r="U124" s="242">
        <v>0</v>
      </c>
      <c r="V124" s="242">
        <v>8220.5050000000028</v>
      </c>
      <c r="W124" s="242">
        <v>0</v>
      </c>
      <c r="X124" s="242">
        <v>13942.659722222223</v>
      </c>
      <c r="Y124" s="242">
        <v>0</v>
      </c>
      <c r="Z124" s="242">
        <v>8075.4950000000035</v>
      </c>
      <c r="AA124" s="242">
        <v>0</v>
      </c>
      <c r="AB124" s="242">
        <v>0</v>
      </c>
      <c r="AC124" s="242">
        <v>0</v>
      </c>
      <c r="AD124" s="242">
        <v>711.23250000000303</v>
      </c>
      <c r="AE124" s="242">
        <v>0</v>
      </c>
      <c r="AF124" s="242">
        <v>3367.7163461538394</v>
      </c>
      <c r="AG124" s="242">
        <v>0</v>
      </c>
      <c r="AH124" s="242">
        <v>7761.2049999999972</v>
      </c>
      <c r="AI124" s="242">
        <v>0</v>
      </c>
      <c r="AJ124" s="242">
        <v>1080.169270833336</v>
      </c>
      <c r="AK124" s="242">
        <v>0</v>
      </c>
      <c r="AL124" s="242">
        <v>1799.1782407407416</v>
      </c>
      <c r="AM124" s="242">
        <v>0</v>
      </c>
      <c r="AN124" s="242">
        <v>2588.097499999998</v>
      </c>
      <c r="AO124" s="242">
        <v>0</v>
      </c>
      <c r="AP124" s="242">
        <v>5844.7091346153848</v>
      </c>
      <c r="AQ124" s="242">
        <v>0</v>
      </c>
      <c r="AR124" s="242">
        <v>8751.0264423076896</v>
      </c>
      <c r="AS124" s="242">
        <v>0</v>
      </c>
      <c r="AT124" s="242">
        <v>8220.5050000000028</v>
      </c>
      <c r="AU124" s="242">
        <v>0</v>
      </c>
      <c r="AV124" s="242">
        <v>13942.659722222223</v>
      </c>
      <c r="AW124" s="242">
        <v>0</v>
      </c>
      <c r="AX124" s="242">
        <v>8075.4950000000035</v>
      </c>
      <c r="AY124" s="242">
        <v>0</v>
      </c>
    </row>
    <row r="125" spans="2:51">
      <c r="B125" s="232">
        <v>10436</v>
      </c>
      <c r="C125" s="232" t="s">
        <v>128</v>
      </c>
      <c r="D125" s="242">
        <v>2420.5913461538462</v>
      </c>
      <c r="E125" s="242">
        <v>0</v>
      </c>
      <c r="F125" s="242">
        <v>450.71749999999878</v>
      </c>
      <c r="G125" s="242">
        <v>0</v>
      </c>
      <c r="H125" s="242">
        <v>208.34134615384858</v>
      </c>
      <c r="I125" s="242">
        <v>0</v>
      </c>
      <c r="J125" s="242">
        <v>707.4950000000033</v>
      </c>
      <c r="K125" s="242">
        <v>0</v>
      </c>
      <c r="L125" s="242">
        <v>17.028645833335077</v>
      </c>
      <c r="M125" s="242">
        <v>0</v>
      </c>
      <c r="N125" s="242">
        <v>1932.6967592592573</v>
      </c>
      <c r="O125" s="242">
        <v>0</v>
      </c>
      <c r="P125" s="242">
        <v>3400.1442307692314</v>
      </c>
      <c r="Q125" s="242">
        <v>0</v>
      </c>
      <c r="R125" s="242">
        <v>2752.5525000000039</v>
      </c>
      <c r="S125" s="242">
        <v>0</v>
      </c>
      <c r="T125" s="242">
        <v>3823.786057692314</v>
      </c>
      <c r="U125" s="242">
        <v>0</v>
      </c>
      <c r="V125" s="242">
        <v>1541.657500000008</v>
      </c>
      <c r="W125" s="242">
        <v>0</v>
      </c>
      <c r="X125" s="242">
        <v>4781.3958333333294</v>
      </c>
      <c r="Y125" s="242">
        <v>0</v>
      </c>
      <c r="Z125" s="242">
        <v>5559.8425000000034</v>
      </c>
      <c r="AA125" s="242">
        <v>0</v>
      </c>
      <c r="AB125" s="242">
        <v>2484.7451923076928</v>
      </c>
      <c r="AC125" s="242">
        <v>0</v>
      </c>
      <c r="AD125" s="242">
        <v>511.28750000000076</v>
      </c>
      <c r="AE125" s="242">
        <v>0</v>
      </c>
      <c r="AF125" s="242">
        <v>267.78365384614932</v>
      </c>
      <c r="AG125" s="242">
        <v>0</v>
      </c>
      <c r="AH125" s="242">
        <v>762.16999999999575</v>
      </c>
      <c r="AI125" s="242">
        <v>0</v>
      </c>
      <c r="AJ125" s="242">
        <v>754.83333333333394</v>
      </c>
      <c r="AK125" s="242">
        <v>0</v>
      </c>
      <c r="AL125" s="242">
        <v>2002.0648148148146</v>
      </c>
      <c r="AM125" s="242">
        <v>0</v>
      </c>
      <c r="AN125" s="242">
        <v>2678.7099999999978</v>
      </c>
      <c r="AO125" s="242">
        <v>0</v>
      </c>
      <c r="AP125" s="242">
        <v>3886.6274038461588</v>
      </c>
      <c r="AQ125" s="242">
        <v>0</v>
      </c>
      <c r="AR125" s="242">
        <v>3910.3028846153879</v>
      </c>
      <c r="AS125" s="242">
        <v>0</v>
      </c>
      <c r="AT125" s="242">
        <v>1592.4750000000017</v>
      </c>
      <c r="AU125" s="242">
        <v>0</v>
      </c>
      <c r="AV125" s="242">
        <v>4872.7361111111113</v>
      </c>
      <c r="AW125" s="242">
        <v>0</v>
      </c>
      <c r="AX125" s="242">
        <v>5661.2175000000016</v>
      </c>
      <c r="AY125" s="242">
        <v>0</v>
      </c>
    </row>
    <row r="126" spans="2:51">
      <c r="B126" s="232">
        <v>10440</v>
      </c>
      <c r="C126" s="232" t="s">
        <v>129</v>
      </c>
      <c r="D126" s="242">
        <v>0</v>
      </c>
      <c r="E126" s="242">
        <v>0</v>
      </c>
      <c r="F126" s="242">
        <v>0</v>
      </c>
      <c r="G126" s="242">
        <v>0</v>
      </c>
      <c r="H126" s="242">
        <v>510.46634615384522</v>
      </c>
      <c r="I126" s="242">
        <v>0</v>
      </c>
      <c r="J126" s="242">
        <v>0</v>
      </c>
      <c r="K126" s="242">
        <v>0</v>
      </c>
      <c r="L126" s="242">
        <v>258.70312499999983</v>
      </c>
      <c r="M126" s="242">
        <v>0</v>
      </c>
      <c r="N126" s="242">
        <v>2121.2129629629621</v>
      </c>
      <c r="O126" s="242">
        <v>0</v>
      </c>
      <c r="P126" s="242">
        <v>276.77163461538345</v>
      </c>
      <c r="Q126" s="242">
        <v>0</v>
      </c>
      <c r="R126" s="242">
        <v>0</v>
      </c>
      <c r="S126" s="242">
        <v>0</v>
      </c>
      <c r="T126" s="242">
        <v>196.7524038461539</v>
      </c>
      <c r="U126" s="242">
        <v>0</v>
      </c>
      <c r="V126" s="242">
        <v>163.09999999999991</v>
      </c>
      <c r="W126" s="242">
        <v>0</v>
      </c>
      <c r="X126" s="242">
        <v>544.65509259259261</v>
      </c>
      <c r="Y126" s="242">
        <v>0</v>
      </c>
      <c r="Z126" s="242">
        <v>217.86499999999998</v>
      </c>
      <c r="AA126" s="242">
        <v>0</v>
      </c>
      <c r="AB126" s="242">
        <v>0</v>
      </c>
      <c r="AC126" s="242">
        <v>0</v>
      </c>
      <c r="AD126" s="242">
        <v>0</v>
      </c>
      <c r="AE126" s="242">
        <v>0</v>
      </c>
      <c r="AF126" s="242">
        <v>478.43509615384505</v>
      </c>
      <c r="AG126" s="242">
        <v>0</v>
      </c>
      <c r="AH126" s="242">
        <v>0</v>
      </c>
      <c r="AI126" s="242">
        <v>0</v>
      </c>
      <c r="AJ126" s="242">
        <v>545.40104166666708</v>
      </c>
      <c r="AK126" s="242">
        <v>0</v>
      </c>
      <c r="AL126" s="242">
        <v>2097.0092592592587</v>
      </c>
      <c r="AM126" s="242">
        <v>0</v>
      </c>
      <c r="AN126" s="242">
        <v>19.909999999999428</v>
      </c>
      <c r="AO126" s="242">
        <v>0</v>
      </c>
      <c r="AP126" s="242">
        <v>0</v>
      </c>
      <c r="AQ126" s="242">
        <v>0</v>
      </c>
      <c r="AR126" s="242">
        <v>211.52403846153823</v>
      </c>
      <c r="AS126" s="242">
        <v>0</v>
      </c>
      <c r="AT126" s="242">
        <v>175.50500000000014</v>
      </c>
      <c r="AU126" s="242">
        <v>0</v>
      </c>
      <c r="AV126" s="242">
        <v>704.08564814814747</v>
      </c>
      <c r="AW126" s="242">
        <v>0</v>
      </c>
      <c r="AX126" s="242">
        <v>74.235000000000056</v>
      </c>
      <c r="AY126" s="242">
        <v>0</v>
      </c>
    </row>
    <row r="127" spans="2:51">
      <c r="B127" s="232">
        <v>10442</v>
      </c>
      <c r="C127" s="232" t="s">
        <v>130</v>
      </c>
      <c r="D127" s="242">
        <v>2790.4471153846162</v>
      </c>
      <c r="E127" s="242">
        <v>0</v>
      </c>
      <c r="F127" s="242">
        <v>2993.6050000000023</v>
      </c>
      <c r="G127" s="242">
        <v>0</v>
      </c>
      <c r="H127" s="242">
        <v>4717.2908653846171</v>
      </c>
      <c r="I127" s="242">
        <v>0</v>
      </c>
      <c r="J127" s="242">
        <v>2930.0575000000013</v>
      </c>
      <c r="K127" s="242">
        <v>0</v>
      </c>
      <c r="L127" s="242">
        <v>3365.5885416666642</v>
      </c>
      <c r="M127" s="242">
        <v>0</v>
      </c>
      <c r="N127" s="242">
        <v>3938.6481481481469</v>
      </c>
      <c r="O127" s="242">
        <v>0</v>
      </c>
      <c r="P127" s="242">
        <v>1394.0264423076947</v>
      </c>
      <c r="Q127" s="242">
        <v>0</v>
      </c>
      <c r="R127" s="242">
        <v>982.73999999999842</v>
      </c>
      <c r="S127" s="242">
        <v>0</v>
      </c>
      <c r="T127" s="242">
        <v>3833.0144230769233</v>
      </c>
      <c r="U127" s="242">
        <v>0</v>
      </c>
      <c r="V127" s="242">
        <v>1694.3725000000004</v>
      </c>
      <c r="W127" s="242">
        <v>0</v>
      </c>
      <c r="X127" s="242">
        <v>2892.497685185187</v>
      </c>
      <c r="Y127" s="242">
        <v>0</v>
      </c>
      <c r="Z127" s="242">
        <v>3062.5625</v>
      </c>
      <c r="AA127" s="242">
        <v>0</v>
      </c>
      <c r="AB127" s="242">
        <v>2414.1850961538439</v>
      </c>
      <c r="AC127" s="242">
        <v>0</v>
      </c>
      <c r="AD127" s="242">
        <v>3028.5175000000013</v>
      </c>
      <c r="AE127" s="242">
        <v>0</v>
      </c>
      <c r="AF127" s="242">
        <v>4693.8605769230762</v>
      </c>
      <c r="AG127" s="242">
        <v>0</v>
      </c>
      <c r="AH127" s="242">
        <v>2912.9325000000013</v>
      </c>
      <c r="AI127" s="242">
        <v>0</v>
      </c>
      <c r="AJ127" s="242">
        <v>4751.6874999999991</v>
      </c>
      <c r="AK127" s="242">
        <v>0</v>
      </c>
      <c r="AL127" s="242">
        <v>3959.0925925925935</v>
      </c>
      <c r="AM127" s="242">
        <v>0</v>
      </c>
      <c r="AN127" s="242">
        <v>961.26999999999896</v>
      </c>
      <c r="AO127" s="242">
        <v>0</v>
      </c>
      <c r="AP127" s="242">
        <v>1485.8629807692307</v>
      </c>
      <c r="AQ127" s="242">
        <v>0</v>
      </c>
      <c r="AR127" s="242">
        <v>3848.3942307692305</v>
      </c>
      <c r="AS127" s="242">
        <v>0</v>
      </c>
      <c r="AT127" s="242">
        <v>1709.52</v>
      </c>
      <c r="AU127" s="242">
        <v>0</v>
      </c>
      <c r="AV127" s="242">
        <v>3471.5162037037053</v>
      </c>
      <c r="AW127" s="242">
        <v>0</v>
      </c>
      <c r="AX127" s="242">
        <v>2581.1550000000002</v>
      </c>
      <c r="AY127" s="242">
        <v>0</v>
      </c>
    </row>
    <row r="128" spans="2:51">
      <c r="B128" s="232">
        <v>10446</v>
      </c>
      <c r="C128" s="232" t="s">
        <v>131</v>
      </c>
      <c r="D128" s="242">
        <v>3411.0552884615427</v>
      </c>
      <c r="E128" s="242">
        <v>0</v>
      </c>
      <c r="F128" s="242">
        <v>4419.6549999999988</v>
      </c>
      <c r="G128" s="242">
        <v>0</v>
      </c>
      <c r="H128" s="242">
        <v>11580.48798076924</v>
      </c>
      <c r="I128" s="242">
        <v>0</v>
      </c>
      <c r="J128" s="242">
        <v>5530.1425000000108</v>
      </c>
      <c r="K128" s="242">
        <v>0</v>
      </c>
      <c r="L128" s="242">
        <v>4885.1640625000146</v>
      </c>
      <c r="M128" s="242">
        <v>0</v>
      </c>
      <c r="N128" s="242">
        <v>15517.099537037042</v>
      </c>
      <c r="O128" s="242">
        <v>0</v>
      </c>
      <c r="P128" s="242">
        <v>8529.2451923076896</v>
      </c>
      <c r="Q128" s="242">
        <v>0</v>
      </c>
      <c r="R128" s="242">
        <v>0</v>
      </c>
      <c r="S128" s="242">
        <v>0</v>
      </c>
      <c r="T128" s="242">
        <v>4881.7836538461534</v>
      </c>
      <c r="U128" s="242">
        <v>0</v>
      </c>
      <c r="V128" s="242">
        <v>12762.897500000008</v>
      </c>
      <c r="W128" s="242">
        <v>0</v>
      </c>
      <c r="X128" s="242">
        <v>8404.6018518518358</v>
      </c>
      <c r="Y128" s="242">
        <v>0</v>
      </c>
      <c r="Z128" s="242">
        <v>7168.4774999999918</v>
      </c>
      <c r="AA128" s="242">
        <v>0</v>
      </c>
      <c r="AB128" s="242">
        <v>345.65865384614636</v>
      </c>
      <c r="AC128" s="242">
        <v>0</v>
      </c>
      <c r="AD128" s="242">
        <v>4682.862499999992</v>
      </c>
      <c r="AE128" s="242">
        <v>0</v>
      </c>
      <c r="AF128" s="242">
        <v>11794.778846153851</v>
      </c>
      <c r="AG128" s="242">
        <v>0</v>
      </c>
      <c r="AH128" s="242">
        <v>6660.7550000000092</v>
      </c>
      <c r="AI128" s="242">
        <v>0</v>
      </c>
      <c r="AJ128" s="242">
        <v>8952.3411458333339</v>
      </c>
      <c r="AK128" s="242">
        <v>0</v>
      </c>
      <c r="AL128" s="242">
        <v>14506.96296296296</v>
      </c>
      <c r="AM128" s="242">
        <v>0</v>
      </c>
      <c r="AN128" s="242">
        <v>3912.8900000000099</v>
      </c>
      <c r="AO128" s="242">
        <v>0</v>
      </c>
      <c r="AP128" s="242">
        <v>0</v>
      </c>
      <c r="AQ128" s="242">
        <v>0</v>
      </c>
      <c r="AR128" s="242">
        <v>6242.7548076923185</v>
      </c>
      <c r="AS128" s="242">
        <v>0</v>
      </c>
      <c r="AT128" s="242">
        <v>12908.879999999996</v>
      </c>
      <c r="AU128" s="242">
        <v>0</v>
      </c>
      <c r="AV128" s="242">
        <v>12137.483796296294</v>
      </c>
      <c r="AW128" s="242">
        <v>0</v>
      </c>
      <c r="AX128" s="242">
        <v>2417.1199999999944</v>
      </c>
      <c r="AY128" s="242">
        <v>0</v>
      </c>
    </row>
    <row r="129" spans="2:51">
      <c r="B129" s="232">
        <v>10448</v>
      </c>
      <c r="C129" s="232" t="s">
        <v>132</v>
      </c>
      <c r="D129" s="242">
        <v>0</v>
      </c>
      <c r="E129" s="242">
        <v>0</v>
      </c>
      <c r="F129" s="242">
        <v>0</v>
      </c>
      <c r="G129" s="242">
        <v>0</v>
      </c>
      <c r="H129" s="242">
        <v>0</v>
      </c>
      <c r="I129" s="242">
        <v>0</v>
      </c>
      <c r="J129" s="242">
        <v>0</v>
      </c>
      <c r="K129" s="242">
        <v>0</v>
      </c>
      <c r="L129" s="242">
        <v>0</v>
      </c>
      <c r="M129" s="242">
        <v>0</v>
      </c>
      <c r="N129" s="242">
        <v>0</v>
      </c>
      <c r="O129" s="242">
        <v>0</v>
      </c>
      <c r="P129" s="242">
        <v>0</v>
      </c>
      <c r="Q129" s="242">
        <v>0</v>
      </c>
      <c r="R129" s="242">
        <v>0</v>
      </c>
      <c r="S129" s="242">
        <v>0</v>
      </c>
      <c r="T129" s="242">
        <v>0</v>
      </c>
      <c r="U129" s="242">
        <v>0</v>
      </c>
      <c r="V129" s="242">
        <v>0</v>
      </c>
      <c r="W129" s="242">
        <v>0</v>
      </c>
      <c r="X129" s="242">
        <v>0</v>
      </c>
      <c r="Y129" s="242">
        <v>0</v>
      </c>
      <c r="Z129" s="242">
        <v>0</v>
      </c>
      <c r="AA129" s="242">
        <v>0</v>
      </c>
      <c r="AB129" s="242">
        <v>0</v>
      </c>
      <c r="AC129" s="242">
        <v>0</v>
      </c>
      <c r="AD129" s="242">
        <v>0</v>
      </c>
      <c r="AE129" s="242">
        <v>0</v>
      </c>
      <c r="AF129" s="242">
        <v>0</v>
      </c>
      <c r="AG129" s="242">
        <v>0</v>
      </c>
      <c r="AH129" s="242">
        <v>0</v>
      </c>
      <c r="AI129" s="242">
        <v>0</v>
      </c>
      <c r="AJ129" s="242">
        <v>0</v>
      </c>
      <c r="AK129" s="242">
        <v>0</v>
      </c>
      <c r="AL129" s="242">
        <v>0</v>
      </c>
      <c r="AM129" s="242">
        <v>0</v>
      </c>
      <c r="AN129" s="242">
        <v>0</v>
      </c>
      <c r="AO129" s="242">
        <v>0</v>
      </c>
      <c r="AP129" s="242">
        <v>0</v>
      </c>
      <c r="AQ129" s="242">
        <v>0</v>
      </c>
      <c r="AR129" s="242">
        <v>0</v>
      </c>
      <c r="AS129" s="242">
        <v>0</v>
      </c>
      <c r="AT129" s="242">
        <v>0</v>
      </c>
      <c r="AU129" s="242">
        <v>0</v>
      </c>
      <c r="AV129" s="242">
        <v>0</v>
      </c>
      <c r="AW129" s="242">
        <v>0</v>
      </c>
      <c r="AX129" s="242">
        <v>0</v>
      </c>
      <c r="AY129" s="242">
        <v>0</v>
      </c>
    </row>
    <row r="130" spans="2:51">
      <c r="B130" s="232">
        <v>10451</v>
      </c>
      <c r="C130" s="232" t="s">
        <v>133</v>
      </c>
      <c r="D130" s="242">
        <v>2978.2884615384619</v>
      </c>
      <c r="E130" s="242">
        <v>0</v>
      </c>
      <c r="F130" s="242">
        <v>3089.3799999999983</v>
      </c>
      <c r="G130" s="242">
        <v>0</v>
      </c>
      <c r="H130" s="242">
        <v>4291.1971153846198</v>
      </c>
      <c r="I130" s="242">
        <v>0</v>
      </c>
      <c r="J130" s="242">
        <v>1632.5750000000028</v>
      </c>
      <c r="K130" s="242">
        <v>0</v>
      </c>
      <c r="L130" s="242">
        <v>0</v>
      </c>
      <c r="M130" s="242">
        <v>0</v>
      </c>
      <c r="N130" s="242">
        <v>768.19444444444105</v>
      </c>
      <c r="O130" s="242">
        <v>0</v>
      </c>
      <c r="P130" s="242">
        <v>2805.045673076922</v>
      </c>
      <c r="Q130" s="242">
        <v>0</v>
      </c>
      <c r="R130" s="242">
        <v>1631.3549999999991</v>
      </c>
      <c r="S130" s="242">
        <v>0</v>
      </c>
      <c r="T130" s="242">
        <v>4324.8509615384592</v>
      </c>
      <c r="U130" s="242">
        <v>0</v>
      </c>
      <c r="V130" s="242">
        <v>8916.6275000000005</v>
      </c>
      <c r="W130" s="242">
        <v>0</v>
      </c>
      <c r="X130" s="242">
        <v>2795.9976851851884</v>
      </c>
      <c r="Y130" s="242">
        <v>0</v>
      </c>
      <c r="Z130" s="242">
        <v>4632.0174999999999</v>
      </c>
      <c r="AA130" s="242">
        <v>0</v>
      </c>
      <c r="AB130" s="242">
        <v>1924.310096153846</v>
      </c>
      <c r="AC130" s="242">
        <v>0</v>
      </c>
      <c r="AD130" s="242">
        <v>3089.3799999999983</v>
      </c>
      <c r="AE130" s="242">
        <v>0</v>
      </c>
      <c r="AF130" s="242">
        <v>4291.1971153846198</v>
      </c>
      <c r="AG130" s="242">
        <v>0</v>
      </c>
      <c r="AH130" s="242">
        <v>1632.5750000000028</v>
      </c>
      <c r="AI130" s="242">
        <v>0</v>
      </c>
      <c r="AJ130" s="242">
        <v>0</v>
      </c>
      <c r="AK130" s="242">
        <v>0</v>
      </c>
      <c r="AL130" s="242">
        <v>768.19444444444105</v>
      </c>
      <c r="AM130" s="242">
        <v>0</v>
      </c>
      <c r="AN130" s="242">
        <v>1733.0874999999999</v>
      </c>
      <c r="AO130" s="242">
        <v>0</v>
      </c>
      <c r="AP130" s="242">
        <v>2692.302884615387</v>
      </c>
      <c r="AQ130" s="242">
        <v>0</v>
      </c>
      <c r="AR130" s="242">
        <v>4324.8509615384592</v>
      </c>
      <c r="AS130" s="242">
        <v>0</v>
      </c>
      <c r="AT130" s="242">
        <v>1956.737499999999</v>
      </c>
      <c r="AU130" s="242">
        <v>0</v>
      </c>
      <c r="AV130" s="242">
        <v>3844.9467592592619</v>
      </c>
      <c r="AW130" s="242">
        <v>0</v>
      </c>
      <c r="AX130" s="242">
        <v>3539.5999999999967</v>
      </c>
      <c r="AY130" s="242">
        <v>0</v>
      </c>
    </row>
    <row r="131" spans="2:51">
      <c r="B131" s="232">
        <v>10482</v>
      </c>
      <c r="C131" s="232" t="s">
        <v>134</v>
      </c>
      <c r="D131" s="242">
        <v>145.45673076923072</v>
      </c>
      <c r="E131" s="242">
        <v>0</v>
      </c>
      <c r="F131" s="242">
        <v>273.67250000000053</v>
      </c>
      <c r="G131" s="242">
        <v>0</v>
      </c>
      <c r="H131" s="242">
        <v>427.38461538461536</v>
      </c>
      <c r="I131" s="242">
        <v>0</v>
      </c>
      <c r="J131" s="242">
        <v>186.5800000000001</v>
      </c>
      <c r="K131" s="242">
        <v>0</v>
      </c>
      <c r="L131" s="242">
        <v>78.854166666667112</v>
      </c>
      <c r="M131" s="242">
        <v>0</v>
      </c>
      <c r="N131" s="242">
        <v>307.67361111111137</v>
      </c>
      <c r="O131" s="242">
        <v>0</v>
      </c>
      <c r="P131" s="242">
        <v>178.9663461538461</v>
      </c>
      <c r="Q131" s="242">
        <v>0</v>
      </c>
      <c r="R131" s="242">
        <v>132.81749999999991</v>
      </c>
      <c r="S131" s="242">
        <v>0</v>
      </c>
      <c r="T131" s="242">
        <v>575.14423076923094</v>
      </c>
      <c r="U131" s="242">
        <v>0</v>
      </c>
      <c r="V131" s="242">
        <v>195.5799999999997</v>
      </c>
      <c r="W131" s="242">
        <v>0</v>
      </c>
      <c r="X131" s="242">
        <v>579.78935185185208</v>
      </c>
      <c r="Y131" s="242">
        <v>0</v>
      </c>
      <c r="Z131" s="242">
        <v>432.03250000000048</v>
      </c>
      <c r="AA131" s="242">
        <v>0</v>
      </c>
      <c r="AB131" s="242">
        <v>0</v>
      </c>
      <c r="AC131" s="242">
        <v>0</v>
      </c>
      <c r="AD131" s="242">
        <v>232.1299999999998</v>
      </c>
      <c r="AE131" s="242">
        <v>0</v>
      </c>
      <c r="AF131" s="242">
        <v>378.33894230769226</v>
      </c>
      <c r="AG131" s="242">
        <v>0</v>
      </c>
      <c r="AH131" s="242">
        <v>154.59999999999977</v>
      </c>
      <c r="AI131" s="242">
        <v>0</v>
      </c>
      <c r="AJ131" s="242">
        <v>125.94531249999963</v>
      </c>
      <c r="AK131" s="242">
        <v>0</v>
      </c>
      <c r="AL131" s="242">
        <v>276.76620370370398</v>
      </c>
      <c r="AM131" s="242">
        <v>0</v>
      </c>
      <c r="AN131" s="242">
        <v>36.750000000000171</v>
      </c>
      <c r="AO131" s="242">
        <v>0</v>
      </c>
      <c r="AP131" s="242">
        <v>217.96394230769212</v>
      </c>
      <c r="AQ131" s="242">
        <v>0</v>
      </c>
      <c r="AR131" s="242">
        <v>553.03124999999989</v>
      </c>
      <c r="AS131" s="242">
        <v>0</v>
      </c>
      <c r="AT131" s="242">
        <v>176.1724999999999</v>
      </c>
      <c r="AU131" s="242">
        <v>0</v>
      </c>
      <c r="AV131" s="242">
        <v>680.66435185185196</v>
      </c>
      <c r="AW131" s="242">
        <v>0</v>
      </c>
      <c r="AX131" s="242">
        <v>299.69</v>
      </c>
      <c r="AY131" s="242">
        <v>0</v>
      </c>
    </row>
    <row r="132" spans="2:51">
      <c r="B132" s="232">
        <v>10502</v>
      </c>
      <c r="C132" s="232" t="s">
        <v>135</v>
      </c>
      <c r="D132" s="242">
        <v>2566.9062500000005</v>
      </c>
      <c r="E132" s="242">
        <v>0</v>
      </c>
      <c r="F132" s="242">
        <v>3293.4475000000025</v>
      </c>
      <c r="G132" s="242">
        <v>0</v>
      </c>
      <c r="H132" s="242">
        <v>1453.5480769230774</v>
      </c>
      <c r="I132" s="242">
        <v>0</v>
      </c>
      <c r="J132" s="242">
        <v>1739.0124999999989</v>
      </c>
      <c r="K132" s="242">
        <v>0</v>
      </c>
      <c r="L132" s="242">
        <v>1103.8880208333305</v>
      </c>
      <c r="M132" s="242">
        <v>0</v>
      </c>
      <c r="N132" s="242">
        <v>1942.0439814814804</v>
      </c>
      <c r="O132" s="242">
        <v>0</v>
      </c>
      <c r="P132" s="242">
        <v>3847.3052884615404</v>
      </c>
      <c r="Q132" s="242">
        <v>0</v>
      </c>
      <c r="R132" s="242">
        <v>2630.4800000000005</v>
      </c>
      <c r="S132" s="242">
        <v>0</v>
      </c>
      <c r="T132" s="242">
        <v>4615.3341346153866</v>
      </c>
      <c r="U132" s="242">
        <v>0</v>
      </c>
      <c r="V132" s="242">
        <v>1406.6224999999965</v>
      </c>
      <c r="W132" s="242">
        <v>0</v>
      </c>
      <c r="X132" s="242">
        <v>694.87268518518249</v>
      </c>
      <c r="Y132" s="242">
        <v>0</v>
      </c>
      <c r="Z132" s="242">
        <v>5265.5375000000022</v>
      </c>
      <c r="AA132" s="242">
        <v>0</v>
      </c>
      <c r="AB132" s="242">
        <v>3055.117788461539</v>
      </c>
      <c r="AC132" s="242">
        <v>0</v>
      </c>
      <c r="AD132" s="242">
        <v>3310.1275000000014</v>
      </c>
      <c r="AE132" s="242">
        <v>0</v>
      </c>
      <c r="AF132" s="242">
        <v>1465.2235576923065</v>
      </c>
      <c r="AG132" s="242">
        <v>0</v>
      </c>
      <c r="AH132" s="242">
        <v>1753.8649999999971</v>
      </c>
      <c r="AI132" s="242">
        <v>0</v>
      </c>
      <c r="AJ132" s="242">
        <v>1581.2395833333314</v>
      </c>
      <c r="AK132" s="242">
        <v>0</v>
      </c>
      <c r="AL132" s="242">
        <v>1957.1597222222201</v>
      </c>
      <c r="AM132" s="242">
        <v>0</v>
      </c>
      <c r="AN132" s="242">
        <v>3229.0700000000011</v>
      </c>
      <c r="AO132" s="242">
        <v>0</v>
      </c>
      <c r="AP132" s="242">
        <v>3502.5168269230758</v>
      </c>
      <c r="AQ132" s="242">
        <v>0</v>
      </c>
      <c r="AR132" s="242">
        <v>4635.774038461539</v>
      </c>
      <c r="AS132" s="242">
        <v>0</v>
      </c>
      <c r="AT132" s="242">
        <v>1415.6699999999978</v>
      </c>
      <c r="AU132" s="242">
        <v>0</v>
      </c>
      <c r="AV132" s="242">
        <v>702.98148148148073</v>
      </c>
      <c r="AW132" s="242">
        <v>0</v>
      </c>
      <c r="AX132" s="242">
        <v>5286.8224999999975</v>
      </c>
      <c r="AY132" s="242">
        <v>0</v>
      </c>
    </row>
    <row r="133" spans="2:51">
      <c r="B133" s="232">
        <v>13927</v>
      </c>
      <c r="C133" s="232" t="s">
        <v>238</v>
      </c>
      <c r="D133" s="242">
        <v>0</v>
      </c>
      <c r="E133" s="242">
        <v>0</v>
      </c>
      <c r="F133" s="242">
        <v>0</v>
      </c>
      <c r="G133" s="242">
        <v>0</v>
      </c>
      <c r="H133" s="242">
        <v>0</v>
      </c>
      <c r="I133" s="242">
        <v>0</v>
      </c>
      <c r="J133" s="242">
        <v>0</v>
      </c>
      <c r="K133" s="242">
        <v>0</v>
      </c>
      <c r="L133" s="242">
        <v>0</v>
      </c>
      <c r="M133" s="242">
        <v>0</v>
      </c>
      <c r="N133" s="242">
        <v>0</v>
      </c>
      <c r="O133" s="242">
        <v>0</v>
      </c>
      <c r="P133" s="242">
        <v>0</v>
      </c>
      <c r="Q133" s="242">
        <v>0</v>
      </c>
      <c r="R133" s="242">
        <v>0</v>
      </c>
      <c r="S133" s="242">
        <v>0</v>
      </c>
      <c r="T133" s="242">
        <v>0</v>
      </c>
      <c r="U133" s="242">
        <v>0</v>
      </c>
      <c r="V133" s="242">
        <v>47.394999999999079</v>
      </c>
      <c r="W133" s="242">
        <v>0</v>
      </c>
      <c r="X133" s="242">
        <v>733.64814814814804</v>
      </c>
      <c r="Y133" s="242">
        <v>0</v>
      </c>
      <c r="Z133" s="242">
        <v>89.659999999999741</v>
      </c>
      <c r="AA133" s="242">
        <v>0</v>
      </c>
      <c r="AB133" s="242">
        <v>0</v>
      </c>
      <c r="AC133" s="242">
        <v>0</v>
      </c>
      <c r="AD133" s="242">
        <v>0</v>
      </c>
      <c r="AE133" s="242">
        <v>0</v>
      </c>
      <c r="AF133" s="242">
        <v>0</v>
      </c>
      <c r="AG133" s="242">
        <v>0</v>
      </c>
      <c r="AH133" s="242">
        <v>0</v>
      </c>
      <c r="AI133" s="242">
        <v>0</v>
      </c>
      <c r="AJ133" s="242">
        <v>0</v>
      </c>
      <c r="AK133" s="242">
        <v>0</v>
      </c>
      <c r="AL133" s="242">
        <v>0</v>
      </c>
      <c r="AM133" s="242">
        <v>0</v>
      </c>
      <c r="AN133" s="242">
        <v>0</v>
      </c>
      <c r="AO133" s="242">
        <v>0</v>
      </c>
      <c r="AP133" s="242">
        <v>76.680288461538183</v>
      </c>
      <c r="AQ133" s="242">
        <v>0</v>
      </c>
      <c r="AR133" s="242">
        <v>40.608173076923663</v>
      </c>
      <c r="AS133" s="242">
        <v>0</v>
      </c>
      <c r="AT133" s="242">
        <v>173.98500000000016</v>
      </c>
      <c r="AU133" s="242">
        <v>0</v>
      </c>
      <c r="AV133" s="242">
        <v>859.71759259259215</v>
      </c>
      <c r="AW133" s="242">
        <v>0</v>
      </c>
      <c r="AX133" s="242">
        <v>142.34250000000014</v>
      </c>
      <c r="AY133" s="242">
        <v>0</v>
      </c>
    </row>
    <row r="134" spans="2:51">
      <c r="B134" s="232">
        <v>10597</v>
      </c>
      <c r="C134" s="232" t="s">
        <v>136</v>
      </c>
      <c r="D134" s="242">
        <v>1774.9182692307716</v>
      </c>
      <c r="E134" s="242">
        <v>0</v>
      </c>
      <c r="F134" s="242">
        <v>1172.5199999999991</v>
      </c>
      <c r="G134" s="242">
        <v>0</v>
      </c>
      <c r="H134" s="242">
        <v>2698.9254807692323</v>
      </c>
      <c r="I134" s="242">
        <v>0</v>
      </c>
      <c r="J134" s="242">
        <v>1242.9149999999995</v>
      </c>
      <c r="K134" s="242">
        <v>0</v>
      </c>
      <c r="L134" s="242">
        <v>603.93749999999886</v>
      </c>
      <c r="M134" s="242">
        <v>0</v>
      </c>
      <c r="N134" s="242">
        <v>2220.8310185185205</v>
      </c>
      <c r="O134" s="242">
        <v>0</v>
      </c>
      <c r="P134" s="242">
        <v>1630.6658653846157</v>
      </c>
      <c r="Q134" s="242">
        <v>0</v>
      </c>
      <c r="R134" s="242">
        <v>752.94249999999874</v>
      </c>
      <c r="S134" s="242">
        <v>0</v>
      </c>
      <c r="T134" s="242">
        <v>2263.9110576923072</v>
      </c>
      <c r="U134" s="242">
        <v>0</v>
      </c>
      <c r="V134" s="242">
        <v>2515.2099999999996</v>
      </c>
      <c r="W134" s="242">
        <v>0</v>
      </c>
      <c r="X134" s="242">
        <v>2294.6226851851829</v>
      </c>
      <c r="Y134" s="242">
        <v>0</v>
      </c>
      <c r="Z134" s="242">
        <v>1699.3125000000005</v>
      </c>
      <c r="AA134" s="242">
        <v>0</v>
      </c>
      <c r="AB134" s="242">
        <v>1775.0649038461547</v>
      </c>
      <c r="AC134" s="242">
        <v>0</v>
      </c>
      <c r="AD134" s="242">
        <v>1166.8325000000004</v>
      </c>
      <c r="AE134" s="242">
        <v>0</v>
      </c>
      <c r="AF134" s="242">
        <v>2688.3413461538471</v>
      </c>
      <c r="AG134" s="242">
        <v>0</v>
      </c>
      <c r="AH134" s="242">
        <v>1231.6350000000002</v>
      </c>
      <c r="AI134" s="242">
        <v>0</v>
      </c>
      <c r="AJ134" s="242">
        <v>1022.096354166667</v>
      </c>
      <c r="AK134" s="242">
        <v>0</v>
      </c>
      <c r="AL134" s="242">
        <v>2219.0486111111109</v>
      </c>
      <c r="AM134" s="242">
        <v>0</v>
      </c>
      <c r="AN134" s="242">
        <v>1178.6674999999993</v>
      </c>
      <c r="AO134" s="242">
        <v>0</v>
      </c>
      <c r="AP134" s="242">
        <v>1225.3990384615365</v>
      </c>
      <c r="AQ134" s="242">
        <v>0</v>
      </c>
      <c r="AR134" s="242">
        <v>2265.6586538461534</v>
      </c>
      <c r="AS134" s="242">
        <v>0</v>
      </c>
      <c r="AT134" s="242">
        <v>2516.7074999999991</v>
      </c>
      <c r="AU134" s="242">
        <v>0</v>
      </c>
      <c r="AV134" s="242">
        <v>2296.0254629629617</v>
      </c>
      <c r="AW134" s="242">
        <v>0</v>
      </c>
      <c r="AX134" s="242">
        <v>1700.8875000000012</v>
      </c>
      <c r="AY134" s="242">
        <v>0</v>
      </c>
    </row>
    <row r="135" spans="2:51">
      <c r="B135" s="232">
        <v>10706</v>
      </c>
      <c r="C135" s="232" t="s">
        <v>137</v>
      </c>
      <c r="D135" s="242">
        <v>1371.8749999999993</v>
      </c>
      <c r="E135" s="242">
        <v>0</v>
      </c>
      <c r="F135" s="242">
        <v>1980.7699999999998</v>
      </c>
      <c r="G135" s="242">
        <v>0</v>
      </c>
      <c r="H135" s="242">
        <v>2344.1562499999973</v>
      </c>
      <c r="I135" s="242">
        <v>0</v>
      </c>
      <c r="J135" s="242">
        <v>1645.1424999999986</v>
      </c>
      <c r="K135" s="242">
        <v>0</v>
      </c>
      <c r="L135" s="242">
        <v>1383.7473958333319</v>
      </c>
      <c r="M135" s="242">
        <v>0</v>
      </c>
      <c r="N135" s="242">
        <v>2502.9236111111109</v>
      </c>
      <c r="O135" s="242">
        <v>0</v>
      </c>
      <c r="P135" s="242">
        <v>2018.4399038461552</v>
      </c>
      <c r="Q135" s="242">
        <v>0</v>
      </c>
      <c r="R135" s="242">
        <v>1289.4325000000019</v>
      </c>
      <c r="S135" s="242">
        <v>0</v>
      </c>
      <c r="T135" s="242">
        <v>2649.1586538461547</v>
      </c>
      <c r="U135" s="242">
        <v>0</v>
      </c>
      <c r="V135" s="242">
        <v>1223.4674999999982</v>
      </c>
      <c r="W135" s="242">
        <v>0</v>
      </c>
      <c r="X135" s="242">
        <v>3012.9305555555547</v>
      </c>
      <c r="Y135" s="242">
        <v>0</v>
      </c>
      <c r="Z135" s="242">
        <v>2205.6750000000011</v>
      </c>
      <c r="AA135" s="242">
        <v>0</v>
      </c>
      <c r="AB135" s="242">
        <v>1161.4711538461543</v>
      </c>
      <c r="AC135" s="242">
        <v>0</v>
      </c>
      <c r="AD135" s="242">
        <v>1779.3149999999969</v>
      </c>
      <c r="AE135" s="242">
        <v>0</v>
      </c>
      <c r="AF135" s="242">
        <v>2143.1490384615372</v>
      </c>
      <c r="AG135" s="242">
        <v>0</v>
      </c>
      <c r="AH135" s="242">
        <v>1434.3599999999981</v>
      </c>
      <c r="AI135" s="242">
        <v>0</v>
      </c>
      <c r="AJ135" s="242">
        <v>1766.8723958333317</v>
      </c>
      <c r="AK135" s="242">
        <v>0</v>
      </c>
      <c r="AL135" s="242">
        <v>2305.0532407407404</v>
      </c>
      <c r="AM135" s="242">
        <v>0</v>
      </c>
      <c r="AN135" s="242">
        <v>1164.0324999999984</v>
      </c>
      <c r="AO135" s="242">
        <v>0</v>
      </c>
      <c r="AP135" s="242">
        <v>1737.6442307692325</v>
      </c>
      <c r="AQ135" s="242">
        <v>0</v>
      </c>
      <c r="AR135" s="242">
        <v>2649.1586538461547</v>
      </c>
      <c r="AS135" s="242">
        <v>0</v>
      </c>
      <c r="AT135" s="242">
        <v>1223.4674999999982</v>
      </c>
      <c r="AU135" s="242">
        <v>0</v>
      </c>
      <c r="AV135" s="242">
        <v>3012.9305555555547</v>
      </c>
      <c r="AW135" s="242">
        <v>0</v>
      </c>
      <c r="AX135" s="242">
        <v>2205.6750000000011</v>
      </c>
      <c r="AY135" s="242">
        <v>0</v>
      </c>
    </row>
    <row r="136" spans="2:51">
      <c r="B136" s="232">
        <v>11680</v>
      </c>
      <c r="C136" s="232" t="s">
        <v>138</v>
      </c>
      <c r="D136" s="242">
        <v>459.98798076923129</v>
      </c>
      <c r="E136" s="242">
        <v>0</v>
      </c>
      <c r="F136" s="242">
        <v>569.94750000000045</v>
      </c>
      <c r="G136" s="242">
        <v>0</v>
      </c>
      <c r="H136" s="242">
        <v>945.07211538461627</v>
      </c>
      <c r="I136" s="242">
        <v>0</v>
      </c>
      <c r="J136" s="242">
        <v>0</v>
      </c>
      <c r="K136" s="242">
        <v>0</v>
      </c>
      <c r="L136" s="242">
        <v>0</v>
      </c>
      <c r="M136" s="242">
        <v>0</v>
      </c>
      <c r="N136" s="242">
        <v>968.52546296296316</v>
      </c>
      <c r="O136" s="242">
        <v>0</v>
      </c>
      <c r="P136" s="242">
        <v>887.0673076923083</v>
      </c>
      <c r="Q136" s="242">
        <v>0</v>
      </c>
      <c r="R136" s="242">
        <v>0</v>
      </c>
      <c r="S136" s="242">
        <v>0</v>
      </c>
      <c r="T136" s="242">
        <v>1646.6081730769226</v>
      </c>
      <c r="U136" s="242">
        <v>0</v>
      </c>
      <c r="V136" s="242">
        <v>624.96250000000009</v>
      </c>
      <c r="W136" s="242">
        <v>0</v>
      </c>
      <c r="X136" s="242">
        <v>275.60648148148204</v>
      </c>
      <c r="Y136" s="242">
        <v>0</v>
      </c>
      <c r="Z136" s="242">
        <v>91.537500000000279</v>
      </c>
      <c r="AA136" s="242">
        <v>0</v>
      </c>
      <c r="AB136" s="242">
        <v>238.61057692307708</v>
      </c>
      <c r="AC136" s="242">
        <v>0</v>
      </c>
      <c r="AD136" s="242">
        <v>572.82999999999879</v>
      </c>
      <c r="AE136" s="242">
        <v>0</v>
      </c>
      <c r="AF136" s="242">
        <v>948.40865384615381</v>
      </c>
      <c r="AG136" s="242">
        <v>0</v>
      </c>
      <c r="AH136" s="242">
        <v>0</v>
      </c>
      <c r="AI136" s="242">
        <v>0</v>
      </c>
      <c r="AJ136" s="242">
        <v>221.02604166666583</v>
      </c>
      <c r="AK136" s="242">
        <v>0</v>
      </c>
      <c r="AL136" s="242">
        <v>972.84953703703673</v>
      </c>
      <c r="AM136" s="242">
        <v>0</v>
      </c>
      <c r="AN136" s="242">
        <v>640.0474999999999</v>
      </c>
      <c r="AO136" s="242">
        <v>0</v>
      </c>
      <c r="AP136" s="242">
        <v>168.73317307692369</v>
      </c>
      <c r="AQ136" s="242">
        <v>0</v>
      </c>
      <c r="AR136" s="242">
        <v>1653.7043269230778</v>
      </c>
      <c r="AS136" s="242">
        <v>0</v>
      </c>
      <c r="AT136" s="242">
        <v>629.3149999999996</v>
      </c>
      <c r="AU136" s="242">
        <v>0</v>
      </c>
      <c r="AV136" s="242">
        <v>552.24537037036919</v>
      </c>
      <c r="AW136" s="242">
        <v>0</v>
      </c>
      <c r="AX136" s="242">
        <v>0</v>
      </c>
      <c r="AY136" s="242">
        <v>0</v>
      </c>
    </row>
    <row r="137" spans="2:51" s="113" customFormat="1">
      <c r="B137" s="232">
        <v>12026</v>
      </c>
      <c r="C137" s="232" t="s">
        <v>139</v>
      </c>
      <c r="D137" s="242">
        <v>0</v>
      </c>
      <c r="E137" s="242">
        <v>0</v>
      </c>
      <c r="F137" s="242">
        <v>6956.3074999999944</v>
      </c>
      <c r="G137" s="242">
        <v>0</v>
      </c>
      <c r="H137" s="242">
        <v>11405.425480769221</v>
      </c>
      <c r="I137" s="242">
        <v>0</v>
      </c>
      <c r="J137" s="242">
        <v>11838.309999999992</v>
      </c>
      <c r="K137" s="242">
        <v>0</v>
      </c>
      <c r="L137" s="242">
        <v>5384.7317708333439</v>
      </c>
      <c r="M137" s="242">
        <v>0</v>
      </c>
      <c r="N137" s="242">
        <v>7610.5532407407427</v>
      </c>
      <c r="O137" s="242">
        <v>0</v>
      </c>
      <c r="P137" s="242">
        <v>5365.7475961538448</v>
      </c>
      <c r="Q137" s="242">
        <v>0</v>
      </c>
      <c r="R137" s="242">
        <v>1846.5000000000059</v>
      </c>
      <c r="S137" s="242">
        <v>0</v>
      </c>
      <c r="T137" s="242">
        <v>5217.2932692307659</v>
      </c>
      <c r="U137" s="242">
        <v>0</v>
      </c>
      <c r="V137" s="242">
        <v>1176.6275000000026</v>
      </c>
      <c r="W137" s="242">
        <v>0</v>
      </c>
      <c r="X137" s="242">
        <v>3266.875000000005</v>
      </c>
      <c r="Y137" s="242">
        <v>0</v>
      </c>
      <c r="Z137" s="242">
        <v>6794.3550000000014</v>
      </c>
      <c r="AA137" s="242">
        <v>0</v>
      </c>
      <c r="AB137" s="242">
        <v>0</v>
      </c>
      <c r="AC137" s="242">
        <v>0</v>
      </c>
      <c r="AD137" s="242">
        <v>6968.1575000000039</v>
      </c>
      <c r="AE137" s="242">
        <v>0</v>
      </c>
      <c r="AF137" s="242">
        <v>11636.564903846154</v>
      </c>
      <c r="AG137" s="242">
        <v>0</v>
      </c>
      <c r="AH137" s="242">
        <v>12025.187500000002</v>
      </c>
      <c r="AI137" s="242">
        <v>0</v>
      </c>
      <c r="AJ137" s="242">
        <v>6356.2291666666688</v>
      </c>
      <c r="AK137" s="242">
        <v>0</v>
      </c>
      <c r="AL137" s="242">
        <v>7629.833333333323</v>
      </c>
      <c r="AM137" s="242">
        <v>0</v>
      </c>
      <c r="AN137" s="242">
        <v>3382.9800000000032</v>
      </c>
      <c r="AO137" s="242">
        <v>0</v>
      </c>
      <c r="AP137" s="242">
        <v>3392.2379807692309</v>
      </c>
      <c r="AQ137" s="242">
        <v>0</v>
      </c>
      <c r="AR137" s="242">
        <v>5158.9447115384683</v>
      </c>
      <c r="AS137" s="242">
        <v>0</v>
      </c>
      <c r="AT137" s="242">
        <v>1076.2424999999998</v>
      </c>
      <c r="AU137" s="242">
        <v>0</v>
      </c>
      <c r="AV137" s="242">
        <v>4410.8287037037062</v>
      </c>
      <c r="AW137" s="242">
        <v>0</v>
      </c>
      <c r="AX137" s="242">
        <v>5398.2500000000027</v>
      </c>
      <c r="AY137" s="242">
        <v>0</v>
      </c>
    </row>
    <row r="138" spans="2:51">
      <c r="B138" s="232">
        <v>10298</v>
      </c>
      <c r="C138" s="232" t="s">
        <v>140</v>
      </c>
      <c r="D138" s="242">
        <v>67958.622115384453</v>
      </c>
      <c r="E138" s="242">
        <v>0</v>
      </c>
      <c r="F138" s="242">
        <v>95745.729999999618</v>
      </c>
      <c r="G138" s="242">
        <v>0</v>
      </c>
      <c r="H138" s="242">
        <v>178299.89230769215</v>
      </c>
      <c r="I138" s="242">
        <v>0</v>
      </c>
      <c r="J138" s="242">
        <v>64356.040000000008</v>
      </c>
      <c r="K138" s="242">
        <v>0</v>
      </c>
      <c r="L138" s="242">
        <v>29534.859375000167</v>
      </c>
      <c r="M138" s="242">
        <v>0</v>
      </c>
      <c r="N138" s="242">
        <v>127808.35277777746</v>
      </c>
      <c r="O138" s="242">
        <v>0</v>
      </c>
      <c r="P138" s="242">
        <v>118399.62980769227</v>
      </c>
      <c r="Q138" s="242">
        <v>0</v>
      </c>
      <c r="R138" s="242">
        <v>100494.0199999999</v>
      </c>
      <c r="S138" s="242">
        <v>0</v>
      </c>
      <c r="T138" s="242">
        <v>121138.27788461535</v>
      </c>
      <c r="U138" s="242">
        <v>0</v>
      </c>
      <c r="V138" s="242">
        <v>103784.71250000002</v>
      </c>
      <c r="W138" s="242">
        <v>0</v>
      </c>
      <c r="X138" s="242">
        <v>132095.88518518492</v>
      </c>
      <c r="Y138" s="242">
        <v>0</v>
      </c>
      <c r="Z138" s="242">
        <v>115357.60249999991</v>
      </c>
      <c r="AA138" s="242">
        <v>0</v>
      </c>
      <c r="AB138" s="242">
        <v>54155.007211538476</v>
      </c>
      <c r="AC138" s="242">
        <v>0</v>
      </c>
      <c r="AD138" s="242">
        <v>97644.212499999834</v>
      </c>
      <c r="AE138" s="242">
        <v>0</v>
      </c>
      <c r="AF138" s="242">
        <v>180114.11153846141</v>
      </c>
      <c r="AG138" s="242">
        <v>0</v>
      </c>
      <c r="AH138" s="242">
        <v>65557.097500000164</v>
      </c>
      <c r="AI138" s="242">
        <v>0</v>
      </c>
      <c r="AJ138" s="242">
        <v>48633.511458333203</v>
      </c>
      <c r="AK138" s="242">
        <v>0</v>
      </c>
      <c r="AL138" s="242">
        <v>129481.0671296295</v>
      </c>
      <c r="AM138" s="242">
        <v>0</v>
      </c>
      <c r="AN138" s="242">
        <v>93127.187500000015</v>
      </c>
      <c r="AO138" s="242">
        <v>0</v>
      </c>
      <c r="AP138" s="242">
        <v>127131.45192307666</v>
      </c>
      <c r="AQ138" s="242">
        <v>0</v>
      </c>
      <c r="AR138" s="242">
        <v>122448.02980769234</v>
      </c>
      <c r="AS138" s="242">
        <v>0</v>
      </c>
      <c r="AT138" s="242">
        <v>105123.00999999986</v>
      </c>
      <c r="AU138" s="242">
        <v>0</v>
      </c>
      <c r="AV138" s="242">
        <v>147651.72638888887</v>
      </c>
      <c r="AW138" s="242">
        <v>0</v>
      </c>
      <c r="AX138" s="242">
        <v>102300.58999999998</v>
      </c>
      <c r="AY138" s="242">
        <v>0</v>
      </c>
    </row>
    <row r="139" spans="2:51">
      <c r="B139" s="24" t="s">
        <v>141</v>
      </c>
      <c r="C139" s="25" t="s">
        <v>141</v>
      </c>
      <c r="D139" s="26"/>
      <c r="E139" s="27"/>
      <c r="F139" s="26"/>
      <c r="G139" s="27"/>
      <c r="H139" s="26"/>
      <c r="I139" s="27"/>
      <c r="J139" s="26"/>
      <c r="K139" s="27"/>
      <c r="L139" s="26"/>
      <c r="M139" s="27"/>
      <c r="N139" s="26"/>
      <c r="O139" s="27"/>
      <c r="P139" s="26"/>
      <c r="Q139" s="27"/>
      <c r="R139" s="26"/>
      <c r="S139" s="27"/>
      <c r="T139" s="26"/>
      <c r="U139" s="27"/>
      <c r="V139" s="26"/>
      <c r="W139" s="27"/>
      <c r="X139" s="26"/>
      <c r="Y139" s="27"/>
      <c r="Z139" s="26"/>
      <c r="AA139" s="27"/>
      <c r="AB139" s="26"/>
      <c r="AC139" s="27"/>
      <c r="AD139" s="26"/>
      <c r="AE139" s="27"/>
      <c r="AF139" s="26"/>
      <c r="AG139" s="27"/>
      <c r="AH139" s="26"/>
      <c r="AI139" s="27"/>
      <c r="AJ139" s="26"/>
      <c r="AK139" s="27"/>
      <c r="AL139" s="26"/>
      <c r="AM139" s="27"/>
      <c r="AN139" s="26"/>
      <c r="AO139" s="27"/>
      <c r="AP139" s="26"/>
      <c r="AQ139" s="27"/>
      <c r="AR139" s="26"/>
      <c r="AS139" s="27"/>
      <c r="AT139" s="26"/>
      <c r="AU139" s="27"/>
      <c r="AV139" s="26"/>
      <c r="AW139" s="27"/>
      <c r="AX139" s="26"/>
      <c r="AY139" s="27"/>
    </row>
    <row r="140" spans="2:51">
      <c r="B140" s="24" t="s">
        <v>141</v>
      </c>
      <c r="C140" s="25" t="s">
        <v>141</v>
      </c>
      <c r="D140" s="26" t="s">
        <v>141</v>
      </c>
      <c r="E140" s="27" t="s">
        <v>141</v>
      </c>
      <c r="F140" s="26" t="s">
        <v>141</v>
      </c>
      <c r="G140" s="27" t="s">
        <v>141</v>
      </c>
      <c r="H140" s="26" t="s">
        <v>141</v>
      </c>
      <c r="I140" s="27" t="s">
        <v>141</v>
      </c>
      <c r="J140" s="26" t="s">
        <v>141</v>
      </c>
      <c r="K140" s="27" t="s">
        <v>141</v>
      </c>
      <c r="L140" s="26" t="s">
        <v>141</v>
      </c>
      <c r="M140" s="27" t="s">
        <v>141</v>
      </c>
      <c r="N140" s="26" t="s">
        <v>141</v>
      </c>
      <c r="O140" s="27" t="s">
        <v>141</v>
      </c>
      <c r="P140" s="26" t="s">
        <v>141</v>
      </c>
      <c r="Q140" s="27" t="s">
        <v>141</v>
      </c>
      <c r="R140" s="26" t="s">
        <v>141</v>
      </c>
      <c r="S140" s="27" t="s">
        <v>141</v>
      </c>
      <c r="T140" s="26" t="s">
        <v>141</v>
      </c>
      <c r="U140" s="27" t="s">
        <v>141</v>
      </c>
      <c r="V140" s="26" t="s">
        <v>141</v>
      </c>
      <c r="W140" s="27" t="s">
        <v>141</v>
      </c>
      <c r="X140" s="26" t="s">
        <v>141</v>
      </c>
      <c r="Y140" s="27" t="s">
        <v>141</v>
      </c>
      <c r="Z140" s="26" t="s">
        <v>141</v>
      </c>
      <c r="AA140" s="27" t="s">
        <v>141</v>
      </c>
      <c r="AB140" s="26" t="s">
        <v>141</v>
      </c>
      <c r="AC140" s="27" t="s">
        <v>141</v>
      </c>
      <c r="AD140" s="26" t="s">
        <v>141</v>
      </c>
      <c r="AE140" s="27" t="s">
        <v>141</v>
      </c>
      <c r="AF140" s="26" t="s">
        <v>141</v>
      </c>
      <c r="AG140" s="27" t="s">
        <v>141</v>
      </c>
      <c r="AH140" s="26" t="s">
        <v>141</v>
      </c>
      <c r="AI140" s="27" t="s">
        <v>141</v>
      </c>
      <c r="AJ140" s="26" t="s">
        <v>141</v>
      </c>
      <c r="AK140" s="27" t="s">
        <v>141</v>
      </c>
      <c r="AL140" s="26" t="s">
        <v>141</v>
      </c>
      <c r="AM140" s="27" t="s">
        <v>141</v>
      </c>
      <c r="AN140" s="26" t="s">
        <v>141</v>
      </c>
      <c r="AO140" s="27" t="s">
        <v>141</v>
      </c>
      <c r="AP140" s="26" t="s">
        <v>141</v>
      </c>
      <c r="AQ140" s="27" t="s">
        <v>141</v>
      </c>
      <c r="AR140" s="26" t="s">
        <v>141</v>
      </c>
      <c r="AS140" s="27" t="s">
        <v>141</v>
      </c>
      <c r="AT140" s="26" t="s">
        <v>141</v>
      </c>
      <c r="AU140" s="27" t="s">
        <v>141</v>
      </c>
      <c r="AV140" s="26" t="s">
        <v>141</v>
      </c>
      <c r="AW140" s="27" t="s">
        <v>141</v>
      </c>
      <c r="AX140" s="26" t="s">
        <v>141</v>
      </c>
      <c r="AY140" s="27" t="s">
        <v>141</v>
      </c>
    </row>
    <row r="141" spans="2:51">
      <c r="B141" s="24" t="s">
        <v>141</v>
      </c>
      <c r="C141" s="25" t="s">
        <v>141</v>
      </c>
      <c r="D141" s="26" t="s">
        <v>141</v>
      </c>
      <c r="E141" s="27" t="s">
        <v>141</v>
      </c>
      <c r="F141" s="26" t="s">
        <v>141</v>
      </c>
      <c r="G141" s="27" t="s">
        <v>141</v>
      </c>
      <c r="H141" s="26" t="s">
        <v>141</v>
      </c>
      <c r="I141" s="27" t="s">
        <v>141</v>
      </c>
      <c r="J141" s="26" t="s">
        <v>141</v>
      </c>
      <c r="K141" s="27" t="s">
        <v>141</v>
      </c>
      <c r="L141" s="26" t="s">
        <v>141</v>
      </c>
      <c r="M141" s="27" t="s">
        <v>141</v>
      </c>
      <c r="N141" s="26" t="s">
        <v>141</v>
      </c>
      <c r="O141" s="27" t="s">
        <v>141</v>
      </c>
      <c r="P141" s="26" t="s">
        <v>141</v>
      </c>
      <c r="Q141" s="27" t="s">
        <v>141</v>
      </c>
      <c r="R141" s="26" t="s">
        <v>141</v>
      </c>
      <c r="S141" s="27" t="s">
        <v>141</v>
      </c>
      <c r="T141" s="26" t="s">
        <v>141</v>
      </c>
      <c r="U141" s="27" t="s">
        <v>141</v>
      </c>
      <c r="V141" s="26" t="s">
        <v>141</v>
      </c>
      <c r="W141" s="27" t="s">
        <v>141</v>
      </c>
      <c r="X141" s="26" t="s">
        <v>141</v>
      </c>
      <c r="Y141" s="27" t="s">
        <v>141</v>
      </c>
      <c r="Z141" s="26" t="s">
        <v>141</v>
      </c>
      <c r="AA141" s="27" t="s">
        <v>141</v>
      </c>
      <c r="AB141" s="26" t="s">
        <v>141</v>
      </c>
      <c r="AC141" s="27" t="s">
        <v>141</v>
      </c>
      <c r="AD141" s="26" t="s">
        <v>141</v>
      </c>
      <c r="AE141" s="27" t="s">
        <v>141</v>
      </c>
      <c r="AF141" s="26" t="s">
        <v>141</v>
      </c>
      <c r="AG141" s="27" t="s">
        <v>141</v>
      </c>
      <c r="AH141" s="26" t="s">
        <v>141</v>
      </c>
      <c r="AI141" s="27" t="s">
        <v>141</v>
      </c>
      <c r="AJ141" s="26" t="s">
        <v>141</v>
      </c>
      <c r="AK141" s="27" t="s">
        <v>141</v>
      </c>
      <c r="AL141" s="26" t="s">
        <v>141</v>
      </c>
      <c r="AM141" s="27" t="s">
        <v>141</v>
      </c>
      <c r="AN141" s="26" t="s">
        <v>141</v>
      </c>
      <c r="AO141" s="27" t="s">
        <v>141</v>
      </c>
      <c r="AP141" s="26" t="s">
        <v>141</v>
      </c>
      <c r="AQ141" s="27" t="s">
        <v>141</v>
      </c>
      <c r="AR141" s="26" t="s">
        <v>141</v>
      </c>
      <c r="AS141" s="27" t="s">
        <v>141</v>
      </c>
      <c r="AT141" s="26" t="s">
        <v>141</v>
      </c>
      <c r="AU141" s="27" t="s">
        <v>141</v>
      </c>
      <c r="AV141" s="26" t="s">
        <v>141</v>
      </c>
      <c r="AW141" s="27" t="s">
        <v>141</v>
      </c>
      <c r="AX141" s="26" t="s">
        <v>141</v>
      </c>
      <c r="AY141" s="27" t="s">
        <v>141</v>
      </c>
    </row>
    <row r="142" spans="2:51">
      <c r="B142" s="24" t="s">
        <v>141</v>
      </c>
      <c r="C142" s="25" t="s">
        <v>141</v>
      </c>
      <c r="D142" s="26" t="s">
        <v>141</v>
      </c>
      <c r="E142" s="27" t="s">
        <v>141</v>
      </c>
      <c r="F142" s="26" t="s">
        <v>141</v>
      </c>
      <c r="G142" s="27" t="s">
        <v>141</v>
      </c>
      <c r="H142" s="26" t="s">
        <v>141</v>
      </c>
      <c r="I142" s="27" t="s">
        <v>141</v>
      </c>
      <c r="J142" s="26" t="s">
        <v>141</v>
      </c>
      <c r="K142" s="27" t="s">
        <v>141</v>
      </c>
      <c r="L142" s="26" t="s">
        <v>141</v>
      </c>
      <c r="M142" s="27" t="s">
        <v>141</v>
      </c>
      <c r="N142" s="26" t="s">
        <v>141</v>
      </c>
      <c r="O142" s="27" t="s">
        <v>141</v>
      </c>
      <c r="P142" s="26" t="s">
        <v>141</v>
      </c>
      <c r="Q142" s="27" t="s">
        <v>141</v>
      </c>
      <c r="R142" s="26" t="s">
        <v>141</v>
      </c>
      <c r="S142" s="27" t="s">
        <v>141</v>
      </c>
      <c r="T142" s="26" t="s">
        <v>141</v>
      </c>
      <c r="U142" s="27" t="s">
        <v>141</v>
      </c>
      <c r="V142" s="26" t="s">
        <v>141</v>
      </c>
      <c r="W142" s="27" t="s">
        <v>141</v>
      </c>
      <c r="X142" s="26" t="s">
        <v>141</v>
      </c>
      <c r="Y142" s="27" t="s">
        <v>141</v>
      </c>
      <c r="Z142" s="26" t="s">
        <v>141</v>
      </c>
      <c r="AA142" s="27" t="s">
        <v>141</v>
      </c>
      <c r="AB142" s="26" t="s">
        <v>141</v>
      </c>
      <c r="AC142" s="27" t="s">
        <v>141</v>
      </c>
      <c r="AD142" s="26" t="s">
        <v>141</v>
      </c>
      <c r="AE142" s="27" t="s">
        <v>141</v>
      </c>
      <c r="AF142" s="26" t="s">
        <v>141</v>
      </c>
      <c r="AG142" s="27" t="s">
        <v>141</v>
      </c>
      <c r="AH142" s="26" t="s">
        <v>141</v>
      </c>
      <c r="AI142" s="27" t="s">
        <v>141</v>
      </c>
      <c r="AJ142" s="26" t="s">
        <v>141</v>
      </c>
      <c r="AK142" s="27" t="s">
        <v>141</v>
      </c>
      <c r="AL142" s="26" t="s">
        <v>141</v>
      </c>
      <c r="AM142" s="27" t="s">
        <v>141</v>
      </c>
      <c r="AN142" s="26" t="s">
        <v>141</v>
      </c>
      <c r="AO142" s="27" t="s">
        <v>141</v>
      </c>
      <c r="AP142" s="26" t="s">
        <v>141</v>
      </c>
      <c r="AQ142" s="27" t="s">
        <v>141</v>
      </c>
      <c r="AR142" s="26" t="s">
        <v>141</v>
      </c>
      <c r="AS142" s="27" t="s">
        <v>141</v>
      </c>
      <c r="AT142" s="26" t="s">
        <v>141</v>
      </c>
      <c r="AU142" s="27" t="s">
        <v>141</v>
      </c>
      <c r="AV142" s="26" t="s">
        <v>141</v>
      </c>
      <c r="AW142" s="27" t="s">
        <v>141</v>
      </c>
      <c r="AX142" s="26" t="s">
        <v>141</v>
      </c>
      <c r="AY142" s="27" t="s">
        <v>141</v>
      </c>
    </row>
    <row r="143" spans="2:51">
      <c r="B143" s="24" t="s">
        <v>141</v>
      </c>
      <c r="C143" s="25" t="s">
        <v>141</v>
      </c>
      <c r="D143" s="26" t="s">
        <v>141</v>
      </c>
      <c r="E143" s="27" t="s">
        <v>141</v>
      </c>
      <c r="F143" s="26" t="s">
        <v>141</v>
      </c>
      <c r="G143" s="27" t="s">
        <v>141</v>
      </c>
      <c r="H143" s="26" t="s">
        <v>141</v>
      </c>
      <c r="I143" s="27" t="s">
        <v>141</v>
      </c>
      <c r="J143" s="26" t="s">
        <v>141</v>
      </c>
      <c r="K143" s="27" t="s">
        <v>141</v>
      </c>
      <c r="L143" s="26" t="s">
        <v>141</v>
      </c>
      <c r="M143" s="27" t="s">
        <v>141</v>
      </c>
      <c r="N143" s="26" t="s">
        <v>141</v>
      </c>
      <c r="O143" s="27" t="s">
        <v>141</v>
      </c>
      <c r="P143" s="26" t="s">
        <v>141</v>
      </c>
      <c r="Q143" s="27" t="s">
        <v>141</v>
      </c>
      <c r="R143" s="26" t="s">
        <v>141</v>
      </c>
      <c r="S143" s="27" t="s">
        <v>141</v>
      </c>
      <c r="T143" s="26" t="s">
        <v>141</v>
      </c>
      <c r="U143" s="27" t="s">
        <v>141</v>
      </c>
      <c r="V143" s="26" t="s">
        <v>141</v>
      </c>
      <c r="W143" s="27" t="s">
        <v>141</v>
      </c>
      <c r="X143" s="26" t="s">
        <v>141</v>
      </c>
      <c r="Y143" s="27" t="s">
        <v>141</v>
      </c>
      <c r="Z143" s="26" t="s">
        <v>141</v>
      </c>
      <c r="AA143" s="27" t="s">
        <v>141</v>
      </c>
      <c r="AB143" s="26" t="s">
        <v>141</v>
      </c>
      <c r="AC143" s="27" t="s">
        <v>141</v>
      </c>
      <c r="AD143" s="26" t="s">
        <v>141</v>
      </c>
      <c r="AE143" s="27" t="s">
        <v>141</v>
      </c>
      <c r="AF143" s="26" t="s">
        <v>141</v>
      </c>
      <c r="AG143" s="27" t="s">
        <v>141</v>
      </c>
      <c r="AH143" s="26" t="s">
        <v>141</v>
      </c>
      <c r="AI143" s="27" t="s">
        <v>141</v>
      </c>
      <c r="AJ143" s="26" t="s">
        <v>141</v>
      </c>
      <c r="AK143" s="27" t="s">
        <v>141</v>
      </c>
      <c r="AL143" s="26" t="s">
        <v>141</v>
      </c>
      <c r="AM143" s="27" t="s">
        <v>141</v>
      </c>
      <c r="AN143" s="26" t="s">
        <v>141</v>
      </c>
      <c r="AO143" s="27" t="s">
        <v>141</v>
      </c>
      <c r="AP143" s="26" t="s">
        <v>141</v>
      </c>
      <c r="AQ143" s="27" t="s">
        <v>141</v>
      </c>
      <c r="AR143" s="26" t="s">
        <v>141</v>
      </c>
      <c r="AS143" s="27" t="s">
        <v>141</v>
      </c>
      <c r="AT143" s="26" t="s">
        <v>141</v>
      </c>
      <c r="AU143" s="27" t="s">
        <v>141</v>
      </c>
      <c r="AV143" s="26" t="s">
        <v>141</v>
      </c>
      <c r="AW143" s="27" t="s">
        <v>141</v>
      </c>
      <c r="AX143" s="26" t="s">
        <v>141</v>
      </c>
      <c r="AY143" s="27" t="s">
        <v>141</v>
      </c>
    </row>
    <row r="144" spans="2:51">
      <c r="B144" s="24" t="s">
        <v>141</v>
      </c>
      <c r="C144" s="25" t="s">
        <v>141</v>
      </c>
      <c r="D144" s="26" t="s">
        <v>141</v>
      </c>
      <c r="E144" s="27" t="s">
        <v>141</v>
      </c>
      <c r="F144" s="26" t="s">
        <v>141</v>
      </c>
      <c r="G144" s="27" t="s">
        <v>141</v>
      </c>
      <c r="H144" s="26" t="s">
        <v>141</v>
      </c>
      <c r="I144" s="27" t="s">
        <v>141</v>
      </c>
      <c r="J144" s="26" t="s">
        <v>141</v>
      </c>
      <c r="K144" s="27" t="s">
        <v>141</v>
      </c>
      <c r="L144" s="26" t="s">
        <v>141</v>
      </c>
      <c r="M144" s="27" t="s">
        <v>141</v>
      </c>
      <c r="N144" s="26" t="s">
        <v>141</v>
      </c>
      <c r="O144" s="27" t="s">
        <v>141</v>
      </c>
      <c r="P144" s="26" t="s">
        <v>141</v>
      </c>
      <c r="Q144" s="27" t="s">
        <v>141</v>
      </c>
      <c r="R144" s="26" t="s">
        <v>141</v>
      </c>
      <c r="S144" s="27" t="s">
        <v>141</v>
      </c>
      <c r="T144" s="26" t="s">
        <v>141</v>
      </c>
      <c r="U144" s="27" t="s">
        <v>141</v>
      </c>
      <c r="V144" s="26" t="s">
        <v>141</v>
      </c>
      <c r="W144" s="27" t="s">
        <v>141</v>
      </c>
      <c r="X144" s="26" t="s">
        <v>141</v>
      </c>
      <c r="Y144" s="27" t="s">
        <v>141</v>
      </c>
      <c r="Z144" s="26" t="s">
        <v>141</v>
      </c>
      <c r="AA144" s="27" t="s">
        <v>141</v>
      </c>
      <c r="AB144" s="26" t="s">
        <v>141</v>
      </c>
      <c r="AC144" s="27" t="s">
        <v>141</v>
      </c>
      <c r="AD144" s="26" t="s">
        <v>141</v>
      </c>
      <c r="AE144" s="27" t="s">
        <v>141</v>
      </c>
      <c r="AF144" s="26" t="s">
        <v>141</v>
      </c>
      <c r="AG144" s="27" t="s">
        <v>141</v>
      </c>
      <c r="AH144" s="26" t="s">
        <v>141</v>
      </c>
      <c r="AI144" s="27" t="s">
        <v>141</v>
      </c>
      <c r="AJ144" s="26" t="s">
        <v>141</v>
      </c>
      <c r="AK144" s="27" t="s">
        <v>141</v>
      </c>
      <c r="AL144" s="26" t="s">
        <v>141</v>
      </c>
      <c r="AM144" s="27" t="s">
        <v>141</v>
      </c>
      <c r="AN144" s="26" t="s">
        <v>141</v>
      </c>
      <c r="AO144" s="27" t="s">
        <v>141</v>
      </c>
      <c r="AP144" s="26" t="s">
        <v>141</v>
      </c>
      <c r="AQ144" s="27" t="s">
        <v>141</v>
      </c>
      <c r="AR144" s="26" t="s">
        <v>141</v>
      </c>
      <c r="AS144" s="27" t="s">
        <v>141</v>
      </c>
      <c r="AT144" s="26" t="s">
        <v>141</v>
      </c>
      <c r="AU144" s="27" t="s">
        <v>141</v>
      </c>
      <c r="AV144" s="26" t="s">
        <v>141</v>
      </c>
      <c r="AW144" s="27" t="s">
        <v>141</v>
      </c>
      <c r="AX144" s="26" t="s">
        <v>141</v>
      </c>
      <c r="AY144" s="27" t="s">
        <v>141</v>
      </c>
    </row>
    <row r="145" spans="2:51">
      <c r="B145" s="24" t="s">
        <v>141</v>
      </c>
      <c r="C145" s="25" t="s">
        <v>141</v>
      </c>
      <c r="D145" s="26" t="s">
        <v>141</v>
      </c>
      <c r="E145" s="27" t="s">
        <v>141</v>
      </c>
      <c r="F145" s="26" t="s">
        <v>141</v>
      </c>
      <c r="G145" s="27" t="s">
        <v>141</v>
      </c>
      <c r="H145" s="26" t="s">
        <v>141</v>
      </c>
      <c r="I145" s="27" t="s">
        <v>141</v>
      </c>
      <c r="J145" s="26" t="s">
        <v>141</v>
      </c>
      <c r="K145" s="27" t="s">
        <v>141</v>
      </c>
      <c r="L145" s="26" t="s">
        <v>141</v>
      </c>
      <c r="M145" s="27" t="s">
        <v>141</v>
      </c>
      <c r="N145" s="26" t="s">
        <v>141</v>
      </c>
      <c r="O145" s="27" t="s">
        <v>141</v>
      </c>
      <c r="P145" s="26" t="s">
        <v>141</v>
      </c>
      <c r="Q145" s="27" t="s">
        <v>141</v>
      </c>
      <c r="R145" s="26" t="s">
        <v>141</v>
      </c>
      <c r="S145" s="27" t="s">
        <v>141</v>
      </c>
      <c r="T145" s="26" t="s">
        <v>141</v>
      </c>
      <c r="U145" s="27" t="s">
        <v>141</v>
      </c>
      <c r="V145" s="26" t="s">
        <v>141</v>
      </c>
      <c r="W145" s="27" t="s">
        <v>141</v>
      </c>
      <c r="X145" s="26" t="s">
        <v>141</v>
      </c>
      <c r="Y145" s="27" t="s">
        <v>141</v>
      </c>
      <c r="Z145" s="26" t="s">
        <v>141</v>
      </c>
      <c r="AA145" s="27" t="s">
        <v>141</v>
      </c>
      <c r="AB145" s="26" t="s">
        <v>141</v>
      </c>
      <c r="AC145" s="27" t="s">
        <v>141</v>
      </c>
      <c r="AD145" s="26" t="s">
        <v>141</v>
      </c>
      <c r="AE145" s="27" t="s">
        <v>141</v>
      </c>
      <c r="AF145" s="26" t="s">
        <v>141</v>
      </c>
      <c r="AG145" s="27" t="s">
        <v>141</v>
      </c>
      <c r="AH145" s="26" t="s">
        <v>141</v>
      </c>
      <c r="AI145" s="27" t="s">
        <v>141</v>
      </c>
      <c r="AJ145" s="26" t="s">
        <v>141</v>
      </c>
      <c r="AK145" s="27" t="s">
        <v>141</v>
      </c>
      <c r="AL145" s="26" t="s">
        <v>141</v>
      </c>
      <c r="AM145" s="27" t="s">
        <v>141</v>
      </c>
      <c r="AN145" s="26" t="s">
        <v>141</v>
      </c>
      <c r="AO145" s="27" t="s">
        <v>141</v>
      </c>
      <c r="AP145" s="26" t="s">
        <v>141</v>
      </c>
      <c r="AQ145" s="27" t="s">
        <v>141</v>
      </c>
      <c r="AR145" s="26" t="s">
        <v>141</v>
      </c>
      <c r="AS145" s="27" t="s">
        <v>141</v>
      </c>
      <c r="AT145" s="26" t="s">
        <v>141</v>
      </c>
      <c r="AU145" s="27" t="s">
        <v>141</v>
      </c>
      <c r="AV145" s="26" t="s">
        <v>141</v>
      </c>
      <c r="AW145" s="27" t="s">
        <v>141</v>
      </c>
      <c r="AX145" s="26" t="s">
        <v>141</v>
      </c>
      <c r="AY145" s="27" t="s">
        <v>141</v>
      </c>
    </row>
    <row r="146" spans="2:51">
      <c r="B146" s="24" t="s">
        <v>141</v>
      </c>
      <c r="C146" s="25" t="s">
        <v>141</v>
      </c>
      <c r="D146" s="26" t="s">
        <v>141</v>
      </c>
      <c r="E146" s="27" t="s">
        <v>141</v>
      </c>
      <c r="F146" s="26" t="s">
        <v>141</v>
      </c>
      <c r="G146" s="27" t="s">
        <v>141</v>
      </c>
      <c r="H146" s="26" t="s">
        <v>141</v>
      </c>
      <c r="I146" s="27" t="s">
        <v>141</v>
      </c>
      <c r="J146" s="26" t="s">
        <v>141</v>
      </c>
      <c r="K146" s="27" t="s">
        <v>141</v>
      </c>
      <c r="L146" s="26" t="s">
        <v>141</v>
      </c>
      <c r="M146" s="27" t="s">
        <v>141</v>
      </c>
      <c r="N146" s="26" t="s">
        <v>141</v>
      </c>
      <c r="O146" s="27" t="s">
        <v>141</v>
      </c>
      <c r="P146" s="26" t="s">
        <v>141</v>
      </c>
      <c r="Q146" s="27" t="s">
        <v>141</v>
      </c>
      <c r="R146" s="26" t="s">
        <v>141</v>
      </c>
      <c r="S146" s="27" t="s">
        <v>141</v>
      </c>
      <c r="T146" s="26" t="s">
        <v>141</v>
      </c>
      <c r="U146" s="27" t="s">
        <v>141</v>
      </c>
      <c r="V146" s="26" t="s">
        <v>141</v>
      </c>
      <c r="W146" s="27" t="s">
        <v>141</v>
      </c>
      <c r="X146" s="26" t="s">
        <v>141</v>
      </c>
      <c r="Y146" s="27" t="s">
        <v>141</v>
      </c>
      <c r="Z146" s="26" t="s">
        <v>141</v>
      </c>
      <c r="AA146" s="27" t="s">
        <v>141</v>
      </c>
      <c r="AB146" s="26" t="s">
        <v>141</v>
      </c>
      <c r="AC146" s="27" t="s">
        <v>141</v>
      </c>
      <c r="AD146" s="26" t="s">
        <v>141</v>
      </c>
      <c r="AE146" s="27" t="s">
        <v>141</v>
      </c>
      <c r="AF146" s="26" t="s">
        <v>141</v>
      </c>
      <c r="AG146" s="27" t="s">
        <v>141</v>
      </c>
      <c r="AH146" s="26" t="s">
        <v>141</v>
      </c>
      <c r="AI146" s="27" t="s">
        <v>141</v>
      </c>
      <c r="AJ146" s="26" t="s">
        <v>141</v>
      </c>
      <c r="AK146" s="27" t="s">
        <v>141</v>
      </c>
      <c r="AL146" s="26" t="s">
        <v>141</v>
      </c>
      <c r="AM146" s="27" t="s">
        <v>141</v>
      </c>
      <c r="AN146" s="26" t="s">
        <v>141</v>
      </c>
      <c r="AO146" s="27" t="s">
        <v>141</v>
      </c>
      <c r="AP146" s="26" t="s">
        <v>141</v>
      </c>
      <c r="AQ146" s="27" t="s">
        <v>141</v>
      </c>
      <c r="AR146" s="26" t="s">
        <v>141</v>
      </c>
      <c r="AS146" s="27" t="s">
        <v>141</v>
      </c>
      <c r="AT146" s="26" t="s">
        <v>141</v>
      </c>
      <c r="AU146" s="27" t="s">
        <v>141</v>
      </c>
      <c r="AV146" s="26" t="s">
        <v>141</v>
      </c>
      <c r="AW146" s="27" t="s">
        <v>141</v>
      </c>
      <c r="AX146" s="26" t="s">
        <v>141</v>
      </c>
      <c r="AY146" s="27" t="s">
        <v>141</v>
      </c>
    </row>
    <row r="147" spans="2:51">
      <c r="B147" s="24" t="s">
        <v>141</v>
      </c>
      <c r="C147" s="25" t="s">
        <v>141</v>
      </c>
      <c r="D147" s="26" t="s">
        <v>141</v>
      </c>
      <c r="E147" s="27" t="s">
        <v>141</v>
      </c>
      <c r="F147" s="26" t="s">
        <v>141</v>
      </c>
      <c r="G147" s="27" t="s">
        <v>141</v>
      </c>
      <c r="H147" s="26" t="s">
        <v>141</v>
      </c>
      <c r="I147" s="27" t="s">
        <v>141</v>
      </c>
      <c r="J147" s="26" t="s">
        <v>141</v>
      </c>
      <c r="K147" s="27" t="s">
        <v>141</v>
      </c>
      <c r="L147" s="26" t="s">
        <v>141</v>
      </c>
      <c r="M147" s="27" t="s">
        <v>141</v>
      </c>
      <c r="N147" s="26" t="s">
        <v>141</v>
      </c>
      <c r="O147" s="27" t="s">
        <v>141</v>
      </c>
      <c r="P147" s="26" t="s">
        <v>141</v>
      </c>
      <c r="Q147" s="27" t="s">
        <v>141</v>
      </c>
      <c r="R147" s="26" t="s">
        <v>141</v>
      </c>
      <c r="S147" s="27" t="s">
        <v>141</v>
      </c>
      <c r="T147" s="26" t="s">
        <v>141</v>
      </c>
      <c r="U147" s="27" t="s">
        <v>141</v>
      </c>
      <c r="V147" s="26" t="s">
        <v>141</v>
      </c>
      <c r="W147" s="27" t="s">
        <v>141</v>
      </c>
      <c r="X147" s="26" t="s">
        <v>141</v>
      </c>
      <c r="Y147" s="27" t="s">
        <v>141</v>
      </c>
      <c r="Z147" s="26" t="s">
        <v>141</v>
      </c>
      <c r="AA147" s="27" t="s">
        <v>141</v>
      </c>
      <c r="AB147" s="26" t="s">
        <v>141</v>
      </c>
      <c r="AC147" s="27" t="s">
        <v>141</v>
      </c>
      <c r="AD147" s="26" t="s">
        <v>141</v>
      </c>
      <c r="AE147" s="27" t="s">
        <v>141</v>
      </c>
      <c r="AF147" s="26" t="s">
        <v>141</v>
      </c>
      <c r="AG147" s="27" t="s">
        <v>141</v>
      </c>
      <c r="AH147" s="26" t="s">
        <v>141</v>
      </c>
      <c r="AI147" s="27" t="s">
        <v>141</v>
      </c>
      <c r="AJ147" s="26" t="s">
        <v>141</v>
      </c>
      <c r="AK147" s="27" t="s">
        <v>141</v>
      </c>
      <c r="AL147" s="26" t="s">
        <v>141</v>
      </c>
      <c r="AM147" s="27" t="s">
        <v>141</v>
      </c>
      <c r="AN147" s="26" t="s">
        <v>141</v>
      </c>
      <c r="AO147" s="27" t="s">
        <v>141</v>
      </c>
      <c r="AP147" s="26" t="s">
        <v>141</v>
      </c>
      <c r="AQ147" s="27" t="s">
        <v>141</v>
      </c>
      <c r="AR147" s="26" t="s">
        <v>141</v>
      </c>
      <c r="AS147" s="27" t="s">
        <v>141</v>
      </c>
      <c r="AT147" s="26" t="s">
        <v>141</v>
      </c>
      <c r="AU147" s="27" t="s">
        <v>141</v>
      </c>
      <c r="AV147" s="26" t="s">
        <v>141</v>
      </c>
      <c r="AW147" s="27" t="s">
        <v>141</v>
      </c>
      <c r="AX147" s="26" t="s">
        <v>141</v>
      </c>
      <c r="AY147" s="27" t="s">
        <v>141</v>
      </c>
    </row>
    <row r="148" spans="2:51">
      <c r="B148" s="24">
        <v>1</v>
      </c>
      <c r="C148" s="25">
        <v>2</v>
      </c>
      <c r="D148" s="26">
        <v>3</v>
      </c>
      <c r="E148" s="27">
        <v>4</v>
      </c>
      <c r="F148" s="26">
        <v>5</v>
      </c>
      <c r="G148" s="27">
        <v>6</v>
      </c>
      <c r="H148" s="26">
        <v>7</v>
      </c>
      <c r="I148" s="27">
        <v>8</v>
      </c>
      <c r="J148" s="26">
        <v>9</v>
      </c>
      <c r="K148" s="27">
        <v>10</v>
      </c>
      <c r="L148" s="26">
        <v>11</v>
      </c>
      <c r="M148" s="27">
        <v>12</v>
      </c>
      <c r="N148" s="26">
        <v>13</v>
      </c>
      <c r="O148" s="27">
        <v>14</v>
      </c>
      <c r="P148" s="26">
        <v>15</v>
      </c>
      <c r="Q148" s="27">
        <v>16</v>
      </c>
      <c r="R148" s="26">
        <v>17</v>
      </c>
      <c r="S148" s="27">
        <v>18</v>
      </c>
      <c r="T148" s="26">
        <v>19</v>
      </c>
      <c r="U148" s="27">
        <v>20</v>
      </c>
      <c r="V148" s="26">
        <v>21</v>
      </c>
      <c r="W148" s="27">
        <v>22</v>
      </c>
      <c r="X148" s="26">
        <v>23</v>
      </c>
      <c r="Y148" s="27">
        <v>24</v>
      </c>
      <c r="Z148" s="26">
        <v>25</v>
      </c>
      <c r="AA148" s="27">
        <v>26</v>
      </c>
      <c r="AB148" s="26">
        <v>27</v>
      </c>
      <c r="AC148" s="27">
        <v>28</v>
      </c>
      <c r="AD148" s="26">
        <v>29</v>
      </c>
      <c r="AE148" s="27">
        <v>30</v>
      </c>
      <c r="AF148" s="26">
        <v>31</v>
      </c>
      <c r="AG148" s="27">
        <v>32</v>
      </c>
      <c r="AH148" s="26">
        <v>33</v>
      </c>
      <c r="AI148" s="27">
        <v>34</v>
      </c>
      <c r="AJ148" s="26">
        <v>35</v>
      </c>
      <c r="AK148" s="27">
        <v>36</v>
      </c>
      <c r="AL148" s="26">
        <v>37</v>
      </c>
      <c r="AM148" s="27">
        <v>38</v>
      </c>
      <c r="AN148" s="26">
        <v>39</v>
      </c>
      <c r="AO148" s="27">
        <v>40</v>
      </c>
      <c r="AP148" s="26">
        <v>41</v>
      </c>
      <c r="AQ148" s="27">
        <v>42</v>
      </c>
      <c r="AR148" s="26">
        <v>43</v>
      </c>
      <c r="AS148" s="27">
        <v>44</v>
      </c>
      <c r="AT148" s="26">
        <v>45</v>
      </c>
      <c r="AU148" s="27">
        <v>46</v>
      </c>
      <c r="AV148" s="26">
        <v>47</v>
      </c>
      <c r="AW148" s="27">
        <v>48</v>
      </c>
      <c r="AX148" s="26">
        <v>49</v>
      </c>
      <c r="AY148" s="27">
        <v>50</v>
      </c>
    </row>
    <row r="149" spans="2:51">
      <c r="B149" s="24" t="s">
        <v>141</v>
      </c>
      <c r="C149" s="25" t="s">
        <v>141</v>
      </c>
      <c r="D149" s="26" t="s">
        <v>141</v>
      </c>
      <c r="E149" s="27" t="s">
        <v>141</v>
      </c>
      <c r="F149" s="26" t="s">
        <v>141</v>
      </c>
      <c r="G149" s="27" t="s">
        <v>141</v>
      </c>
      <c r="H149" s="26" t="s">
        <v>141</v>
      </c>
      <c r="I149" s="27" t="s">
        <v>141</v>
      </c>
      <c r="J149" s="26" t="s">
        <v>141</v>
      </c>
      <c r="K149" s="27" t="s">
        <v>141</v>
      </c>
      <c r="L149" s="26" t="s">
        <v>141</v>
      </c>
      <c r="M149" s="27" t="s">
        <v>141</v>
      </c>
      <c r="N149" s="26" t="s">
        <v>141</v>
      </c>
      <c r="O149" s="27" t="s">
        <v>141</v>
      </c>
      <c r="P149" s="26" t="s">
        <v>141</v>
      </c>
      <c r="Q149" s="27" t="s">
        <v>141</v>
      </c>
      <c r="R149" s="26" t="s">
        <v>141</v>
      </c>
      <c r="S149" s="27" t="s">
        <v>141</v>
      </c>
      <c r="T149" s="26" t="s">
        <v>141</v>
      </c>
      <c r="U149" s="27" t="s">
        <v>141</v>
      </c>
      <c r="V149" s="26" t="s">
        <v>141</v>
      </c>
      <c r="W149" s="27" t="s">
        <v>141</v>
      </c>
      <c r="X149" s="26" t="s">
        <v>141</v>
      </c>
      <c r="Y149" s="27" t="s">
        <v>141</v>
      </c>
      <c r="Z149" s="26" t="s">
        <v>141</v>
      </c>
      <c r="AA149" s="27" t="s">
        <v>141</v>
      </c>
      <c r="AB149" s="26" t="s">
        <v>141</v>
      </c>
      <c r="AC149" s="27" t="s">
        <v>141</v>
      </c>
      <c r="AD149" s="26" t="s">
        <v>141</v>
      </c>
      <c r="AE149" s="27" t="s">
        <v>141</v>
      </c>
      <c r="AF149" s="26" t="s">
        <v>141</v>
      </c>
      <c r="AG149" s="27" t="s">
        <v>141</v>
      </c>
      <c r="AH149" s="26" t="s">
        <v>141</v>
      </c>
      <c r="AI149" s="27" t="s">
        <v>141</v>
      </c>
      <c r="AJ149" s="26" t="s">
        <v>141</v>
      </c>
      <c r="AK149" s="27" t="s">
        <v>141</v>
      </c>
      <c r="AL149" s="26" t="s">
        <v>141</v>
      </c>
      <c r="AM149" s="27" t="s">
        <v>141</v>
      </c>
      <c r="AN149" s="26" t="s">
        <v>141</v>
      </c>
      <c r="AO149" s="27" t="s">
        <v>141</v>
      </c>
      <c r="AP149" s="26" t="s">
        <v>141</v>
      </c>
      <c r="AQ149" s="27" t="s">
        <v>141</v>
      </c>
      <c r="AR149" s="26" t="s">
        <v>141</v>
      </c>
      <c r="AS149" s="27" t="s">
        <v>141</v>
      </c>
      <c r="AT149" s="26" t="s">
        <v>141</v>
      </c>
      <c r="AU149" s="27" t="s">
        <v>141</v>
      </c>
      <c r="AV149" s="26" t="s">
        <v>141</v>
      </c>
      <c r="AW149" s="27" t="s">
        <v>141</v>
      </c>
      <c r="AX149" s="26" t="s">
        <v>141</v>
      </c>
      <c r="AY149" s="27" t="s">
        <v>141</v>
      </c>
    </row>
    <row r="150" spans="2:51">
      <c r="B150" s="24" t="s">
        <v>141</v>
      </c>
      <c r="C150" s="25" t="s">
        <v>141</v>
      </c>
      <c r="D150" s="26" t="s">
        <v>141</v>
      </c>
      <c r="E150" s="27" t="s">
        <v>141</v>
      </c>
      <c r="F150" s="26" t="s">
        <v>141</v>
      </c>
      <c r="G150" s="27" t="s">
        <v>141</v>
      </c>
      <c r="H150" s="26" t="s">
        <v>141</v>
      </c>
      <c r="I150" s="27" t="s">
        <v>141</v>
      </c>
      <c r="J150" s="26" t="s">
        <v>141</v>
      </c>
      <c r="K150" s="27" t="s">
        <v>141</v>
      </c>
      <c r="L150" s="26" t="s">
        <v>141</v>
      </c>
      <c r="M150" s="27" t="s">
        <v>141</v>
      </c>
      <c r="N150" s="26" t="s">
        <v>141</v>
      </c>
      <c r="O150" s="27" t="s">
        <v>141</v>
      </c>
      <c r="P150" s="26" t="s">
        <v>141</v>
      </c>
      <c r="Q150" s="27" t="s">
        <v>141</v>
      </c>
      <c r="R150" s="26" t="s">
        <v>141</v>
      </c>
      <c r="S150" s="27" t="s">
        <v>141</v>
      </c>
      <c r="T150" s="26" t="s">
        <v>141</v>
      </c>
      <c r="U150" s="27" t="s">
        <v>141</v>
      </c>
      <c r="V150" s="26" t="s">
        <v>141</v>
      </c>
      <c r="W150" s="27" t="s">
        <v>141</v>
      </c>
      <c r="X150" s="26" t="s">
        <v>141</v>
      </c>
      <c r="Y150" s="27" t="s">
        <v>141</v>
      </c>
      <c r="Z150" s="26" t="s">
        <v>141</v>
      </c>
      <c r="AA150" s="27" t="s">
        <v>141</v>
      </c>
      <c r="AB150" s="26" t="s">
        <v>141</v>
      </c>
      <c r="AC150" s="27" t="s">
        <v>141</v>
      </c>
      <c r="AD150" s="26" t="s">
        <v>141</v>
      </c>
      <c r="AE150" s="27" t="s">
        <v>141</v>
      </c>
      <c r="AF150" s="26" t="s">
        <v>141</v>
      </c>
      <c r="AG150" s="27" t="s">
        <v>141</v>
      </c>
      <c r="AH150" s="26" t="s">
        <v>141</v>
      </c>
      <c r="AI150" s="27" t="s">
        <v>141</v>
      </c>
      <c r="AJ150" s="26" t="s">
        <v>141</v>
      </c>
      <c r="AK150" s="27" t="s">
        <v>141</v>
      </c>
      <c r="AL150" s="26" t="s">
        <v>141</v>
      </c>
      <c r="AM150" s="27" t="s">
        <v>141</v>
      </c>
      <c r="AN150" s="26" t="s">
        <v>141</v>
      </c>
      <c r="AO150" s="27" t="s">
        <v>141</v>
      </c>
      <c r="AP150" s="26" t="s">
        <v>141</v>
      </c>
      <c r="AQ150" s="27" t="s">
        <v>141</v>
      </c>
      <c r="AR150" s="26" t="s">
        <v>141</v>
      </c>
      <c r="AS150" s="27" t="s">
        <v>141</v>
      </c>
      <c r="AT150" s="26" t="s">
        <v>141</v>
      </c>
      <c r="AU150" s="27" t="s">
        <v>141</v>
      </c>
      <c r="AV150" s="26" t="s">
        <v>141</v>
      </c>
      <c r="AW150" s="27" t="s">
        <v>141</v>
      </c>
      <c r="AX150" s="26" t="s">
        <v>141</v>
      </c>
      <c r="AY150" s="27" t="s">
        <v>141</v>
      </c>
    </row>
    <row r="151" spans="2:51">
      <c r="B151" s="24" t="s">
        <v>141</v>
      </c>
      <c r="C151" s="25" t="s">
        <v>141</v>
      </c>
      <c r="D151" s="26" t="s">
        <v>141</v>
      </c>
      <c r="E151" s="27" t="s">
        <v>141</v>
      </c>
      <c r="F151" s="26" t="s">
        <v>141</v>
      </c>
      <c r="G151" s="27" t="s">
        <v>141</v>
      </c>
      <c r="H151" s="26" t="s">
        <v>141</v>
      </c>
      <c r="I151" s="27" t="s">
        <v>141</v>
      </c>
      <c r="J151" s="26" t="s">
        <v>141</v>
      </c>
      <c r="K151" s="27" t="s">
        <v>141</v>
      </c>
      <c r="L151" s="26" t="s">
        <v>141</v>
      </c>
      <c r="M151" s="27" t="s">
        <v>141</v>
      </c>
      <c r="N151" s="26" t="s">
        <v>141</v>
      </c>
      <c r="O151" s="27" t="s">
        <v>141</v>
      </c>
      <c r="P151" s="26" t="s">
        <v>141</v>
      </c>
      <c r="Q151" s="27" t="s">
        <v>141</v>
      </c>
      <c r="R151" s="26" t="s">
        <v>141</v>
      </c>
      <c r="S151" s="27" t="s">
        <v>141</v>
      </c>
      <c r="T151" s="26" t="s">
        <v>141</v>
      </c>
      <c r="U151" s="27" t="s">
        <v>141</v>
      </c>
      <c r="V151" s="26" t="s">
        <v>141</v>
      </c>
      <c r="W151" s="27" t="s">
        <v>141</v>
      </c>
      <c r="X151" s="26" t="s">
        <v>141</v>
      </c>
      <c r="Y151" s="27" t="s">
        <v>141</v>
      </c>
      <c r="Z151" s="26" t="s">
        <v>141</v>
      </c>
      <c r="AA151" s="27" t="s">
        <v>141</v>
      </c>
      <c r="AB151" s="26" t="s">
        <v>141</v>
      </c>
      <c r="AC151" s="27" t="s">
        <v>141</v>
      </c>
      <c r="AD151" s="26" t="s">
        <v>141</v>
      </c>
      <c r="AE151" s="27" t="s">
        <v>141</v>
      </c>
      <c r="AF151" s="26" t="s">
        <v>141</v>
      </c>
      <c r="AG151" s="27" t="s">
        <v>141</v>
      </c>
      <c r="AH151" s="26" t="s">
        <v>141</v>
      </c>
      <c r="AI151" s="27" t="s">
        <v>141</v>
      </c>
      <c r="AJ151" s="26" t="s">
        <v>141</v>
      </c>
      <c r="AK151" s="27" t="s">
        <v>141</v>
      </c>
      <c r="AL151" s="26" t="s">
        <v>141</v>
      </c>
      <c r="AM151" s="27" t="s">
        <v>141</v>
      </c>
      <c r="AN151" s="26" t="s">
        <v>141</v>
      </c>
      <c r="AO151" s="27" t="s">
        <v>141</v>
      </c>
      <c r="AP151" s="26" t="s">
        <v>141</v>
      </c>
      <c r="AQ151" s="27" t="s">
        <v>141</v>
      </c>
      <c r="AR151" s="26" t="s">
        <v>141</v>
      </c>
      <c r="AS151" s="27" t="s">
        <v>141</v>
      </c>
      <c r="AT151" s="26" t="s">
        <v>141</v>
      </c>
      <c r="AU151" s="27" t="s">
        <v>141</v>
      </c>
      <c r="AV151" s="26" t="s">
        <v>141</v>
      </c>
      <c r="AW151" s="27" t="s">
        <v>141</v>
      </c>
      <c r="AX151" s="26" t="s">
        <v>141</v>
      </c>
      <c r="AY151" s="27" t="s">
        <v>141</v>
      </c>
    </row>
    <row r="152" spans="2:51">
      <c r="B152" s="24" t="s">
        <v>141</v>
      </c>
      <c r="C152" s="25" t="s">
        <v>141</v>
      </c>
      <c r="D152" s="26" t="s">
        <v>141</v>
      </c>
      <c r="E152" s="27" t="s">
        <v>141</v>
      </c>
      <c r="F152" s="26" t="s">
        <v>141</v>
      </c>
      <c r="G152" s="27" t="s">
        <v>141</v>
      </c>
      <c r="H152" s="26" t="s">
        <v>141</v>
      </c>
      <c r="I152" s="27" t="s">
        <v>141</v>
      </c>
      <c r="J152" s="26" t="s">
        <v>141</v>
      </c>
      <c r="K152" s="27" t="s">
        <v>141</v>
      </c>
      <c r="L152" s="26" t="s">
        <v>141</v>
      </c>
      <c r="M152" s="27" t="s">
        <v>141</v>
      </c>
      <c r="N152" s="26" t="s">
        <v>141</v>
      </c>
      <c r="O152" s="27" t="s">
        <v>141</v>
      </c>
      <c r="P152" s="26" t="s">
        <v>141</v>
      </c>
      <c r="Q152" s="27" t="s">
        <v>141</v>
      </c>
      <c r="R152" s="26" t="s">
        <v>141</v>
      </c>
      <c r="S152" s="27" t="s">
        <v>141</v>
      </c>
      <c r="T152" s="26" t="s">
        <v>141</v>
      </c>
      <c r="U152" s="27" t="s">
        <v>141</v>
      </c>
      <c r="V152" s="26" t="s">
        <v>141</v>
      </c>
      <c r="W152" s="27" t="s">
        <v>141</v>
      </c>
      <c r="X152" s="26" t="s">
        <v>141</v>
      </c>
      <c r="Y152" s="27" t="s">
        <v>141</v>
      </c>
      <c r="Z152" s="26" t="s">
        <v>141</v>
      </c>
      <c r="AA152" s="27" t="s">
        <v>141</v>
      </c>
      <c r="AB152" s="26" t="s">
        <v>141</v>
      </c>
      <c r="AC152" s="27" t="s">
        <v>141</v>
      </c>
      <c r="AD152" s="26" t="s">
        <v>141</v>
      </c>
      <c r="AE152" s="27" t="s">
        <v>141</v>
      </c>
      <c r="AF152" s="26" t="s">
        <v>141</v>
      </c>
      <c r="AG152" s="27" t="s">
        <v>141</v>
      </c>
      <c r="AH152" s="26" t="s">
        <v>141</v>
      </c>
      <c r="AI152" s="27" t="s">
        <v>141</v>
      </c>
      <c r="AJ152" s="26" t="s">
        <v>141</v>
      </c>
      <c r="AK152" s="27" t="s">
        <v>141</v>
      </c>
      <c r="AL152" s="26" t="s">
        <v>141</v>
      </c>
      <c r="AM152" s="27" t="s">
        <v>141</v>
      </c>
      <c r="AN152" s="26" t="s">
        <v>141</v>
      </c>
      <c r="AO152" s="27" t="s">
        <v>141</v>
      </c>
      <c r="AP152" s="26" t="s">
        <v>141</v>
      </c>
      <c r="AQ152" s="27" t="s">
        <v>141</v>
      </c>
      <c r="AR152" s="26" t="s">
        <v>141</v>
      </c>
      <c r="AS152" s="27" t="s">
        <v>141</v>
      </c>
      <c r="AT152" s="26" t="s">
        <v>141</v>
      </c>
      <c r="AU152" s="27" t="s">
        <v>141</v>
      </c>
      <c r="AV152" s="26" t="s">
        <v>141</v>
      </c>
      <c r="AW152" s="27" t="s">
        <v>141</v>
      </c>
      <c r="AX152" s="26" t="s">
        <v>141</v>
      </c>
      <c r="AY152" s="27" t="s">
        <v>141</v>
      </c>
    </row>
    <row r="153" spans="2:51">
      <c r="B153" s="24" t="s">
        <v>141</v>
      </c>
      <c r="C153" s="25" t="s">
        <v>141</v>
      </c>
      <c r="D153" s="26" t="s">
        <v>141</v>
      </c>
      <c r="E153" s="27" t="s">
        <v>141</v>
      </c>
      <c r="F153" s="26" t="s">
        <v>141</v>
      </c>
      <c r="G153" s="27" t="s">
        <v>141</v>
      </c>
      <c r="H153" s="26" t="s">
        <v>141</v>
      </c>
      <c r="I153" s="27" t="s">
        <v>141</v>
      </c>
      <c r="J153" s="26" t="s">
        <v>141</v>
      </c>
      <c r="K153" s="27" t="s">
        <v>141</v>
      </c>
      <c r="L153" s="26" t="s">
        <v>141</v>
      </c>
      <c r="M153" s="27" t="s">
        <v>141</v>
      </c>
      <c r="N153" s="26" t="s">
        <v>141</v>
      </c>
      <c r="O153" s="27" t="s">
        <v>141</v>
      </c>
      <c r="P153" s="26" t="s">
        <v>141</v>
      </c>
      <c r="Q153" s="27" t="s">
        <v>141</v>
      </c>
      <c r="R153" s="26" t="s">
        <v>141</v>
      </c>
      <c r="S153" s="27" t="s">
        <v>141</v>
      </c>
      <c r="T153" s="26" t="s">
        <v>141</v>
      </c>
      <c r="U153" s="27" t="s">
        <v>141</v>
      </c>
      <c r="V153" s="26" t="s">
        <v>141</v>
      </c>
      <c r="W153" s="27" t="s">
        <v>141</v>
      </c>
      <c r="X153" s="26" t="s">
        <v>141</v>
      </c>
      <c r="Y153" s="27" t="s">
        <v>141</v>
      </c>
      <c r="Z153" s="26" t="s">
        <v>141</v>
      </c>
      <c r="AA153" s="27" t="s">
        <v>141</v>
      </c>
      <c r="AB153" s="26" t="s">
        <v>141</v>
      </c>
      <c r="AC153" s="27" t="s">
        <v>141</v>
      </c>
      <c r="AD153" s="26" t="s">
        <v>141</v>
      </c>
      <c r="AE153" s="27" t="s">
        <v>141</v>
      </c>
      <c r="AF153" s="26" t="s">
        <v>141</v>
      </c>
      <c r="AG153" s="27" t="s">
        <v>141</v>
      </c>
      <c r="AH153" s="26" t="s">
        <v>141</v>
      </c>
      <c r="AI153" s="27" t="s">
        <v>141</v>
      </c>
      <c r="AJ153" s="26" t="s">
        <v>141</v>
      </c>
      <c r="AK153" s="27" t="s">
        <v>141</v>
      </c>
      <c r="AL153" s="26" t="s">
        <v>141</v>
      </c>
      <c r="AM153" s="27" t="s">
        <v>141</v>
      </c>
      <c r="AN153" s="26" t="s">
        <v>141</v>
      </c>
      <c r="AO153" s="27" t="s">
        <v>141</v>
      </c>
      <c r="AP153" s="26" t="s">
        <v>141</v>
      </c>
      <c r="AQ153" s="27" t="s">
        <v>141</v>
      </c>
      <c r="AR153" s="26" t="s">
        <v>141</v>
      </c>
      <c r="AS153" s="27" t="s">
        <v>141</v>
      </c>
      <c r="AT153" s="26" t="s">
        <v>141</v>
      </c>
      <c r="AU153" s="27" t="s">
        <v>141</v>
      </c>
      <c r="AV153" s="26" t="s">
        <v>141</v>
      </c>
      <c r="AW153" s="27" t="s">
        <v>141</v>
      </c>
      <c r="AX153" s="26" t="s">
        <v>141</v>
      </c>
      <c r="AY153" s="27" t="s">
        <v>141</v>
      </c>
    </row>
    <row r="154" spans="2:51">
      <c r="B154" s="24" t="s">
        <v>141</v>
      </c>
      <c r="C154" s="25" t="s">
        <v>141</v>
      </c>
      <c r="D154" s="26" t="s">
        <v>141</v>
      </c>
      <c r="E154" s="27" t="s">
        <v>141</v>
      </c>
      <c r="F154" s="26" t="s">
        <v>141</v>
      </c>
      <c r="G154" s="27" t="s">
        <v>141</v>
      </c>
      <c r="H154" s="26" t="s">
        <v>141</v>
      </c>
      <c r="I154" s="27" t="s">
        <v>141</v>
      </c>
      <c r="J154" s="26" t="s">
        <v>141</v>
      </c>
      <c r="K154" s="27" t="s">
        <v>141</v>
      </c>
      <c r="L154" s="26" t="s">
        <v>141</v>
      </c>
      <c r="M154" s="27" t="s">
        <v>141</v>
      </c>
      <c r="N154" s="26" t="s">
        <v>141</v>
      </c>
      <c r="O154" s="27" t="s">
        <v>141</v>
      </c>
      <c r="P154" s="26" t="s">
        <v>141</v>
      </c>
      <c r="Q154" s="27" t="s">
        <v>141</v>
      </c>
      <c r="R154" s="26" t="s">
        <v>141</v>
      </c>
      <c r="S154" s="27" t="s">
        <v>141</v>
      </c>
      <c r="T154" s="26" t="s">
        <v>141</v>
      </c>
      <c r="U154" s="27" t="s">
        <v>141</v>
      </c>
      <c r="V154" s="26" t="s">
        <v>141</v>
      </c>
      <c r="W154" s="27" t="s">
        <v>141</v>
      </c>
      <c r="X154" s="26" t="s">
        <v>141</v>
      </c>
      <c r="Y154" s="27" t="s">
        <v>141</v>
      </c>
      <c r="Z154" s="26" t="s">
        <v>141</v>
      </c>
      <c r="AA154" s="27" t="s">
        <v>141</v>
      </c>
      <c r="AB154" s="26" t="s">
        <v>141</v>
      </c>
      <c r="AC154" s="27" t="s">
        <v>141</v>
      </c>
      <c r="AD154" s="26" t="s">
        <v>141</v>
      </c>
      <c r="AE154" s="27" t="s">
        <v>141</v>
      </c>
      <c r="AF154" s="26" t="s">
        <v>141</v>
      </c>
      <c r="AG154" s="27" t="s">
        <v>141</v>
      </c>
      <c r="AH154" s="26" t="s">
        <v>141</v>
      </c>
      <c r="AI154" s="27" t="s">
        <v>141</v>
      </c>
      <c r="AJ154" s="26" t="s">
        <v>141</v>
      </c>
      <c r="AK154" s="27" t="s">
        <v>141</v>
      </c>
      <c r="AL154" s="26" t="s">
        <v>141</v>
      </c>
      <c r="AM154" s="27" t="s">
        <v>141</v>
      </c>
      <c r="AN154" s="26" t="s">
        <v>141</v>
      </c>
      <c r="AO154" s="27" t="s">
        <v>141</v>
      </c>
      <c r="AP154" s="26" t="s">
        <v>141</v>
      </c>
      <c r="AQ154" s="27" t="s">
        <v>141</v>
      </c>
      <c r="AR154" s="26" t="s">
        <v>141</v>
      </c>
      <c r="AS154" s="27" t="s">
        <v>141</v>
      </c>
      <c r="AT154" s="26" t="s">
        <v>141</v>
      </c>
      <c r="AU154" s="27" t="s">
        <v>141</v>
      </c>
      <c r="AV154" s="26" t="s">
        <v>141</v>
      </c>
      <c r="AW154" s="27" t="s">
        <v>141</v>
      </c>
      <c r="AX154" s="26" t="s">
        <v>141</v>
      </c>
      <c r="AY154" s="27" t="s">
        <v>141</v>
      </c>
    </row>
    <row r="155" spans="2:51">
      <c r="B155" s="24" t="s">
        <v>141</v>
      </c>
      <c r="C155" s="25" t="s">
        <v>141</v>
      </c>
      <c r="D155" s="26" t="s">
        <v>141</v>
      </c>
      <c r="E155" s="27" t="s">
        <v>141</v>
      </c>
      <c r="F155" s="26" t="s">
        <v>141</v>
      </c>
      <c r="G155" s="27" t="s">
        <v>141</v>
      </c>
      <c r="H155" s="26" t="s">
        <v>141</v>
      </c>
      <c r="I155" s="27" t="s">
        <v>141</v>
      </c>
      <c r="J155" s="26" t="s">
        <v>141</v>
      </c>
      <c r="K155" s="27" t="s">
        <v>141</v>
      </c>
      <c r="L155" s="26" t="s">
        <v>141</v>
      </c>
      <c r="M155" s="27" t="s">
        <v>141</v>
      </c>
      <c r="N155" s="26" t="s">
        <v>141</v>
      </c>
      <c r="O155" s="27" t="s">
        <v>141</v>
      </c>
      <c r="P155" s="26" t="s">
        <v>141</v>
      </c>
      <c r="Q155" s="27" t="s">
        <v>141</v>
      </c>
      <c r="R155" s="26" t="s">
        <v>141</v>
      </c>
      <c r="S155" s="27" t="s">
        <v>141</v>
      </c>
      <c r="T155" s="26" t="s">
        <v>141</v>
      </c>
      <c r="U155" s="27" t="s">
        <v>141</v>
      </c>
      <c r="V155" s="26" t="s">
        <v>141</v>
      </c>
      <c r="W155" s="27" t="s">
        <v>141</v>
      </c>
      <c r="X155" s="26" t="s">
        <v>141</v>
      </c>
      <c r="Y155" s="27" t="s">
        <v>141</v>
      </c>
      <c r="Z155" s="26" t="s">
        <v>141</v>
      </c>
      <c r="AA155" s="27" t="s">
        <v>141</v>
      </c>
      <c r="AB155" s="26" t="s">
        <v>141</v>
      </c>
      <c r="AC155" s="27" t="s">
        <v>141</v>
      </c>
      <c r="AD155" s="26" t="s">
        <v>141</v>
      </c>
      <c r="AE155" s="27" t="s">
        <v>141</v>
      </c>
      <c r="AF155" s="26" t="s">
        <v>141</v>
      </c>
      <c r="AG155" s="27" t="s">
        <v>141</v>
      </c>
      <c r="AH155" s="26" t="s">
        <v>141</v>
      </c>
      <c r="AI155" s="27" t="s">
        <v>141</v>
      </c>
      <c r="AJ155" s="26" t="s">
        <v>141</v>
      </c>
      <c r="AK155" s="27" t="s">
        <v>141</v>
      </c>
      <c r="AL155" s="26" t="s">
        <v>141</v>
      </c>
      <c r="AM155" s="27" t="s">
        <v>141</v>
      </c>
      <c r="AN155" s="26" t="s">
        <v>141</v>
      </c>
      <c r="AO155" s="27" t="s">
        <v>141</v>
      </c>
      <c r="AP155" s="26" t="s">
        <v>141</v>
      </c>
      <c r="AQ155" s="27" t="s">
        <v>141</v>
      </c>
      <c r="AR155" s="26" t="s">
        <v>141</v>
      </c>
      <c r="AS155" s="27" t="s">
        <v>141</v>
      </c>
      <c r="AT155" s="26" t="s">
        <v>141</v>
      </c>
      <c r="AU155" s="27" t="s">
        <v>141</v>
      </c>
      <c r="AV155" s="26" t="s">
        <v>141</v>
      </c>
      <c r="AW155" s="27" t="s">
        <v>141</v>
      </c>
      <c r="AX155" s="26" t="s">
        <v>141</v>
      </c>
      <c r="AY155" s="27" t="s">
        <v>141</v>
      </c>
    </row>
    <row r="156" spans="2:51">
      <c r="B156" s="24" t="s">
        <v>141</v>
      </c>
      <c r="C156" s="25" t="s">
        <v>141</v>
      </c>
      <c r="D156" s="26" t="s">
        <v>141</v>
      </c>
      <c r="E156" s="27" t="s">
        <v>141</v>
      </c>
      <c r="F156" s="26" t="s">
        <v>141</v>
      </c>
      <c r="G156" s="27" t="s">
        <v>141</v>
      </c>
      <c r="H156" s="26" t="s">
        <v>141</v>
      </c>
      <c r="I156" s="27" t="s">
        <v>141</v>
      </c>
      <c r="J156" s="26" t="s">
        <v>141</v>
      </c>
      <c r="K156" s="27" t="s">
        <v>141</v>
      </c>
      <c r="L156" s="26" t="s">
        <v>141</v>
      </c>
      <c r="M156" s="27" t="s">
        <v>141</v>
      </c>
      <c r="N156" s="26" t="s">
        <v>141</v>
      </c>
      <c r="O156" s="27" t="s">
        <v>141</v>
      </c>
      <c r="P156" s="26" t="s">
        <v>141</v>
      </c>
      <c r="Q156" s="27" t="s">
        <v>141</v>
      </c>
      <c r="R156" s="26" t="s">
        <v>141</v>
      </c>
      <c r="S156" s="27" t="s">
        <v>141</v>
      </c>
      <c r="T156" s="26" t="s">
        <v>141</v>
      </c>
      <c r="U156" s="27" t="s">
        <v>141</v>
      </c>
      <c r="V156" s="26" t="s">
        <v>141</v>
      </c>
      <c r="W156" s="27" t="s">
        <v>141</v>
      </c>
      <c r="X156" s="26" t="s">
        <v>141</v>
      </c>
      <c r="Y156" s="27" t="s">
        <v>141</v>
      </c>
      <c r="Z156" s="26" t="s">
        <v>141</v>
      </c>
      <c r="AA156" s="27" t="s">
        <v>141</v>
      </c>
      <c r="AB156" s="26" t="s">
        <v>141</v>
      </c>
      <c r="AC156" s="27" t="s">
        <v>141</v>
      </c>
      <c r="AD156" s="26" t="s">
        <v>141</v>
      </c>
      <c r="AE156" s="27" t="s">
        <v>141</v>
      </c>
      <c r="AF156" s="26" t="s">
        <v>141</v>
      </c>
      <c r="AG156" s="27" t="s">
        <v>141</v>
      </c>
      <c r="AH156" s="26" t="s">
        <v>141</v>
      </c>
      <c r="AI156" s="27" t="s">
        <v>141</v>
      </c>
      <c r="AJ156" s="26" t="s">
        <v>141</v>
      </c>
      <c r="AK156" s="27" t="s">
        <v>141</v>
      </c>
      <c r="AL156" s="26" t="s">
        <v>141</v>
      </c>
      <c r="AM156" s="27" t="s">
        <v>141</v>
      </c>
      <c r="AN156" s="26" t="s">
        <v>141</v>
      </c>
      <c r="AO156" s="27" t="s">
        <v>141</v>
      </c>
      <c r="AP156" s="26" t="s">
        <v>141</v>
      </c>
      <c r="AQ156" s="27" t="s">
        <v>141</v>
      </c>
      <c r="AR156" s="26" t="s">
        <v>141</v>
      </c>
      <c r="AS156" s="27" t="s">
        <v>141</v>
      </c>
      <c r="AT156" s="26" t="s">
        <v>141</v>
      </c>
      <c r="AU156" s="27" t="s">
        <v>141</v>
      </c>
      <c r="AV156" s="26" t="s">
        <v>141</v>
      </c>
      <c r="AW156" s="27" t="s">
        <v>141</v>
      </c>
      <c r="AX156" s="26" t="s">
        <v>141</v>
      </c>
      <c r="AY156" s="27" t="s">
        <v>141</v>
      </c>
    </row>
    <row r="157" spans="2:51">
      <c r="B157" s="24" t="s">
        <v>141</v>
      </c>
      <c r="C157" s="25" t="s">
        <v>141</v>
      </c>
      <c r="D157" s="26" t="s">
        <v>141</v>
      </c>
      <c r="E157" s="27" t="s">
        <v>141</v>
      </c>
      <c r="F157" s="26" t="s">
        <v>141</v>
      </c>
      <c r="G157" s="27" t="s">
        <v>141</v>
      </c>
      <c r="H157" s="26" t="s">
        <v>141</v>
      </c>
      <c r="I157" s="27" t="s">
        <v>141</v>
      </c>
      <c r="J157" s="26" t="s">
        <v>141</v>
      </c>
      <c r="K157" s="27" t="s">
        <v>141</v>
      </c>
      <c r="L157" s="26" t="s">
        <v>141</v>
      </c>
      <c r="M157" s="27" t="s">
        <v>141</v>
      </c>
      <c r="N157" s="26" t="s">
        <v>141</v>
      </c>
      <c r="O157" s="27" t="s">
        <v>141</v>
      </c>
      <c r="P157" s="26" t="s">
        <v>141</v>
      </c>
      <c r="Q157" s="27" t="s">
        <v>141</v>
      </c>
      <c r="R157" s="26" t="s">
        <v>141</v>
      </c>
      <c r="S157" s="27" t="s">
        <v>141</v>
      </c>
      <c r="T157" s="26" t="s">
        <v>141</v>
      </c>
      <c r="U157" s="27" t="s">
        <v>141</v>
      </c>
      <c r="V157" s="26" t="s">
        <v>141</v>
      </c>
      <c r="W157" s="27" t="s">
        <v>141</v>
      </c>
      <c r="X157" s="26" t="s">
        <v>141</v>
      </c>
      <c r="Y157" s="27" t="s">
        <v>141</v>
      </c>
      <c r="Z157" s="26" t="s">
        <v>141</v>
      </c>
      <c r="AA157" s="27" t="s">
        <v>141</v>
      </c>
      <c r="AB157" s="26" t="s">
        <v>141</v>
      </c>
      <c r="AC157" s="27" t="s">
        <v>141</v>
      </c>
      <c r="AD157" s="26" t="s">
        <v>141</v>
      </c>
      <c r="AE157" s="27" t="s">
        <v>141</v>
      </c>
      <c r="AF157" s="26" t="s">
        <v>141</v>
      </c>
      <c r="AG157" s="27" t="s">
        <v>141</v>
      </c>
      <c r="AH157" s="26" t="s">
        <v>141</v>
      </c>
      <c r="AI157" s="27" t="s">
        <v>141</v>
      </c>
      <c r="AJ157" s="26" t="s">
        <v>141</v>
      </c>
      <c r="AK157" s="27" t="s">
        <v>141</v>
      </c>
      <c r="AL157" s="26" t="s">
        <v>141</v>
      </c>
      <c r="AM157" s="27" t="s">
        <v>141</v>
      </c>
      <c r="AN157" s="26" t="s">
        <v>141</v>
      </c>
      <c r="AO157" s="27" t="s">
        <v>141</v>
      </c>
      <c r="AP157" s="26" t="s">
        <v>141</v>
      </c>
      <c r="AQ157" s="27" t="s">
        <v>141</v>
      </c>
      <c r="AR157" s="26" t="s">
        <v>141</v>
      </c>
      <c r="AS157" s="27" t="s">
        <v>141</v>
      </c>
      <c r="AT157" s="26" t="s">
        <v>141</v>
      </c>
      <c r="AU157" s="27" t="s">
        <v>141</v>
      </c>
      <c r="AV157" s="26" t="s">
        <v>141</v>
      </c>
      <c r="AW157" s="27" t="s">
        <v>141</v>
      </c>
      <c r="AX157" s="26" t="s">
        <v>141</v>
      </c>
      <c r="AY157" s="27" t="s">
        <v>141</v>
      </c>
    </row>
    <row r="158" spans="2:51">
      <c r="B158" s="24" t="s">
        <v>141</v>
      </c>
      <c r="C158" s="25" t="s">
        <v>141</v>
      </c>
      <c r="D158" s="26" t="s">
        <v>141</v>
      </c>
      <c r="E158" s="27" t="s">
        <v>141</v>
      </c>
      <c r="F158" s="26" t="s">
        <v>141</v>
      </c>
      <c r="G158" s="27" t="s">
        <v>141</v>
      </c>
      <c r="H158" s="26" t="s">
        <v>141</v>
      </c>
      <c r="I158" s="27" t="s">
        <v>141</v>
      </c>
      <c r="J158" s="26" t="s">
        <v>141</v>
      </c>
      <c r="K158" s="27" t="s">
        <v>141</v>
      </c>
      <c r="L158" s="26" t="s">
        <v>141</v>
      </c>
      <c r="M158" s="27" t="s">
        <v>141</v>
      </c>
      <c r="N158" s="26" t="s">
        <v>141</v>
      </c>
      <c r="O158" s="27" t="s">
        <v>141</v>
      </c>
      <c r="P158" s="26" t="s">
        <v>141</v>
      </c>
      <c r="Q158" s="27" t="s">
        <v>141</v>
      </c>
      <c r="R158" s="26" t="s">
        <v>141</v>
      </c>
      <c r="S158" s="27" t="s">
        <v>141</v>
      </c>
      <c r="T158" s="26" t="s">
        <v>141</v>
      </c>
      <c r="U158" s="27" t="s">
        <v>141</v>
      </c>
      <c r="V158" s="26" t="s">
        <v>141</v>
      </c>
      <c r="W158" s="27" t="s">
        <v>141</v>
      </c>
      <c r="X158" s="26" t="s">
        <v>141</v>
      </c>
      <c r="Y158" s="27" t="s">
        <v>141</v>
      </c>
      <c r="Z158" s="26" t="s">
        <v>141</v>
      </c>
      <c r="AA158" s="27" t="s">
        <v>141</v>
      </c>
      <c r="AB158" s="26" t="s">
        <v>141</v>
      </c>
      <c r="AC158" s="27" t="s">
        <v>141</v>
      </c>
      <c r="AD158" s="26" t="s">
        <v>141</v>
      </c>
      <c r="AE158" s="27" t="s">
        <v>141</v>
      </c>
      <c r="AF158" s="26" t="s">
        <v>141</v>
      </c>
      <c r="AG158" s="27" t="s">
        <v>141</v>
      </c>
      <c r="AH158" s="26" t="s">
        <v>141</v>
      </c>
      <c r="AI158" s="27" t="s">
        <v>141</v>
      </c>
      <c r="AJ158" s="26" t="s">
        <v>141</v>
      </c>
      <c r="AK158" s="27" t="s">
        <v>141</v>
      </c>
      <c r="AL158" s="26" t="s">
        <v>141</v>
      </c>
      <c r="AM158" s="27" t="s">
        <v>141</v>
      </c>
      <c r="AN158" s="26" t="s">
        <v>141</v>
      </c>
      <c r="AO158" s="27" t="s">
        <v>141</v>
      </c>
      <c r="AP158" s="26" t="s">
        <v>141</v>
      </c>
      <c r="AQ158" s="27" t="s">
        <v>141</v>
      </c>
      <c r="AR158" s="26" t="s">
        <v>141</v>
      </c>
      <c r="AS158" s="27" t="s">
        <v>141</v>
      </c>
      <c r="AT158" s="26" t="s">
        <v>141</v>
      </c>
      <c r="AU158" s="27" t="s">
        <v>141</v>
      </c>
      <c r="AV158" s="26" t="s">
        <v>141</v>
      </c>
      <c r="AW158" s="27" t="s">
        <v>141</v>
      </c>
      <c r="AX158" s="26" t="s">
        <v>141</v>
      </c>
      <c r="AY158" s="27" t="s">
        <v>141</v>
      </c>
    </row>
    <row r="159" spans="2:51">
      <c r="B159" s="24" t="s">
        <v>141</v>
      </c>
      <c r="C159" s="25" t="s">
        <v>141</v>
      </c>
      <c r="D159" s="26" t="s">
        <v>141</v>
      </c>
      <c r="E159" s="27" t="s">
        <v>141</v>
      </c>
      <c r="F159" s="26" t="s">
        <v>141</v>
      </c>
      <c r="G159" s="27" t="s">
        <v>141</v>
      </c>
      <c r="H159" s="26" t="s">
        <v>141</v>
      </c>
      <c r="I159" s="27" t="s">
        <v>141</v>
      </c>
      <c r="J159" s="26" t="s">
        <v>141</v>
      </c>
      <c r="K159" s="27" t="s">
        <v>141</v>
      </c>
      <c r="L159" s="26" t="s">
        <v>141</v>
      </c>
      <c r="M159" s="27" t="s">
        <v>141</v>
      </c>
      <c r="N159" s="26" t="s">
        <v>141</v>
      </c>
      <c r="O159" s="27" t="s">
        <v>141</v>
      </c>
      <c r="P159" s="26" t="s">
        <v>141</v>
      </c>
      <c r="Q159" s="27" t="s">
        <v>141</v>
      </c>
      <c r="R159" s="26" t="s">
        <v>141</v>
      </c>
      <c r="S159" s="27" t="s">
        <v>141</v>
      </c>
      <c r="T159" s="26" t="s">
        <v>141</v>
      </c>
      <c r="U159" s="27" t="s">
        <v>141</v>
      </c>
      <c r="V159" s="26" t="s">
        <v>141</v>
      </c>
      <c r="W159" s="27" t="s">
        <v>141</v>
      </c>
      <c r="X159" s="26" t="s">
        <v>141</v>
      </c>
      <c r="Y159" s="27" t="s">
        <v>141</v>
      </c>
      <c r="Z159" s="26" t="s">
        <v>141</v>
      </c>
      <c r="AA159" s="27" t="s">
        <v>141</v>
      </c>
      <c r="AB159" s="26" t="s">
        <v>141</v>
      </c>
      <c r="AC159" s="27" t="s">
        <v>141</v>
      </c>
      <c r="AD159" s="26" t="s">
        <v>141</v>
      </c>
      <c r="AE159" s="27" t="s">
        <v>141</v>
      </c>
      <c r="AF159" s="26" t="s">
        <v>141</v>
      </c>
      <c r="AG159" s="27" t="s">
        <v>141</v>
      </c>
      <c r="AH159" s="26" t="s">
        <v>141</v>
      </c>
      <c r="AI159" s="27" t="s">
        <v>141</v>
      </c>
      <c r="AJ159" s="26" t="s">
        <v>141</v>
      </c>
      <c r="AK159" s="27" t="s">
        <v>141</v>
      </c>
      <c r="AL159" s="26" t="s">
        <v>141</v>
      </c>
      <c r="AM159" s="27" t="s">
        <v>141</v>
      </c>
      <c r="AN159" s="26" t="s">
        <v>141</v>
      </c>
      <c r="AO159" s="27" t="s">
        <v>141</v>
      </c>
      <c r="AP159" s="26" t="s">
        <v>141</v>
      </c>
      <c r="AQ159" s="27" t="s">
        <v>141</v>
      </c>
      <c r="AR159" s="26" t="s">
        <v>141</v>
      </c>
      <c r="AS159" s="27" t="s">
        <v>141</v>
      </c>
      <c r="AT159" s="26" t="s">
        <v>141</v>
      </c>
      <c r="AU159" s="27" t="s">
        <v>141</v>
      </c>
      <c r="AV159" s="26" t="s">
        <v>141</v>
      </c>
      <c r="AW159" s="27" t="s">
        <v>141</v>
      </c>
      <c r="AX159" s="26" t="s">
        <v>141</v>
      </c>
      <c r="AY159" s="27" t="s">
        <v>141</v>
      </c>
    </row>
    <row r="160" spans="2:51">
      <c r="B160" s="24" t="s">
        <v>141</v>
      </c>
      <c r="C160" s="25" t="s">
        <v>141</v>
      </c>
      <c r="D160" s="26" t="s">
        <v>141</v>
      </c>
      <c r="E160" s="27" t="s">
        <v>141</v>
      </c>
      <c r="F160" s="26" t="s">
        <v>141</v>
      </c>
      <c r="G160" s="27" t="s">
        <v>141</v>
      </c>
      <c r="H160" s="26" t="s">
        <v>141</v>
      </c>
      <c r="I160" s="27" t="s">
        <v>141</v>
      </c>
      <c r="J160" s="26" t="s">
        <v>141</v>
      </c>
      <c r="K160" s="27" t="s">
        <v>141</v>
      </c>
      <c r="L160" s="26" t="s">
        <v>141</v>
      </c>
      <c r="M160" s="27" t="s">
        <v>141</v>
      </c>
      <c r="N160" s="26" t="s">
        <v>141</v>
      </c>
      <c r="O160" s="27" t="s">
        <v>141</v>
      </c>
      <c r="P160" s="26" t="s">
        <v>141</v>
      </c>
      <c r="Q160" s="27" t="s">
        <v>141</v>
      </c>
      <c r="R160" s="26" t="s">
        <v>141</v>
      </c>
      <c r="S160" s="27" t="s">
        <v>141</v>
      </c>
      <c r="T160" s="26" t="s">
        <v>141</v>
      </c>
      <c r="U160" s="27" t="s">
        <v>141</v>
      </c>
      <c r="V160" s="26" t="s">
        <v>141</v>
      </c>
      <c r="W160" s="27" t="s">
        <v>141</v>
      </c>
      <c r="X160" s="26" t="s">
        <v>141</v>
      </c>
      <c r="Y160" s="27" t="s">
        <v>141</v>
      </c>
      <c r="Z160" s="26" t="s">
        <v>141</v>
      </c>
      <c r="AA160" s="27" t="s">
        <v>141</v>
      </c>
      <c r="AB160" s="26" t="s">
        <v>141</v>
      </c>
      <c r="AC160" s="27" t="s">
        <v>141</v>
      </c>
      <c r="AD160" s="26" t="s">
        <v>141</v>
      </c>
      <c r="AE160" s="27" t="s">
        <v>141</v>
      </c>
      <c r="AF160" s="26" t="s">
        <v>141</v>
      </c>
      <c r="AG160" s="27" t="s">
        <v>141</v>
      </c>
      <c r="AH160" s="26" t="s">
        <v>141</v>
      </c>
      <c r="AI160" s="27" t="s">
        <v>141</v>
      </c>
      <c r="AJ160" s="26" t="s">
        <v>141</v>
      </c>
      <c r="AK160" s="27" t="s">
        <v>141</v>
      </c>
      <c r="AL160" s="26" t="s">
        <v>141</v>
      </c>
      <c r="AM160" s="27" t="s">
        <v>141</v>
      </c>
      <c r="AN160" s="26" t="s">
        <v>141</v>
      </c>
      <c r="AO160" s="27" t="s">
        <v>141</v>
      </c>
      <c r="AP160" s="26" t="s">
        <v>141</v>
      </c>
      <c r="AQ160" s="27" t="s">
        <v>141</v>
      </c>
      <c r="AR160" s="26" t="s">
        <v>141</v>
      </c>
      <c r="AS160" s="27" t="s">
        <v>141</v>
      </c>
      <c r="AT160" s="26" t="s">
        <v>141</v>
      </c>
      <c r="AU160" s="27" t="s">
        <v>141</v>
      </c>
      <c r="AV160" s="26" t="s">
        <v>141</v>
      </c>
      <c r="AW160" s="27" t="s">
        <v>141</v>
      </c>
      <c r="AX160" s="26" t="s">
        <v>141</v>
      </c>
      <c r="AY160" s="27" t="s">
        <v>141</v>
      </c>
    </row>
    <row r="161" spans="2:51">
      <c r="B161" s="24" t="s">
        <v>141</v>
      </c>
      <c r="C161" s="25" t="s">
        <v>141</v>
      </c>
      <c r="D161" s="26" t="s">
        <v>141</v>
      </c>
      <c r="E161" s="27" t="s">
        <v>141</v>
      </c>
      <c r="F161" s="26" t="s">
        <v>141</v>
      </c>
      <c r="G161" s="27" t="s">
        <v>141</v>
      </c>
      <c r="H161" s="26" t="s">
        <v>141</v>
      </c>
      <c r="I161" s="27" t="s">
        <v>141</v>
      </c>
      <c r="J161" s="26" t="s">
        <v>141</v>
      </c>
      <c r="K161" s="27" t="s">
        <v>141</v>
      </c>
      <c r="L161" s="26" t="s">
        <v>141</v>
      </c>
      <c r="M161" s="27" t="s">
        <v>141</v>
      </c>
      <c r="N161" s="26" t="s">
        <v>141</v>
      </c>
      <c r="O161" s="27" t="s">
        <v>141</v>
      </c>
      <c r="P161" s="26" t="s">
        <v>141</v>
      </c>
      <c r="Q161" s="27" t="s">
        <v>141</v>
      </c>
      <c r="R161" s="26" t="s">
        <v>141</v>
      </c>
      <c r="S161" s="27" t="s">
        <v>141</v>
      </c>
      <c r="T161" s="26" t="s">
        <v>141</v>
      </c>
      <c r="U161" s="27" t="s">
        <v>141</v>
      </c>
      <c r="V161" s="26" t="s">
        <v>141</v>
      </c>
      <c r="W161" s="27" t="s">
        <v>141</v>
      </c>
      <c r="X161" s="26" t="s">
        <v>141</v>
      </c>
      <c r="Y161" s="27" t="s">
        <v>141</v>
      </c>
      <c r="Z161" s="26" t="s">
        <v>141</v>
      </c>
      <c r="AA161" s="27" t="s">
        <v>141</v>
      </c>
      <c r="AB161" s="26" t="s">
        <v>141</v>
      </c>
      <c r="AC161" s="27" t="s">
        <v>141</v>
      </c>
      <c r="AD161" s="26" t="s">
        <v>141</v>
      </c>
      <c r="AE161" s="27" t="s">
        <v>141</v>
      </c>
      <c r="AF161" s="26" t="s">
        <v>141</v>
      </c>
      <c r="AG161" s="27" t="s">
        <v>141</v>
      </c>
      <c r="AH161" s="26" t="s">
        <v>141</v>
      </c>
      <c r="AI161" s="27" t="s">
        <v>141</v>
      </c>
      <c r="AJ161" s="26" t="s">
        <v>141</v>
      </c>
      <c r="AK161" s="27" t="s">
        <v>141</v>
      </c>
      <c r="AL161" s="26" t="s">
        <v>141</v>
      </c>
      <c r="AM161" s="27" t="s">
        <v>141</v>
      </c>
      <c r="AN161" s="26" t="s">
        <v>141</v>
      </c>
      <c r="AO161" s="27" t="s">
        <v>141</v>
      </c>
      <c r="AP161" s="26" t="s">
        <v>141</v>
      </c>
      <c r="AQ161" s="27" t="s">
        <v>141</v>
      </c>
      <c r="AR161" s="26" t="s">
        <v>141</v>
      </c>
      <c r="AS161" s="27" t="s">
        <v>141</v>
      </c>
      <c r="AT161" s="26" t="s">
        <v>141</v>
      </c>
      <c r="AU161" s="27" t="s">
        <v>141</v>
      </c>
      <c r="AV161" s="26" t="s">
        <v>141</v>
      </c>
      <c r="AW161" s="27" t="s">
        <v>141</v>
      </c>
      <c r="AX161" s="26" t="s">
        <v>141</v>
      </c>
      <c r="AY161" s="27" t="s">
        <v>141</v>
      </c>
    </row>
    <row r="162" spans="2:51">
      <c r="B162" s="24" t="s">
        <v>141</v>
      </c>
      <c r="C162" s="25" t="s">
        <v>141</v>
      </c>
      <c r="D162" s="26" t="s">
        <v>141</v>
      </c>
      <c r="E162" s="27" t="s">
        <v>141</v>
      </c>
      <c r="F162" s="26" t="s">
        <v>141</v>
      </c>
      <c r="G162" s="27" t="s">
        <v>141</v>
      </c>
      <c r="H162" s="26" t="s">
        <v>141</v>
      </c>
      <c r="I162" s="27" t="s">
        <v>141</v>
      </c>
      <c r="J162" s="26" t="s">
        <v>141</v>
      </c>
      <c r="K162" s="27" t="s">
        <v>141</v>
      </c>
      <c r="L162" s="26" t="s">
        <v>141</v>
      </c>
      <c r="M162" s="27" t="s">
        <v>141</v>
      </c>
      <c r="N162" s="26" t="s">
        <v>141</v>
      </c>
      <c r="O162" s="27" t="s">
        <v>141</v>
      </c>
      <c r="P162" s="26" t="s">
        <v>141</v>
      </c>
      <c r="Q162" s="27" t="s">
        <v>141</v>
      </c>
      <c r="R162" s="26" t="s">
        <v>141</v>
      </c>
      <c r="S162" s="27" t="s">
        <v>141</v>
      </c>
      <c r="T162" s="26" t="s">
        <v>141</v>
      </c>
      <c r="U162" s="27" t="s">
        <v>141</v>
      </c>
      <c r="V162" s="26" t="s">
        <v>141</v>
      </c>
      <c r="W162" s="27" t="s">
        <v>141</v>
      </c>
      <c r="X162" s="26" t="s">
        <v>141</v>
      </c>
      <c r="Y162" s="27" t="s">
        <v>141</v>
      </c>
      <c r="Z162" s="26" t="s">
        <v>141</v>
      </c>
      <c r="AA162" s="27" t="s">
        <v>141</v>
      </c>
      <c r="AB162" s="26" t="s">
        <v>141</v>
      </c>
      <c r="AC162" s="27" t="s">
        <v>141</v>
      </c>
      <c r="AD162" s="26" t="s">
        <v>141</v>
      </c>
      <c r="AE162" s="27" t="s">
        <v>141</v>
      </c>
      <c r="AF162" s="26" t="s">
        <v>141</v>
      </c>
      <c r="AG162" s="27" t="s">
        <v>141</v>
      </c>
      <c r="AH162" s="26" t="s">
        <v>141</v>
      </c>
      <c r="AI162" s="27" t="s">
        <v>141</v>
      </c>
      <c r="AJ162" s="26" t="s">
        <v>141</v>
      </c>
      <c r="AK162" s="27" t="s">
        <v>141</v>
      </c>
      <c r="AL162" s="26" t="s">
        <v>141</v>
      </c>
      <c r="AM162" s="27" t="s">
        <v>141</v>
      </c>
      <c r="AN162" s="26" t="s">
        <v>141</v>
      </c>
      <c r="AO162" s="27" t="s">
        <v>141</v>
      </c>
      <c r="AP162" s="26" t="s">
        <v>141</v>
      </c>
      <c r="AQ162" s="27" t="s">
        <v>141</v>
      </c>
      <c r="AR162" s="26" t="s">
        <v>141</v>
      </c>
      <c r="AS162" s="27" t="s">
        <v>141</v>
      </c>
      <c r="AT162" s="26" t="s">
        <v>141</v>
      </c>
      <c r="AU162" s="27" t="s">
        <v>141</v>
      </c>
      <c r="AV162" s="26" t="s">
        <v>141</v>
      </c>
      <c r="AW162" s="27" t="s">
        <v>141</v>
      </c>
      <c r="AX162" s="26" t="s">
        <v>141</v>
      </c>
      <c r="AY162" s="27" t="s">
        <v>141</v>
      </c>
    </row>
    <row r="163" spans="2:51">
      <c r="B163" s="24" t="s">
        <v>141</v>
      </c>
      <c r="C163" s="25" t="s">
        <v>141</v>
      </c>
      <c r="D163" s="26" t="s">
        <v>141</v>
      </c>
      <c r="E163" s="27" t="s">
        <v>141</v>
      </c>
      <c r="F163" s="26" t="s">
        <v>141</v>
      </c>
      <c r="G163" s="27" t="s">
        <v>141</v>
      </c>
      <c r="H163" s="26" t="s">
        <v>141</v>
      </c>
      <c r="I163" s="27" t="s">
        <v>141</v>
      </c>
      <c r="J163" s="26" t="s">
        <v>141</v>
      </c>
      <c r="K163" s="27" t="s">
        <v>141</v>
      </c>
      <c r="L163" s="26" t="s">
        <v>141</v>
      </c>
      <c r="M163" s="27" t="s">
        <v>141</v>
      </c>
      <c r="N163" s="26" t="s">
        <v>141</v>
      </c>
      <c r="O163" s="27" t="s">
        <v>141</v>
      </c>
      <c r="P163" s="26" t="s">
        <v>141</v>
      </c>
      <c r="Q163" s="27" t="s">
        <v>141</v>
      </c>
      <c r="R163" s="26" t="s">
        <v>141</v>
      </c>
      <c r="S163" s="27" t="s">
        <v>141</v>
      </c>
      <c r="T163" s="26" t="s">
        <v>141</v>
      </c>
      <c r="U163" s="27" t="s">
        <v>141</v>
      </c>
      <c r="V163" s="26" t="s">
        <v>141</v>
      </c>
      <c r="W163" s="27" t="s">
        <v>141</v>
      </c>
      <c r="X163" s="26" t="s">
        <v>141</v>
      </c>
      <c r="Y163" s="27" t="s">
        <v>141</v>
      </c>
      <c r="Z163" s="26" t="s">
        <v>141</v>
      </c>
      <c r="AA163" s="27" t="s">
        <v>141</v>
      </c>
      <c r="AB163" s="26" t="s">
        <v>141</v>
      </c>
      <c r="AC163" s="27" t="s">
        <v>141</v>
      </c>
      <c r="AD163" s="26" t="s">
        <v>141</v>
      </c>
      <c r="AE163" s="27" t="s">
        <v>141</v>
      </c>
      <c r="AF163" s="26" t="s">
        <v>141</v>
      </c>
      <c r="AG163" s="27" t="s">
        <v>141</v>
      </c>
      <c r="AH163" s="26" t="s">
        <v>141</v>
      </c>
      <c r="AI163" s="27" t="s">
        <v>141</v>
      </c>
      <c r="AJ163" s="26" t="s">
        <v>141</v>
      </c>
      <c r="AK163" s="27" t="s">
        <v>141</v>
      </c>
      <c r="AL163" s="26" t="s">
        <v>141</v>
      </c>
      <c r="AM163" s="27" t="s">
        <v>141</v>
      </c>
      <c r="AN163" s="26" t="s">
        <v>141</v>
      </c>
      <c r="AO163" s="27" t="s">
        <v>141</v>
      </c>
      <c r="AP163" s="26" t="s">
        <v>141</v>
      </c>
      <c r="AQ163" s="27" t="s">
        <v>141</v>
      </c>
      <c r="AR163" s="26" t="s">
        <v>141</v>
      </c>
      <c r="AS163" s="27" t="s">
        <v>141</v>
      </c>
      <c r="AT163" s="26" t="s">
        <v>141</v>
      </c>
      <c r="AU163" s="27" t="s">
        <v>141</v>
      </c>
      <c r="AV163" s="26" t="s">
        <v>141</v>
      </c>
      <c r="AW163" s="27" t="s">
        <v>141</v>
      </c>
      <c r="AX163" s="26" t="s">
        <v>141</v>
      </c>
      <c r="AY163" s="27" t="s">
        <v>141</v>
      </c>
    </row>
    <row r="164" spans="2:51">
      <c r="B164" s="24" t="s">
        <v>141</v>
      </c>
      <c r="C164" s="25" t="s">
        <v>141</v>
      </c>
      <c r="D164" s="26" t="s">
        <v>141</v>
      </c>
      <c r="E164" s="27" t="s">
        <v>141</v>
      </c>
      <c r="F164" s="26" t="s">
        <v>141</v>
      </c>
      <c r="G164" s="27" t="s">
        <v>141</v>
      </c>
      <c r="H164" s="26" t="s">
        <v>141</v>
      </c>
      <c r="I164" s="27" t="s">
        <v>141</v>
      </c>
      <c r="J164" s="26" t="s">
        <v>141</v>
      </c>
      <c r="K164" s="27" t="s">
        <v>141</v>
      </c>
      <c r="L164" s="26" t="s">
        <v>141</v>
      </c>
      <c r="M164" s="27" t="s">
        <v>141</v>
      </c>
      <c r="N164" s="26" t="s">
        <v>141</v>
      </c>
      <c r="O164" s="27" t="s">
        <v>141</v>
      </c>
      <c r="P164" s="26" t="s">
        <v>141</v>
      </c>
      <c r="Q164" s="27" t="s">
        <v>141</v>
      </c>
      <c r="R164" s="26" t="s">
        <v>141</v>
      </c>
      <c r="S164" s="27" t="s">
        <v>141</v>
      </c>
      <c r="T164" s="26" t="s">
        <v>141</v>
      </c>
      <c r="U164" s="27" t="s">
        <v>141</v>
      </c>
      <c r="V164" s="26" t="s">
        <v>141</v>
      </c>
      <c r="W164" s="27" t="s">
        <v>141</v>
      </c>
      <c r="X164" s="26" t="s">
        <v>141</v>
      </c>
      <c r="Y164" s="27" t="s">
        <v>141</v>
      </c>
      <c r="Z164" s="26" t="s">
        <v>141</v>
      </c>
      <c r="AA164" s="27" t="s">
        <v>141</v>
      </c>
      <c r="AB164" s="26" t="s">
        <v>141</v>
      </c>
      <c r="AC164" s="27" t="s">
        <v>141</v>
      </c>
      <c r="AD164" s="26" t="s">
        <v>141</v>
      </c>
      <c r="AE164" s="27" t="s">
        <v>141</v>
      </c>
      <c r="AF164" s="26" t="s">
        <v>141</v>
      </c>
      <c r="AG164" s="27" t="s">
        <v>141</v>
      </c>
      <c r="AH164" s="26" t="s">
        <v>141</v>
      </c>
      <c r="AI164" s="27" t="s">
        <v>141</v>
      </c>
      <c r="AJ164" s="26" t="s">
        <v>141</v>
      </c>
      <c r="AK164" s="27" t="s">
        <v>141</v>
      </c>
      <c r="AL164" s="26" t="s">
        <v>141</v>
      </c>
      <c r="AM164" s="27" t="s">
        <v>141</v>
      </c>
      <c r="AN164" s="26" t="s">
        <v>141</v>
      </c>
      <c r="AO164" s="27" t="s">
        <v>141</v>
      </c>
      <c r="AP164" s="26" t="s">
        <v>141</v>
      </c>
      <c r="AQ164" s="27" t="s">
        <v>141</v>
      </c>
      <c r="AR164" s="26" t="s">
        <v>141</v>
      </c>
      <c r="AS164" s="27" t="s">
        <v>141</v>
      </c>
      <c r="AT164" s="26" t="s">
        <v>141</v>
      </c>
      <c r="AU164" s="27" t="s">
        <v>141</v>
      </c>
      <c r="AV164" s="26" t="s">
        <v>141</v>
      </c>
      <c r="AW164" s="27" t="s">
        <v>141</v>
      </c>
      <c r="AX164" s="26" t="s">
        <v>141</v>
      </c>
      <c r="AY164" s="27" t="s">
        <v>141</v>
      </c>
    </row>
    <row r="165" spans="2:51">
      <c r="B165" s="24" t="s">
        <v>141</v>
      </c>
      <c r="C165" s="25" t="s">
        <v>141</v>
      </c>
      <c r="D165" s="26" t="s">
        <v>141</v>
      </c>
      <c r="E165" s="27" t="s">
        <v>141</v>
      </c>
      <c r="F165" s="26" t="s">
        <v>141</v>
      </c>
      <c r="G165" s="27" t="s">
        <v>141</v>
      </c>
      <c r="H165" s="26" t="s">
        <v>141</v>
      </c>
      <c r="I165" s="27" t="s">
        <v>141</v>
      </c>
      <c r="J165" s="26" t="s">
        <v>141</v>
      </c>
      <c r="K165" s="27" t="s">
        <v>141</v>
      </c>
      <c r="L165" s="26" t="s">
        <v>141</v>
      </c>
      <c r="M165" s="27" t="s">
        <v>141</v>
      </c>
      <c r="N165" s="26" t="s">
        <v>141</v>
      </c>
      <c r="O165" s="27" t="s">
        <v>141</v>
      </c>
      <c r="P165" s="26" t="s">
        <v>141</v>
      </c>
      <c r="Q165" s="27" t="s">
        <v>141</v>
      </c>
      <c r="R165" s="26" t="s">
        <v>141</v>
      </c>
      <c r="S165" s="27" t="s">
        <v>141</v>
      </c>
      <c r="T165" s="26" t="s">
        <v>141</v>
      </c>
      <c r="U165" s="27" t="s">
        <v>141</v>
      </c>
      <c r="V165" s="26" t="s">
        <v>141</v>
      </c>
      <c r="W165" s="27" t="s">
        <v>141</v>
      </c>
      <c r="X165" s="26" t="s">
        <v>141</v>
      </c>
      <c r="Y165" s="27" t="s">
        <v>141</v>
      </c>
      <c r="Z165" s="26" t="s">
        <v>141</v>
      </c>
      <c r="AA165" s="27" t="s">
        <v>141</v>
      </c>
      <c r="AB165" s="26" t="s">
        <v>141</v>
      </c>
      <c r="AC165" s="27" t="s">
        <v>141</v>
      </c>
      <c r="AD165" s="26" t="s">
        <v>141</v>
      </c>
      <c r="AE165" s="27" t="s">
        <v>141</v>
      </c>
      <c r="AF165" s="26" t="s">
        <v>141</v>
      </c>
      <c r="AG165" s="27" t="s">
        <v>141</v>
      </c>
      <c r="AH165" s="26" t="s">
        <v>141</v>
      </c>
      <c r="AI165" s="27" t="s">
        <v>141</v>
      </c>
      <c r="AJ165" s="26" t="s">
        <v>141</v>
      </c>
      <c r="AK165" s="27" t="s">
        <v>141</v>
      </c>
      <c r="AL165" s="26" t="s">
        <v>141</v>
      </c>
      <c r="AM165" s="27" t="s">
        <v>141</v>
      </c>
      <c r="AN165" s="26" t="s">
        <v>141</v>
      </c>
      <c r="AO165" s="27" t="s">
        <v>141</v>
      </c>
      <c r="AP165" s="26" t="s">
        <v>141</v>
      </c>
      <c r="AQ165" s="27" t="s">
        <v>141</v>
      </c>
      <c r="AR165" s="26" t="s">
        <v>141</v>
      </c>
      <c r="AS165" s="27" t="s">
        <v>141</v>
      </c>
      <c r="AT165" s="26" t="s">
        <v>141</v>
      </c>
      <c r="AU165" s="27" t="s">
        <v>141</v>
      </c>
      <c r="AV165" s="26" t="s">
        <v>141</v>
      </c>
      <c r="AW165" s="27" t="s">
        <v>141</v>
      </c>
      <c r="AX165" s="26" t="s">
        <v>141</v>
      </c>
      <c r="AY165" s="27" t="s">
        <v>141</v>
      </c>
    </row>
    <row r="166" spans="2:51">
      <c r="B166" s="24" t="s">
        <v>141</v>
      </c>
      <c r="C166" s="25" t="s">
        <v>141</v>
      </c>
      <c r="D166" s="26" t="s">
        <v>141</v>
      </c>
      <c r="E166" s="27" t="s">
        <v>141</v>
      </c>
      <c r="F166" s="26" t="s">
        <v>141</v>
      </c>
      <c r="G166" s="27" t="s">
        <v>141</v>
      </c>
      <c r="H166" s="26" t="s">
        <v>141</v>
      </c>
      <c r="I166" s="27" t="s">
        <v>141</v>
      </c>
      <c r="J166" s="26" t="s">
        <v>141</v>
      </c>
      <c r="K166" s="27" t="s">
        <v>141</v>
      </c>
      <c r="L166" s="26" t="s">
        <v>141</v>
      </c>
      <c r="M166" s="27" t="s">
        <v>141</v>
      </c>
      <c r="N166" s="26" t="s">
        <v>141</v>
      </c>
      <c r="O166" s="27" t="s">
        <v>141</v>
      </c>
      <c r="P166" s="26" t="s">
        <v>141</v>
      </c>
      <c r="Q166" s="27" t="s">
        <v>141</v>
      </c>
      <c r="R166" s="26" t="s">
        <v>141</v>
      </c>
      <c r="S166" s="27" t="s">
        <v>141</v>
      </c>
      <c r="T166" s="26" t="s">
        <v>141</v>
      </c>
      <c r="U166" s="27" t="s">
        <v>141</v>
      </c>
      <c r="V166" s="26" t="s">
        <v>141</v>
      </c>
      <c r="W166" s="27" t="s">
        <v>141</v>
      </c>
      <c r="X166" s="26" t="s">
        <v>141</v>
      </c>
      <c r="Y166" s="27" t="s">
        <v>141</v>
      </c>
      <c r="Z166" s="26" t="s">
        <v>141</v>
      </c>
      <c r="AA166" s="27" t="s">
        <v>141</v>
      </c>
      <c r="AB166" s="26" t="s">
        <v>141</v>
      </c>
      <c r="AC166" s="27" t="s">
        <v>141</v>
      </c>
      <c r="AD166" s="26" t="s">
        <v>141</v>
      </c>
      <c r="AE166" s="27" t="s">
        <v>141</v>
      </c>
      <c r="AF166" s="26" t="s">
        <v>141</v>
      </c>
      <c r="AG166" s="27" t="s">
        <v>141</v>
      </c>
      <c r="AH166" s="26" t="s">
        <v>141</v>
      </c>
      <c r="AI166" s="27" t="s">
        <v>141</v>
      </c>
      <c r="AJ166" s="26" t="s">
        <v>141</v>
      </c>
      <c r="AK166" s="27" t="s">
        <v>141</v>
      </c>
      <c r="AL166" s="26" t="s">
        <v>141</v>
      </c>
      <c r="AM166" s="27" t="s">
        <v>141</v>
      </c>
      <c r="AN166" s="26" t="s">
        <v>141</v>
      </c>
      <c r="AO166" s="27" t="s">
        <v>141</v>
      </c>
      <c r="AP166" s="26" t="s">
        <v>141</v>
      </c>
      <c r="AQ166" s="27" t="s">
        <v>141</v>
      </c>
      <c r="AR166" s="26" t="s">
        <v>141</v>
      </c>
      <c r="AS166" s="27" t="s">
        <v>141</v>
      </c>
      <c r="AT166" s="26" t="s">
        <v>141</v>
      </c>
      <c r="AU166" s="27" t="s">
        <v>141</v>
      </c>
      <c r="AV166" s="26" t="s">
        <v>141</v>
      </c>
      <c r="AW166" s="27" t="s">
        <v>141</v>
      </c>
      <c r="AX166" s="26" t="s">
        <v>141</v>
      </c>
      <c r="AY166" s="27" t="s">
        <v>141</v>
      </c>
    </row>
    <row r="167" spans="2:51">
      <c r="B167" s="109" t="s">
        <v>141</v>
      </c>
      <c r="C167" s="109" t="s">
        <v>141</v>
      </c>
      <c r="D167" s="109" t="s">
        <v>141</v>
      </c>
      <c r="E167" s="109" t="s">
        <v>141</v>
      </c>
      <c r="F167" s="109" t="s">
        <v>141</v>
      </c>
      <c r="G167" s="109" t="s">
        <v>141</v>
      </c>
      <c r="H167" s="109" t="s">
        <v>141</v>
      </c>
      <c r="I167" s="109" t="s">
        <v>141</v>
      </c>
      <c r="J167" s="109" t="s">
        <v>141</v>
      </c>
      <c r="K167" s="109" t="s">
        <v>141</v>
      </c>
      <c r="L167" s="109" t="s">
        <v>141</v>
      </c>
      <c r="M167" s="109" t="s">
        <v>141</v>
      </c>
      <c r="N167" s="109" t="s">
        <v>141</v>
      </c>
      <c r="O167" s="109" t="s">
        <v>141</v>
      </c>
      <c r="P167" s="109" t="s">
        <v>141</v>
      </c>
      <c r="Q167" s="109" t="s">
        <v>141</v>
      </c>
      <c r="R167" s="109" t="s">
        <v>141</v>
      </c>
      <c r="S167" s="109" t="s">
        <v>141</v>
      </c>
      <c r="T167" s="109" t="s">
        <v>141</v>
      </c>
      <c r="U167" s="109" t="s">
        <v>141</v>
      </c>
      <c r="V167" s="109" t="s">
        <v>141</v>
      </c>
      <c r="W167" s="109" t="s">
        <v>141</v>
      </c>
      <c r="X167" s="109" t="s">
        <v>141</v>
      </c>
      <c r="Y167" s="109" t="s">
        <v>141</v>
      </c>
      <c r="Z167" s="109" t="s">
        <v>141</v>
      </c>
      <c r="AA167" s="109" t="s">
        <v>141</v>
      </c>
      <c r="AB167" s="109" t="s">
        <v>141</v>
      </c>
      <c r="AC167" s="109" t="s">
        <v>141</v>
      </c>
      <c r="AD167" s="109" t="s">
        <v>141</v>
      </c>
      <c r="AE167" s="109" t="s">
        <v>141</v>
      </c>
      <c r="AF167" s="109" t="s">
        <v>141</v>
      </c>
      <c r="AG167" s="109" t="s">
        <v>141</v>
      </c>
      <c r="AH167" s="109" t="s">
        <v>141</v>
      </c>
      <c r="AI167" s="109" t="s">
        <v>141</v>
      </c>
      <c r="AJ167" s="109" t="s">
        <v>141</v>
      </c>
      <c r="AK167" s="109" t="s">
        <v>141</v>
      </c>
      <c r="AL167" s="109" t="s">
        <v>141</v>
      </c>
      <c r="AM167" s="109" t="s">
        <v>141</v>
      </c>
      <c r="AN167" s="109" t="s">
        <v>141</v>
      </c>
      <c r="AO167" s="109" t="s">
        <v>141</v>
      </c>
      <c r="AP167" s="109" t="s">
        <v>141</v>
      </c>
      <c r="AQ167" s="109" t="s">
        <v>141</v>
      </c>
      <c r="AR167" s="109" t="s">
        <v>141</v>
      </c>
      <c r="AS167" s="109" t="s">
        <v>141</v>
      </c>
      <c r="AT167" s="109" t="s">
        <v>141</v>
      </c>
      <c r="AU167" s="109" t="s">
        <v>141</v>
      </c>
      <c r="AV167" s="109" t="s">
        <v>141</v>
      </c>
      <c r="AW167" s="109" t="s">
        <v>141</v>
      </c>
      <c r="AX167" s="109" t="s">
        <v>141</v>
      </c>
      <c r="AY167" s="109" t="s">
        <v>141</v>
      </c>
    </row>
  </sheetData>
  <hyperlinks>
    <hyperlink ref="A2" location="TOC!A1" display="TOC"/>
  </hyperlink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B0F0"/>
  </sheetPr>
  <dimension ref="A1:AY167"/>
  <sheetViews>
    <sheetView workbookViewId="0">
      <selection activeCell="AL55" sqref="AL55"/>
    </sheetView>
  </sheetViews>
  <sheetFormatPr defaultRowHeight="14.4"/>
  <cols>
    <col min="3" max="3" width="29.44140625" bestFit="1" customWidth="1"/>
    <col min="4" max="4" width="11.5546875" bestFit="1" customWidth="1"/>
    <col min="5" max="5" width="9.33203125" bestFit="1" customWidth="1"/>
    <col min="6" max="6" width="11.5546875" bestFit="1" customWidth="1"/>
    <col min="7" max="7" width="9.33203125" bestFit="1" customWidth="1"/>
    <col min="8" max="8" width="11.5546875" bestFit="1" customWidth="1"/>
    <col min="9" max="9" width="9.33203125" bestFit="1" customWidth="1"/>
    <col min="10" max="10" width="11.5546875" bestFit="1" customWidth="1"/>
    <col min="11" max="11" width="9.33203125" bestFit="1" customWidth="1"/>
    <col min="12" max="12" width="11.5546875" bestFit="1" customWidth="1"/>
    <col min="13" max="13" width="9.33203125" bestFit="1" customWidth="1"/>
    <col min="14" max="14" width="11.5546875" bestFit="1" customWidth="1"/>
    <col min="15" max="15" width="9.33203125" bestFit="1" customWidth="1"/>
    <col min="16" max="16" width="11.5546875" bestFit="1" customWidth="1"/>
    <col min="17" max="17" width="9.33203125" bestFit="1" customWidth="1"/>
    <col min="18" max="18" width="11.5546875" bestFit="1" customWidth="1"/>
    <col min="19" max="19" width="9.33203125" bestFit="1" customWidth="1"/>
    <col min="20" max="20" width="11.5546875" bestFit="1" customWidth="1"/>
    <col min="21" max="21" width="9.33203125" bestFit="1" customWidth="1"/>
    <col min="22" max="22" width="11.5546875" bestFit="1" customWidth="1"/>
    <col min="23" max="23" width="9.33203125" bestFit="1" customWidth="1"/>
    <col min="24" max="24" width="11.5546875" bestFit="1" customWidth="1"/>
    <col min="25" max="25" width="9.33203125" bestFit="1" customWidth="1"/>
    <col min="26" max="26" width="11.5546875" bestFit="1" customWidth="1"/>
    <col min="27" max="27" width="9.33203125" bestFit="1" customWidth="1"/>
    <col min="28" max="28" width="11.5546875" bestFit="1" customWidth="1"/>
    <col min="29" max="29" width="9.33203125" bestFit="1" customWidth="1"/>
    <col min="30" max="30" width="11.5546875" bestFit="1" customWidth="1"/>
    <col min="31" max="31" width="9.33203125" bestFit="1" customWidth="1"/>
    <col min="32" max="32" width="11.5546875" bestFit="1" customWidth="1"/>
    <col min="33" max="33" width="9.33203125" bestFit="1" customWidth="1"/>
    <col min="34" max="34" width="11.5546875" bestFit="1" customWidth="1"/>
    <col min="35" max="35" width="9.33203125" bestFit="1" customWidth="1"/>
    <col min="36" max="36" width="11.5546875" bestFit="1" customWidth="1"/>
    <col min="37" max="37" width="9.33203125" bestFit="1" customWidth="1"/>
    <col min="38" max="38" width="11.5546875" bestFit="1" customWidth="1"/>
    <col min="39" max="39" width="9.33203125" bestFit="1" customWidth="1"/>
    <col min="40" max="40" width="11.5546875" bestFit="1" customWidth="1"/>
    <col min="41" max="41" width="9.33203125" bestFit="1" customWidth="1"/>
    <col min="42" max="42" width="11.5546875" bestFit="1" customWidth="1"/>
    <col min="43" max="43" width="9.33203125" bestFit="1" customWidth="1"/>
    <col min="44" max="44" width="11.5546875" bestFit="1" customWidth="1"/>
    <col min="45" max="45" width="9.33203125" bestFit="1" customWidth="1"/>
    <col min="46" max="46" width="11.5546875" bestFit="1" customWidth="1"/>
    <col min="47" max="47" width="9.33203125" bestFit="1" customWidth="1"/>
    <col min="48" max="48" width="11.5546875" bestFit="1" customWidth="1"/>
    <col min="49" max="49" width="9.33203125" bestFit="1" customWidth="1"/>
    <col min="50" max="50" width="11.5546875" bestFit="1" customWidth="1"/>
    <col min="51" max="51" width="9.33203125" bestFit="1" customWidth="1"/>
    <col min="259" max="259" width="29.44140625" bestFit="1" customWidth="1"/>
    <col min="260" max="260" width="11.5546875" bestFit="1" customWidth="1"/>
    <col min="261" max="261" width="9.33203125" bestFit="1" customWidth="1"/>
    <col min="262" max="262" width="11.5546875" bestFit="1" customWidth="1"/>
    <col min="263" max="263" width="9.33203125" bestFit="1" customWidth="1"/>
    <col min="264" max="264" width="11.5546875" bestFit="1" customWidth="1"/>
    <col min="265" max="265" width="9.33203125" bestFit="1" customWidth="1"/>
    <col min="266" max="266" width="11.5546875" bestFit="1" customWidth="1"/>
    <col min="267" max="267" width="9.33203125" bestFit="1" customWidth="1"/>
    <col min="268" max="268" width="11.5546875" bestFit="1" customWidth="1"/>
    <col min="269" max="269" width="9.33203125" bestFit="1" customWidth="1"/>
    <col min="270" max="270" width="11.5546875" bestFit="1" customWidth="1"/>
    <col min="271" max="271" width="9.33203125" bestFit="1" customWidth="1"/>
    <col min="272" max="272" width="11.5546875" bestFit="1" customWidth="1"/>
    <col min="273" max="273" width="9.33203125" bestFit="1" customWidth="1"/>
    <col min="274" max="274" width="11.5546875" bestFit="1" customWidth="1"/>
    <col min="275" max="275" width="9.33203125" bestFit="1" customWidth="1"/>
    <col min="276" max="276" width="11.5546875" bestFit="1" customWidth="1"/>
    <col min="277" max="277" width="9.33203125" bestFit="1" customWidth="1"/>
    <col min="278" max="278" width="11.5546875" bestFit="1" customWidth="1"/>
    <col min="279" max="279" width="9.33203125" bestFit="1" customWidth="1"/>
    <col min="280" max="280" width="11.5546875" bestFit="1" customWidth="1"/>
    <col min="281" max="281" width="9.33203125" bestFit="1" customWidth="1"/>
    <col min="282" max="282" width="11.5546875" bestFit="1" customWidth="1"/>
    <col min="283" max="283" width="9.33203125" bestFit="1" customWidth="1"/>
    <col min="284" max="284" width="11.5546875" bestFit="1" customWidth="1"/>
    <col min="285" max="285" width="9.33203125" bestFit="1" customWidth="1"/>
    <col min="286" max="286" width="11.5546875" bestFit="1" customWidth="1"/>
    <col min="287" max="287" width="9.33203125" bestFit="1" customWidth="1"/>
    <col min="288" max="288" width="11.5546875" bestFit="1" customWidth="1"/>
    <col min="289" max="289" width="9.33203125" bestFit="1" customWidth="1"/>
    <col min="290" max="290" width="11.5546875" bestFit="1" customWidth="1"/>
    <col min="291" max="291" width="9.33203125" bestFit="1" customWidth="1"/>
    <col min="292" max="292" width="11.5546875" bestFit="1" customWidth="1"/>
    <col min="293" max="293" width="9.33203125" bestFit="1" customWidth="1"/>
    <col min="294" max="294" width="11.5546875" bestFit="1" customWidth="1"/>
    <col min="295" max="295" width="9.33203125" bestFit="1" customWidth="1"/>
    <col min="296" max="296" width="11.5546875" bestFit="1" customWidth="1"/>
    <col min="297" max="297" width="9.33203125" bestFit="1" customWidth="1"/>
    <col min="298" max="298" width="11.5546875" bestFit="1" customWidth="1"/>
    <col min="299" max="299" width="9.33203125" bestFit="1" customWidth="1"/>
    <col min="300" max="300" width="11.5546875" bestFit="1" customWidth="1"/>
    <col min="301" max="301" width="9.33203125" bestFit="1" customWidth="1"/>
    <col min="302" max="302" width="11.5546875" bestFit="1" customWidth="1"/>
    <col min="303" max="303" width="9.33203125" bestFit="1" customWidth="1"/>
    <col min="304" max="304" width="11.5546875" bestFit="1" customWidth="1"/>
    <col min="305" max="305" width="9.33203125" bestFit="1" customWidth="1"/>
    <col min="306" max="306" width="11.5546875" bestFit="1" customWidth="1"/>
    <col min="307" max="307" width="9.33203125" bestFit="1" customWidth="1"/>
    <col min="515" max="515" width="29.44140625" bestFit="1" customWidth="1"/>
    <col min="516" max="516" width="11.5546875" bestFit="1" customWidth="1"/>
    <col min="517" max="517" width="9.33203125" bestFit="1" customWidth="1"/>
    <col min="518" max="518" width="11.5546875" bestFit="1" customWidth="1"/>
    <col min="519" max="519" width="9.33203125" bestFit="1" customWidth="1"/>
    <col min="520" max="520" width="11.5546875" bestFit="1" customWidth="1"/>
    <col min="521" max="521" width="9.33203125" bestFit="1" customWidth="1"/>
    <col min="522" max="522" width="11.5546875" bestFit="1" customWidth="1"/>
    <col min="523" max="523" width="9.33203125" bestFit="1" customWidth="1"/>
    <col min="524" max="524" width="11.5546875" bestFit="1" customWidth="1"/>
    <col min="525" max="525" width="9.33203125" bestFit="1" customWidth="1"/>
    <col min="526" max="526" width="11.5546875" bestFit="1" customWidth="1"/>
    <col min="527" max="527" width="9.33203125" bestFit="1" customWidth="1"/>
    <col min="528" max="528" width="11.5546875" bestFit="1" customWidth="1"/>
    <col min="529" max="529" width="9.33203125" bestFit="1" customWidth="1"/>
    <col min="530" max="530" width="11.5546875" bestFit="1" customWidth="1"/>
    <col min="531" max="531" width="9.33203125" bestFit="1" customWidth="1"/>
    <col min="532" max="532" width="11.5546875" bestFit="1" customWidth="1"/>
    <col min="533" max="533" width="9.33203125" bestFit="1" customWidth="1"/>
    <col min="534" max="534" width="11.5546875" bestFit="1" customWidth="1"/>
    <col min="535" max="535" width="9.33203125" bestFit="1" customWidth="1"/>
    <col min="536" max="536" width="11.5546875" bestFit="1" customWidth="1"/>
    <col min="537" max="537" width="9.33203125" bestFit="1" customWidth="1"/>
    <col min="538" max="538" width="11.5546875" bestFit="1" customWidth="1"/>
    <col min="539" max="539" width="9.33203125" bestFit="1" customWidth="1"/>
    <col min="540" max="540" width="11.5546875" bestFit="1" customWidth="1"/>
    <col min="541" max="541" width="9.33203125" bestFit="1" customWidth="1"/>
    <col min="542" max="542" width="11.5546875" bestFit="1" customWidth="1"/>
    <col min="543" max="543" width="9.33203125" bestFit="1" customWidth="1"/>
    <col min="544" max="544" width="11.5546875" bestFit="1" customWidth="1"/>
    <col min="545" max="545" width="9.33203125" bestFit="1" customWidth="1"/>
    <col min="546" max="546" width="11.5546875" bestFit="1" customWidth="1"/>
    <col min="547" max="547" width="9.33203125" bestFit="1" customWidth="1"/>
    <col min="548" max="548" width="11.5546875" bestFit="1" customWidth="1"/>
    <col min="549" max="549" width="9.33203125" bestFit="1" customWidth="1"/>
    <col min="550" max="550" width="11.5546875" bestFit="1" customWidth="1"/>
    <col min="551" max="551" width="9.33203125" bestFit="1" customWidth="1"/>
    <col min="552" max="552" width="11.5546875" bestFit="1" customWidth="1"/>
    <col min="553" max="553" width="9.33203125" bestFit="1" customWidth="1"/>
    <col min="554" max="554" width="11.5546875" bestFit="1" customWidth="1"/>
    <col min="555" max="555" width="9.33203125" bestFit="1" customWidth="1"/>
    <col min="556" max="556" width="11.5546875" bestFit="1" customWidth="1"/>
    <col min="557" max="557" width="9.33203125" bestFit="1" customWidth="1"/>
    <col min="558" max="558" width="11.5546875" bestFit="1" customWidth="1"/>
    <col min="559" max="559" width="9.33203125" bestFit="1" customWidth="1"/>
    <col min="560" max="560" width="11.5546875" bestFit="1" customWidth="1"/>
    <col min="561" max="561" width="9.33203125" bestFit="1" customWidth="1"/>
    <col min="562" max="562" width="11.5546875" bestFit="1" customWidth="1"/>
    <col min="563" max="563" width="9.33203125" bestFit="1" customWidth="1"/>
    <col min="771" max="771" width="29.44140625" bestFit="1" customWidth="1"/>
    <col min="772" max="772" width="11.5546875" bestFit="1" customWidth="1"/>
    <col min="773" max="773" width="9.33203125" bestFit="1" customWidth="1"/>
    <col min="774" max="774" width="11.5546875" bestFit="1" customWidth="1"/>
    <col min="775" max="775" width="9.33203125" bestFit="1" customWidth="1"/>
    <col min="776" max="776" width="11.5546875" bestFit="1" customWidth="1"/>
    <col min="777" max="777" width="9.33203125" bestFit="1" customWidth="1"/>
    <col min="778" max="778" width="11.5546875" bestFit="1" customWidth="1"/>
    <col min="779" max="779" width="9.33203125" bestFit="1" customWidth="1"/>
    <col min="780" max="780" width="11.5546875" bestFit="1" customWidth="1"/>
    <col min="781" max="781" width="9.33203125" bestFit="1" customWidth="1"/>
    <col min="782" max="782" width="11.5546875" bestFit="1" customWidth="1"/>
    <col min="783" max="783" width="9.33203125" bestFit="1" customWidth="1"/>
    <col min="784" max="784" width="11.5546875" bestFit="1" customWidth="1"/>
    <col min="785" max="785" width="9.33203125" bestFit="1" customWidth="1"/>
    <col min="786" max="786" width="11.5546875" bestFit="1" customWidth="1"/>
    <col min="787" max="787" width="9.33203125" bestFit="1" customWidth="1"/>
    <col min="788" max="788" width="11.5546875" bestFit="1" customWidth="1"/>
    <col min="789" max="789" width="9.33203125" bestFit="1" customWidth="1"/>
    <col min="790" max="790" width="11.5546875" bestFit="1" customWidth="1"/>
    <col min="791" max="791" width="9.33203125" bestFit="1" customWidth="1"/>
    <col min="792" max="792" width="11.5546875" bestFit="1" customWidth="1"/>
    <col min="793" max="793" width="9.33203125" bestFit="1" customWidth="1"/>
    <col min="794" max="794" width="11.5546875" bestFit="1" customWidth="1"/>
    <col min="795" max="795" width="9.33203125" bestFit="1" customWidth="1"/>
    <col min="796" max="796" width="11.5546875" bestFit="1" customWidth="1"/>
    <col min="797" max="797" width="9.33203125" bestFit="1" customWidth="1"/>
    <col min="798" max="798" width="11.5546875" bestFit="1" customWidth="1"/>
    <col min="799" max="799" width="9.33203125" bestFit="1" customWidth="1"/>
    <col min="800" max="800" width="11.5546875" bestFit="1" customWidth="1"/>
    <col min="801" max="801" width="9.33203125" bestFit="1" customWidth="1"/>
    <col min="802" max="802" width="11.5546875" bestFit="1" customWidth="1"/>
    <col min="803" max="803" width="9.33203125" bestFit="1" customWidth="1"/>
    <col min="804" max="804" width="11.5546875" bestFit="1" customWidth="1"/>
    <col min="805" max="805" width="9.33203125" bestFit="1" customWidth="1"/>
    <col min="806" max="806" width="11.5546875" bestFit="1" customWidth="1"/>
    <col min="807" max="807" width="9.33203125" bestFit="1" customWidth="1"/>
    <col min="808" max="808" width="11.5546875" bestFit="1" customWidth="1"/>
    <col min="809" max="809" width="9.33203125" bestFit="1" customWidth="1"/>
    <col min="810" max="810" width="11.5546875" bestFit="1" customWidth="1"/>
    <col min="811" max="811" width="9.33203125" bestFit="1" customWidth="1"/>
    <col min="812" max="812" width="11.5546875" bestFit="1" customWidth="1"/>
    <col min="813" max="813" width="9.33203125" bestFit="1" customWidth="1"/>
    <col min="814" max="814" width="11.5546875" bestFit="1" customWidth="1"/>
    <col min="815" max="815" width="9.33203125" bestFit="1" customWidth="1"/>
    <col min="816" max="816" width="11.5546875" bestFit="1" customWidth="1"/>
    <col min="817" max="817" width="9.33203125" bestFit="1" customWidth="1"/>
    <col min="818" max="818" width="11.5546875" bestFit="1" customWidth="1"/>
    <col min="819" max="819" width="9.33203125" bestFit="1" customWidth="1"/>
    <col min="1027" max="1027" width="29.44140625" bestFit="1" customWidth="1"/>
    <col min="1028" max="1028" width="11.5546875" bestFit="1" customWidth="1"/>
    <col min="1029" max="1029" width="9.33203125" bestFit="1" customWidth="1"/>
    <col min="1030" max="1030" width="11.5546875" bestFit="1" customWidth="1"/>
    <col min="1031" max="1031" width="9.33203125" bestFit="1" customWidth="1"/>
    <col min="1032" max="1032" width="11.5546875" bestFit="1" customWidth="1"/>
    <col min="1033" max="1033" width="9.33203125" bestFit="1" customWidth="1"/>
    <col min="1034" max="1034" width="11.5546875" bestFit="1" customWidth="1"/>
    <col min="1035" max="1035" width="9.33203125" bestFit="1" customWidth="1"/>
    <col min="1036" max="1036" width="11.5546875" bestFit="1" customWidth="1"/>
    <col min="1037" max="1037" width="9.33203125" bestFit="1" customWidth="1"/>
    <col min="1038" max="1038" width="11.5546875" bestFit="1" customWidth="1"/>
    <col min="1039" max="1039" width="9.33203125" bestFit="1" customWidth="1"/>
    <col min="1040" max="1040" width="11.5546875" bestFit="1" customWidth="1"/>
    <col min="1041" max="1041" width="9.33203125" bestFit="1" customWidth="1"/>
    <col min="1042" max="1042" width="11.5546875" bestFit="1" customWidth="1"/>
    <col min="1043" max="1043" width="9.33203125" bestFit="1" customWidth="1"/>
    <col min="1044" max="1044" width="11.5546875" bestFit="1" customWidth="1"/>
    <col min="1045" max="1045" width="9.33203125" bestFit="1" customWidth="1"/>
    <col min="1046" max="1046" width="11.5546875" bestFit="1" customWidth="1"/>
    <col min="1047" max="1047" width="9.33203125" bestFit="1" customWidth="1"/>
    <col min="1048" max="1048" width="11.5546875" bestFit="1" customWidth="1"/>
    <col min="1049" max="1049" width="9.33203125" bestFit="1" customWidth="1"/>
    <col min="1050" max="1050" width="11.5546875" bestFit="1" customWidth="1"/>
    <col min="1051" max="1051" width="9.33203125" bestFit="1" customWidth="1"/>
    <col min="1052" max="1052" width="11.5546875" bestFit="1" customWidth="1"/>
    <col min="1053" max="1053" width="9.33203125" bestFit="1" customWidth="1"/>
    <col min="1054" max="1054" width="11.5546875" bestFit="1" customWidth="1"/>
    <col min="1055" max="1055" width="9.33203125" bestFit="1" customWidth="1"/>
    <col min="1056" max="1056" width="11.5546875" bestFit="1" customWidth="1"/>
    <col min="1057" max="1057" width="9.33203125" bestFit="1" customWidth="1"/>
    <col min="1058" max="1058" width="11.5546875" bestFit="1" customWidth="1"/>
    <col min="1059" max="1059" width="9.33203125" bestFit="1" customWidth="1"/>
    <col min="1060" max="1060" width="11.5546875" bestFit="1" customWidth="1"/>
    <col min="1061" max="1061" width="9.33203125" bestFit="1" customWidth="1"/>
    <col min="1062" max="1062" width="11.5546875" bestFit="1" customWidth="1"/>
    <col min="1063" max="1063" width="9.33203125" bestFit="1" customWidth="1"/>
    <col min="1064" max="1064" width="11.5546875" bestFit="1" customWidth="1"/>
    <col min="1065" max="1065" width="9.33203125" bestFit="1" customWidth="1"/>
    <col min="1066" max="1066" width="11.5546875" bestFit="1" customWidth="1"/>
    <col min="1067" max="1067" width="9.33203125" bestFit="1" customWidth="1"/>
    <col min="1068" max="1068" width="11.5546875" bestFit="1" customWidth="1"/>
    <col min="1069" max="1069" width="9.33203125" bestFit="1" customWidth="1"/>
    <col min="1070" max="1070" width="11.5546875" bestFit="1" customWidth="1"/>
    <col min="1071" max="1071" width="9.33203125" bestFit="1" customWidth="1"/>
    <col min="1072" max="1072" width="11.5546875" bestFit="1" customWidth="1"/>
    <col min="1073" max="1073" width="9.33203125" bestFit="1" customWidth="1"/>
    <col min="1074" max="1074" width="11.5546875" bestFit="1" customWidth="1"/>
    <col min="1075" max="1075" width="9.33203125" bestFit="1" customWidth="1"/>
    <col min="1283" max="1283" width="29.44140625" bestFit="1" customWidth="1"/>
    <col min="1284" max="1284" width="11.5546875" bestFit="1" customWidth="1"/>
    <col min="1285" max="1285" width="9.33203125" bestFit="1" customWidth="1"/>
    <col min="1286" max="1286" width="11.5546875" bestFit="1" customWidth="1"/>
    <col min="1287" max="1287" width="9.33203125" bestFit="1" customWidth="1"/>
    <col min="1288" max="1288" width="11.5546875" bestFit="1" customWidth="1"/>
    <col min="1289" max="1289" width="9.33203125" bestFit="1" customWidth="1"/>
    <col min="1290" max="1290" width="11.5546875" bestFit="1" customWidth="1"/>
    <col min="1291" max="1291" width="9.33203125" bestFit="1" customWidth="1"/>
    <col min="1292" max="1292" width="11.5546875" bestFit="1" customWidth="1"/>
    <col min="1293" max="1293" width="9.33203125" bestFit="1" customWidth="1"/>
    <col min="1294" max="1294" width="11.5546875" bestFit="1" customWidth="1"/>
    <col min="1295" max="1295" width="9.33203125" bestFit="1" customWidth="1"/>
    <col min="1296" max="1296" width="11.5546875" bestFit="1" customWidth="1"/>
    <col min="1297" max="1297" width="9.33203125" bestFit="1" customWidth="1"/>
    <col min="1298" max="1298" width="11.5546875" bestFit="1" customWidth="1"/>
    <col min="1299" max="1299" width="9.33203125" bestFit="1" customWidth="1"/>
    <col min="1300" max="1300" width="11.5546875" bestFit="1" customWidth="1"/>
    <col min="1301" max="1301" width="9.33203125" bestFit="1" customWidth="1"/>
    <col min="1302" max="1302" width="11.5546875" bestFit="1" customWidth="1"/>
    <col min="1303" max="1303" width="9.33203125" bestFit="1" customWidth="1"/>
    <col min="1304" max="1304" width="11.5546875" bestFit="1" customWidth="1"/>
    <col min="1305" max="1305" width="9.33203125" bestFit="1" customWidth="1"/>
    <col min="1306" max="1306" width="11.5546875" bestFit="1" customWidth="1"/>
    <col min="1307" max="1307" width="9.33203125" bestFit="1" customWidth="1"/>
    <col min="1308" max="1308" width="11.5546875" bestFit="1" customWidth="1"/>
    <col min="1309" max="1309" width="9.33203125" bestFit="1" customWidth="1"/>
    <col min="1310" max="1310" width="11.5546875" bestFit="1" customWidth="1"/>
    <col min="1311" max="1311" width="9.33203125" bestFit="1" customWidth="1"/>
    <col min="1312" max="1312" width="11.5546875" bestFit="1" customWidth="1"/>
    <col min="1313" max="1313" width="9.33203125" bestFit="1" customWidth="1"/>
    <col min="1314" max="1314" width="11.5546875" bestFit="1" customWidth="1"/>
    <col min="1315" max="1315" width="9.33203125" bestFit="1" customWidth="1"/>
    <col min="1316" max="1316" width="11.5546875" bestFit="1" customWidth="1"/>
    <col min="1317" max="1317" width="9.33203125" bestFit="1" customWidth="1"/>
    <col min="1318" max="1318" width="11.5546875" bestFit="1" customWidth="1"/>
    <col min="1319" max="1319" width="9.33203125" bestFit="1" customWidth="1"/>
    <col min="1320" max="1320" width="11.5546875" bestFit="1" customWidth="1"/>
    <col min="1321" max="1321" width="9.33203125" bestFit="1" customWidth="1"/>
    <col min="1322" max="1322" width="11.5546875" bestFit="1" customWidth="1"/>
    <col min="1323" max="1323" width="9.33203125" bestFit="1" customWidth="1"/>
    <col min="1324" max="1324" width="11.5546875" bestFit="1" customWidth="1"/>
    <col min="1325" max="1325" width="9.33203125" bestFit="1" customWidth="1"/>
    <col min="1326" max="1326" width="11.5546875" bestFit="1" customWidth="1"/>
    <col min="1327" max="1327" width="9.33203125" bestFit="1" customWidth="1"/>
    <col min="1328" max="1328" width="11.5546875" bestFit="1" customWidth="1"/>
    <col min="1329" max="1329" width="9.33203125" bestFit="1" customWidth="1"/>
    <col min="1330" max="1330" width="11.5546875" bestFit="1" customWidth="1"/>
    <col min="1331" max="1331" width="9.33203125" bestFit="1" customWidth="1"/>
    <col min="1539" max="1539" width="29.44140625" bestFit="1" customWidth="1"/>
    <col min="1540" max="1540" width="11.5546875" bestFit="1" customWidth="1"/>
    <col min="1541" max="1541" width="9.33203125" bestFit="1" customWidth="1"/>
    <col min="1542" max="1542" width="11.5546875" bestFit="1" customWidth="1"/>
    <col min="1543" max="1543" width="9.33203125" bestFit="1" customWidth="1"/>
    <col min="1544" max="1544" width="11.5546875" bestFit="1" customWidth="1"/>
    <col min="1545" max="1545" width="9.33203125" bestFit="1" customWidth="1"/>
    <col min="1546" max="1546" width="11.5546875" bestFit="1" customWidth="1"/>
    <col min="1547" max="1547" width="9.33203125" bestFit="1" customWidth="1"/>
    <col min="1548" max="1548" width="11.5546875" bestFit="1" customWidth="1"/>
    <col min="1549" max="1549" width="9.33203125" bestFit="1" customWidth="1"/>
    <col min="1550" max="1550" width="11.5546875" bestFit="1" customWidth="1"/>
    <col min="1551" max="1551" width="9.33203125" bestFit="1" customWidth="1"/>
    <col min="1552" max="1552" width="11.5546875" bestFit="1" customWidth="1"/>
    <col min="1553" max="1553" width="9.33203125" bestFit="1" customWidth="1"/>
    <col min="1554" max="1554" width="11.5546875" bestFit="1" customWidth="1"/>
    <col min="1555" max="1555" width="9.33203125" bestFit="1" customWidth="1"/>
    <col min="1556" max="1556" width="11.5546875" bestFit="1" customWidth="1"/>
    <col min="1557" max="1557" width="9.33203125" bestFit="1" customWidth="1"/>
    <col min="1558" max="1558" width="11.5546875" bestFit="1" customWidth="1"/>
    <col min="1559" max="1559" width="9.33203125" bestFit="1" customWidth="1"/>
    <col min="1560" max="1560" width="11.5546875" bestFit="1" customWidth="1"/>
    <col min="1561" max="1561" width="9.33203125" bestFit="1" customWidth="1"/>
    <col min="1562" max="1562" width="11.5546875" bestFit="1" customWidth="1"/>
    <col min="1563" max="1563" width="9.33203125" bestFit="1" customWidth="1"/>
    <col min="1564" max="1564" width="11.5546875" bestFit="1" customWidth="1"/>
    <col min="1565" max="1565" width="9.33203125" bestFit="1" customWidth="1"/>
    <col min="1566" max="1566" width="11.5546875" bestFit="1" customWidth="1"/>
    <col min="1567" max="1567" width="9.33203125" bestFit="1" customWidth="1"/>
    <col min="1568" max="1568" width="11.5546875" bestFit="1" customWidth="1"/>
    <col min="1569" max="1569" width="9.33203125" bestFit="1" customWidth="1"/>
    <col min="1570" max="1570" width="11.5546875" bestFit="1" customWidth="1"/>
    <col min="1571" max="1571" width="9.33203125" bestFit="1" customWidth="1"/>
    <col min="1572" max="1572" width="11.5546875" bestFit="1" customWidth="1"/>
    <col min="1573" max="1573" width="9.33203125" bestFit="1" customWidth="1"/>
    <col min="1574" max="1574" width="11.5546875" bestFit="1" customWidth="1"/>
    <col min="1575" max="1575" width="9.33203125" bestFit="1" customWidth="1"/>
    <col min="1576" max="1576" width="11.5546875" bestFit="1" customWidth="1"/>
    <col min="1577" max="1577" width="9.33203125" bestFit="1" customWidth="1"/>
    <col min="1578" max="1578" width="11.5546875" bestFit="1" customWidth="1"/>
    <col min="1579" max="1579" width="9.33203125" bestFit="1" customWidth="1"/>
    <col min="1580" max="1580" width="11.5546875" bestFit="1" customWidth="1"/>
    <col min="1581" max="1581" width="9.33203125" bestFit="1" customWidth="1"/>
    <col min="1582" max="1582" width="11.5546875" bestFit="1" customWidth="1"/>
    <col min="1583" max="1583" width="9.33203125" bestFit="1" customWidth="1"/>
    <col min="1584" max="1584" width="11.5546875" bestFit="1" customWidth="1"/>
    <col min="1585" max="1585" width="9.33203125" bestFit="1" customWidth="1"/>
    <col min="1586" max="1586" width="11.5546875" bestFit="1" customWidth="1"/>
    <col min="1587" max="1587" width="9.33203125" bestFit="1" customWidth="1"/>
    <col min="1795" max="1795" width="29.44140625" bestFit="1" customWidth="1"/>
    <col min="1796" max="1796" width="11.5546875" bestFit="1" customWidth="1"/>
    <col min="1797" max="1797" width="9.33203125" bestFit="1" customWidth="1"/>
    <col min="1798" max="1798" width="11.5546875" bestFit="1" customWidth="1"/>
    <col min="1799" max="1799" width="9.33203125" bestFit="1" customWidth="1"/>
    <col min="1800" max="1800" width="11.5546875" bestFit="1" customWidth="1"/>
    <col min="1801" max="1801" width="9.33203125" bestFit="1" customWidth="1"/>
    <col min="1802" max="1802" width="11.5546875" bestFit="1" customWidth="1"/>
    <col min="1803" max="1803" width="9.33203125" bestFit="1" customWidth="1"/>
    <col min="1804" max="1804" width="11.5546875" bestFit="1" customWidth="1"/>
    <col min="1805" max="1805" width="9.33203125" bestFit="1" customWidth="1"/>
    <col min="1806" max="1806" width="11.5546875" bestFit="1" customWidth="1"/>
    <col min="1807" max="1807" width="9.33203125" bestFit="1" customWidth="1"/>
    <col min="1808" max="1808" width="11.5546875" bestFit="1" customWidth="1"/>
    <col min="1809" max="1809" width="9.33203125" bestFit="1" customWidth="1"/>
    <col min="1810" max="1810" width="11.5546875" bestFit="1" customWidth="1"/>
    <col min="1811" max="1811" width="9.33203125" bestFit="1" customWidth="1"/>
    <col min="1812" max="1812" width="11.5546875" bestFit="1" customWidth="1"/>
    <col min="1813" max="1813" width="9.33203125" bestFit="1" customWidth="1"/>
    <col min="1814" max="1814" width="11.5546875" bestFit="1" customWidth="1"/>
    <col min="1815" max="1815" width="9.33203125" bestFit="1" customWidth="1"/>
    <col min="1816" max="1816" width="11.5546875" bestFit="1" customWidth="1"/>
    <col min="1817" max="1817" width="9.33203125" bestFit="1" customWidth="1"/>
    <col min="1818" max="1818" width="11.5546875" bestFit="1" customWidth="1"/>
    <col min="1819" max="1819" width="9.33203125" bestFit="1" customWidth="1"/>
    <col min="1820" max="1820" width="11.5546875" bestFit="1" customWidth="1"/>
    <col min="1821" max="1821" width="9.33203125" bestFit="1" customWidth="1"/>
    <col min="1822" max="1822" width="11.5546875" bestFit="1" customWidth="1"/>
    <col min="1823" max="1823" width="9.33203125" bestFit="1" customWidth="1"/>
    <col min="1824" max="1824" width="11.5546875" bestFit="1" customWidth="1"/>
    <col min="1825" max="1825" width="9.33203125" bestFit="1" customWidth="1"/>
    <col min="1826" max="1826" width="11.5546875" bestFit="1" customWidth="1"/>
    <col min="1827" max="1827" width="9.33203125" bestFit="1" customWidth="1"/>
    <col min="1828" max="1828" width="11.5546875" bestFit="1" customWidth="1"/>
    <col min="1829" max="1829" width="9.33203125" bestFit="1" customWidth="1"/>
    <col min="1830" max="1830" width="11.5546875" bestFit="1" customWidth="1"/>
    <col min="1831" max="1831" width="9.33203125" bestFit="1" customWidth="1"/>
    <col min="1832" max="1832" width="11.5546875" bestFit="1" customWidth="1"/>
    <col min="1833" max="1833" width="9.33203125" bestFit="1" customWidth="1"/>
    <col min="1834" max="1834" width="11.5546875" bestFit="1" customWidth="1"/>
    <col min="1835" max="1835" width="9.33203125" bestFit="1" customWidth="1"/>
    <col min="1836" max="1836" width="11.5546875" bestFit="1" customWidth="1"/>
    <col min="1837" max="1837" width="9.33203125" bestFit="1" customWidth="1"/>
    <col min="1838" max="1838" width="11.5546875" bestFit="1" customWidth="1"/>
    <col min="1839" max="1839" width="9.33203125" bestFit="1" customWidth="1"/>
    <col min="1840" max="1840" width="11.5546875" bestFit="1" customWidth="1"/>
    <col min="1841" max="1841" width="9.33203125" bestFit="1" customWidth="1"/>
    <col min="1842" max="1842" width="11.5546875" bestFit="1" customWidth="1"/>
    <col min="1843" max="1843" width="9.33203125" bestFit="1" customWidth="1"/>
    <col min="2051" max="2051" width="29.44140625" bestFit="1" customWidth="1"/>
    <col min="2052" max="2052" width="11.5546875" bestFit="1" customWidth="1"/>
    <col min="2053" max="2053" width="9.33203125" bestFit="1" customWidth="1"/>
    <col min="2054" max="2054" width="11.5546875" bestFit="1" customWidth="1"/>
    <col min="2055" max="2055" width="9.33203125" bestFit="1" customWidth="1"/>
    <col min="2056" max="2056" width="11.5546875" bestFit="1" customWidth="1"/>
    <col min="2057" max="2057" width="9.33203125" bestFit="1" customWidth="1"/>
    <col min="2058" max="2058" width="11.5546875" bestFit="1" customWidth="1"/>
    <col min="2059" max="2059" width="9.33203125" bestFit="1" customWidth="1"/>
    <col min="2060" max="2060" width="11.5546875" bestFit="1" customWidth="1"/>
    <col min="2061" max="2061" width="9.33203125" bestFit="1" customWidth="1"/>
    <col min="2062" max="2062" width="11.5546875" bestFit="1" customWidth="1"/>
    <col min="2063" max="2063" width="9.33203125" bestFit="1" customWidth="1"/>
    <col min="2064" max="2064" width="11.5546875" bestFit="1" customWidth="1"/>
    <col min="2065" max="2065" width="9.33203125" bestFit="1" customWidth="1"/>
    <col min="2066" max="2066" width="11.5546875" bestFit="1" customWidth="1"/>
    <col min="2067" max="2067" width="9.33203125" bestFit="1" customWidth="1"/>
    <col min="2068" max="2068" width="11.5546875" bestFit="1" customWidth="1"/>
    <col min="2069" max="2069" width="9.33203125" bestFit="1" customWidth="1"/>
    <col min="2070" max="2070" width="11.5546875" bestFit="1" customWidth="1"/>
    <col min="2071" max="2071" width="9.33203125" bestFit="1" customWidth="1"/>
    <col min="2072" max="2072" width="11.5546875" bestFit="1" customWidth="1"/>
    <col min="2073" max="2073" width="9.33203125" bestFit="1" customWidth="1"/>
    <col min="2074" max="2074" width="11.5546875" bestFit="1" customWidth="1"/>
    <col min="2075" max="2075" width="9.33203125" bestFit="1" customWidth="1"/>
    <col min="2076" max="2076" width="11.5546875" bestFit="1" customWidth="1"/>
    <col min="2077" max="2077" width="9.33203125" bestFit="1" customWidth="1"/>
    <col min="2078" max="2078" width="11.5546875" bestFit="1" customWidth="1"/>
    <col min="2079" max="2079" width="9.33203125" bestFit="1" customWidth="1"/>
    <col min="2080" max="2080" width="11.5546875" bestFit="1" customWidth="1"/>
    <col min="2081" max="2081" width="9.33203125" bestFit="1" customWidth="1"/>
    <col min="2082" max="2082" width="11.5546875" bestFit="1" customWidth="1"/>
    <col min="2083" max="2083" width="9.33203125" bestFit="1" customWidth="1"/>
    <col min="2084" max="2084" width="11.5546875" bestFit="1" customWidth="1"/>
    <col min="2085" max="2085" width="9.33203125" bestFit="1" customWidth="1"/>
    <col min="2086" max="2086" width="11.5546875" bestFit="1" customWidth="1"/>
    <col min="2087" max="2087" width="9.33203125" bestFit="1" customWidth="1"/>
    <col min="2088" max="2088" width="11.5546875" bestFit="1" customWidth="1"/>
    <col min="2089" max="2089" width="9.33203125" bestFit="1" customWidth="1"/>
    <col min="2090" max="2090" width="11.5546875" bestFit="1" customWidth="1"/>
    <col min="2091" max="2091" width="9.33203125" bestFit="1" customWidth="1"/>
    <col min="2092" max="2092" width="11.5546875" bestFit="1" customWidth="1"/>
    <col min="2093" max="2093" width="9.33203125" bestFit="1" customWidth="1"/>
    <col min="2094" max="2094" width="11.5546875" bestFit="1" customWidth="1"/>
    <col min="2095" max="2095" width="9.33203125" bestFit="1" customWidth="1"/>
    <col min="2096" max="2096" width="11.5546875" bestFit="1" customWidth="1"/>
    <col min="2097" max="2097" width="9.33203125" bestFit="1" customWidth="1"/>
    <col min="2098" max="2098" width="11.5546875" bestFit="1" customWidth="1"/>
    <col min="2099" max="2099" width="9.33203125" bestFit="1" customWidth="1"/>
    <col min="2307" max="2307" width="29.44140625" bestFit="1" customWidth="1"/>
    <col min="2308" max="2308" width="11.5546875" bestFit="1" customWidth="1"/>
    <col min="2309" max="2309" width="9.33203125" bestFit="1" customWidth="1"/>
    <col min="2310" max="2310" width="11.5546875" bestFit="1" customWidth="1"/>
    <col min="2311" max="2311" width="9.33203125" bestFit="1" customWidth="1"/>
    <col min="2312" max="2312" width="11.5546875" bestFit="1" customWidth="1"/>
    <col min="2313" max="2313" width="9.33203125" bestFit="1" customWidth="1"/>
    <col min="2314" max="2314" width="11.5546875" bestFit="1" customWidth="1"/>
    <col min="2315" max="2315" width="9.33203125" bestFit="1" customWidth="1"/>
    <col min="2316" max="2316" width="11.5546875" bestFit="1" customWidth="1"/>
    <col min="2317" max="2317" width="9.33203125" bestFit="1" customWidth="1"/>
    <col min="2318" max="2318" width="11.5546875" bestFit="1" customWidth="1"/>
    <col min="2319" max="2319" width="9.33203125" bestFit="1" customWidth="1"/>
    <col min="2320" max="2320" width="11.5546875" bestFit="1" customWidth="1"/>
    <col min="2321" max="2321" width="9.33203125" bestFit="1" customWidth="1"/>
    <col min="2322" max="2322" width="11.5546875" bestFit="1" customWidth="1"/>
    <col min="2323" max="2323" width="9.33203125" bestFit="1" customWidth="1"/>
    <col min="2324" max="2324" width="11.5546875" bestFit="1" customWidth="1"/>
    <col min="2325" max="2325" width="9.33203125" bestFit="1" customWidth="1"/>
    <col min="2326" max="2326" width="11.5546875" bestFit="1" customWidth="1"/>
    <col min="2327" max="2327" width="9.33203125" bestFit="1" customWidth="1"/>
    <col min="2328" max="2328" width="11.5546875" bestFit="1" customWidth="1"/>
    <col min="2329" max="2329" width="9.33203125" bestFit="1" customWidth="1"/>
    <col min="2330" max="2330" width="11.5546875" bestFit="1" customWidth="1"/>
    <col min="2331" max="2331" width="9.33203125" bestFit="1" customWidth="1"/>
    <col min="2332" max="2332" width="11.5546875" bestFit="1" customWidth="1"/>
    <col min="2333" max="2333" width="9.33203125" bestFit="1" customWidth="1"/>
    <col min="2334" max="2334" width="11.5546875" bestFit="1" customWidth="1"/>
    <col min="2335" max="2335" width="9.33203125" bestFit="1" customWidth="1"/>
    <col min="2336" max="2336" width="11.5546875" bestFit="1" customWidth="1"/>
    <col min="2337" max="2337" width="9.33203125" bestFit="1" customWidth="1"/>
    <col min="2338" max="2338" width="11.5546875" bestFit="1" customWidth="1"/>
    <col min="2339" max="2339" width="9.33203125" bestFit="1" customWidth="1"/>
    <col min="2340" max="2340" width="11.5546875" bestFit="1" customWidth="1"/>
    <col min="2341" max="2341" width="9.33203125" bestFit="1" customWidth="1"/>
    <col min="2342" max="2342" width="11.5546875" bestFit="1" customWidth="1"/>
    <col min="2343" max="2343" width="9.33203125" bestFit="1" customWidth="1"/>
    <col min="2344" max="2344" width="11.5546875" bestFit="1" customWidth="1"/>
    <col min="2345" max="2345" width="9.33203125" bestFit="1" customWidth="1"/>
    <col min="2346" max="2346" width="11.5546875" bestFit="1" customWidth="1"/>
    <col min="2347" max="2347" width="9.33203125" bestFit="1" customWidth="1"/>
    <col min="2348" max="2348" width="11.5546875" bestFit="1" customWidth="1"/>
    <col min="2349" max="2349" width="9.33203125" bestFit="1" customWidth="1"/>
    <col min="2350" max="2350" width="11.5546875" bestFit="1" customWidth="1"/>
    <col min="2351" max="2351" width="9.33203125" bestFit="1" customWidth="1"/>
    <col min="2352" max="2352" width="11.5546875" bestFit="1" customWidth="1"/>
    <col min="2353" max="2353" width="9.33203125" bestFit="1" customWidth="1"/>
    <col min="2354" max="2354" width="11.5546875" bestFit="1" customWidth="1"/>
    <col min="2355" max="2355" width="9.33203125" bestFit="1" customWidth="1"/>
    <col min="2563" max="2563" width="29.44140625" bestFit="1" customWidth="1"/>
    <col min="2564" max="2564" width="11.5546875" bestFit="1" customWidth="1"/>
    <col min="2565" max="2565" width="9.33203125" bestFit="1" customWidth="1"/>
    <col min="2566" max="2566" width="11.5546875" bestFit="1" customWidth="1"/>
    <col min="2567" max="2567" width="9.33203125" bestFit="1" customWidth="1"/>
    <col min="2568" max="2568" width="11.5546875" bestFit="1" customWidth="1"/>
    <col min="2569" max="2569" width="9.33203125" bestFit="1" customWidth="1"/>
    <col min="2570" max="2570" width="11.5546875" bestFit="1" customWidth="1"/>
    <col min="2571" max="2571" width="9.33203125" bestFit="1" customWidth="1"/>
    <col min="2572" max="2572" width="11.5546875" bestFit="1" customWidth="1"/>
    <col min="2573" max="2573" width="9.33203125" bestFit="1" customWidth="1"/>
    <col min="2574" max="2574" width="11.5546875" bestFit="1" customWidth="1"/>
    <col min="2575" max="2575" width="9.33203125" bestFit="1" customWidth="1"/>
    <col min="2576" max="2576" width="11.5546875" bestFit="1" customWidth="1"/>
    <col min="2577" max="2577" width="9.33203125" bestFit="1" customWidth="1"/>
    <col min="2578" max="2578" width="11.5546875" bestFit="1" customWidth="1"/>
    <col min="2579" max="2579" width="9.33203125" bestFit="1" customWidth="1"/>
    <col min="2580" max="2580" width="11.5546875" bestFit="1" customWidth="1"/>
    <col min="2581" max="2581" width="9.33203125" bestFit="1" customWidth="1"/>
    <col min="2582" max="2582" width="11.5546875" bestFit="1" customWidth="1"/>
    <col min="2583" max="2583" width="9.33203125" bestFit="1" customWidth="1"/>
    <col min="2584" max="2584" width="11.5546875" bestFit="1" customWidth="1"/>
    <col min="2585" max="2585" width="9.33203125" bestFit="1" customWidth="1"/>
    <col min="2586" max="2586" width="11.5546875" bestFit="1" customWidth="1"/>
    <col min="2587" max="2587" width="9.33203125" bestFit="1" customWidth="1"/>
    <col min="2588" max="2588" width="11.5546875" bestFit="1" customWidth="1"/>
    <col min="2589" max="2589" width="9.33203125" bestFit="1" customWidth="1"/>
    <col min="2590" max="2590" width="11.5546875" bestFit="1" customWidth="1"/>
    <col min="2591" max="2591" width="9.33203125" bestFit="1" customWidth="1"/>
    <col min="2592" max="2592" width="11.5546875" bestFit="1" customWidth="1"/>
    <col min="2593" max="2593" width="9.33203125" bestFit="1" customWidth="1"/>
    <col min="2594" max="2594" width="11.5546875" bestFit="1" customWidth="1"/>
    <col min="2595" max="2595" width="9.33203125" bestFit="1" customWidth="1"/>
    <col min="2596" max="2596" width="11.5546875" bestFit="1" customWidth="1"/>
    <col min="2597" max="2597" width="9.33203125" bestFit="1" customWidth="1"/>
    <col min="2598" max="2598" width="11.5546875" bestFit="1" customWidth="1"/>
    <col min="2599" max="2599" width="9.33203125" bestFit="1" customWidth="1"/>
    <col min="2600" max="2600" width="11.5546875" bestFit="1" customWidth="1"/>
    <col min="2601" max="2601" width="9.33203125" bestFit="1" customWidth="1"/>
    <col min="2602" max="2602" width="11.5546875" bestFit="1" customWidth="1"/>
    <col min="2603" max="2603" width="9.33203125" bestFit="1" customWidth="1"/>
    <col min="2604" max="2604" width="11.5546875" bestFit="1" customWidth="1"/>
    <col min="2605" max="2605" width="9.33203125" bestFit="1" customWidth="1"/>
    <col min="2606" max="2606" width="11.5546875" bestFit="1" customWidth="1"/>
    <col min="2607" max="2607" width="9.33203125" bestFit="1" customWidth="1"/>
    <col min="2608" max="2608" width="11.5546875" bestFit="1" customWidth="1"/>
    <col min="2609" max="2609" width="9.33203125" bestFit="1" customWidth="1"/>
    <col min="2610" max="2610" width="11.5546875" bestFit="1" customWidth="1"/>
    <col min="2611" max="2611" width="9.33203125" bestFit="1" customWidth="1"/>
    <col min="2819" max="2819" width="29.44140625" bestFit="1" customWidth="1"/>
    <col min="2820" max="2820" width="11.5546875" bestFit="1" customWidth="1"/>
    <col min="2821" max="2821" width="9.33203125" bestFit="1" customWidth="1"/>
    <col min="2822" max="2822" width="11.5546875" bestFit="1" customWidth="1"/>
    <col min="2823" max="2823" width="9.33203125" bestFit="1" customWidth="1"/>
    <col min="2824" max="2824" width="11.5546875" bestFit="1" customWidth="1"/>
    <col min="2825" max="2825" width="9.33203125" bestFit="1" customWidth="1"/>
    <col min="2826" max="2826" width="11.5546875" bestFit="1" customWidth="1"/>
    <col min="2827" max="2827" width="9.33203125" bestFit="1" customWidth="1"/>
    <col min="2828" max="2828" width="11.5546875" bestFit="1" customWidth="1"/>
    <col min="2829" max="2829" width="9.33203125" bestFit="1" customWidth="1"/>
    <col min="2830" max="2830" width="11.5546875" bestFit="1" customWidth="1"/>
    <col min="2831" max="2831" width="9.33203125" bestFit="1" customWidth="1"/>
    <col min="2832" max="2832" width="11.5546875" bestFit="1" customWidth="1"/>
    <col min="2833" max="2833" width="9.33203125" bestFit="1" customWidth="1"/>
    <col min="2834" max="2834" width="11.5546875" bestFit="1" customWidth="1"/>
    <col min="2835" max="2835" width="9.33203125" bestFit="1" customWidth="1"/>
    <col min="2836" max="2836" width="11.5546875" bestFit="1" customWidth="1"/>
    <col min="2837" max="2837" width="9.33203125" bestFit="1" customWidth="1"/>
    <col min="2838" max="2838" width="11.5546875" bestFit="1" customWidth="1"/>
    <col min="2839" max="2839" width="9.33203125" bestFit="1" customWidth="1"/>
    <col min="2840" max="2840" width="11.5546875" bestFit="1" customWidth="1"/>
    <col min="2841" max="2841" width="9.33203125" bestFit="1" customWidth="1"/>
    <col min="2842" max="2842" width="11.5546875" bestFit="1" customWidth="1"/>
    <col min="2843" max="2843" width="9.33203125" bestFit="1" customWidth="1"/>
    <col min="2844" max="2844" width="11.5546875" bestFit="1" customWidth="1"/>
    <col min="2845" max="2845" width="9.33203125" bestFit="1" customWidth="1"/>
    <col min="2846" max="2846" width="11.5546875" bestFit="1" customWidth="1"/>
    <col min="2847" max="2847" width="9.33203125" bestFit="1" customWidth="1"/>
    <col min="2848" max="2848" width="11.5546875" bestFit="1" customWidth="1"/>
    <col min="2849" max="2849" width="9.33203125" bestFit="1" customWidth="1"/>
    <col min="2850" max="2850" width="11.5546875" bestFit="1" customWidth="1"/>
    <col min="2851" max="2851" width="9.33203125" bestFit="1" customWidth="1"/>
    <col min="2852" max="2852" width="11.5546875" bestFit="1" customWidth="1"/>
    <col min="2853" max="2853" width="9.33203125" bestFit="1" customWidth="1"/>
    <col min="2854" max="2854" width="11.5546875" bestFit="1" customWidth="1"/>
    <col min="2855" max="2855" width="9.33203125" bestFit="1" customWidth="1"/>
    <col min="2856" max="2856" width="11.5546875" bestFit="1" customWidth="1"/>
    <col min="2857" max="2857" width="9.33203125" bestFit="1" customWidth="1"/>
    <col min="2858" max="2858" width="11.5546875" bestFit="1" customWidth="1"/>
    <col min="2859" max="2859" width="9.33203125" bestFit="1" customWidth="1"/>
    <col min="2860" max="2860" width="11.5546875" bestFit="1" customWidth="1"/>
    <col min="2861" max="2861" width="9.33203125" bestFit="1" customWidth="1"/>
    <col min="2862" max="2862" width="11.5546875" bestFit="1" customWidth="1"/>
    <col min="2863" max="2863" width="9.33203125" bestFit="1" customWidth="1"/>
    <col min="2864" max="2864" width="11.5546875" bestFit="1" customWidth="1"/>
    <col min="2865" max="2865" width="9.33203125" bestFit="1" customWidth="1"/>
    <col min="2866" max="2866" width="11.5546875" bestFit="1" customWidth="1"/>
    <col min="2867" max="2867" width="9.33203125" bestFit="1" customWidth="1"/>
    <col min="3075" max="3075" width="29.44140625" bestFit="1" customWidth="1"/>
    <col min="3076" max="3076" width="11.5546875" bestFit="1" customWidth="1"/>
    <col min="3077" max="3077" width="9.33203125" bestFit="1" customWidth="1"/>
    <col min="3078" max="3078" width="11.5546875" bestFit="1" customWidth="1"/>
    <col min="3079" max="3079" width="9.33203125" bestFit="1" customWidth="1"/>
    <col min="3080" max="3080" width="11.5546875" bestFit="1" customWidth="1"/>
    <col min="3081" max="3081" width="9.33203125" bestFit="1" customWidth="1"/>
    <col min="3082" max="3082" width="11.5546875" bestFit="1" customWidth="1"/>
    <col min="3083" max="3083" width="9.33203125" bestFit="1" customWidth="1"/>
    <col min="3084" max="3084" width="11.5546875" bestFit="1" customWidth="1"/>
    <col min="3085" max="3085" width="9.33203125" bestFit="1" customWidth="1"/>
    <col min="3086" max="3086" width="11.5546875" bestFit="1" customWidth="1"/>
    <col min="3087" max="3087" width="9.33203125" bestFit="1" customWidth="1"/>
    <col min="3088" max="3088" width="11.5546875" bestFit="1" customWidth="1"/>
    <col min="3089" max="3089" width="9.33203125" bestFit="1" customWidth="1"/>
    <col min="3090" max="3090" width="11.5546875" bestFit="1" customWidth="1"/>
    <col min="3091" max="3091" width="9.33203125" bestFit="1" customWidth="1"/>
    <col min="3092" max="3092" width="11.5546875" bestFit="1" customWidth="1"/>
    <col min="3093" max="3093" width="9.33203125" bestFit="1" customWidth="1"/>
    <col min="3094" max="3094" width="11.5546875" bestFit="1" customWidth="1"/>
    <col min="3095" max="3095" width="9.33203125" bestFit="1" customWidth="1"/>
    <col min="3096" max="3096" width="11.5546875" bestFit="1" customWidth="1"/>
    <col min="3097" max="3097" width="9.33203125" bestFit="1" customWidth="1"/>
    <col min="3098" max="3098" width="11.5546875" bestFit="1" customWidth="1"/>
    <col min="3099" max="3099" width="9.33203125" bestFit="1" customWidth="1"/>
    <col min="3100" max="3100" width="11.5546875" bestFit="1" customWidth="1"/>
    <col min="3101" max="3101" width="9.33203125" bestFit="1" customWidth="1"/>
    <col min="3102" max="3102" width="11.5546875" bestFit="1" customWidth="1"/>
    <col min="3103" max="3103" width="9.33203125" bestFit="1" customWidth="1"/>
    <col min="3104" max="3104" width="11.5546875" bestFit="1" customWidth="1"/>
    <col min="3105" max="3105" width="9.33203125" bestFit="1" customWidth="1"/>
    <col min="3106" max="3106" width="11.5546875" bestFit="1" customWidth="1"/>
    <col min="3107" max="3107" width="9.33203125" bestFit="1" customWidth="1"/>
    <col min="3108" max="3108" width="11.5546875" bestFit="1" customWidth="1"/>
    <col min="3109" max="3109" width="9.33203125" bestFit="1" customWidth="1"/>
    <col min="3110" max="3110" width="11.5546875" bestFit="1" customWidth="1"/>
    <col min="3111" max="3111" width="9.33203125" bestFit="1" customWidth="1"/>
    <col min="3112" max="3112" width="11.5546875" bestFit="1" customWidth="1"/>
    <col min="3113" max="3113" width="9.33203125" bestFit="1" customWidth="1"/>
    <col min="3114" max="3114" width="11.5546875" bestFit="1" customWidth="1"/>
    <col min="3115" max="3115" width="9.33203125" bestFit="1" customWidth="1"/>
    <col min="3116" max="3116" width="11.5546875" bestFit="1" customWidth="1"/>
    <col min="3117" max="3117" width="9.33203125" bestFit="1" customWidth="1"/>
    <col min="3118" max="3118" width="11.5546875" bestFit="1" customWidth="1"/>
    <col min="3119" max="3119" width="9.33203125" bestFit="1" customWidth="1"/>
    <col min="3120" max="3120" width="11.5546875" bestFit="1" customWidth="1"/>
    <col min="3121" max="3121" width="9.33203125" bestFit="1" customWidth="1"/>
    <col min="3122" max="3122" width="11.5546875" bestFit="1" customWidth="1"/>
    <col min="3123" max="3123" width="9.33203125" bestFit="1" customWidth="1"/>
    <col min="3331" max="3331" width="29.44140625" bestFit="1" customWidth="1"/>
    <col min="3332" max="3332" width="11.5546875" bestFit="1" customWidth="1"/>
    <col min="3333" max="3333" width="9.33203125" bestFit="1" customWidth="1"/>
    <col min="3334" max="3334" width="11.5546875" bestFit="1" customWidth="1"/>
    <col min="3335" max="3335" width="9.33203125" bestFit="1" customWidth="1"/>
    <col min="3336" max="3336" width="11.5546875" bestFit="1" customWidth="1"/>
    <col min="3337" max="3337" width="9.33203125" bestFit="1" customWidth="1"/>
    <col min="3338" max="3338" width="11.5546875" bestFit="1" customWidth="1"/>
    <col min="3339" max="3339" width="9.33203125" bestFit="1" customWidth="1"/>
    <col min="3340" max="3340" width="11.5546875" bestFit="1" customWidth="1"/>
    <col min="3341" max="3341" width="9.33203125" bestFit="1" customWidth="1"/>
    <col min="3342" max="3342" width="11.5546875" bestFit="1" customWidth="1"/>
    <col min="3343" max="3343" width="9.33203125" bestFit="1" customWidth="1"/>
    <col min="3344" max="3344" width="11.5546875" bestFit="1" customWidth="1"/>
    <col min="3345" max="3345" width="9.33203125" bestFit="1" customWidth="1"/>
    <col min="3346" max="3346" width="11.5546875" bestFit="1" customWidth="1"/>
    <col min="3347" max="3347" width="9.33203125" bestFit="1" customWidth="1"/>
    <col min="3348" max="3348" width="11.5546875" bestFit="1" customWidth="1"/>
    <col min="3349" max="3349" width="9.33203125" bestFit="1" customWidth="1"/>
    <col min="3350" max="3350" width="11.5546875" bestFit="1" customWidth="1"/>
    <col min="3351" max="3351" width="9.33203125" bestFit="1" customWidth="1"/>
    <col min="3352" max="3352" width="11.5546875" bestFit="1" customWidth="1"/>
    <col min="3353" max="3353" width="9.33203125" bestFit="1" customWidth="1"/>
    <col min="3354" max="3354" width="11.5546875" bestFit="1" customWidth="1"/>
    <col min="3355" max="3355" width="9.33203125" bestFit="1" customWidth="1"/>
    <col min="3356" max="3356" width="11.5546875" bestFit="1" customWidth="1"/>
    <col min="3357" max="3357" width="9.33203125" bestFit="1" customWidth="1"/>
    <col min="3358" max="3358" width="11.5546875" bestFit="1" customWidth="1"/>
    <col min="3359" max="3359" width="9.33203125" bestFit="1" customWidth="1"/>
    <col min="3360" max="3360" width="11.5546875" bestFit="1" customWidth="1"/>
    <col min="3361" max="3361" width="9.33203125" bestFit="1" customWidth="1"/>
    <col min="3362" max="3362" width="11.5546875" bestFit="1" customWidth="1"/>
    <col min="3363" max="3363" width="9.33203125" bestFit="1" customWidth="1"/>
    <col min="3364" max="3364" width="11.5546875" bestFit="1" customWidth="1"/>
    <col min="3365" max="3365" width="9.33203125" bestFit="1" customWidth="1"/>
    <col min="3366" max="3366" width="11.5546875" bestFit="1" customWidth="1"/>
    <col min="3367" max="3367" width="9.33203125" bestFit="1" customWidth="1"/>
    <col min="3368" max="3368" width="11.5546875" bestFit="1" customWidth="1"/>
    <col min="3369" max="3369" width="9.33203125" bestFit="1" customWidth="1"/>
    <col min="3370" max="3370" width="11.5546875" bestFit="1" customWidth="1"/>
    <col min="3371" max="3371" width="9.33203125" bestFit="1" customWidth="1"/>
    <col min="3372" max="3372" width="11.5546875" bestFit="1" customWidth="1"/>
    <col min="3373" max="3373" width="9.33203125" bestFit="1" customWidth="1"/>
    <col min="3374" max="3374" width="11.5546875" bestFit="1" customWidth="1"/>
    <col min="3375" max="3375" width="9.33203125" bestFit="1" customWidth="1"/>
    <col min="3376" max="3376" width="11.5546875" bestFit="1" customWidth="1"/>
    <col min="3377" max="3377" width="9.33203125" bestFit="1" customWidth="1"/>
    <col min="3378" max="3378" width="11.5546875" bestFit="1" customWidth="1"/>
    <col min="3379" max="3379" width="9.33203125" bestFit="1" customWidth="1"/>
    <col min="3587" max="3587" width="29.44140625" bestFit="1" customWidth="1"/>
    <col min="3588" max="3588" width="11.5546875" bestFit="1" customWidth="1"/>
    <col min="3589" max="3589" width="9.33203125" bestFit="1" customWidth="1"/>
    <col min="3590" max="3590" width="11.5546875" bestFit="1" customWidth="1"/>
    <col min="3591" max="3591" width="9.33203125" bestFit="1" customWidth="1"/>
    <col min="3592" max="3592" width="11.5546875" bestFit="1" customWidth="1"/>
    <col min="3593" max="3593" width="9.33203125" bestFit="1" customWidth="1"/>
    <col min="3594" max="3594" width="11.5546875" bestFit="1" customWidth="1"/>
    <col min="3595" max="3595" width="9.33203125" bestFit="1" customWidth="1"/>
    <col min="3596" max="3596" width="11.5546875" bestFit="1" customWidth="1"/>
    <col min="3597" max="3597" width="9.33203125" bestFit="1" customWidth="1"/>
    <col min="3598" max="3598" width="11.5546875" bestFit="1" customWidth="1"/>
    <col min="3599" max="3599" width="9.33203125" bestFit="1" customWidth="1"/>
    <col min="3600" max="3600" width="11.5546875" bestFit="1" customWidth="1"/>
    <col min="3601" max="3601" width="9.33203125" bestFit="1" customWidth="1"/>
    <col min="3602" max="3602" width="11.5546875" bestFit="1" customWidth="1"/>
    <col min="3603" max="3603" width="9.33203125" bestFit="1" customWidth="1"/>
    <col min="3604" max="3604" width="11.5546875" bestFit="1" customWidth="1"/>
    <col min="3605" max="3605" width="9.33203125" bestFit="1" customWidth="1"/>
    <col min="3606" max="3606" width="11.5546875" bestFit="1" customWidth="1"/>
    <col min="3607" max="3607" width="9.33203125" bestFit="1" customWidth="1"/>
    <col min="3608" max="3608" width="11.5546875" bestFit="1" customWidth="1"/>
    <col min="3609" max="3609" width="9.33203125" bestFit="1" customWidth="1"/>
    <col min="3610" max="3610" width="11.5546875" bestFit="1" customWidth="1"/>
    <col min="3611" max="3611" width="9.33203125" bestFit="1" customWidth="1"/>
    <col min="3612" max="3612" width="11.5546875" bestFit="1" customWidth="1"/>
    <col min="3613" max="3613" width="9.33203125" bestFit="1" customWidth="1"/>
    <col min="3614" max="3614" width="11.5546875" bestFit="1" customWidth="1"/>
    <col min="3615" max="3615" width="9.33203125" bestFit="1" customWidth="1"/>
    <col min="3616" max="3616" width="11.5546875" bestFit="1" customWidth="1"/>
    <col min="3617" max="3617" width="9.33203125" bestFit="1" customWidth="1"/>
    <col min="3618" max="3618" width="11.5546875" bestFit="1" customWidth="1"/>
    <col min="3619" max="3619" width="9.33203125" bestFit="1" customWidth="1"/>
    <col min="3620" max="3620" width="11.5546875" bestFit="1" customWidth="1"/>
    <col min="3621" max="3621" width="9.33203125" bestFit="1" customWidth="1"/>
    <col min="3622" max="3622" width="11.5546875" bestFit="1" customWidth="1"/>
    <col min="3623" max="3623" width="9.33203125" bestFit="1" customWidth="1"/>
    <col min="3624" max="3624" width="11.5546875" bestFit="1" customWidth="1"/>
    <col min="3625" max="3625" width="9.33203125" bestFit="1" customWidth="1"/>
    <col min="3626" max="3626" width="11.5546875" bestFit="1" customWidth="1"/>
    <col min="3627" max="3627" width="9.33203125" bestFit="1" customWidth="1"/>
    <col min="3628" max="3628" width="11.5546875" bestFit="1" customWidth="1"/>
    <col min="3629" max="3629" width="9.33203125" bestFit="1" customWidth="1"/>
    <col min="3630" max="3630" width="11.5546875" bestFit="1" customWidth="1"/>
    <col min="3631" max="3631" width="9.33203125" bestFit="1" customWidth="1"/>
    <col min="3632" max="3632" width="11.5546875" bestFit="1" customWidth="1"/>
    <col min="3633" max="3633" width="9.33203125" bestFit="1" customWidth="1"/>
    <col min="3634" max="3634" width="11.5546875" bestFit="1" customWidth="1"/>
    <col min="3635" max="3635" width="9.33203125" bestFit="1" customWidth="1"/>
    <col min="3843" max="3843" width="29.44140625" bestFit="1" customWidth="1"/>
    <col min="3844" max="3844" width="11.5546875" bestFit="1" customWidth="1"/>
    <col min="3845" max="3845" width="9.33203125" bestFit="1" customWidth="1"/>
    <col min="3846" max="3846" width="11.5546875" bestFit="1" customWidth="1"/>
    <col min="3847" max="3847" width="9.33203125" bestFit="1" customWidth="1"/>
    <col min="3848" max="3848" width="11.5546875" bestFit="1" customWidth="1"/>
    <col min="3849" max="3849" width="9.33203125" bestFit="1" customWidth="1"/>
    <col min="3850" max="3850" width="11.5546875" bestFit="1" customWidth="1"/>
    <col min="3851" max="3851" width="9.33203125" bestFit="1" customWidth="1"/>
    <col min="3852" max="3852" width="11.5546875" bestFit="1" customWidth="1"/>
    <col min="3853" max="3853" width="9.33203125" bestFit="1" customWidth="1"/>
    <col min="3854" max="3854" width="11.5546875" bestFit="1" customWidth="1"/>
    <col min="3855" max="3855" width="9.33203125" bestFit="1" customWidth="1"/>
    <col min="3856" max="3856" width="11.5546875" bestFit="1" customWidth="1"/>
    <col min="3857" max="3857" width="9.33203125" bestFit="1" customWidth="1"/>
    <col min="3858" max="3858" width="11.5546875" bestFit="1" customWidth="1"/>
    <col min="3859" max="3859" width="9.33203125" bestFit="1" customWidth="1"/>
    <col min="3860" max="3860" width="11.5546875" bestFit="1" customWidth="1"/>
    <col min="3861" max="3861" width="9.33203125" bestFit="1" customWidth="1"/>
    <col min="3862" max="3862" width="11.5546875" bestFit="1" customWidth="1"/>
    <col min="3863" max="3863" width="9.33203125" bestFit="1" customWidth="1"/>
    <col min="3864" max="3864" width="11.5546875" bestFit="1" customWidth="1"/>
    <col min="3865" max="3865" width="9.33203125" bestFit="1" customWidth="1"/>
    <col min="3866" max="3866" width="11.5546875" bestFit="1" customWidth="1"/>
    <col min="3867" max="3867" width="9.33203125" bestFit="1" customWidth="1"/>
    <col min="3868" max="3868" width="11.5546875" bestFit="1" customWidth="1"/>
    <col min="3869" max="3869" width="9.33203125" bestFit="1" customWidth="1"/>
    <col min="3870" max="3870" width="11.5546875" bestFit="1" customWidth="1"/>
    <col min="3871" max="3871" width="9.33203125" bestFit="1" customWidth="1"/>
    <col min="3872" max="3872" width="11.5546875" bestFit="1" customWidth="1"/>
    <col min="3873" max="3873" width="9.33203125" bestFit="1" customWidth="1"/>
    <col min="3874" max="3874" width="11.5546875" bestFit="1" customWidth="1"/>
    <col min="3875" max="3875" width="9.33203125" bestFit="1" customWidth="1"/>
    <col min="3876" max="3876" width="11.5546875" bestFit="1" customWidth="1"/>
    <col min="3877" max="3877" width="9.33203125" bestFit="1" customWidth="1"/>
    <col min="3878" max="3878" width="11.5546875" bestFit="1" customWidth="1"/>
    <col min="3879" max="3879" width="9.33203125" bestFit="1" customWidth="1"/>
    <col min="3880" max="3880" width="11.5546875" bestFit="1" customWidth="1"/>
    <col min="3881" max="3881" width="9.33203125" bestFit="1" customWidth="1"/>
    <col min="3882" max="3882" width="11.5546875" bestFit="1" customWidth="1"/>
    <col min="3883" max="3883" width="9.33203125" bestFit="1" customWidth="1"/>
    <col min="3884" max="3884" width="11.5546875" bestFit="1" customWidth="1"/>
    <col min="3885" max="3885" width="9.33203125" bestFit="1" customWidth="1"/>
    <col min="3886" max="3886" width="11.5546875" bestFit="1" customWidth="1"/>
    <col min="3887" max="3887" width="9.33203125" bestFit="1" customWidth="1"/>
    <col min="3888" max="3888" width="11.5546875" bestFit="1" customWidth="1"/>
    <col min="3889" max="3889" width="9.33203125" bestFit="1" customWidth="1"/>
    <col min="3890" max="3890" width="11.5546875" bestFit="1" customWidth="1"/>
    <col min="3891" max="3891" width="9.33203125" bestFit="1" customWidth="1"/>
    <col min="4099" max="4099" width="29.44140625" bestFit="1" customWidth="1"/>
    <col min="4100" max="4100" width="11.5546875" bestFit="1" customWidth="1"/>
    <col min="4101" max="4101" width="9.33203125" bestFit="1" customWidth="1"/>
    <col min="4102" max="4102" width="11.5546875" bestFit="1" customWidth="1"/>
    <col min="4103" max="4103" width="9.33203125" bestFit="1" customWidth="1"/>
    <col min="4104" max="4104" width="11.5546875" bestFit="1" customWidth="1"/>
    <col min="4105" max="4105" width="9.33203125" bestFit="1" customWidth="1"/>
    <col min="4106" max="4106" width="11.5546875" bestFit="1" customWidth="1"/>
    <col min="4107" max="4107" width="9.33203125" bestFit="1" customWidth="1"/>
    <col min="4108" max="4108" width="11.5546875" bestFit="1" customWidth="1"/>
    <col min="4109" max="4109" width="9.33203125" bestFit="1" customWidth="1"/>
    <col min="4110" max="4110" width="11.5546875" bestFit="1" customWidth="1"/>
    <col min="4111" max="4111" width="9.33203125" bestFit="1" customWidth="1"/>
    <col min="4112" max="4112" width="11.5546875" bestFit="1" customWidth="1"/>
    <col min="4113" max="4113" width="9.33203125" bestFit="1" customWidth="1"/>
    <col min="4114" max="4114" width="11.5546875" bestFit="1" customWidth="1"/>
    <col min="4115" max="4115" width="9.33203125" bestFit="1" customWidth="1"/>
    <col min="4116" max="4116" width="11.5546875" bestFit="1" customWidth="1"/>
    <col min="4117" max="4117" width="9.33203125" bestFit="1" customWidth="1"/>
    <col min="4118" max="4118" width="11.5546875" bestFit="1" customWidth="1"/>
    <col min="4119" max="4119" width="9.33203125" bestFit="1" customWidth="1"/>
    <col min="4120" max="4120" width="11.5546875" bestFit="1" customWidth="1"/>
    <col min="4121" max="4121" width="9.33203125" bestFit="1" customWidth="1"/>
    <col min="4122" max="4122" width="11.5546875" bestFit="1" customWidth="1"/>
    <col min="4123" max="4123" width="9.33203125" bestFit="1" customWidth="1"/>
    <col min="4124" max="4124" width="11.5546875" bestFit="1" customWidth="1"/>
    <col min="4125" max="4125" width="9.33203125" bestFit="1" customWidth="1"/>
    <col min="4126" max="4126" width="11.5546875" bestFit="1" customWidth="1"/>
    <col min="4127" max="4127" width="9.33203125" bestFit="1" customWidth="1"/>
    <col min="4128" max="4128" width="11.5546875" bestFit="1" customWidth="1"/>
    <col min="4129" max="4129" width="9.33203125" bestFit="1" customWidth="1"/>
    <col min="4130" max="4130" width="11.5546875" bestFit="1" customWidth="1"/>
    <col min="4131" max="4131" width="9.33203125" bestFit="1" customWidth="1"/>
    <col min="4132" max="4132" width="11.5546875" bestFit="1" customWidth="1"/>
    <col min="4133" max="4133" width="9.33203125" bestFit="1" customWidth="1"/>
    <col min="4134" max="4134" width="11.5546875" bestFit="1" customWidth="1"/>
    <col min="4135" max="4135" width="9.33203125" bestFit="1" customWidth="1"/>
    <col min="4136" max="4136" width="11.5546875" bestFit="1" customWidth="1"/>
    <col min="4137" max="4137" width="9.33203125" bestFit="1" customWidth="1"/>
    <col min="4138" max="4138" width="11.5546875" bestFit="1" customWidth="1"/>
    <col min="4139" max="4139" width="9.33203125" bestFit="1" customWidth="1"/>
    <col min="4140" max="4140" width="11.5546875" bestFit="1" customWidth="1"/>
    <col min="4141" max="4141" width="9.33203125" bestFit="1" customWidth="1"/>
    <col min="4142" max="4142" width="11.5546875" bestFit="1" customWidth="1"/>
    <col min="4143" max="4143" width="9.33203125" bestFit="1" customWidth="1"/>
    <col min="4144" max="4144" width="11.5546875" bestFit="1" customWidth="1"/>
    <col min="4145" max="4145" width="9.33203125" bestFit="1" customWidth="1"/>
    <col min="4146" max="4146" width="11.5546875" bestFit="1" customWidth="1"/>
    <col min="4147" max="4147" width="9.33203125" bestFit="1" customWidth="1"/>
    <col min="4355" max="4355" width="29.44140625" bestFit="1" customWidth="1"/>
    <col min="4356" max="4356" width="11.5546875" bestFit="1" customWidth="1"/>
    <col min="4357" max="4357" width="9.33203125" bestFit="1" customWidth="1"/>
    <col min="4358" max="4358" width="11.5546875" bestFit="1" customWidth="1"/>
    <col min="4359" max="4359" width="9.33203125" bestFit="1" customWidth="1"/>
    <col min="4360" max="4360" width="11.5546875" bestFit="1" customWidth="1"/>
    <col min="4361" max="4361" width="9.33203125" bestFit="1" customWidth="1"/>
    <col min="4362" max="4362" width="11.5546875" bestFit="1" customWidth="1"/>
    <col min="4363" max="4363" width="9.33203125" bestFit="1" customWidth="1"/>
    <col min="4364" max="4364" width="11.5546875" bestFit="1" customWidth="1"/>
    <col min="4365" max="4365" width="9.33203125" bestFit="1" customWidth="1"/>
    <col min="4366" max="4366" width="11.5546875" bestFit="1" customWidth="1"/>
    <col min="4367" max="4367" width="9.33203125" bestFit="1" customWidth="1"/>
    <col min="4368" max="4368" width="11.5546875" bestFit="1" customWidth="1"/>
    <col min="4369" max="4369" width="9.33203125" bestFit="1" customWidth="1"/>
    <col min="4370" max="4370" width="11.5546875" bestFit="1" customWidth="1"/>
    <col min="4371" max="4371" width="9.33203125" bestFit="1" customWidth="1"/>
    <col min="4372" max="4372" width="11.5546875" bestFit="1" customWidth="1"/>
    <col min="4373" max="4373" width="9.33203125" bestFit="1" customWidth="1"/>
    <col min="4374" max="4374" width="11.5546875" bestFit="1" customWidth="1"/>
    <col min="4375" max="4375" width="9.33203125" bestFit="1" customWidth="1"/>
    <col min="4376" max="4376" width="11.5546875" bestFit="1" customWidth="1"/>
    <col min="4377" max="4377" width="9.33203125" bestFit="1" customWidth="1"/>
    <col min="4378" max="4378" width="11.5546875" bestFit="1" customWidth="1"/>
    <col min="4379" max="4379" width="9.33203125" bestFit="1" customWidth="1"/>
    <col min="4380" max="4380" width="11.5546875" bestFit="1" customWidth="1"/>
    <col min="4381" max="4381" width="9.33203125" bestFit="1" customWidth="1"/>
    <col min="4382" max="4382" width="11.5546875" bestFit="1" customWidth="1"/>
    <col min="4383" max="4383" width="9.33203125" bestFit="1" customWidth="1"/>
    <col min="4384" max="4384" width="11.5546875" bestFit="1" customWidth="1"/>
    <col min="4385" max="4385" width="9.33203125" bestFit="1" customWidth="1"/>
    <col min="4386" max="4386" width="11.5546875" bestFit="1" customWidth="1"/>
    <col min="4387" max="4387" width="9.33203125" bestFit="1" customWidth="1"/>
    <col min="4388" max="4388" width="11.5546875" bestFit="1" customWidth="1"/>
    <col min="4389" max="4389" width="9.33203125" bestFit="1" customWidth="1"/>
    <col min="4390" max="4390" width="11.5546875" bestFit="1" customWidth="1"/>
    <col min="4391" max="4391" width="9.33203125" bestFit="1" customWidth="1"/>
    <col min="4392" max="4392" width="11.5546875" bestFit="1" customWidth="1"/>
    <col min="4393" max="4393" width="9.33203125" bestFit="1" customWidth="1"/>
    <col min="4394" max="4394" width="11.5546875" bestFit="1" customWidth="1"/>
    <col min="4395" max="4395" width="9.33203125" bestFit="1" customWidth="1"/>
    <col min="4396" max="4396" width="11.5546875" bestFit="1" customWidth="1"/>
    <col min="4397" max="4397" width="9.33203125" bestFit="1" customWidth="1"/>
    <col min="4398" max="4398" width="11.5546875" bestFit="1" customWidth="1"/>
    <col min="4399" max="4399" width="9.33203125" bestFit="1" customWidth="1"/>
    <col min="4400" max="4400" width="11.5546875" bestFit="1" customWidth="1"/>
    <col min="4401" max="4401" width="9.33203125" bestFit="1" customWidth="1"/>
    <col min="4402" max="4402" width="11.5546875" bestFit="1" customWidth="1"/>
    <col min="4403" max="4403" width="9.33203125" bestFit="1" customWidth="1"/>
    <col min="4611" max="4611" width="29.44140625" bestFit="1" customWidth="1"/>
    <col min="4612" max="4612" width="11.5546875" bestFit="1" customWidth="1"/>
    <col min="4613" max="4613" width="9.33203125" bestFit="1" customWidth="1"/>
    <col min="4614" max="4614" width="11.5546875" bestFit="1" customWidth="1"/>
    <col min="4615" max="4615" width="9.33203125" bestFit="1" customWidth="1"/>
    <col min="4616" max="4616" width="11.5546875" bestFit="1" customWidth="1"/>
    <col min="4617" max="4617" width="9.33203125" bestFit="1" customWidth="1"/>
    <col min="4618" max="4618" width="11.5546875" bestFit="1" customWidth="1"/>
    <col min="4619" max="4619" width="9.33203125" bestFit="1" customWidth="1"/>
    <col min="4620" max="4620" width="11.5546875" bestFit="1" customWidth="1"/>
    <col min="4621" max="4621" width="9.33203125" bestFit="1" customWidth="1"/>
    <col min="4622" max="4622" width="11.5546875" bestFit="1" customWidth="1"/>
    <col min="4623" max="4623" width="9.33203125" bestFit="1" customWidth="1"/>
    <col min="4624" max="4624" width="11.5546875" bestFit="1" customWidth="1"/>
    <col min="4625" max="4625" width="9.33203125" bestFit="1" customWidth="1"/>
    <col min="4626" max="4626" width="11.5546875" bestFit="1" customWidth="1"/>
    <col min="4627" max="4627" width="9.33203125" bestFit="1" customWidth="1"/>
    <col min="4628" max="4628" width="11.5546875" bestFit="1" customWidth="1"/>
    <col min="4629" max="4629" width="9.33203125" bestFit="1" customWidth="1"/>
    <col min="4630" max="4630" width="11.5546875" bestFit="1" customWidth="1"/>
    <col min="4631" max="4631" width="9.33203125" bestFit="1" customWidth="1"/>
    <col min="4632" max="4632" width="11.5546875" bestFit="1" customWidth="1"/>
    <col min="4633" max="4633" width="9.33203125" bestFit="1" customWidth="1"/>
    <col min="4634" max="4634" width="11.5546875" bestFit="1" customWidth="1"/>
    <col min="4635" max="4635" width="9.33203125" bestFit="1" customWidth="1"/>
    <col min="4636" max="4636" width="11.5546875" bestFit="1" customWidth="1"/>
    <col min="4637" max="4637" width="9.33203125" bestFit="1" customWidth="1"/>
    <col min="4638" max="4638" width="11.5546875" bestFit="1" customWidth="1"/>
    <col min="4639" max="4639" width="9.33203125" bestFit="1" customWidth="1"/>
    <col min="4640" max="4640" width="11.5546875" bestFit="1" customWidth="1"/>
    <col min="4641" max="4641" width="9.33203125" bestFit="1" customWidth="1"/>
    <col min="4642" max="4642" width="11.5546875" bestFit="1" customWidth="1"/>
    <col min="4643" max="4643" width="9.33203125" bestFit="1" customWidth="1"/>
    <col min="4644" max="4644" width="11.5546875" bestFit="1" customWidth="1"/>
    <col min="4645" max="4645" width="9.33203125" bestFit="1" customWidth="1"/>
    <col min="4646" max="4646" width="11.5546875" bestFit="1" customWidth="1"/>
    <col min="4647" max="4647" width="9.33203125" bestFit="1" customWidth="1"/>
    <col min="4648" max="4648" width="11.5546875" bestFit="1" customWidth="1"/>
    <col min="4649" max="4649" width="9.33203125" bestFit="1" customWidth="1"/>
    <col min="4650" max="4650" width="11.5546875" bestFit="1" customWidth="1"/>
    <col min="4651" max="4651" width="9.33203125" bestFit="1" customWidth="1"/>
    <col min="4652" max="4652" width="11.5546875" bestFit="1" customWidth="1"/>
    <col min="4653" max="4653" width="9.33203125" bestFit="1" customWidth="1"/>
    <col min="4654" max="4654" width="11.5546875" bestFit="1" customWidth="1"/>
    <col min="4655" max="4655" width="9.33203125" bestFit="1" customWidth="1"/>
    <col min="4656" max="4656" width="11.5546875" bestFit="1" customWidth="1"/>
    <col min="4657" max="4657" width="9.33203125" bestFit="1" customWidth="1"/>
    <col min="4658" max="4658" width="11.5546875" bestFit="1" customWidth="1"/>
    <col min="4659" max="4659" width="9.33203125" bestFit="1" customWidth="1"/>
    <col min="4867" max="4867" width="29.44140625" bestFit="1" customWidth="1"/>
    <col min="4868" max="4868" width="11.5546875" bestFit="1" customWidth="1"/>
    <col min="4869" max="4869" width="9.33203125" bestFit="1" customWidth="1"/>
    <col min="4870" max="4870" width="11.5546875" bestFit="1" customWidth="1"/>
    <col min="4871" max="4871" width="9.33203125" bestFit="1" customWidth="1"/>
    <col min="4872" max="4872" width="11.5546875" bestFit="1" customWidth="1"/>
    <col min="4873" max="4873" width="9.33203125" bestFit="1" customWidth="1"/>
    <col min="4874" max="4874" width="11.5546875" bestFit="1" customWidth="1"/>
    <col min="4875" max="4875" width="9.33203125" bestFit="1" customWidth="1"/>
    <col min="4876" max="4876" width="11.5546875" bestFit="1" customWidth="1"/>
    <col min="4877" max="4877" width="9.33203125" bestFit="1" customWidth="1"/>
    <col min="4878" max="4878" width="11.5546875" bestFit="1" customWidth="1"/>
    <col min="4879" max="4879" width="9.33203125" bestFit="1" customWidth="1"/>
    <col min="4880" max="4880" width="11.5546875" bestFit="1" customWidth="1"/>
    <col min="4881" max="4881" width="9.33203125" bestFit="1" customWidth="1"/>
    <col min="4882" max="4882" width="11.5546875" bestFit="1" customWidth="1"/>
    <col min="4883" max="4883" width="9.33203125" bestFit="1" customWidth="1"/>
    <col min="4884" max="4884" width="11.5546875" bestFit="1" customWidth="1"/>
    <col min="4885" max="4885" width="9.33203125" bestFit="1" customWidth="1"/>
    <col min="4886" max="4886" width="11.5546875" bestFit="1" customWidth="1"/>
    <col min="4887" max="4887" width="9.33203125" bestFit="1" customWidth="1"/>
    <col min="4888" max="4888" width="11.5546875" bestFit="1" customWidth="1"/>
    <col min="4889" max="4889" width="9.33203125" bestFit="1" customWidth="1"/>
    <col min="4890" max="4890" width="11.5546875" bestFit="1" customWidth="1"/>
    <col min="4891" max="4891" width="9.33203125" bestFit="1" customWidth="1"/>
    <col min="4892" max="4892" width="11.5546875" bestFit="1" customWidth="1"/>
    <col min="4893" max="4893" width="9.33203125" bestFit="1" customWidth="1"/>
    <col min="4894" max="4894" width="11.5546875" bestFit="1" customWidth="1"/>
    <col min="4895" max="4895" width="9.33203125" bestFit="1" customWidth="1"/>
    <col min="4896" max="4896" width="11.5546875" bestFit="1" customWidth="1"/>
    <col min="4897" max="4897" width="9.33203125" bestFit="1" customWidth="1"/>
    <col min="4898" max="4898" width="11.5546875" bestFit="1" customWidth="1"/>
    <col min="4899" max="4899" width="9.33203125" bestFit="1" customWidth="1"/>
    <col min="4900" max="4900" width="11.5546875" bestFit="1" customWidth="1"/>
    <col min="4901" max="4901" width="9.33203125" bestFit="1" customWidth="1"/>
    <col min="4902" max="4902" width="11.5546875" bestFit="1" customWidth="1"/>
    <col min="4903" max="4903" width="9.33203125" bestFit="1" customWidth="1"/>
    <col min="4904" max="4904" width="11.5546875" bestFit="1" customWidth="1"/>
    <col min="4905" max="4905" width="9.33203125" bestFit="1" customWidth="1"/>
    <col min="4906" max="4906" width="11.5546875" bestFit="1" customWidth="1"/>
    <col min="4907" max="4907" width="9.33203125" bestFit="1" customWidth="1"/>
    <col min="4908" max="4908" width="11.5546875" bestFit="1" customWidth="1"/>
    <col min="4909" max="4909" width="9.33203125" bestFit="1" customWidth="1"/>
    <col min="4910" max="4910" width="11.5546875" bestFit="1" customWidth="1"/>
    <col min="4911" max="4911" width="9.33203125" bestFit="1" customWidth="1"/>
    <col min="4912" max="4912" width="11.5546875" bestFit="1" customWidth="1"/>
    <col min="4913" max="4913" width="9.33203125" bestFit="1" customWidth="1"/>
    <col min="4914" max="4914" width="11.5546875" bestFit="1" customWidth="1"/>
    <col min="4915" max="4915" width="9.33203125" bestFit="1" customWidth="1"/>
    <col min="5123" max="5123" width="29.44140625" bestFit="1" customWidth="1"/>
    <col min="5124" max="5124" width="11.5546875" bestFit="1" customWidth="1"/>
    <col min="5125" max="5125" width="9.33203125" bestFit="1" customWidth="1"/>
    <col min="5126" max="5126" width="11.5546875" bestFit="1" customWidth="1"/>
    <col min="5127" max="5127" width="9.33203125" bestFit="1" customWidth="1"/>
    <col min="5128" max="5128" width="11.5546875" bestFit="1" customWidth="1"/>
    <col min="5129" max="5129" width="9.33203125" bestFit="1" customWidth="1"/>
    <col min="5130" max="5130" width="11.5546875" bestFit="1" customWidth="1"/>
    <col min="5131" max="5131" width="9.33203125" bestFit="1" customWidth="1"/>
    <col min="5132" max="5132" width="11.5546875" bestFit="1" customWidth="1"/>
    <col min="5133" max="5133" width="9.33203125" bestFit="1" customWidth="1"/>
    <col min="5134" max="5134" width="11.5546875" bestFit="1" customWidth="1"/>
    <col min="5135" max="5135" width="9.33203125" bestFit="1" customWidth="1"/>
    <col min="5136" max="5136" width="11.5546875" bestFit="1" customWidth="1"/>
    <col min="5137" max="5137" width="9.33203125" bestFit="1" customWidth="1"/>
    <col min="5138" max="5138" width="11.5546875" bestFit="1" customWidth="1"/>
    <col min="5139" max="5139" width="9.33203125" bestFit="1" customWidth="1"/>
    <col min="5140" max="5140" width="11.5546875" bestFit="1" customWidth="1"/>
    <col min="5141" max="5141" width="9.33203125" bestFit="1" customWidth="1"/>
    <col min="5142" max="5142" width="11.5546875" bestFit="1" customWidth="1"/>
    <col min="5143" max="5143" width="9.33203125" bestFit="1" customWidth="1"/>
    <col min="5144" max="5144" width="11.5546875" bestFit="1" customWidth="1"/>
    <col min="5145" max="5145" width="9.33203125" bestFit="1" customWidth="1"/>
    <col min="5146" max="5146" width="11.5546875" bestFit="1" customWidth="1"/>
    <col min="5147" max="5147" width="9.33203125" bestFit="1" customWidth="1"/>
    <col min="5148" max="5148" width="11.5546875" bestFit="1" customWidth="1"/>
    <col min="5149" max="5149" width="9.33203125" bestFit="1" customWidth="1"/>
    <col min="5150" max="5150" width="11.5546875" bestFit="1" customWidth="1"/>
    <col min="5151" max="5151" width="9.33203125" bestFit="1" customWidth="1"/>
    <col min="5152" max="5152" width="11.5546875" bestFit="1" customWidth="1"/>
    <col min="5153" max="5153" width="9.33203125" bestFit="1" customWidth="1"/>
    <col min="5154" max="5154" width="11.5546875" bestFit="1" customWidth="1"/>
    <col min="5155" max="5155" width="9.33203125" bestFit="1" customWidth="1"/>
    <col min="5156" max="5156" width="11.5546875" bestFit="1" customWidth="1"/>
    <col min="5157" max="5157" width="9.33203125" bestFit="1" customWidth="1"/>
    <col min="5158" max="5158" width="11.5546875" bestFit="1" customWidth="1"/>
    <col min="5159" max="5159" width="9.33203125" bestFit="1" customWidth="1"/>
    <col min="5160" max="5160" width="11.5546875" bestFit="1" customWidth="1"/>
    <col min="5161" max="5161" width="9.33203125" bestFit="1" customWidth="1"/>
    <col min="5162" max="5162" width="11.5546875" bestFit="1" customWidth="1"/>
    <col min="5163" max="5163" width="9.33203125" bestFit="1" customWidth="1"/>
    <col min="5164" max="5164" width="11.5546875" bestFit="1" customWidth="1"/>
    <col min="5165" max="5165" width="9.33203125" bestFit="1" customWidth="1"/>
    <col min="5166" max="5166" width="11.5546875" bestFit="1" customWidth="1"/>
    <col min="5167" max="5167" width="9.33203125" bestFit="1" customWidth="1"/>
    <col min="5168" max="5168" width="11.5546875" bestFit="1" customWidth="1"/>
    <col min="5169" max="5169" width="9.33203125" bestFit="1" customWidth="1"/>
    <col min="5170" max="5170" width="11.5546875" bestFit="1" customWidth="1"/>
    <col min="5171" max="5171" width="9.33203125" bestFit="1" customWidth="1"/>
    <col min="5379" max="5379" width="29.44140625" bestFit="1" customWidth="1"/>
    <col min="5380" max="5380" width="11.5546875" bestFit="1" customWidth="1"/>
    <col min="5381" max="5381" width="9.33203125" bestFit="1" customWidth="1"/>
    <col min="5382" max="5382" width="11.5546875" bestFit="1" customWidth="1"/>
    <col min="5383" max="5383" width="9.33203125" bestFit="1" customWidth="1"/>
    <col min="5384" max="5384" width="11.5546875" bestFit="1" customWidth="1"/>
    <col min="5385" max="5385" width="9.33203125" bestFit="1" customWidth="1"/>
    <col min="5386" max="5386" width="11.5546875" bestFit="1" customWidth="1"/>
    <col min="5387" max="5387" width="9.33203125" bestFit="1" customWidth="1"/>
    <col min="5388" max="5388" width="11.5546875" bestFit="1" customWidth="1"/>
    <col min="5389" max="5389" width="9.33203125" bestFit="1" customWidth="1"/>
    <col min="5390" max="5390" width="11.5546875" bestFit="1" customWidth="1"/>
    <col min="5391" max="5391" width="9.33203125" bestFit="1" customWidth="1"/>
    <col min="5392" max="5392" width="11.5546875" bestFit="1" customWidth="1"/>
    <col min="5393" max="5393" width="9.33203125" bestFit="1" customWidth="1"/>
    <col min="5394" max="5394" width="11.5546875" bestFit="1" customWidth="1"/>
    <col min="5395" max="5395" width="9.33203125" bestFit="1" customWidth="1"/>
    <col min="5396" max="5396" width="11.5546875" bestFit="1" customWidth="1"/>
    <col min="5397" max="5397" width="9.33203125" bestFit="1" customWidth="1"/>
    <col min="5398" max="5398" width="11.5546875" bestFit="1" customWidth="1"/>
    <col min="5399" max="5399" width="9.33203125" bestFit="1" customWidth="1"/>
    <col min="5400" max="5400" width="11.5546875" bestFit="1" customWidth="1"/>
    <col min="5401" max="5401" width="9.33203125" bestFit="1" customWidth="1"/>
    <col min="5402" max="5402" width="11.5546875" bestFit="1" customWidth="1"/>
    <col min="5403" max="5403" width="9.33203125" bestFit="1" customWidth="1"/>
    <col min="5404" max="5404" width="11.5546875" bestFit="1" customWidth="1"/>
    <col min="5405" max="5405" width="9.33203125" bestFit="1" customWidth="1"/>
    <col min="5406" max="5406" width="11.5546875" bestFit="1" customWidth="1"/>
    <col min="5407" max="5407" width="9.33203125" bestFit="1" customWidth="1"/>
    <col min="5408" max="5408" width="11.5546875" bestFit="1" customWidth="1"/>
    <col min="5409" max="5409" width="9.33203125" bestFit="1" customWidth="1"/>
    <col min="5410" max="5410" width="11.5546875" bestFit="1" customWidth="1"/>
    <col min="5411" max="5411" width="9.33203125" bestFit="1" customWidth="1"/>
    <col min="5412" max="5412" width="11.5546875" bestFit="1" customWidth="1"/>
    <col min="5413" max="5413" width="9.33203125" bestFit="1" customWidth="1"/>
    <col min="5414" max="5414" width="11.5546875" bestFit="1" customWidth="1"/>
    <col min="5415" max="5415" width="9.33203125" bestFit="1" customWidth="1"/>
    <col min="5416" max="5416" width="11.5546875" bestFit="1" customWidth="1"/>
    <col min="5417" max="5417" width="9.33203125" bestFit="1" customWidth="1"/>
    <col min="5418" max="5418" width="11.5546875" bestFit="1" customWidth="1"/>
    <col min="5419" max="5419" width="9.33203125" bestFit="1" customWidth="1"/>
    <col min="5420" max="5420" width="11.5546875" bestFit="1" customWidth="1"/>
    <col min="5421" max="5421" width="9.33203125" bestFit="1" customWidth="1"/>
    <col min="5422" max="5422" width="11.5546875" bestFit="1" customWidth="1"/>
    <col min="5423" max="5423" width="9.33203125" bestFit="1" customWidth="1"/>
    <col min="5424" max="5424" width="11.5546875" bestFit="1" customWidth="1"/>
    <col min="5425" max="5425" width="9.33203125" bestFit="1" customWidth="1"/>
    <col min="5426" max="5426" width="11.5546875" bestFit="1" customWidth="1"/>
    <col min="5427" max="5427" width="9.33203125" bestFit="1" customWidth="1"/>
    <col min="5635" max="5635" width="29.44140625" bestFit="1" customWidth="1"/>
    <col min="5636" max="5636" width="11.5546875" bestFit="1" customWidth="1"/>
    <col min="5637" max="5637" width="9.33203125" bestFit="1" customWidth="1"/>
    <col min="5638" max="5638" width="11.5546875" bestFit="1" customWidth="1"/>
    <col min="5639" max="5639" width="9.33203125" bestFit="1" customWidth="1"/>
    <col min="5640" max="5640" width="11.5546875" bestFit="1" customWidth="1"/>
    <col min="5641" max="5641" width="9.33203125" bestFit="1" customWidth="1"/>
    <col min="5642" max="5642" width="11.5546875" bestFit="1" customWidth="1"/>
    <col min="5643" max="5643" width="9.33203125" bestFit="1" customWidth="1"/>
    <col min="5644" max="5644" width="11.5546875" bestFit="1" customWidth="1"/>
    <col min="5645" max="5645" width="9.33203125" bestFit="1" customWidth="1"/>
    <col min="5646" max="5646" width="11.5546875" bestFit="1" customWidth="1"/>
    <col min="5647" max="5647" width="9.33203125" bestFit="1" customWidth="1"/>
    <col min="5648" max="5648" width="11.5546875" bestFit="1" customWidth="1"/>
    <col min="5649" max="5649" width="9.33203125" bestFit="1" customWidth="1"/>
    <col min="5650" max="5650" width="11.5546875" bestFit="1" customWidth="1"/>
    <col min="5651" max="5651" width="9.33203125" bestFit="1" customWidth="1"/>
    <col min="5652" max="5652" width="11.5546875" bestFit="1" customWidth="1"/>
    <col min="5653" max="5653" width="9.33203125" bestFit="1" customWidth="1"/>
    <col min="5654" max="5654" width="11.5546875" bestFit="1" customWidth="1"/>
    <col min="5655" max="5655" width="9.33203125" bestFit="1" customWidth="1"/>
    <col min="5656" max="5656" width="11.5546875" bestFit="1" customWidth="1"/>
    <col min="5657" max="5657" width="9.33203125" bestFit="1" customWidth="1"/>
    <col min="5658" max="5658" width="11.5546875" bestFit="1" customWidth="1"/>
    <col min="5659" max="5659" width="9.33203125" bestFit="1" customWidth="1"/>
    <col min="5660" max="5660" width="11.5546875" bestFit="1" customWidth="1"/>
    <col min="5661" max="5661" width="9.33203125" bestFit="1" customWidth="1"/>
    <col min="5662" max="5662" width="11.5546875" bestFit="1" customWidth="1"/>
    <col min="5663" max="5663" width="9.33203125" bestFit="1" customWidth="1"/>
    <col min="5664" max="5664" width="11.5546875" bestFit="1" customWidth="1"/>
    <col min="5665" max="5665" width="9.33203125" bestFit="1" customWidth="1"/>
    <col min="5666" max="5666" width="11.5546875" bestFit="1" customWidth="1"/>
    <col min="5667" max="5667" width="9.33203125" bestFit="1" customWidth="1"/>
    <col min="5668" max="5668" width="11.5546875" bestFit="1" customWidth="1"/>
    <col min="5669" max="5669" width="9.33203125" bestFit="1" customWidth="1"/>
    <col min="5670" max="5670" width="11.5546875" bestFit="1" customWidth="1"/>
    <col min="5671" max="5671" width="9.33203125" bestFit="1" customWidth="1"/>
    <col min="5672" max="5672" width="11.5546875" bestFit="1" customWidth="1"/>
    <col min="5673" max="5673" width="9.33203125" bestFit="1" customWidth="1"/>
    <col min="5674" max="5674" width="11.5546875" bestFit="1" customWidth="1"/>
    <col min="5675" max="5675" width="9.33203125" bestFit="1" customWidth="1"/>
    <col min="5676" max="5676" width="11.5546875" bestFit="1" customWidth="1"/>
    <col min="5677" max="5677" width="9.33203125" bestFit="1" customWidth="1"/>
    <col min="5678" max="5678" width="11.5546875" bestFit="1" customWidth="1"/>
    <col min="5679" max="5679" width="9.33203125" bestFit="1" customWidth="1"/>
    <col min="5680" max="5680" width="11.5546875" bestFit="1" customWidth="1"/>
    <col min="5681" max="5681" width="9.33203125" bestFit="1" customWidth="1"/>
    <col min="5682" max="5682" width="11.5546875" bestFit="1" customWidth="1"/>
    <col min="5683" max="5683" width="9.33203125" bestFit="1" customWidth="1"/>
    <col min="5891" max="5891" width="29.44140625" bestFit="1" customWidth="1"/>
    <col min="5892" max="5892" width="11.5546875" bestFit="1" customWidth="1"/>
    <col min="5893" max="5893" width="9.33203125" bestFit="1" customWidth="1"/>
    <col min="5894" max="5894" width="11.5546875" bestFit="1" customWidth="1"/>
    <col min="5895" max="5895" width="9.33203125" bestFit="1" customWidth="1"/>
    <col min="5896" max="5896" width="11.5546875" bestFit="1" customWidth="1"/>
    <col min="5897" max="5897" width="9.33203125" bestFit="1" customWidth="1"/>
    <col min="5898" max="5898" width="11.5546875" bestFit="1" customWidth="1"/>
    <col min="5899" max="5899" width="9.33203125" bestFit="1" customWidth="1"/>
    <col min="5900" max="5900" width="11.5546875" bestFit="1" customWidth="1"/>
    <col min="5901" max="5901" width="9.33203125" bestFit="1" customWidth="1"/>
    <col min="5902" max="5902" width="11.5546875" bestFit="1" customWidth="1"/>
    <col min="5903" max="5903" width="9.33203125" bestFit="1" customWidth="1"/>
    <col min="5904" max="5904" width="11.5546875" bestFit="1" customWidth="1"/>
    <col min="5905" max="5905" width="9.33203125" bestFit="1" customWidth="1"/>
    <col min="5906" max="5906" width="11.5546875" bestFit="1" customWidth="1"/>
    <col min="5907" max="5907" width="9.33203125" bestFit="1" customWidth="1"/>
    <col min="5908" max="5908" width="11.5546875" bestFit="1" customWidth="1"/>
    <col min="5909" max="5909" width="9.33203125" bestFit="1" customWidth="1"/>
    <col min="5910" max="5910" width="11.5546875" bestFit="1" customWidth="1"/>
    <col min="5911" max="5911" width="9.33203125" bestFit="1" customWidth="1"/>
    <col min="5912" max="5912" width="11.5546875" bestFit="1" customWidth="1"/>
    <col min="5913" max="5913" width="9.33203125" bestFit="1" customWidth="1"/>
    <col min="5914" max="5914" width="11.5546875" bestFit="1" customWidth="1"/>
    <col min="5915" max="5915" width="9.33203125" bestFit="1" customWidth="1"/>
    <col min="5916" max="5916" width="11.5546875" bestFit="1" customWidth="1"/>
    <col min="5917" max="5917" width="9.33203125" bestFit="1" customWidth="1"/>
    <col min="5918" max="5918" width="11.5546875" bestFit="1" customWidth="1"/>
    <col min="5919" max="5919" width="9.33203125" bestFit="1" customWidth="1"/>
    <col min="5920" max="5920" width="11.5546875" bestFit="1" customWidth="1"/>
    <col min="5921" max="5921" width="9.33203125" bestFit="1" customWidth="1"/>
    <col min="5922" max="5922" width="11.5546875" bestFit="1" customWidth="1"/>
    <col min="5923" max="5923" width="9.33203125" bestFit="1" customWidth="1"/>
    <col min="5924" max="5924" width="11.5546875" bestFit="1" customWidth="1"/>
    <col min="5925" max="5925" width="9.33203125" bestFit="1" customWidth="1"/>
    <col min="5926" max="5926" width="11.5546875" bestFit="1" customWidth="1"/>
    <col min="5927" max="5927" width="9.33203125" bestFit="1" customWidth="1"/>
    <col min="5928" max="5928" width="11.5546875" bestFit="1" customWidth="1"/>
    <col min="5929" max="5929" width="9.33203125" bestFit="1" customWidth="1"/>
    <col min="5930" max="5930" width="11.5546875" bestFit="1" customWidth="1"/>
    <col min="5931" max="5931" width="9.33203125" bestFit="1" customWidth="1"/>
    <col min="5932" max="5932" width="11.5546875" bestFit="1" customWidth="1"/>
    <col min="5933" max="5933" width="9.33203125" bestFit="1" customWidth="1"/>
    <col min="5934" max="5934" width="11.5546875" bestFit="1" customWidth="1"/>
    <col min="5935" max="5935" width="9.33203125" bestFit="1" customWidth="1"/>
    <col min="5936" max="5936" width="11.5546875" bestFit="1" customWidth="1"/>
    <col min="5937" max="5937" width="9.33203125" bestFit="1" customWidth="1"/>
    <col min="5938" max="5938" width="11.5546875" bestFit="1" customWidth="1"/>
    <col min="5939" max="5939" width="9.33203125" bestFit="1" customWidth="1"/>
    <col min="6147" max="6147" width="29.44140625" bestFit="1" customWidth="1"/>
    <col min="6148" max="6148" width="11.5546875" bestFit="1" customWidth="1"/>
    <col min="6149" max="6149" width="9.33203125" bestFit="1" customWidth="1"/>
    <col min="6150" max="6150" width="11.5546875" bestFit="1" customWidth="1"/>
    <col min="6151" max="6151" width="9.33203125" bestFit="1" customWidth="1"/>
    <col min="6152" max="6152" width="11.5546875" bestFit="1" customWidth="1"/>
    <col min="6153" max="6153" width="9.33203125" bestFit="1" customWidth="1"/>
    <col min="6154" max="6154" width="11.5546875" bestFit="1" customWidth="1"/>
    <col min="6155" max="6155" width="9.33203125" bestFit="1" customWidth="1"/>
    <col min="6156" max="6156" width="11.5546875" bestFit="1" customWidth="1"/>
    <col min="6157" max="6157" width="9.33203125" bestFit="1" customWidth="1"/>
    <col min="6158" max="6158" width="11.5546875" bestFit="1" customWidth="1"/>
    <col min="6159" max="6159" width="9.33203125" bestFit="1" customWidth="1"/>
    <col min="6160" max="6160" width="11.5546875" bestFit="1" customWidth="1"/>
    <col min="6161" max="6161" width="9.33203125" bestFit="1" customWidth="1"/>
    <col min="6162" max="6162" width="11.5546875" bestFit="1" customWidth="1"/>
    <col min="6163" max="6163" width="9.33203125" bestFit="1" customWidth="1"/>
    <col min="6164" max="6164" width="11.5546875" bestFit="1" customWidth="1"/>
    <col min="6165" max="6165" width="9.33203125" bestFit="1" customWidth="1"/>
    <col min="6166" max="6166" width="11.5546875" bestFit="1" customWidth="1"/>
    <col min="6167" max="6167" width="9.33203125" bestFit="1" customWidth="1"/>
    <col min="6168" max="6168" width="11.5546875" bestFit="1" customWidth="1"/>
    <col min="6169" max="6169" width="9.33203125" bestFit="1" customWidth="1"/>
    <col min="6170" max="6170" width="11.5546875" bestFit="1" customWidth="1"/>
    <col min="6171" max="6171" width="9.33203125" bestFit="1" customWidth="1"/>
    <col min="6172" max="6172" width="11.5546875" bestFit="1" customWidth="1"/>
    <col min="6173" max="6173" width="9.33203125" bestFit="1" customWidth="1"/>
    <col min="6174" max="6174" width="11.5546875" bestFit="1" customWidth="1"/>
    <col min="6175" max="6175" width="9.33203125" bestFit="1" customWidth="1"/>
    <col min="6176" max="6176" width="11.5546875" bestFit="1" customWidth="1"/>
    <col min="6177" max="6177" width="9.33203125" bestFit="1" customWidth="1"/>
    <col min="6178" max="6178" width="11.5546875" bestFit="1" customWidth="1"/>
    <col min="6179" max="6179" width="9.33203125" bestFit="1" customWidth="1"/>
    <col min="6180" max="6180" width="11.5546875" bestFit="1" customWidth="1"/>
    <col min="6181" max="6181" width="9.33203125" bestFit="1" customWidth="1"/>
    <col min="6182" max="6182" width="11.5546875" bestFit="1" customWidth="1"/>
    <col min="6183" max="6183" width="9.33203125" bestFit="1" customWidth="1"/>
    <col min="6184" max="6184" width="11.5546875" bestFit="1" customWidth="1"/>
    <col min="6185" max="6185" width="9.33203125" bestFit="1" customWidth="1"/>
    <col min="6186" max="6186" width="11.5546875" bestFit="1" customWidth="1"/>
    <col min="6187" max="6187" width="9.33203125" bestFit="1" customWidth="1"/>
    <col min="6188" max="6188" width="11.5546875" bestFit="1" customWidth="1"/>
    <col min="6189" max="6189" width="9.33203125" bestFit="1" customWidth="1"/>
    <col min="6190" max="6190" width="11.5546875" bestFit="1" customWidth="1"/>
    <col min="6191" max="6191" width="9.33203125" bestFit="1" customWidth="1"/>
    <col min="6192" max="6192" width="11.5546875" bestFit="1" customWidth="1"/>
    <col min="6193" max="6193" width="9.33203125" bestFit="1" customWidth="1"/>
    <col min="6194" max="6194" width="11.5546875" bestFit="1" customWidth="1"/>
    <col min="6195" max="6195" width="9.33203125" bestFit="1" customWidth="1"/>
    <col min="6403" max="6403" width="29.44140625" bestFit="1" customWidth="1"/>
    <col min="6404" max="6404" width="11.5546875" bestFit="1" customWidth="1"/>
    <col min="6405" max="6405" width="9.33203125" bestFit="1" customWidth="1"/>
    <col min="6406" max="6406" width="11.5546875" bestFit="1" customWidth="1"/>
    <col min="6407" max="6407" width="9.33203125" bestFit="1" customWidth="1"/>
    <col min="6408" max="6408" width="11.5546875" bestFit="1" customWidth="1"/>
    <col min="6409" max="6409" width="9.33203125" bestFit="1" customWidth="1"/>
    <col min="6410" max="6410" width="11.5546875" bestFit="1" customWidth="1"/>
    <col min="6411" max="6411" width="9.33203125" bestFit="1" customWidth="1"/>
    <col min="6412" max="6412" width="11.5546875" bestFit="1" customWidth="1"/>
    <col min="6413" max="6413" width="9.33203125" bestFit="1" customWidth="1"/>
    <col min="6414" max="6414" width="11.5546875" bestFit="1" customWidth="1"/>
    <col min="6415" max="6415" width="9.33203125" bestFit="1" customWidth="1"/>
    <col min="6416" max="6416" width="11.5546875" bestFit="1" customWidth="1"/>
    <col min="6417" max="6417" width="9.33203125" bestFit="1" customWidth="1"/>
    <col min="6418" max="6418" width="11.5546875" bestFit="1" customWidth="1"/>
    <col min="6419" max="6419" width="9.33203125" bestFit="1" customWidth="1"/>
    <col min="6420" max="6420" width="11.5546875" bestFit="1" customWidth="1"/>
    <col min="6421" max="6421" width="9.33203125" bestFit="1" customWidth="1"/>
    <col min="6422" max="6422" width="11.5546875" bestFit="1" customWidth="1"/>
    <col min="6423" max="6423" width="9.33203125" bestFit="1" customWidth="1"/>
    <col min="6424" max="6424" width="11.5546875" bestFit="1" customWidth="1"/>
    <col min="6425" max="6425" width="9.33203125" bestFit="1" customWidth="1"/>
    <col min="6426" max="6426" width="11.5546875" bestFit="1" customWidth="1"/>
    <col min="6427" max="6427" width="9.33203125" bestFit="1" customWidth="1"/>
    <col min="6428" max="6428" width="11.5546875" bestFit="1" customWidth="1"/>
    <col min="6429" max="6429" width="9.33203125" bestFit="1" customWidth="1"/>
    <col min="6430" max="6430" width="11.5546875" bestFit="1" customWidth="1"/>
    <col min="6431" max="6431" width="9.33203125" bestFit="1" customWidth="1"/>
    <col min="6432" max="6432" width="11.5546875" bestFit="1" customWidth="1"/>
    <col min="6433" max="6433" width="9.33203125" bestFit="1" customWidth="1"/>
    <col min="6434" max="6434" width="11.5546875" bestFit="1" customWidth="1"/>
    <col min="6435" max="6435" width="9.33203125" bestFit="1" customWidth="1"/>
    <col min="6436" max="6436" width="11.5546875" bestFit="1" customWidth="1"/>
    <col min="6437" max="6437" width="9.33203125" bestFit="1" customWidth="1"/>
    <col min="6438" max="6438" width="11.5546875" bestFit="1" customWidth="1"/>
    <col min="6439" max="6439" width="9.33203125" bestFit="1" customWidth="1"/>
    <col min="6440" max="6440" width="11.5546875" bestFit="1" customWidth="1"/>
    <col min="6441" max="6441" width="9.33203125" bestFit="1" customWidth="1"/>
    <col min="6442" max="6442" width="11.5546875" bestFit="1" customWidth="1"/>
    <col min="6443" max="6443" width="9.33203125" bestFit="1" customWidth="1"/>
    <col min="6444" max="6444" width="11.5546875" bestFit="1" customWidth="1"/>
    <col min="6445" max="6445" width="9.33203125" bestFit="1" customWidth="1"/>
    <col min="6446" max="6446" width="11.5546875" bestFit="1" customWidth="1"/>
    <col min="6447" max="6447" width="9.33203125" bestFit="1" customWidth="1"/>
    <col min="6448" max="6448" width="11.5546875" bestFit="1" customWidth="1"/>
    <col min="6449" max="6449" width="9.33203125" bestFit="1" customWidth="1"/>
    <col min="6450" max="6450" width="11.5546875" bestFit="1" customWidth="1"/>
    <col min="6451" max="6451" width="9.33203125" bestFit="1" customWidth="1"/>
    <col min="6659" max="6659" width="29.44140625" bestFit="1" customWidth="1"/>
    <col min="6660" max="6660" width="11.5546875" bestFit="1" customWidth="1"/>
    <col min="6661" max="6661" width="9.33203125" bestFit="1" customWidth="1"/>
    <col min="6662" max="6662" width="11.5546875" bestFit="1" customWidth="1"/>
    <col min="6663" max="6663" width="9.33203125" bestFit="1" customWidth="1"/>
    <col min="6664" max="6664" width="11.5546875" bestFit="1" customWidth="1"/>
    <col min="6665" max="6665" width="9.33203125" bestFit="1" customWidth="1"/>
    <col min="6666" max="6666" width="11.5546875" bestFit="1" customWidth="1"/>
    <col min="6667" max="6667" width="9.33203125" bestFit="1" customWidth="1"/>
    <col min="6668" max="6668" width="11.5546875" bestFit="1" customWidth="1"/>
    <col min="6669" max="6669" width="9.33203125" bestFit="1" customWidth="1"/>
    <col min="6670" max="6670" width="11.5546875" bestFit="1" customWidth="1"/>
    <col min="6671" max="6671" width="9.33203125" bestFit="1" customWidth="1"/>
    <col min="6672" max="6672" width="11.5546875" bestFit="1" customWidth="1"/>
    <col min="6673" max="6673" width="9.33203125" bestFit="1" customWidth="1"/>
    <col min="6674" max="6674" width="11.5546875" bestFit="1" customWidth="1"/>
    <col min="6675" max="6675" width="9.33203125" bestFit="1" customWidth="1"/>
    <col min="6676" max="6676" width="11.5546875" bestFit="1" customWidth="1"/>
    <col min="6677" max="6677" width="9.33203125" bestFit="1" customWidth="1"/>
    <col min="6678" max="6678" width="11.5546875" bestFit="1" customWidth="1"/>
    <col min="6679" max="6679" width="9.33203125" bestFit="1" customWidth="1"/>
    <col min="6680" max="6680" width="11.5546875" bestFit="1" customWidth="1"/>
    <col min="6681" max="6681" width="9.33203125" bestFit="1" customWidth="1"/>
    <col min="6682" max="6682" width="11.5546875" bestFit="1" customWidth="1"/>
    <col min="6683" max="6683" width="9.33203125" bestFit="1" customWidth="1"/>
    <col min="6684" max="6684" width="11.5546875" bestFit="1" customWidth="1"/>
    <col min="6685" max="6685" width="9.33203125" bestFit="1" customWidth="1"/>
    <col min="6686" max="6686" width="11.5546875" bestFit="1" customWidth="1"/>
    <col min="6687" max="6687" width="9.33203125" bestFit="1" customWidth="1"/>
    <col min="6688" max="6688" width="11.5546875" bestFit="1" customWidth="1"/>
    <col min="6689" max="6689" width="9.33203125" bestFit="1" customWidth="1"/>
    <col min="6690" max="6690" width="11.5546875" bestFit="1" customWidth="1"/>
    <col min="6691" max="6691" width="9.33203125" bestFit="1" customWidth="1"/>
    <col min="6692" max="6692" width="11.5546875" bestFit="1" customWidth="1"/>
    <col min="6693" max="6693" width="9.33203125" bestFit="1" customWidth="1"/>
    <col min="6694" max="6694" width="11.5546875" bestFit="1" customWidth="1"/>
    <col min="6695" max="6695" width="9.33203125" bestFit="1" customWidth="1"/>
    <col min="6696" max="6696" width="11.5546875" bestFit="1" customWidth="1"/>
    <col min="6697" max="6697" width="9.33203125" bestFit="1" customWidth="1"/>
    <col min="6698" max="6698" width="11.5546875" bestFit="1" customWidth="1"/>
    <col min="6699" max="6699" width="9.33203125" bestFit="1" customWidth="1"/>
    <col min="6700" max="6700" width="11.5546875" bestFit="1" customWidth="1"/>
    <col min="6701" max="6701" width="9.33203125" bestFit="1" customWidth="1"/>
    <col min="6702" max="6702" width="11.5546875" bestFit="1" customWidth="1"/>
    <col min="6703" max="6703" width="9.33203125" bestFit="1" customWidth="1"/>
    <col min="6704" max="6704" width="11.5546875" bestFit="1" customWidth="1"/>
    <col min="6705" max="6705" width="9.33203125" bestFit="1" customWidth="1"/>
    <col min="6706" max="6706" width="11.5546875" bestFit="1" customWidth="1"/>
    <col min="6707" max="6707" width="9.33203125" bestFit="1" customWidth="1"/>
    <col min="6915" max="6915" width="29.44140625" bestFit="1" customWidth="1"/>
    <col min="6916" max="6916" width="11.5546875" bestFit="1" customWidth="1"/>
    <col min="6917" max="6917" width="9.33203125" bestFit="1" customWidth="1"/>
    <col min="6918" max="6918" width="11.5546875" bestFit="1" customWidth="1"/>
    <col min="6919" max="6919" width="9.33203125" bestFit="1" customWidth="1"/>
    <col min="6920" max="6920" width="11.5546875" bestFit="1" customWidth="1"/>
    <col min="6921" max="6921" width="9.33203125" bestFit="1" customWidth="1"/>
    <col min="6922" max="6922" width="11.5546875" bestFit="1" customWidth="1"/>
    <col min="6923" max="6923" width="9.33203125" bestFit="1" customWidth="1"/>
    <col min="6924" max="6924" width="11.5546875" bestFit="1" customWidth="1"/>
    <col min="6925" max="6925" width="9.33203125" bestFit="1" customWidth="1"/>
    <col min="6926" max="6926" width="11.5546875" bestFit="1" customWidth="1"/>
    <col min="6927" max="6927" width="9.33203125" bestFit="1" customWidth="1"/>
    <col min="6928" max="6928" width="11.5546875" bestFit="1" customWidth="1"/>
    <col min="6929" max="6929" width="9.33203125" bestFit="1" customWidth="1"/>
    <col min="6930" max="6930" width="11.5546875" bestFit="1" customWidth="1"/>
    <col min="6931" max="6931" width="9.33203125" bestFit="1" customWidth="1"/>
    <col min="6932" max="6932" width="11.5546875" bestFit="1" customWidth="1"/>
    <col min="6933" max="6933" width="9.33203125" bestFit="1" customWidth="1"/>
    <col min="6934" max="6934" width="11.5546875" bestFit="1" customWidth="1"/>
    <col min="6935" max="6935" width="9.33203125" bestFit="1" customWidth="1"/>
    <col min="6936" max="6936" width="11.5546875" bestFit="1" customWidth="1"/>
    <col min="6937" max="6937" width="9.33203125" bestFit="1" customWidth="1"/>
    <col min="6938" max="6938" width="11.5546875" bestFit="1" customWidth="1"/>
    <col min="6939" max="6939" width="9.33203125" bestFit="1" customWidth="1"/>
    <col min="6940" max="6940" width="11.5546875" bestFit="1" customWidth="1"/>
    <col min="6941" max="6941" width="9.33203125" bestFit="1" customWidth="1"/>
    <col min="6942" max="6942" width="11.5546875" bestFit="1" customWidth="1"/>
    <col min="6943" max="6943" width="9.33203125" bestFit="1" customWidth="1"/>
    <col min="6944" max="6944" width="11.5546875" bestFit="1" customWidth="1"/>
    <col min="6945" max="6945" width="9.33203125" bestFit="1" customWidth="1"/>
    <col min="6946" max="6946" width="11.5546875" bestFit="1" customWidth="1"/>
    <col min="6947" max="6947" width="9.33203125" bestFit="1" customWidth="1"/>
    <col min="6948" max="6948" width="11.5546875" bestFit="1" customWidth="1"/>
    <col min="6949" max="6949" width="9.33203125" bestFit="1" customWidth="1"/>
    <col min="6950" max="6950" width="11.5546875" bestFit="1" customWidth="1"/>
    <col min="6951" max="6951" width="9.33203125" bestFit="1" customWidth="1"/>
    <col min="6952" max="6952" width="11.5546875" bestFit="1" customWidth="1"/>
    <col min="6953" max="6953" width="9.33203125" bestFit="1" customWidth="1"/>
    <col min="6954" max="6954" width="11.5546875" bestFit="1" customWidth="1"/>
    <col min="6955" max="6955" width="9.33203125" bestFit="1" customWidth="1"/>
    <col min="6956" max="6956" width="11.5546875" bestFit="1" customWidth="1"/>
    <col min="6957" max="6957" width="9.33203125" bestFit="1" customWidth="1"/>
    <col min="6958" max="6958" width="11.5546875" bestFit="1" customWidth="1"/>
    <col min="6959" max="6959" width="9.33203125" bestFit="1" customWidth="1"/>
    <col min="6960" max="6960" width="11.5546875" bestFit="1" customWidth="1"/>
    <col min="6961" max="6961" width="9.33203125" bestFit="1" customWidth="1"/>
    <col min="6962" max="6962" width="11.5546875" bestFit="1" customWidth="1"/>
    <col min="6963" max="6963" width="9.33203125" bestFit="1" customWidth="1"/>
    <col min="7171" max="7171" width="29.44140625" bestFit="1" customWidth="1"/>
    <col min="7172" max="7172" width="11.5546875" bestFit="1" customWidth="1"/>
    <col min="7173" max="7173" width="9.33203125" bestFit="1" customWidth="1"/>
    <col min="7174" max="7174" width="11.5546875" bestFit="1" customWidth="1"/>
    <col min="7175" max="7175" width="9.33203125" bestFit="1" customWidth="1"/>
    <col min="7176" max="7176" width="11.5546875" bestFit="1" customWidth="1"/>
    <col min="7177" max="7177" width="9.33203125" bestFit="1" customWidth="1"/>
    <col min="7178" max="7178" width="11.5546875" bestFit="1" customWidth="1"/>
    <col min="7179" max="7179" width="9.33203125" bestFit="1" customWidth="1"/>
    <col min="7180" max="7180" width="11.5546875" bestFit="1" customWidth="1"/>
    <col min="7181" max="7181" width="9.33203125" bestFit="1" customWidth="1"/>
    <col min="7182" max="7182" width="11.5546875" bestFit="1" customWidth="1"/>
    <col min="7183" max="7183" width="9.33203125" bestFit="1" customWidth="1"/>
    <col min="7184" max="7184" width="11.5546875" bestFit="1" customWidth="1"/>
    <col min="7185" max="7185" width="9.33203125" bestFit="1" customWidth="1"/>
    <col min="7186" max="7186" width="11.5546875" bestFit="1" customWidth="1"/>
    <col min="7187" max="7187" width="9.33203125" bestFit="1" customWidth="1"/>
    <col min="7188" max="7188" width="11.5546875" bestFit="1" customWidth="1"/>
    <col min="7189" max="7189" width="9.33203125" bestFit="1" customWidth="1"/>
    <col min="7190" max="7190" width="11.5546875" bestFit="1" customWidth="1"/>
    <col min="7191" max="7191" width="9.33203125" bestFit="1" customWidth="1"/>
    <col min="7192" max="7192" width="11.5546875" bestFit="1" customWidth="1"/>
    <col min="7193" max="7193" width="9.33203125" bestFit="1" customWidth="1"/>
    <col min="7194" max="7194" width="11.5546875" bestFit="1" customWidth="1"/>
    <col min="7195" max="7195" width="9.33203125" bestFit="1" customWidth="1"/>
    <col min="7196" max="7196" width="11.5546875" bestFit="1" customWidth="1"/>
    <col min="7197" max="7197" width="9.33203125" bestFit="1" customWidth="1"/>
    <col min="7198" max="7198" width="11.5546875" bestFit="1" customWidth="1"/>
    <col min="7199" max="7199" width="9.33203125" bestFit="1" customWidth="1"/>
    <col min="7200" max="7200" width="11.5546875" bestFit="1" customWidth="1"/>
    <col min="7201" max="7201" width="9.33203125" bestFit="1" customWidth="1"/>
    <col min="7202" max="7202" width="11.5546875" bestFit="1" customWidth="1"/>
    <col min="7203" max="7203" width="9.33203125" bestFit="1" customWidth="1"/>
    <col min="7204" max="7204" width="11.5546875" bestFit="1" customWidth="1"/>
    <col min="7205" max="7205" width="9.33203125" bestFit="1" customWidth="1"/>
    <col min="7206" max="7206" width="11.5546875" bestFit="1" customWidth="1"/>
    <col min="7207" max="7207" width="9.33203125" bestFit="1" customWidth="1"/>
    <col min="7208" max="7208" width="11.5546875" bestFit="1" customWidth="1"/>
    <col min="7209" max="7209" width="9.33203125" bestFit="1" customWidth="1"/>
    <col min="7210" max="7210" width="11.5546875" bestFit="1" customWidth="1"/>
    <col min="7211" max="7211" width="9.33203125" bestFit="1" customWidth="1"/>
    <col min="7212" max="7212" width="11.5546875" bestFit="1" customWidth="1"/>
    <col min="7213" max="7213" width="9.33203125" bestFit="1" customWidth="1"/>
    <col min="7214" max="7214" width="11.5546875" bestFit="1" customWidth="1"/>
    <col min="7215" max="7215" width="9.33203125" bestFit="1" customWidth="1"/>
    <col min="7216" max="7216" width="11.5546875" bestFit="1" customWidth="1"/>
    <col min="7217" max="7217" width="9.33203125" bestFit="1" customWidth="1"/>
    <col min="7218" max="7218" width="11.5546875" bestFit="1" customWidth="1"/>
    <col min="7219" max="7219" width="9.33203125" bestFit="1" customWidth="1"/>
    <col min="7427" max="7427" width="29.44140625" bestFit="1" customWidth="1"/>
    <col min="7428" max="7428" width="11.5546875" bestFit="1" customWidth="1"/>
    <col min="7429" max="7429" width="9.33203125" bestFit="1" customWidth="1"/>
    <col min="7430" max="7430" width="11.5546875" bestFit="1" customWidth="1"/>
    <col min="7431" max="7431" width="9.33203125" bestFit="1" customWidth="1"/>
    <col min="7432" max="7432" width="11.5546875" bestFit="1" customWidth="1"/>
    <col min="7433" max="7433" width="9.33203125" bestFit="1" customWidth="1"/>
    <col min="7434" max="7434" width="11.5546875" bestFit="1" customWidth="1"/>
    <col min="7435" max="7435" width="9.33203125" bestFit="1" customWidth="1"/>
    <col min="7436" max="7436" width="11.5546875" bestFit="1" customWidth="1"/>
    <col min="7437" max="7437" width="9.33203125" bestFit="1" customWidth="1"/>
    <col min="7438" max="7438" width="11.5546875" bestFit="1" customWidth="1"/>
    <col min="7439" max="7439" width="9.33203125" bestFit="1" customWidth="1"/>
    <col min="7440" max="7440" width="11.5546875" bestFit="1" customWidth="1"/>
    <col min="7441" max="7441" width="9.33203125" bestFit="1" customWidth="1"/>
    <col min="7442" max="7442" width="11.5546875" bestFit="1" customWidth="1"/>
    <col min="7443" max="7443" width="9.33203125" bestFit="1" customWidth="1"/>
    <col min="7444" max="7444" width="11.5546875" bestFit="1" customWidth="1"/>
    <col min="7445" max="7445" width="9.33203125" bestFit="1" customWidth="1"/>
    <col min="7446" max="7446" width="11.5546875" bestFit="1" customWidth="1"/>
    <col min="7447" max="7447" width="9.33203125" bestFit="1" customWidth="1"/>
    <col min="7448" max="7448" width="11.5546875" bestFit="1" customWidth="1"/>
    <col min="7449" max="7449" width="9.33203125" bestFit="1" customWidth="1"/>
    <col min="7450" max="7450" width="11.5546875" bestFit="1" customWidth="1"/>
    <col min="7451" max="7451" width="9.33203125" bestFit="1" customWidth="1"/>
    <col min="7452" max="7452" width="11.5546875" bestFit="1" customWidth="1"/>
    <col min="7453" max="7453" width="9.33203125" bestFit="1" customWidth="1"/>
    <col min="7454" max="7454" width="11.5546875" bestFit="1" customWidth="1"/>
    <col min="7455" max="7455" width="9.33203125" bestFit="1" customWidth="1"/>
    <col min="7456" max="7456" width="11.5546875" bestFit="1" customWidth="1"/>
    <col min="7457" max="7457" width="9.33203125" bestFit="1" customWidth="1"/>
    <col min="7458" max="7458" width="11.5546875" bestFit="1" customWidth="1"/>
    <col min="7459" max="7459" width="9.33203125" bestFit="1" customWidth="1"/>
    <col min="7460" max="7460" width="11.5546875" bestFit="1" customWidth="1"/>
    <col min="7461" max="7461" width="9.33203125" bestFit="1" customWidth="1"/>
    <col min="7462" max="7462" width="11.5546875" bestFit="1" customWidth="1"/>
    <col min="7463" max="7463" width="9.33203125" bestFit="1" customWidth="1"/>
    <col min="7464" max="7464" width="11.5546875" bestFit="1" customWidth="1"/>
    <col min="7465" max="7465" width="9.33203125" bestFit="1" customWidth="1"/>
    <col min="7466" max="7466" width="11.5546875" bestFit="1" customWidth="1"/>
    <col min="7467" max="7467" width="9.33203125" bestFit="1" customWidth="1"/>
    <col min="7468" max="7468" width="11.5546875" bestFit="1" customWidth="1"/>
    <col min="7469" max="7469" width="9.33203125" bestFit="1" customWidth="1"/>
    <col min="7470" max="7470" width="11.5546875" bestFit="1" customWidth="1"/>
    <col min="7471" max="7471" width="9.33203125" bestFit="1" customWidth="1"/>
    <col min="7472" max="7472" width="11.5546875" bestFit="1" customWidth="1"/>
    <col min="7473" max="7473" width="9.33203125" bestFit="1" customWidth="1"/>
    <col min="7474" max="7474" width="11.5546875" bestFit="1" customWidth="1"/>
    <col min="7475" max="7475" width="9.33203125" bestFit="1" customWidth="1"/>
    <col min="7683" max="7683" width="29.44140625" bestFit="1" customWidth="1"/>
    <col min="7684" max="7684" width="11.5546875" bestFit="1" customWidth="1"/>
    <col min="7685" max="7685" width="9.33203125" bestFit="1" customWidth="1"/>
    <col min="7686" max="7686" width="11.5546875" bestFit="1" customWidth="1"/>
    <col min="7687" max="7687" width="9.33203125" bestFit="1" customWidth="1"/>
    <col min="7688" max="7688" width="11.5546875" bestFit="1" customWidth="1"/>
    <col min="7689" max="7689" width="9.33203125" bestFit="1" customWidth="1"/>
    <col min="7690" max="7690" width="11.5546875" bestFit="1" customWidth="1"/>
    <col min="7691" max="7691" width="9.33203125" bestFit="1" customWidth="1"/>
    <col min="7692" max="7692" width="11.5546875" bestFit="1" customWidth="1"/>
    <col min="7693" max="7693" width="9.33203125" bestFit="1" customWidth="1"/>
    <col min="7694" max="7694" width="11.5546875" bestFit="1" customWidth="1"/>
    <col min="7695" max="7695" width="9.33203125" bestFit="1" customWidth="1"/>
    <col min="7696" max="7696" width="11.5546875" bestFit="1" customWidth="1"/>
    <col min="7697" max="7697" width="9.33203125" bestFit="1" customWidth="1"/>
    <col min="7698" max="7698" width="11.5546875" bestFit="1" customWidth="1"/>
    <col min="7699" max="7699" width="9.33203125" bestFit="1" customWidth="1"/>
    <col min="7700" max="7700" width="11.5546875" bestFit="1" customWidth="1"/>
    <col min="7701" max="7701" width="9.33203125" bestFit="1" customWidth="1"/>
    <col min="7702" max="7702" width="11.5546875" bestFit="1" customWidth="1"/>
    <col min="7703" max="7703" width="9.33203125" bestFit="1" customWidth="1"/>
    <col min="7704" max="7704" width="11.5546875" bestFit="1" customWidth="1"/>
    <col min="7705" max="7705" width="9.33203125" bestFit="1" customWidth="1"/>
    <col min="7706" max="7706" width="11.5546875" bestFit="1" customWidth="1"/>
    <col min="7707" max="7707" width="9.33203125" bestFit="1" customWidth="1"/>
    <col min="7708" max="7708" width="11.5546875" bestFit="1" customWidth="1"/>
    <col min="7709" max="7709" width="9.33203125" bestFit="1" customWidth="1"/>
    <col min="7710" max="7710" width="11.5546875" bestFit="1" customWidth="1"/>
    <col min="7711" max="7711" width="9.33203125" bestFit="1" customWidth="1"/>
    <col min="7712" max="7712" width="11.5546875" bestFit="1" customWidth="1"/>
    <col min="7713" max="7713" width="9.33203125" bestFit="1" customWidth="1"/>
    <col min="7714" max="7714" width="11.5546875" bestFit="1" customWidth="1"/>
    <col min="7715" max="7715" width="9.33203125" bestFit="1" customWidth="1"/>
    <col min="7716" max="7716" width="11.5546875" bestFit="1" customWidth="1"/>
    <col min="7717" max="7717" width="9.33203125" bestFit="1" customWidth="1"/>
    <col min="7718" max="7718" width="11.5546875" bestFit="1" customWidth="1"/>
    <col min="7719" max="7719" width="9.33203125" bestFit="1" customWidth="1"/>
    <col min="7720" max="7720" width="11.5546875" bestFit="1" customWidth="1"/>
    <col min="7721" max="7721" width="9.33203125" bestFit="1" customWidth="1"/>
    <col min="7722" max="7722" width="11.5546875" bestFit="1" customWidth="1"/>
    <col min="7723" max="7723" width="9.33203125" bestFit="1" customWidth="1"/>
    <col min="7724" max="7724" width="11.5546875" bestFit="1" customWidth="1"/>
    <col min="7725" max="7725" width="9.33203125" bestFit="1" customWidth="1"/>
    <col min="7726" max="7726" width="11.5546875" bestFit="1" customWidth="1"/>
    <col min="7727" max="7727" width="9.33203125" bestFit="1" customWidth="1"/>
    <col min="7728" max="7728" width="11.5546875" bestFit="1" customWidth="1"/>
    <col min="7729" max="7729" width="9.33203125" bestFit="1" customWidth="1"/>
    <col min="7730" max="7730" width="11.5546875" bestFit="1" customWidth="1"/>
    <col min="7731" max="7731" width="9.33203125" bestFit="1" customWidth="1"/>
    <col min="7939" max="7939" width="29.44140625" bestFit="1" customWidth="1"/>
    <col min="7940" max="7940" width="11.5546875" bestFit="1" customWidth="1"/>
    <col min="7941" max="7941" width="9.33203125" bestFit="1" customWidth="1"/>
    <col min="7942" max="7942" width="11.5546875" bestFit="1" customWidth="1"/>
    <col min="7943" max="7943" width="9.33203125" bestFit="1" customWidth="1"/>
    <col min="7944" max="7944" width="11.5546875" bestFit="1" customWidth="1"/>
    <col min="7945" max="7945" width="9.33203125" bestFit="1" customWidth="1"/>
    <col min="7946" max="7946" width="11.5546875" bestFit="1" customWidth="1"/>
    <col min="7947" max="7947" width="9.33203125" bestFit="1" customWidth="1"/>
    <col min="7948" max="7948" width="11.5546875" bestFit="1" customWidth="1"/>
    <col min="7949" max="7949" width="9.33203125" bestFit="1" customWidth="1"/>
    <col min="7950" max="7950" width="11.5546875" bestFit="1" customWidth="1"/>
    <col min="7951" max="7951" width="9.33203125" bestFit="1" customWidth="1"/>
    <col min="7952" max="7952" width="11.5546875" bestFit="1" customWidth="1"/>
    <col min="7953" max="7953" width="9.33203125" bestFit="1" customWidth="1"/>
    <col min="7954" max="7954" width="11.5546875" bestFit="1" customWidth="1"/>
    <col min="7955" max="7955" width="9.33203125" bestFit="1" customWidth="1"/>
    <col min="7956" max="7956" width="11.5546875" bestFit="1" customWidth="1"/>
    <col min="7957" max="7957" width="9.33203125" bestFit="1" customWidth="1"/>
    <col min="7958" max="7958" width="11.5546875" bestFit="1" customWidth="1"/>
    <col min="7959" max="7959" width="9.33203125" bestFit="1" customWidth="1"/>
    <col min="7960" max="7960" width="11.5546875" bestFit="1" customWidth="1"/>
    <col min="7961" max="7961" width="9.33203125" bestFit="1" customWidth="1"/>
    <col min="7962" max="7962" width="11.5546875" bestFit="1" customWidth="1"/>
    <col min="7963" max="7963" width="9.33203125" bestFit="1" customWidth="1"/>
    <col min="7964" max="7964" width="11.5546875" bestFit="1" customWidth="1"/>
    <col min="7965" max="7965" width="9.33203125" bestFit="1" customWidth="1"/>
    <col min="7966" max="7966" width="11.5546875" bestFit="1" customWidth="1"/>
    <col min="7967" max="7967" width="9.33203125" bestFit="1" customWidth="1"/>
    <col min="7968" max="7968" width="11.5546875" bestFit="1" customWidth="1"/>
    <col min="7969" max="7969" width="9.33203125" bestFit="1" customWidth="1"/>
    <col min="7970" max="7970" width="11.5546875" bestFit="1" customWidth="1"/>
    <col min="7971" max="7971" width="9.33203125" bestFit="1" customWidth="1"/>
    <col min="7972" max="7972" width="11.5546875" bestFit="1" customWidth="1"/>
    <col min="7973" max="7973" width="9.33203125" bestFit="1" customWidth="1"/>
    <col min="7974" max="7974" width="11.5546875" bestFit="1" customWidth="1"/>
    <col min="7975" max="7975" width="9.33203125" bestFit="1" customWidth="1"/>
    <col min="7976" max="7976" width="11.5546875" bestFit="1" customWidth="1"/>
    <col min="7977" max="7977" width="9.33203125" bestFit="1" customWidth="1"/>
    <col min="7978" max="7978" width="11.5546875" bestFit="1" customWidth="1"/>
    <col min="7979" max="7979" width="9.33203125" bestFit="1" customWidth="1"/>
    <col min="7980" max="7980" width="11.5546875" bestFit="1" customWidth="1"/>
    <col min="7981" max="7981" width="9.33203125" bestFit="1" customWidth="1"/>
    <col min="7982" max="7982" width="11.5546875" bestFit="1" customWidth="1"/>
    <col min="7983" max="7983" width="9.33203125" bestFit="1" customWidth="1"/>
    <col min="7984" max="7984" width="11.5546875" bestFit="1" customWidth="1"/>
    <col min="7985" max="7985" width="9.33203125" bestFit="1" customWidth="1"/>
    <col min="7986" max="7986" width="11.5546875" bestFit="1" customWidth="1"/>
    <col min="7987" max="7987" width="9.33203125" bestFit="1" customWidth="1"/>
    <col min="8195" max="8195" width="29.44140625" bestFit="1" customWidth="1"/>
    <col min="8196" max="8196" width="11.5546875" bestFit="1" customWidth="1"/>
    <col min="8197" max="8197" width="9.33203125" bestFit="1" customWidth="1"/>
    <col min="8198" max="8198" width="11.5546875" bestFit="1" customWidth="1"/>
    <col min="8199" max="8199" width="9.33203125" bestFit="1" customWidth="1"/>
    <col min="8200" max="8200" width="11.5546875" bestFit="1" customWidth="1"/>
    <col min="8201" max="8201" width="9.33203125" bestFit="1" customWidth="1"/>
    <col min="8202" max="8202" width="11.5546875" bestFit="1" customWidth="1"/>
    <col min="8203" max="8203" width="9.33203125" bestFit="1" customWidth="1"/>
    <col min="8204" max="8204" width="11.5546875" bestFit="1" customWidth="1"/>
    <col min="8205" max="8205" width="9.33203125" bestFit="1" customWidth="1"/>
    <col min="8206" max="8206" width="11.5546875" bestFit="1" customWidth="1"/>
    <col min="8207" max="8207" width="9.33203125" bestFit="1" customWidth="1"/>
    <col min="8208" max="8208" width="11.5546875" bestFit="1" customWidth="1"/>
    <col min="8209" max="8209" width="9.33203125" bestFit="1" customWidth="1"/>
    <col min="8210" max="8210" width="11.5546875" bestFit="1" customWidth="1"/>
    <col min="8211" max="8211" width="9.33203125" bestFit="1" customWidth="1"/>
    <col min="8212" max="8212" width="11.5546875" bestFit="1" customWidth="1"/>
    <col min="8213" max="8213" width="9.33203125" bestFit="1" customWidth="1"/>
    <col min="8214" max="8214" width="11.5546875" bestFit="1" customWidth="1"/>
    <col min="8215" max="8215" width="9.33203125" bestFit="1" customWidth="1"/>
    <col min="8216" max="8216" width="11.5546875" bestFit="1" customWidth="1"/>
    <col min="8217" max="8217" width="9.33203125" bestFit="1" customWidth="1"/>
    <col min="8218" max="8218" width="11.5546875" bestFit="1" customWidth="1"/>
    <col min="8219" max="8219" width="9.33203125" bestFit="1" customWidth="1"/>
    <col min="8220" max="8220" width="11.5546875" bestFit="1" customWidth="1"/>
    <col min="8221" max="8221" width="9.33203125" bestFit="1" customWidth="1"/>
    <col min="8222" max="8222" width="11.5546875" bestFit="1" customWidth="1"/>
    <col min="8223" max="8223" width="9.33203125" bestFit="1" customWidth="1"/>
    <col min="8224" max="8224" width="11.5546875" bestFit="1" customWidth="1"/>
    <col min="8225" max="8225" width="9.33203125" bestFit="1" customWidth="1"/>
    <col min="8226" max="8226" width="11.5546875" bestFit="1" customWidth="1"/>
    <col min="8227" max="8227" width="9.33203125" bestFit="1" customWidth="1"/>
    <col min="8228" max="8228" width="11.5546875" bestFit="1" customWidth="1"/>
    <col min="8229" max="8229" width="9.33203125" bestFit="1" customWidth="1"/>
    <col min="8230" max="8230" width="11.5546875" bestFit="1" customWidth="1"/>
    <col min="8231" max="8231" width="9.33203125" bestFit="1" customWidth="1"/>
    <col min="8232" max="8232" width="11.5546875" bestFit="1" customWidth="1"/>
    <col min="8233" max="8233" width="9.33203125" bestFit="1" customWidth="1"/>
    <col min="8234" max="8234" width="11.5546875" bestFit="1" customWidth="1"/>
    <col min="8235" max="8235" width="9.33203125" bestFit="1" customWidth="1"/>
    <col min="8236" max="8236" width="11.5546875" bestFit="1" customWidth="1"/>
    <col min="8237" max="8237" width="9.33203125" bestFit="1" customWidth="1"/>
    <col min="8238" max="8238" width="11.5546875" bestFit="1" customWidth="1"/>
    <col min="8239" max="8239" width="9.33203125" bestFit="1" customWidth="1"/>
    <col min="8240" max="8240" width="11.5546875" bestFit="1" customWidth="1"/>
    <col min="8241" max="8241" width="9.33203125" bestFit="1" customWidth="1"/>
    <col min="8242" max="8242" width="11.5546875" bestFit="1" customWidth="1"/>
    <col min="8243" max="8243" width="9.33203125" bestFit="1" customWidth="1"/>
    <col min="8451" max="8451" width="29.44140625" bestFit="1" customWidth="1"/>
    <col min="8452" max="8452" width="11.5546875" bestFit="1" customWidth="1"/>
    <col min="8453" max="8453" width="9.33203125" bestFit="1" customWidth="1"/>
    <col min="8454" max="8454" width="11.5546875" bestFit="1" customWidth="1"/>
    <col min="8455" max="8455" width="9.33203125" bestFit="1" customWidth="1"/>
    <col min="8456" max="8456" width="11.5546875" bestFit="1" customWidth="1"/>
    <col min="8457" max="8457" width="9.33203125" bestFit="1" customWidth="1"/>
    <col min="8458" max="8458" width="11.5546875" bestFit="1" customWidth="1"/>
    <col min="8459" max="8459" width="9.33203125" bestFit="1" customWidth="1"/>
    <col min="8460" max="8460" width="11.5546875" bestFit="1" customWidth="1"/>
    <col min="8461" max="8461" width="9.33203125" bestFit="1" customWidth="1"/>
    <col min="8462" max="8462" width="11.5546875" bestFit="1" customWidth="1"/>
    <col min="8463" max="8463" width="9.33203125" bestFit="1" customWidth="1"/>
    <col min="8464" max="8464" width="11.5546875" bestFit="1" customWidth="1"/>
    <col min="8465" max="8465" width="9.33203125" bestFit="1" customWidth="1"/>
    <col min="8466" max="8466" width="11.5546875" bestFit="1" customWidth="1"/>
    <col min="8467" max="8467" width="9.33203125" bestFit="1" customWidth="1"/>
    <col min="8468" max="8468" width="11.5546875" bestFit="1" customWidth="1"/>
    <col min="8469" max="8469" width="9.33203125" bestFit="1" customWidth="1"/>
    <col min="8470" max="8470" width="11.5546875" bestFit="1" customWidth="1"/>
    <col min="8471" max="8471" width="9.33203125" bestFit="1" customWidth="1"/>
    <col min="8472" max="8472" width="11.5546875" bestFit="1" customWidth="1"/>
    <col min="8473" max="8473" width="9.33203125" bestFit="1" customWidth="1"/>
    <col min="8474" max="8474" width="11.5546875" bestFit="1" customWidth="1"/>
    <col min="8475" max="8475" width="9.33203125" bestFit="1" customWidth="1"/>
    <col min="8476" max="8476" width="11.5546875" bestFit="1" customWidth="1"/>
    <col min="8477" max="8477" width="9.33203125" bestFit="1" customWidth="1"/>
    <col min="8478" max="8478" width="11.5546875" bestFit="1" customWidth="1"/>
    <col min="8479" max="8479" width="9.33203125" bestFit="1" customWidth="1"/>
    <col min="8480" max="8480" width="11.5546875" bestFit="1" customWidth="1"/>
    <col min="8481" max="8481" width="9.33203125" bestFit="1" customWidth="1"/>
    <col min="8482" max="8482" width="11.5546875" bestFit="1" customWidth="1"/>
    <col min="8483" max="8483" width="9.33203125" bestFit="1" customWidth="1"/>
    <col min="8484" max="8484" width="11.5546875" bestFit="1" customWidth="1"/>
    <col min="8485" max="8485" width="9.33203125" bestFit="1" customWidth="1"/>
    <col min="8486" max="8486" width="11.5546875" bestFit="1" customWidth="1"/>
    <col min="8487" max="8487" width="9.33203125" bestFit="1" customWidth="1"/>
    <col min="8488" max="8488" width="11.5546875" bestFit="1" customWidth="1"/>
    <col min="8489" max="8489" width="9.33203125" bestFit="1" customWidth="1"/>
    <col min="8490" max="8490" width="11.5546875" bestFit="1" customWidth="1"/>
    <col min="8491" max="8491" width="9.33203125" bestFit="1" customWidth="1"/>
    <col min="8492" max="8492" width="11.5546875" bestFit="1" customWidth="1"/>
    <col min="8493" max="8493" width="9.33203125" bestFit="1" customWidth="1"/>
    <col min="8494" max="8494" width="11.5546875" bestFit="1" customWidth="1"/>
    <col min="8495" max="8495" width="9.33203125" bestFit="1" customWidth="1"/>
    <col min="8496" max="8496" width="11.5546875" bestFit="1" customWidth="1"/>
    <col min="8497" max="8497" width="9.33203125" bestFit="1" customWidth="1"/>
    <col min="8498" max="8498" width="11.5546875" bestFit="1" customWidth="1"/>
    <col min="8499" max="8499" width="9.33203125" bestFit="1" customWidth="1"/>
    <col min="8707" max="8707" width="29.44140625" bestFit="1" customWidth="1"/>
    <col min="8708" max="8708" width="11.5546875" bestFit="1" customWidth="1"/>
    <col min="8709" max="8709" width="9.33203125" bestFit="1" customWidth="1"/>
    <col min="8710" max="8710" width="11.5546875" bestFit="1" customWidth="1"/>
    <col min="8711" max="8711" width="9.33203125" bestFit="1" customWidth="1"/>
    <col min="8712" max="8712" width="11.5546875" bestFit="1" customWidth="1"/>
    <col min="8713" max="8713" width="9.33203125" bestFit="1" customWidth="1"/>
    <col min="8714" max="8714" width="11.5546875" bestFit="1" customWidth="1"/>
    <col min="8715" max="8715" width="9.33203125" bestFit="1" customWidth="1"/>
    <col min="8716" max="8716" width="11.5546875" bestFit="1" customWidth="1"/>
    <col min="8717" max="8717" width="9.33203125" bestFit="1" customWidth="1"/>
    <col min="8718" max="8718" width="11.5546875" bestFit="1" customWidth="1"/>
    <col min="8719" max="8719" width="9.33203125" bestFit="1" customWidth="1"/>
    <col min="8720" max="8720" width="11.5546875" bestFit="1" customWidth="1"/>
    <col min="8721" max="8721" width="9.33203125" bestFit="1" customWidth="1"/>
    <col min="8722" max="8722" width="11.5546875" bestFit="1" customWidth="1"/>
    <col min="8723" max="8723" width="9.33203125" bestFit="1" customWidth="1"/>
    <col min="8724" max="8724" width="11.5546875" bestFit="1" customWidth="1"/>
    <col min="8725" max="8725" width="9.33203125" bestFit="1" customWidth="1"/>
    <col min="8726" max="8726" width="11.5546875" bestFit="1" customWidth="1"/>
    <col min="8727" max="8727" width="9.33203125" bestFit="1" customWidth="1"/>
    <col min="8728" max="8728" width="11.5546875" bestFit="1" customWidth="1"/>
    <col min="8729" max="8729" width="9.33203125" bestFit="1" customWidth="1"/>
    <col min="8730" max="8730" width="11.5546875" bestFit="1" customWidth="1"/>
    <col min="8731" max="8731" width="9.33203125" bestFit="1" customWidth="1"/>
    <col min="8732" max="8732" width="11.5546875" bestFit="1" customWidth="1"/>
    <col min="8733" max="8733" width="9.33203125" bestFit="1" customWidth="1"/>
    <col min="8734" max="8734" width="11.5546875" bestFit="1" customWidth="1"/>
    <col min="8735" max="8735" width="9.33203125" bestFit="1" customWidth="1"/>
    <col min="8736" max="8736" width="11.5546875" bestFit="1" customWidth="1"/>
    <col min="8737" max="8737" width="9.33203125" bestFit="1" customWidth="1"/>
    <col min="8738" max="8738" width="11.5546875" bestFit="1" customWidth="1"/>
    <col min="8739" max="8739" width="9.33203125" bestFit="1" customWidth="1"/>
    <col min="8740" max="8740" width="11.5546875" bestFit="1" customWidth="1"/>
    <col min="8741" max="8741" width="9.33203125" bestFit="1" customWidth="1"/>
    <col min="8742" max="8742" width="11.5546875" bestFit="1" customWidth="1"/>
    <col min="8743" max="8743" width="9.33203125" bestFit="1" customWidth="1"/>
    <col min="8744" max="8744" width="11.5546875" bestFit="1" customWidth="1"/>
    <col min="8745" max="8745" width="9.33203125" bestFit="1" customWidth="1"/>
    <col min="8746" max="8746" width="11.5546875" bestFit="1" customWidth="1"/>
    <col min="8747" max="8747" width="9.33203125" bestFit="1" customWidth="1"/>
    <col min="8748" max="8748" width="11.5546875" bestFit="1" customWidth="1"/>
    <col min="8749" max="8749" width="9.33203125" bestFit="1" customWidth="1"/>
    <col min="8750" max="8750" width="11.5546875" bestFit="1" customWidth="1"/>
    <col min="8751" max="8751" width="9.33203125" bestFit="1" customWidth="1"/>
    <col min="8752" max="8752" width="11.5546875" bestFit="1" customWidth="1"/>
    <col min="8753" max="8753" width="9.33203125" bestFit="1" customWidth="1"/>
    <col min="8754" max="8754" width="11.5546875" bestFit="1" customWidth="1"/>
    <col min="8755" max="8755" width="9.33203125" bestFit="1" customWidth="1"/>
    <col min="8963" max="8963" width="29.44140625" bestFit="1" customWidth="1"/>
    <col min="8964" max="8964" width="11.5546875" bestFit="1" customWidth="1"/>
    <col min="8965" max="8965" width="9.33203125" bestFit="1" customWidth="1"/>
    <col min="8966" max="8966" width="11.5546875" bestFit="1" customWidth="1"/>
    <col min="8967" max="8967" width="9.33203125" bestFit="1" customWidth="1"/>
    <col min="8968" max="8968" width="11.5546875" bestFit="1" customWidth="1"/>
    <col min="8969" max="8969" width="9.33203125" bestFit="1" customWidth="1"/>
    <col min="8970" max="8970" width="11.5546875" bestFit="1" customWidth="1"/>
    <col min="8971" max="8971" width="9.33203125" bestFit="1" customWidth="1"/>
    <col min="8972" max="8972" width="11.5546875" bestFit="1" customWidth="1"/>
    <col min="8973" max="8973" width="9.33203125" bestFit="1" customWidth="1"/>
    <col min="8974" max="8974" width="11.5546875" bestFit="1" customWidth="1"/>
    <col min="8975" max="8975" width="9.33203125" bestFit="1" customWidth="1"/>
    <col min="8976" max="8976" width="11.5546875" bestFit="1" customWidth="1"/>
    <col min="8977" max="8977" width="9.33203125" bestFit="1" customWidth="1"/>
    <col min="8978" max="8978" width="11.5546875" bestFit="1" customWidth="1"/>
    <col min="8979" max="8979" width="9.33203125" bestFit="1" customWidth="1"/>
    <col min="8980" max="8980" width="11.5546875" bestFit="1" customWidth="1"/>
    <col min="8981" max="8981" width="9.33203125" bestFit="1" customWidth="1"/>
    <col min="8982" max="8982" width="11.5546875" bestFit="1" customWidth="1"/>
    <col min="8983" max="8983" width="9.33203125" bestFit="1" customWidth="1"/>
    <col min="8984" max="8984" width="11.5546875" bestFit="1" customWidth="1"/>
    <col min="8985" max="8985" width="9.33203125" bestFit="1" customWidth="1"/>
    <col min="8986" max="8986" width="11.5546875" bestFit="1" customWidth="1"/>
    <col min="8987" max="8987" width="9.33203125" bestFit="1" customWidth="1"/>
    <col min="8988" max="8988" width="11.5546875" bestFit="1" customWidth="1"/>
    <col min="8989" max="8989" width="9.33203125" bestFit="1" customWidth="1"/>
    <col min="8990" max="8990" width="11.5546875" bestFit="1" customWidth="1"/>
    <col min="8991" max="8991" width="9.33203125" bestFit="1" customWidth="1"/>
    <col min="8992" max="8992" width="11.5546875" bestFit="1" customWidth="1"/>
    <col min="8993" max="8993" width="9.33203125" bestFit="1" customWidth="1"/>
    <col min="8994" max="8994" width="11.5546875" bestFit="1" customWidth="1"/>
    <col min="8995" max="8995" width="9.33203125" bestFit="1" customWidth="1"/>
    <col min="8996" max="8996" width="11.5546875" bestFit="1" customWidth="1"/>
    <col min="8997" max="8997" width="9.33203125" bestFit="1" customWidth="1"/>
    <col min="8998" max="8998" width="11.5546875" bestFit="1" customWidth="1"/>
    <col min="8999" max="8999" width="9.33203125" bestFit="1" customWidth="1"/>
    <col min="9000" max="9000" width="11.5546875" bestFit="1" customWidth="1"/>
    <col min="9001" max="9001" width="9.33203125" bestFit="1" customWidth="1"/>
    <col min="9002" max="9002" width="11.5546875" bestFit="1" customWidth="1"/>
    <col min="9003" max="9003" width="9.33203125" bestFit="1" customWidth="1"/>
    <col min="9004" max="9004" width="11.5546875" bestFit="1" customWidth="1"/>
    <col min="9005" max="9005" width="9.33203125" bestFit="1" customWidth="1"/>
    <col min="9006" max="9006" width="11.5546875" bestFit="1" customWidth="1"/>
    <col min="9007" max="9007" width="9.33203125" bestFit="1" customWidth="1"/>
    <col min="9008" max="9008" width="11.5546875" bestFit="1" customWidth="1"/>
    <col min="9009" max="9009" width="9.33203125" bestFit="1" customWidth="1"/>
    <col min="9010" max="9010" width="11.5546875" bestFit="1" customWidth="1"/>
    <col min="9011" max="9011" width="9.33203125" bestFit="1" customWidth="1"/>
    <col min="9219" max="9219" width="29.44140625" bestFit="1" customWidth="1"/>
    <col min="9220" max="9220" width="11.5546875" bestFit="1" customWidth="1"/>
    <col min="9221" max="9221" width="9.33203125" bestFit="1" customWidth="1"/>
    <col min="9222" max="9222" width="11.5546875" bestFit="1" customWidth="1"/>
    <col min="9223" max="9223" width="9.33203125" bestFit="1" customWidth="1"/>
    <col min="9224" max="9224" width="11.5546875" bestFit="1" customWidth="1"/>
    <col min="9225" max="9225" width="9.33203125" bestFit="1" customWidth="1"/>
    <col min="9226" max="9226" width="11.5546875" bestFit="1" customWidth="1"/>
    <col min="9227" max="9227" width="9.33203125" bestFit="1" customWidth="1"/>
    <col min="9228" max="9228" width="11.5546875" bestFit="1" customWidth="1"/>
    <col min="9229" max="9229" width="9.33203125" bestFit="1" customWidth="1"/>
    <col min="9230" max="9230" width="11.5546875" bestFit="1" customWidth="1"/>
    <col min="9231" max="9231" width="9.33203125" bestFit="1" customWidth="1"/>
    <col min="9232" max="9232" width="11.5546875" bestFit="1" customWidth="1"/>
    <col min="9233" max="9233" width="9.33203125" bestFit="1" customWidth="1"/>
    <col min="9234" max="9234" width="11.5546875" bestFit="1" customWidth="1"/>
    <col min="9235" max="9235" width="9.33203125" bestFit="1" customWidth="1"/>
    <col min="9236" max="9236" width="11.5546875" bestFit="1" customWidth="1"/>
    <col min="9237" max="9237" width="9.33203125" bestFit="1" customWidth="1"/>
    <col min="9238" max="9238" width="11.5546875" bestFit="1" customWidth="1"/>
    <col min="9239" max="9239" width="9.33203125" bestFit="1" customWidth="1"/>
    <col min="9240" max="9240" width="11.5546875" bestFit="1" customWidth="1"/>
    <col min="9241" max="9241" width="9.33203125" bestFit="1" customWidth="1"/>
    <col min="9242" max="9242" width="11.5546875" bestFit="1" customWidth="1"/>
    <col min="9243" max="9243" width="9.33203125" bestFit="1" customWidth="1"/>
    <col min="9244" max="9244" width="11.5546875" bestFit="1" customWidth="1"/>
    <col min="9245" max="9245" width="9.33203125" bestFit="1" customWidth="1"/>
    <col min="9246" max="9246" width="11.5546875" bestFit="1" customWidth="1"/>
    <col min="9247" max="9247" width="9.33203125" bestFit="1" customWidth="1"/>
    <col min="9248" max="9248" width="11.5546875" bestFit="1" customWidth="1"/>
    <col min="9249" max="9249" width="9.33203125" bestFit="1" customWidth="1"/>
    <col min="9250" max="9250" width="11.5546875" bestFit="1" customWidth="1"/>
    <col min="9251" max="9251" width="9.33203125" bestFit="1" customWidth="1"/>
    <col min="9252" max="9252" width="11.5546875" bestFit="1" customWidth="1"/>
    <col min="9253" max="9253" width="9.33203125" bestFit="1" customWidth="1"/>
    <col min="9254" max="9254" width="11.5546875" bestFit="1" customWidth="1"/>
    <col min="9255" max="9255" width="9.33203125" bestFit="1" customWidth="1"/>
    <col min="9256" max="9256" width="11.5546875" bestFit="1" customWidth="1"/>
    <col min="9257" max="9257" width="9.33203125" bestFit="1" customWidth="1"/>
    <col min="9258" max="9258" width="11.5546875" bestFit="1" customWidth="1"/>
    <col min="9259" max="9259" width="9.33203125" bestFit="1" customWidth="1"/>
    <col min="9260" max="9260" width="11.5546875" bestFit="1" customWidth="1"/>
    <col min="9261" max="9261" width="9.33203125" bestFit="1" customWidth="1"/>
    <col min="9262" max="9262" width="11.5546875" bestFit="1" customWidth="1"/>
    <col min="9263" max="9263" width="9.33203125" bestFit="1" customWidth="1"/>
    <col min="9264" max="9264" width="11.5546875" bestFit="1" customWidth="1"/>
    <col min="9265" max="9265" width="9.33203125" bestFit="1" customWidth="1"/>
    <col min="9266" max="9266" width="11.5546875" bestFit="1" customWidth="1"/>
    <col min="9267" max="9267" width="9.33203125" bestFit="1" customWidth="1"/>
    <col min="9475" max="9475" width="29.44140625" bestFit="1" customWidth="1"/>
    <col min="9476" max="9476" width="11.5546875" bestFit="1" customWidth="1"/>
    <col min="9477" max="9477" width="9.33203125" bestFit="1" customWidth="1"/>
    <col min="9478" max="9478" width="11.5546875" bestFit="1" customWidth="1"/>
    <col min="9479" max="9479" width="9.33203125" bestFit="1" customWidth="1"/>
    <col min="9480" max="9480" width="11.5546875" bestFit="1" customWidth="1"/>
    <col min="9481" max="9481" width="9.33203125" bestFit="1" customWidth="1"/>
    <col min="9482" max="9482" width="11.5546875" bestFit="1" customWidth="1"/>
    <col min="9483" max="9483" width="9.33203125" bestFit="1" customWidth="1"/>
    <col min="9484" max="9484" width="11.5546875" bestFit="1" customWidth="1"/>
    <col min="9485" max="9485" width="9.33203125" bestFit="1" customWidth="1"/>
    <col min="9486" max="9486" width="11.5546875" bestFit="1" customWidth="1"/>
    <col min="9487" max="9487" width="9.33203125" bestFit="1" customWidth="1"/>
    <col min="9488" max="9488" width="11.5546875" bestFit="1" customWidth="1"/>
    <col min="9489" max="9489" width="9.33203125" bestFit="1" customWidth="1"/>
    <col min="9490" max="9490" width="11.5546875" bestFit="1" customWidth="1"/>
    <col min="9491" max="9491" width="9.33203125" bestFit="1" customWidth="1"/>
    <col min="9492" max="9492" width="11.5546875" bestFit="1" customWidth="1"/>
    <col min="9493" max="9493" width="9.33203125" bestFit="1" customWidth="1"/>
    <col min="9494" max="9494" width="11.5546875" bestFit="1" customWidth="1"/>
    <col min="9495" max="9495" width="9.33203125" bestFit="1" customWidth="1"/>
    <col min="9496" max="9496" width="11.5546875" bestFit="1" customWidth="1"/>
    <col min="9497" max="9497" width="9.33203125" bestFit="1" customWidth="1"/>
    <col min="9498" max="9498" width="11.5546875" bestFit="1" customWidth="1"/>
    <col min="9499" max="9499" width="9.33203125" bestFit="1" customWidth="1"/>
    <col min="9500" max="9500" width="11.5546875" bestFit="1" customWidth="1"/>
    <col min="9501" max="9501" width="9.33203125" bestFit="1" customWidth="1"/>
    <col min="9502" max="9502" width="11.5546875" bestFit="1" customWidth="1"/>
    <col min="9503" max="9503" width="9.33203125" bestFit="1" customWidth="1"/>
    <col min="9504" max="9504" width="11.5546875" bestFit="1" customWidth="1"/>
    <col min="9505" max="9505" width="9.33203125" bestFit="1" customWidth="1"/>
    <col min="9506" max="9506" width="11.5546875" bestFit="1" customWidth="1"/>
    <col min="9507" max="9507" width="9.33203125" bestFit="1" customWidth="1"/>
    <col min="9508" max="9508" width="11.5546875" bestFit="1" customWidth="1"/>
    <col min="9509" max="9509" width="9.33203125" bestFit="1" customWidth="1"/>
    <col min="9510" max="9510" width="11.5546875" bestFit="1" customWidth="1"/>
    <col min="9511" max="9511" width="9.33203125" bestFit="1" customWidth="1"/>
    <col min="9512" max="9512" width="11.5546875" bestFit="1" customWidth="1"/>
    <col min="9513" max="9513" width="9.33203125" bestFit="1" customWidth="1"/>
    <col min="9514" max="9514" width="11.5546875" bestFit="1" customWidth="1"/>
    <col min="9515" max="9515" width="9.33203125" bestFit="1" customWidth="1"/>
    <col min="9516" max="9516" width="11.5546875" bestFit="1" customWidth="1"/>
    <col min="9517" max="9517" width="9.33203125" bestFit="1" customWidth="1"/>
    <col min="9518" max="9518" width="11.5546875" bestFit="1" customWidth="1"/>
    <col min="9519" max="9519" width="9.33203125" bestFit="1" customWidth="1"/>
    <col min="9520" max="9520" width="11.5546875" bestFit="1" customWidth="1"/>
    <col min="9521" max="9521" width="9.33203125" bestFit="1" customWidth="1"/>
    <col min="9522" max="9522" width="11.5546875" bestFit="1" customWidth="1"/>
    <col min="9523" max="9523" width="9.33203125" bestFit="1" customWidth="1"/>
    <col min="9731" max="9731" width="29.44140625" bestFit="1" customWidth="1"/>
    <col min="9732" max="9732" width="11.5546875" bestFit="1" customWidth="1"/>
    <col min="9733" max="9733" width="9.33203125" bestFit="1" customWidth="1"/>
    <col min="9734" max="9734" width="11.5546875" bestFit="1" customWidth="1"/>
    <col min="9735" max="9735" width="9.33203125" bestFit="1" customWidth="1"/>
    <col min="9736" max="9736" width="11.5546875" bestFit="1" customWidth="1"/>
    <col min="9737" max="9737" width="9.33203125" bestFit="1" customWidth="1"/>
    <col min="9738" max="9738" width="11.5546875" bestFit="1" customWidth="1"/>
    <col min="9739" max="9739" width="9.33203125" bestFit="1" customWidth="1"/>
    <col min="9740" max="9740" width="11.5546875" bestFit="1" customWidth="1"/>
    <col min="9741" max="9741" width="9.33203125" bestFit="1" customWidth="1"/>
    <col min="9742" max="9742" width="11.5546875" bestFit="1" customWidth="1"/>
    <col min="9743" max="9743" width="9.33203125" bestFit="1" customWidth="1"/>
    <col min="9744" max="9744" width="11.5546875" bestFit="1" customWidth="1"/>
    <col min="9745" max="9745" width="9.33203125" bestFit="1" customWidth="1"/>
    <col min="9746" max="9746" width="11.5546875" bestFit="1" customWidth="1"/>
    <col min="9747" max="9747" width="9.33203125" bestFit="1" customWidth="1"/>
    <col min="9748" max="9748" width="11.5546875" bestFit="1" customWidth="1"/>
    <col min="9749" max="9749" width="9.33203125" bestFit="1" customWidth="1"/>
    <col min="9750" max="9750" width="11.5546875" bestFit="1" customWidth="1"/>
    <col min="9751" max="9751" width="9.33203125" bestFit="1" customWidth="1"/>
    <col min="9752" max="9752" width="11.5546875" bestFit="1" customWidth="1"/>
    <col min="9753" max="9753" width="9.33203125" bestFit="1" customWidth="1"/>
    <col min="9754" max="9754" width="11.5546875" bestFit="1" customWidth="1"/>
    <col min="9755" max="9755" width="9.33203125" bestFit="1" customWidth="1"/>
    <col min="9756" max="9756" width="11.5546875" bestFit="1" customWidth="1"/>
    <col min="9757" max="9757" width="9.33203125" bestFit="1" customWidth="1"/>
    <col min="9758" max="9758" width="11.5546875" bestFit="1" customWidth="1"/>
    <col min="9759" max="9759" width="9.33203125" bestFit="1" customWidth="1"/>
    <col min="9760" max="9760" width="11.5546875" bestFit="1" customWidth="1"/>
    <col min="9761" max="9761" width="9.33203125" bestFit="1" customWidth="1"/>
    <col min="9762" max="9762" width="11.5546875" bestFit="1" customWidth="1"/>
    <col min="9763" max="9763" width="9.33203125" bestFit="1" customWidth="1"/>
    <col min="9764" max="9764" width="11.5546875" bestFit="1" customWidth="1"/>
    <col min="9765" max="9765" width="9.33203125" bestFit="1" customWidth="1"/>
    <col min="9766" max="9766" width="11.5546875" bestFit="1" customWidth="1"/>
    <col min="9767" max="9767" width="9.33203125" bestFit="1" customWidth="1"/>
    <col min="9768" max="9768" width="11.5546875" bestFit="1" customWidth="1"/>
    <col min="9769" max="9769" width="9.33203125" bestFit="1" customWidth="1"/>
    <col min="9770" max="9770" width="11.5546875" bestFit="1" customWidth="1"/>
    <col min="9771" max="9771" width="9.33203125" bestFit="1" customWidth="1"/>
    <col min="9772" max="9772" width="11.5546875" bestFit="1" customWidth="1"/>
    <col min="9773" max="9773" width="9.33203125" bestFit="1" customWidth="1"/>
    <col min="9774" max="9774" width="11.5546875" bestFit="1" customWidth="1"/>
    <col min="9775" max="9775" width="9.33203125" bestFit="1" customWidth="1"/>
    <col min="9776" max="9776" width="11.5546875" bestFit="1" customWidth="1"/>
    <col min="9777" max="9777" width="9.33203125" bestFit="1" customWidth="1"/>
    <col min="9778" max="9778" width="11.5546875" bestFit="1" customWidth="1"/>
    <col min="9779" max="9779" width="9.33203125" bestFit="1" customWidth="1"/>
    <col min="9987" max="9987" width="29.44140625" bestFit="1" customWidth="1"/>
    <col min="9988" max="9988" width="11.5546875" bestFit="1" customWidth="1"/>
    <col min="9989" max="9989" width="9.33203125" bestFit="1" customWidth="1"/>
    <col min="9990" max="9990" width="11.5546875" bestFit="1" customWidth="1"/>
    <col min="9991" max="9991" width="9.33203125" bestFit="1" customWidth="1"/>
    <col min="9992" max="9992" width="11.5546875" bestFit="1" customWidth="1"/>
    <col min="9993" max="9993" width="9.33203125" bestFit="1" customWidth="1"/>
    <col min="9994" max="9994" width="11.5546875" bestFit="1" customWidth="1"/>
    <col min="9995" max="9995" width="9.33203125" bestFit="1" customWidth="1"/>
    <col min="9996" max="9996" width="11.5546875" bestFit="1" customWidth="1"/>
    <col min="9997" max="9997" width="9.33203125" bestFit="1" customWidth="1"/>
    <col min="9998" max="9998" width="11.5546875" bestFit="1" customWidth="1"/>
    <col min="9999" max="9999" width="9.33203125" bestFit="1" customWidth="1"/>
    <col min="10000" max="10000" width="11.5546875" bestFit="1" customWidth="1"/>
    <col min="10001" max="10001" width="9.33203125" bestFit="1" customWidth="1"/>
    <col min="10002" max="10002" width="11.5546875" bestFit="1" customWidth="1"/>
    <col min="10003" max="10003" width="9.33203125" bestFit="1" customWidth="1"/>
    <col min="10004" max="10004" width="11.5546875" bestFit="1" customWidth="1"/>
    <col min="10005" max="10005" width="9.33203125" bestFit="1" customWidth="1"/>
    <col min="10006" max="10006" width="11.5546875" bestFit="1" customWidth="1"/>
    <col min="10007" max="10007" width="9.33203125" bestFit="1" customWidth="1"/>
    <col min="10008" max="10008" width="11.5546875" bestFit="1" customWidth="1"/>
    <col min="10009" max="10009" width="9.33203125" bestFit="1" customWidth="1"/>
    <col min="10010" max="10010" width="11.5546875" bestFit="1" customWidth="1"/>
    <col min="10011" max="10011" width="9.33203125" bestFit="1" customWidth="1"/>
    <col min="10012" max="10012" width="11.5546875" bestFit="1" customWidth="1"/>
    <col min="10013" max="10013" width="9.33203125" bestFit="1" customWidth="1"/>
    <col min="10014" max="10014" width="11.5546875" bestFit="1" customWidth="1"/>
    <col min="10015" max="10015" width="9.33203125" bestFit="1" customWidth="1"/>
    <col min="10016" max="10016" width="11.5546875" bestFit="1" customWidth="1"/>
    <col min="10017" max="10017" width="9.33203125" bestFit="1" customWidth="1"/>
    <col min="10018" max="10018" width="11.5546875" bestFit="1" customWidth="1"/>
    <col min="10019" max="10019" width="9.33203125" bestFit="1" customWidth="1"/>
    <col min="10020" max="10020" width="11.5546875" bestFit="1" customWidth="1"/>
    <col min="10021" max="10021" width="9.33203125" bestFit="1" customWidth="1"/>
    <col min="10022" max="10022" width="11.5546875" bestFit="1" customWidth="1"/>
    <col min="10023" max="10023" width="9.33203125" bestFit="1" customWidth="1"/>
    <col min="10024" max="10024" width="11.5546875" bestFit="1" customWidth="1"/>
    <col min="10025" max="10025" width="9.33203125" bestFit="1" customWidth="1"/>
    <col min="10026" max="10026" width="11.5546875" bestFit="1" customWidth="1"/>
    <col min="10027" max="10027" width="9.33203125" bestFit="1" customWidth="1"/>
    <col min="10028" max="10028" width="11.5546875" bestFit="1" customWidth="1"/>
    <col min="10029" max="10029" width="9.33203125" bestFit="1" customWidth="1"/>
    <col min="10030" max="10030" width="11.5546875" bestFit="1" customWidth="1"/>
    <col min="10031" max="10031" width="9.33203125" bestFit="1" customWidth="1"/>
    <col min="10032" max="10032" width="11.5546875" bestFit="1" customWidth="1"/>
    <col min="10033" max="10033" width="9.33203125" bestFit="1" customWidth="1"/>
    <col min="10034" max="10034" width="11.5546875" bestFit="1" customWidth="1"/>
    <col min="10035" max="10035" width="9.33203125" bestFit="1" customWidth="1"/>
    <col min="10243" max="10243" width="29.44140625" bestFit="1" customWidth="1"/>
    <col min="10244" max="10244" width="11.5546875" bestFit="1" customWidth="1"/>
    <col min="10245" max="10245" width="9.33203125" bestFit="1" customWidth="1"/>
    <col min="10246" max="10246" width="11.5546875" bestFit="1" customWidth="1"/>
    <col min="10247" max="10247" width="9.33203125" bestFit="1" customWidth="1"/>
    <col min="10248" max="10248" width="11.5546875" bestFit="1" customWidth="1"/>
    <col min="10249" max="10249" width="9.33203125" bestFit="1" customWidth="1"/>
    <col min="10250" max="10250" width="11.5546875" bestFit="1" customWidth="1"/>
    <col min="10251" max="10251" width="9.33203125" bestFit="1" customWidth="1"/>
    <col min="10252" max="10252" width="11.5546875" bestFit="1" customWidth="1"/>
    <col min="10253" max="10253" width="9.33203125" bestFit="1" customWidth="1"/>
    <col min="10254" max="10254" width="11.5546875" bestFit="1" customWidth="1"/>
    <col min="10255" max="10255" width="9.33203125" bestFit="1" customWidth="1"/>
    <col min="10256" max="10256" width="11.5546875" bestFit="1" customWidth="1"/>
    <col min="10257" max="10257" width="9.33203125" bestFit="1" customWidth="1"/>
    <col min="10258" max="10258" width="11.5546875" bestFit="1" customWidth="1"/>
    <col min="10259" max="10259" width="9.33203125" bestFit="1" customWidth="1"/>
    <col min="10260" max="10260" width="11.5546875" bestFit="1" customWidth="1"/>
    <col min="10261" max="10261" width="9.33203125" bestFit="1" customWidth="1"/>
    <col min="10262" max="10262" width="11.5546875" bestFit="1" customWidth="1"/>
    <col min="10263" max="10263" width="9.33203125" bestFit="1" customWidth="1"/>
    <col min="10264" max="10264" width="11.5546875" bestFit="1" customWidth="1"/>
    <col min="10265" max="10265" width="9.33203125" bestFit="1" customWidth="1"/>
    <col min="10266" max="10266" width="11.5546875" bestFit="1" customWidth="1"/>
    <col min="10267" max="10267" width="9.33203125" bestFit="1" customWidth="1"/>
    <col min="10268" max="10268" width="11.5546875" bestFit="1" customWidth="1"/>
    <col min="10269" max="10269" width="9.33203125" bestFit="1" customWidth="1"/>
    <col min="10270" max="10270" width="11.5546875" bestFit="1" customWidth="1"/>
    <col min="10271" max="10271" width="9.33203125" bestFit="1" customWidth="1"/>
    <col min="10272" max="10272" width="11.5546875" bestFit="1" customWidth="1"/>
    <col min="10273" max="10273" width="9.33203125" bestFit="1" customWidth="1"/>
    <col min="10274" max="10274" width="11.5546875" bestFit="1" customWidth="1"/>
    <col min="10275" max="10275" width="9.33203125" bestFit="1" customWidth="1"/>
    <col min="10276" max="10276" width="11.5546875" bestFit="1" customWidth="1"/>
    <col min="10277" max="10277" width="9.33203125" bestFit="1" customWidth="1"/>
    <col min="10278" max="10278" width="11.5546875" bestFit="1" customWidth="1"/>
    <col min="10279" max="10279" width="9.33203125" bestFit="1" customWidth="1"/>
    <col min="10280" max="10280" width="11.5546875" bestFit="1" customWidth="1"/>
    <col min="10281" max="10281" width="9.33203125" bestFit="1" customWidth="1"/>
    <col min="10282" max="10282" width="11.5546875" bestFit="1" customWidth="1"/>
    <col min="10283" max="10283" width="9.33203125" bestFit="1" customWidth="1"/>
    <col min="10284" max="10284" width="11.5546875" bestFit="1" customWidth="1"/>
    <col min="10285" max="10285" width="9.33203125" bestFit="1" customWidth="1"/>
    <col min="10286" max="10286" width="11.5546875" bestFit="1" customWidth="1"/>
    <col min="10287" max="10287" width="9.33203125" bestFit="1" customWidth="1"/>
    <col min="10288" max="10288" width="11.5546875" bestFit="1" customWidth="1"/>
    <col min="10289" max="10289" width="9.33203125" bestFit="1" customWidth="1"/>
    <col min="10290" max="10290" width="11.5546875" bestFit="1" customWidth="1"/>
    <col min="10291" max="10291" width="9.33203125" bestFit="1" customWidth="1"/>
    <col min="10499" max="10499" width="29.44140625" bestFit="1" customWidth="1"/>
    <col min="10500" max="10500" width="11.5546875" bestFit="1" customWidth="1"/>
    <col min="10501" max="10501" width="9.33203125" bestFit="1" customWidth="1"/>
    <col min="10502" max="10502" width="11.5546875" bestFit="1" customWidth="1"/>
    <col min="10503" max="10503" width="9.33203125" bestFit="1" customWidth="1"/>
    <col min="10504" max="10504" width="11.5546875" bestFit="1" customWidth="1"/>
    <col min="10505" max="10505" width="9.33203125" bestFit="1" customWidth="1"/>
    <col min="10506" max="10506" width="11.5546875" bestFit="1" customWidth="1"/>
    <col min="10507" max="10507" width="9.33203125" bestFit="1" customWidth="1"/>
    <col min="10508" max="10508" width="11.5546875" bestFit="1" customWidth="1"/>
    <col min="10509" max="10509" width="9.33203125" bestFit="1" customWidth="1"/>
    <col min="10510" max="10510" width="11.5546875" bestFit="1" customWidth="1"/>
    <col min="10511" max="10511" width="9.33203125" bestFit="1" customWidth="1"/>
    <col min="10512" max="10512" width="11.5546875" bestFit="1" customWidth="1"/>
    <col min="10513" max="10513" width="9.33203125" bestFit="1" customWidth="1"/>
    <col min="10514" max="10514" width="11.5546875" bestFit="1" customWidth="1"/>
    <col min="10515" max="10515" width="9.33203125" bestFit="1" customWidth="1"/>
    <col min="10516" max="10516" width="11.5546875" bestFit="1" customWidth="1"/>
    <col min="10517" max="10517" width="9.33203125" bestFit="1" customWidth="1"/>
    <col min="10518" max="10518" width="11.5546875" bestFit="1" customWidth="1"/>
    <col min="10519" max="10519" width="9.33203125" bestFit="1" customWidth="1"/>
    <col min="10520" max="10520" width="11.5546875" bestFit="1" customWidth="1"/>
    <col min="10521" max="10521" width="9.33203125" bestFit="1" customWidth="1"/>
    <col min="10522" max="10522" width="11.5546875" bestFit="1" customWidth="1"/>
    <col min="10523" max="10523" width="9.33203125" bestFit="1" customWidth="1"/>
    <col min="10524" max="10524" width="11.5546875" bestFit="1" customWidth="1"/>
    <col min="10525" max="10525" width="9.33203125" bestFit="1" customWidth="1"/>
    <col min="10526" max="10526" width="11.5546875" bestFit="1" customWidth="1"/>
    <col min="10527" max="10527" width="9.33203125" bestFit="1" customWidth="1"/>
    <col min="10528" max="10528" width="11.5546875" bestFit="1" customWidth="1"/>
    <col min="10529" max="10529" width="9.33203125" bestFit="1" customWidth="1"/>
    <col min="10530" max="10530" width="11.5546875" bestFit="1" customWidth="1"/>
    <col min="10531" max="10531" width="9.33203125" bestFit="1" customWidth="1"/>
    <col min="10532" max="10532" width="11.5546875" bestFit="1" customWidth="1"/>
    <col min="10533" max="10533" width="9.33203125" bestFit="1" customWidth="1"/>
    <col min="10534" max="10534" width="11.5546875" bestFit="1" customWidth="1"/>
    <col min="10535" max="10535" width="9.33203125" bestFit="1" customWidth="1"/>
    <col min="10536" max="10536" width="11.5546875" bestFit="1" customWidth="1"/>
    <col min="10537" max="10537" width="9.33203125" bestFit="1" customWidth="1"/>
    <col min="10538" max="10538" width="11.5546875" bestFit="1" customWidth="1"/>
    <col min="10539" max="10539" width="9.33203125" bestFit="1" customWidth="1"/>
    <col min="10540" max="10540" width="11.5546875" bestFit="1" customWidth="1"/>
    <col min="10541" max="10541" width="9.33203125" bestFit="1" customWidth="1"/>
    <col min="10542" max="10542" width="11.5546875" bestFit="1" customWidth="1"/>
    <col min="10543" max="10543" width="9.33203125" bestFit="1" customWidth="1"/>
    <col min="10544" max="10544" width="11.5546875" bestFit="1" customWidth="1"/>
    <col min="10545" max="10545" width="9.33203125" bestFit="1" customWidth="1"/>
    <col min="10546" max="10546" width="11.5546875" bestFit="1" customWidth="1"/>
    <col min="10547" max="10547" width="9.33203125" bestFit="1" customWidth="1"/>
    <col min="10755" max="10755" width="29.44140625" bestFit="1" customWidth="1"/>
    <col min="10756" max="10756" width="11.5546875" bestFit="1" customWidth="1"/>
    <col min="10757" max="10757" width="9.33203125" bestFit="1" customWidth="1"/>
    <col min="10758" max="10758" width="11.5546875" bestFit="1" customWidth="1"/>
    <col min="10759" max="10759" width="9.33203125" bestFit="1" customWidth="1"/>
    <col min="10760" max="10760" width="11.5546875" bestFit="1" customWidth="1"/>
    <col min="10761" max="10761" width="9.33203125" bestFit="1" customWidth="1"/>
    <col min="10762" max="10762" width="11.5546875" bestFit="1" customWidth="1"/>
    <col min="10763" max="10763" width="9.33203125" bestFit="1" customWidth="1"/>
    <col min="10764" max="10764" width="11.5546875" bestFit="1" customWidth="1"/>
    <col min="10765" max="10765" width="9.33203125" bestFit="1" customWidth="1"/>
    <col min="10766" max="10766" width="11.5546875" bestFit="1" customWidth="1"/>
    <col min="10767" max="10767" width="9.33203125" bestFit="1" customWidth="1"/>
    <col min="10768" max="10768" width="11.5546875" bestFit="1" customWidth="1"/>
    <col min="10769" max="10769" width="9.33203125" bestFit="1" customWidth="1"/>
    <col min="10770" max="10770" width="11.5546875" bestFit="1" customWidth="1"/>
    <col min="10771" max="10771" width="9.33203125" bestFit="1" customWidth="1"/>
    <col min="10772" max="10772" width="11.5546875" bestFit="1" customWidth="1"/>
    <col min="10773" max="10773" width="9.33203125" bestFit="1" customWidth="1"/>
    <col min="10774" max="10774" width="11.5546875" bestFit="1" customWidth="1"/>
    <col min="10775" max="10775" width="9.33203125" bestFit="1" customWidth="1"/>
    <col min="10776" max="10776" width="11.5546875" bestFit="1" customWidth="1"/>
    <col min="10777" max="10777" width="9.33203125" bestFit="1" customWidth="1"/>
    <col min="10778" max="10778" width="11.5546875" bestFit="1" customWidth="1"/>
    <col min="10779" max="10779" width="9.33203125" bestFit="1" customWidth="1"/>
    <col min="10780" max="10780" width="11.5546875" bestFit="1" customWidth="1"/>
    <col min="10781" max="10781" width="9.33203125" bestFit="1" customWidth="1"/>
    <col min="10782" max="10782" width="11.5546875" bestFit="1" customWidth="1"/>
    <col min="10783" max="10783" width="9.33203125" bestFit="1" customWidth="1"/>
    <col min="10784" max="10784" width="11.5546875" bestFit="1" customWidth="1"/>
    <col min="10785" max="10785" width="9.33203125" bestFit="1" customWidth="1"/>
    <col min="10786" max="10786" width="11.5546875" bestFit="1" customWidth="1"/>
    <col min="10787" max="10787" width="9.33203125" bestFit="1" customWidth="1"/>
    <col min="10788" max="10788" width="11.5546875" bestFit="1" customWidth="1"/>
    <col min="10789" max="10789" width="9.33203125" bestFit="1" customWidth="1"/>
    <col min="10790" max="10790" width="11.5546875" bestFit="1" customWidth="1"/>
    <col min="10791" max="10791" width="9.33203125" bestFit="1" customWidth="1"/>
    <col min="10792" max="10792" width="11.5546875" bestFit="1" customWidth="1"/>
    <col min="10793" max="10793" width="9.33203125" bestFit="1" customWidth="1"/>
    <col min="10794" max="10794" width="11.5546875" bestFit="1" customWidth="1"/>
    <col min="10795" max="10795" width="9.33203125" bestFit="1" customWidth="1"/>
    <col min="10796" max="10796" width="11.5546875" bestFit="1" customWidth="1"/>
    <col min="10797" max="10797" width="9.33203125" bestFit="1" customWidth="1"/>
    <col min="10798" max="10798" width="11.5546875" bestFit="1" customWidth="1"/>
    <col min="10799" max="10799" width="9.33203125" bestFit="1" customWidth="1"/>
    <col min="10800" max="10800" width="11.5546875" bestFit="1" customWidth="1"/>
    <col min="10801" max="10801" width="9.33203125" bestFit="1" customWidth="1"/>
    <col min="10802" max="10802" width="11.5546875" bestFit="1" customWidth="1"/>
    <col min="10803" max="10803" width="9.33203125" bestFit="1" customWidth="1"/>
    <col min="11011" max="11011" width="29.44140625" bestFit="1" customWidth="1"/>
    <col min="11012" max="11012" width="11.5546875" bestFit="1" customWidth="1"/>
    <col min="11013" max="11013" width="9.33203125" bestFit="1" customWidth="1"/>
    <col min="11014" max="11014" width="11.5546875" bestFit="1" customWidth="1"/>
    <col min="11015" max="11015" width="9.33203125" bestFit="1" customWidth="1"/>
    <col min="11016" max="11016" width="11.5546875" bestFit="1" customWidth="1"/>
    <col min="11017" max="11017" width="9.33203125" bestFit="1" customWidth="1"/>
    <col min="11018" max="11018" width="11.5546875" bestFit="1" customWidth="1"/>
    <col min="11019" max="11019" width="9.33203125" bestFit="1" customWidth="1"/>
    <col min="11020" max="11020" width="11.5546875" bestFit="1" customWidth="1"/>
    <col min="11021" max="11021" width="9.33203125" bestFit="1" customWidth="1"/>
    <col min="11022" max="11022" width="11.5546875" bestFit="1" customWidth="1"/>
    <col min="11023" max="11023" width="9.33203125" bestFit="1" customWidth="1"/>
    <col min="11024" max="11024" width="11.5546875" bestFit="1" customWidth="1"/>
    <col min="11025" max="11025" width="9.33203125" bestFit="1" customWidth="1"/>
    <col min="11026" max="11026" width="11.5546875" bestFit="1" customWidth="1"/>
    <col min="11027" max="11027" width="9.33203125" bestFit="1" customWidth="1"/>
    <col min="11028" max="11028" width="11.5546875" bestFit="1" customWidth="1"/>
    <col min="11029" max="11029" width="9.33203125" bestFit="1" customWidth="1"/>
    <col min="11030" max="11030" width="11.5546875" bestFit="1" customWidth="1"/>
    <col min="11031" max="11031" width="9.33203125" bestFit="1" customWidth="1"/>
    <col min="11032" max="11032" width="11.5546875" bestFit="1" customWidth="1"/>
    <col min="11033" max="11033" width="9.33203125" bestFit="1" customWidth="1"/>
    <col min="11034" max="11034" width="11.5546875" bestFit="1" customWidth="1"/>
    <col min="11035" max="11035" width="9.33203125" bestFit="1" customWidth="1"/>
    <col min="11036" max="11036" width="11.5546875" bestFit="1" customWidth="1"/>
    <col min="11037" max="11037" width="9.33203125" bestFit="1" customWidth="1"/>
    <col min="11038" max="11038" width="11.5546875" bestFit="1" customWidth="1"/>
    <col min="11039" max="11039" width="9.33203125" bestFit="1" customWidth="1"/>
    <col min="11040" max="11040" width="11.5546875" bestFit="1" customWidth="1"/>
    <col min="11041" max="11041" width="9.33203125" bestFit="1" customWidth="1"/>
    <col min="11042" max="11042" width="11.5546875" bestFit="1" customWidth="1"/>
    <col min="11043" max="11043" width="9.33203125" bestFit="1" customWidth="1"/>
    <col min="11044" max="11044" width="11.5546875" bestFit="1" customWidth="1"/>
    <col min="11045" max="11045" width="9.33203125" bestFit="1" customWidth="1"/>
    <col min="11046" max="11046" width="11.5546875" bestFit="1" customWidth="1"/>
    <col min="11047" max="11047" width="9.33203125" bestFit="1" customWidth="1"/>
    <col min="11048" max="11048" width="11.5546875" bestFit="1" customWidth="1"/>
    <col min="11049" max="11049" width="9.33203125" bestFit="1" customWidth="1"/>
    <col min="11050" max="11050" width="11.5546875" bestFit="1" customWidth="1"/>
    <col min="11051" max="11051" width="9.33203125" bestFit="1" customWidth="1"/>
    <col min="11052" max="11052" width="11.5546875" bestFit="1" customWidth="1"/>
    <col min="11053" max="11053" width="9.33203125" bestFit="1" customWidth="1"/>
    <col min="11054" max="11054" width="11.5546875" bestFit="1" customWidth="1"/>
    <col min="11055" max="11055" width="9.33203125" bestFit="1" customWidth="1"/>
    <col min="11056" max="11056" width="11.5546875" bestFit="1" customWidth="1"/>
    <col min="11057" max="11057" width="9.33203125" bestFit="1" customWidth="1"/>
    <col min="11058" max="11058" width="11.5546875" bestFit="1" customWidth="1"/>
    <col min="11059" max="11059" width="9.33203125" bestFit="1" customWidth="1"/>
    <col min="11267" max="11267" width="29.44140625" bestFit="1" customWidth="1"/>
    <col min="11268" max="11268" width="11.5546875" bestFit="1" customWidth="1"/>
    <col min="11269" max="11269" width="9.33203125" bestFit="1" customWidth="1"/>
    <col min="11270" max="11270" width="11.5546875" bestFit="1" customWidth="1"/>
    <col min="11271" max="11271" width="9.33203125" bestFit="1" customWidth="1"/>
    <col min="11272" max="11272" width="11.5546875" bestFit="1" customWidth="1"/>
    <col min="11273" max="11273" width="9.33203125" bestFit="1" customWidth="1"/>
    <col min="11274" max="11274" width="11.5546875" bestFit="1" customWidth="1"/>
    <col min="11275" max="11275" width="9.33203125" bestFit="1" customWidth="1"/>
    <col min="11276" max="11276" width="11.5546875" bestFit="1" customWidth="1"/>
    <col min="11277" max="11277" width="9.33203125" bestFit="1" customWidth="1"/>
    <col min="11278" max="11278" width="11.5546875" bestFit="1" customWidth="1"/>
    <col min="11279" max="11279" width="9.33203125" bestFit="1" customWidth="1"/>
    <col min="11280" max="11280" width="11.5546875" bestFit="1" customWidth="1"/>
    <col min="11281" max="11281" width="9.33203125" bestFit="1" customWidth="1"/>
    <col min="11282" max="11282" width="11.5546875" bestFit="1" customWidth="1"/>
    <col min="11283" max="11283" width="9.33203125" bestFit="1" customWidth="1"/>
    <col min="11284" max="11284" width="11.5546875" bestFit="1" customWidth="1"/>
    <col min="11285" max="11285" width="9.33203125" bestFit="1" customWidth="1"/>
    <col min="11286" max="11286" width="11.5546875" bestFit="1" customWidth="1"/>
    <col min="11287" max="11287" width="9.33203125" bestFit="1" customWidth="1"/>
    <col min="11288" max="11288" width="11.5546875" bestFit="1" customWidth="1"/>
    <col min="11289" max="11289" width="9.33203125" bestFit="1" customWidth="1"/>
    <col min="11290" max="11290" width="11.5546875" bestFit="1" customWidth="1"/>
    <col min="11291" max="11291" width="9.33203125" bestFit="1" customWidth="1"/>
    <col min="11292" max="11292" width="11.5546875" bestFit="1" customWidth="1"/>
    <col min="11293" max="11293" width="9.33203125" bestFit="1" customWidth="1"/>
    <col min="11294" max="11294" width="11.5546875" bestFit="1" customWidth="1"/>
    <col min="11295" max="11295" width="9.33203125" bestFit="1" customWidth="1"/>
    <col min="11296" max="11296" width="11.5546875" bestFit="1" customWidth="1"/>
    <col min="11297" max="11297" width="9.33203125" bestFit="1" customWidth="1"/>
    <col min="11298" max="11298" width="11.5546875" bestFit="1" customWidth="1"/>
    <col min="11299" max="11299" width="9.33203125" bestFit="1" customWidth="1"/>
    <col min="11300" max="11300" width="11.5546875" bestFit="1" customWidth="1"/>
    <col min="11301" max="11301" width="9.33203125" bestFit="1" customWidth="1"/>
    <col min="11302" max="11302" width="11.5546875" bestFit="1" customWidth="1"/>
    <col min="11303" max="11303" width="9.33203125" bestFit="1" customWidth="1"/>
    <col min="11304" max="11304" width="11.5546875" bestFit="1" customWidth="1"/>
    <col min="11305" max="11305" width="9.33203125" bestFit="1" customWidth="1"/>
    <col min="11306" max="11306" width="11.5546875" bestFit="1" customWidth="1"/>
    <col min="11307" max="11307" width="9.33203125" bestFit="1" customWidth="1"/>
    <col min="11308" max="11308" width="11.5546875" bestFit="1" customWidth="1"/>
    <col min="11309" max="11309" width="9.33203125" bestFit="1" customWidth="1"/>
    <col min="11310" max="11310" width="11.5546875" bestFit="1" customWidth="1"/>
    <col min="11311" max="11311" width="9.33203125" bestFit="1" customWidth="1"/>
    <col min="11312" max="11312" width="11.5546875" bestFit="1" customWidth="1"/>
    <col min="11313" max="11313" width="9.33203125" bestFit="1" customWidth="1"/>
    <col min="11314" max="11314" width="11.5546875" bestFit="1" customWidth="1"/>
    <col min="11315" max="11315" width="9.33203125" bestFit="1" customWidth="1"/>
    <col min="11523" max="11523" width="29.44140625" bestFit="1" customWidth="1"/>
    <col min="11524" max="11524" width="11.5546875" bestFit="1" customWidth="1"/>
    <col min="11525" max="11525" width="9.33203125" bestFit="1" customWidth="1"/>
    <col min="11526" max="11526" width="11.5546875" bestFit="1" customWidth="1"/>
    <col min="11527" max="11527" width="9.33203125" bestFit="1" customWidth="1"/>
    <col min="11528" max="11528" width="11.5546875" bestFit="1" customWidth="1"/>
    <col min="11529" max="11529" width="9.33203125" bestFit="1" customWidth="1"/>
    <col min="11530" max="11530" width="11.5546875" bestFit="1" customWidth="1"/>
    <col min="11531" max="11531" width="9.33203125" bestFit="1" customWidth="1"/>
    <col min="11532" max="11532" width="11.5546875" bestFit="1" customWidth="1"/>
    <col min="11533" max="11533" width="9.33203125" bestFit="1" customWidth="1"/>
    <col min="11534" max="11534" width="11.5546875" bestFit="1" customWidth="1"/>
    <col min="11535" max="11535" width="9.33203125" bestFit="1" customWidth="1"/>
    <col min="11536" max="11536" width="11.5546875" bestFit="1" customWidth="1"/>
    <col min="11537" max="11537" width="9.33203125" bestFit="1" customWidth="1"/>
    <col min="11538" max="11538" width="11.5546875" bestFit="1" customWidth="1"/>
    <col min="11539" max="11539" width="9.33203125" bestFit="1" customWidth="1"/>
    <col min="11540" max="11540" width="11.5546875" bestFit="1" customWidth="1"/>
    <col min="11541" max="11541" width="9.33203125" bestFit="1" customWidth="1"/>
    <col min="11542" max="11542" width="11.5546875" bestFit="1" customWidth="1"/>
    <col min="11543" max="11543" width="9.33203125" bestFit="1" customWidth="1"/>
    <col min="11544" max="11544" width="11.5546875" bestFit="1" customWidth="1"/>
    <col min="11545" max="11545" width="9.33203125" bestFit="1" customWidth="1"/>
    <col min="11546" max="11546" width="11.5546875" bestFit="1" customWidth="1"/>
    <col min="11547" max="11547" width="9.33203125" bestFit="1" customWidth="1"/>
    <col min="11548" max="11548" width="11.5546875" bestFit="1" customWidth="1"/>
    <col min="11549" max="11549" width="9.33203125" bestFit="1" customWidth="1"/>
    <col min="11550" max="11550" width="11.5546875" bestFit="1" customWidth="1"/>
    <col min="11551" max="11551" width="9.33203125" bestFit="1" customWidth="1"/>
    <col min="11552" max="11552" width="11.5546875" bestFit="1" customWidth="1"/>
    <col min="11553" max="11553" width="9.33203125" bestFit="1" customWidth="1"/>
    <col min="11554" max="11554" width="11.5546875" bestFit="1" customWidth="1"/>
    <col min="11555" max="11555" width="9.33203125" bestFit="1" customWidth="1"/>
    <col min="11556" max="11556" width="11.5546875" bestFit="1" customWidth="1"/>
    <col min="11557" max="11557" width="9.33203125" bestFit="1" customWidth="1"/>
    <col min="11558" max="11558" width="11.5546875" bestFit="1" customWidth="1"/>
    <col min="11559" max="11559" width="9.33203125" bestFit="1" customWidth="1"/>
    <col min="11560" max="11560" width="11.5546875" bestFit="1" customWidth="1"/>
    <col min="11561" max="11561" width="9.33203125" bestFit="1" customWidth="1"/>
    <col min="11562" max="11562" width="11.5546875" bestFit="1" customWidth="1"/>
    <col min="11563" max="11563" width="9.33203125" bestFit="1" customWidth="1"/>
    <col min="11564" max="11564" width="11.5546875" bestFit="1" customWidth="1"/>
    <col min="11565" max="11565" width="9.33203125" bestFit="1" customWidth="1"/>
    <col min="11566" max="11566" width="11.5546875" bestFit="1" customWidth="1"/>
    <col min="11567" max="11567" width="9.33203125" bestFit="1" customWidth="1"/>
    <col min="11568" max="11568" width="11.5546875" bestFit="1" customWidth="1"/>
    <col min="11569" max="11569" width="9.33203125" bestFit="1" customWidth="1"/>
    <col min="11570" max="11570" width="11.5546875" bestFit="1" customWidth="1"/>
    <col min="11571" max="11571" width="9.33203125" bestFit="1" customWidth="1"/>
    <col min="11779" max="11779" width="29.44140625" bestFit="1" customWidth="1"/>
    <col min="11780" max="11780" width="11.5546875" bestFit="1" customWidth="1"/>
    <col min="11781" max="11781" width="9.33203125" bestFit="1" customWidth="1"/>
    <col min="11782" max="11782" width="11.5546875" bestFit="1" customWidth="1"/>
    <col min="11783" max="11783" width="9.33203125" bestFit="1" customWidth="1"/>
    <col min="11784" max="11784" width="11.5546875" bestFit="1" customWidth="1"/>
    <col min="11785" max="11785" width="9.33203125" bestFit="1" customWidth="1"/>
    <col min="11786" max="11786" width="11.5546875" bestFit="1" customWidth="1"/>
    <col min="11787" max="11787" width="9.33203125" bestFit="1" customWidth="1"/>
    <col min="11788" max="11788" width="11.5546875" bestFit="1" customWidth="1"/>
    <col min="11789" max="11789" width="9.33203125" bestFit="1" customWidth="1"/>
    <col min="11790" max="11790" width="11.5546875" bestFit="1" customWidth="1"/>
    <col min="11791" max="11791" width="9.33203125" bestFit="1" customWidth="1"/>
    <col min="11792" max="11792" width="11.5546875" bestFit="1" customWidth="1"/>
    <col min="11793" max="11793" width="9.33203125" bestFit="1" customWidth="1"/>
    <col min="11794" max="11794" width="11.5546875" bestFit="1" customWidth="1"/>
    <col min="11795" max="11795" width="9.33203125" bestFit="1" customWidth="1"/>
    <col min="11796" max="11796" width="11.5546875" bestFit="1" customWidth="1"/>
    <col min="11797" max="11797" width="9.33203125" bestFit="1" customWidth="1"/>
    <col min="11798" max="11798" width="11.5546875" bestFit="1" customWidth="1"/>
    <col min="11799" max="11799" width="9.33203125" bestFit="1" customWidth="1"/>
    <col min="11800" max="11800" width="11.5546875" bestFit="1" customWidth="1"/>
    <col min="11801" max="11801" width="9.33203125" bestFit="1" customWidth="1"/>
    <col min="11802" max="11802" width="11.5546875" bestFit="1" customWidth="1"/>
    <col min="11803" max="11803" width="9.33203125" bestFit="1" customWidth="1"/>
    <col min="11804" max="11804" width="11.5546875" bestFit="1" customWidth="1"/>
    <col min="11805" max="11805" width="9.33203125" bestFit="1" customWidth="1"/>
    <col min="11806" max="11806" width="11.5546875" bestFit="1" customWidth="1"/>
    <col min="11807" max="11807" width="9.33203125" bestFit="1" customWidth="1"/>
    <col min="11808" max="11808" width="11.5546875" bestFit="1" customWidth="1"/>
    <col min="11809" max="11809" width="9.33203125" bestFit="1" customWidth="1"/>
    <col min="11810" max="11810" width="11.5546875" bestFit="1" customWidth="1"/>
    <col min="11811" max="11811" width="9.33203125" bestFit="1" customWidth="1"/>
    <col min="11812" max="11812" width="11.5546875" bestFit="1" customWidth="1"/>
    <col min="11813" max="11813" width="9.33203125" bestFit="1" customWidth="1"/>
    <col min="11814" max="11814" width="11.5546875" bestFit="1" customWidth="1"/>
    <col min="11815" max="11815" width="9.33203125" bestFit="1" customWidth="1"/>
    <col min="11816" max="11816" width="11.5546875" bestFit="1" customWidth="1"/>
    <col min="11817" max="11817" width="9.33203125" bestFit="1" customWidth="1"/>
    <col min="11818" max="11818" width="11.5546875" bestFit="1" customWidth="1"/>
    <col min="11819" max="11819" width="9.33203125" bestFit="1" customWidth="1"/>
    <col min="11820" max="11820" width="11.5546875" bestFit="1" customWidth="1"/>
    <col min="11821" max="11821" width="9.33203125" bestFit="1" customWidth="1"/>
    <col min="11822" max="11822" width="11.5546875" bestFit="1" customWidth="1"/>
    <col min="11823" max="11823" width="9.33203125" bestFit="1" customWidth="1"/>
    <col min="11824" max="11824" width="11.5546875" bestFit="1" customWidth="1"/>
    <col min="11825" max="11825" width="9.33203125" bestFit="1" customWidth="1"/>
    <col min="11826" max="11826" width="11.5546875" bestFit="1" customWidth="1"/>
    <col min="11827" max="11827" width="9.33203125" bestFit="1" customWidth="1"/>
    <col min="12035" max="12035" width="29.44140625" bestFit="1" customWidth="1"/>
    <col min="12036" max="12036" width="11.5546875" bestFit="1" customWidth="1"/>
    <col min="12037" max="12037" width="9.33203125" bestFit="1" customWidth="1"/>
    <col min="12038" max="12038" width="11.5546875" bestFit="1" customWidth="1"/>
    <col min="12039" max="12039" width="9.33203125" bestFit="1" customWidth="1"/>
    <col min="12040" max="12040" width="11.5546875" bestFit="1" customWidth="1"/>
    <col min="12041" max="12041" width="9.33203125" bestFit="1" customWidth="1"/>
    <col min="12042" max="12042" width="11.5546875" bestFit="1" customWidth="1"/>
    <col min="12043" max="12043" width="9.33203125" bestFit="1" customWidth="1"/>
    <col min="12044" max="12044" width="11.5546875" bestFit="1" customWidth="1"/>
    <col min="12045" max="12045" width="9.33203125" bestFit="1" customWidth="1"/>
    <col min="12046" max="12046" width="11.5546875" bestFit="1" customWidth="1"/>
    <col min="12047" max="12047" width="9.33203125" bestFit="1" customWidth="1"/>
    <col min="12048" max="12048" width="11.5546875" bestFit="1" customWidth="1"/>
    <col min="12049" max="12049" width="9.33203125" bestFit="1" customWidth="1"/>
    <col min="12050" max="12050" width="11.5546875" bestFit="1" customWidth="1"/>
    <col min="12051" max="12051" width="9.33203125" bestFit="1" customWidth="1"/>
    <col min="12052" max="12052" width="11.5546875" bestFit="1" customWidth="1"/>
    <col min="12053" max="12053" width="9.33203125" bestFit="1" customWidth="1"/>
    <col min="12054" max="12054" width="11.5546875" bestFit="1" customWidth="1"/>
    <col min="12055" max="12055" width="9.33203125" bestFit="1" customWidth="1"/>
    <col min="12056" max="12056" width="11.5546875" bestFit="1" customWidth="1"/>
    <col min="12057" max="12057" width="9.33203125" bestFit="1" customWidth="1"/>
    <col min="12058" max="12058" width="11.5546875" bestFit="1" customWidth="1"/>
    <col min="12059" max="12059" width="9.33203125" bestFit="1" customWidth="1"/>
    <col min="12060" max="12060" width="11.5546875" bestFit="1" customWidth="1"/>
    <col min="12061" max="12061" width="9.33203125" bestFit="1" customWidth="1"/>
    <col min="12062" max="12062" width="11.5546875" bestFit="1" customWidth="1"/>
    <col min="12063" max="12063" width="9.33203125" bestFit="1" customWidth="1"/>
    <col min="12064" max="12064" width="11.5546875" bestFit="1" customWidth="1"/>
    <col min="12065" max="12065" width="9.33203125" bestFit="1" customWidth="1"/>
    <col min="12066" max="12066" width="11.5546875" bestFit="1" customWidth="1"/>
    <col min="12067" max="12067" width="9.33203125" bestFit="1" customWidth="1"/>
    <col min="12068" max="12068" width="11.5546875" bestFit="1" customWidth="1"/>
    <col min="12069" max="12069" width="9.33203125" bestFit="1" customWidth="1"/>
    <col min="12070" max="12070" width="11.5546875" bestFit="1" customWidth="1"/>
    <col min="12071" max="12071" width="9.33203125" bestFit="1" customWidth="1"/>
    <col min="12072" max="12072" width="11.5546875" bestFit="1" customWidth="1"/>
    <col min="12073" max="12073" width="9.33203125" bestFit="1" customWidth="1"/>
    <col min="12074" max="12074" width="11.5546875" bestFit="1" customWidth="1"/>
    <col min="12075" max="12075" width="9.33203125" bestFit="1" customWidth="1"/>
    <col min="12076" max="12076" width="11.5546875" bestFit="1" customWidth="1"/>
    <col min="12077" max="12077" width="9.33203125" bestFit="1" customWidth="1"/>
    <col min="12078" max="12078" width="11.5546875" bestFit="1" customWidth="1"/>
    <col min="12079" max="12079" width="9.33203125" bestFit="1" customWidth="1"/>
    <col min="12080" max="12080" width="11.5546875" bestFit="1" customWidth="1"/>
    <col min="12081" max="12081" width="9.33203125" bestFit="1" customWidth="1"/>
    <col min="12082" max="12082" width="11.5546875" bestFit="1" customWidth="1"/>
    <col min="12083" max="12083" width="9.33203125" bestFit="1" customWidth="1"/>
    <col min="12291" max="12291" width="29.44140625" bestFit="1" customWidth="1"/>
    <col min="12292" max="12292" width="11.5546875" bestFit="1" customWidth="1"/>
    <col min="12293" max="12293" width="9.33203125" bestFit="1" customWidth="1"/>
    <col min="12294" max="12294" width="11.5546875" bestFit="1" customWidth="1"/>
    <col min="12295" max="12295" width="9.33203125" bestFit="1" customWidth="1"/>
    <col min="12296" max="12296" width="11.5546875" bestFit="1" customWidth="1"/>
    <col min="12297" max="12297" width="9.33203125" bestFit="1" customWidth="1"/>
    <col min="12298" max="12298" width="11.5546875" bestFit="1" customWidth="1"/>
    <col min="12299" max="12299" width="9.33203125" bestFit="1" customWidth="1"/>
    <col min="12300" max="12300" width="11.5546875" bestFit="1" customWidth="1"/>
    <col min="12301" max="12301" width="9.33203125" bestFit="1" customWidth="1"/>
    <col min="12302" max="12302" width="11.5546875" bestFit="1" customWidth="1"/>
    <col min="12303" max="12303" width="9.33203125" bestFit="1" customWidth="1"/>
    <col min="12304" max="12304" width="11.5546875" bestFit="1" customWidth="1"/>
    <col min="12305" max="12305" width="9.33203125" bestFit="1" customWidth="1"/>
    <col min="12306" max="12306" width="11.5546875" bestFit="1" customWidth="1"/>
    <col min="12307" max="12307" width="9.33203125" bestFit="1" customWidth="1"/>
    <col min="12308" max="12308" width="11.5546875" bestFit="1" customWidth="1"/>
    <col min="12309" max="12309" width="9.33203125" bestFit="1" customWidth="1"/>
    <col min="12310" max="12310" width="11.5546875" bestFit="1" customWidth="1"/>
    <col min="12311" max="12311" width="9.33203125" bestFit="1" customWidth="1"/>
    <col min="12312" max="12312" width="11.5546875" bestFit="1" customWidth="1"/>
    <col min="12313" max="12313" width="9.33203125" bestFit="1" customWidth="1"/>
    <col min="12314" max="12314" width="11.5546875" bestFit="1" customWidth="1"/>
    <col min="12315" max="12315" width="9.33203125" bestFit="1" customWidth="1"/>
    <col min="12316" max="12316" width="11.5546875" bestFit="1" customWidth="1"/>
    <col min="12317" max="12317" width="9.33203125" bestFit="1" customWidth="1"/>
    <col min="12318" max="12318" width="11.5546875" bestFit="1" customWidth="1"/>
    <col min="12319" max="12319" width="9.33203125" bestFit="1" customWidth="1"/>
    <col min="12320" max="12320" width="11.5546875" bestFit="1" customWidth="1"/>
    <col min="12321" max="12321" width="9.33203125" bestFit="1" customWidth="1"/>
    <col min="12322" max="12322" width="11.5546875" bestFit="1" customWidth="1"/>
    <col min="12323" max="12323" width="9.33203125" bestFit="1" customWidth="1"/>
    <col min="12324" max="12324" width="11.5546875" bestFit="1" customWidth="1"/>
    <col min="12325" max="12325" width="9.33203125" bestFit="1" customWidth="1"/>
    <col min="12326" max="12326" width="11.5546875" bestFit="1" customWidth="1"/>
    <col min="12327" max="12327" width="9.33203125" bestFit="1" customWidth="1"/>
    <col min="12328" max="12328" width="11.5546875" bestFit="1" customWidth="1"/>
    <col min="12329" max="12329" width="9.33203125" bestFit="1" customWidth="1"/>
    <col min="12330" max="12330" width="11.5546875" bestFit="1" customWidth="1"/>
    <col min="12331" max="12331" width="9.33203125" bestFit="1" customWidth="1"/>
    <col min="12332" max="12332" width="11.5546875" bestFit="1" customWidth="1"/>
    <col min="12333" max="12333" width="9.33203125" bestFit="1" customWidth="1"/>
    <col min="12334" max="12334" width="11.5546875" bestFit="1" customWidth="1"/>
    <col min="12335" max="12335" width="9.33203125" bestFit="1" customWidth="1"/>
    <col min="12336" max="12336" width="11.5546875" bestFit="1" customWidth="1"/>
    <col min="12337" max="12337" width="9.33203125" bestFit="1" customWidth="1"/>
    <col min="12338" max="12338" width="11.5546875" bestFit="1" customWidth="1"/>
    <col min="12339" max="12339" width="9.33203125" bestFit="1" customWidth="1"/>
    <col min="12547" max="12547" width="29.44140625" bestFit="1" customWidth="1"/>
    <col min="12548" max="12548" width="11.5546875" bestFit="1" customWidth="1"/>
    <col min="12549" max="12549" width="9.33203125" bestFit="1" customWidth="1"/>
    <col min="12550" max="12550" width="11.5546875" bestFit="1" customWidth="1"/>
    <col min="12551" max="12551" width="9.33203125" bestFit="1" customWidth="1"/>
    <col min="12552" max="12552" width="11.5546875" bestFit="1" customWidth="1"/>
    <col min="12553" max="12553" width="9.33203125" bestFit="1" customWidth="1"/>
    <col min="12554" max="12554" width="11.5546875" bestFit="1" customWidth="1"/>
    <col min="12555" max="12555" width="9.33203125" bestFit="1" customWidth="1"/>
    <col min="12556" max="12556" width="11.5546875" bestFit="1" customWidth="1"/>
    <col min="12557" max="12557" width="9.33203125" bestFit="1" customWidth="1"/>
    <col min="12558" max="12558" width="11.5546875" bestFit="1" customWidth="1"/>
    <col min="12559" max="12559" width="9.33203125" bestFit="1" customWidth="1"/>
    <col min="12560" max="12560" width="11.5546875" bestFit="1" customWidth="1"/>
    <col min="12561" max="12561" width="9.33203125" bestFit="1" customWidth="1"/>
    <col min="12562" max="12562" width="11.5546875" bestFit="1" customWidth="1"/>
    <col min="12563" max="12563" width="9.33203125" bestFit="1" customWidth="1"/>
    <col min="12564" max="12564" width="11.5546875" bestFit="1" customWidth="1"/>
    <col min="12565" max="12565" width="9.33203125" bestFit="1" customWidth="1"/>
    <col min="12566" max="12566" width="11.5546875" bestFit="1" customWidth="1"/>
    <col min="12567" max="12567" width="9.33203125" bestFit="1" customWidth="1"/>
    <col min="12568" max="12568" width="11.5546875" bestFit="1" customWidth="1"/>
    <col min="12569" max="12569" width="9.33203125" bestFit="1" customWidth="1"/>
    <col min="12570" max="12570" width="11.5546875" bestFit="1" customWidth="1"/>
    <col min="12571" max="12571" width="9.33203125" bestFit="1" customWidth="1"/>
    <col min="12572" max="12572" width="11.5546875" bestFit="1" customWidth="1"/>
    <col min="12573" max="12573" width="9.33203125" bestFit="1" customWidth="1"/>
    <col min="12574" max="12574" width="11.5546875" bestFit="1" customWidth="1"/>
    <col min="12575" max="12575" width="9.33203125" bestFit="1" customWidth="1"/>
    <col min="12576" max="12576" width="11.5546875" bestFit="1" customWidth="1"/>
    <col min="12577" max="12577" width="9.33203125" bestFit="1" customWidth="1"/>
    <col min="12578" max="12578" width="11.5546875" bestFit="1" customWidth="1"/>
    <col min="12579" max="12579" width="9.33203125" bestFit="1" customWidth="1"/>
    <col min="12580" max="12580" width="11.5546875" bestFit="1" customWidth="1"/>
    <col min="12581" max="12581" width="9.33203125" bestFit="1" customWidth="1"/>
    <col min="12582" max="12582" width="11.5546875" bestFit="1" customWidth="1"/>
    <col min="12583" max="12583" width="9.33203125" bestFit="1" customWidth="1"/>
    <col min="12584" max="12584" width="11.5546875" bestFit="1" customWidth="1"/>
    <col min="12585" max="12585" width="9.33203125" bestFit="1" customWidth="1"/>
    <col min="12586" max="12586" width="11.5546875" bestFit="1" customWidth="1"/>
    <col min="12587" max="12587" width="9.33203125" bestFit="1" customWidth="1"/>
    <col min="12588" max="12588" width="11.5546875" bestFit="1" customWidth="1"/>
    <col min="12589" max="12589" width="9.33203125" bestFit="1" customWidth="1"/>
    <col min="12590" max="12590" width="11.5546875" bestFit="1" customWidth="1"/>
    <col min="12591" max="12591" width="9.33203125" bestFit="1" customWidth="1"/>
    <col min="12592" max="12592" width="11.5546875" bestFit="1" customWidth="1"/>
    <col min="12593" max="12593" width="9.33203125" bestFit="1" customWidth="1"/>
    <col min="12594" max="12594" width="11.5546875" bestFit="1" customWidth="1"/>
    <col min="12595" max="12595" width="9.33203125" bestFit="1" customWidth="1"/>
    <col min="12803" max="12803" width="29.44140625" bestFit="1" customWidth="1"/>
    <col min="12804" max="12804" width="11.5546875" bestFit="1" customWidth="1"/>
    <col min="12805" max="12805" width="9.33203125" bestFit="1" customWidth="1"/>
    <col min="12806" max="12806" width="11.5546875" bestFit="1" customWidth="1"/>
    <col min="12807" max="12807" width="9.33203125" bestFit="1" customWidth="1"/>
    <col min="12808" max="12808" width="11.5546875" bestFit="1" customWidth="1"/>
    <col min="12809" max="12809" width="9.33203125" bestFit="1" customWidth="1"/>
    <col min="12810" max="12810" width="11.5546875" bestFit="1" customWidth="1"/>
    <col min="12811" max="12811" width="9.33203125" bestFit="1" customWidth="1"/>
    <col min="12812" max="12812" width="11.5546875" bestFit="1" customWidth="1"/>
    <col min="12813" max="12813" width="9.33203125" bestFit="1" customWidth="1"/>
    <col min="12814" max="12814" width="11.5546875" bestFit="1" customWidth="1"/>
    <col min="12815" max="12815" width="9.33203125" bestFit="1" customWidth="1"/>
    <col min="12816" max="12816" width="11.5546875" bestFit="1" customWidth="1"/>
    <col min="12817" max="12817" width="9.33203125" bestFit="1" customWidth="1"/>
    <col min="12818" max="12818" width="11.5546875" bestFit="1" customWidth="1"/>
    <col min="12819" max="12819" width="9.33203125" bestFit="1" customWidth="1"/>
    <col min="12820" max="12820" width="11.5546875" bestFit="1" customWidth="1"/>
    <col min="12821" max="12821" width="9.33203125" bestFit="1" customWidth="1"/>
    <col min="12822" max="12822" width="11.5546875" bestFit="1" customWidth="1"/>
    <col min="12823" max="12823" width="9.33203125" bestFit="1" customWidth="1"/>
    <col min="12824" max="12824" width="11.5546875" bestFit="1" customWidth="1"/>
    <col min="12825" max="12825" width="9.33203125" bestFit="1" customWidth="1"/>
    <col min="12826" max="12826" width="11.5546875" bestFit="1" customWidth="1"/>
    <col min="12827" max="12827" width="9.33203125" bestFit="1" customWidth="1"/>
    <col min="12828" max="12828" width="11.5546875" bestFit="1" customWidth="1"/>
    <col min="12829" max="12829" width="9.33203125" bestFit="1" customWidth="1"/>
    <col min="12830" max="12830" width="11.5546875" bestFit="1" customWidth="1"/>
    <col min="12831" max="12831" width="9.33203125" bestFit="1" customWidth="1"/>
    <col min="12832" max="12832" width="11.5546875" bestFit="1" customWidth="1"/>
    <col min="12833" max="12833" width="9.33203125" bestFit="1" customWidth="1"/>
    <col min="12834" max="12834" width="11.5546875" bestFit="1" customWidth="1"/>
    <col min="12835" max="12835" width="9.33203125" bestFit="1" customWidth="1"/>
    <col min="12836" max="12836" width="11.5546875" bestFit="1" customWidth="1"/>
    <col min="12837" max="12837" width="9.33203125" bestFit="1" customWidth="1"/>
    <col min="12838" max="12838" width="11.5546875" bestFit="1" customWidth="1"/>
    <col min="12839" max="12839" width="9.33203125" bestFit="1" customWidth="1"/>
    <col min="12840" max="12840" width="11.5546875" bestFit="1" customWidth="1"/>
    <col min="12841" max="12841" width="9.33203125" bestFit="1" customWidth="1"/>
    <col min="12842" max="12842" width="11.5546875" bestFit="1" customWidth="1"/>
    <col min="12843" max="12843" width="9.33203125" bestFit="1" customWidth="1"/>
    <col min="12844" max="12844" width="11.5546875" bestFit="1" customWidth="1"/>
    <col min="12845" max="12845" width="9.33203125" bestFit="1" customWidth="1"/>
    <col min="12846" max="12846" width="11.5546875" bestFit="1" customWidth="1"/>
    <col min="12847" max="12847" width="9.33203125" bestFit="1" customWidth="1"/>
    <col min="12848" max="12848" width="11.5546875" bestFit="1" customWidth="1"/>
    <col min="12849" max="12849" width="9.33203125" bestFit="1" customWidth="1"/>
    <col min="12850" max="12850" width="11.5546875" bestFit="1" customWidth="1"/>
    <col min="12851" max="12851" width="9.33203125" bestFit="1" customWidth="1"/>
    <col min="13059" max="13059" width="29.44140625" bestFit="1" customWidth="1"/>
    <col min="13060" max="13060" width="11.5546875" bestFit="1" customWidth="1"/>
    <col min="13061" max="13061" width="9.33203125" bestFit="1" customWidth="1"/>
    <col min="13062" max="13062" width="11.5546875" bestFit="1" customWidth="1"/>
    <col min="13063" max="13063" width="9.33203125" bestFit="1" customWidth="1"/>
    <col min="13064" max="13064" width="11.5546875" bestFit="1" customWidth="1"/>
    <col min="13065" max="13065" width="9.33203125" bestFit="1" customWidth="1"/>
    <col min="13066" max="13066" width="11.5546875" bestFit="1" customWidth="1"/>
    <col min="13067" max="13067" width="9.33203125" bestFit="1" customWidth="1"/>
    <col min="13068" max="13068" width="11.5546875" bestFit="1" customWidth="1"/>
    <col min="13069" max="13069" width="9.33203125" bestFit="1" customWidth="1"/>
    <col min="13070" max="13070" width="11.5546875" bestFit="1" customWidth="1"/>
    <col min="13071" max="13071" width="9.33203125" bestFit="1" customWidth="1"/>
    <col min="13072" max="13072" width="11.5546875" bestFit="1" customWidth="1"/>
    <col min="13073" max="13073" width="9.33203125" bestFit="1" customWidth="1"/>
    <col min="13074" max="13074" width="11.5546875" bestFit="1" customWidth="1"/>
    <col min="13075" max="13075" width="9.33203125" bestFit="1" customWidth="1"/>
    <col min="13076" max="13076" width="11.5546875" bestFit="1" customWidth="1"/>
    <col min="13077" max="13077" width="9.33203125" bestFit="1" customWidth="1"/>
    <col min="13078" max="13078" width="11.5546875" bestFit="1" customWidth="1"/>
    <col min="13079" max="13079" width="9.33203125" bestFit="1" customWidth="1"/>
    <col min="13080" max="13080" width="11.5546875" bestFit="1" customWidth="1"/>
    <col min="13081" max="13081" width="9.33203125" bestFit="1" customWidth="1"/>
    <col min="13082" max="13082" width="11.5546875" bestFit="1" customWidth="1"/>
    <col min="13083" max="13083" width="9.33203125" bestFit="1" customWidth="1"/>
    <col min="13084" max="13084" width="11.5546875" bestFit="1" customWidth="1"/>
    <col min="13085" max="13085" width="9.33203125" bestFit="1" customWidth="1"/>
    <col min="13086" max="13086" width="11.5546875" bestFit="1" customWidth="1"/>
    <col min="13087" max="13087" width="9.33203125" bestFit="1" customWidth="1"/>
    <col min="13088" max="13088" width="11.5546875" bestFit="1" customWidth="1"/>
    <col min="13089" max="13089" width="9.33203125" bestFit="1" customWidth="1"/>
    <col min="13090" max="13090" width="11.5546875" bestFit="1" customWidth="1"/>
    <col min="13091" max="13091" width="9.33203125" bestFit="1" customWidth="1"/>
    <col min="13092" max="13092" width="11.5546875" bestFit="1" customWidth="1"/>
    <col min="13093" max="13093" width="9.33203125" bestFit="1" customWidth="1"/>
    <col min="13094" max="13094" width="11.5546875" bestFit="1" customWidth="1"/>
    <col min="13095" max="13095" width="9.33203125" bestFit="1" customWidth="1"/>
    <col min="13096" max="13096" width="11.5546875" bestFit="1" customWidth="1"/>
    <col min="13097" max="13097" width="9.33203125" bestFit="1" customWidth="1"/>
    <col min="13098" max="13098" width="11.5546875" bestFit="1" customWidth="1"/>
    <col min="13099" max="13099" width="9.33203125" bestFit="1" customWidth="1"/>
    <col min="13100" max="13100" width="11.5546875" bestFit="1" customWidth="1"/>
    <col min="13101" max="13101" width="9.33203125" bestFit="1" customWidth="1"/>
    <col min="13102" max="13102" width="11.5546875" bestFit="1" customWidth="1"/>
    <col min="13103" max="13103" width="9.33203125" bestFit="1" customWidth="1"/>
    <col min="13104" max="13104" width="11.5546875" bestFit="1" customWidth="1"/>
    <col min="13105" max="13105" width="9.33203125" bestFit="1" customWidth="1"/>
    <col min="13106" max="13106" width="11.5546875" bestFit="1" customWidth="1"/>
    <col min="13107" max="13107" width="9.33203125" bestFit="1" customWidth="1"/>
    <col min="13315" max="13315" width="29.44140625" bestFit="1" customWidth="1"/>
    <col min="13316" max="13316" width="11.5546875" bestFit="1" customWidth="1"/>
    <col min="13317" max="13317" width="9.33203125" bestFit="1" customWidth="1"/>
    <col min="13318" max="13318" width="11.5546875" bestFit="1" customWidth="1"/>
    <col min="13319" max="13319" width="9.33203125" bestFit="1" customWidth="1"/>
    <col min="13320" max="13320" width="11.5546875" bestFit="1" customWidth="1"/>
    <col min="13321" max="13321" width="9.33203125" bestFit="1" customWidth="1"/>
    <col min="13322" max="13322" width="11.5546875" bestFit="1" customWidth="1"/>
    <col min="13323" max="13323" width="9.33203125" bestFit="1" customWidth="1"/>
    <col min="13324" max="13324" width="11.5546875" bestFit="1" customWidth="1"/>
    <col min="13325" max="13325" width="9.33203125" bestFit="1" customWidth="1"/>
    <col min="13326" max="13326" width="11.5546875" bestFit="1" customWidth="1"/>
    <col min="13327" max="13327" width="9.33203125" bestFit="1" customWidth="1"/>
    <col min="13328" max="13328" width="11.5546875" bestFit="1" customWidth="1"/>
    <col min="13329" max="13329" width="9.33203125" bestFit="1" customWidth="1"/>
    <col min="13330" max="13330" width="11.5546875" bestFit="1" customWidth="1"/>
    <col min="13331" max="13331" width="9.33203125" bestFit="1" customWidth="1"/>
    <col min="13332" max="13332" width="11.5546875" bestFit="1" customWidth="1"/>
    <col min="13333" max="13333" width="9.33203125" bestFit="1" customWidth="1"/>
    <col min="13334" max="13334" width="11.5546875" bestFit="1" customWidth="1"/>
    <col min="13335" max="13335" width="9.33203125" bestFit="1" customWidth="1"/>
    <col min="13336" max="13336" width="11.5546875" bestFit="1" customWidth="1"/>
    <col min="13337" max="13337" width="9.33203125" bestFit="1" customWidth="1"/>
    <col min="13338" max="13338" width="11.5546875" bestFit="1" customWidth="1"/>
    <col min="13339" max="13339" width="9.33203125" bestFit="1" customWidth="1"/>
    <col min="13340" max="13340" width="11.5546875" bestFit="1" customWidth="1"/>
    <col min="13341" max="13341" width="9.33203125" bestFit="1" customWidth="1"/>
    <col min="13342" max="13342" width="11.5546875" bestFit="1" customWidth="1"/>
    <col min="13343" max="13343" width="9.33203125" bestFit="1" customWidth="1"/>
    <col min="13344" max="13344" width="11.5546875" bestFit="1" customWidth="1"/>
    <col min="13345" max="13345" width="9.33203125" bestFit="1" customWidth="1"/>
    <col min="13346" max="13346" width="11.5546875" bestFit="1" customWidth="1"/>
    <col min="13347" max="13347" width="9.33203125" bestFit="1" customWidth="1"/>
    <col min="13348" max="13348" width="11.5546875" bestFit="1" customWidth="1"/>
    <col min="13349" max="13349" width="9.33203125" bestFit="1" customWidth="1"/>
    <col min="13350" max="13350" width="11.5546875" bestFit="1" customWidth="1"/>
    <col min="13351" max="13351" width="9.33203125" bestFit="1" customWidth="1"/>
    <col min="13352" max="13352" width="11.5546875" bestFit="1" customWidth="1"/>
    <col min="13353" max="13353" width="9.33203125" bestFit="1" customWidth="1"/>
    <col min="13354" max="13354" width="11.5546875" bestFit="1" customWidth="1"/>
    <col min="13355" max="13355" width="9.33203125" bestFit="1" customWidth="1"/>
    <col min="13356" max="13356" width="11.5546875" bestFit="1" customWidth="1"/>
    <col min="13357" max="13357" width="9.33203125" bestFit="1" customWidth="1"/>
    <col min="13358" max="13358" width="11.5546875" bestFit="1" customWidth="1"/>
    <col min="13359" max="13359" width="9.33203125" bestFit="1" customWidth="1"/>
    <col min="13360" max="13360" width="11.5546875" bestFit="1" customWidth="1"/>
    <col min="13361" max="13361" width="9.33203125" bestFit="1" customWidth="1"/>
    <col min="13362" max="13362" width="11.5546875" bestFit="1" customWidth="1"/>
    <col min="13363" max="13363" width="9.33203125" bestFit="1" customWidth="1"/>
    <col min="13571" max="13571" width="29.44140625" bestFit="1" customWidth="1"/>
    <col min="13572" max="13572" width="11.5546875" bestFit="1" customWidth="1"/>
    <col min="13573" max="13573" width="9.33203125" bestFit="1" customWidth="1"/>
    <col min="13574" max="13574" width="11.5546875" bestFit="1" customWidth="1"/>
    <col min="13575" max="13575" width="9.33203125" bestFit="1" customWidth="1"/>
    <col min="13576" max="13576" width="11.5546875" bestFit="1" customWidth="1"/>
    <col min="13577" max="13577" width="9.33203125" bestFit="1" customWidth="1"/>
    <col min="13578" max="13578" width="11.5546875" bestFit="1" customWidth="1"/>
    <col min="13579" max="13579" width="9.33203125" bestFit="1" customWidth="1"/>
    <col min="13580" max="13580" width="11.5546875" bestFit="1" customWidth="1"/>
    <col min="13581" max="13581" width="9.33203125" bestFit="1" customWidth="1"/>
    <col min="13582" max="13582" width="11.5546875" bestFit="1" customWidth="1"/>
    <col min="13583" max="13583" width="9.33203125" bestFit="1" customWidth="1"/>
    <col min="13584" max="13584" width="11.5546875" bestFit="1" customWidth="1"/>
    <col min="13585" max="13585" width="9.33203125" bestFit="1" customWidth="1"/>
    <col min="13586" max="13586" width="11.5546875" bestFit="1" customWidth="1"/>
    <col min="13587" max="13587" width="9.33203125" bestFit="1" customWidth="1"/>
    <col min="13588" max="13588" width="11.5546875" bestFit="1" customWidth="1"/>
    <col min="13589" max="13589" width="9.33203125" bestFit="1" customWidth="1"/>
    <col min="13590" max="13590" width="11.5546875" bestFit="1" customWidth="1"/>
    <col min="13591" max="13591" width="9.33203125" bestFit="1" customWidth="1"/>
    <col min="13592" max="13592" width="11.5546875" bestFit="1" customWidth="1"/>
    <col min="13593" max="13593" width="9.33203125" bestFit="1" customWidth="1"/>
    <col min="13594" max="13594" width="11.5546875" bestFit="1" customWidth="1"/>
    <col min="13595" max="13595" width="9.33203125" bestFit="1" customWidth="1"/>
    <col min="13596" max="13596" width="11.5546875" bestFit="1" customWidth="1"/>
    <col min="13597" max="13597" width="9.33203125" bestFit="1" customWidth="1"/>
    <col min="13598" max="13598" width="11.5546875" bestFit="1" customWidth="1"/>
    <col min="13599" max="13599" width="9.33203125" bestFit="1" customWidth="1"/>
    <col min="13600" max="13600" width="11.5546875" bestFit="1" customWidth="1"/>
    <col min="13601" max="13601" width="9.33203125" bestFit="1" customWidth="1"/>
    <col min="13602" max="13602" width="11.5546875" bestFit="1" customWidth="1"/>
    <col min="13603" max="13603" width="9.33203125" bestFit="1" customWidth="1"/>
    <col min="13604" max="13604" width="11.5546875" bestFit="1" customWidth="1"/>
    <col min="13605" max="13605" width="9.33203125" bestFit="1" customWidth="1"/>
    <col min="13606" max="13606" width="11.5546875" bestFit="1" customWidth="1"/>
    <col min="13607" max="13607" width="9.33203125" bestFit="1" customWidth="1"/>
    <col min="13608" max="13608" width="11.5546875" bestFit="1" customWidth="1"/>
    <col min="13609" max="13609" width="9.33203125" bestFit="1" customWidth="1"/>
    <col min="13610" max="13610" width="11.5546875" bestFit="1" customWidth="1"/>
    <col min="13611" max="13611" width="9.33203125" bestFit="1" customWidth="1"/>
    <col min="13612" max="13612" width="11.5546875" bestFit="1" customWidth="1"/>
    <col min="13613" max="13613" width="9.33203125" bestFit="1" customWidth="1"/>
    <col min="13614" max="13614" width="11.5546875" bestFit="1" customWidth="1"/>
    <col min="13615" max="13615" width="9.33203125" bestFit="1" customWidth="1"/>
    <col min="13616" max="13616" width="11.5546875" bestFit="1" customWidth="1"/>
    <col min="13617" max="13617" width="9.33203125" bestFit="1" customWidth="1"/>
    <col min="13618" max="13618" width="11.5546875" bestFit="1" customWidth="1"/>
    <col min="13619" max="13619" width="9.33203125" bestFit="1" customWidth="1"/>
    <col min="13827" max="13827" width="29.44140625" bestFit="1" customWidth="1"/>
    <col min="13828" max="13828" width="11.5546875" bestFit="1" customWidth="1"/>
    <col min="13829" max="13829" width="9.33203125" bestFit="1" customWidth="1"/>
    <col min="13830" max="13830" width="11.5546875" bestFit="1" customWidth="1"/>
    <col min="13831" max="13831" width="9.33203125" bestFit="1" customWidth="1"/>
    <col min="13832" max="13832" width="11.5546875" bestFit="1" customWidth="1"/>
    <col min="13833" max="13833" width="9.33203125" bestFit="1" customWidth="1"/>
    <col min="13834" max="13834" width="11.5546875" bestFit="1" customWidth="1"/>
    <col min="13835" max="13835" width="9.33203125" bestFit="1" customWidth="1"/>
    <col min="13836" max="13836" width="11.5546875" bestFit="1" customWidth="1"/>
    <col min="13837" max="13837" width="9.33203125" bestFit="1" customWidth="1"/>
    <col min="13838" max="13838" width="11.5546875" bestFit="1" customWidth="1"/>
    <col min="13839" max="13839" width="9.33203125" bestFit="1" customWidth="1"/>
    <col min="13840" max="13840" width="11.5546875" bestFit="1" customWidth="1"/>
    <col min="13841" max="13841" width="9.33203125" bestFit="1" customWidth="1"/>
    <col min="13842" max="13842" width="11.5546875" bestFit="1" customWidth="1"/>
    <col min="13843" max="13843" width="9.33203125" bestFit="1" customWidth="1"/>
    <col min="13844" max="13844" width="11.5546875" bestFit="1" customWidth="1"/>
    <col min="13845" max="13845" width="9.33203125" bestFit="1" customWidth="1"/>
    <col min="13846" max="13846" width="11.5546875" bestFit="1" customWidth="1"/>
    <col min="13847" max="13847" width="9.33203125" bestFit="1" customWidth="1"/>
    <col min="13848" max="13848" width="11.5546875" bestFit="1" customWidth="1"/>
    <col min="13849" max="13849" width="9.33203125" bestFit="1" customWidth="1"/>
    <col min="13850" max="13850" width="11.5546875" bestFit="1" customWidth="1"/>
    <col min="13851" max="13851" width="9.33203125" bestFit="1" customWidth="1"/>
    <col min="13852" max="13852" width="11.5546875" bestFit="1" customWidth="1"/>
    <col min="13853" max="13853" width="9.33203125" bestFit="1" customWidth="1"/>
    <col min="13854" max="13854" width="11.5546875" bestFit="1" customWidth="1"/>
    <col min="13855" max="13855" width="9.33203125" bestFit="1" customWidth="1"/>
    <col min="13856" max="13856" width="11.5546875" bestFit="1" customWidth="1"/>
    <col min="13857" max="13857" width="9.33203125" bestFit="1" customWidth="1"/>
    <col min="13858" max="13858" width="11.5546875" bestFit="1" customWidth="1"/>
    <col min="13859" max="13859" width="9.33203125" bestFit="1" customWidth="1"/>
    <col min="13860" max="13860" width="11.5546875" bestFit="1" customWidth="1"/>
    <col min="13861" max="13861" width="9.33203125" bestFit="1" customWidth="1"/>
    <col min="13862" max="13862" width="11.5546875" bestFit="1" customWidth="1"/>
    <col min="13863" max="13863" width="9.33203125" bestFit="1" customWidth="1"/>
    <col min="13864" max="13864" width="11.5546875" bestFit="1" customWidth="1"/>
    <col min="13865" max="13865" width="9.33203125" bestFit="1" customWidth="1"/>
    <col min="13866" max="13866" width="11.5546875" bestFit="1" customWidth="1"/>
    <col min="13867" max="13867" width="9.33203125" bestFit="1" customWidth="1"/>
    <col min="13868" max="13868" width="11.5546875" bestFit="1" customWidth="1"/>
    <col min="13869" max="13869" width="9.33203125" bestFit="1" customWidth="1"/>
    <col min="13870" max="13870" width="11.5546875" bestFit="1" customWidth="1"/>
    <col min="13871" max="13871" width="9.33203125" bestFit="1" customWidth="1"/>
    <col min="13872" max="13872" width="11.5546875" bestFit="1" customWidth="1"/>
    <col min="13873" max="13873" width="9.33203125" bestFit="1" customWidth="1"/>
    <col min="13874" max="13874" width="11.5546875" bestFit="1" customWidth="1"/>
    <col min="13875" max="13875" width="9.33203125" bestFit="1" customWidth="1"/>
    <col min="14083" max="14083" width="29.44140625" bestFit="1" customWidth="1"/>
    <col min="14084" max="14084" width="11.5546875" bestFit="1" customWidth="1"/>
    <col min="14085" max="14085" width="9.33203125" bestFit="1" customWidth="1"/>
    <col min="14086" max="14086" width="11.5546875" bestFit="1" customWidth="1"/>
    <col min="14087" max="14087" width="9.33203125" bestFit="1" customWidth="1"/>
    <col min="14088" max="14088" width="11.5546875" bestFit="1" customWidth="1"/>
    <col min="14089" max="14089" width="9.33203125" bestFit="1" customWidth="1"/>
    <col min="14090" max="14090" width="11.5546875" bestFit="1" customWidth="1"/>
    <col min="14091" max="14091" width="9.33203125" bestFit="1" customWidth="1"/>
    <col min="14092" max="14092" width="11.5546875" bestFit="1" customWidth="1"/>
    <col min="14093" max="14093" width="9.33203125" bestFit="1" customWidth="1"/>
    <col min="14094" max="14094" width="11.5546875" bestFit="1" customWidth="1"/>
    <col min="14095" max="14095" width="9.33203125" bestFit="1" customWidth="1"/>
    <col min="14096" max="14096" width="11.5546875" bestFit="1" customWidth="1"/>
    <col min="14097" max="14097" width="9.33203125" bestFit="1" customWidth="1"/>
    <col min="14098" max="14098" width="11.5546875" bestFit="1" customWidth="1"/>
    <col min="14099" max="14099" width="9.33203125" bestFit="1" customWidth="1"/>
    <col min="14100" max="14100" width="11.5546875" bestFit="1" customWidth="1"/>
    <col min="14101" max="14101" width="9.33203125" bestFit="1" customWidth="1"/>
    <col min="14102" max="14102" width="11.5546875" bestFit="1" customWidth="1"/>
    <col min="14103" max="14103" width="9.33203125" bestFit="1" customWidth="1"/>
    <col min="14104" max="14104" width="11.5546875" bestFit="1" customWidth="1"/>
    <col min="14105" max="14105" width="9.33203125" bestFit="1" customWidth="1"/>
    <col min="14106" max="14106" width="11.5546875" bestFit="1" customWidth="1"/>
    <col min="14107" max="14107" width="9.33203125" bestFit="1" customWidth="1"/>
    <col min="14108" max="14108" width="11.5546875" bestFit="1" customWidth="1"/>
    <col min="14109" max="14109" width="9.33203125" bestFit="1" customWidth="1"/>
    <col min="14110" max="14110" width="11.5546875" bestFit="1" customWidth="1"/>
    <col min="14111" max="14111" width="9.33203125" bestFit="1" customWidth="1"/>
    <col min="14112" max="14112" width="11.5546875" bestFit="1" customWidth="1"/>
    <col min="14113" max="14113" width="9.33203125" bestFit="1" customWidth="1"/>
    <col min="14114" max="14114" width="11.5546875" bestFit="1" customWidth="1"/>
    <col min="14115" max="14115" width="9.33203125" bestFit="1" customWidth="1"/>
    <col min="14116" max="14116" width="11.5546875" bestFit="1" customWidth="1"/>
    <col min="14117" max="14117" width="9.33203125" bestFit="1" customWidth="1"/>
    <col min="14118" max="14118" width="11.5546875" bestFit="1" customWidth="1"/>
    <col min="14119" max="14119" width="9.33203125" bestFit="1" customWidth="1"/>
    <col min="14120" max="14120" width="11.5546875" bestFit="1" customWidth="1"/>
    <col min="14121" max="14121" width="9.33203125" bestFit="1" customWidth="1"/>
    <col min="14122" max="14122" width="11.5546875" bestFit="1" customWidth="1"/>
    <col min="14123" max="14123" width="9.33203125" bestFit="1" customWidth="1"/>
    <col min="14124" max="14124" width="11.5546875" bestFit="1" customWidth="1"/>
    <col min="14125" max="14125" width="9.33203125" bestFit="1" customWidth="1"/>
    <col min="14126" max="14126" width="11.5546875" bestFit="1" customWidth="1"/>
    <col min="14127" max="14127" width="9.33203125" bestFit="1" customWidth="1"/>
    <col min="14128" max="14128" width="11.5546875" bestFit="1" customWidth="1"/>
    <col min="14129" max="14129" width="9.33203125" bestFit="1" customWidth="1"/>
    <col min="14130" max="14130" width="11.5546875" bestFit="1" customWidth="1"/>
    <col min="14131" max="14131" width="9.33203125" bestFit="1" customWidth="1"/>
    <col min="14339" max="14339" width="29.44140625" bestFit="1" customWidth="1"/>
    <col min="14340" max="14340" width="11.5546875" bestFit="1" customWidth="1"/>
    <col min="14341" max="14341" width="9.33203125" bestFit="1" customWidth="1"/>
    <col min="14342" max="14342" width="11.5546875" bestFit="1" customWidth="1"/>
    <col min="14343" max="14343" width="9.33203125" bestFit="1" customWidth="1"/>
    <col min="14344" max="14344" width="11.5546875" bestFit="1" customWidth="1"/>
    <col min="14345" max="14345" width="9.33203125" bestFit="1" customWidth="1"/>
    <col min="14346" max="14346" width="11.5546875" bestFit="1" customWidth="1"/>
    <col min="14347" max="14347" width="9.33203125" bestFit="1" customWidth="1"/>
    <col min="14348" max="14348" width="11.5546875" bestFit="1" customWidth="1"/>
    <col min="14349" max="14349" width="9.33203125" bestFit="1" customWidth="1"/>
    <col min="14350" max="14350" width="11.5546875" bestFit="1" customWidth="1"/>
    <col min="14351" max="14351" width="9.33203125" bestFit="1" customWidth="1"/>
    <col min="14352" max="14352" width="11.5546875" bestFit="1" customWidth="1"/>
    <col min="14353" max="14353" width="9.33203125" bestFit="1" customWidth="1"/>
    <col min="14354" max="14354" width="11.5546875" bestFit="1" customWidth="1"/>
    <col min="14355" max="14355" width="9.33203125" bestFit="1" customWidth="1"/>
    <col min="14356" max="14356" width="11.5546875" bestFit="1" customWidth="1"/>
    <col min="14357" max="14357" width="9.33203125" bestFit="1" customWidth="1"/>
    <col min="14358" max="14358" width="11.5546875" bestFit="1" customWidth="1"/>
    <col min="14359" max="14359" width="9.33203125" bestFit="1" customWidth="1"/>
    <col min="14360" max="14360" width="11.5546875" bestFit="1" customWidth="1"/>
    <col min="14361" max="14361" width="9.33203125" bestFit="1" customWidth="1"/>
    <col min="14362" max="14362" width="11.5546875" bestFit="1" customWidth="1"/>
    <col min="14363" max="14363" width="9.33203125" bestFit="1" customWidth="1"/>
    <col min="14364" max="14364" width="11.5546875" bestFit="1" customWidth="1"/>
    <col min="14365" max="14365" width="9.33203125" bestFit="1" customWidth="1"/>
    <col min="14366" max="14366" width="11.5546875" bestFit="1" customWidth="1"/>
    <col min="14367" max="14367" width="9.33203125" bestFit="1" customWidth="1"/>
    <col min="14368" max="14368" width="11.5546875" bestFit="1" customWidth="1"/>
    <col min="14369" max="14369" width="9.33203125" bestFit="1" customWidth="1"/>
    <col min="14370" max="14370" width="11.5546875" bestFit="1" customWidth="1"/>
    <col min="14371" max="14371" width="9.33203125" bestFit="1" customWidth="1"/>
    <col min="14372" max="14372" width="11.5546875" bestFit="1" customWidth="1"/>
    <col min="14373" max="14373" width="9.33203125" bestFit="1" customWidth="1"/>
    <col min="14374" max="14374" width="11.5546875" bestFit="1" customWidth="1"/>
    <col min="14375" max="14375" width="9.33203125" bestFit="1" customWidth="1"/>
    <col min="14376" max="14376" width="11.5546875" bestFit="1" customWidth="1"/>
    <col min="14377" max="14377" width="9.33203125" bestFit="1" customWidth="1"/>
    <col min="14378" max="14378" width="11.5546875" bestFit="1" customWidth="1"/>
    <col min="14379" max="14379" width="9.33203125" bestFit="1" customWidth="1"/>
    <col min="14380" max="14380" width="11.5546875" bestFit="1" customWidth="1"/>
    <col min="14381" max="14381" width="9.33203125" bestFit="1" customWidth="1"/>
    <col min="14382" max="14382" width="11.5546875" bestFit="1" customWidth="1"/>
    <col min="14383" max="14383" width="9.33203125" bestFit="1" customWidth="1"/>
    <col min="14384" max="14384" width="11.5546875" bestFit="1" customWidth="1"/>
    <col min="14385" max="14385" width="9.33203125" bestFit="1" customWidth="1"/>
    <col min="14386" max="14386" width="11.5546875" bestFit="1" customWidth="1"/>
    <col min="14387" max="14387" width="9.33203125" bestFit="1" customWidth="1"/>
    <col min="14595" max="14595" width="29.44140625" bestFit="1" customWidth="1"/>
    <col min="14596" max="14596" width="11.5546875" bestFit="1" customWidth="1"/>
    <col min="14597" max="14597" width="9.33203125" bestFit="1" customWidth="1"/>
    <col min="14598" max="14598" width="11.5546875" bestFit="1" customWidth="1"/>
    <col min="14599" max="14599" width="9.33203125" bestFit="1" customWidth="1"/>
    <col min="14600" max="14600" width="11.5546875" bestFit="1" customWidth="1"/>
    <col min="14601" max="14601" width="9.33203125" bestFit="1" customWidth="1"/>
    <col min="14602" max="14602" width="11.5546875" bestFit="1" customWidth="1"/>
    <col min="14603" max="14603" width="9.33203125" bestFit="1" customWidth="1"/>
    <col min="14604" max="14604" width="11.5546875" bestFit="1" customWidth="1"/>
    <col min="14605" max="14605" width="9.33203125" bestFit="1" customWidth="1"/>
    <col min="14606" max="14606" width="11.5546875" bestFit="1" customWidth="1"/>
    <col min="14607" max="14607" width="9.33203125" bestFit="1" customWidth="1"/>
    <col min="14608" max="14608" width="11.5546875" bestFit="1" customWidth="1"/>
    <col min="14609" max="14609" width="9.33203125" bestFit="1" customWidth="1"/>
    <col min="14610" max="14610" width="11.5546875" bestFit="1" customWidth="1"/>
    <col min="14611" max="14611" width="9.33203125" bestFit="1" customWidth="1"/>
    <col min="14612" max="14612" width="11.5546875" bestFit="1" customWidth="1"/>
    <col min="14613" max="14613" width="9.33203125" bestFit="1" customWidth="1"/>
    <col min="14614" max="14614" width="11.5546875" bestFit="1" customWidth="1"/>
    <col min="14615" max="14615" width="9.33203125" bestFit="1" customWidth="1"/>
    <col min="14616" max="14616" width="11.5546875" bestFit="1" customWidth="1"/>
    <col min="14617" max="14617" width="9.33203125" bestFit="1" customWidth="1"/>
    <col min="14618" max="14618" width="11.5546875" bestFit="1" customWidth="1"/>
    <col min="14619" max="14619" width="9.33203125" bestFit="1" customWidth="1"/>
    <col min="14620" max="14620" width="11.5546875" bestFit="1" customWidth="1"/>
    <col min="14621" max="14621" width="9.33203125" bestFit="1" customWidth="1"/>
    <col min="14622" max="14622" width="11.5546875" bestFit="1" customWidth="1"/>
    <col min="14623" max="14623" width="9.33203125" bestFit="1" customWidth="1"/>
    <col min="14624" max="14624" width="11.5546875" bestFit="1" customWidth="1"/>
    <col min="14625" max="14625" width="9.33203125" bestFit="1" customWidth="1"/>
    <col min="14626" max="14626" width="11.5546875" bestFit="1" customWidth="1"/>
    <col min="14627" max="14627" width="9.33203125" bestFit="1" customWidth="1"/>
    <col min="14628" max="14628" width="11.5546875" bestFit="1" customWidth="1"/>
    <col min="14629" max="14629" width="9.33203125" bestFit="1" customWidth="1"/>
    <col min="14630" max="14630" width="11.5546875" bestFit="1" customWidth="1"/>
    <col min="14631" max="14631" width="9.33203125" bestFit="1" customWidth="1"/>
    <col min="14632" max="14632" width="11.5546875" bestFit="1" customWidth="1"/>
    <col min="14633" max="14633" width="9.33203125" bestFit="1" customWidth="1"/>
    <col min="14634" max="14634" width="11.5546875" bestFit="1" customWidth="1"/>
    <col min="14635" max="14635" width="9.33203125" bestFit="1" customWidth="1"/>
    <col min="14636" max="14636" width="11.5546875" bestFit="1" customWidth="1"/>
    <col min="14637" max="14637" width="9.33203125" bestFit="1" customWidth="1"/>
    <col min="14638" max="14638" width="11.5546875" bestFit="1" customWidth="1"/>
    <col min="14639" max="14639" width="9.33203125" bestFit="1" customWidth="1"/>
    <col min="14640" max="14640" width="11.5546875" bestFit="1" customWidth="1"/>
    <col min="14641" max="14641" width="9.33203125" bestFit="1" customWidth="1"/>
    <col min="14642" max="14642" width="11.5546875" bestFit="1" customWidth="1"/>
    <col min="14643" max="14643" width="9.33203125" bestFit="1" customWidth="1"/>
    <col min="14851" max="14851" width="29.44140625" bestFit="1" customWidth="1"/>
    <col min="14852" max="14852" width="11.5546875" bestFit="1" customWidth="1"/>
    <col min="14853" max="14853" width="9.33203125" bestFit="1" customWidth="1"/>
    <col min="14854" max="14854" width="11.5546875" bestFit="1" customWidth="1"/>
    <col min="14855" max="14855" width="9.33203125" bestFit="1" customWidth="1"/>
    <col min="14856" max="14856" width="11.5546875" bestFit="1" customWidth="1"/>
    <col min="14857" max="14857" width="9.33203125" bestFit="1" customWidth="1"/>
    <col min="14858" max="14858" width="11.5546875" bestFit="1" customWidth="1"/>
    <col min="14859" max="14859" width="9.33203125" bestFit="1" customWidth="1"/>
    <col min="14860" max="14860" width="11.5546875" bestFit="1" customWidth="1"/>
    <col min="14861" max="14861" width="9.33203125" bestFit="1" customWidth="1"/>
    <col min="14862" max="14862" width="11.5546875" bestFit="1" customWidth="1"/>
    <col min="14863" max="14863" width="9.33203125" bestFit="1" customWidth="1"/>
    <col min="14864" max="14864" width="11.5546875" bestFit="1" customWidth="1"/>
    <col min="14865" max="14865" width="9.33203125" bestFit="1" customWidth="1"/>
    <col min="14866" max="14866" width="11.5546875" bestFit="1" customWidth="1"/>
    <col min="14867" max="14867" width="9.33203125" bestFit="1" customWidth="1"/>
    <col min="14868" max="14868" width="11.5546875" bestFit="1" customWidth="1"/>
    <col min="14869" max="14869" width="9.33203125" bestFit="1" customWidth="1"/>
    <col min="14870" max="14870" width="11.5546875" bestFit="1" customWidth="1"/>
    <col min="14871" max="14871" width="9.33203125" bestFit="1" customWidth="1"/>
    <col min="14872" max="14872" width="11.5546875" bestFit="1" customWidth="1"/>
    <col min="14873" max="14873" width="9.33203125" bestFit="1" customWidth="1"/>
    <col min="14874" max="14874" width="11.5546875" bestFit="1" customWidth="1"/>
    <col min="14875" max="14875" width="9.33203125" bestFit="1" customWidth="1"/>
    <col min="14876" max="14876" width="11.5546875" bestFit="1" customWidth="1"/>
    <col min="14877" max="14877" width="9.33203125" bestFit="1" customWidth="1"/>
    <col min="14878" max="14878" width="11.5546875" bestFit="1" customWidth="1"/>
    <col min="14879" max="14879" width="9.33203125" bestFit="1" customWidth="1"/>
    <col min="14880" max="14880" width="11.5546875" bestFit="1" customWidth="1"/>
    <col min="14881" max="14881" width="9.33203125" bestFit="1" customWidth="1"/>
    <col min="14882" max="14882" width="11.5546875" bestFit="1" customWidth="1"/>
    <col min="14883" max="14883" width="9.33203125" bestFit="1" customWidth="1"/>
    <col min="14884" max="14884" width="11.5546875" bestFit="1" customWidth="1"/>
    <col min="14885" max="14885" width="9.33203125" bestFit="1" customWidth="1"/>
    <col min="14886" max="14886" width="11.5546875" bestFit="1" customWidth="1"/>
    <col min="14887" max="14887" width="9.33203125" bestFit="1" customWidth="1"/>
    <col min="14888" max="14888" width="11.5546875" bestFit="1" customWidth="1"/>
    <col min="14889" max="14889" width="9.33203125" bestFit="1" customWidth="1"/>
    <col min="14890" max="14890" width="11.5546875" bestFit="1" customWidth="1"/>
    <col min="14891" max="14891" width="9.33203125" bestFit="1" customWidth="1"/>
    <col min="14892" max="14892" width="11.5546875" bestFit="1" customWidth="1"/>
    <col min="14893" max="14893" width="9.33203125" bestFit="1" customWidth="1"/>
    <col min="14894" max="14894" width="11.5546875" bestFit="1" customWidth="1"/>
    <col min="14895" max="14895" width="9.33203125" bestFit="1" customWidth="1"/>
    <col min="14896" max="14896" width="11.5546875" bestFit="1" customWidth="1"/>
    <col min="14897" max="14897" width="9.33203125" bestFit="1" customWidth="1"/>
    <col min="14898" max="14898" width="11.5546875" bestFit="1" customWidth="1"/>
    <col min="14899" max="14899" width="9.33203125" bestFit="1" customWidth="1"/>
    <col min="15107" max="15107" width="29.44140625" bestFit="1" customWidth="1"/>
    <col min="15108" max="15108" width="11.5546875" bestFit="1" customWidth="1"/>
    <col min="15109" max="15109" width="9.33203125" bestFit="1" customWidth="1"/>
    <col min="15110" max="15110" width="11.5546875" bestFit="1" customWidth="1"/>
    <col min="15111" max="15111" width="9.33203125" bestFit="1" customWidth="1"/>
    <col min="15112" max="15112" width="11.5546875" bestFit="1" customWidth="1"/>
    <col min="15113" max="15113" width="9.33203125" bestFit="1" customWidth="1"/>
    <col min="15114" max="15114" width="11.5546875" bestFit="1" customWidth="1"/>
    <col min="15115" max="15115" width="9.33203125" bestFit="1" customWidth="1"/>
    <col min="15116" max="15116" width="11.5546875" bestFit="1" customWidth="1"/>
    <col min="15117" max="15117" width="9.33203125" bestFit="1" customWidth="1"/>
    <col min="15118" max="15118" width="11.5546875" bestFit="1" customWidth="1"/>
    <col min="15119" max="15119" width="9.33203125" bestFit="1" customWidth="1"/>
    <col min="15120" max="15120" width="11.5546875" bestFit="1" customWidth="1"/>
    <col min="15121" max="15121" width="9.33203125" bestFit="1" customWidth="1"/>
    <col min="15122" max="15122" width="11.5546875" bestFit="1" customWidth="1"/>
    <col min="15123" max="15123" width="9.33203125" bestFit="1" customWidth="1"/>
    <col min="15124" max="15124" width="11.5546875" bestFit="1" customWidth="1"/>
    <col min="15125" max="15125" width="9.33203125" bestFit="1" customWidth="1"/>
    <col min="15126" max="15126" width="11.5546875" bestFit="1" customWidth="1"/>
    <col min="15127" max="15127" width="9.33203125" bestFit="1" customWidth="1"/>
    <col min="15128" max="15128" width="11.5546875" bestFit="1" customWidth="1"/>
    <col min="15129" max="15129" width="9.33203125" bestFit="1" customWidth="1"/>
    <col min="15130" max="15130" width="11.5546875" bestFit="1" customWidth="1"/>
    <col min="15131" max="15131" width="9.33203125" bestFit="1" customWidth="1"/>
    <col min="15132" max="15132" width="11.5546875" bestFit="1" customWidth="1"/>
    <col min="15133" max="15133" width="9.33203125" bestFit="1" customWidth="1"/>
    <col min="15134" max="15134" width="11.5546875" bestFit="1" customWidth="1"/>
    <col min="15135" max="15135" width="9.33203125" bestFit="1" customWidth="1"/>
    <col min="15136" max="15136" width="11.5546875" bestFit="1" customWidth="1"/>
    <col min="15137" max="15137" width="9.33203125" bestFit="1" customWidth="1"/>
    <col min="15138" max="15138" width="11.5546875" bestFit="1" customWidth="1"/>
    <col min="15139" max="15139" width="9.33203125" bestFit="1" customWidth="1"/>
    <col min="15140" max="15140" width="11.5546875" bestFit="1" customWidth="1"/>
    <col min="15141" max="15141" width="9.33203125" bestFit="1" customWidth="1"/>
    <col min="15142" max="15142" width="11.5546875" bestFit="1" customWidth="1"/>
    <col min="15143" max="15143" width="9.33203125" bestFit="1" customWidth="1"/>
    <col min="15144" max="15144" width="11.5546875" bestFit="1" customWidth="1"/>
    <col min="15145" max="15145" width="9.33203125" bestFit="1" customWidth="1"/>
    <col min="15146" max="15146" width="11.5546875" bestFit="1" customWidth="1"/>
    <col min="15147" max="15147" width="9.33203125" bestFit="1" customWidth="1"/>
    <col min="15148" max="15148" width="11.5546875" bestFit="1" customWidth="1"/>
    <col min="15149" max="15149" width="9.33203125" bestFit="1" customWidth="1"/>
    <col min="15150" max="15150" width="11.5546875" bestFit="1" customWidth="1"/>
    <col min="15151" max="15151" width="9.33203125" bestFit="1" customWidth="1"/>
    <col min="15152" max="15152" width="11.5546875" bestFit="1" customWidth="1"/>
    <col min="15153" max="15153" width="9.33203125" bestFit="1" customWidth="1"/>
    <col min="15154" max="15154" width="11.5546875" bestFit="1" customWidth="1"/>
    <col min="15155" max="15155" width="9.33203125" bestFit="1" customWidth="1"/>
    <col min="15363" max="15363" width="29.44140625" bestFit="1" customWidth="1"/>
    <col min="15364" max="15364" width="11.5546875" bestFit="1" customWidth="1"/>
    <col min="15365" max="15365" width="9.33203125" bestFit="1" customWidth="1"/>
    <col min="15366" max="15366" width="11.5546875" bestFit="1" customWidth="1"/>
    <col min="15367" max="15367" width="9.33203125" bestFit="1" customWidth="1"/>
    <col min="15368" max="15368" width="11.5546875" bestFit="1" customWidth="1"/>
    <col min="15369" max="15369" width="9.33203125" bestFit="1" customWidth="1"/>
    <col min="15370" max="15370" width="11.5546875" bestFit="1" customWidth="1"/>
    <col min="15371" max="15371" width="9.33203125" bestFit="1" customWidth="1"/>
    <col min="15372" max="15372" width="11.5546875" bestFit="1" customWidth="1"/>
    <col min="15373" max="15373" width="9.33203125" bestFit="1" customWidth="1"/>
    <col min="15374" max="15374" width="11.5546875" bestFit="1" customWidth="1"/>
    <col min="15375" max="15375" width="9.33203125" bestFit="1" customWidth="1"/>
    <col min="15376" max="15376" width="11.5546875" bestFit="1" customWidth="1"/>
    <col min="15377" max="15377" width="9.33203125" bestFit="1" customWidth="1"/>
    <col min="15378" max="15378" width="11.5546875" bestFit="1" customWidth="1"/>
    <col min="15379" max="15379" width="9.33203125" bestFit="1" customWidth="1"/>
    <col min="15380" max="15380" width="11.5546875" bestFit="1" customWidth="1"/>
    <col min="15381" max="15381" width="9.33203125" bestFit="1" customWidth="1"/>
    <col min="15382" max="15382" width="11.5546875" bestFit="1" customWidth="1"/>
    <col min="15383" max="15383" width="9.33203125" bestFit="1" customWidth="1"/>
    <col min="15384" max="15384" width="11.5546875" bestFit="1" customWidth="1"/>
    <col min="15385" max="15385" width="9.33203125" bestFit="1" customWidth="1"/>
    <col min="15386" max="15386" width="11.5546875" bestFit="1" customWidth="1"/>
    <col min="15387" max="15387" width="9.33203125" bestFit="1" customWidth="1"/>
    <col min="15388" max="15388" width="11.5546875" bestFit="1" customWidth="1"/>
    <col min="15389" max="15389" width="9.33203125" bestFit="1" customWidth="1"/>
    <col min="15390" max="15390" width="11.5546875" bestFit="1" customWidth="1"/>
    <col min="15391" max="15391" width="9.33203125" bestFit="1" customWidth="1"/>
    <col min="15392" max="15392" width="11.5546875" bestFit="1" customWidth="1"/>
    <col min="15393" max="15393" width="9.33203125" bestFit="1" customWidth="1"/>
    <col min="15394" max="15394" width="11.5546875" bestFit="1" customWidth="1"/>
    <col min="15395" max="15395" width="9.33203125" bestFit="1" customWidth="1"/>
    <col min="15396" max="15396" width="11.5546875" bestFit="1" customWidth="1"/>
    <col min="15397" max="15397" width="9.33203125" bestFit="1" customWidth="1"/>
    <col min="15398" max="15398" width="11.5546875" bestFit="1" customWidth="1"/>
    <col min="15399" max="15399" width="9.33203125" bestFit="1" customWidth="1"/>
    <col min="15400" max="15400" width="11.5546875" bestFit="1" customWidth="1"/>
    <col min="15401" max="15401" width="9.33203125" bestFit="1" customWidth="1"/>
    <col min="15402" max="15402" width="11.5546875" bestFit="1" customWidth="1"/>
    <col min="15403" max="15403" width="9.33203125" bestFit="1" customWidth="1"/>
    <col min="15404" max="15404" width="11.5546875" bestFit="1" customWidth="1"/>
    <col min="15405" max="15405" width="9.33203125" bestFit="1" customWidth="1"/>
    <col min="15406" max="15406" width="11.5546875" bestFit="1" customWidth="1"/>
    <col min="15407" max="15407" width="9.33203125" bestFit="1" customWidth="1"/>
    <col min="15408" max="15408" width="11.5546875" bestFit="1" customWidth="1"/>
    <col min="15409" max="15409" width="9.33203125" bestFit="1" customWidth="1"/>
    <col min="15410" max="15410" width="11.5546875" bestFit="1" customWidth="1"/>
    <col min="15411" max="15411" width="9.33203125" bestFit="1" customWidth="1"/>
    <col min="15619" max="15619" width="29.44140625" bestFit="1" customWidth="1"/>
    <col min="15620" max="15620" width="11.5546875" bestFit="1" customWidth="1"/>
    <col min="15621" max="15621" width="9.33203125" bestFit="1" customWidth="1"/>
    <col min="15622" max="15622" width="11.5546875" bestFit="1" customWidth="1"/>
    <col min="15623" max="15623" width="9.33203125" bestFit="1" customWidth="1"/>
    <col min="15624" max="15624" width="11.5546875" bestFit="1" customWidth="1"/>
    <col min="15625" max="15625" width="9.33203125" bestFit="1" customWidth="1"/>
    <col min="15626" max="15626" width="11.5546875" bestFit="1" customWidth="1"/>
    <col min="15627" max="15627" width="9.33203125" bestFit="1" customWidth="1"/>
    <col min="15628" max="15628" width="11.5546875" bestFit="1" customWidth="1"/>
    <col min="15629" max="15629" width="9.33203125" bestFit="1" customWidth="1"/>
    <col min="15630" max="15630" width="11.5546875" bestFit="1" customWidth="1"/>
    <col min="15631" max="15631" width="9.33203125" bestFit="1" customWidth="1"/>
    <col min="15632" max="15632" width="11.5546875" bestFit="1" customWidth="1"/>
    <col min="15633" max="15633" width="9.33203125" bestFit="1" customWidth="1"/>
    <col min="15634" max="15634" width="11.5546875" bestFit="1" customWidth="1"/>
    <col min="15635" max="15635" width="9.33203125" bestFit="1" customWidth="1"/>
    <col min="15636" max="15636" width="11.5546875" bestFit="1" customWidth="1"/>
    <col min="15637" max="15637" width="9.33203125" bestFit="1" customWidth="1"/>
    <col min="15638" max="15638" width="11.5546875" bestFit="1" customWidth="1"/>
    <col min="15639" max="15639" width="9.33203125" bestFit="1" customWidth="1"/>
    <col min="15640" max="15640" width="11.5546875" bestFit="1" customWidth="1"/>
    <col min="15641" max="15641" width="9.33203125" bestFit="1" customWidth="1"/>
    <col min="15642" max="15642" width="11.5546875" bestFit="1" customWidth="1"/>
    <col min="15643" max="15643" width="9.33203125" bestFit="1" customWidth="1"/>
    <col min="15644" max="15644" width="11.5546875" bestFit="1" customWidth="1"/>
    <col min="15645" max="15645" width="9.33203125" bestFit="1" customWidth="1"/>
    <col min="15646" max="15646" width="11.5546875" bestFit="1" customWidth="1"/>
    <col min="15647" max="15647" width="9.33203125" bestFit="1" customWidth="1"/>
    <col min="15648" max="15648" width="11.5546875" bestFit="1" customWidth="1"/>
    <col min="15649" max="15649" width="9.33203125" bestFit="1" customWidth="1"/>
    <col min="15650" max="15650" width="11.5546875" bestFit="1" customWidth="1"/>
    <col min="15651" max="15651" width="9.33203125" bestFit="1" customWidth="1"/>
    <col min="15652" max="15652" width="11.5546875" bestFit="1" customWidth="1"/>
    <col min="15653" max="15653" width="9.33203125" bestFit="1" customWidth="1"/>
    <col min="15654" max="15654" width="11.5546875" bestFit="1" customWidth="1"/>
    <col min="15655" max="15655" width="9.33203125" bestFit="1" customWidth="1"/>
    <col min="15656" max="15656" width="11.5546875" bestFit="1" customWidth="1"/>
    <col min="15657" max="15657" width="9.33203125" bestFit="1" customWidth="1"/>
    <col min="15658" max="15658" width="11.5546875" bestFit="1" customWidth="1"/>
    <col min="15659" max="15659" width="9.33203125" bestFit="1" customWidth="1"/>
    <col min="15660" max="15660" width="11.5546875" bestFit="1" customWidth="1"/>
    <col min="15661" max="15661" width="9.33203125" bestFit="1" customWidth="1"/>
    <col min="15662" max="15662" width="11.5546875" bestFit="1" customWidth="1"/>
    <col min="15663" max="15663" width="9.33203125" bestFit="1" customWidth="1"/>
    <col min="15664" max="15664" width="11.5546875" bestFit="1" customWidth="1"/>
    <col min="15665" max="15665" width="9.33203125" bestFit="1" customWidth="1"/>
    <col min="15666" max="15666" width="11.5546875" bestFit="1" customWidth="1"/>
    <col min="15667" max="15667" width="9.33203125" bestFit="1" customWidth="1"/>
    <col min="15875" max="15875" width="29.44140625" bestFit="1" customWidth="1"/>
    <col min="15876" max="15876" width="11.5546875" bestFit="1" customWidth="1"/>
    <col min="15877" max="15877" width="9.33203125" bestFit="1" customWidth="1"/>
    <col min="15878" max="15878" width="11.5546875" bestFit="1" customWidth="1"/>
    <col min="15879" max="15879" width="9.33203125" bestFit="1" customWidth="1"/>
    <col min="15880" max="15880" width="11.5546875" bestFit="1" customWidth="1"/>
    <col min="15881" max="15881" width="9.33203125" bestFit="1" customWidth="1"/>
    <col min="15882" max="15882" width="11.5546875" bestFit="1" customWidth="1"/>
    <col min="15883" max="15883" width="9.33203125" bestFit="1" customWidth="1"/>
    <col min="15884" max="15884" width="11.5546875" bestFit="1" customWidth="1"/>
    <col min="15885" max="15885" width="9.33203125" bestFit="1" customWidth="1"/>
    <col min="15886" max="15886" width="11.5546875" bestFit="1" customWidth="1"/>
    <col min="15887" max="15887" width="9.33203125" bestFit="1" customWidth="1"/>
    <col min="15888" max="15888" width="11.5546875" bestFit="1" customWidth="1"/>
    <col min="15889" max="15889" width="9.33203125" bestFit="1" customWidth="1"/>
    <col min="15890" max="15890" width="11.5546875" bestFit="1" customWidth="1"/>
    <col min="15891" max="15891" width="9.33203125" bestFit="1" customWidth="1"/>
    <col min="15892" max="15892" width="11.5546875" bestFit="1" customWidth="1"/>
    <col min="15893" max="15893" width="9.33203125" bestFit="1" customWidth="1"/>
    <col min="15894" max="15894" width="11.5546875" bestFit="1" customWidth="1"/>
    <col min="15895" max="15895" width="9.33203125" bestFit="1" customWidth="1"/>
    <col min="15896" max="15896" width="11.5546875" bestFit="1" customWidth="1"/>
    <col min="15897" max="15897" width="9.33203125" bestFit="1" customWidth="1"/>
    <col min="15898" max="15898" width="11.5546875" bestFit="1" customWidth="1"/>
    <col min="15899" max="15899" width="9.33203125" bestFit="1" customWidth="1"/>
    <col min="15900" max="15900" width="11.5546875" bestFit="1" customWidth="1"/>
    <col min="15901" max="15901" width="9.33203125" bestFit="1" customWidth="1"/>
    <col min="15902" max="15902" width="11.5546875" bestFit="1" customWidth="1"/>
    <col min="15903" max="15903" width="9.33203125" bestFit="1" customWidth="1"/>
    <col min="15904" max="15904" width="11.5546875" bestFit="1" customWidth="1"/>
    <col min="15905" max="15905" width="9.33203125" bestFit="1" customWidth="1"/>
    <col min="15906" max="15906" width="11.5546875" bestFit="1" customWidth="1"/>
    <col min="15907" max="15907" width="9.33203125" bestFit="1" customWidth="1"/>
    <col min="15908" max="15908" width="11.5546875" bestFit="1" customWidth="1"/>
    <col min="15909" max="15909" width="9.33203125" bestFit="1" customWidth="1"/>
    <col min="15910" max="15910" width="11.5546875" bestFit="1" customWidth="1"/>
    <col min="15911" max="15911" width="9.33203125" bestFit="1" customWidth="1"/>
    <col min="15912" max="15912" width="11.5546875" bestFit="1" customWidth="1"/>
    <col min="15913" max="15913" width="9.33203125" bestFit="1" customWidth="1"/>
    <col min="15914" max="15914" width="11.5546875" bestFit="1" customWidth="1"/>
    <col min="15915" max="15915" width="9.33203125" bestFit="1" customWidth="1"/>
    <col min="15916" max="15916" width="11.5546875" bestFit="1" customWidth="1"/>
    <col min="15917" max="15917" width="9.33203125" bestFit="1" customWidth="1"/>
    <col min="15918" max="15918" width="11.5546875" bestFit="1" customWidth="1"/>
    <col min="15919" max="15919" width="9.33203125" bestFit="1" customWidth="1"/>
    <col min="15920" max="15920" width="11.5546875" bestFit="1" customWidth="1"/>
    <col min="15921" max="15921" width="9.33203125" bestFit="1" customWidth="1"/>
    <col min="15922" max="15922" width="11.5546875" bestFit="1" customWidth="1"/>
    <col min="15923" max="15923" width="9.33203125" bestFit="1" customWidth="1"/>
    <col min="16131" max="16131" width="29.44140625" bestFit="1" customWidth="1"/>
    <col min="16132" max="16132" width="11.5546875" bestFit="1" customWidth="1"/>
    <col min="16133" max="16133" width="9.33203125" bestFit="1" customWidth="1"/>
    <col min="16134" max="16134" width="11.5546875" bestFit="1" customWidth="1"/>
    <col min="16135" max="16135" width="9.33203125" bestFit="1" customWidth="1"/>
    <col min="16136" max="16136" width="11.5546875" bestFit="1" customWidth="1"/>
    <col min="16137" max="16137" width="9.33203125" bestFit="1" customWidth="1"/>
    <col min="16138" max="16138" width="11.5546875" bestFit="1" customWidth="1"/>
    <col min="16139" max="16139" width="9.33203125" bestFit="1" customWidth="1"/>
    <col min="16140" max="16140" width="11.5546875" bestFit="1" customWidth="1"/>
    <col min="16141" max="16141" width="9.33203125" bestFit="1" customWidth="1"/>
    <col min="16142" max="16142" width="11.5546875" bestFit="1" customWidth="1"/>
    <col min="16143" max="16143" width="9.33203125" bestFit="1" customWidth="1"/>
    <col min="16144" max="16144" width="11.5546875" bestFit="1" customWidth="1"/>
    <col min="16145" max="16145" width="9.33203125" bestFit="1" customWidth="1"/>
    <col min="16146" max="16146" width="11.5546875" bestFit="1" customWidth="1"/>
    <col min="16147" max="16147" width="9.33203125" bestFit="1" customWidth="1"/>
    <col min="16148" max="16148" width="11.5546875" bestFit="1" customWidth="1"/>
    <col min="16149" max="16149" width="9.33203125" bestFit="1" customWidth="1"/>
    <col min="16150" max="16150" width="11.5546875" bestFit="1" customWidth="1"/>
    <col min="16151" max="16151" width="9.33203125" bestFit="1" customWidth="1"/>
    <col min="16152" max="16152" width="11.5546875" bestFit="1" customWidth="1"/>
    <col min="16153" max="16153" width="9.33203125" bestFit="1" customWidth="1"/>
    <col min="16154" max="16154" width="11.5546875" bestFit="1" customWidth="1"/>
    <col min="16155" max="16155" width="9.33203125" bestFit="1" customWidth="1"/>
    <col min="16156" max="16156" width="11.5546875" bestFit="1" customWidth="1"/>
    <col min="16157" max="16157" width="9.33203125" bestFit="1" customWidth="1"/>
    <col min="16158" max="16158" width="11.5546875" bestFit="1" customWidth="1"/>
    <col min="16159" max="16159" width="9.33203125" bestFit="1" customWidth="1"/>
    <col min="16160" max="16160" width="11.5546875" bestFit="1" customWidth="1"/>
    <col min="16161" max="16161" width="9.33203125" bestFit="1" customWidth="1"/>
    <col min="16162" max="16162" width="11.5546875" bestFit="1" customWidth="1"/>
    <col min="16163" max="16163" width="9.33203125" bestFit="1" customWidth="1"/>
    <col min="16164" max="16164" width="11.5546875" bestFit="1" customWidth="1"/>
    <col min="16165" max="16165" width="9.33203125" bestFit="1" customWidth="1"/>
    <col min="16166" max="16166" width="11.5546875" bestFit="1" customWidth="1"/>
    <col min="16167" max="16167" width="9.33203125" bestFit="1" customWidth="1"/>
    <col min="16168" max="16168" width="11.5546875" bestFit="1" customWidth="1"/>
    <col min="16169" max="16169" width="9.33203125" bestFit="1" customWidth="1"/>
    <col min="16170" max="16170" width="11.5546875" bestFit="1" customWidth="1"/>
    <col min="16171" max="16171" width="9.33203125" bestFit="1" customWidth="1"/>
    <col min="16172" max="16172" width="11.5546875" bestFit="1" customWidth="1"/>
    <col min="16173" max="16173" width="9.33203125" bestFit="1" customWidth="1"/>
    <col min="16174" max="16174" width="11.5546875" bestFit="1" customWidth="1"/>
    <col min="16175" max="16175" width="9.33203125" bestFit="1" customWidth="1"/>
    <col min="16176" max="16176" width="11.5546875" bestFit="1" customWidth="1"/>
    <col min="16177" max="16177" width="9.33203125" bestFit="1" customWidth="1"/>
    <col min="16178" max="16178" width="11.5546875" bestFit="1" customWidth="1"/>
    <col min="16179" max="16179" width="9.33203125" bestFit="1" customWidth="1"/>
  </cols>
  <sheetData>
    <row r="1" spans="1:51" s="23" customFormat="1">
      <c r="A1" s="104"/>
      <c r="B1" s="105" t="s">
        <v>145</v>
      </c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</row>
    <row r="2" spans="1:51" s="23" customFormat="1">
      <c r="A2" s="106"/>
      <c r="B2" s="211"/>
      <c r="C2" s="211"/>
      <c r="D2" s="214">
        <v>45200</v>
      </c>
      <c r="E2" s="215">
        <v>45200</v>
      </c>
      <c r="F2" s="214">
        <v>45231</v>
      </c>
      <c r="G2" s="215">
        <v>45231</v>
      </c>
      <c r="H2" s="214">
        <v>45261</v>
      </c>
      <c r="I2" s="215">
        <v>45261</v>
      </c>
      <c r="J2" s="214">
        <v>45292</v>
      </c>
      <c r="K2" s="215">
        <v>45292</v>
      </c>
      <c r="L2" s="214">
        <v>45323</v>
      </c>
      <c r="M2" s="215">
        <v>45323</v>
      </c>
      <c r="N2" s="214">
        <v>45352</v>
      </c>
      <c r="O2" s="215">
        <v>45352</v>
      </c>
      <c r="P2" s="214">
        <v>45383</v>
      </c>
      <c r="Q2" s="215">
        <v>45383</v>
      </c>
      <c r="R2" s="214">
        <v>45413</v>
      </c>
      <c r="S2" s="215">
        <v>45413</v>
      </c>
      <c r="T2" s="214">
        <v>45444</v>
      </c>
      <c r="U2" s="215">
        <v>45444</v>
      </c>
      <c r="V2" s="214">
        <v>45474</v>
      </c>
      <c r="W2" s="215">
        <v>45474</v>
      </c>
      <c r="X2" s="214">
        <v>45505</v>
      </c>
      <c r="Y2" s="215">
        <v>45505</v>
      </c>
      <c r="Z2" s="214">
        <v>45536</v>
      </c>
      <c r="AA2" s="215">
        <v>45536</v>
      </c>
      <c r="AB2" s="214">
        <v>45566</v>
      </c>
      <c r="AC2" s="215">
        <v>45566</v>
      </c>
      <c r="AD2" s="214">
        <v>45597</v>
      </c>
      <c r="AE2" s="215">
        <v>45597</v>
      </c>
      <c r="AF2" s="214">
        <v>45627</v>
      </c>
      <c r="AG2" s="215">
        <v>45627</v>
      </c>
      <c r="AH2" s="214">
        <v>45658</v>
      </c>
      <c r="AI2" s="215">
        <v>45658</v>
      </c>
      <c r="AJ2" s="214">
        <v>45689</v>
      </c>
      <c r="AK2" s="215">
        <v>45689</v>
      </c>
      <c r="AL2" s="214">
        <v>45717</v>
      </c>
      <c r="AM2" s="215">
        <v>45717</v>
      </c>
      <c r="AN2" s="214">
        <v>45748</v>
      </c>
      <c r="AO2" s="215">
        <v>45748</v>
      </c>
      <c r="AP2" s="214">
        <v>45778</v>
      </c>
      <c r="AQ2" s="215">
        <v>45778</v>
      </c>
      <c r="AR2" s="214">
        <v>45809</v>
      </c>
      <c r="AS2" s="215">
        <v>45809</v>
      </c>
      <c r="AT2" s="214">
        <v>45839</v>
      </c>
      <c r="AU2" s="215">
        <v>45839</v>
      </c>
      <c r="AV2" s="214">
        <v>45870</v>
      </c>
      <c r="AW2" s="215">
        <v>45870</v>
      </c>
      <c r="AX2" s="214">
        <v>45901</v>
      </c>
      <c r="AY2" s="215">
        <v>45901</v>
      </c>
    </row>
    <row r="3" spans="1:51" s="23" customFormat="1">
      <c r="A3" s="104"/>
      <c r="B3" s="212" t="s">
        <v>2</v>
      </c>
      <c r="C3" s="212" t="s">
        <v>147</v>
      </c>
      <c r="D3" s="216" t="s">
        <v>143</v>
      </c>
      <c r="E3" s="217" t="s">
        <v>144</v>
      </c>
      <c r="F3" s="216" t="s">
        <v>143</v>
      </c>
      <c r="G3" s="217" t="s">
        <v>144</v>
      </c>
      <c r="H3" s="216" t="s">
        <v>143</v>
      </c>
      <c r="I3" s="217" t="s">
        <v>144</v>
      </c>
      <c r="J3" s="216" t="s">
        <v>143</v>
      </c>
      <c r="K3" s="217" t="s">
        <v>144</v>
      </c>
      <c r="L3" s="216" t="s">
        <v>143</v>
      </c>
      <c r="M3" s="217" t="s">
        <v>144</v>
      </c>
      <c r="N3" s="216" t="s">
        <v>143</v>
      </c>
      <c r="O3" s="217" t="s">
        <v>144</v>
      </c>
      <c r="P3" s="216" t="s">
        <v>143</v>
      </c>
      <c r="Q3" s="217" t="s">
        <v>144</v>
      </c>
      <c r="R3" s="216" t="s">
        <v>143</v>
      </c>
      <c r="S3" s="217" t="s">
        <v>144</v>
      </c>
      <c r="T3" s="216" t="s">
        <v>143</v>
      </c>
      <c r="U3" s="217" t="s">
        <v>144</v>
      </c>
      <c r="V3" s="216" t="s">
        <v>143</v>
      </c>
      <c r="W3" s="217" t="s">
        <v>144</v>
      </c>
      <c r="X3" s="216" t="s">
        <v>143</v>
      </c>
      <c r="Y3" s="217" t="s">
        <v>144</v>
      </c>
      <c r="Z3" s="216" t="s">
        <v>143</v>
      </c>
      <c r="AA3" s="217" t="s">
        <v>144</v>
      </c>
      <c r="AB3" s="216" t="s">
        <v>143</v>
      </c>
      <c r="AC3" s="217" t="s">
        <v>144</v>
      </c>
      <c r="AD3" s="216" t="s">
        <v>143</v>
      </c>
      <c r="AE3" s="217" t="s">
        <v>144</v>
      </c>
      <c r="AF3" s="216" t="s">
        <v>143</v>
      </c>
      <c r="AG3" s="217" t="s">
        <v>144</v>
      </c>
      <c r="AH3" s="216" t="s">
        <v>143</v>
      </c>
      <c r="AI3" s="217" t="s">
        <v>144</v>
      </c>
      <c r="AJ3" s="216" t="s">
        <v>143</v>
      </c>
      <c r="AK3" s="217" t="s">
        <v>144</v>
      </c>
      <c r="AL3" s="216" t="s">
        <v>143</v>
      </c>
      <c r="AM3" s="217" t="s">
        <v>144</v>
      </c>
      <c r="AN3" s="216" t="s">
        <v>143</v>
      </c>
      <c r="AO3" s="217" t="s">
        <v>144</v>
      </c>
      <c r="AP3" s="216" t="s">
        <v>143</v>
      </c>
      <c r="AQ3" s="217" t="s">
        <v>144</v>
      </c>
      <c r="AR3" s="216" t="s">
        <v>143</v>
      </c>
      <c r="AS3" s="217" t="s">
        <v>144</v>
      </c>
      <c r="AT3" s="216" t="s">
        <v>143</v>
      </c>
      <c r="AU3" s="217" t="s">
        <v>144</v>
      </c>
      <c r="AV3" s="216" t="s">
        <v>143</v>
      </c>
      <c r="AW3" s="217" t="s">
        <v>144</v>
      </c>
      <c r="AX3" s="216" t="s">
        <v>143</v>
      </c>
      <c r="AY3" s="217" t="s">
        <v>144</v>
      </c>
    </row>
    <row r="4" spans="1:51" s="23" customFormat="1">
      <c r="A4" s="104"/>
      <c r="B4" s="211">
        <v>10005</v>
      </c>
      <c r="C4" s="211" t="s">
        <v>7</v>
      </c>
      <c r="D4" s="213">
        <v>77.639423076922952</v>
      </c>
      <c r="E4" s="242">
        <v>0</v>
      </c>
      <c r="F4" s="242">
        <v>84.680000000000035</v>
      </c>
      <c r="G4" s="242">
        <v>0</v>
      </c>
      <c r="H4" s="242">
        <v>37.967500000000101</v>
      </c>
      <c r="I4" s="242">
        <v>0</v>
      </c>
      <c r="J4" s="242">
        <v>127.2788461538461</v>
      </c>
      <c r="K4" s="242">
        <v>0</v>
      </c>
      <c r="L4" s="242">
        <v>99.960000000000051</v>
      </c>
      <c r="M4" s="242">
        <v>0</v>
      </c>
      <c r="N4" s="242">
        <v>187.61298076923083</v>
      </c>
      <c r="O4" s="242">
        <v>0</v>
      </c>
      <c r="P4" s="242">
        <v>46.603365384615344</v>
      </c>
      <c r="Q4" s="242">
        <v>0</v>
      </c>
      <c r="R4" s="242">
        <v>90.358173076923066</v>
      </c>
      <c r="S4" s="242">
        <v>0</v>
      </c>
      <c r="T4" s="242">
        <v>137.28250000000008</v>
      </c>
      <c r="U4" s="242">
        <v>0</v>
      </c>
      <c r="V4" s="242">
        <v>99.355769230769241</v>
      </c>
      <c r="W4" s="242">
        <v>0</v>
      </c>
      <c r="X4" s="242">
        <v>143.94675925925927</v>
      </c>
      <c r="Y4" s="242">
        <v>0</v>
      </c>
      <c r="Z4" s="242">
        <v>114.42187499999996</v>
      </c>
      <c r="AA4" s="242">
        <v>0</v>
      </c>
      <c r="AB4" s="242">
        <v>79.0833333333334</v>
      </c>
      <c r="AC4" s="242">
        <v>0</v>
      </c>
      <c r="AD4" s="242">
        <v>88.725000000000108</v>
      </c>
      <c r="AE4" s="242">
        <v>0</v>
      </c>
      <c r="AF4" s="242">
        <v>41.532499999999914</v>
      </c>
      <c r="AG4" s="242">
        <v>0</v>
      </c>
      <c r="AH4" s="242">
        <v>130.09855769230771</v>
      </c>
      <c r="AI4" s="242">
        <v>0</v>
      </c>
      <c r="AJ4" s="242">
        <v>181.24999999999991</v>
      </c>
      <c r="AK4" s="242">
        <v>0</v>
      </c>
      <c r="AL4" s="242">
        <v>189.00240384615387</v>
      </c>
      <c r="AM4" s="242">
        <v>0</v>
      </c>
      <c r="AN4" s="242">
        <v>48.108173076923222</v>
      </c>
      <c r="AO4" s="242">
        <v>0</v>
      </c>
      <c r="AP4" s="242">
        <v>91.125000000000014</v>
      </c>
      <c r="AQ4" s="242">
        <v>0</v>
      </c>
      <c r="AR4" s="242">
        <v>137.28250000000008</v>
      </c>
      <c r="AS4" s="242">
        <v>0</v>
      </c>
      <c r="AT4" s="242">
        <v>99.355769230769241</v>
      </c>
      <c r="AU4" s="242">
        <v>0</v>
      </c>
      <c r="AV4" s="242">
        <v>145.68269230769226</v>
      </c>
      <c r="AW4" s="242">
        <v>0</v>
      </c>
      <c r="AX4" s="242">
        <v>111.8924999999999</v>
      </c>
      <c r="AY4" s="242">
        <v>0</v>
      </c>
    </row>
    <row r="5" spans="1:51">
      <c r="A5" s="104"/>
      <c r="B5" s="211">
        <v>10015</v>
      </c>
      <c r="C5" s="211" t="s">
        <v>8</v>
      </c>
      <c r="D5" s="242">
        <v>242.92067307692301</v>
      </c>
      <c r="E5" s="242">
        <v>0</v>
      </c>
      <c r="F5" s="242">
        <v>0</v>
      </c>
      <c r="G5" s="242">
        <v>0</v>
      </c>
      <c r="H5" s="242">
        <v>0</v>
      </c>
      <c r="I5" s="242">
        <v>0</v>
      </c>
      <c r="J5" s="242">
        <v>102.24519230769225</v>
      </c>
      <c r="K5" s="242">
        <v>0</v>
      </c>
      <c r="L5" s="242">
        <v>181.86249999999993</v>
      </c>
      <c r="M5" s="242">
        <v>0</v>
      </c>
      <c r="N5" s="242">
        <v>164.55048076923075</v>
      </c>
      <c r="O5" s="242">
        <v>0</v>
      </c>
      <c r="P5" s="242">
        <v>509.63701923076911</v>
      </c>
      <c r="Q5" s="242">
        <v>0</v>
      </c>
      <c r="R5" s="242">
        <v>430.08413461538476</v>
      </c>
      <c r="S5" s="242">
        <v>0</v>
      </c>
      <c r="T5" s="242">
        <v>395.65499999999986</v>
      </c>
      <c r="U5" s="242">
        <v>0</v>
      </c>
      <c r="V5" s="242">
        <v>591.50961538461536</v>
      </c>
      <c r="W5" s="242">
        <v>0</v>
      </c>
      <c r="X5" s="242">
        <v>318.54629629629636</v>
      </c>
      <c r="Y5" s="242">
        <v>0</v>
      </c>
      <c r="Z5" s="242">
        <v>440.96875000000011</v>
      </c>
      <c r="AA5" s="242">
        <v>0</v>
      </c>
      <c r="AB5" s="242">
        <v>256.59027777777789</v>
      </c>
      <c r="AC5" s="242">
        <v>0</v>
      </c>
      <c r="AD5" s="242">
        <v>0</v>
      </c>
      <c r="AE5" s="242">
        <v>0</v>
      </c>
      <c r="AF5" s="242">
        <v>0</v>
      </c>
      <c r="AG5" s="242">
        <v>0</v>
      </c>
      <c r="AH5" s="242">
        <v>102.24519230769225</v>
      </c>
      <c r="AI5" s="242">
        <v>0</v>
      </c>
      <c r="AJ5" s="242">
        <v>180.67968749999997</v>
      </c>
      <c r="AK5" s="242">
        <v>0</v>
      </c>
      <c r="AL5" s="242">
        <v>164.55048076923075</v>
      </c>
      <c r="AM5" s="242">
        <v>0</v>
      </c>
      <c r="AN5" s="242">
        <v>509.63701923076911</v>
      </c>
      <c r="AO5" s="242">
        <v>0</v>
      </c>
      <c r="AP5" s="242">
        <v>430.08413461538476</v>
      </c>
      <c r="AQ5" s="242">
        <v>0</v>
      </c>
      <c r="AR5" s="242">
        <v>395.65499999999986</v>
      </c>
      <c r="AS5" s="242">
        <v>0</v>
      </c>
      <c r="AT5" s="242">
        <v>591.50961538461536</v>
      </c>
      <c r="AU5" s="242">
        <v>0</v>
      </c>
      <c r="AV5" s="242">
        <v>273.10576923076923</v>
      </c>
      <c r="AW5" s="242">
        <v>0</v>
      </c>
      <c r="AX5" s="242">
        <v>470.45000000000005</v>
      </c>
      <c r="AY5" s="242">
        <v>0</v>
      </c>
    </row>
    <row r="6" spans="1:51">
      <c r="A6" s="104"/>
      <c r="B6" s="211">
        <v>10024</v>
      </c>
      <c r="C6" s="211" t="s">
        <v>9</v>
      </c>
      <c r="D6" s="242">
        <v>11437.810096153868</v>
      </c>
      <c r="E6" s="242">
        <v>0</v>
      </c>
      <c r="F6" s="242">
        <v>21388.077499999996</v>
      </c>
      <c r="G6" s="242">
        <v>0</v>
      </c>
      <c r="H6" s="242">
        <v>25811.647499999999</v>
      </c>
      <c r="I6" s="242">
        <v>0</v>
      </c>
      <c r="J6" s="242">
        <v>32981.360576923078</v>
      </c>
      <c r="K6" s="242">
        <v>0</v>
      </c>
      <c r="L6" s="242">
        <v>8598.2425000000258</v>
      </c>
      <c r="M6" s="242">
        <v>0</v>
      </c>
      <c r="N6" s="242">
        <v>21203.072115384621</v>
      </c>
      <c r="O6" s="242">
        <v>0</v>
      </c>
      <c r="P6" s="242">
        <v>53656.271634615368</v>
      </c>
      <c r="Q6" s="242">
        <v>0</v>
      </c>
      <c r="R6" s="242">
        <v>0</v>
      </c>
      <c r="S6" s="242">
        <v>0</v>
      </c>
      <c r="T6" s="242">
        <v>36187.577500000007</v>
      </c>
      <c r="U6" s="242">
        <v>0</v>
      </c>
      <c r="V6" s="242">
        <v>59785.012019230795</v>
      </c>
      <c r="W6" s="242">
        <v>0</v>
      </c>
      <c r="X6" s="242">
        <v>64714.777777777752</v>
      </c>
      <c r="Y6" s="242">
        <v>0</v>
      </c>
      <c r="Z6" s="242">
        <v>1461.8515625000086</v>
      </c>
      <c r="AA6" s="242">
        <v>0</v>
      </c>
      <c r="AB6" s="242">
        <v>18093.884259259255</v>
      </c>
      <c r="AC6" s="242">
        <v>0</v>
      </c>
      <c r="AD6" s="242">
        <v>21565.58249999999</v>
      </c>
      <c r="AE6" s="242">
        <v>0</v>
      </c>
      <c r="AF6" s="242">
        <v>26813.229999999981</v>
      </c>
      <c r="AG6" s="242">
        <v>0</v>
      </c>
      <c r="AH6" s="242">
        <v>33800.737980769227</v>
      </c>
      <c r="AI6" s="242">
        <v>0</v>
      </c>
      <c r="AJ6" s="242">
        <v>1944.9739583333496</v>
      </c>
      <c r="AK6" s="242">
        <v>0</v>
      </c>
      <c r="AL6" s="242">
        <v>21345.596153846167</v>
      </c>
      <c r="AM6" s="242">
        <v>0</v>
      </c>
      <c r="AN6" s="242">
        <v>53777.956730769205</v>
      </c>
      <c r="AO6" s="242">
        <v>0</v>
      </c>
      <c r="AP6" s="242">
        <v>0</v>
      </c>
      <c r="AQ6" s="242">
        <v>0</v>
      </c>
      <c r="AR6" s="242">
        <v>36649.692500000041</v>
      </c>
      <c r="AS6" s="242">
        <v>0</v>
      </c>
      <c r="AT6" s="242">
        <v>60304.406249999993</v>
      </c>
      <c r="AU6" s="242">
        <v>0</v>
      </c>
      <c r="AV6" s="242">
        <v>54611.497596153837</v>
      </c>
      <c r="AW6" s="242">
        <v>0</v>
      </c>
      <c r="AX6" s="242">
        <v>9675.9150000000245</v>
      </c>
      <c r="AY6" s="242">
        <v>0</v>
      </c>
    </row>
    <row r="7" spans="1:51">
      <c r="A7" s="104"/>
      <c r="B7" s="211">
        <v>10025</v>
      </c>
      <c r="C7" s="211" t="s">
        <v>10</v>
      </c>
      <c r="D7" s="242">
        <v>0</v>
      </c>
      <c r="E7" s="242">
        <v>0</v>
      </c>
      <c r="F7" s="242">
        <v>370.71500000000765</v>
      </c>
      <c r="G7" s="242">
        <v>0</v>
      </c>
      <c r="H7" s="242">
        <v>15840.737500000001</v>
      </c>
      <c r="I7" s="242">
        <v>0</v>
      </c>
      <c r="J7" s="242">
        <v>9724.2115384615317</v>
      </c>
      <c r="K7" s="242">
        <v>0</v>
      </c>
      <c r="L7" s="242">
        <v>2268.5700000000038</v>
      </c>
      <c r="M7" s="242">
        <v>0</v>
      </c>
      <c r="N7" s="242">
        <v>1409.7115384615329</v>
      </c>
      <c r="O7" s="242">
        <v>0</v>
      </c>
      <c r="P7" s="242">
        <v>0</v>
      </c>
      <c r="Q7" s="242">
        <v>0</v>
      </c>
      <c r="R7" s="242">
        <v>3725.1634615384505</v>
      </c>
      <c r="S7" s="242">
        <v>0</v>
      </c>
      <c r="T7" s="242">
        <v>6050.8225000000002</v>
      </c>
      <c r="U7" s="242">
        <v>0</v>
      </c>
      <c r="V7" s="242">
        <v>17767.295673076937</v>
      </c>
      <c r="W7" s="242">
        <v>0</v>
      </c>
      <c r="X7" s="242">
        <v>18338.532407407398</v>
      </c>
      <c r="Y7" s="242">
        <v>0</v>
      </c>
      <c r="Z7" s="242">
        <v>5213.0572916666633</v>
      </c>
      <c r="AA7" s="242">
        <v>0</v>
      </c>
      <c r="AB7" s="242">
        <v>1842.3287037036998</v>
      </c>
      <c r="AC7" s="242">
        <v>0</v>
      </c>
      <c r="AD7" s="242">
        <v>195.69000000000258</v>
      </c>
      <c r="AE7" s="242">
        <v>0</v>
      </c>
      <c r="AF7" s="242">
        <v>15931.054999999998</v>
      </c>
      <c r="AG7" s="242">
        <v>0</v>
      </c>
      <c r="AH7" s="242">
        <v>9992.2548076923049</v>
      </c>
      <c r="AI7" s="242">
        <v>0</v>
      </c>
      <c r="AJ7" s="242">
        <v>137.7786458333361</v>
      </c>
      <c r="AK7" s="242">
        <v>0</v>
      </c>
      <c r="AL7" s="242">
        <v>1389.1610576923092</v>
      </c>
      <c r="AM7" s="242">
        <v>0</v>
      </c>
      <c r="AN7" s="242">
        <v>0</v>
      </c>
      <c r="AO7" s="242">
        <v>0</v>
      </c>
      <c r="AP7" s="242">
        <v>3632.5913461538375</v>
      </c>
      <c r="AQ7" s="242">
        <v>0</v>
      </c>
      <c r="AR7" s="242">
        <v>5941.3000000000038</v>
      </c>
      <c r="AS7" s="242">
        <v>0</v>
      </c>
      <c r="AT7" s="242">
        <v>17703.067307692301</v>
      </c>
      <c r="AU7" s="242">
        <v>0</v>
      </c>
      <c r="AV7" s="242">
        <v>15054.600961538468</v>
      </c>
      <c r="AW7" s="242">
        <v>0</v>
      </c>
      <c r="AX7" s="242">
        <v>8050.0049999999901</v>
      </c>
      <c r="AY7" s="242">
        <v>0</v>
      </c>
    </row>
    <row r="8" spans="1:51">
      <c r="A8" s="104"/>
      <c r="B8" s="211">
        <v>10027</v>
      </c>
      <c r="C8" s="211" t="s">
        <v>11</v>
      </c>
      <c r="D8" s="242">
        <v>11454.822115384608</v>
      </c>
      <c r="E8" s="242">
        <v>0</v>
      </c>
      <c r="F8" s="242">
        <v>5364.2349999999969</v>
      </c>
      <c r="G8" s="242">
        <v>0</v>
      </c>
      <c r="H8" s="242">
        <v>8502.7975000000042</v>
      </c>
      <c r="I8" s="242">
        <v>0</v>
      </c>
      <c r="J8" s="242">
        <v>6034.5673076923094</v>
      </c>
      <c r="K8" s="242">
        <v>0</v>
      </c>
      <c r="L8" s="242">
        <v>3110.4924999999994</v>
      </c>
      <c r="M8" s="242">
        <v>0</v>
      </c>
      <c r="N8" s="242">
        <v>7578.3317307692287</v>
      </c>
      <c r="O8" s="242">
        <v>0</v>
      </c>
      <c r="P8" s="242">
        <v>27858.218750000011</v>
      </c>
      <c r="Q8" s="242">
        <v>0</v>
      </c>
      <c r="R8" s="242">
        <v>12464.814903846154</v>
      </c>
      <c r="S8" s="242">
        <v>0</v>
      </c>
      <c r="T8" s="242">
        <v>2043.3449999999916</v>
      </c>
      <c r="U8" s="242">
        <v>0</v>
      </c>
      <c r="V8" s="242">
        <v>14855.682692307702</v>
      </c>
      <c r="W8" s="242">
        <v>0</v>
      </c>
      <c r="X8" s="242">
        <v>23605.553240740745</v>
      </c>
      <c r="Y8" s="242">
        <v>0</v>
      </c>
      <c r="Z8" s="242">
        <v>10246.382812499985</v>
      </c>
      <c r="AA8" s="242">
        <v>0</v>
      </c>
      <c r="AB8" s="242">
        <v>14094.749999999998</v>
      </c>
      <c r="AC8" s="242">
        <v>0</v>
      </c>
      <c r="AD8" s="242">
        <v>5828.1675000000032</v>
      </c>
      <c r="AE8" s="242">
        <v>0</v>
      </c>
      <c r="AF8" s="242">
        <v>8967.08</v>
      </c>
      <c r="AG8" s="242">
        <v>0</v>
      </c>
      <c r="AH8" s="242">
        <v>6511.043269230765</v>
      </c>
      <c r="AI8" s="242">
        <v>0</v>
      </c>
      <c r="AJ8" s="242">
        <v>2849.4895833333303</v>
      </c>
      <c r="AK8" s="242">
        <v>0</v>
      </c>
      <c r="AL8" s="242">
        <v>8041.8774038461579</v>
      </c>
      <c r="AM8" s="242">
        <v>0</v>
      </c>
      <c r="AN8" s="242">
        <v>28321.004807692294</v>
      </c>
      <c r="AO8" s="242">
        <v>0</v>
      </c>
      <c r="AP8" s="242">
        <v>12944.459134615392</v>
      </c>
      <c r="AQ8" s="242">
        <v>0</v>
      </c>
      <c r="AR8" s="242">
        <v>2497.8675000000158</v>
      </c>
      <c r="AS8" s="242">
        <v>0</v>
      </c>
      <c r="AT8" s="242">
        <v>15334.915865384623</v>
      </c>
      <c r="AU8" s="242">
        <v>0</v>
      </c>
      <c r="AV8" s="242">
        <v>20070.466346153862</v>
      </c>
      <c r="AW8" s="242">
        <v>0</v>
      </c>
      <c r="AX8" s="242">
        <v>14157.804999999995</v>
      </c>
      <c r="AY8" s="242">
        <v>0</v>
      </c>
    </row>
    <row r="9" spans="1:51">
      <c r="A9" s="104"/>
      <c r="B9" s="211">
        <v>10029</v>
      </c>
      <c r="C9" s="211" t="s">
        <v>12</v>
      </c>
      <c r="D9" s="242">
        <v>0</v>
      </c>
      <c r="E9" s="242">
        <v>0</v>
      </c>
      <c r="F9" s="242">
        <v>0</v>
      </c>
      <c r="G9" s="242">
        <v>0</v>
      </c>
      <c r="H9" s="242">
        <v>0</v>
      </c>
      <c r="I9" s="242">
        <v>0</v>
      </c>
      <c r="J9" s="242">
        <v>0</v>
      </c>
      <c r="K9" s="242">
        <v>0</v>
      </c>
      <c r="L9" s="242">
        <v>0</v>
      </c>
      <c r="M9" s="242">
        <v>0</v>
      </c>
      <c r="N9" s="242">
        <v>0</v>
      </c>
      <c r="O9" s="242">
        <v>0</v>
      </c>
      <c r="P9" s="242">
        <v>0</v>
      </c>
      <c r="Q9" s="242">
        <v>0</v>
      </c>
      <c r="R9" s="242">
        <v>0</v>
      </c>
      <c r="S9" s="242">
        <v>0</v>
      </c>
      <c r="T9" s="242">
        <v>0</v>
      </c>
      <c r="U9" s="242">
        <v>0</v>
      </c>
      <c r="V9" s="242">
        <v>0</v>
      </c>
      <c r="W9" s="242">
        <v>0</v>
      </c>
      <c r="X9" s="242">
        <v>0</v>
      </c>
      <c r="Y9" s="242">
        <v>0</v>
      </c>
      <c r="Z9" s="242">
        <v>0</v>
      </c>
      <c r="AA9" s="242">
        <v>0</v>
      </c>
      <c r="AB9" s="242">
        <v>0</v>
      </c>
      <c r="AC9" s="242">
        <v>0</v>
      </c>
      <c r="AD9" s="242">
        <v>0</v>
      </c>
      <c r="AE9" s="242">
        <v>0</v>
      </c>
      <c r="AF9" s="242">
        <v>0</v>
      </c>
      <c r="AG9" s="242">
        <v>0</v>
      </c>
      <c r="AH9" s="242">
        <v>0</v>
      </c>
      <c r="AI9" s="242">
        <v>0</v>
      </c>
      <c r="AJ9" s="242">
        <v>0</v>
      </c>
      <c r="AK9" s="242">
        <v>0</v>
      </c>
      <c r="AL9" s="242">
        <v>0</v>
      </c>
      <c r="AM9" s="242">
        <v>0</v>
      </c>
      <c r="AN9" s="242">
        <v>0</v>
      </c>
      <c r="AO9" s="242">
        <v>0</v>
      </c>
      <c r="AP9" s="242">
        <v>0</v>
      </c>
      <c r="AQ9" s="242">
        <v>0</v>
      </c>
      <c r="AR9" s="242">
        <v>0</v>
      </c>
      <c r="AS9" s="242">
        <v>0</v>
      </c>
      <c r="AT9" s="242">
        <v>0</v>
      </c>
      <c r="AU9" s="242">
        <v>0</v>
      </c>
      <c r="AV9" s="242">
        <v>0</v>
      </c>
      <c r="AW9" s="242">
        <v>0</v>
      </c>
      <c r="AX9" s="242">
        <v>0</v>
      </c>
      <c r="AY9" s="242">
        <v>0</v>
      </c>
    </row>
    <row r="10" spans="1:51">
      <c r="A10" s="104"/>
      <c r="B10" s="211">
        <v>10044</v>
      </c>
      <c r="C10" s="211" t="s">
        <v>13</v>
      </c>
      <c r="D10" s="242">
        <v>0</v>
      </c>
      <c r="E10" s="242">
        <v>0</v>
      </c>
      <c r="F10" s="242">
        <v>1082.9525000000056</v>
      </c>
      <c r="G10" s="242">
        <v>0</v>
      </c>
      <c r="H10" s="242">
        <v>1326.0450000000033</v>
      </c>
      <c r="I10" s="242">
        <v>0</v>
      </c>
      <c r="J10" s="242">
        <v>0</v>
      </c>
      <c r="K10" s="242">
        <v>0</v>
      </c>
      <c r="L10" s="242">
        <v>3897.2074999999959</v>
      </c>
      <c r="M10" s="242">
        <v>0</v>
      </c>
      <c r="N10" s="242">
        <v>1716.8437500000043</v>
      </c>
      <c r="O10" s="242">
        <v>0</v>
      </c>
      <c r="P10" s="242">
        <v>0</v>
      </c>
      <c r="Q10" s="242">
        <v>0</v>
      </c>
      <c r="R10" s="242">
        <v>1741.7788461538496</v>
      </c>
      <c r="S10" s="242">
        <v>0</v>
      </c>
      <c r="T10" s="242">
        <v>5104.484999999996</v>
      </c>
      <c r="U10" s="242">
        <v>0</v>
      </c>
      <c r="V10" s="242">
        <v>2852.5480769230749</v>
      </c>
      <c r="W10" s="242">
        <v>0</v>
      </c>
      <c r="X10" s="242">
        <v>5528.9074074074088</v>
      </c>
      <c r="Y10" s="242">
        <v>0</v>
      </c>
      <c r="Z10" s="242">
        <v>5145.1432291666679</v>
      </c>
      <c r="AA10" s="242">
        <v>0</v>
      </c>
      <c r="AB10" s="242">
        <v>0</v>
      </c>
      <c r="AC10" s="242">
        <v>0</v>
      </c>
      <c r="AD10" s="242">
        <v>984.07</v>
      </c>
      <c r="AE10" s="242">
        <v>0</v>
      </c>
      <c r="AF10" s="242">
        <v>1185.4350000000045</v>
      </c>
      <c r="AG10" s="242">
        <v>0</v>
      </c>
      <c r="AH10" s="242">
        <v>0</v>
      </c>
      <c r="AI10" s="242">
        <v>0</v>
      </c>
      <c r="AJ10" s="242">
        <v>3756.1145833333312</v>
      </c>
      <c r="AK10" s="242">
        <v>0</v>
      </c>
      <c r="AL10" s="242">
        <v>1599.3822115384635</v>
      </c>
      <c r="AM10" s="242">
        <v>0</v>
      </c>
      <c r="AN10" s="242">
        <v>0</v>
      </c>
      <c r="AO10" s="242">
        <v>0</v>
      </c>
      <c r="AP10" s="242">
        <v>1637.5961538461543</v>
      </c>
      <c r="AQ10" s="242">
        <v>0</v>
      </c>
      <c r="AR10" s="242">
        <v>5066.9399999999941</v>
      </c>
      <c r="AS10" s="242">
        <v>0</v>
      </c>
      <c r="AT10" s="242">
        <v>2804.6658653846207</v>
      </c>
      <c r="AU10" s="242">
        <v>0</v>
      </c>
      <c r="AV10" s="242">
        <v>5314.0528846153811</v>
      </c>
      <c r="AW10" s="242">
        <v>0</v>
      </c>
      <c r="AX10" s="242">
        <v>5290.4550000000027</v>
      </c>
      <c r="AY10" s="242">
        <v>0</v>
      </c>
    </row>
    <row r="11" spans="1:51">
      <c r="A11" s="104"/>
      <c r="B11" s="211">
        <v>10046</v>
      </c>
      <c r="C11" s="211" t="s">
        <v>14</v>
      </c>
      <c r="D11" s="242">
        <v>0</v>
      </c>
      <c r="E11" s="242">
        <v>0</v>
      </c>
      <c r="F11" s="242">
        <v>0</v>
      </c>
      <c r="G11" s="242">
        <v>0</v>
      </c>
      <c r="H11" s="242">
        <v>0</v>
      </c>
      <c r="I11" s="242">
        <v>0</v>
      </c>
      <c r="J11" s="242">
        <v>0</v>
      </c>
      <c r="K11" s="242">
        <v>0</v>
      </c>
      <c r="L11" s="242">
        <v>0</v>
      </c>
      <c r="M11" s="242">
        <v>0</v>
      </c>
      <c r="N11" s="242">
        <v>0</v>
      </c>
      <c r="O11" s="242">
        <v>0</v>
      </c>
      <c r="P11" s="242">
        <v>0</v>
      </c>
      <c r="Q11" s="242">
        <v>0</v>
      </c>
      <c r="R11" s="242">
        <v>0</v>
      </c>
      <c r="S11" s="242">
        <v>0</v>
      </c>
      <c r="T11" s="242">
        <v>0</v>
      </c>
      <c r="U11" s="242">
        <v>0</v>
      </c>
      <c r="V11" s="242">
        <v>0</v>
      </c>
      <c r="W11" s="242">
        <v>0</v>
      </c>
      <c r="X11" s="242">
        <v>0</v>
      </c>
      <c r="Y11" s="242">
        <v>0</v>
      </c>
      <c r="Z11" s="242">
        <v>0</v>
      </c>
      <c r="AA11" s="242">
        <v>0</v>
      </c>
      <c r="AB11" s="242">
        <v>0</v>
      </c>
      <c r="AC11" s="242">
        <v>0</v>
      </c>
      <c r="AD11" s="242">
        <v>0</v>
      </c>
      <c r="AE11" s="242">
        <v>0</v>
      </c>
      <c r="AF11" s="242">
        <v>0</v>
      </c>
      <c r="AG11" s="242">
        <v>0</v>
      </c>
      <c r="AH11" s="242">
        <v>0</v>
      </c>
      <c r="AI11" s="242">
        <v>0</v>
      </c>
      <c r="AJ11" s="242">
        <v>0</v>
      </c>
      <c r="AK11" s="242">
        <v>0</v>
      </c>
      <c r="AL11" s="242">
        <v>0</v>
      </c>
      <c r="AM11" s="242">
        <v>0</v>
      </c>
      <c r="AN11" s="242">
        <v>0</v>
      </c>
      <c r="AO11" s="242">
        <v>0</v>
      </c>
      <c r="AP11" s="242">
        <v>0</v>
      </c>
      <c r="AQ11" s="242">
        <v>0</v>
      </c>
      <c r="AR11" s="242">
        <v>0</v>
      </c>
      <c r="AS11" s="242">
        <v>0</v>
      </c>
      <c r="AT11" s="242">
        <v>0</v>
      </c>
      <c r="AU11" s="242">
        <v>0</v>
      </c>
      <c r="AV11" s="242">
        <v>0</v>
      </c>
      <c r="AW11" s="242">
        <v>0</v>
      </c>
      <c r="AX11" s="242">
        <v>0</v>
      </c>
      <c r="AY11" s="242">
        <v>0</v>
      </c>
    </row>
    <row r="12" spans="1:51">
      <c r="A12" s="104"/>
      <c r="B12" s="211">
        <v>10047</v>
      </c>
      <c r="C12" s="211" t="s">
        <v>15</v>
      </c>
      <c r="D12" s="242">
        <v>0</v>
      </c>
      <c r="E12" s="242">
        <v>0</v>
      </c>
      <c r="F12" s="242">
        <v>7846.1125000000247</v>
      </c>
      <c r="G12" s="242">
        <v>0</v>
      </c>
      <c r="H12" s="242">
        <v>11487.422500000008</v>
      </c>
      <c r="I12" s="242">
        <v>0</v>
      </c>
      <c r="J12" s="242">
        <v>6157.7740384615108</v>
      </c>
      <c r="K12" s="242">
        <v>0</v>
      </c>
      <c r="L12" s="242">
        <v>13891.902499999986</v>
      </c>
      <c r="M12" s="242">
        <v>0</v>
      </c>
      <c r="N12" s="242">
        <v>23315.769230769205</v>
      </c>
      <c r="O12" s="242">
        <v>0</v>
      </c>
      <c r="P12" s="242">
        <v>22165.302884615379</v>
      </c>
      <c r="Q12" s="242">
        <v>0</v>
      </c>
      <c r="R12" s="242">
        <v>10513.367788461541</v>
      </c>
      <c r="S12" s="242">
        <v>0</v>
      </c>
      <c r="T12" s="242">
        <v>13303.534999999989</v>
      </c>
      <c r="U12" s="242">
        <v>0</v>
      </c>
      <c r="V12" s="242">
        <v>3031.7524038461484</v>
      </c>
      <c r="W12" s="242">
        <v>0</v>
      </c>
      <c r="X12" s="242">
        <v>8547.1550925925894</v>
      </c>
      <c r="Y12" s="242">
        <v>0</v>
      </c>
      <c r="Z12" s="242">
        <v>7560.6848958333085</v>
      </c>
      <c r="AA12" s="242">
        <v>0</v>
      </c>
      <c r="AB12" s="242">
        <v>0</v>
      </c>
      <c r="AC12" s="242">
        <v>0</v>
      </c>
      <c r="AD12" s="242">
        <v>7638.4575000000086</v>
      </c>
      <c r="AE12" s="242">
        <v>0</v>
      </c>
      <c r="AF12" s="242">
        <v>11240.137500000003</v>
      </c>
      <c r="AG12" s="242">
        <v>0</v>
      </c>
      <c r="AH12" s="242">
        <v>5923.1538461538239</v>
      </c>
      <c r="AI12" s="242">
        <v>0</v>
      </c>
      <c r="AJ12" s="242">
        <v>13630.731770833336</v>
      </c>
      <c r="AK12" s="242">
        <v>0</v>
      </c>
      <c r="AL12" s="242">
        <v>23099.028846153858</v>
      </c>
      <c r="AM12" s="242">
        <v>0</v>
      </c>
      <c r="AN12" s="242">
        <v>21962.853365384595</v>
      </c>
      <c r="AO12" s="242">
        <v>0</v>
      </c>
      <c r="AP12" s="242">
        <v>10341.314903846143</v>
      </c>
      <c r="AQ12" s="242">
        <v>0</v>
      </c>
      <c r="AR12" s="242">
        <v>13133.262499999979</v>
      </c>
      <c r="AS12" s="242">
        <v>0</v>
      </c>
      <c r="AT12" s="242">
        <v>2856.7692307692241</v>
      </c>
      <c r="AU12" s="242">
        <v>0</v>
      </c>
      <c r="AV12" s="242">
        <v>8260.7379807692214</v>
      </c>
      <c r="AW12" s="242">
        <v>0</v>
      </c>
      <c r="AX12" s="242">
        <v>7493.5299999999961</v>
      </c>
      <c r="AY12" s="242">
        <v>0</v>
      </c>
    </row>
    <row r="13" spans="1:51">
      <c r="A13" s="104"/>
      <c r="B13" s="211">
        <v>10055</v>
      </c>
      <c r="C13" s="211" t="s">
        <v>16</v>
      </c>
      <c r="D13" s="242">
        <v>86.908653846153811</v>
      </c>
      <c r="E13" s="242">
        <v>0</v>
      </c>
      <c r="F13" s="242">
        <v>0</v>
      </c>
      <c r="G13" s="242">
        <v>0</v>
      </c>
      <c r="H13" s="242">
        <v>219.38000000000005</v>
      </c>
      <c r="I13" s="242">
        <v>0</v>
      </c>
      <c r="J13" s="242">
        <v>173.7211538461539</v>
      </c>
      <c r="K13" s="242">
        <v>0</v>
      </c>
      <c r="L13" s="242">
        <v>58.875000000000092</v>
      </c>
      <c r="M13" s="242">
        <v>0</v>
      </c>
      <c r="N13" s="242">
        <v>70.954326923076962</v>
      </c>
      <c r="O13" s="242">
        <v>0</v>
      </c>
      <c r="P13" s="242">
        <v>0</v>
      </c>
      <c r="Q13" s="242">
        <v>0</v>
      </c>
      <c r="R13" s="242">
        <v>0</v>
      </c>
      <c r="S13" s="242">
        <v>0</v>
      </c>
      <c r="T13" s="242">
        <v>0</v>
      </c>
      <c r="U13" s="242">
        <v>0</v>
      </c>
      <c r="V13" s="242">
        <v>26.574519230769194</v>
      </c>
      <c r="W13" s="242">
        <v>0</v>
      </c>
      <c r="X13" s="242">
        <v>37.930555555555578</v>
      </c>
      <c r="Y13" s="242">
        <v>0</v>
      </c>
      <c r="Z13" s="242">
        <v>0</v>
      </c>
      <c r="AA13" s="242">
        <v>0</v>
      </c>
      <c r="AB13" s="242">
        <v>87.030092592592638</v>
      </c>
      <c r="AC13" s="242">
        <v>0</v>
      </c>
      <c r="AD13" s="242">
        <v>0</v>
      </c>
      <c r="AE13" s="242">
        <v>0</v>
      </c>
      <c r="AF13" s="242">
        <v>219.38000000000005</v>
      </c>
      <c r="AG13" s="242">
        <v>0</v>
      </c>
      <c r="AH13" s="242">
        <v>173.7211538461539</v>
      </c>
      <c r="AI13" s="242">
        <v>0</v>
      </c>
      <c r="AJ13" s="242">
        <v>58.791666666666771</v>
      </c>
      <c r="AK13" s="242">
        <v>0</v>
      </c>
      <c r="AL13" s="242">
        <v>70.954326923076962</v>
      </c>
      <c r="AM13" s="242">
        <v>0</v>
      </c>
      <c r="AN13" s="242">
        <v>0</v>
      </c>
      <c r="AO13" s="242">
        <v>0</v>
      </c>
      <c r="AP13" s="242">
        <v>0</v>
      </c>
      <c r="AQ13" s="242">
        <v>0</v>
      </c>
      <c r="AR13" s="242">
        <v>0</v>
      </c>
      <c r="AS13" s="242">
        <v>0</v>
      </c>
      <c r="AT13" s="242">
        <v>26.574519230769194</v>
      </c>
      <c r="AU13" s="242">
        <v>0</v>
      </c>
      <c r="AV13" s="242">
        <v>36.983173076923059</v>
      </c>
      <c r="AW13" s="242">
        <v>0</v>
      </c>
      <c r="AX13" s="242">
        <v>0</v>
      </c>
      <c r="AY13" s="242">
        <v>0</v>
      </c>
    </row>
    <row r="14" spans="1:51">
      <c r="A14" s="104"/>
      <c r="B14" s="211">
        <v>10057</v>
      </c>
      <c r="C14" s="211" t="s">
        <v>17</v>
      </c>
      <c r="D14" s="242">
        <v>0</v>
      </c>
      <c r="E14" s="242">
        <v>0</v>
      </c>
      <c r="F14" s="242">
        <v>0</v>
      </c>
      <c r="G14" s="242">
        <v>0</v>
      </c>
      <c r="H14" s="242">
        <v>504.45499999999652</v>
      </c>
      <c r="I14" s="242">
        <v>0</v>
      </c>
      <c r="J14" s="242">
        <v>311.67067307692611</v>
      </c>
      <c r="K14" s="242">
        <v>0</v>
      </c>
      <c r="L14" s="242">
        <v>1692.1500000000017</v>
      </c>
      <c r="M14" s="242">
        <v>0</v>
      </c>
      <c r="N14" s="242">
        <v>2177.4519230769256</v>
      </c>
      <c r="O14" s="242">
        <v>0</v>
      </c>
      <c r="P14" s="242">
        <v>1496.2427884615402</v>
      </c>
      <c r="Q14" s="242">
        <v>0</v>
      </c>
      <c r="R14" s="242">
        <v>0</v>
      </c>
      <c r="S14" s="242">
        <v>0</v>
      </c>
      <c r="T14" s="242">
        <v>4394.8175000000037</v>
      </c>
      <c r="U14" s="242">
        <v>0</v>
      </c>
      <c r="V14" s="242">
        <v>1144.7932692307638</v>
      </c>
      <c r="W14" s="242">
        <v>0</v>
      </c>
      <c r="X14" s="242">
        <v>2433.2523148148139</v>
      </c>
      <c r="Y14" s="242">
        <v>0</v>
      </c>
      <c r="Z14" s="242">
        <v>0</v>
      </c>
      <c r="AA14" s="242">
        <v>0</v>
      </c>
      <c r="AB14" s="242">
        <v>0</v>
      </c>
      <c r="AC14" s="242">
        <v>0</v>
      </c>
      <c r="AD14" s="242">
        <v>0</v>
      </c>
      <c r="AE14" s="242">
        <v>0</v>
      </c>
      <c r="AF14" s="242">
        <v>504.45499999999652</v>
      </c>
      <c r="AG14" s="242">
        <v>0</v>
      </c>
      <c r="AH14" s="242">
        <v>311.67067307692611</v>
      </c>
      <c r="AI14" s="242">
        <v>0</v>
      </c>
      <c r="AJ14" s="242">
        <v>1674.1718750000025</v>
      </c>
      <c r="AK14" s="242">
        <v>0</v>
      </c>
      <c r="AL14" s="242">
        <v>2177.4519230769256</v>
      </c>
      <c r="AM14" s="242">
        <v>0</v>
      </c>
      <c r="AN14" s="242">
        <v>1496.2427884615402</v>
      </c>
      <c r="AO14" s="242">
        <v>0</v>
      </c>
      <c r="AP14" s="242">
        <v>0</v>
      </c>
      <c r="AQ14" s="242">
        <v>0</v>
      </c>
      <c r="AR14" s="242">
        <v>4394.8175000000037</v>
      </c>
      <c r="AS14" s="242">
        <v>0</v>
      </c>
      <c r="AT14" s="242">
        <v>1144.7932692307638</v>
      </c>
      <c r="AU14" s="242">
        <v>0</v>
      </c>
      <c r="AV14" s="242">
        <v>2395.7379807692314</v>
      </c>
      <c r="AW14" s="242">
        <v>0</v>
      </c>
      <c r="AX14" s="242">
        <v>0</v>
      </c>
      <c r="AY14" s="242">
        <v>0</v>
      </c>
    </row>
    <row r="15" spans="1:51">
      <c r="A15" s="104"/>
      <c r="B15" s="211">
        <v>10059</v>
      </c>
      <c r="C15" s="211" t="s">
        <v>18</v>
      </c>
      <c r="D15" s="242">
        <v>0</v>
      </c>
      <c r="E15" s="242">
        <v>0</v>
      </c>
      <c r="F15" s="242">
        <v>104.2500000000004</v>
      </c>
      <c r="G15" s="242">
        <v>0</v>
      </c>
      <c r="H15" s="242">
        <v>1590.9625000000003</v>
      </c>
      <c r="I15" s="242">
        <v>0</v>
      </c>
      <c r="J15" s="242">
        <v>2719.6057692307686</v>
      </c>
      <c r="K15" s="242">
        <v>0</v>
      </c>
      <c r="L15" s="242">
        <v>856.36499999999933</v>
      </c>
      <c r="M15" s="242">
        <v>0</v>
      </c>
      <c r="N15" s="242">
        <v>2074.8990384615381</v>
      </c>
      <c r="O15" s="242">
        <v>0</v>
      </c>
      <c r="P15" s="242">
        <v>1154.3437500000011</v>
      </c>
      <c r="Q15" s="242">
        <v>0</v>
      </c>
      <c r="R15" s="242">
        <v>0</v>
      </c>
      <c r="S15" s="242">
        <v>0</v>
      </c>
      <c r="T15" s="242">
        <v>684.73</v>
      </c>
      <c r="U15" s="242">
        <v>0</v>
      </c>
      <c r="V15" s="242">
        <v>438.14182692307668</v>
      </c>
      <c r="W15" s="242">
        <v>0</v>
      </c>
      <c r="X15" s="242">
        <v>487.87037037037038</v>
      </c>
      <c r="Y15" s="242">
        <v>0</v>
      </c>
      <c r="Z15" s="242">
        <v>277.36979166666617</v>
      </c>
      <c r="AA15" s="242">
        <v>0</v>
      </c>
      <c r="AB15" s="242">
        <v>0</v>
      </c>
      <c r="AC15" s="242">
        <v>0</v>
      </c>
      <c r="AD15" s="242">
        <v>104.2500000000004</v>
      </c>
      <c r="AE15" s="242">
        <v>0</v>
      </c>
      <c r="AF15" s="242">
        <v>1590.9625000000003</v>
      </c>
      <c r="AG15" s="242">
        <v>0</v>
      </c>
      <c r="AH15" s="242">
        <v>2719.6057692307686</v>
      </c>
      <c r="AI15" s="242">
        <v>0</v>
      </c>
      <c r="AJ15" s="242">
        <v>859.03645833333451</v>
      </c>
      <c r="AK15" s="242">
        <v>0</v>
      </c>
      <c r="AL15" s="242">
        <v>2074.8990384615381</v>
      </c>
      <c r="AM15" s="242">
        <v>0</v>
      </c>
      <c r="AN15" s="242">
        <v>1154.3437500000011</v>
      </c>
      <c r="AO15" s="242">
        <v>0</v>
      </c>
      <c r="AP15" s="242">
        <v>0</v>
      </c>
      <c r="AQ15" s="242">
        <v>0</v>
      </c>
      <c r="AR15" s="242">
        <v>684.73</v>
      </c>
      <c r="AS15" s="242">
        <v>0</v>
      </c>
      <c r="AT15" s="242">
        <v>438.14182692307668</v>
      </c>
      <c r="AU15" s="242">
        <v>0</v>
      </c>
      <c r="AV15" s="242">
        <v>492.89663461538379</v>
      </c>
      <c r="AW15" s="242">
        <v>0</v>
      </c>
      <c r="AX15" s="242">
        <v>272.98749999999882</v>
      </c>
      <c r="AY15" s="242">
        <v>0</v>
      </c>
    </row>
    <row r="16" spans="1:51">
      <c r="A16" s="104"/>
      <c r="B16" s="211">
        <v>10061</v>
      </c>
      <c r="C16" s="211" t="s">
        <v>19</v>
      </c>
      <c r="D16" s="242">
        <v>638.14663461538407</v>
      </c>
      <c r="E16" s="242">
        <v>0</v>
      </c>
      <c r="F16" s="242">
        <v>912.92249999999967</v>
      </c>
      <c r="G16" s="242">
        <v>0</v>
      </c>
      <c r="H16" s="242">
        <v>1242.5550000000003</v>
      </c>
      <c r="I16" s="242">
        <v>0</v>
      </c>
      <c r="J16" s="242">
        <v>1368.8028846153841</v>
      </c>
      <c r="K16" s="242">
        <v>0</v>
      </c>
      <c r="L16" s="242">
        <v>556.52499999999998</v>
      </c>
      <c r="M16" s="242">
        <v>0</v>
      </c>
      <c r="N16" s="242">
        <v>1333.1850961538455</v>
      </c>
      <c r="O16" s="242">
        <v>0</v>
      </c>
      <c r="P16" s="242">
        <v>874.61778846153697</v>
      </c>
      <c r="Q16" s="242">
        <v>0</v>
      </c>
      <c r="R16" s="242">
        <v>820.22115384615381</v>
      </c>
      <c r="S16" s="242">
        <v>0</v>
      </c>
      <c r="T16" s="242">
        <v>1280.7699999999984</v>
      </c>
      <c r="U16" s="242">
        <v>0</v>
      </c>
      <c r="V16" s="242">
        <v>1182.1057692307709</v>
      </c>
      <c r="W16" s="242">
        <v>0</v>
      </c>
      <c r="X16" s="242">
        <v>1568.1041666666677</v>
      </c>
      <c r="Y16" s="242">
        <v>0</v>
      </c>
      <c r="Z16" s="242">
        <v>1092.2213541666672</v>
      </c>
      <c r="AA16" s="242">
        <v>0</v>
      </c>
      <c r="AB16" s="242">
        <v>666.77777777777703</v>
      </c>
      <c r="AC16" s="242">
        <v>0</v>
      </c>
      <c r="AD16" s="242">
        <v>941.97500000000025</v>
      </c>
      <c r="AE16" s="242">
        <v>0</v>
      </c>
      <c r="AF16" s="242">
        <v>1265.4274999999986</v>
      </c>
      <c r="AG16" s="242">
        <v>0</v>
      </c>
      <c r="AH16" s="242">
        <v>1381.2980769230787</v>
      </c>
      <c r="AI16" s="242">
        <v>0</v>
      </c>
      <c r="AJ16" s="242">
        <v>1172.6744791666672</v>
      </c>
      <c r="AK16" s="242">
        <v>0</v>
      </c>
      <c r="AL16" s="242">
        <v>1346.0120192307695</v>
      </c>
      <c r="AM16" s="242">
        <v>0</v>
      </c>
      <c r="AN16" s="242">
        <v>886.09134615384573</v>
      </c>
      <c r="AO16" s="242">
        <v>0</v>
      </c>
      <c r="AP16" s="242">
        <v>828.50961538461661</v>
      </c>
      <c r="AQ16" s="242">
        <v>0</v>
      </c>
      <c r="AR16" s="242">
        <v>1289.2999999999988</v>
      </c>
      <c r="AS16" s="242">
        <v>0</v>
      </c>
      <c r="AT16" s="242">
        <v>1190.971153846154</v>
      </c>
      <c r="AU16" s="242">
        <v>0</v>
      </c>
      <c r="AV16" s="242">
        <v>1570.8076923076922</v>
      </c>
      <c r="AW16" s="242">
        <v>0</v>
      </c>
      <c r="AX16" s="242">
        <v>1106.872499999999</v>
      </c>
      <c r="AY16" s="242">
        <v>0</v>
      </c>
    </row>
    <row r="17" spans="2:51">
      <c r="B17" s="211">
        <v>10062</v>
      </c>
      <c r="C17" s="211" t="s">
        <v>20</v>
      </c>
      <c r="D17" s="242">
        <v>0</v>
      </c>
      <c r="E17" s="242">
        <v>0</v>
      </c>
      <c r="F17" s="242">
        <v>1009.2649999999994</v>
      </c>
      <c r="G17" s="242">
        <v>0</v>
      </c>
      <c r="H17" s="242">
        <v>1471.5925</v>
      </c>
      <c r="I17" s="242">
        <v>0</v>
      </c>
      <c r="J17" s="242">
        <v>620.5841346153851</v>
      </c>
      <c r="K17" s="242">
        <v>0</v>
      </c>
      <c r="L17" s="242">
        <v>879.41249999999991</v>
      </c>
      <c r="M17" s="242">
        <v>0</v>
      </c>
      <c r="N17" s="242">
        <v>117.40384615384758</v>
      </c>
      <c r="O17" s="242">
        <v>0</v>
      </c>
      <c r="P17" s="242">
        <v>932.03605769230705</v>
      </c>
      <c r="Q17" s="242">
        <v>0</v>
      </c>
      <c r="R17" s="242">
        <v>1188.735576923076</v>
      </c>
      <c r="S17" s="242">
        <v>0</v>
      </c>
      <c r="T17" s="242">
        <v>108.85499999999948</v>
      </c>
      <c r="U17" s="242">
        <v>0</v>
      </c>
      <c r="V17" s="242">
        <v>1031.0913461538469</v>
      </c>
      <c r="W17" s="242">
        <v>0</v>
      </c>
      <c r="X17" s="242">
        <v>936.20833333333201</v>
      </c>
      <c r="Y17" s="242">
        <v>0</v>
      </c>
      <c r="Z17" s="242">
        <v>321.04427083333206</v>
      </c>
      <c r="AA17" s="242">
        <v>0</v>
      </c>
      <c r="AB17" s="242">
        <v>253.53703703703755</v>
      </c>
      <c r="AC17" s="242">
        <v>0</v>
      </c>
      <c r="AD17" s="242">
        <v>1002.7449999999993</v>
      </c>
      <c r="AE17" s="242">
        <v>0</v>
      </c>
      <c r="AF17" s="242">
        <v>1467.0474999999999</v>
      </c>
      <c r="AG17" s="242">
        <v>0</v>
      </c>
      <c r="AH17" s="242">
        <v>624.2379807692306</v>
      </c>
      <c r="AI17" s="242">
        <v>0</v>
      </c>
      <c r="AJ17" s="242">
        <v>1014.794270833332</v>
      </c>
      <c r="AK17" s="242">
        <v>0</v>
      </c>
      <c r="AL17" s="242">
        <v>120.88942307692352</v>
      </c>
      <c r="AM17" s="242">
        <v>0</v>
      </c>
      <c r="AN17" s="242">
        <v>934.39423076922969</v>
      </c>
      <c r="AO17" s="242">
        <v>0</v>
      </c>
      <c r="AP17" s="242">
        <v>1190.2740384615386</v>
      </c>
      <c r="AQ17" s="242">
        <v>0</v>
      </c>
      <c r="AR17" s="242">
        <v>98.807500000000601</v>
      </c>
      <c r="AS17" s="242">
        <v>0</v>
      </c>
      <c r="AT17" s="242">
        <v>1030.4423076923078</v>
      </c>
      <c r="AU17" s="242">
        <v>0</v>
      </c>
      <c r="AV17" s="242">
        <v>585.46875000000114</v>
      </c>
      <c r="AW17" s="242">
        <v>0</v>
      </c>
      <c r="AX17" s="242">
        <v>661.31500000000074</v>
      </c>
      <c r="AY17" s="242">
        <v>0</v>
      </c>
    </row>
    <row r="18" spans="2:51">
      <c r="B18" s="211">
        <v>10064</v>
      </c>
      <c r="C18" s="211" t="s">
        <v>21</v>
      </c>
      <c r="D18" s="242">
        <v>2720.3533653846143</v>
      </c>
      <c r="E18" s="242">
        <v>0</v>
      </c>
      <c r="F18" s="242">
        <v>740.87499999999955</v>
      </c>
      <c r="G18" s="242">
        <v>0</v>
      </c>
      <c r="H18" s="242">
        <v>1969.5525000000021</v>
      </c>
      <c r="I18" s="242">
        <v>0</v>
      </c>
      <c r="J18" s="242">
        <v>2704.3894230769229</v>
      </c>
      <c r="K18" s="242">
        <v>0</v>
      </c>
      <c r="L18" s="242">
        <v>1325.9050000000018</v>
      </c>
      <c r="M18" s="242">
        <v>0</v>
      </c>
      <c r="N18" s="242">
        <v>2696.1057692307668</v>
      </c>
      <c r="O18" s="242">
        <v>0</v>
      </c>
      <c r="P18" s="242">
        <v>2084.1225961538448</v>
      </c>
      <c r="Q18" s="242">
        <v>0</v>
      </c>
      <c r="R18" s="242">
        <v>1323.4567307692321</v>
      </c>
      <c r="S18" s="242">
        <v>0</v>
      </c>
      <c r="T18" s="242">
        <v>3749.8949999999991</v>
      </c>
      <c r="U18" s="242">
        <v>0</v>
      </c>
      <c r="V18" s="242">
        <v>3559.5625000000009</v>
      </c>
      <c r="W18" s="242">
        <v>0</v>
      </c>
      <c r="X18" s="242">
        <v>3446.1620370370365</v>
      </c>
      <c r="Y18" s="242">
        <v>0</v>
      </c>
      <c r="Z18" s="242">
        <v>2008.2265624999991</v>
      </c>
      <c r="AA18" s="242">
        <v>0</v>
      </c>
      <c r="AB18" s="242">
        <v>3077.0763888888873</v>
      </c>
      <c r="AC18" s="242">
        <v>0</v>
      </c>
      <c r="AD18" s="242">
        <v>915.86500000000058</v>
      </c>
      <c r="AE18" s="242">
        <v>0</v>
      </c>
      <c r="AF18" s="242">
        <v>2142.6875000000005</v>
      </c>
      <c r="AG18" s="242">
        <v>0</v>
      </c>
      <c r="AH18" s="242">
        <v>3025.8509615384605</v>
      </c>
      <c r="AI18" s="242">
        <v>0</v>
      </c>
      <c r="AJ18" s="242">
        <v>1578.1067708333328</v>
      </c>
      <c r="AK18" s="242">
        <v>0</v>
      </c>
      <c r="AL18" s="242">
        <v>3095.0072115384601</v>
      </c>
      <c r="AM18" s="242">
        <v>0</v>
      </c>
      <c r="AN18" s="242">
        <v>2410.7980769230771</v>
      </c>
      <c r="AO18" s="242">
        <v>0</v>
      </c>
      <c r="AP18" s="242">
        <v>1703.9687500000032</v>
      </c>
      <c r="AQ18" s="242">
        <v>0</v>
      </c>
      <c r="AR18" s="242">
        <v>4280.4950000000017</v>
      </c>
      <c r="AS18" s="242">
        <v>0</v>
      </c>
      <c r="AT18" s="242">
        <v>3912.6081730769247</v>
      </c>
      <c r="AU18" s="242">
        <v>0</v>
      </c>
      <c r="AV18" s="242">
        <v>3766.536057692309</v>
      </c>
      <c r="AW18" s="242">
        <v>0</v>
      </c>
      <c r="AX18" s="242">
        <v>2631.1750000000025</v>
      </c>
      <c r="AY18" s="242">
        <v>0</v>
      </c>
    </row>
    <row r="19" spans="2:51">
      <c r="B19" s="211">
        <v>10065</v>
      </c>
      <c r="C19" s="211" t="s">
        <v>22</v>
      </c>
      <c r="D19" s="242">
        <v>0</v>
      </c>
      <c r="E19" s="242">
        <v>0</v>
      </c>
      <c r="F19" s="242">
        <v>0</v>
      </c>
      <c r="G19" s="242">
        <v>0</v>
      </c>
      <c r="H19" s="242">
        <v>0</v>
      </c>
      <c r="I19" s="242">
        <v>0</v>
      </c>
      <c r="J19" s="242">
        <v>82.937500000000114</v>
      </c>
      <c r="K19" s="242">
        <v>0</v>
      </c>
      <c r="L19" s="242">
        <v>678.27749999999912</v>
      </c>
      <c r="M19" s="242">
        <v>0</v>
      </c>
      <c r="N19" s="242">
        <v>0</v>
      </c>
      <c r="O19" s="242">
        <v>0</v>
      </c>
      <c r="P19" s="242">
        <v>0</v>
      </c>
      <c r="Q19" s="242">
        <v>0</v>
      </c>
      <c r="R19" s="242">
        <v>0</v>
      </c>
      <c r="S19" s="242">
        <v>0</v>
      </c>
      <c r="T19" s="242">
        <v>0</v>
      </c>
      <c r="U19" s="242">
        <v>0</v>
      </c>
      <c r="V19" s="242">
        <v>0</v>
      </c>
      <c r="W19" s="242">
        <v>0</v>
      </c>
      <c r="X19" s="242">
        <v>0</v>
      </c>
      <c r="Y19" s="242">
        <v>0</v>
      </c>
      <c r="Z19" s="242">
        <v>52.906249999999929</v>
      </c>
      <c r="AA19" s="242">
        <v>0</v>
      </c>
      <c r="AB19" s="242">
        <v>33.011574074074232</v>
      </c>
      <c r="AC19" s="242">
        <v>0</v>
      </c>
      <c r="AD19" s="242">
        <v>0</v>
      </c>
      <c r="AE19" s="242">
        <v>0</v>
      </c>
      <c r="AF19" s="242">
        <v>0</v>
      </c>
      <c r="AG19" s="242">
        <v>0</v>
      </c>
      <c r="AH19" s="242">
        <v>78.584134615385054</v>
      </c>
      <c r="AI19" s="242">
        <v>0</v>
      </c>
      <c r="AJ19" s="242">
        <v>602.48958333333292</v>
      </c>
      <c r="AK19" s="242">
        <v>0</v>
      </c>
      <c r="AL19" s="242">
        <v>0</v>
      </c>
      <c r="AM19" s="242">
        <v>0</v>
      </c>
      <c r="AN19" s="242">
        <v>0</v>
      </c>
      <c r="AO19" s="242">
        <v>0</v>
      </c>
      <c r="AP19" s="242">
        <v>0</v>
      </c>
      <c r="AQ19" s="242">
        <v>0</v>
      </c>
      <c r="AR19" s="242">
        <v>0</v>
      </c>
      <c r="AS19" s="242">
        <v>0</v>
      </c>
      <c r="AT19" s="242">
        <v>0</v>
      </c>
      <c r="AU19" s="242">
        <v>0</v>
      </c>
      <c r="AV19" s="242">
        <v>0</v>
      </c>
      <c r="AW19" s="242">
        <v>0</v>
      </c>
      <c r="AX19" s="242">
        <v>134.74250000000021</v>
      </c>
      <c r="AY19" s="242">
        <v>0</v>
      </c>
    </row>
    <row r="20" spans="2:51">
      <c r="B20" s="211">
        <v>10066</v>
      </c>
      <c r="C20" s="211" t="s">
        <v>23</v>
      </c>
      <c r="D20" s="242">
        <v>0</v>
      </c>
      <c r="E20" s="242">
        <v>0</v>
      </c>
      <c r="F20" s="242">
        <v>2930.8650000000007</v>
      </c>
      <c r="G20" s="242">
        <v>0</v>
      </c>
      <c r="H20" s="242">
        <v>6013.3674999999948</v>
      </c>
      <c r="I20" s="242">
        <v>0</v>
      </c>
      <c r="J20" s="242">
        <v>3079.3389423076983</v>
      </c>
      <c r="K20" s="242">
        <v>0</v>
      </c>
      <c r="L20" s="242">
        <v>2149.5674999999947</v>
      </c>
      <c r="M20" s="242">
        <v>0</v>
      </c>
      <c r="N20" s="242">
        <v>5543.4158653846152</v>
      </c>
      <c r="O20" s="242">
        <v>0</v>
      </c>
      <c r="P20" s="242">
        <v>2557.4687500000018</v>
      </c>
      <c r="Q20" s="242">
        <v>0</v>
      </c>
      <c r="R20" s="242">
        <v>867.91105769230637</v>
      </c>
      <c r="S20" s="242">
        <v>0</v>
      </c>
      <c r="T20" s="242">
        <v>4132.3100000000013</v>
      </c>
      <c r="U20" s="242">
        <v>0</v>
      </c>
      <c r="V20" s="242">
        <v>2185.1850961538489</v>
      </c>
      <c r="W20" s="242">
        <v>0</v>
      </c>
      <c r="X20" s="242">
        <v>5678.0162037037016</v>
      </c>
      <c r="Y20" s="242">
        <v>0</v>
      </c>
      <c r="Z20" s="242">
        <v>993.17708333333337</v>
      </c>
      <c r="AA20" s="242">
        <v>0</v>
      </c>
      <c r="AB20" s="242">
        <v>201.15972222221856</v>
      </c>
      <c r="AC20" s="242">
        <v>0</v>
      </c>
      <c r="AD20" s="242">
        <v>3142.9125000000049</v>
      </c>
      <c r="AE20" s="242">
        <v>0</v>
      </c>
      <c r="AF20" s="242">
        <v>6092.9974999999968</v>
      </c>
      <c r="AG20" s="242">
        <v>0</v>
      </c>
      <c r="AH20" s="242">
        <v>3151.4999999999968</v>
      </c>
      <c r="AI20" s="242">
        <v>0</v>
      </c>
      <c r="AJ20" s="242">
        <v>4060.2057291666665</v>
      </c>
      <c r="AK20" s="242">
        <v>0</v>
      </c>
      <c r="AL20" s="242">
        <v>5538.3076923076951</v>
      </c>
      <c r="AM20" s="242">
        <v>0</v>
      </c>
      <c r="AN20" s="242">
        <v>2552.8533653846175</v>
      </c>
      <c r="AO20" s="242">
        <v>0</v>
      </c>
      <c r="AP20" s="242">
        <v>864.21875000000182</v>
      </c>
      <c r="AQ20" s="242">
        <v>0</v>
      </c>
      <c r="AR20" s="242">
        <v>4129.0300000000007</v>
      </c>
      <c r="AS20" s="242">
        <v>0</v>
      </c>
      <c r="AT20" s="242">
        <v>2180.6129807692305</v>
      </c>
      <c r="AU20" s="242">
        <v>0</v>
      </c>
      <c r="AV20" s="242">
        <v>5517.0745192307704</v>
      </c>
      <c r="AW20" s="242">
        <v>0</v>
      </c>
      <c r="AX20" s="242">
        <v>1154.0075000000031</v>
      </c>
      <c r="AY20" s="242">
        <v>0</v>
      </c>
    </row>
    <row r="21" spans="2:51">
      <c r="B21" s="211">
        <v>10067</v>
      </c>
      <c r="C21" s="211" t="s">
        <v>24</v>
      </c>
      <c r="D21" s="242">
        <v>3282.5120192307704</v>
      </c>
      <c r="E21" s="242">
        <v>0</v>
      </c>
      <c r="F21" s="242">
        <v>5033.9600000000019</v>
      </c>
      <c r="G21" s="242">
        <v>0</v>
      </c>
      <c r="H21" s="242">
        <v>3266.8750000000027</v>
      </c>
      <c r="I21" s="242">
        <v>0</v>
      </c>
      <c r="J21" s="242">
        <v>6232.8966346153829</v>
      </c>
      <c r="K21" s="242">
        <v>0</v>
      </c>
      <c r="L21" s="242">
        <v>4192.7075000000023</v>
      </c>
      <c r="M21" s="242">
        <v>0</v>
      </c>
      <c r="N21" s="242">
        <v>4151.2451923076896</v>
      </c>
      <c r="O21" s="242">
        <v>0</v>
      </c>
      <c r="P21" s="242">
        <v>5498.7379807692332</v>
      </c>
      <c r="Q21" s="242">
        <v>0</v>
      </c>
      <c r="R21" s="242">
        <v>4474.2163461538476</v>
      </c>
      <c r="S21" s="242">
        <v>0</v>
      </c>
      <c r="T21" s="242">
        <v>3145.3025000000007</v>
      </c>
      <c r="U21" s="242">
        <v>0</v>
      </c>
      <c r="V21" s="242">
        <v>5616.8293269230762</v>
      </c>
      <c r="W21" s="242">
        <v>0</v>
      </c>
      <c r="X21" s="242">
        <v>4655.0277777777746</v>
      </c>
      <c r="Y21" s="242">
        <v>0</v>
      </c>
      <c r="Z21" s="242">
        <v>4808.1692708333348</v>
      </c>
      <c r="AA21" s="242">
        <v>0</v>
      </c>
      <c r="AB21" s="242">
        <v>3722.0231481481483</v>
      </c>
      <c r="AC21" s="242">
        <v>0</v>
      </c>
      <c r="AD21" s="242">
        <v>4857.215000000002</v>
      </c>
      <c r="AE21" s="242">
        <v>0</v>
      </c>
      <c r="AF21" s="242">
        <v>3114.2675000000008</v>
      </c>
      <c r="AG21" s="242">
        <v>0</v>
      </c>
      <c r="AH21" s="242">
        <v>6132.451923076921</v>
      </c>
      <c r="AI21" s="242">
        <v>0</v>
      </c>
      <c r="AJ21" s="242">
        <v>3795.2656250000036</v>
      </c>
      <c r="AK21" s="242">
        <v>0</v>
      </c>
      <c r="AL21" s="242">
        <v>3986.2644230769206</v>
      </c>
      <c r="AM21" s="242">
        <v>0</v>
      </c>
      <c r="AN21" s="242">
        <v>5314.1105769230762</v>
      </c>
      <c r="AO21" s="242">
        <v>0</v>
      </c>
      <c r="AP21" s="242">
        <v>4241.8966346153848</v>
      </c>
      <c r="AQ21" s="242">
        <v>0</v>
      </c>
      <c r="AR21" s="242">
        <v>2929.4000000000019</v>
      </c>
      <c r="AS21" s="242">
        <v>0</v>
      </c>
      <c r="AT21" s="242">
        <v>5483.9975961538466</v>
      </c>
      <c r="AU21" s="242">
        <v>0</v>
      </c>
      <c r="AV21" s="242">
        <v>3827.3004807692309</v>
      </c>
      <c r="AW21" s="242">
        <v>0</v>
      </c>
      <c r="AX21" s="242">
        <v>5283.8824999999997</v>
      </c>
      <c r="AY21" s="242">
        <v>0</v>
      </c>
    </row>
    <row r="22" spans="2:51">
      <c r="B22" s="211">
        <v>10068</v>
      </c>
      <c r="C22" s="211" t="s">
        <v>25</v>
      </c>
      <c r="D22" s="242">
        <v>0</v>
      </c>
      <c r="E22" s="242">
        <v>0</v>
      </c>
      <c r="F22" s="242">
        <v>258.03749999999945</v>
      </c>
      <c r="G22" s="242">
        <v>0</v>
      </c>
      <c r="H22" s="242">
        <v>295.99749999999977</v>
      </c>
      <c r="I22" s="242">
        <v>0</v>
      </c>
      <c r="J22" s="242">
        <v>630.06250000000045</v>
      </c>
      <c r="K22" s="242">
        <v>0</v>
      </c>
      <c r="L22" s="242">
        <v>296.00999999999988</v>
      </c>
      <c r="M22" s="242">
        <v>0</v>
      </c>
      <c r="N22" s="242">
        <v>288.84615384615375</v>
      </c>
      <c r="O22" s="242">
        <v>0</v>
      </c>
      <c r="P22" s="242">
        <v>486.06971153846155</v>
      </c>
      <c r="Q22" s="242">
        <v>0</v>
      </c>
      <c r="R22" s="242">
        <v>324.7379807692306</v>
      </c>
      <c r="S22" s="242">
        <v>0</v>
      </c>
      <c r="T22" s="242">
        <v>187.90999999999991</v>
      </c>
      <c r="U22" s="242">
        <v>0</v>
      </c>
      <c r="V22" s="242">
        <v>846.8317307692306</v>
      </c>
      <c r="W22" s="242">
        <v>0</v>
      </c>
      <c r="X22" s="242">
        <v>735.37500000000011</v>
      </c>
      <c r="Y22" s="242">
        <v>0</v>
      </c>
      <c r="Z22" s="242">
        <v>260.08593749999994</v>
      </c>
      <c r="AA22" s="242">
        <v>0</v>
      </c>
      <c r="AB22" s="242">
        <v>0</v>
      </c>
      <c r="AC22" s="242">
        <v>0</v>
      </c>
      <c r="AD22" s="242">
        <v>258.03749999999945</v>
      </c>
      <c r="AE22" s="242">
        <v>0</v>
      </c>
      <c r="AF22" s="242">
        <v>295.99749999999977</v>
      </c>
      <c r="AG22" s="242">
        <v>0</v>
      </c>
      <c r="AH22" s="242">
        <v>630.06250000000045</v>
      </c>
      <c r="AI22" s="242">
        <v>0</v>
      </c>
      <c r="AJ22" s="242">
        <v>280.1979166666668</v>
      </c>
      <c r="AK22" s="242">
        <v>0</v>
      </c>
      <c r="AL22" s="242">
        <v>288.84615384615375</v>
      </c>
      <c r="AM22" s="242">
        <v>0</v>
      </c>
      <c r="AN22" s="242">
        <v>486.06971153846155</v>
      </c>
      <c r="AO22" s="242">
        <v>0</v>
      </c>
      <c r="AP22" s="242">
        <v>324.7379807692306</v>
      </c>
      <c r="AQ22" s="242">
        <v>0</v>
      </c>
      <c r="AR22" s="242">
        <v>187.90999999999991</v>
      </c>
      <c r="AS22" s="242">
        <v>0</v>
      </c>
      <c r="AT22" s="242">
        <v>846.8317307692306</v>
      </c>
      <c r="AU22" s="242">
        <v>0</v>
      </c>
      <c r="AV22" s="242">
        <v>642.35096153846155</v>
      </c>
      <c r="AW22" s="242">
        <v>0</v>
      </c>
      <c r="AX22" s="242">
        <v>350.88249999999994</v>
      </c>
      <c r="AY22" s="242">
        <v>0</v>
      </c>
    </row>
    <row r="23" spans="2:51">
      <c r="B23" s="211">
        <v>10070</v>
      </c>
      <c r="C23" s="211" t="s">
        <v>26</v>
      </c>
      <c r="D23" s="242">
        <v>70.689903846153811</v>
      </c>
      <c r="E23" s="242">
        <v>0</v>
      </c>
      <c r="F23" s="242">
        <v>18.165000000000013</v>
      </c>
      <c r="G23" s="242">
        <v>0</v>
      </c>
      <c r="H23" s="242">
        <v>99.812500000000085</v>
      </c>
      <c r="I23" s="242">
        <v>0</v>
      </c>
      <c r="J23" s="242">
        <v>66.733173076923052</v>
      </c>
      <c r="K23" s="242">
        <v>0</v>
      </c>
      <c r="L23" s="242">
        <v>40.507500000000057</v>
      </c>
      <c r="M23" s="242">
        <v>0</v>
      </c>
      <c r="N23" s="242">
        <v>65.552884615384613</v>
      </c>
      <c r="O23" s="242">
        <v>0</v>
      </c>
      <c r="P23" s="242">
        <v>32.516826923076863</v>
      </c>
      <c r="Q23" s="242">
        <v>0</v>
      </c>
      <c r="R23" s="242">
        <v>18.343750000000021</v>
      </c>
      <c r="S23" s="242">
        <v>0</v>
      </c>
      <c r="T23" s="242">
        <v>55.899999999999977</v>
      </c>
      <c r="U23" s="242">
        <v>0</v>
      </c>
      <c r="V23" s="242">
        <v>58.629807692307729</v>
      </c>
      <c r="W23" s="242">
        <v>0</v>
      </c>
      <c r="X23" s="242">
        <v>74.983796296296248</v>
      </c>
      <c r="Y23" s="242">
        <v>0</v>
      </c>
      <c r="Z23" s="242">
        <v>53.479166666666671</v>
      </c>
      <c r="AA23" s="242">
        <v>0</v>
      </c>
      <c r="AB23" s="242">
        <v>71.155092592592567</v>
      </c>
      <c r="AC23" s="242">
        <v>0</v>
      </c>
      <c r="AD23" s="242">
        <v>17.73749999999999</v>
      </c>
      <c r="AE23" s="242">
        <v>0</v>
      </c>
      <c r="AF23" s="242">
        <v>99.284999999999954</v>
      </c>
      <c r="AG23" s="242">
        <v>0</v>
      </c>
      <c r="AH23" s="242">
        <v>66.19951923076917</v>
      </c>
      <c r="AI23" s="242">
        <v>0</v>
      </c>
      <c r="AJ23" s="242">
        <v>39.343750000000036</v>
      </c>
      <c r="AK23" s="242">
        <v>0</v>
      </c>
      <c r="AL23" s="242">
        <v>66.144230769230759</v>
      </c>
      <c r="AM23" s="242">
        <v>0</v>
      </c>
      <c r="AN23" s="242">
        <v>33.137019230769198</v>
      </c>
      <c r="AO23" s="242">
        <v>0</v>
      </c>
      <c r="AP23" s="242">
        <v>17.995192307692339</v>
      </c>
      <c r="AQ23" s="242">
        <v>0</v>
      </c>
      <c r="AR23" s="242">
        <v>56.555000000000049</v>
      </c>
      <c r="AS23" s="242">
        <v>0</v>
      </c>
      <c r="AT23" s="242">
        <v>58.254807692307715</v>
      </c>
      <c r="AU23" s="242">
        <v>0</v>
      </c>
      <c r="AV23" s="242">
        <v>73.552884615384542</v>
      </c>
      <c r="AW23" s="242">
        <v>0</v>
      </c>
      <c r="AX23" s="242">
        <v>55.367500000000057</v>
      </c>
      <c r="AY23" s="242">
        <v>0</v>
      </c>
    </row>
    <row r="24" spans="2:51">
      <c r="B24" s="211">
        <v>10071</v>
      </c>
      <c r="C24" s="211" t="s">
        <v>27</v>
      </c>
      <c r="D24" s="242">
        <v>44.680288461538375</v>
      </c>
      <c r="E24" s="242">
        <v>0</v>
      </c>
      <c r="F24" s="242">
        <v>138.21999999999989</v>
      </c>
      <c r="G24" s="242">
        <v>0</v>
      </c>
      <c r="H24" s="242">
        <v>312.58500000000032</v>
      </c>
      <c r="I24" s="242">
        <v>0</v>
      </c>
      <c r="J24" s="242">
        <v>215.08173076923097</v>
      </c>
      <c r="K24" s="242">
        <v>0</v>
      </c>
      <c r="L24" s="242">
        <v>133.26499999999984</v>
      </c>
      <c r="M24" s="242">
        <v>0</v>
      </c>
      <c r="N24" s="242">
        <v>355.34855769230745</v>
      </c>
      <c r="O24" s="242">
        <v>0</v>
      </c>
      <c r="P24" s="242">
        <v>356.90625</v>
      </c>
      <c r="Q24" s="242">
        <v>0</v>
      </c>
      <c r="R24" s="242">
        <v>0</v>
      </c>
      <c r="S24" s="242">
        <v>0</v>
      </c>
      <c r="T24" s="242">
        <v>91.37999999999991</v>
      </c>
      <c r="U24" s="242">
        <v>0</v>
      </c>
      <c r="V24" s="242">
        <v>91.408653846153925</v>
      </c>
      <c r="W24" s="242">
        <v>0</v>
      </c>
      <c r="X24" s="242">
        <v>219.7939814814815</v>
      </c>
      <c r="Y24" s="242">
        <v>0</v>
      </c>
      <c r="Z24" s="242">
        <v>0</v>
      </c>
      <c r="AA24" s="242">
        <v>0</v>
      </c>
      <c r="AB24" s="242">
        <v>54.155092592592545</v>
      </c>
      <c r="AC24" s="242">
        <v>0</v>
      </c>
      <c r="AD24" s="242">
        <v>138.21999999999989</v>
      </c>
      <c r="AE24" s="242">
        <v>0</v>
      </c>
      <c r="AF24" s="242">
        <v>312.58500000000032</v>
      </c>
      <c r="AG24" s="242">
        <v>0</v>
      </c>
      <c r="AH24" s="242">
        <v>215.08173076923097</v>
      </c>
      <c r="AI24" s="242">
        <v>0</v>
      </c>
      <c r="AJ24" s="242">
        <v>131.7369791666666</v>
      </c>
      <c r="AK24" s="242">
        <v>0</v>
      </c>
      <c r="AL24" s="242">
        <v>355.34855769230745</v>
      </c>
      <c r="AM24" s="242">
        <v>0</v>
      </c>
      <c r="AN24" s="242">
        <v>356.90625</v>
      </c>
      <c r="AO24" s="242">
        <v>0</v>
      </c>
      <c r="AP24" s="242">
        <v>0</v>
      </c>
      <c r="AQ24" s="242">
        <v>0</v>
      </c>
      <c r="AR24" s="242">
        <v>91.37999999999991</v>
      </c>
      <c r="AS24" s="242">
        <v>0</v>
      </c>
      <c r="AT24" s="242">
        <v>91.408653846153925</v>
      </c>
      <c r="AU24" s="242">
        <v>0</v>
      </c>
      <c r="AV24" s="242">
        <v>210.44230769230759</v>
      </c>
      <c r="AW24" s="242">
        <v>0</v>
      </c>
      <c r="AX24" s="242">
        <v>0</v>
      </c>
      <c r="AY24" s="242">
        <v>0</v>
      </c>
    </row>
    <row r="25" spans="2:51">
      <c r="B25" s="211">
        <v>10072</v>
      </c>
      <c r="C25" s="211" t="s">
        <v>28</v>
      </c>
      <c r="D25" s="242">
        <v>0</v>
      </c>
      <c r="E25" s="242">
        <v>0</v>
      </c>
      <c r="F25" s="242">
        <v>0</v>
      </c>
      <c r="G25" s="242">
        <v>0</v>
      </c>
      <c r="H25" s="242">
        <v>2010.8600000000015</v>
      </c>
      <c r="I25" s="242">
        <v>0</v>
      </c>
      <c r="J25" s="242">
        <v>3220.7932692307686</v>
      </c>
      <c r="K25" s="242">
        <v>0</v>
      </c>
      <c r="L25" s="242">
        <v>1918.4500000000019</v>
      </c>
      <c r="M25" s="242">
        <v>0</v>
      </c>
      <c r="N25" s="242">
        <v>939.04086538461411</v>
      </c>
      <c r="O25" s="242">
        <v>0</v>
      </c>
      <c r="P25" s="242">
        <v>2410.2596153846139</v>
      </c>
      <c r="Q25" s="242">
        <v>0</v>
      </c>
      <c r="R25" s="242">
        <v>2517.1442307692309</v>
      </c>
      <c r="S25" s="242">
        <v>0</v>
      </c>
      <c r="T25" s="242">
        <v>3385.4500000000012</v>
      </c>
      <c r="U25" s="242">
        <v>0</v>
      </c>
      <c r="V25" s="242">
        <v>3232.778846153848</v>
      </c>
      <c r="W25" s="242">
        <v>0</v>
      </c>
      <c r="X25" s="242">
        <v>5805.3935185185201</v>
      </c>
      <c r="Y25" s="242">
        <v>0</v>
      </c>
      <c r="Z25" s="242">
        <v>1936.4140624999991</v>
      </c>
      <c r="AA25" s="242">
        <v>0</v>
      </c>
      <c r="AB25" s="242">
        <v>617.28240740740591</v>
      </c>
      <c r="AC25" s="242">
        <v>0</v>
      </c>
      <c r="AD25" s="242">
        <v>0</v>
      </c>
      <c r="AE25" s="242">
        <v>0</v>
      </c>
      <c r="AF25" s="242">
        <v>2090.9100000000012</v>
      </c>
      <c r="AG25" s="242">
        <v>0</v>
      </c>
      <c r="AH25" s="242">
        <v>3214.721153846157</v>
      </c>
      <c r="AI25" s="242">
        <v>0</v>
      </c>
      <c r="AJ25" s="242">
        <v>746.12760416666822</v>
      </c>
      <c r="AK25" s="242">
        <v>0</v>
      </c>
      <c r="AL25" s="242">
        <v>942.92548076923129</v>
      </c>
      <c r="AM25" s="242">
        <v>0</v>
      </c>
      <c r="AN25" s="242">
        <v>2425.7980769230758</v>
      </c>
      <c r="AO25" s="242">
        <v>0</v>
      </c>
      <c r="AP25" s="242">
        <v>2535.9687500000036</v>
      </c>
      <c r="AQ25" s="242">
        <v>0</v>
      </c>
      <c r="AR25" s="242">
        <v>3425.8549999999941</v>
      </c>
      <c r="AS25" s="242">
        <v>0</v>
      </c>
      <c r="AT25" s="242">
        <v>3247.0192307692319</v>
      </c>
      <c r="AU25" s="242">
        <v>0</v>
      </c>
      <c r="AV25" s="242">
        <v>4872.4735576923085</v>
      </c>
      <c r="AW25" s="242">
        <v>0</v>
      </c>
      <c r="AX25" s="242">
        <v>3000.8500000000035</v>
      </c>
      <c r="AY25" s="242">
        <v>0</v>
      </c>
    </row>
    <row r="26" spans="2:51">
      <c r="B26" s="211">
        <v>10074</v>
      </c>
      <c r="C26" s="211" t="s">
        <v>29</v>
      </c>
      <c r="D26" s="242">
        <v>0</v>
      </c>
      <c r="E26" s="242">
        <v>0</v>
      </c>
      <c r="F26" s="242">
        <v>1083.9000000000017</v>
      </c>
      <c r="G26" s="242">
        <v>0</v>
      </c>
      <c r="H26" s="242">
        <v>59.074999999998212</v>
      </c>
      <c r="I26" s="242">
        <v>0</v>
      </c>
      <c r="J26" s="242">
        <v>0</v>
      </c>
      <c r="K26" s="242">
        <v>0</v>
      </c>
      <c r="L26" s="242">
        <v>2675.6749999999929</v>
      </c>
      <c r="M26" s="242">
        <v>0</v>
      </c>
      <c r="N26" s="242">
        <v>2652.8341346153816</v>
      </c>
      <c r="O26" s="242">
        <v>0</v>
      </c>
      <c r="P26" s="242">
        <v>551.8894230769256</v>
      </c>
      <c r="Q26" s="242">
        <v>0</v>
      </c>
      <c r="R26" s="242">
        <v>1662.3557692307668</v>
      </c>
      <c r="S26" s="242">
        <v>0</v>
      </c>
      <c r="T26" s="242">
        <v>10449.015000000007</v>
      </c>
      <c r="U26" s="242">
        <v>0</v>
      </c>
      <c r="V26" s="242">
        <v>7713.144230769235</v>
      </c>
      <c r="W26" s="242">
        <v>0</v>
      </c>
      <c r="X26" s="242">
        <v>6624.6041666666633</v>
      </c>
      <c r="Y26" s="242">
        <v>0</v>
      </c>
      <c r="Z26" s="242">
        <v>9115.1822916666642</v>
      </c>
      <c r="AA26" s="242">
        <v>0</v>
      </c>
      <c r="AB26" s="242">
        <v>0</v>
      </c>
      <c r="AC26" s="242">
        <v>0</v>
      </c>
      <c r="AD26" s="242">
        <v>784.11999999999614</v>
      </c>
      <c r="AE26" s="242">
        <v>0</v>
      </c>
      <c r="AF26" s="242">
        <v>0</v>
      </c>
      <c r="AG26" s="242">
        <v>0</v>
      </c>
      <c r="AH26" s="242">
        <v>0</v>
      </c>
      <c r="AI26" s="242">
        <v>0</v>
      </c>
      <c r="AJ26" s="242">
        <v>2302.7135416666715</v>
      </c>
      <c r="AK26" s="242">
        <v>0</v>
      </c>
      <c r="AL26" s="242">
        <v>2348.3413461538439</v>
      </c>
      <c r="AM26" s="242">
        <v>0</v>
      </c>
      <c r="AN26" s="242">
        <v>276.33173076923254</v>
      </c>
      <c r="AO26" s="242">
        <v>0</v>
      </c>
      <c r="AP26" s="242">
        <v>1417.6346153846202</v>
      </c>
      <c r="AQ26" s="242">
        <v>0</v>
      </c>
      <c r="AR26" s="242">
        <v>10708.265000000001</v>
      </c>
      <c r="AS26" s="242">
        <v>0</v>
      </c>
      <c r="AT26" s="242">
        <v>7964.6875</v>
      </c>
      <c r="AU26" s="242">
        <v>0</v>
      </c>
      <c r="AV26" s="242">
        <v>6723.5600961538457</v>
      </c>
      <c r="AW26" s="242">
        <v>0</v>
      </c>
      <c r="AX26" s="242">
        <v>9466.6824999999953</v>
      </c>
      <c r="AY26" s="242">
        <v>0</v>
      </c>
    </row>
    <row r="27" spans="2:51">
      <c r="B27" s="211">
        <v>10076</v>
      </c>
      <c r="C27" s="211" t="s">
        <v>30</v>
      </c>
      <c r="D27" s="242">
        <v>661.18990384615381</v>
      </c>
      <c r="E27" s="242">
        <v>0</v>
      </c>
      <c r="F27" s="242">
        <v>0</v>
      </c>
      <c r="G27" s="242">
        <v>0</v>
      </c>
      <c r="H27" s="242">
        <v>542.65750000000025</v>
      </c>
      <c r="I27" s="242">
        <v>0</v>
      </c>
      <c r="J27" s="242">
        <v>298.55048076923043</v>
      </c>
      <c r="K27" s="242">
        <v>0</v>
      </c>
      <c r="L27" s="242">
        <v>0</v>
      </c>
      <c r="M27" s="242">
        <v>0</v>
      </c>
      <c r="N27" s="242">
        <v>134.26201923076863</v>
      </c>
      <c r="O27" s="242">
        <v>0</v>
      </c>
      <c r="P27" s="242">
        <v>134.31730769230788</v>
      </c>
      <c r="Q27" s="242">
        <v>0</v>
      </c>
      <c r="R27" s="242">
        <v>226.70432692307756</v>
      </c>
      <c r="S27" s="242">
        <v>0</v>
      </c>
      <c r="T27" s="242">
        <v>835.90000000000089</v>
      </c>
      <c r="U27" s="242">
        <v>0</v>
      </c>
      <c r="V27" s="242">
        <v>724.17307692307713</v>
      </c>
      <c r="W27" s="242">
        <v>0</v>
      </c>
      <c r="X27" s="242">
        <v>713.86342592592462</v>
      </c>
      <c r="Y27" s="242">
        <v>0</v>
      </c>
      <c r="Z27" s="242">
        <v>572.91145833333326</v>
      </c>
      <c r="AA27" s="242">
        <v>0</v>
      </c>
      <c r="AB27" s="242">
        <v>699.7407407407411</v>
      </c>
      <c r="AC27" s="242">
        <v>0</v>
      </c>
      <c r="AD27" s="242">
        <v>0</v>
      </c>
      <c r="AE27" s="242">
        <v>0</v>
      </c>
      <c r="AF27" s="242">
        <v>575.19749999999931</v>
      </c>
      <c r="AG27" s="242">
        <v>0</v>
      </c>
      <c r="AH27" s="242">
        <v>329.99519230769283</v>
      </c>
      <c r="AI27" s="242">
        <v>0</v>
      </c>
      <c r="AJ27" s="242">
        <v>0</v>
      </c>
      <c r="AK27" s="242">
        <v>0</v>
      </c>
      <c r="AL27" s="242">
        <v>162.74038461538342</v>
      </c>
      <c r="AM27" s="242">
        <v>0</v>
      </c>
      <c r="AN27" s="242">
        <v>155.96634615384764</v>
      </c>
      <c r="AO27" s="242">
        <v>0</v>
      </c>
      <c r="AP27" s="242">
        <v>247.0697115384624</v>
      </c>
      <c r="AQ27" s="242">
        <v>0</v>
      </c>
      <c r="AR27" s="242">
        <v>856.47999999999979</v>
      </c>
      <c r="AS27" s="242">
        <v>0</v>
      </c>
      <c r="AT27" s="242">
        <v>747.26442307692309</v>
      </c>
      <c r="AU27" s="242">
        <v>0</v>
      </c>
      <c r="AV27" s="242">
        <v>717.70432692307736</v>
      </c>
      <c r="AW27" s="242">
        <v>0</v>
      </c>
      <c r="AX27" s="242">
        <v>610.14749999999981</v>
      </c>
      <c r="AY27" s="242">
        <v>0</v>
      </c>
    </row>
    <row r="28" spans="2:51">
      <c r="B28" s="211">
        <v>10078</v>
      </c>
      <c r="C28" s="211" t="s">
        <v>31</v>
      </c>
      <c r="D28" s="242">
        <v>1205.6298076923083</v>
      </c>
      <c r="E28" s="242">
        <v>0</v>
      </c>
      <c r="F28" s="242">
        <v>1633.5725</v>
      </c>
      <c r="G28" s="242">
        <v>0</v>
      </c>
      <c r="H28" s="242">
        <v>1248.6150000000005</v>
      </c>
      <c r="I28" s="242">
        <v>0</v>
      </c>
      <c r="J28" s="242">
        <v>1215.2019230769231</v>
      </c>
      <c r="K28" s="242">
        <v>0</v>
      </c>
      <c r="L28" s="242">
        <v>1476.7825</v>
      </c>
      <c r="M28" s="242">
        <v>0</v>
      </c>
      <c r="N28" s="242">
        <v>1483.9591346153852</v>
      </c>
      <c r="O28" s="242">
        <v>0</v>
      </c>
      <c r="P28" s="242">
        <v>918.01442307692355</v>
      </c>
      <c r="Q28" s="242">
        <v>0</v>
      </c>
      <c r="R28" s="242">
        <v>1120.0096153846143</v>
      </c>
      <c r="S28" s="242">
        <v>0</v>
      </c>
      <c r="T28" s="242">
        <v>673.29000000000065</v>
      </c>
      <c r="U28" s="242">
        <v>0</v>
      </c>
      <c r="V28" s="242">
        <v>313.08894230769238</v>
      </c>
      <c r="W28" s="242">
        <v>0</v>
      </c>
      <c r="X28" s="242">
        <v>1040.5462962962961</v>
      </c>
      <c r="Y28" s="242">
        <v>0</v>
      </c>
      <c r="Z28" s="242">
        <v>907.03125</v>
      </c>
      <c r="AA28" s="242">
        <v>0</v>
      </c>
      <c r="AB28" s="242">
        <v>1436.4745370370372</v>
      </c>
      <c r="AC28" s="242">
        <v>0</v>
      </c>
      <c r="AD28" s="242">
        <v>1793.0725000000004</v>
      </c>
      <c r="AE28" s="242">
        <v>0</v>
      </c>
      <c r="AF28" s="242">
        <v>1280.3224999999991</v>
      </c>
      <c r="AG28" s="242">
        <v>0</v>
      </c>
      <c r="AH28" s="242">
        <v>1345.9735576923092</v>
      </c>
      <c r="AI28" s="242">
        <v>0</v>
      </c>
      <c r="AJ28" s="242">
        <v>1448.1302083333342</v>
      </c>
      <c r="AK28" s="242">
        <v>0</v>
      </c>
      <c r="AL28" s="242">
        <v>1631.1923076923078</v>
      </c>
      <c r="AM28" s="242">
        <v>0</v>
      </c>
      <c r="AN28" s="242">
        <v>1114.1971153846159</v>
      </c>
      <c r="AO28" s="242">
        <v>0</v>
      </c>
      <c r="AP28" s="242">
        <v>1257.5432692307697</v>
      </c>
      <c r="AQ28" s="242">
        <v>0</v>
      </c>
      <c r="AR28" s="242">
        <v>765.78000000000031</v>
      </c>
      <c r="AS28" s="242">
        <v>0</v>
      </c>
      <c r="AT28" s="242">
        <v>384.98317307692309</v>
      </c>
      <c r="AU28" s="242">
        <v>0</v>
      </c>
      <c r="AV28" s="242">
        <v>1089.0192307692309</v>
      </c>
      <c r="AW28" s="242">
        <v>0</v>
      </c>
      <c r="AX28" s="242">
        <v>1106.2624999999996</v>
      </c>
      <c r="AY28" s="242">
        <v>0</v>
      </c>
    </row>
    <row r="29" spans="2:51">
      <c r="B29" s="211">
        <v>10079</v>
      </c>
      <c r="C29" s="211" t="s">
        <v>32</v>
      </c>
      <c r="D29" s="242">
        <v>19481.846153846134</v>
      </c>
      <c r="E29" s="242">
        <v>0</v>
      </c>
      <c r="F29" s="242">
        <v>29683.362500000003</v>
      </c>
      <c r="G29" s="242">
        <v>0</v>
      </c>
      <c r="H29" s="242">
        <v>20363.540000000023</v>
      </c>
      <c r="I29" s="242">
        <v>0</v>
      </c>
      <c r="J29" s="242">
        <v>18451.427884615383</v>
      </c>
      <c r="K29" s="242">
        <v>0</v>
      </c>
      <c r="L29" s="242">
        <v>7256.7474999999959</v>
      </c>
      <c r="M29" s="242">
        <v>0</v>
      </c>
      <c r="N29" s="242">
        <v>23504.800480769234</v>
      </c>
      <c r="O29" s="242">
        <v>0</v>
      </c>
      <c r="P29" s="242">
        <v>21789.249999999996</v>
      </c>
      <c r="Q29" s="242">
        <v>0</v>
      </c>
      <c r="R29" s="242">
        <v>22661.069711538468</v>
      </c>
      <c r="S29" s="242">
        <v>0</v>
      </c>
      <c r="T29" s="242">
        <v>29843.754999999994</v>
      </c>
      <c r="U29" s="242">
        <v>0</v>
      </c>
      <c r="V29" s="242">
        <v>24761.112980769227</v>
      </c>
      <c r="W29" s="242">
        <v>0</v>
      </c>
      <c r="X29" s="242">
        <v>24521.83101851854</v>
      </c>
      <c r="Y29" s="242">
        <v>0</v>
      </c>
      <c r="Z29" s="242">
        <v>14756.130208333347</v>
      </c>
      <c r="AA29" s="242">
        <v>0</v>
      </c>
      <c r="AB29" s="242">
        <v>20014.05787037038</v>
      </c>
      <c r="AC29" s="242">
        <v>0</v>
      </c>
      <c r="AD29" s="242">
        <v>29435.667499999992</v>
      </c>
      <c r="AE29" s="242">
        <v>0</v>
      </c>
      <c r="AF29" s="242">
        <v>20109.482500000006</v>
      </c>
      <c r="AG29" s="242">
        <v>0</v>
      </c>
      <c r="AH29" s="242">
        <v>18128.043269230788</v>
      </c>
      <c r="AI29" s="242">
        <v>0</v>
      </c>
      <c r="AJ29" s="242">
        <v>3303.6406250000068</v>
      </c>
      <c r="AK29" s="242">
        <v>0</v>
      </c>
      <c r="AL29" s="242">
        <v>23227.786057692298</v>
      </c>
      <c r="AM29" s="242">
        <v>0</v>
      </c>
      <c r="AN29" s="242">
        <v>21533.634615384599</v>
      </c>
      <c r="AO29" s="242">
        <v>0</v>
      </c>
      <c r="AP29" s="242">
        <v>22374.632211538476</v>
      </c>
      <c r="AQ29" s="242">
        <v>0</v>
      </c>
      <c r="AR29" s="242">
        <v>29566.40500000001</v>
      </c>
      <c r="AS29" s="242">
        <v>0</v>
      </c>
      <c r="AT29" s="242">
        <v>24511.605769230784</v>
      </c>
      <c r="AU29" s="242">
        <v>0</v>
      </c>
      <c r="AV29" s="242">
        <v>23317.074519230759</v>
      </c>
      <c r="AW29" s="242">
        <v>0</v>
      </c>
      <c r="AX29" s="242">
        <v>15497.182499999994</v>
      </c>
      <c r="AY29" s="242">
        <v>0</v>
      </c>
    </row>
    <row r="30" spans="2:51">
      <c r="B30" s="211">
        <v>10080</v>
      </c>
      <c r="C30" s="211" t="s">
        <v>33</v>
      </c>
      <c r="D30" s="242">
        <v>0</v>
      </c>
      <c r="E30" s="242">
        <v>0</v>
      </c>
      <c r="F30" s="242">
        <v>0</v>
      </c>
      <c r="G30" s="242">
        <v>0</v>
      </c>
      <c r="H30" s="242">
        <v>1561.3950000000002</v>
      </c>
      <c r="I30" s="242">
        <v>0</v>
      </c>
      <c r="J30" s="242">
        <v>1412.9591346153841</v>
      </c>
      <c r="K30" s="242">
        <v>0</v>
      </c>
      <c r="L30" s="242">
        <v>574.20499999999925</v>
      </c>
      <c r="M30" s="242">
        <v>0</v>
      </c>
      <c r="N30" s="242">
        <v>169.3581730769227</v>
      </c>
      <c r="O30" s="242">
        <v>0</v>
      </c>
      <c r="P30" s="242">
        <v>555.02403846153766</v>
      </c>
      <c r="Q30" s="242">
        <v>0</v>
      </c>
      <c r="R30" s="242">
        <v>1118.4254807692305</v>
      </c>
      <c r="S30" s="242">
        <v>0</v>
      </c>
      <c r="T30" s="242">
        <v>1870.1875</v>
      </c>
      <c r="U30" s="242">
        <v>0</v>
      </c>
      <c r="V30" s="242">
        <v>1608.4399038461538</v>
      </c>
      <c r="W30" s="242">
        <v>0</v>
      </c>
      <c r="X30" s="242">
        <v>1867.9560185185178</v>
      </c>
      <c r="Y30" s="242">
        <v>0</v>
      </c>
      <c r="Z30" s="242">
        <v>1154.5468749999998</v>
      </c>
      <c r="AA30" s="242">
        <v>0</v>
      </c>
      <c r="AB30" s="242">
        <v>0</v>
      </c>
      <c r="AC30" s="242">
        <v>0</v>
      </c>
      <c r="AD30" s="242">
        <v>0</v>
      </c>
      <c r="AE30" s="242">
        <v>0</v>
      </c>
      <c r="AF30" s="242">
        <v>1553.8724999999999</v>
      </c>
      <c r="AG30" s="242">
        <v>0</v>
      </c>
      <c r="AH30" s="242">
        <v>1405.5264423076924</v>
      </c>
      <c r="AI30" s="242">
        <v>0</v>
      </c>
      <c r="AJ30" s="242">
        <v>528.09895833333269</v>
      </c>
      <c r="AK30" s="242">
        <v>0</v>
      </c>
      <c r="AL30" s="242">
        <v>162.49759615384662</v>
      </c>
      <c r="AM30" s="242">
        <v>0</v>
      </c>
      <c r="AN30" s="242">
        <v>546.83413461538441</v>
      </c>
      <c r="AO30" s="242">
        <v>0</v>
      </c>
      <c r="AP30" s="242">
        <v>1127.658653846154</v>
      </c>
      <c r="AQ30" s="242">
        <v>0</v>
      </c>
      <c r="AR30" s="242">
        <v>1879.2999999999997</v>
      </c>
      <c r="AS30" s="242">
        <v>0</v>
      </c>
      <c r="AT30" s="242">
        <v>1617.6538461538471</v>
      </c>
      <c r="AU30" s="242">
        <v>0</v>
      </c>
      <c r="AV30" s="242">
        <v>1862.5985576923076</v>
      </c>
      <c r="AW30" s="242">
        <v>0</v>
      </c>
      <c r="AX30" s="242">
        <v>1181.3049999999996</v>
      </c>
      <c r="AY30" s="242">
        <v>0</v>
      </c>
    </row>
    <row r="31" spans="2:51">
      <c r="B31" s="211">
        <v>10081</v>
      </c>
      <c r="C31" s="211" t="s">
        <v>34</v>
      </c>
      <c r="D31" s="242">
        <v>0</v>
      </c>
      <c r="E31" s="242">
        <v>0</v>
      </c>
      <c r="F31" s="242">
        <v>0</v>
      </c>
      <c r="G31" s="242">
        <v>0</v>
      </c>
      <c r="H31" s="242">
        <v>3511.4050000000002</v>
      </c>
      <c r="I31" s="242">
        <v>0</v>
      </c>
      <c r="J31" s="242">
        <v>574.66105769230592</v>
      </c>
      <c r="K31" s="242">
        <v>0</v>
      </c>
      <c r="L31" s="242">
        <v>839.50499999999818</v>
      </c>
      <c r="M31" s="242">
        <v>0</v>
      </c>
      <c r="N31" s="242">
        <v>2146.8990384615399</v>
      </c>
      <c r="O31" s="242">
        <v>0</v>
      </c>
      <c r="P31" s="242">
        <v>1470.1899038461538</v>
      </c>
      <c r="Q31" s="242">
        <v>0</v>
      </c>
      <c r="R31" s="242">
        <v>0</v>
      </c>
      <c r="S31" s="242">
        <v>0</v>
      </c>
      <c r="T31" s="242">
        <v>3268.67</v>
      </c>
      <c r="U31" s="242">
        <v>0</v>
      </c>
      <c r="V31" s="242">
        <v>2107.9206730769247</v>
      </c>
      <c r="W31" s="242">
        <v>0</v>
      </c>
      <c r="X31" s="242">
        <v>2002.3726851851861</v>
      </c>
      <c r="Y31" s="242">
        <v>0</v>
      </c>
      <c r="Z31" s="242">
        <v>919.59114583333258</v>
      </c>
      <c r="AA31" s="242">
        <v>0</v>
      </c>
      <c r="AB31" s="242">
        <v>0</v>
      </c>
      <c r="AC31" s="242">
        <v>0</v>
      </c>
      <c r="AD31" s="242">
        <v>0</v>
      </c>
      <c r="AE31" s="242">
        <v>0</v>
      </c>
      <c r="AF31" s="242">
        <v>3511.4050000000002</v>
      </c>
      <c r="AG31" s="242">
        <v>0</v>
      </c>
      <c r="AH31" s="242">
        <v>574.66105769230592</v>
      </c>
      <c r="AI31" s="242">
        <v>0</v>
      </c>
      <c r="AJ31" s="242">
        <v>870.09374999999966</v>
      </c>
      <c r="AK31" s="242">
        <v>0</v>
      </c>
      <c r="AL31" s="242">
        <v>2146.8990384615399</v>
      </c>
      <c r="AM31" s="242">
        <v>0</v>
      </c>
      <c r="AN31" s="242">
        <v>1470.1899038461538</v>
      </c>
      <c r="AO31" s="242">
        <v>0</v>
      </c>
      <c r="AP31" s="242">
        <v>0</v>
      </c>
      <c r="AQ31" s="242">
        <v>0</v>
      </c>
      <c r="AR31" s="242">
        <v>3268.67</v>
      </c>
      <c r="AS31" s="242">
        <v>0</v>
      </c>
      <c r="AT31" s="242">
        <v>2107.9206730769247</v>
      </c>
      <c r="AU31" s="242">
        <v>0</v>
      </c>
      <c r="AV31" s="242">
        <v>2038.7379807692305</v>
      </c>
      <c r="AW31" s="242">
        <v>0</v>
      </c>
      <c r="AX31" s="242">
        <v>877.40249999999969</v>
      </c>
      <c r="AY31" s="242">
        <v>0</v>
      </c>
    </row>
    <row r="32" spans="2:51">
      <c r="B32" s="211">
        <v>10082</v>
      </c>
      <c r="C32" s="211" t="s">
        <v>35</v>
      </c>
      <c r="D32" s="242">
        <v>9.4759615384615437</v>
      </c>
      <c r="E32" s="242">
        <v>0</v>
      </c>
      <c r="F32" s="242">
        <v>13.162499999999994</v>
      </c>
      <c r="G32" s="242">
        <v>0</v>
      </c>
      <c r="H32" s="242">
        <v>26.507500000000011</v>
      </c>
      <c r="I32" s="242">
        <v>0</v>
      </c>
      <c r="J32" s="242">
        <v>59.341346153846132</v>
      </c>
      <c r="K32" s="242">
        <v>0</v>
      </c>
      <c r="L32" s="242">
        <v>18.660000000000011</v>
      </c>
      <c r="M32" s="242">
        <v>0</v>
      </c>
      <c r="N32" s="242">
        <v>10.759615384615381</v>
      </c>
      <c r="O32" s="242">
        <v>0</v>
      </c>
      <c r="P32" s="242">
        <v>1.1610576923076765</v>
      </c>
      <c r="Q32" s="242">
        <v>0</v>
      </c>
      <c r="R32" s="242">
        <v>0</v>
      </c>
      <c r="S32" s="242">
        <v>0</v>
      </c>
      <c r="T32" s="242">
        <v>0</v>
      </c>
      <c r="U32" s="242">
        <v>0</v>
      </c>
      <c r="V32" s="242">
        <v>8.4567307692307683</v>
      </c>
      <c r="W32" s="242">
        <v>0</v>
      </c>
      <c r="X32" s="242">
        <v>8.9467592592592524</v>
      </c>
      <c r="Y32" s="242">
        <v>0</v>
      </c>
      <c r="Z32" s="242">
        <v>7.3723958333333366</v>
      </c>
      <c r="AA32" s="242">
        <v>0</v>
      </c>
      <c r="AB32" s="242">
        <v>9.520833333333325</v>
      </c>
      <c r="AC32" s="242">
        <v>0</v>
      </c>
      <c r="AD32" s="242">
        <v>13.162499999999994</v>
      </c>
      <c r="AE32" s="242">
        <v>0</v>
      </c>
      <c r="AF32" s="242">
        <v>26.507500000000011</v>
      </c>
      <c r="AG32" s="242">
        <v>0</v>
      </c>
      <c r="AH32" s="242">
        <v>59.341346153846132</v>
      </c>
      <c r="AI32" s="242">
        <v>0</v>
      </c>
      <c r="AJ32" s="242">
        <v>18.591145833333321</v>
      </c>
      <c r="AK32" s="242">
        <v>0</v>
      </c>
      <c r="AL32" s="242">
        <v>10.759615384615381</v>
      </c>
      <c r="AM32" s="242">
        <v>0</v>
      </c>
      <c r="AN32" s="242">
        <v>1.1610576923076765</v>
      </c>
      <c r="AO32" s="242">
        <v>0</v>
      </c>
      <c r="AP32" s="242">
        <v>0</v>
      </c>
      <c r="AQ32" s="242">
        <v>0</v>
      </c>
      <c r="AR32" s="242">
        <v>0</v>
      </c>
      <c r="AS32" s="242">
        <v>0</v>
      </c>
      <c r="AT32" s="242">
        <v>8.4567307692307683</v>
      </c>
      <c r="AU32" s="242">
        <v>0</v>
      </c>
      <c r="AV32" s="242">
        <v>8.826923076923066</v>
      </c>
      <c r="AW32" s="242">
        <v>0</v>
      </c>
      <c r="AX32" s="242">
        <v>7.4550000000000036</v>
      </c>
      <c r="AY32" s="242">
        <v>0</v>
      </c>
    </row>
    <row r="33" spans="2:51">
      <c r="B33" s="211">
        <v>10083</v>
      </c>
      <c r="C33" s="211" t="s">
        <v>36</v>
      </c>
      <c r="D33" s="242">
        <v>1.6105769230776446</v>
      </c>
      <c r="E33" s="242">
        <v>0</v>
      </c>
      <c r="F33" s="242">
        <v>0</v>
      </c>
      <c r="G33" s="242">
        <v>0</v>
      </c>
      <c r="H33" s="242">
        <v>434.67749999999893</v>
      </c>
      <c r="I33" s="242">
        <v>0</v>
      </c>
      <c r="J33" s="242">
        <v>505.43509615384477</v>
      </c>
      <c r="K33" s="242">
        <v>0</v>
      </c>
      <c r="L33" s="242">
        <v>1731.0899999999988</v>
      </c>
      <c r="M33" s="242">
        <v>0</v>
      </c>
      <c r="N33" s="242">
        <v>1584.0096153846143</v>
      </c>
      <c r="O33" s="242">
        <v>0</v>
      </c>
      <c r="P33" s="242">
        <v>452.05048076923003</v>
      </c>
      <c r="Q33" s="242">
        <v>0</v>
      </c>
      <c r="R33" s="242">
        <v>1131.9447115384614</v>
      </c>
      <c r="S33" s="242">
        <v>0</v>
      </c>
      <c r="T33" s="242">
        <v>4307.0850000000009</v>
      </c>
      <c r="U33" s="242">
        <v>0</v>
      </c>
      <c r="V33" s="242">
        <v>2052.6850961538453</v>
      </c>
      <c r="W33" s="242">
        <v>0</v>
      </c>
      <c r="X33" s="242">
        <v>3204.1203703703704</v>
      </c>
      <c r="Y33" s="242">
        <v>0</v>
      </c>
      <c r="Z33" s="242">
        <v>1565.1197916666674</v>
      </c>
      <c r="AA33" s="242">
        <v>0</v>
      </c>
      <c r="AB33" s="242">
        <v>0</v>
      </c>
      <c r="AC33" s="242">
        <v>0</v>
      </c>
      <c r="AD33" s="242">
        <v>0</v>
      </c>
      <c r="AE33" s="242">
        <v>0</v>
      </c>
      <c r="AF33" s="242">
        <v>410.37999999999954</v>
      </c>
      <c r="AG33" s="242">
        <v>0</v>
      </c>
      <c r="AH33" s="242">
        <v>481.24759615384471</v>
      </c>
      <c r="AI33" s="242">
        <v>0</v>
      </c>
      <c r="AJ33" s="242">
        <v>1665.8072916666656</v>
      </c>
      <c r="AK33" s="242">
        <v>0</v>
      </c>
      <c r="AL33" s="242">
        <v>1559.7307692307697</v>
      </c>
      <c r="AM33" s="242">
        <v>0</v>
      </c>
      <c r="AN33" s="242">
        <v>426.79086538461553</v>
      </c>
      <c r="AO33" s="242">
        <v>0</v>
      </c>
      <c r="AP33" s="242">
        <v>1048.7668269230769</v>
      </c>
      <c r="AQ33" s="242">
        <v>0</v>
      </c>
      <c r="AR33" s="242">
        <v>4293.2725000000009</v>
      </c>
      <c r="AS33" s="242">
        <v>0</v>
      </c>
      <c r="AT33" s="242">
        <v>2034.6562500000002</v>
      </c>
      <c r="AU33" s="242">
        <v>0</v>
      </c>
      <c r="AV33" s="242">
        <v>3177.5625000000005</v>
      </c>
      <c r="AW33" s="242">
        <v>0</v>
      </c>
      <c r="AX33" s="242">
        <v>1542.5825</v>
      </c>
      <c r="AY33" s="242">
        <v>0</v>
      </c>
    </row>
    <row r="34" spans="2:51">
      <c r="B34" s="211">
        <v>10086</v>
      </c>
      <c r="C34" s="211" t="s">
        <v>37</v>
      </c>
      <c r="D34" s="242">
        <v>528.68750000000045</v>
      </c>
      <c r="E34" s="242">
        <v>0</v>
      </c>
      <c r="F34" s="242">
        <v>545.09500000000014</v>
      </c>
      <c r="G34" s="242">
        <v>0</v>
      </c>
      <c r="H34" s="242">
        <v>638.06500000000005</v>
      </c>
      <c r="I34" s="242">
        <v>0</v>
      </c>
      <c r="J34" s="242">
        <v>861.0048076923083</v>
      </c>
      <c r="K34" s="242">
        <v>0</v>
      </c>
      <c r="L34" s="242">
        <v>667.66500000000087</v>
      </c>
      <c r="M34" s="242">
        <v>0</v>
      </c>
      <c r="N34" s="242">
        <v>739.79086538461547</v>
      </c>
      <c r="O34" s="242">
        <v>0</v>
      </c>
      <c r="P34" s="242">
        <v>1178.5504807692309</v>
      </c>
      <c r="Q34" s="242">
        <v>0</v>
      </c>
      <c r="R34" s="242">
        <v>562.35576923076974</v>
      </c>
      <c r="S34" s="242">
        <v>0</v>
      </c>
      <c r="T34" s="242">
        <v>446.5225000000006</v>
      </c>
      <c r="U34" s="242">
        <v>0</v>
      </c>
      <c r="V34" s="242">
        <v>510.27163461538419</v>
      </c>
      <c r="W34" s="242">
        <v>0</v>
      </c>
      <c r="X34" s="242">
        <v>631.74305555555497</v>
      </c>
      <c r="Y34" s="242">
        <v>0</v>
      </c>
      <c r="Z34" s="242">
        <v>580.15885416666674</v>
      </c>
      <c r="AA34" s="242">
        <v>0</v>
      </c>
      <c r="AB34" s="242">
        <v>549.73148148148107</v>
      </c>
      <c r="AC34" s="242">
        <v>0</v>
      </c>
      <c r="AD34" s="242">
        <v>549.11749999999972</v>
      </c>
      <c r="AE34" s="242">
        <v>0</v>
      </c>
      <c r="AF34" s="242">
        <v>642.32499999999959</v>
      </c>
      <c r="AG34" s="242">
        <v>0</v>
      </c>
      <c r="AH34" s="242">
        <v>865.14663461538464</v>
      </c>
      <c r="AI34" s="242">
        <v>0</v>
      </c>
      <c r="AJ34" s="242">
        <v>669.81250000000034</v>
      </c>
      <c r="AK34" s="242">
        <v>0</v>
      </c>
      <c r="AL34" s="242">
        <v>744.39182692307668</v>
      </c>
      <c r="AM34" s="242">
        <v>0</v>
      </c>
      <c r="AN34" s="242">
        <v>1182.5552884615386</v>
      </c>
      <c r="AO34" s="242">
        <v>0</v>
      </c>
      <c r="AP34" s="242">
        <v>566.25721153846189</v>
      </c>
      <c r="AQ34" s="242">
        <v>0</v>
      </c>
      <c r="AR34" s="242">
        <v>449.57000000000022</v>
      </c>
      <c r="AS34" s="242">
        <v>0</v>
      </c>
      <c r="AT34" s="242">
        <v>512.39182692307713</v>
      </c>
      <c r="AU34" s="242">
        <v>0</v>
      </c>
      <c r="AV34" s="242">
        <v>616.42548076923106</v>
      </c>
      <c r="AW34" s="242">
        <v>0</v>
      </c>
      <c r="AX34" s="242">
        <v>602.82000000000005</v>
      </c>
      <c r="AY34" s="242">
        <v>0</v>
      </c>
    </row>
    <row r="35" spans="2:51">
      <c r="B35" s="211">
        <v>10087</v>
      </c>
      <c r="C35" s="211" t="s">
        <v>38</v>
      </c>
      <c r="D35" s="242">
        <v>0</v>
      </c>
      <c r="E35" s="242">
        <v>0</v>
      </c>
      <c r="F35" s="242">
        <v>0</v>
      </c>
      <c r="G35" s="242">
        <v>0</v>
      </c>
      <c r="H35" s="242">
        <v>1861.3825000000013</v>
      </c>
      <c r="I35" s="242">
        <v>0</v>
      </c>
      <c r="J35" s="242">
        <v>0</v>
      </c>
      <c r="K35" s="242">
        <v>0</v>
      </c>
      <c r="L35" s="242">
        <v>0</v>
      </c>
      <c r="M35" s="242">
        <v>0</v>
      </c>
      <c r="N35" s="242">
        <v>0</v>
      </c>
      <c r="O35" s="242">
        <v>0</v>
      </c>
      <c r="P35" s="242">
        <v>0</v>
      </c>
      <c r="Q35" s="242">
        <v>0</v>
      </c>
      <c r="R35" s="242">
        <v>0</v>
      </c>
      <c r="S35" s="242">
        <v>0</v>
      </c>
      <c r="T35" s="242">
        <v>0</v>
      </c>
      <c r="U35" s="242">
        <v>0</v>
      </c>
      <c r="V35" s="242">
        <v>0</v>
      </c>
      <c r="W35" s="242">
        <v>0</v>
      </c>
      <c r="X35" s="242">
        <v>0</v>
      </c>
      <c r="Y35" s="242">
        <v>0</v>
      </c>
      <c r="Z35" s="242">
        <v>0</v>
      </c>
      <c r="AA35" s="242">
        <v>0</v>
      </c>
      <c r="AB35" s="242">
        <v>0</v>
      </c>
      <c r="AC35" s="242">
        <v>0</v>
      </c>
      <c r="AD35" s="242">
        <v>0</v>
      </c>
      <c r="AE35" s="242">
        <v>0</v>
      </c>
      <c r="AF35" s="242">
        <v>1861.3825000000013</v>
      </c>
      <c r="AG35" s="242">
        <v>0</v>
      </c>
      <c r="AH35" s="242">
        <v>0</v>
      </c>
      <c r="AI35" s="242">
        <v>0</v>
      </c>
      <c r="AJ35" s="242">
        <v>0</v>
      </c>
      <c r="AK35" s="242">
        <v>0</v>
      </c>
      <c r="AL35" s="242">
        <v>0</v>
      </c>
      <c r="AM35" s="242">
        <v>0</v>
      </c>
      <c r="AN35" s="242">
        <v>0</v>
      </c>
      <c r="AO35" s="242">
        <v>0</v>
      </c>
      <c r="AP35" s="242">
        <v>0</v>
      </c>
      <c r="AQ35" s="242">
        <v>0</v>
      </c>
      <c r="AR35" s="242">
        <v>0</v>
      </c>
      <c r="AS35" s="242">
        <v>0</v>
      </c>
      <c r="AT35" s="242">
        <v>0</v>
      </c>
      <c r="AU35" s="242">
        <v>0</v>
      </c>
      <c r="AV35" s="242">
        <v>0</v>
      </c>
      <c r="AW35" s="242">
        <v>0</v>
      </c>
      <c r="AX35" s="242">
        <v>0</v>
      </c>
      <c r="AY35" s="242">
        <v>0</v>
      </c>
    </row>
    <row r="36" spans="2:51">
      <c r="B36" s="211">
        <v>10089</v>
      </c>
      <c r="C36" s="211" t="s">
        <v>39</v>
      </c>
      <c r="D36" s="242">
        <v>1136.6514423076878</v>
      </c>
      <c r="E36" s="242">
        <v>0</v>
      </c>
      <c r="F36" s="242">
        <v>2834.7299999999864</v>
      </c>
      <c r="G36" s="242">
        <v>0</v>
      </c>
      <c r="H36" s="242">
        <v>16326.612499999992</v>
      </c>
      <c r="I36" s="242">
        <v>0</v>
      </c>
      <c r="J36" s="242">
        <v>10467.031249999998</v>
      </c>
      <c r="K36" s="242">
        <v>0</v>
      </c>
      <c r="L36" s="242">
        <v>2144.0999999999945</v>
      </c>
      <c r="M36" s="242">
        <v>0</v>
      </c>
      <c r="N36" s="242">
        <v>13589.788461538465</v>
      </c>
      <c r="O36" s="242">
        <v>0</v>
      </c>
      <c r="P36" s="242">
        <v>20225.21875</v>
      </c>
      <c r="Q36" s="242">
        <v>0</v>
      </c>
      <c r="R36" s="242">
        <v>7492.5841346153884</v>
      </c>
      <c r="S36" s="242">
        <v>0</v>
      </c>
      <c r="T36" s="242">
        <v>28513.849999999977</v>
      </c>
      <c r="U36" s="242">
        <v>0</v>
      </c>
      <c r="V36" s="242">
        <v>23290.334134615397</v>
      </c>
      <c r="W36" s="242">
        <v>0</v>
      </c>
      <c r="X36" s="242">
        <v>29759.833333333358</v>
      </c>
      <c r="Y36" s="242">
        <v>0</v>
      </c>
      <c r="Z36" s="242">
        <v>17671.346354166642</v>
      </c>
      <c r="AA36" s="242">
        <v>0</v>
      </c>
      <c r="AB36" s="242">
        <v>1049.1990740740746</v>
      </c>
      <c r="AC36" s="242">
        <v>0</v>
      </c>
      <c r="AD36" s="242">
        <v>3008.4274999999893</v>
      </c>
      <c r="AE36" s="242">
        <v>0</v>
      </c>
      <c r="AF36" s="242">
        <v>17039.85499999997</v>
      </c>
      <c r="AG36" s="242">
        <v>0</v>
      </c>
      <c r="AH36" s="242">
        <v>11031.548076923065</v>
      </c>
      <c r="AI36" s="242">
        <v>0</v>
      </c>
      <c r="AJ36" s="242">
        <v>0</v>
      </c>
      <c r="AK36" s="242">
        <v>0</v>
      </c>
      <c r="AL36" s="242">
        <v>13676.858173076926</v>
      </c>
      <c r="AM36" s="242">
        <v>0</v>
      </c>
      <c r="AN36" s="242">
        <v>20176.709134615383</v>
      </c>
      <c r="AO36" s="242">
        <v>0</v>
      </c>
      <c r="AP36" s="242">
        <v>7497.6081730769156</v>
      </c>
      <c r="AQ36" s="242">
        <v>0</v>
      </c>
      <c r="AR36" s="242">
        <v>28652.254999999997</v>
      </c>
      <c r="AS36" s="242">
        <v>0</v>
      </c>
      <c r="AT36" s="242">
        <v>23447.427884615397</v>
      </c>
      <c r="AU36" s="242">
        <v>0</v>
      </c>
      <c r="AV36" s="242">
        <v>29980.372596153826</v>
      </c>
      <c r="AW36" s="242">
        <v>0</v>
      </c>
      <c r="AX36" s="242">
        <v>17768.947499999995</v>
      </c>
      <c r="AY36" s="242">
        <v>0</v>
      </c>
    </row>
    <row r="37" spans="2:51">
      <c r="B37" s="211">
        <v>10091</v>
      </c>
      <c r="C37" s="211" t="s">
        <v>40</v>
      </c>
      <c r="D37" s="242">
        <v>351.59134615384602</v>
      </c>
      <c r="E37" s="242">
        <v>0</v>
      </c>
      <c r="F37" s="242">
        <v>792.39499999999816</v>
      </c>
      <c r="G37" s="242">
        <v>0</v>
      </c>
      <c r="H37" s="242">
        <v>1333.5574999999994</v>
      </c>
      <c r="I37" s="242">
        <v>0</v>
      </c>
      <c r="J37" s="242">
        <v>1767.9879807692296</v>
      </c>
      <c r="K37" s="242">
        <v>0</v>
      </c>
      <c r="L37" s="242">
        <v>691.00249999999971</v>
      </c>
      <c r="M37" s="242">
        <v>0</v>
      </c>
      <c r="N37" s="242">
        <v>0</v>
      </c>
      <c r="O37" s="242">
        <v>0</v>
      </c>
      <c r="P37" s="242">
        <v>786.15865384615313</v>
      </c>
      <c r="Q37" s="242">
        <v>0</v>
      </c>
      <c r="R37" s="242">
        <v>1098.3197115384621</v>
      </c>
      <c r="S37" s="242">
        <v>0</v>
      </c>
      <c r="T37" s="242">
        <v>482.59749999999889</v>
      </c>
      <c r="U37" s="242">
        <v>0</v>
      </c>
      <c r="V37" s="242">
        <v>1094.8052884615374</v>
      </c>
      <c r="W37" s="242">
        <v>0</v>
      </c>
      <c r="X37" s="242">
        <v>1091.0902777777778</v>
      </c>
      <c r="Y37" s="242">
        <v>0</v>
      </c>
      <c r="Z37" s="242">
        <v>247.30468750000045</v>
      </c>
      <c r="AA37" s="242">
        <v>0</v>
      </c>
      <c r="AB37" s="242">
        <v>673.64351851851904</v>
      </c>
      <c r="AC37" s="242">
        <v>0</v>
      </c>
      <c r="AD37" s="242">
        <v>792.39499999999816</v>
      </c>
      <c r="AE37" s="242">
        <v>0</v>
      </c>
      <c r="AF37" s="242">
        <v>1333.5574999999994</v>
      </c>
      <c r="AG37" s="242">
        <v>0</v>
      </c>
      <c r="AH37" s="242">
        <v>1767.9879807692296</v>
      </c>
      <c r="AI37" s="242">
        <v>0</v>
      </c>
      <c r="AJ37" s="242">
        <v>624.7421875000008</v>
      </c>
      <c r="AK37" s="242">
        <v>0</v>
      </c>
      <c r="AL37" s="242">
        <v>0</v>
      </c>
      <c r="AM37" s="242">
        <v>0</v>
      </c>
      <c r="AN37" s="242">
        <v>786.15865384615313</v>
      </c>
      <c r="AO37" s="242">
        <v>0</v>
      </c>
      <c r="AP37" s="242">
        <v>1098.3197115384621</v>
      </c>
      <c r="AQ37" s="242">
        <v>0</v>
      </c>
      <c r="AR37" s="242">
        <v>482.59749999999889</v>
      </c>
      <c r="AS37" s="242">
        <v>0</v>
      </c>
      <c r="AT37" s="242">
        <v>1094.8052884615374</v>
      </c>
      <c r="AU37" s="242">
        <v>0</v>
      </c>
      <c r="AV37" s="242">
        <v>765.24759615384562</v>
      </c>
      <c r="AW37" s="242">
        <v>0</v>
      </c>
      <c r="AX37" s="242">
        <v>569.77250000000072</v>
      </c>
      <c r="AY37" s="242">
        <v>0</v>
      </c>
    </row>
    <row r="38" spans="2:51">
      <c r="B38" s="211">
        <v>10094</v>
      </c>
      <c r="C38" s="211" t="s">
        <v>41</v>
      </c>
      <c r="D38" s="242">
        <v>465.22836538461553</v>
      </c>
      <c r="E38" s="242">
        <v>0</v>
      </c>
      <c r="F38" s="242">
        <v>255.91500000000067</v>
      </c>
      <c r="G38" s="242">
        <v>0</v>
      </c>
      <c r="H38" s="242">
        <v>314.72499999999957</v>
      </c>
      <c r="I38" s="242">
        <v>0</v>
      </c>
      <c r="J38" s="242">
        <v>639.81009615384551</v>
      </c>
      <c r="K38" s="242">
        <v>0</v>
      </c>
      <c r="L38" s="242">
        <v>484.11249999999927</v>
      </c>
      <c r="M38" s="242">
        <v>0</v>
      </c>
      <c r="N38" s="242">
        <v>486.23076923076957</v>
      </c>
      <c r="O38" s="242">
        <v>0</v>
      </c>
      <c r="P38" s="242">
        <v>570.91346153846212</v>
      </c>
      <c r="Q38" s="242">
        <v>0</v>
      </c>
      <c r="R38" s="242">
        <v>506.69711538461513</v>
      </c>
      <c r="S38" s="242">
        <v>0</v>
      </c>
      <c r="T38" s="242">
        <v>353.50499999999994</v>
      </c>
      <c r="U38" s="242">
        <v>0</v>
      </c>
      <c r="V38" s="242">
        <v>620.8846153846149</v>
      </c>
      <c r="W38" s="242">
        <v>0</v>
      </c>
      <c r="X38" s="242">
        <v>545.8518518518523</v>
      </c>
      <c r="Y38" s="242">
        <v>0</v>
      </c>
      <c r="Z38" s="242">
        <v>332.56510416666652</v>
      </c>
      <c r="AA38" s="242">
        <v>0</v>
      </c>
      <c r="AB38" s="242">
        <v>590.07175925925935</v>
      </c>
      <c r="AC38" s="242">
        <v>0</v>
      </c>
      <c r="AD38" s="242">
        <v>255.91500000000067</v>
      </c>
      <c r="AE38" s="242">
        <v>0</v>
      </c>
      <c r="AF38" s="242">
        <v>314.72499999999957</v>
      </c>
      <c r="AG38" s="242">
        <v>0</v>
      </c>
      <c r="AH38" s="242">
        <v>639.81009615384551</v>
      </c>
      <c r="AI38" s="242">
        <v>0</v>
      </c>
      <c r="AJ38" s="242">
        <v>461.91666666666629</v>
      </c>
      <c r="AK38" s="242">
        <v>0</v>
      </c>
      <c r="AL38" s="242">
        <v>486.23076923076957</v>
      </c>
      <c r="AM38" s="242">
        <v>0</v>
      </c>
      <c r="AN38" s="242">
        <v>570.91346153846212</v>
      </c>
      <c r="AO38" s="242">
        <v>0</v>
      </c>
      <c r="AP38" s="242">
        <v>506.69711538461513</v>
      </c>
      <c r="AQ38" s="242">
        <v>0</v>
      </c>
      <c r="AR38" s="242">
        <v>353.50499999999994</v>
      </c>
      <c r="AS38" s="242">
        <v>0</v>
      </c>
      <c r="AT38" s="242">
        <v>620.8846153846149</v>
      </c>
      <c r="AU38" s="242">
        <v>0</v>
      </c>
      <c r="AV38" s="242">
        <v>427.69230769230825</v>
      </c>
      <c r="AW38" s="242">
        <v>0</v>
      </c>
      <c r="AX38" s="242">
        <v>458.54249999999996</v>
      </c>
      <c r="AY38" s="242">
        <v>0</v>
      </c>
    </row>
    <row r="39" spans="2:51">
      <c r="B39" s="211">
        <v>10095</v>
      </c>
      <c r="C39" s="211" t="s">
        <v>42</v>
      </c>
      <c r="D39" s="242">
        <v>507.38942307692281</v>
      </c>
      <c r="E39" s="242">
        <v>0</v>
      </c>
      <c r="F39" s="242">
        <v>305.24750000000012</v>
      </c>
      <c r="G39" s="242">
        <v>0</v>
      </c>
      <c r="H39" s="242">
        <v>437.1450000000001</v>
      </c>
      <c r="I39" s="242">
        <v>0</v>
      </c>
      <c r="J39" s="242">
        <v>458.37500000000023</v>
      </c>
      <c r="K39" s="242">
        <v>0</v>
      </c>
      <c r="L39" s="242">
        <v>446.9575000000001</v>
      </c>
      <c r="M39" s="242">
        <v>0</v>
      </c>
      <c r="N39" s="242">
        <v>131.62740384615401</v>
      </c>
      <c r="O39" s="242">
        <v>0</v>
      </c>
      <c r="P39" s="242">
        <v>353.97596153846246</v>
      </c>
      <c r="Q39" s="242">
        <v>0</v>
      </c>
      <c r="R39" s="242">
        <v>139.26201923076943</v>
      </c>
      <c r="S39" s="242">
        <v>0</v>
      </c>
      <c r="T39" s="242">
        <v>51.125000000000085</v>
      </c>
      <c r="U39" s="242">
        <v>0</v>
      </c>
      <c r="V39" s="242">
        <v>219.85817307692312</v>
      </c>
      <c r="W39" s="242">
        <v>0</v>
      </c>
      <c r="X39" s="242">
        <v>129.67824074074008</v>
      </c>
      <c r="Y39" s="242">
        <v>0</v>
      </c>
      <c r="Z39" s="242">
        <v>94.46614583333313</v>
      </c>
      <c r="AA39" s="242">
        <v>0</v>
      </c>
      <c r="AB39" s="242">
        <v>545.03009259259204</v>
      </c>
      <c r="AC39" s="242">
        <v>0</v>
      </c>
      <c r="AD39" s="242">
        <v>300.86250000000001</v>
      </c>
      <c r="AE39" s="242">
        <v>0</v>
      </c>
      <c r="AF39" s="242">
        <v>430.60999999999973</v>
      </c>
      <c r="AG39" s="242">
        <v>0</v>
      </c>
      <c r="AH39" s="242">
        <v>463.03846153846263</v>
      </c>
      <c r="AI39" s="242">
        <v>0</v>
      </c>
      <c r="AJ39" s="242">
        <v>353.85937500000011</v>
      </c>
      <c r="AK39" s="242">
        <v>0</v>
      </c>
      <c r="AL39" s="242">
        <v>135.59374999999929</v>
      </c>
      <c r="AM39" s="242">
        <v>0</v>
      </c>
      <c r="AN39" s="242">
        <v>357.35096153846166</v>
      </c>
      <c r="AO39" s="242">
        <v>0</v>
      </c>
      <c r="AP39" s="242">
        <v>141.68990384615387</v>
      </c>
      <c r="AQ39" s="242">
        <v>0</v>
      </c>
      <c r="AR39" s="242">
        <v>51.900000000000055</v>
      </c>
      <c r="AS39" s="242">
        <v>0</v>
      </c>
      <c r="AT39" s="242">
        <v>221.269230769231</v>
      </c>
      <c r="AU39" s="242">
        <v>0</v>
      </c>
      <c r="AV39" s="242">
        <v>89.158653846154067</v>
      </c>
      <c r="AW39" s="242">
        <v>0</v>
      </c>
      <c r="AX39" s="242">
        <v>139.74749999999946</v>
      </c>
      <c r="AY39" s="242">
        <v>0</v>
      </c>
    </row>
    <row r="40" spans="2:51">
      <c r="B40" s="211">
        <v>10097</v>
      </c>
      <c r="C40" s="211" t="s">
        <v>43</v>
      </c>
      <c r="D40" s="242">
        <v>444.98317307692304</v>
      </c>
      <c r="E40" s="242">
        <v>0</v>
      </c>
      <c r="F40" s="242">
        <v>291.62250000000017</v>
      </c>
      <c r="G40" s="242">
        <v>0</v>
      </c>
      <c r="H40" s="242">
        <v>630.46249999999998</v>
      </c>
      <c r="I40" s="242">
        <v>0</v>
      </c>
      <c r="J40" s="242">
        <v>675.84855769230739</v>
      </c>
      <c r="K40" s="242">
        <v>0</v>
      </c>
      <c r="L40" s="242">
        <v>274.02249999999992</v>
      </c>
      <c r="M40" s="242">
        <v>0</v>
      </c>
      <c r="N40" s="242">
        <v>322.98076923076923</v>
      </c>
      <c r="O40" s="242">
        <v>0</v>
      </c>
      <c r="P40" s="242">
        <v>467.98317307692304</v>
      </c>
      <c r="Q40" s="242">
        <v>0</v>
      </c>
      <c r="R40" s="242">
        <v>286.59855769230779</v>
      </c>
      <c r="S40" s="242">
        <v>0</v>
      </c>
      <c r="T40" s="242">
        <v>229.34250000000006</v>
      </c>
      <c r="U40" s="242">
        <v>0</v>
      </c>
      <c r="V40" s="242">
        <v>252.9879807692308</v>
      </c>
      <c r="W40" s="242">
        <v>0</v>
      </c>
      <c r="X40" s="242">
        <v>281.58796296296305</v>
      </c>
      <c r="Y40" s="242">
        <v>0</v>
      </c>
      <c r="Z40" s="242">
        <v>219.32812499999989</v>
      </c>
      <c r="AA40" s="242">
        <v>0</v>
      </c>
      <c r="AB40" s="242">
        <v>523.95138888888926</v>
      </c>
      <c r="AC40" s="242">
        <v>0</v>
      </c>
      <c r="AD40" s="242">
        <v>292.91499999999962</v>
      </c>
      <c r="AE40" s="242">
        <v>0</v>
      </c>
      <c r="AF40" s="242">
        <v>633.0725000000001</v>
      </c>
      <c r="AG40" s="242">
        <v>0</v>
      </c>
      <c r="AH40" s="242">
        <v>678.57451923076951</v>
      </c>
      <c r="AI40" s="242">
        <v>0</v>
      </c>
      <c r="AJ40" s="242">
        <v>255.71874999999966</v>
      </c>
      <c r="AK40" s="242">
        <v>0</v>
      </c>
      <c r="AL40" s="242">
        <v>325.07211538461536</v>
      </c>
      <c r="AM40" s="242">
        <v>0</v>
      </c>
      <c r="AN40" s="242">
        <v>469.91346153846195</v>
      </c>
      <c r="AO40" s="242">
        <v>0</v>
      </c>
      <c r="AP40" s="242">
        <v>288.54807692307685</v>
      </c>
      <c r="AQ40" s="242">
        <v>0</v>
      </c>
      <c r="AR40" s="242">
        <v>230.24000000000026</v>
      </c>
      <c r="AS40" s="242">
        <v>0</v>
      </c>
      <c r="AT40" s="242">
        <v>253.95673076923097</v>
      </c>
      <c r="AU40" s="242">
        <v>0</v>
      </c>
      <c r="AV40" s="242">
        <v>224.70673076923086</v>
      </c>
      <c r="AW40" s="242">
        <v>0</v>
      </c>
      <c r="AX40" s="242">
        <v>282.10749999999996</v>
      </c>
      <c r="AY40" s="242">
        <v>0</v>
      </c>
    </row>
    <row r="41" spans="2:51">
      <c r="B41" s="211">
        <v>10101</v>
      </c>
      <c r="C41" s="211" t="s">
        <v>44</v>
      </c>
      <c r="D41" s="242">
        <v>0</v>
      </c>
      <c r="E41" s="242">
        <v>0</v>
      </c>
      <c r="F41" s="242">
        <v>0</v>
      </c>
      <c r="G41" s="242">
        <v>0</v>
      </c>
      <c r="H41" s="242">
        <v>26583.467500000006</v>
      </c>
      <c r="I41" s="242">
        <v>0</v>
      </c>
      <c r="J41" s="242">
        <v>26449.199519230766</v>
      </c>
      <c r="K41" s="242">
        <v>0</v>
      </c>
      <c r="L41" s="242">
        <v>22685.624999999996</v>
      </c>
      <c r="M41" s="242">
        <v>0</v>
      </c>
      <c r="N41" s="242">
        <v>12757.223557692292</v>
      </c>
      <c r="O41" s="242">
        <v>0</v>
      </c>
      <c r="P41" s="242">
        <v>19184.209134615387</v>
      </c>
      <c r="Q41" s="242">
        <v>0</v>
      </c>
      <c r="R41" s="242">
        <v>16457.218750000004</v>
      </c>
      <c r="S41" s="242">
        <v>0</v>
      </c>
      <c r="T41" s="242">
        <v>8661.8524999999991</v>
      </c>
      <c r="U41" s="242">
        <v>0</v>
      </c>
      <c r="V41" s="242">
        <v>7780.846153846147</v>
      </c>
      <c r="W41" s="242">
        <v>0</v>
      </c>
      <c r="X41" s="242">
        <v>9740.5740740740766</v>
      </c>
      <c r="Y41" s="242">
        <v>0</v>
      </c>
      <c r="Z41" s="242">
        <v>9860.0937499999964</v>
      </c>
      <c r="AA41" s="242">
        <v>0</v>
      </c>
      <c r="AB41" s="242">
        <v>0</v>
      </c>
      <c r="AC41" s="242">
        <v>0</v>
      </c>
      <c r="AD41" s="242">
        <v>218.1824999999975</v>
      </c>
      <c r="AE41" s="242">
        <v>0</v>
      </c>
      <c r="AF41" s="242">
        <v>27631.630000000023</v>
      </c>
      <c r="AG41" s="242">
        <v>0</v>
      </c>
      <c r="AH41" s="242">
        <v>27495.637019230777</v>
      </c>
      <c r="AI41" s="242">
        <v>0</v>
      </c>
      <c r="AJ41" s="242">
        <v>22084.708333333347</v>
      </c>
      <c r="AK41" s="242">
        <v>0</v>
      </c>
      <c r="AL41" s="242">
        <v>13801.790865384624</v>
      </c>
      <c r="AM41" s="242">
        <v>0</v>
      </c>
      <c r="AN41" s="242">
        <v>20143.673076923063</v>
      </c>
      <c r="AO41" s="242">
        <v>0</v>
      </c>
      <c r="AP41" s="242">
        <v>17416.27163461539</v>
      </c>
      <c r="AQ41" s="242">
        <v>0</v>
      </c>
      <c r="AR41" s="242">
        <v>9527.0550000000076</v>
      </c>
      <c r="AS41" s="242">
        <v>0</v>
      </c>
      <c r="AT41" s="242">
        <v>8656.6033653846171</v>
      </c>
      <c r="AU41" s="242">
        <v>0</v>
      </c>
      <c r="AV41" s="242">
        <v>8397.233173076922</v>
      </c>
      <c r="AW41" s="242">
        <v>0</v>
      </c>
      <c r="AX41" s="242">
        <v>13383.482500000007</v>
      </c>
      <c r="AY41" s="242">
        <v>0</v>
      </c>
    </row>
    <row r="42" spans="2:51">
      <c r="B42" s="211">
        <v>10103</v>
      </c>
      <c r="C42" s="211" t="s">
        <v>45</v>
      </c>
      <c r="D42" s="242">
        <v>0</v>
      </c>
      <c r="E42" s="242">
        <v>0</v>
      </c>
      <c r="F42" s="242">
        <v>0</v>
      </c>
      <c r="G42" s="242">
        <v>0</v>
      </c>
      <c r="H42" s="242">
        <v>0</v>
      </c>
      <c r="I42" s="242">
        <v>0</v>
      </c>
      <c r="J42" s="242">
        <v>0</v>
      </c>
      <c r="K42" s="242">
        <v>0</v>
      </c>
      <c r="L42" s="242">
        <v>0</v>
      </c>
      <c r="M42" s="242">
        <v>0</v>
      </c>
      <c r="N42" s="242">
        <v>0</v>
      </c>
      <c r="O42" s="242">
        <v>0</v>
      </c>
      <c r="P42" s="242">
        <v>0</v>
      </c>
      <c r="Q42" s="242">
        <v>0</v>
      </c>
      <c r="R42" s="242">
        <v>0</v>
      </c>
      <c r="S42" s="242">
        <v>0</v>
      </c>
      <c r="T42" s="242">
        <v>0</v>
      </c>
      <c r="U42" s="242">
        <v>0</v>
      </c>
      <c r="V42" s="242">
        <v>0</v>
      </c>
      <c r="W42" s="242">
        <v>0</v>
      </c>
      <c r="X42" s="242">
        <v>0</v>
      </c>
      <c r="Y42" s="242">
        <v>0</v>
      </c>
      <c r="Z42" s="242">
        <v>0</v>
      </c>
      <c r="AA42" s="242">
        <v>0</v>
      </c>
      <c r="AB42" s="242">
        <v>0</v>
      </c>
      <c r="AC42" s="242">
        <v>0</v>
      </c>
      <c r="AD42" s="242">
        <v>0</v>
      </c>
      <c r="AE42" s="242">
        <v>0</v>
      </c>
      <c r="AF42" s="242">
        <v>0</v>
      </c>
      <c r="AG42" s="242">
        <v>0</v>
      </c>
      <c r="AH42" s="242">
        <v>0</v>
      </c>
      <c r="AI42" s="242">
        <v>0</v>
      </c>
      <c r="AJ42" s="242">
        <v>0</v>
      </c>
      <c r="AK42" s="242">
        <v>0</v>
      </c>
      <c r="AL42" s="242">
        <v>0</v>
      </c>
      <c r="AM42" s="242">
        <v>0</v>
      </c>
      <c r="AN42" s="242">
        <v>0</v>
      </c>
      <c r="AO42" s="242">
        <v>0</v>
      </c>
      <c r="AP42" s="242">
        <v>0</v>
      </c>
      <c r="AQ42" s="242">
        <v>0</v>
      </c>
      <c r="AR42" s="242">
        <v>0</v>
      </c>
      <c r="AS42" s="242">
        <v>0</v>
      </c>
      <c r="AT42" s="242">
        <v>0</v>
      </c>
      <c r="AU42" s="242">
        <v>0</v>
      </c>
      <c r="AV42" s="242">
        <v>0</v>
      </c>
      <c r="AW42" s="242">
        <v>0</v>
      </c>
      <c r="AX42" s="242">
        <v>0</v>
      </c>
      <c r="AY42" s="242">
        <v>0</v>
      </c>
    </row>
    <row r="43" spans="2:51">
      <c r="B43" s="211">
        <v>10105</v>
      </c>
      <c r="C43" s="211" t="s">
        <v>46</v>
      </c>
      <c r="D43" s="242">
        <v>0</v>
      </c>
      <c r="E43" s="242">
        <v>0</v>
      </c>
      <c r="F43" s="242">
        <v>0</v>
      </c>
      <c r="G43" s="242">
        <v>0</v>
      </c>
      <c r="H43" s="242">
        <v>0</v>
      </c>
      <c r="I43" s="242">
        <v>0</v>
      </c>
      <c r="J43" s="242">
        <v>0</v>
      </c>
      <c r="K43" s="242">
        <v>0</v>
      </c>
      <c r="L43" s="242">
        <v>0</v>
      </c>
      <c r="M43" s="242">
        <v>0</v>
      </c>
      <c r="N43" s="242">
        <v>0</v>
      </c>
      <c r="O43" s="242">
        <v>0</v>
      </c>
      <c r="P43" s="242">
        <v>0</v>
      </c>
      <c r="Q43" s="242">
        <v>0</v>
      </c>
      <c r="R43" s="242">
        <v>0</v>
      </c>
      <c r="S43" s="242">
        <v>0</v>
      </c>
      <c r="T43" s="242">
        <v>0</v>
      </c>
      <c r="U43" s="242">
        <v>0</v>
      </c>
      <c r="V43" s="242">
        <v>0</v>
      </c>
      <c r="W43" s="242">
        <v>0</v>
      </c>
      <c r="X43" s="242">
        <v>0</v>
      </c>
      <c r="Y43" s="242">
        <v>0</v>
      </c>
      <c r="Z43" s="242">
        <v>0</v>
      </c>
      <c r="AA43" s="242">
        <v>0</v>
      </c>
      <c r="AB43" s="242">
        <v>0</v>
      </c>
      <c r="AC43" s="242">
        <v>0</v>
      </c>
      <c r="AD43" s="242">
        <v>0</v>
      </c>
      <c r="AE43" s="242">
        <v>0</v>
      </c>
      <c r="AF43" s="242">
        <v>0</v>
      </c>
      <c r="AG43" s="242">
        <v>0</v>
      </c>
      <c r="AH43" s="242">
        <v>0</v>
      </c>
      <c r="AI43" s="242">
        <v>0</v>
      </c>
      <c r="AJ43" s="242">
        <v>0</v>
      </c>
      <c r="AK43" s="242">
        <v>0</v>
      </c>
      <c r="AL43" s="242">
        <v>0</v>
      </c>
      <c r="AM43" s="242">
        <v>0</v>
      </c>
      <c r="AN43" s="242">
        <v>0</v>
      </c>
      <c r="AO43" s="242">
        <v>0</v>
      </c>
      <c r="AP43" s="242">
        <v>0</v>
      </c>
      <c r="AQ43" s="242">
        <v>0</v>
      </c>
      <c r="AR43" s="242">
        <v>0</v>
      </c>
      <c r="AS43" s="242">
        <v>0</v>
      </c>
      <c r="AT43" s="242">
        <v>0</v>
      </c>
      <c r="AU43" s="242">
        <v>0</v>
      </c>
      <c r="AV43" s="242">
        <v>0</v>
      </c>
      <c r="AW43" s="242">
        <v>0</v>
      </c>
      <c r="AX43" s="242">
        <v>0</v>
      </c>
      <c r="AY43" s="242">
        <v>0</v>
      </c>
    </row>
    <row r="44" spans="2:51">
      <c r="B44" s="211">
        <v>10106</v>
      </c>
      <c r="C44" s="211" t="s">
        <v>47</v>
      </c>
      <c r="D44" s="242">
        <v>0</v>
      </c>
      <c r="E44" s="242">
        <v>0</v>
      </c>
      <c r="F44" s="242">
        <v>0</v>
      </c>
      <c r="G44" s="242">
        <v>0</v>
      </c>
      <c r="H44" s="242">
        <v>0</v>
      </c>
      <c r="I44" s="242">
        <v>0</v>
      </c>
      <c r="J44" s="242">
        <v>0</v>
      </c>
      <c r="K44" s="242">
        <v>0</v>
      </c>
      <c r="L44" s="242">
        <v>0</v>
      </c>
      <c r="M44" s="242">
        <v>0</v>
      </c>
      <c r="N44" s="242">
        <v>0</v>
      </c>
      <c r="O44" s="242">
        <v>0</v>
      </c>
      <c r="P44" s="242">
        <v>0</v>
      </c>
      <c r="Q44" s="242">
        <v>0</v>
      </c>
      <c r="R44" s="242">
        <v>0</v>
      </c>
      <c r="S44" s="242">
        <v>0</v>
      </c>
      <c r="T44" s="242">
        <v>0</v>
      </c>
      <c r="U44" s="242">
        <v>0</v>
      </c>
      <c r="V44" s="242">
        <v>0</v>
      </c>
      <c r="W44" s="242">
        <v>0</v>
      </c>
      <c r="X44" s="242">
        <v>0</v>
      </c>
      <c r="Y44" s="242">
        <v>0</v>
      </c>
      <c r="Z44" s="242">
        <v>0</v>
      </c>
      <c r="AA44" s="242">
        <v>0</v>
      </c>
      <c r="AB44" s="242">
        <v>0</v>
      </c>
      <c r="AC44" s="242">
        <v>0</v>
      </c>
      <c r="AD44" s="242">
        <v>0</v>
      </c>
      <c r="AE44" s="242">
        <v>0</v>
      </c>
      <c r="AF44" s="242">
        <v>0</v>
      </c>
      <c r="AG44" s="242">
        <v>0</v>
      </c>
      <c r="AH44" s="242">
        <v>0</v>
      </c>
      <c r="AI44" s="242">
        <v>0</v>
      </c>
      <c r="AJ44" s="242">
        <v>0</v>
      </c>
      <c r="AK44" s="242">
        <v>0</v>
      </c>
      <c r="AL44" s="242">
        <v>0</v>
      </c>
      <c r="AM44" s="242">
        <v>0</v>
      </c>
      <c r="AN44" s="242">
        <v>0</v>
      </c>
      <c r="AO44" s="242">
        <v>0</v>
      </c>
      <c r="AP44" s="242">
        <v>0</v>
      </c>
      <c r="AQ44" s="242">
        <v>0</v>
      </c>
      <c r="AR44" s="242">
        <v>0</v>
      </c>
      <c r="AS44" s="242">
        <v>0</v>
      </c>
      <c r="AT44" s="242">
        <v>0</v>
      </c>
      <c r="AU44" s="242">
        <v>0</v>
      </c>
      <c r="AV44" s="242">
        <v>0</v>
      </c>
      <c r="AW44" s="242">
        <v>0</v>
      </c>
      <c r="AX44" s="242">
        <v>0</v>
      </c>
      <c r="AY44" s="242">
        <v>0</v>
      </c>
    </row>
    <row r="45" spans="2:51">
      <c r="B45" s="211">
        <v>10109</v>
      </c>
      <c r="C45" s="211" t="s">
        <v>48</v>
      </c>
      <c r="D45" s="242">
        <v>4719.9062499999982</v>
      </c>
      <c r="E45" s="242">
        <v>0</v>
      </c>
      <c r="F45" s="242">
        <v>1884.9374999999986</v>
      </c>
      <c r="G45" s="242">
        <v>0</v>
      </c>
      <c r="H45" s="242">
        <v>3219.7925000000032</v>
      </c>
      <c r="I45" s="242">
        <v>0</v>
      </c>
      <c r="J45" s="242">
        <v>4816.7211538461552</v>
      </c>
      <c r="K45" s="242">
        <v>0</v>
      </c>
      <c r="L45" s="242">
        <v>4303.7950000000001</v>
      </c>
      <c r="M45" s="242">
        <v>0</v>
      </c>
      <c r="N45" s="242">
        <v>4683.2307692307704</v>
      </c>
      <c r="O45" s="242">
        <v>0</v>
      </c>
      <c r="P45" s="242">
        <v>4248.2331730769229</v>
      </c>
      <c r="Q45" s="242">
        <v>0</v>
      </c>
      <c r="R45" s="242">
        <v>2141.1201923076901</v>
      </c>
      <c r="S45" s="242">
        <v>0</v>
      </c>
      <c r="T45" s="242">
        <v>2916.6050000000023</v>
      </c>
      <c r="U45" s="242">
        <v>0</v>
      </c>
      <c r="V45" s="242">
        <v>3710.1346153846171</v>
      </c>
      <c r="W45" s="242">
        <v>0</v>
      </c>
      <c r="X45" s="242">
        <v>3600.0231481481474</v>
      </c>
      <c r="Y45" s="242">
        <v>0</v>
      </c>
      <c r="Z45" s="242">
        <v>4012.5755208333339</v>
      </c>
      <c r="AA45" s="242">
        <v>0</v>
      </c>
      <c r="AB45" s="242">
        <v>4678.886574074073</v>
      </c>
      <c r="AC45" s="242">
        <v>0</v>
      </c>
      <c r="AD45" s="242">
        <v>1916.8749999999984</v>
      </c>
      <c r="AE45" s="242">
        <v>0</v>
      </c>
      <c r="AF45" s="242">
        <v>3292.8349999999991</v>
      </c>
      <c r="AG45" s="242">
        <v>0</v>
      </c>
      <c r="AH45" s="242">
        <v>4867.6923076923049</v>
      </c>
      <c r="AI45" s="242">
        <v>0</v>
      </c>
      <c r="AJ45" s="242">
        <v>4088.3619791666661</v>
      </c>
      <c r="AK45" s="242">
        <v>0</v>
      </c>
      <c r="AL45" s="242">
        <v>4701.5697115384637</v>
      </c>
      <c r="AM45" s="242">
        <v>0</v>
      </c>
      <c r="AN45" s="242">
        <v>4240.274038461539</v>
      </c>
      <c r="AO45" s="242">
        <v>0</v>
      </c>
      <c r="AP45" s="242">
        <v>2114.0697115384637</v>
      </c>
      <c r="AQ45" s="242">
        <v>0</v>
      </c>
      <c r="AR45" s="242">
        <v>2888.4649999999983</v>
      </c>
      <c r="AS45" s="242">
        <v>0</v>
      </c>
      <c r="AT45" s="242">
        <v>3700.5000000000009</v>
      </c>
      <c r="AU45" s="242">
        <v>0</v>
      </c>
      <c r="AV45" s="242">
        <v>3639.2548076923113</v>
      </c>
      <c r="AW45" s="242">
        <v>0</v>
      </c>
      <c r="AX45" s="242">
        <v>3944.2624999999971</v>
      </c>
      <c r="AY45" s="242">
        <v>0</v>
      </c>
    </row>
    <row r="46" spans="2:51">
      <c r="B46" s="211">
        <v>10111</v>
      </c>
      <c r="C46" s="211" t="s">
        <v>49</v>
      </c>
      <c r="D46" s="242">
        <v>563.22355769230785</v>
      </c>
      <c r="E46" s="242">
        <v>0</v>
      </c>
      <c r="F46" s="242">
        <v>79.422499999999957</v>
      </c>
      <c r="G46" s="242">
        <v>0</v>
      </c>
      <c r="H46" s="242">
        <v>747.30500000000006</v>
      </c>
      <c r="I46" s="242">
        <v>0</v>
      </c>
      <c r="J46" s="242">
        <v>1066.2355769230769</v>
      </c>
      <c r="K46" s="242">
        <v>0</v>
      </c>
      <c r="L46" s="242">
        <v>0</v>
      </c>
      <c r="M46" s="242">
        <v>0</v>
      </c>
      <c r="N46" s="242">
        <v>827.25721153846132</v>
      </c>
      <c r="O46" s="242">
        <v>0</v>
      </c>
      <c r="P46" s="242">
        <v>465.49038461538458</v>
      </c>
      <c r="Q46" s="242">
        <v>0</v>
      </c>
      <c r="R46" s="242">
        <v>166.88221153846084</v>
      </c>
      <c r="S46" s="242">
        <v>0</v>
      </c>
      <c r="T46" s="242">
        <v>506.58749999999975</v>
      </c>
      <c r="U46" s="242">
        <v>0</v>
      </c>
      <c r="V46" s="242">
        <v>633.61298076923117</v>
      </c>
      <c r="W46" s="242">
        <v>0</v>
      </c>
      <c r="X46" s="242">
        <v>707.76851851851802</v>
      </c>
      <c r="Y46" s="242">
        <v>0</v>
      </c>
      <c r="Z46" s="242">
        <v>587.74479166666697</v>
      </c>
      <c r="AA46" s="242">
        <v>0</v>
      </c>
      <c r="AB46" s="242">
        <v>553.70601851851836</v>
      </c>
      <c r="AC46" s="242">
        <v>0</v>
      </c>
      <c r="AD46" s="242">
        <v>77.715000000000202</v>
      </c>
      <c r="AE46" s="242">
        <v>0</v>
      </c>
      <c r="AF46" s="242">
        <v>728.78250000000014</v>
      </c>
      <c r="AG46" s="242">
        <v>0</v>
      </c>
      <c r="AH46" s="242">
        <v>1051.7548076923078</v>
      </c>
      <c r="AI46" s="242">
        <v>0</v>
      </c>
      <c r="AJ46" s="242">
        <v>141.6197916666666</v>
      </c>
      <c r="AK46" s="242">
        <v>0</v>
      </c>
      <c r="AL46" s="242">
        <v>825.00000000000057</v>
      </c>
      <c r="AM46" s="242">
        <v>0</v>
      </c>
      <c r="AN46" s="242">
        <v>466.48076923076974</v>
      </c>
      <c r="AO46" s="242">
        <v>0</v>
      </c>
      <c r="AP46" s="242">
        <v>169.68269230769207</v>
      </c>
      <c r="AQ46" s="242">
        <v>0</v>
      </c>
      <c r="AR46" s="242">
        <v>509.45000000000016</v>
      </c>
      <c r="AS46" s="242">
        <v>0</v>
      </c>
      <c r="AT46" s="242">
        <v>636.13701923076928</v>
      </c>
      <c r="AU46" s="242">
        <v>0</v>
      </c>
      <c r="AV46" s="242">
        <v>728.23798076923117</v>
      </c>
      <c r="AW46" s="242">
        <v>0</v>
      </c>
      <c r="AX46" s="242">
        <v>571.77999999999975</v>
      </c>
      <c r="AY46" s="242">
        <v>0</v>
      </c>
    </row>
    <row r="47" spans="2:51">
      <c r="B47" s="211">
        <v>10112</v>
      </c>
      <c r="C47" s="211" t="s">
        <v>50</v>
      </c>
      <c r="D47" s="242">
        <v>5595.3197115384719</v>
      </c>
      <c r="E47" s="242">
        <v>0</v>
      </c>
      <c r="F47" s="242">
        <v>3759.9125000000004</v>
      </c>
      <c r="G47" s="242">
        <v>0</v>
      </c>
      <c r="H47" s="242">
        <v>739.22499999999582</v>
      </c>
      <c r="I47" s="242">
        <v>0</v>
      </c>
      <c r="J47" s="242">
        <v>2665.9735576923094</v>
      </c>
      <c r="K47" s="242">
        <v>0</v>
      </c>
      <c r="L47" s="242">
        <v>10913.134999999998</v>
      </c>
      <c r="M47" s="242">
        <v>0</v>
      </c>
      <c r="N47" s="242">
        <v>3422.2980769230739</v>
      </c>
      <c r="O47" s="242">
        <v>0</v>
      </c>
      <c r="P47" s="242">
        <v>11492.050480769221</v>
      </c>
      <c r="Q47" s="242">
        <v>0</v>
      </c>
      <c r="R47" s="242">
        <v>10662.980769230768</v>
      </c>
      <c r="S47" s="242">
        <v>0</v>
      </c>
      <c r="T47" s="242">
        <v>11005.269999999997</v>
      </c>
      <c r="U47" s="242">
        <v>0</v>
      </c>
      <c r="V47" s="242">
        <v>15870.32932692308</v>
      </c>
      <c r="W47" s="242">
        <v>0</v>
      </c>
      <c r="X47" s="242">
        <v>16001.752314814823</v>
      </c>
      <c r="Y47" s="242">
        <v>0</v>
      </c>
      <c r="Z47" s="242">
        <v>6228.1718750000018</v>
      </c>
      <c r="AA47" s="242">
        <v>0</v>
      </c>
      <c r="AB47" s="242">
        <v>7507.3749999999955</v>
      </c>
      <c r="AC47" s="242">
        <v>0</v>
      </c>
      <c r="AD47" s="242">
        <v>3366.772500000005</v>
      </c>
      <c r="AE47" s="242">
        <v>0</v>
      </c>
      <c r="AF47" s="242">
        <v>308.28750000001116</v>
      </c>
      <c r="AG47" s="242">
        <v>0</v>
      </c>
      <c r="AH47" s="242">
        <v>2250.3437499999973</v>
      </c>
      <c r="AI47" s="242">
        <v>0</v>
      </c>
      <c r="AJ47" s="242">
        <v>9782.4687500000091</v>
      </c>
      <c r="AK47" s="242">
        <v>0</v>
      </c>
      <c r="AL47" s="242">
        <v>3032.7139423076978</v>
      </c>
      <c r="AM47" s="242">
        <v>0</v>
      </c>
      <c r="AN47" s="242">
        <v>11110.05048076923</v>
      </c>
      <c r="AO47" s="242">
        <v>0</v>
      </c>
      <c r="AP47" s="242">
        <v>10243.045673076924</v>
      </c>
      <c r="AQ47" s="242">
        <v>0</v>
      </c>
      <c r="AR47" s="242">
        <v>10941.405000000002</v>
      </c>
      <c r="AS47" s="242">
        <v>0</v>
      </c>
      <c r="AT47" s="242">
        <v>15843.247596153848</v>
      </c>
      <c r="AU47" s="242">
        <v>0</v>
      </c>
      <c r="AV47" s="242">
        <v>13587.557692307699</v>
      </c>
      <c r="AW47" s="242">
        <v>0</v>
      </c>
      <c r="AX47" s="242">
        <v>8537.2350000000024</v>
      </c>
      <c r="AY47" s="242">
        <v>0</v>
      </c>
    </row>
    <row r="48" spans="2:51">
      <c r="B48" s="211">
        <v>10113</v>
      </c>
      <c r="C48" s="211" t="s">
        <v>51</v>
      </c>
      <c r="D48" s="242">
        <v>0</v>
      </c>
      <c r="E48" s="242">
        <v>0</v>
      </c>
      <c r="F48" s="242">
        <v>0</v>
      </c>
      <c r="G48" s="242">
        <v>0</v>
      </c>
      <c r="H48" s="242">
        <v>0</v>
      </c>
      <c r="I48" s="242">
        <v>0</v>
      </c>
      <c r="J48" s="242">
        <v>0</v>
      </c>
      <c r="K48" s="242">
        <v>0</v>
      </c>
      <c r="L48" s="242">
        <v>0</v>
      </c>
      <c r="M48" s="242">
        <v>0</v>
      </c>
      <c r="N48" s="242">
        <v>0</v>
      </c>
      <c r="O48" s="242">
        <v>0</v>
      </c>
      <c r="P48" s="242">
        <v>1305.1033653846175</v>
      </c>
      <c r="Q48" s="242">
        <v>0</v>
      </c>
      <c r="R48" s="242">
        <v>0</v>
      </c>
      <c r="S48" s="242">
        <v>0</v>
      </c>
      <c r="T48" s="242">
        <v>12542.402500000007</v>
      </c>
      <c r="U48" s="242">
        <v>0</v>
      </c>
      <c r="V48" s="242">
        <v>4276.7259615384564</v>
      </c>
      <c r="W48" s="242">
        <v>0</v>
      </c>
      <c r="X48" s="242">
        <v>11055.759259259261</v>
      </c>
      <c r="Y48" s="242">
        <v>0</v>
      </c>
      <c r="Z48" s="242">
        <v>0</v>
      </c>
      <c r="AA48" s="242">
        <v>0</v>
      </c>
      <c r="AB48" s="242">
        <v>0</v>
      </c>
      <c r="AC48" s="242">
        <v>0</v>
      </c>
      <c r="AD48" s="242">
        <v>0</v>
      </c>
      <c r="AE48" s="242">
        <v>0</v>
      </c>
      <c r="AF48" s="242">
        <v>0</v>
      </c>
      <c r="AG48" s="242">
        <v>0</v>
      </c>
      <c r="AH48" s="242">
        <v>0</v>
      </c>
      <c r="AI48" s="242">
        <v>0</v>
      </c>
      <c r="AJ48" s="242">
        <v>0</v>
      </c>
      <c r="AK48" s="242">
        <v>0</v>
      </c>
      <c r="AL48" s="242">
        <v>0</v>
      </c>
      <c r="AM48" s="242">
        <v>0</v>
      </c>
      <c r="AN48" s="242">
        <v>321.34374999999693</v>
      </c>
      <c r="AO48" s="242">
        <v>0</v>
      </c>
      <c r="AP48" s="242">
        <v>0</v>
      </c>
      <c r="AQ48" s="242">
        <v>0</v>
      </c>
      <c r="AR48" s="242">
        <v>11685.782499999999</v>
      </c>
      <c r="AS48" s="242">
        <v>0</v>
      </c>
      <c r="AT48" s="242">
        <v>3315.7115384615386</v>
      </c>
      <c r="AU48" s="242">
        <v>0</v>
      </c>
      <c r="AV48" s="242">
        <v>10098.141826923069</v>
      </c>
      <c r="AW48" s="242">
        <v>0</v>
      </c>
      <c r="AX48" s="242">
        <v>0</v>
      </c>
      <c r="AY48" s="242">
        <v>0</v>
      </c>
    </row>
    <row r="49" spans="2:51">
      <c r="B49" s="211">
        <v>10116</v>
      </c>
      <c r="C49" s="211" t="s">
        <v>52</v>
      </c>
      <c r="D49" s="242">
        <v>0</v>
      </c>
      <c r="E49" s="242">
        <v>0</v>
      </c>
      <c r="F49" s="242">
        <v>0</v>
      </c>
      <c r="G49" s="242">
        <v>0</v>
      </c>
      <c r="H49" s="242">
        <v>0</v>
      </c>
      <c r="I49" s="242">
        <v>0</v>
      </c>
      <c r="J49" s="242">
        <v>0</v>
      </c>
      <c r="K49" s="242">
        <v>0</v>
      </c>
      <c r="L49" s="242">
        <v>0</v>
      </c>
      <c r="M49" s="242">
        <v>0</v>
      </c>
      <c r="N49" s="242">
        <v>0</v>
      </c>
      <c r="O49" s="242">
        <v>0</v>
      </c>
      <c r="P49" s="242">
        <v>0</v>
      </c>
      <c r="Q49" s="242">
        <v>0</v>
      </c>
      <c r="R49" s="242">
        <v>0</v>
      </c>
      <c r="S49" s="242">
        <v>0</v>
      </c>
      <c r="T49" s="242">
        <v>0</v>
      </c>
      <c r="U49" s="242">
        <v>0</v>
      </c>
      <c r="V49" s="242">
        <v>0</v>
      </c>
      <c r="W49" s="242">
        <v>0</v>
      </c>
      <c r="X49" s="242">
        <v>0</v>
      </c>
      <c r="Y49" s="242">
        <v>0</v>
      </c>
      <c r="Z49" s="242">
        <v>0</v>
      </c>
      <c r="AA49" s="242">
        <v>0</v>
      </c>
      <c r="AB49" s="242">
        <v>0</v>
      </c>
      <c r="AC49" s="242">
        <v>0</v>
      </c>
      <c r="AD49" s="242">
        <v>0</v>
      </c>
      <c r="AE49" s="242">
        <v>0</v>
      </c>
      <c r="AF49" s="242">
        <v>0</v>
      </c>
      <c r="AG49" s="242">
        <v>0</v>
      </c>
      <c r="AH49" s="242">
        <v>0</v>
      </c>
      <c r="AI49" s="242">
        <v>0</v>
      </c>
      <c r="AJ49" s="242">
        <v>0</v>
      </c>
      <c r="AK49" s="242">
        <v>0</v>
      </c>
      <c r="AL49" s="242">
        <v>0</v>
      </c>
      <c r="AM49" s="242">
        <v>0</v>
      </c>
      <c r="AN49" s="242">
        <v>0</v>
      </c>
      <c r="AO49" s="242">
        <v>0</v>
      </c>
      <c r="AP49" s="242">
        <v>0</v>
      </c>
      <c r="AQ49" s="242">
        <v>0</v>
      </c>
      <c r="AR49" s="242">
        <v>0</v>
      </c>
      <c r="AS49" s="242">
        <v>0</v>
      </c>
      <c r="AT49" s="242">
        <v>0</v>
      </c>
      <c r="AU49" s="242">
        <v>0</v>
      </c>
      <c r="AV49" s="242">
        <v>0</v>
      </c>
      <c r="AW49" s="242">
        <v>0</v>
      </c>
      <c r="AX49" s="242">
        <v>0</v>
      </c>
      <c r="AY49" s="242">
        <v>0</v>
      </c>
    </row>
    <row r="50" spans="2:51">
      <c r="B50" s="211">
        <v>10118</v>
      </c>
      <c r="C50" s="211" t="s">
        <v>53</v>
      </c>
      <c r="D50" s="242">
        <v>0</v>
      </c>
      <c r="E50" s="242">
        <v>0</v>
      </c>
      <c r="F50" s="242">
        <v>0</v>
      </c>
      <c r="G50" s="242">
        <v>0</v>
      </c>
      <c r="H50" s="242">
        <v>0</v>
      </c>
      <c r="I50" s="242">
        <v>0</v>
      </c>
      <c r="J50" s="242">
        <v>0</v>
      </c>
      <c r="K50" s="242">
        <v>0</v>
      </c>
      <c r="L50" s="242">
        <v>0</v>
      </c>
      <c r="M50" s="242">
        <v>0</v>
      </c>
      <c r="N50" s="242">
        <v>0</v>
      </c>
      <c r="O50" s="242">
        <v>0</v>
      </c>
      <c r="P50" s="242">
        <v>0</v>
      </c>
      <c r="Q50" s="242">
        <v>0</v>
      </c>
      <c r="R50" s="242">
        <v>0</v>
      </c>
      <c r="S50" s="242">
        <v>0</v>
      </c>
      <c r="T50" s="242">
        <v>0</v>
      </c>
      <c r="U50" s="242">
        <v>0</v>
      </c>
      <c r="V50" s="242">
        <v>0</v>
      </c>
      <c r="W50" s="242">
        <v>0</v>
      </c>
      <c r="X50" s="242">
        <v>0</v>
      </c>
      <c r="Y50" s="242">
        <v>0</v>
      </c>
      <c r="Z50" s="242">
        <v>0</v>
      </c>
      <c r="AA50" s="242">
        <v>0</v>
      </c>
      <c r="AB50" s="242">
        <v>0</v>
      </c>
      <c r="AC50" s="242">
        <v>0</v>
      </c>
      <c r="AD50" s="242">
        <v>0</v>
      </c>
      <c r="AE50" s="242">
        <v>0</v>
      </c>
      <c r="AF50" s="242">
        <v>0</v>
      </c>
      <c r="AG50" s="242">
        <v>0</v>
      </c>
      <c r="AH50" s="242">
        <v>0</v>
      </c>
      <c r="AI50" s="242">
        <v>0</v>
      </c>
      <c r="AJ50" s="242">
        <v>0</v>
      </c>
      <c r="AK50" s="242">
        <v>0</v>
      </c>
      <c r="AL50" s="242">
        <v>0</v>
      </c>
      <c r="AM50" s="242">
        <v>0</v>
      </c>
      <c r="AN50" s="242">
        <v>0</v>
      </c>
      <c r="AO50" s="242">
        <v>0</v>
      </c>
      <c r="AP50" s="242">
        <v>0</v>
      </c>
      <c r="AQ50" s="242">
        <v>0</v>
      </c>
      <c r="AR50" s="242">
        <v>0</v>
      </c>
      <c r="AS50" s="242">
        <v>0</v>
      </c>
      <c r="AT50" s="242">
        <v>0</v>
      </c>
      <c r="AU50" s="242">
        <v>0</v>
      </c>
      <c r="AV50" s="242">
        <v>0</v>
      </c>
      <c r="AW50" s="242">
        <v>0</v>
      </c>
      <c r="AX50" s="242">
        <v>0</v>
      </c>
      <c r="AY50" s="242">
        <v>0</v>
      </c>
    </row>
    <row r="51" spans="2:51">
      <c r="B51" s="211">
        <v>10121</v>
      </c>
      <c r="C51" s="211" t="s">
        <v>54</v>
      </c>
      <c r="D51" s="242">
        <v>0</v>
      </c>
      <c r="E51" s="242">
        <v>0</v>
      </c>
      <c r="F51" s="242">
        <v>0</v>
      </c>
      <c r="G51" s="242">
        <v>0</v>
      </c>
      <c r="H51" s="242">
        <v>0</v>
      </c>
      <c r="I51" s="242">
        <v>0</v>
      </c>
      <c r="J51" s="242">
        <v>0</v>
      </c>
      <c r="K51" s="242">
        <v>0</v>
      </c>
      <c r="L51" s="242">
        <v>0</v>
      </c>
      <c r="M51" s="242">
        <v>0</v>
      </c>
      <c r="N51" s="242">
        <v>0</v>
      </c>
      <c r="O51" s="242">
        <v>0</v>
      </c>
      <c r="P51" s="242">
        <v>0</v>
      </c>
      <c r="Q51" s="242">
        <v>0</v>
      </c>
      <c r="R51" s="242">
        <v>0</v>
      </c>
      <c r="S51" s="242">
        <v>0</v>
      </c>
      <c r="T51" s="242">
        <v>0</v>
      </c>
      <c r="U51" s="242">
        <v>0</v>
      </c>
      <c r="V51" s="242">
        <v>0</v>
      </c>
      <c r="W51" s="242">
        <v>0</v>
      </c>
      <c r="X51" s="242">
        <v>0</v>
      </c>
      <c r="Y51" s="242">
        <v>0</v>
      </c>
      <c r="Z51" s="242">
        <v>0</v>
      </c>
      <c r="AA51" s="242">
        <v>0</v>
      </c>
      <c r="AB51" s="242">
        <v>0</v>
      </c>
      <c r="AC51" s="242">
        <v>0</v>
      </c>
      <c r="AD51" s="242">
        <v>0</v>
      </c>
      <c r="AE51" s="242">
        <v>0</v>
      </c>
      <c r="AF51" s="242">
        <v>0</v>
      </c>
      <c r="AG51" s="242">
        <v>0</v>
      </c>
      <c r="AH51" s="242">
        <v>0</v>
      </c>
      <c r="AI51" s="242">
        <v>0</v>
      </c>
      <c r="AJ51" s="242">
        <v>0</v>
      </c>
      <c r="AK51" s="242">
        <v>0</v>
      </c>
      <c r="AL51" s="242">
        <v>0</v>
      </c>
      <c r="AM51" s="242">
        <v>0</v>
      </c>
      <c r="AN51" s="242">
        <v>0</v>
      </c>
      <c r="AO51" s="242">
        <v>0</v>
      </c>
      <c r="AP51" s="242">
        <v>0</v>
      </c>
      <c r="AQ51" s="242">
        <v>0</v>
      </c>
      <c r="AR51" s="242">
        <v>0</v>
      </c>
      <c r="AS51" s="242">
        <v>0</v>
      </c>
      <c r="AT51" s="242">
        <v>0</v>
      </c>
      <c r="AU51" s="242">
        <v>0</v>
      </c>
      <c r="AV51" s="242">
        <v>0</v>
      </c>
      <c r="AW51" s="242">
        <v>0</v>
      </c>
      <c r="AX51" s="242">
        <v>0</v>
      </c>
      <c r="AY51" s="242">
        <v>0</v>
      </c>
    </row>
    <row r="52" spans="2:51">
      <c r="B52" s="211">
        <v>10123</v>
      </c>
      <c r="C52" s="211" t="s">
        <v>55</v>
      </c>
      <c r="D52" s="242">
        <v>0</v>
      </c>
      <c r="E52" s="242">
        <v>0</v>
      </c>
      <c r="F52" s="242">
        <v>0</v>
      </c>
      <c r="G52" s="242">
        <v>0</v>
      </c>
      <c r="H52" s="242">
        <v>0</v>
      </c>
      <c r="I52" s="242">
        <v>0</v>
      </c>
      <c r="J52" s="242">
        <v>0</v>
      </c>
      <c r="K52" s="242">
        <v>0</v>
      </c>
      <c r="L52" s="242">
        <v>0</v>
      </c>
      <c r="M52" s="242">
        <v>0</v>
      </c>
      <c r="N52" s="242">
        <v>0</v>
      </c>
      <c r="O52" s="242">
        <v>0</v>
      </c>
      <c r="P52" s="242">
        <v>0</v>
      </c>
      <c r="Q52" s="242">
        <v>0</v>
      </c>
      <c r="R52" s="242">
        <v>0</v>
      </c>
      <c r="S52" s="242">
        <v>0</v>
      </c>
      <c r="T52" s="242">
        <v>0</v>
      </c>
      <c r="U52" s="242">
        <v>0</v>
      </c>
      <c r="V52" s="242">
        <v>0</v>
      </c>
      <c r="W52" s="242">
        <v>0</v>
      </c>
      <c r="X52" s="242">
        <v>0</v>
      </c>
      <c r="Y52" s="242">
        <v>0</v>
      </c>
      <c r="Z52" s="242">
        <v>0</v>
      </c>
      <c r="AA52" s="242">
        <v>0</v>
      </c>
      <c r="AB52" s="242">
        <v>0</v>
      </c>
      <c r="AC52" s="242">
        <v>0</v>
      </c>
      <c r="AD52" s="242">
        <v>0</v>
      </c>
      <c r="AE52" s="242">
        <v>0</v>
      </c>
      <c r="AF52" s="242">
        <v>0</v>
      </c>
      <c r="AG52" s="242">
        <v>0</v>
      </c>
      <c r="AH52" s="242">
        <v>0</v>
      </c>
      <c r="AI52" s="242">
        <v>0</v>
      </c>
      <c r="AJ52" s="242">
        <v>0</v>
      </c>
      <c r="AK52" s="242">
        <v>0</v>
      </c>
      <c r="AL52" s="242">
        <v>0</v>
      </c>
      <c r="AM52" s="242">
        <v>0</v>
      </c>
      <c r="AN52" s="242">
        <v>0</v>
      </c>
      <c r="AO52" s="242">
        <v>0</v>
      </c>
      <c r="AP52" s="242">
        <v>0</v>
      </c>
      <c r="AQ52" s="242">
        <v>0</v>
      </c>
      <c r="AR52" s="242">
        <v>0</v>
      </c>
      <c r="AS52" s="242">
        <v>0</v>
      </c>
      <c r="AT52" s="242">
        <v>0</v>
      </c>
      <c r="AU52" s="242">
        <v>0</v>
      </c>
      <c r="AV52" s="242">
        <v>0</v>
      </c>
      <c r="AW52" s="242">
        <v>0</v>
      </c>
      <c r="AX52" s="242">
        <v>0</v>
      </c>
      <c r="AY52" s="242">
        <v>0</v>
      </c>
    </row>
    <row r="53" spans="2:51">
      <c r="B53" s="211">
        <v>10136</v>
      </c>
      <c r="C53" s="211" t="s">
        <v>56</v>
      </c>
      <c r="D53" s="242">
        <v>0</v>
      </c>
      <c r="E53" s="242">
        <v>0</v>
      </c>
      <c r="F53" s="242">
        <v>0</v>
      </c>
      <c r="G53" s="242">
        <v>0</v>
      </c>
      <c r="H53" s="242">
        <v>0</v>
      </c>
      <c r="I53" s="242">
        <v>0</v>
      </c>
      <c r="J53" s="242">
        <v>0</v>
      </c>
      <c r="K53" s="242">
        <v>0</v>
      </c>
      <c r="L53" s="242">
        <v>0</v>
      </c>
      <c r="M53" s="242">
        <v>0</v>
      </c>
      <c r="N53" s="242">
        <v>0</v>
      </c>
      <c r="O53" s="242">
        <v>0</v>
      </c>
      <c r="P53" s="242">
        <v>0</v>
      </c>
      <c r="Q53" s="242">
        <v>0</v>
      </c>
      <c r="R53" s="242">
        <v>0</v>
      </c>
      <c r="S53" s="242">
        <v>0</v>
      </c>
      <c r="T53" s="242">
        <v>0</v>
      </c>
      <c r="U53" s="242">
        <v>0</v>
      </c>
      <c r="V53" s="242">
        <v>0</v>
      </c>
      <c r="W53" s="242">
        <v>0</v>
      </c>
      <c r="X53" s="242">
        <v>0</v>
      </c>
      <c r="Y53" s="242">
        <v>0</v>
      </c>
      <c r="Z53" s="242">
        <v>0</v>
      </c>
      <c r="AA53" s="242">
        <v>0</v>
      </c>
      <c r="AB53" s="242">
        <v>0</v>
      </c>
      <c r="AC53" s="242">
        <v>0</v>
      </c>
      <c r="AD53" s="242">
        <v>0</v>
      </c>
      <c r="AE53" s="242">
        <v>0</v>
      </c>
      <c r="AF53" s="242">
        <v>0</v>
      </c>
      <c r="AG53" s="242">
        <v>0</v>
      </c>
      <c r="AH53" s="242">
        <v>0</v>
      </c>
      <c r="AI53" s="242">
        <v>0</v>
      </c>
      <c r="AJ53" s="242">
        <v>0</v>
      </c>
      <c r="AK53" s="242">
        <v>0</v>
      </c>
      <c r="AL53" s="242">
        <v>0</v>
      </c>
      <c r="AM53" s="242">
        <v>0</v>
      </c>
      <c r="AN53" s="242">
        <v>0</v>
      </c>
      <c r="AO53" s="242">
        <v>0</v>
      </c>
      <c r="AP53" s="242">
        <v>0</v>
      </c>
      <c r="AQ53" s="242">
        <v>0</v>
      </c>
      <c r="AR53" s="242">
        <v>0</v>
      </c>
      <c r="AS53" s="242">
        <v>0</v>
      </c>
      <c r="AT53" s="242">
        <v>0</v>
      </c>
      <c r="AU53" s="242">
        <v>0</v>
      </c>
      <c r="AV53" s="242">
        <v>0</v>
      </c>
      <c r="AW53" s="242">
        <v>0</v>
      </c>
      <c r="AX53" s="242">
        <v>0</v>
      </c>
      <c r="AY53" s="242">
        <v>0</v>
      </c>
    </row>
    <row r="54" spans="2:51">
      <c r="B54" s="211">
        <v>10142</v>
      </c>
      <c r="C54" s="211" t="s">
        <v>57</v>
      </c>
      <c r="D54" s="242">
        <v>612.71875</v>
      </c>
      <c r="E54" s="242">
        <v>0</v>
      </c>
      <c r="F54" s="242">
        <v>185.8000000000003</v>
      </c>
      <c r="G54" s="242">
        <v>0</v>
      </c>
      <c r="H54" s="242">
        <v>635.98499999999956</v>
      </c>
      <c r="I54" s="242">
        <v>0</v>
      </c>
      <c r="J54" s="242">
        <v>703.12019230769238</v>
      </c>
      <c r="K54" s="242">
        <v>0</v>
      </c>
      <c r="L54" s="242">
        <v>275.03499999999968</v>
      </c>
      <c r="M54" s="242">
        <v>0</v>
      </c>
      <c r="N54" s="242">
        <v>424.42548076923072</v>
      </c>
      <c r="O54" s="242">
        <v>0</v>
      </c>
      <c r="P54" s="242">
        <v>493.06490384615387</v>
      </c>
      <c r="Q54" s="242">
        <v>0</v>
      </c>
      <c r="R54" s="242">
        <v>476.95673076923151</v>
      </c>
      <c r="S54" s="242">
        <v>0</v>
      </c>
      <c r="T54" s="242">
        <v>676.14750000000015</v>
      </c>
      <c r="U54" s="242">
        <v>0</v>
      </c>
      <c r="V54" s="242">
        <v>1004.1009615384615</v>
      </c>
      <c r="W54" s="242">
        <v>0</v>
      </c>
      <c r="X54" s="242">
        <v>875.80787037037067</v>
      </c>
      <c r="Y54" s="242">
        <v>0</v>
      </c>
      <c r="Z54" s="242">
        <v>452.95312499999983</v>
      </c>
      <c r="AA54" s="242">
        <v>0</v>
      </c>
      <c r="AB54" s="242">
        <v>622.84259259259272</v>
      </c>
      <c r="AC54" s="242">
        <v>0</v>
      </c>
      <c r="AD54" s="242">
        <v>186.29749999999967</v>
      </c>
      <c r="AE54" s="242">
        <v>0</v>
      </c>
      <c r="AF54" s="242">
        <v>633.88499999999954</v>
      </c>
      <c r="AG54" s="242">
        <v>0</v>
      </c>
      <c r="AH54" s="242">
        <v>702.20192307692321</v>
      </c>
      <c r="AI54" s="242">
        <v>0</v>
      </c>
      <c r="AJ54" s="242">
        <v>449.08593749999983</v>
      </c>
      <c r="AK54" s="242">
        <v>0</v>
      </c>
      <c r="AL54" s="242">
        <v>426.30288461538447</v>
      </c>
      <c r="AM54" s="242">
        <v>0</v>
      </c>
      <c r="AN54" s="242">
        <v>496.19711538461564</v>
      </c>
      <c r="AO54" s="242">
        <v>0</v>
      </c>
      <c r="AP54" s="242">
        <v>502.58894230769192</v>
      </c>
      <c r="AQ54" s="242">
        <v>0</v>
      </c>
      <c r="AR54" s="242">
        <v>694.64249999999981</v>
      </c>
      <c r="AS54" s="242">
        <v>0</v>
      </c>
      <c r="AT54" s="242">
        <v>1019.2788461538455</v>
      </c>
      <c r="AU54" s="242">
        <v>0</v>
      </c>
      <c r="AV54" s="242">
        <v>866.07692307692321</v>
      </c>
      <c r="AW54" s="242">
        <v>0</v>
      </c>
      <c r="AX54" s="242">
        <v>495.36250000000035</v>
      </c>
      <c r="AY54" s="242">
        <v>0</v>
      </c>
    </row>
    <row r="55" spans="2:51">
      <c r="B55" s="211">
        <v>10144</v>
      </c>
      <c r="C55" s="211" t="s">
        <v>58</v>
      </c>
      <c r="D55" s="242">
        <v>480.82451923076871</v>
      </c>
      <c r="E55" s="242">
        <v>0</v>
      </c>
      <c r="F55" s="242">
        <v>295.79999999999984</v>
      </c>
      <c r="G55" s="242">
        <v>0</v>
      </c>
      <c r="H55" s="242">
        <v>1115.1625000000004</v>
      </c>
      <c r="I55" s="242">
        <v>0</v>
      </c>
      <c r="J55" s="242">
        <v>1468.3221153846159</v>
      </c>
      <c r="K55" s="242">
        <v>0</v>
      </c>
      <c r="L55" s="242">
        <v>690.99</v>
      </c>
      <c r="M55" s="242">
        <v>0</v>
      </c>
      <c r="N55" s="242">
        <v>1144.5144230769233</v>
      </c>
      <c r="O55" s="242">
        <v>0</v>
      </c>
      <c r="P55" s="242">
        <v>728.47115384615347</v>
      </c>
      <c r="Q55" s="242">
        <v>0</v>
      </c>
      <c r="R55" s="242">
        <v>610.44230769230751</v>
      </c>
      <c r="S55" s="242">
        <v>0</v>
      </c>
      <c r="T55" s="242">
        <v>581.62500000000023</v>
      </c>
      <c r="U55" s="242">
        <v>0</v>
      </c>
      <c r="V55" s="242">
        <v>507.20432692307713</v>
      </c>
      <c r="W55" s="242">
        <v>0</v>
      </c>
      <c r="X55" s="242">
        <v>722.49768518518522</v>
      </c>
      <c r="Y55" s="242">
        <v>0</v>
      </c>
      <c r="Z55" s="242">
        <v>420.88802083333366</v>
      </c>
      <c r="AA55" s="242">
        <v>0</v>
      </c>
      <c r="AB55" s="242">
        <v>474.00231481481467</v>
      </c>
      <c r="AC55" s="242">
        <v>0</v>
      </c>
      <c r="AD55" s="242">
        <v>297.81999999999977</v>
      </c>
      <c r="AE55" s="242">
        <v>0</v>
      </c>
      <c r="AF55" s="242">
        <v>1117.8775000000005</v>
      </c>
      <c r="AG55" s="242">
        <v>0</v>
      </c>
      <c r="AH55" s="242">
        <v>1469.5769230769222</v>
      </c>
      <c r="AI55" s="242">
        <v>0</v>
      </c>
      <c r="AJ55" s="242">
        <v>1002.2031250000001</v>
      </c>
      <c r="AK55" s="242">
        <v>0</v>
      </c>
      <c r="AL55" s="242">
        <v>1145.8918269230769</v>
      </c>
      <c r="AM55" s="242">
        <v>0</v>
      </c>
      <c r="AN55" s="242">
        <v>729.34375000000045</v>
      </c>
      <c r="AO55" s="242">
        <v>0</v>
      </c>
      <c r="AP55" s="242">
        <v>610.87980769230785</v>
      </c>
      <c r="AQ55" s="242">
        <v>0</v>
      </c>
      <c r="AR55" s="242">
        <v>581.62500000000023</v>
      </c>
      <c r="AS55" s="242">
        <v>0</v>
      </c>
      <c r="AT55" s="242">
        <v>507.20432692307713</v>
      </c>
      <c r="AU55" s="242">
        <v>0</v>
      </c>
      <c r="AV55" s="242">
        <v>728.22836538461559</v>
      </c>
      <c r="AW55" s="242">
        <v>0</v>
      </c>
      <c r="AX55" s="242">
        <v>414.97750000000025</v>
      </c>
      <c r="AY55" s="242">
        <v>0</v>
      </c>
    </row>
    <row r="56" spans="2:51">
      <c r="B56" s="211">
        <v>10156</v>
      </c>
      <c r="C56" s="211" t="s">
        <v>59</v>
      </c>
      <c r="D56" s="242">
        <v>0</v>
      </c>
      <c r="E56" s="242">
        <v>0</v>
      </c>
      <c r="F56" s="242">
        <v>1690.0225000000014</v>
      </c>
      <c r="G56" s="242">
        <v>0</v>
      </c>
      <c r="H56" s="242">
        <v>8708.0249999999942</v>
      </c>
      <c r="I56" s="242">
        <v>0</v>
      </c>
      <c r="J56" s="242">
        <v>8130.1682692307631</v>
      </c>
      <c r="K56" s="242">
        <v>0</v>
      </c>
      <c r="L56" s="242">
        <v>6222.0124999999889</v>
      </c>
      <c r="M56" s="242">
        <v>0</v>
      </c>
      <c r="N56" s="242">
        <v>67.87499999999369</v>
      </c>
      <c r="O56" s="242">
        <v>0</v>
      </c>
      <c r="P56" s="242">
        <v>5014.461538461539</v>
      </c>
      <c r="Q56" s="242">
        <v>0</v>
      </c>
      <c r="R56" s="242">
        <v>1709.6778846153863</v>
      </c>
      <c r="S56" s="242">
        <v>0</v>
      </c>
      <c r="T56" s="242">
        <v>6991.182499999999</v>
      </c>
      <c r="U56" s="242">
        <v>0</v>
      </c>
      <c r="V56" s="242">
        <v>9852.2139423076878</v>
      </c>
      <c r="W56" s="242">
        <v>0</v>
      </c>
      <c r="X56" s="242">
        <v>10836.275462962964</v>
      </c>
      <c r="Y56" s="242">
        <v>0</v>
      </c>
      <c r="Z56" s="242">
        <v>4352.9973958333394</v>
      </c>
      <c r="AA56" s="242">
        <v>0</v>
      </c>
      <c r="AB56" s="242">
        <v>415.35879629629591</v>
      </c>
      <c r="AC56" s="242">
        <v>0</v>
      </c>
      <c r="AD56" s="242">
        <v>1918.7024999999985</v>
      </c>
      <c r="AE56" s="242">
        <v>0</v>
      </c>
      <c r="AF56" s="242">
        <v>9093.5500000000029</v>
      </c>
      <c r="AG56" s="242">
        <v>0</v>
      </c>
      <c r="AH56" s="242">
        <v>8509.1634615384537</v>
      </c>
      <c r="AI56" s="242">
        <v>0</v>
      </c>
      <c r="AJ56" s="242">
        <v>5847.6145833333303</v>
      </c>
      <c r="AK56" s="242">
        <v>0</v>
      </c>
      <c r="AL56" s="242">
        <v>268.19230769230273</v>
      </c>
      <c r="AM56" s="242">
        <v>0</v>
      </c>
      <c r="AN56" s="242">
        <v>5203.822115384618</v>
      </c>
      <c r="AO56" s="242">
        <v>0</v>
      </c>
      <c r="AP56" s="242">
        <v>1909.1298076923078</v>
      </c>
      <c r="AQ56" s="242">
        <v>0</v>
      </c>
      <c r="AR56" s="242">
        <v>7178.8175000000028</v>
      </c>
      <c r="AS56" s="242">
        <v>0</v>
      </c>
      <c r="AT56" s="242">
        <v>10067.338942307697</v>
      </c>
      <c r="AU56" s="242">
        <v>0</v>
      </c>
      <c r="AV56" s="242">
        <v>10032.247596153848</v>
      </c>
      <c r="AW56" s="242">
        <v>0</v>
      </c>
      <c r="AX56" s="242">
        <v>5612.1150000000007</v>
      </c>
      <c r="AY56" s="242">
        <v>0</v>
      </c>
    </row>
    <row r="57" spans="2:51">
      <c r="B57" s="211">
        <v>10157</v>
      </c>
      <c r="C57" s="211" t="s">
        <v>60</v>
      </c>
      <c r="D57" s="242">
        <v>0</v>
      </c>
      <c r="E57" s="242">
        <v>0</v>
      </c>
      <c r="F57" s="242">
        <v>0</v>
      </c>
      <c r="G57" s="242">
        <v>0</v>
      </c>
      <c r="H57" s="242">
        <v>0</v>
      </c>
      <c r="I57" s="242">
        <v>0</v>
      </c>
      <c r="J57" s="242">
        <v>0</v>
      </c>
      <c r="K57" s="242">
        <v>0</v>
      </c>
      <c r="L57" s="242">
        <v>0</v>
      </c>
      <c r="M57" s="242">
        <v>0</v>
      </c>
      <c r="N57" s="242">
        <v>0</v>
      </c>
      <c r="O57" s="242">
        <v>0</v>
      </c>
      <c r="P57" s="242">
        <v>0</v>
      </c>
      <c r="Q57" s="242">
        <v>0</v>
      </c>
      <c r="R57" s="242">
        <v>0</v>
      </c>
      <c r="S57" s="242">
        <v>0</v>
      </c>
      <c r="T57" s="242">
        <v>0</v>
      </c>
      <c r="U57" s="242">
        <v>0</v>
      </c>
      <c r="V57" s="242">
        <v>0</v>
      </c>
      <c r="W57" s="242">
        <v>0</v>
      </c>
      <c r="X57" s="242">
        <v>0</v>
      </c>
      <c r="Y57" s="242">
        <v>0</v>
      </c>
      <c r="Z57" s="242">
        <v>0</v>
      </c>
      <c r="AA57" s="242">
        <v>0</v>
      </c>
      <c r="AB57" s="242">
        <v>0</v>
      </c>
      <c r="AC57" s="242">
        <v>0</v>
      </c>
      <c r="AD57" s="242">
        <v>0</v>
      </c>
      <c r="AE57" s="242">
        <v>0</v>
      </c>
      <c r="AF57" s="242">
        <v>0</v>
      </c>
      <c r="AG57" s="242">
        <v>0</v>
      </c>
      <c r="AH57" s="242">
        <v>0</v>
      </c>
      <c r="AI57" s="242">
        <v>0</v>
      </c>
      <c r="AJ57" s="242">
        <v>0</v>
      </c>
      <c r="AK57" s="242">
        <v>0</v>
      </c>
      <c r="AL57" s="242">
        <v>0</v>
      </c>
      <c r="AM57" s="242">
        <v>0</v>
      </c>
      <c r="AN57" s="242">
        <v>0</v>
      </c>
      <c r="AO57" s="242">
        <v>0</v>
      </c>
      <c r="AP57" s="242">
        <v>0</v>
      </c>
      <c r="AQ57" s="242">
        <v>0</v>
      </c>
      <c r="AR57" s="242">
        <v>0</v>
      </c>
      <c r="AS57" s="242">
        <v>0</v>
      </c>
      <c r="AT57" s="242">
        <v>0</v>
      </c>
      <c r="AU57" s="242">
        <v>0</v>
      </c>
      <c r="AV57" s="242">
        <v>0</v>
      </c>
      <c r="AW57" s="242">
        <v>0</v>
      </c>
      <c r="AX57" s="242">
        <v>0</v>
      </c>
      <c r="AY57" s="242">
        <v>0</v>
      </c>
    </row>
    <row r="58" spans="2:51">
      <c r="B58" s="211">
        <v>10158</v>
      </c>
      <c r="C58" s="211" t="s">
        <v>61</v>
      </c>
      <c r="D58" s="242">
        <v>254.32692307692329</v>
      </c>
      <c r="E58" s="242">
        <v>0</v>
      </c>
      <c r="F58" s="242">
        <v>0</v>
      </c>
      <c r="G58" s="242">
        <v>0</v>
      </c>
      <c r="H58" s="242">
        <v>711.46249999999986</v>
      </c>
      <c r="I58" s="242">
        <v>0</v>
      </c>
      <c r="J58" s="242">
        <v>636.3317307692306</v>
      </c>
      <c r="K58" s="242">
        <v>0</v>
      </c>
      <c r="L58" s="242">
        <v>339.00999999999971</v>
      </c>
      <c r="M58" s="242">
        <v>0</v>
      </c>
      <c r="N58" s="242">
        <v>574.00240384615404</v>
      </c>
      <c r="O58" s="242">
        <v>0</v>
      </c>
      <c r="P58" s="242">
        <v>440.5745192307694</v>
      </c>
      <c r="Q58" s="242">
        <v>0</v>
      </c>
      <c r="R58" s="242">
        <v>207.07211538461539</v>
      </c>
      <c r="S58" s="242">
        <v>0</v>
      </c>
      <c r="T58" s="242">
        <v>129.52749999999997</v>
      </c>
      <c r="U58" s="242">
        <v>0</v>
      </c>
      <c r="V58" s="242">
        <v>306.86298076923066</v>
      </c>
      <c r="W58" s="242">
        <v>0</v>
      </c>
      <c r="X58" s="242">
        <v>320.79398148148141</v>
      </c>
      <c r="Y58" s="242">
        <v>0</v>
      </c>
      <c r="Z58" s="242">
        <v>0</v>
      </c>
      <c r="AA58" s="242">
        <v>0</v>
      </c>
      <c r="AB58" s="242">
        <v>254.78703703703698</v>
      </c>
      <c r="AC58" s="242">
        <v>0</v>
      </c>
      <c r="AD58" s="242">
        <v>0</v>
      </c>
      <c r="AE58" s="242">
        <v>0</v>
      </c>
      <c r="AF58" s="242">
        <v>711.46249999999986</v>
      </c>
      <c r="AG58" s="242">
        <v>0</v>
      </c>
      <c r="AH58" s="242">
        <v>636.3317307692306</v>
      </c>
      <c r="AI58" s="242">
        <v>0</v>
      </c>
      <c r="AJ58" s="242">
        <v>339.32031250000006</v>
      </c>
      <c r="AK58" s="242">
        <v>0</v>
      </c>
      <c r="AL58" s="242">
        <v>574.00240384615404</v>
      </c>
      <c r="AM58" s="242">
        <v>0</v>
      </c>
      <c r="AN58" s="242">
        <v>440.5745192307694</v>
      </c>
      <c r="AO58" s="242">
        <v>0</v>
      </c>
      <c r="AP58" s="242">
        <v>207.07211538461539</v>
      </c>
      <c r="AQ58" s="242">
        <v>0</v>
      </c>
      <c r="AR58" s="242">
        <v>129.52749999999997</v>
      </c>
      <c r="AS58" s="242">
        <v>0</v>
      </c>
      <c r="AT58" s="242">
        <v>306.86298076923066</v>
      </c>
      <c r="AU58" s="242">
        <v>0</v>
      </c>
      <c r="AV58" s="242">
        <v>316.64663461538458</v>
      </c>
      <c r="AW58" s="242">
        <v>0</v>
      </c>
      <c r="AX58" s="242">
        <v>0</v>
      </c>
      <c r="AY58" s="242">
        <v>0</v>
      </c>
    </row>
    <row r="59" spans="2:51">
      <c r="B59" s="211">
        <v>10170</v>
      </c>
      <c r="C59" s="211" t="s">
        <v>62</v>
      </c>
      <c r="D59" s="242">
        <v>0</v>
      </c>
      <c r="E59" s="242">
        <v>0</v>
      </c>
      <c r="F59" s="242">
        <v>0</v>
      </c>
      <c r="G59" s="242">
        <v>0</v>
      </c>
      <c r="H59" s="242">
        <v>0</v>
      </c>
      <c r="I59" s="242">
        <v>0</v>
      </c>
      <c r="J59" s="242">
        <v>0</v>
      </c>
      <c r="K59" s="242">
        <v>0</v>
      </c>
      <c r="L59" s="242">
        <v>0</v>
      </c>
      <c r="M59" s="242">
        <v>0</v>
      </c>
      <c r="N59" s="242">
        <v>0</v>
      </c>
      <c r="O59" s="242">
        <v>0</v>
      </c>
      <c r="P59" s="242">
        <v>0</v>
      </c>
      <c r="Q59" s="242">
        <v>0</v>
      </c>
      <c r="R59" s="242">
        <v>0</v>
      </c>
      <c r="S59" s="242">
        <v>0</v>
      </c>
      <c r="T59" s="242">
        <v>0</v>
      </c>
      <c r="U59" s="242">
        <v>0</v>
      </c>
      <c r="V59" s="242">
        <v>0</v>
      </c>
      <c r="W59" s="242">
        <v>0</v>
      </c>
      <c r="X59" s="242">
        <v>0</v>
      </c>
      <c r="Y59" s="242">
        <v>0</v>
      </c>
      <c r="Z59" s="242">
        <v>0</v>
      </c>
      <c r="AA59" s="242">
        <v>0</v>
      </c>
      <c r="AB59" s="242">
        <v>0</v>
      </c>
      <c r="AC59" s="242">
        <v>0</v>
      </c>
      <c r="AD59" s="242">
        <v>0</v>
      </c>
      <c r="AE59" s="242">
        <v>0</v>
      </c>
      <c r="AF59" s="242">
        <v>0</v>
      </c>
      <c r="AG59" s="242">
        <v>0</v>
      </c>
      <c r="AH59" s="242">
        <v>0</v>
      </c>
      <c r="AI59" s="242">
        <v>0</v>
      </c>
      <c r="AJ59" s="242">
        <v>0</v>
      </c>
      <c r="AK59" s="242">
        <v>0</v>
      </c>
      <c r="AL59" s="242">
        <v>0</v>
      </c>
      <c r="AM59" s="242">
        <v>0</v>
      </c>
      <c r="AN59" s="242">
        <v>0</v>
      </c>
      <c r="AO59" s="242">
        <v>0</v>
      </c>
      <c r="AP59" s="242">
        <v>0</v>
      </c>
      <c r="AQ59" s="242">
        <v>0</v>
      </c>
      <c r="AR59" s="242">
        <v>0</v>
      </c>
      <c r="AS59" s="242">
        <v>0</v>
      </c>
      <c r="AT59" s="242">
        <v>0</v>
      </c>
      <c r="AU59" s="242">
        <v>0</v>
      </c>
      <c r="AV59" s="242">
        <v>0</v>
      </c>
      <c r="AW59" s="242">
        <v>0</v>
      </c>
      <c r="AX59" s="242">
        <v>0</v>
      </c>
      <c r="AY59" s="242">
        <v>0</v>
      </c>
    </row>
    <row r="60" spans="2:51">
      <c r="B60" s="211">
        <v>10172</v>
      </c>
      <c r="C60" s="211" t="s">
        <v>63</v>
      </c>
      <c r="D60" s="242">
        <v>935.9423076923083</v>
      </c>
      <c r="E60" s="242">
        <v>0</v>
      </c>
      <c r="F60" s="242">
        <v>1383.9250000000002</v>
      </c>
      <c r="G60" s="242">
        <v>0</v>
      </c>
      <c r="H60" s="242">
        <v>1075.1524999999999</v>
      </c>
      <c r="I60" s="242">
        <v>0</v>
      </c>
      <c r="J60" s="242">
        <v>1508.1826923076928</v>
      </c>
      <c r="K60" s="242">
        <v>0</v>
      </c>
      <c r="L60" s="242">
        <v>1648.9525000000003</v>
      </c>
      <c r="M60" s="242">
        <v>0</v>
      </c>
      <c r="N60" s="242">
        <v>1195.0600961538466</v>
      </c>
      <c r="O60" s="242">
        <v>0</v>
      </c>
      <c r="P60" s="242">
        <v>1270.7259615384619</v>
      </c>
      <c r="Q60" s="242">
        <v>0</v>
      </c>
      <c r="R60" s="242">
        <v>1531.3461538461538</v>
      </c>
      <c r="S60" s="242">
        <v>0</v>
      </c>
      <c r="T60" s="242">
        <v>723.9524999999993</v>
      </c>
      <c r="U60" s="242">
        <v>0</v>
      </c>
      <c r="V60" s="242">
        <v>1123.3774038461538</v>
      </c>
      <c r="W60" s="242">
        <v>0</v>
      </c>
      <c r="X60" s="242">
        <v>1484.4189814814815</v>
      </c>
      <c r="Y60" s="242">
        <v>0</v>
      </c>
      <c r="Z60" s="242">
        <v>503.38541666666691</v>
      </c>
      <c r="AA60" s="242">
        <v>0</v>
      </c>
      <c r="AB60" s="242">
        <v>1145.7847222222229</v>
      </c>
      <c r="AC60" s="242">
        <v>0</v>
      </c>
      <c r="AD60" s="242">
        <v>1388.4824999999998</v>
      </c>
      <c r="AE60" s="242">
        <v>0</v>
      </c>
      <c r="AF60" s="242">
        <v>1078.4249999999995</v>
      </c>
      <c r="AG60" s="242">
        <v>0</v>
      </c>
      <c r="AH60" s="242">
        <v>1511.9134615384608</v>
      </c>
      <c r="AI60" s="242">
        <v>0</v>
      </c>
      <c r="AJ60" s="242">
        <v>1684.9895833333337</v>
      </c>
      <c r="AK60" s="242">
        <v>0</v>
      </c>
      <c r="AL60" s="242">
        <v>1197.4687499999998</v>
      </c>
      <c r="AM60" s="242">
        <v>0</v>
      </c>
      <c r="AN60" s="242">
        <v>1274.6442307692307</v>
      </c>
      <c r="AO60" s="242">
        <v>0</v>
      </c>
      <c r="AP60" s="242">
        <v>1537.5240384615386</v>
      </c>
      <c r="AQ60" s="242">
        <v>0</v>
      </c>
      <c r="AR60" s="242">
        <v>729.39000000000135</v>
      </c>
      <c r="AS60" s="242">
        <v>0</v>
      </c>
      <c r="AT60" s="242">
        <v>1128.6971153846159</v>
      </c>
      <c r="AU60" s="242">
        <v>0</v>
      </c>
      <c r="AV60" s="242">
        <v>1264.33173076923</v>
      </c>
      <c r="AW60" s="242">
        <v>0</v>
      </c>
      <c r="AX60" s="242">
        <v>732.91499999999996</v>
      </c>
      <c r="AY60" s="242">
        <v>0</v>
      </c>
    </row>
    <row r="61" spans="2:51">
      <c r="B61" s="211">
        <v>10173</v>
      </c>
      <c r="C61" s="211" t="s">
        <v>64</v>
      </c>
      <c r="D61" s="242">
        <v>0</v>
      </c>
      <c r="E61" s="242">
        <v>0</v>
      </c>
      <c r="F61" s="242">
        <v>0</v>
      </c>
      <c r="G61" s="242">
        <v>0</v>
      </c>
      <c r="H61" s="242">
        <v>0</v>
      </c>
      <c r="I61" s="242">
        <v>0</v>
      </c>
      <c r="J61" s="242">
        <v>0</v>
      </c>
      <c r="K61" s="242">
        <v>0</v>
      </c>
      <c r="L61" s="242">
        <v>0</v>
      </c>
      <c r="M61" s="242">
        <v>0</v>
      </c>
      <c r="N61" s="242">
        <v>0</v>
      </c>
      <c r="O61" s="242">
        <v>0</v>
      </c>
      <c r="P61" s="242">
        <v>0</v>
      </c>
      <c r="Q61" s="242">
        <v>0</v>
      </c>
      <c r="R61" s="242">
        <v>0</v>
      </c>
      <c r="S61" s="242">
        <v>0</v>
      </c>
      <c r="T61" s="242">
        <v>0</v>
      </c>
      <c r="U61" s="242">
        <v>0</v>
      </c>
      <c r="V61" s="242">
        <v>0</v>
      </c>
      <c r="W61" s="242">
        <v>0</v>
      </c>
      <c r="X61" s="242">
        <v>0</v>
      </c>
      <c r="Y61" s="242">
        <v>0</v>
      </c>
      <c r="Z61" s="242">
        <v>0</v>
      </c>
      <c r="AA61" s="242">
        <v>0</v>
      </c>
      <c r="AB61" s="242">
        <v>0</v>
      </c>
      <c r="AC61" s="242">
        <v>0</v>
      </c>
      <c r="AD61" s="242">
        <v>0</v>
      </c>
      <c r="AE61" s="242">
        <v>0</v>
      </c>
      <c r="AF61" s="242">
        <v>0</v>
      </c>
      <c r="AG61" s="242">
        <v>0</v>
      </c>
      <c r="AH61" s="242">
        <v>0</v>
      </c>
      <c r="AI61" s="242">
        <v>0</v>
      </c>
      <c r="AJ61" s="242">
        <v>0</v>
      </c>
      <c r="AK61" s="242">
        <v>0</v>
      </c>
      <c r="AL61" s="242">
        <v>0</v>
      </c>
      <c r="AM61" s="242">
        <v>0</v>
      </c>
      <c r="AN61" s="242">
        <v>0</v>
      </c>
      <c r="AO61" s="242">
        <v>0</v>
      </c>
      <c r="AP61" s="242">
        <v>0</v>
      </c>
      <c r="AQ61" s="242">
        <v>0</v>
      </c>
      <c r="AR61" s="242">
        <v>0</v>
      </c>
      <c r="AS61" s="242">
        <v>0</v>
      </c>
      <c r="AT61" s="242">
        <v>0</v>
      </c>
      <c r="AU61" s="242">
        <v>0</v>
      </c>
      <c r="AV61" s="242">
        <v>0</v>
      </c>
      <c r="AW61" s="242">
        <v>0</v>
      </c>
      <c r="AX61" s="242">
        <v>0</v>
      </c>
      <c r="AY61" s="242">
        <v>0</v>
      </c>
    </row>
    <row r="62" spans="2:51">
      <c r="B62" s="211">
        <v>10174</v>
      </c>
      <c r="C62" s="211" t="s">
        <v>65</v>
      </c>
      <c r="D62" s="242">
        <v>59.608173076923038</v>
      </c>
      <c r="E62" s="242">
        <v>0</v>
      </c>
      <c r="F62" s="242">
        <v>0</v>
      </c>
      <c r="G62" s="242">
        <v>0</v>
      </c>
      <c r="H62" s="242">
        <v>138.19499999999991</v>
      </c>
      <c r="I62" s="242">
        <v>0</v>
      </c>
      <c r="J62" s="242">
        <v>149.83653846153848</v>
      </c>
      <c r="K62" s="242">
        <v>0</v>
      </c>
      <c r="L62" s="242">
        <v>29.127499999999944</v>
      </c>
      <c r="M62" s="242">
        <v>0</v>
      </c>
      <c r="N62" s="242">
        <v>45.949519230769262</v>
      </c>
      <c r="O62" s="242">
        <v>0</v>
      </c>
      <c r="P62" s="242">
        <v>8.2860576923077804</v>
      </c>
      <c r="Q62" s="242">
        <v>0</v>
      </c>
      <c r="R62" s="242">
        <v>16.43990384615379</v>
      </c>
      <c r="S62" s="242">
        <v>0</v>
      </c>
      <c r="T62" s="242">
        <v>40.817499999999995</v>
      </c>
      <c r="U62" s="242">
        <v>0</v>
      </c>
      <c r="V62" s="242">
        <v>24.343749999999982</v>
      </c>
      <c r="W62" s="242">
        <v>0</v>
      </c>
      <c r="X62" s="242">
        <v>6.9814814814814223</v>
      </c>
      <c r="Y62" s="242">
        <v>0</v>
      </c>
      <c r="Z62" s="242">
        <v>0</v>
      </c>
      <c r="AA62" s="242">
        <v>0</v>
      </c>
      <c r="AB62" s="242">
        <v>58.581018518518462</v>
      </c>
      <c r="AC62" s="242">
        <v>0</v>
      </c>
      <c r="AD62" s="242">
        <v>0</v>
      </c>
      <c r="AE62" s="242">
        <v>0</v>
      </c>
      <c r="AF62" s="242">
        <v>137.93499999999997</v>
      </c>
      <c r="AG62" s="242">
        <v>0</v>
      </c>
      <c r="AH62" s="242">
        <v>149.57932692307679</v>
      </c>
      <c r="AI62" s="242">
        <v>0</v>
      </c>
      <c r="AJ62" s="242">
        <v>27.929687499999993</v>
      </c>
      <c r="AK62" s="242">
        <v>0</v>
      </c>
      <c r="AL62" s="242">
        <v>45.694711538461583</v>
      </c>
      <c r="AM62" s="242">
        <v>0</v>
      </c>
      <c r="AN62" s="242">
        <v>8.0192307692307789</v>
      </c>
      <c r="AO62" s="242">
        <v>0</v>
      </c>
      <c r="AP62" s="242">
        <v>16.170673076922991</v>
      </c>
      <c r="AQ62" s="242">
        <v>0</v>
      </c>
      <c r="AR62" s="242">
        <v>40.532499999999956</v>
      </c>
      <c r="AS62" s="242">
        <v>0</v>
      </c>
      <c r="AT62" s="242">
        <v>24.064903846153882</v>
      </c>
      <c r="AU62" s="242">
        <v>0</v>
      </c>
      <c r="AV62" s="242">
        <v>6.2307692307691509</v>
      </c>
      <c r="AW62" s="242">
        <v>0</v>
      </c>
      <c r="AX62" s="242">
        <v>0</v>
      </c>
      <c r="AY62" s="242">
        <v>0</v>
      </c>
    </row>
    <row r="63" spans="2:51">
      <c r="B63" s="211">
        <v>10177</v>
      </c>
      <c r="C63" s="211" t="s">
        <v>66</v>
      </c>
      <c r="D63" s="242">
        <v>0</v>
      </c>
      <c r="E63" s="242">
        <v>0</v>
      </c>
      <c r="F63" s="242">
        <v>0</v>
      </c>
      <c r="G63" s="242">
        <v>0</v>
      </c>
      <c r="H63" s="242">
        <v>623.6375000000005</v>
      </c>
      <c r="I63" s="242">
        <v>0</v>
      </c>
      <c r="J63" s="242">
        <v>1859.9423076923051</v>
      </c>
      <c r="K63" s="242">
        <v>0</v>
      </c>
      <c r="L63" s="242">
        <v>2101.8549999999987</v>
      </c>
      <c r="M63" s="242">
        <v>0</v>
      </c>
      <c r="N63" s="242">
        <v>0</v>
      </c>
      <c r="O63" s="242">
        <v>0</v>
      </c>
      <c r="P63" s="242">
        <v>632.68269230769158</v>
      </c>
      <c r="Q63" s="242">
        <v>0</v>
      </c>
      <c r="R63" s="242">
        <v>158.95913461538493</v>
      </c>
      <c r="S63" s="242">
        <v>0</v>
      </c>
      <c r="T63" s="242">
        <v>35.422499999999467</v>
      </c>
      <c r="U63" s="242">
        <v>0</v>
      </c>
      <c r="V63" s="242">
        <v>478.13942307692247</v>
      </c>
      <c r="W63" s="242">
        <v>0</v>
      </c>
      <c r="X63" s="242">
        <v>1591.6759259259254</v>
      </c>
      <c r="Y63" s="242">
        <v>0</v>
      </c>
      <c r="Z63" s="242">
        <v>0</v>
      </c>
      <c r="AA63" s="242">
        <v>0</v>
      </c>
      <c r="AB63" s="242">
        <v>0</v>
      </c>
      <c r="AC63" s="242">
        <v>0</v>
      </c>
      <c r="AD63" s="242">
        <v>104.17749999999958</v>
      </c>
      <c r="AE63" s="242">
        <v>0</v>
      </c>
      <c r="AF63" s="242">
        <v>1068.5350000000003</v>
      </c>
      <c r="AG63" s="242">
        <v>0</v>
      </c>
      <c r="AH63" s="242">
        <v>2325.9807692307686</v>
      </c>
      <c r="AI63" s="242">
        <v>0</v>
      </c>
      <c r="AJ63" s="242">
        <v>2549.7291666666656</v>
      </c>
      <c r="AK63" s="242">
        <v>0</v>
      </c>
      <c r="AL63" s="242">
        <v>0</v>
      </c>
      <c r="AM63" s="242">
        <v>0</v>
      </c>
      <c r="AN63" s="242">
        <v>1207.829326923076</v>
      </c>
      <c r="AO63" s="242">
        <v>0</v>
      </c>
      <c r="AP63" s="242">
        <v>853.69711538461513</v>
      </c>
      <c r="AQ63" s="242">
        <v>0</v>
      </c>
      <c r="AR63" s="242">
        <v>587.8499999999998</v>
      </c>
      <c r="AS63" s="242">
        <v>0</v>
      </c>
      <c r="AT63" s="242">
        <v>1224.4879807692303</v>
      </c>
      <c r="AU63" s="242">
        <v>0</v>
      </c>
      <c r="AV63" s="242">
        <v>2324.3125000000005</v>
      </c>
      <c r="AW63" s="242">
        <v>0</v>
      </c>
      <c r="AX63" s="242">
        <v>873.46499999999901</v>
      </c>
      <c r="AY63" s="242">
        <v>0</v>
      </c>
    </row>
    <row r="64" spans="2:51">
      <c r="B64" s="211">
        <v>10179</v>
      </c>
      <c r="C64" s="211" t="s">
        <v>67</v>
      </c>
      <c r="D64" s="242">
        <v>0</v>
      </c>
      <c r="E64" s="242">
        <v>0</v>
      </c>
      <c r="F64" s="242">
        <v>0</v>
      </c>
      <c r="G64" s="242">
        <v>0</v>
      </c>
      <c r="H64" s="242">
        <v>0</v>
      </c>
      <c r="I64" s="242">
        <v>0</v>
      </c>
      <c r="J64" s="242">
        <v>0</v>
      </c>
      <c r="K64" s="242">
        <v>0</v>
      </c>
      <c r="L64" s="242">
        <v>0</v>
      </c>
      <c r="M64" s="242">
        <v>0</v>
      </c>
      <c r="N64" s="242">
        <v>0</v>
      </c>
      <c r="O64" s="242">
        <v>0</v>
      </c>
      <c r="P64" s="242">
        <v>0</v>
      </c>
      <c r="Q64" s="242">
        <v>0</v>
      </c>
      <c r="R64" s="242">
        <v>0</v>
      </c>
      <c r="S64" s="242">
        <v>0</v>
      </c>
      <c r="T64" s="242">
        <v>0</v>
      </c>
      <c r="U64" s="242">
        <v>0</v>
      </c>
      <c r="V64" s="242">
        <v>0</v>
      </c>
      <c r="W64" s="242">
        <v>0</v>
      </c>
      <c r="X64" s="242">
        <v>0</v>
      </c>
      <c r="Y64" s="242">
        <v>0</v>
      </c>
      <c r="Z64" s="242">
        <v>0</v>
      </c>
      <c r="AA64" s="242">
        <v>0</v>
      </c>
      <c r="AB64" s="242">
        <v>0</v>
      </c>
      <c r="AC64" s="242">
        <v>0</v>
      </c>
      <c r="AD64" s="242">
        <v>0</v>
      </c>
      <c r="AE64" s="242">
        <v>0</v>
      </c>
      <c r="AF64" s="242">
        <v>0</v>
      </c>
      <c r="AG64" s="242">
        <v>0</v>
      </c>
      <c r="AH64" s="242">
        <v>0</v>
      </c>
      <c r="AI64" s="242">
        <v>0</v>
      </c>
      <c r="AJ64" s="242">
        <v>0</v>
      </c>
      <c r="AK64" s="242">
        <v>0</v>
      </c>
      <c r="AL64" s="242">
        <v>0</v>
      </c>
      <c r="AM64" s="242">
        <v>0</v>
      </c>
      <c r="AN64" s="242">
        <v>0</v>
      </c>
      <c r="AO64" s="242">
        <v>0</v>
      </c>
      <c r="AP64" s="242">
        <v>0</v>
      </c>
      <c r="AQ64" s="242">
        <v>0</v>
      </c>
      <c r="AR64" s="242">
        <v>0</v>
      </c>
      <c r="AS64" s="242">
        <v>0</v>
      </c>
      <c r="AT64" s="242">
        <v>0</v>
      </c>
      <c r="AU64" s="242">
        <v>0</v>
      </c>
      <c r="AV64" s="242">
        <v>0</v>
      </c>
      <c r="AW64" s="242">
        <v>0</v>
      </c>
      <c r="AX64" s="242">
        <v>0</v>
      </c>
      <c r="AY64" s="242">
        <v>0</v>
      </c>
    </row>
    <row r="65" spans="2:51">
      <c r="B65" s="211">
        <v>10183</v>
      </c>
      <c r="C65" s="211" t="s">
        <v>68</v>
      </c>
      <c r="D65" s="242">
        <v>0</v>
      </c>
      <c r="E65" s="242">
        <v>0</v>
      </c>
      <c r="F65" s="242">
        <v>0</v>
      </c>
      <c r="G65" s="242">
        <v>0</v>
      </c>
      <c r="H65" s="242">
        <v>0</v>
      </c>
      <c r="I65" s="242">
        <v>0</v>
      </c>
      <c r="J65" s="242">
        <v>0</v>
      </c>
      <c r="K65" s="242">
        <v>0</v>
      </c>
      <c r="L65" s="242">
        <v>0</v>
      </c>
      <c r="M65" s="242">
        <v>0</v>
      </c>
      <c r="N65" s="242">
        <v>0</v>
      </c>
      <c r="O65" s="242">
        <v>0</v>
      </c>
      <c r="P65" s="242">
        <v>0</v>
      </c>
      <c r="Q65" s="242">
        <v>0</v>
      </c>
      <c r="R65" s="242">
        <v>0</v>
      </c>
      <c r="S65" s="242">
        <v>0</v>
      </c>
      <c r="T65" s="242">
        <v>0</v>
      </c>
      <c r="U65" s="242">
        <v>0</v>
      </c>
      <c r="V65" s="242">
        <v>0</v>
      </c>
      <c r="W65" s="242">
        <v>0</v>
      </c>
      <c r="X65" s="242">
        <v>0</v>
      </c>
      <c r="Y65" s="242">
        <v>0</v>
      </c>
      <c r="Z65" s="242">
        <v>0</v>
      </c>
      <c r="AA65" s="242">
        <v>0</v>
      </c>
      <c r="AB65" s="242">
        <v>0</v>
      </c>
      <c r="AC65" s="242">
        <v>0</v>
      </c>
      <c r="AD65" s="242">
        <v>0</v>
      </c>
      <c r="AE65" s="242">
        <v>0</v>
      </c>
      <c r="AF65" s="242">
        <v>0</v>
      </c>
      <c r="AG65" s="242">
        <v>0</v>
      </c>
      <c r="AH65" s="242">
        <v>0</v>
      </c>
      <c r="AI65" s="242">
        <v>0</v>
      </c>
      <c r="AJ65" s="242">
        <v>0</v>
      </c>
      <c r="AK65" s="242">
        <v>0</v>
      </c>
      <c r="AL65" s="242">
        <v>0</v>
      </c>
      <c r="AM65" s="242">
        <v>0</v>
      </c>
      <c r="AN65" s="242">
        <v>0</v>
      </c>
      <c r="AO65" s="242">
        <v>0</v>
      </c>
      <c r="AP65" s="242">
        <v>0</v>
      </c>
      <c r="AQ65" s="242">
        <v>0</v>
      </c>
      <c r="AR65" s="242">
        <v>0</v>
      </c>
      <c r="AS65" s="242">
        <v>0</v>
      </c>
      <c r="AT65" s="242">
        <v>0</v>
      </c>
      <c r="AU65" s="242">
        <v>0</v>
      </c>
      <c r="AV65" s="242">
        <v>0</v>
      </c>
      <c r="AW65" s="242">
        <v>0</v>
      </c>
      <c r="AX65" s="242">
        <v>0</v>
      </c>
      <c r="AY65" s="242">
        <v>0</v>
      </c>
    </row>
    <row r="66" spans="2:51">
      <c r="B66" s="211">
        <v>10186</v>
      </c>
      <c r="C66" s="211" t="s">
        <v>69</v>
      </c>
      <c r="D66" s="242">
        <v>1302.4687500000005</v>
      </c>
      <c r="E66" s="242">
        <v>0</v>
      </c>
      <c r="F66" s="242">
        <v>685.32249999999988</v>
      </c>
      <c r="G66" s="242">
        <v>0</v>
      </c>
      <c r="H66" s="242">
        <v>2015.9450000000033</v>
      </c>
      <c r="I66" s="242">
        <v>0</v>
      </c>
      <c r="J66" s="242">
        <v>4280.2235576923031</v>
      </c>
      <c r="K66" s="242">
        <v>0</v>
      </c>
      <c r="L66" s="242">
        <v>4412.8450000000012</v>
      </c>
      <c r="M66" s="242">
        <v>0</v>
      </c>
      <c r="N66" s="242">
        <v>2800.6225961538453</v>
      </c>
      <c r="O66" s="242">
        <v>0</v>
      </c>
      <c r="P66" s="242">
        <v>3424.853365384618</v>
      </c>
      <c r="Q66" s="242">
        <v>0</v>
      </c>
      <c r="R66" s="242">
        <v>2457.7475961538466</v>
      </c>
      <c r="S66" s="242">
        <v>0</v>
      </c>
      <c r="T66" s="242">
        <v>1150.9225000000004</v>
      </c>
      <c r="U66" s="242">
        <v>0</v>
      </c>
      <c r="V66" s="242">
        <v>4593.1634615384637</v>
      </c>
      <c r="W66" s="242">
        <v>0</v>
      </c>
      <c r="X66" s="242">
        <v>2763.8263888888896</v>
      </c>
      <c r="Y66" s="242">
        <v>0</v>
      </c>
      <c r="Z66" s="242">
        <v>1142.7499999999986</v>
      </c>
      <c r="AA66" s="242">
        <v>0</v>
      </c>
      <c r="AB66" s="242">
        <v>2084.0671296296318</v>
      </c>
      <c r="AC66" s="242">
        <v>0</v>
      </c>
      <c r="AD66" s="242">
        <v>699.09250000000077</v>
      </c>
      <c r="AE66" s="242">
        <v>0</v>
      </c>
      <c r="AF66" s="242">
        <v>2029.8825000000006</v>
      </c>
      <c r="AG66" s="242">
        <v>0</v>
      </c>
      <c r="AH66" s="242">
        <v>4302.4423076923113</v>
      </c>
      <c r="AI66" s="242">
        <v>0</v>
      </c>
      <c r="AJ66" s="242">
        <v>4260.5364583333339</v>
      </c>
      <c r="AK66" s="242">
        <v>0</v>
      </c>
      <c r="AL66" s="242">
        <v>2814.182692307691</v>
      </c>
      <c r="AM66" s="242">
        <v>0</v>
      </c>
      <c r="AN66" s="242">
        <v>3440.2812499999986</v>
      </c>
      <c r="AO66" s="242">
        <v>0</v>
      </c>
      <c r="AP66" s="242">
        <v>2468.3437499999982</v>
      </c>
      <c r="AQ66" s="242">
        <v>0</v>
      </c>
      <c r="AR66" s="242">
        <v>1156.8800000000012</v>
      </c>
      <c r="AS66" s="242">
        <v>0</v>
      </c>
      <c r="AT66" s="242">
        <v>4606.4735576923049</v>
      </c>
      <c r="AU66" s="242">
        <v>0</v>
      </c>
      <c r="AV66" s="242">
        <v>2020.6538461538473</v>
      </c>
      <c r="AW66" s="242">
        <v>0</v>
      </c>
      <c r="AX66" s="242">
        <v>1959.8350000000009</v>
      </c>
      <c r="AY66" s="242">
        <v>0</v>
      </c>
    </row>
    <row r="67" spans="2:51">
      <c r="B67" s="211">
        <v>10190</v>
      </c>
      <c r="C67" s="211" t="s">
        <v>70</v>
      </c>
      <c r="D67" s="242">
        <v>550.38701923077053</v>
      </c>
      <c r="E67" s="242">
        <v>0</v>
      </c>
      <c r="F67" s="242">
        <v>1540.7000000000012</v>
      </c>
      <c r="G67" s="242">
        <v>0</v>
      </c>
      <c r="H67" s="242">
        <v>2648.8299999999981</v>
      </c>
      <c r="I67" s="242">
        <v>0</v>
      </c>
      <c r="J67" s="242">
        <v>2340.1658653846148</v>
      </c>
      <c r="K67" s="242">
        <v>0</v>
      </c>
      <c r="L67" s="242">
        <v>1439.9850000000001</v>
      </c>
      <c r="M67" s="242">
        <v>0</v>
      </c>
      <c r="N67" s="242">
        <v>2163.8822115384614</v>
      </c>
      <c r="O67" s="242">
        <v>0</v>
      </c>
      <c r="P67" s="242">
        <v>1366.7980769230774</v>
      </c>
      <c r="Q67" s="242">
        <v>0</v>
      </c>
      <c r="R67" s="242">
        <v>1027.9927884615379</v>
      </c>
      <c r="S67" s="242">
        <v>0</v>
      </c>
      <c r="T67" s="242">
        <v>533.29500000000121</v>
      </c>
      <c r="U67" s="242">
        <v>0</v>
      </c>
      <c r="V67" s="242">
        <v>1092.7379807692307</v>
      </c>
      <c r="W67" s="242">
        <v>0</v>
      </c>
      <c r="X67" s="242">
        <v>1298.9467592592589</v>
      </c>
      <c r="Y67" s="242">
        <v>0</v>
      </c>
      <c r="Z67" s="242">
        <v>706.20312500000011</v>
      </c>
      <c r="AA67" s="242">
        <v>0</v>
      </c>
      <c r="AB67" s="242">
        <v>790.89120370370483</v>
      </c>
      <c r="AC67" s="242">
        <v>0</v>
      </c>
      <c r="AD67" s="242">
        <v>1540.7000000000012</v>
      </c>
      <c r="AE67" s="242">
        <v>0</v>
      </c>
      <c r="AF67" s="242">
        <v>2648.8299999999981</v>
      </c>
      <c r="AG67" s="242">
        <v>0</v>
      </c>
      <c r="AH67" s="242">
        <v>2340.1658653846148</v>
      </c>
      <c r="AI67" s="242">
        <v>0</v>
      </c>
      <c r="AJ67" s="242">
        <v>1383.0416666666672</v>
      </c>
      <c r="AK67" s="242">
        <v>0</v>
      </c>
      <c r="AL67" s="242">
        <v>2163.8822115384614</v>
      </c>
      <c r="AM67" s="242">
        <v>0</v>
      </c>
      <c r="AN67" s="242">
        <v>1366.7980769230774</v>
      </c>
      <c r="AO67" s="242">
        <v>0</v>
      </c>
      <c r="AP67" s="242">
        <v>1027.9927884615379</v>
      </c>
      <c r="AQ67" s="242">
        <v>0</v>
      </c>
      <c r="AR67" s="242">
        <v>533.29500000000121</v>
      </c>
      <c r="AS67" s="242">
        <v>0</v>
      </c>
      <c r="AT67" s="242">
        <v>1092.7379807692307</v>
      </c>
      <c r="AU67" s="242">
        <v>0</v>
      </c>
      <c r="AV67" s="242">
        <v>1042.4447115384617</v>
      </c>
      <c r="AW67" s="242">
        <v>0</v>
      </c>
      <c r="AX67" s="242">
        <v>949.99500000000046</v>
      </c>
      <c r="AY67" s="242">
        <v>0</v>
      </c>
    </row>
    <row r="68" spans="2:51">
      <c r="B68" s="211">
        <v>10191</v>
      </c>
      <c r="C68" s="211" t="s">
        <v>71</v>
      </c>
      <c r="D68" s="242">
        <v>2186.3124999999995</v>
      </c>
      <c r="E68" s="242">
        <v>0</v>
      </c>
      <c r="F68" s="242">
        <v>10581.814999999999</v>
      </c>
      <c r="G68" s="242">
        <v>0</v>
      </c>
      <c r="H68" s="242">
        <v>24057.889999999992</v>
      </c>
      <c r="I68" s="242">
        <v>0</v>
      </c>
      <c r="J68" s="242">
        <v>17086.461538461554</v>
      </c>
      <c r="K68" s="242">
        <v>0</v>
      </c>
      <c r="L68" s="242">
        <v>11193.897499999985</v>
      </c>
      <c r="M68" s="242">
        <v>0</v>
      </c>
      <c r="N68" s="242">
        <v>21582.45192307694</v>
      </c>
      <c r="O68" s="242">
        <v>0</v>
      </c>
      <c r="P68" s="242">
        <v>7589.2139423077078</v>
      </c>
      <c r="Q68" s="242">
        <v>0</v>
      </c>
      <c r="R68" s="242">
        <v>7070.7427884615581</v>
      </c>
      <c r="S68" s="242">
        <v>0</v>
      </c>
      <c r="T68" s="242">
        <v>10292.950000000008</v>
      </c>
      <c r="U68" s="242">
        <v>0</v>
      </c>
      <c r="V68" s="242">
        <v>6705.9639423076824</v>
      </c>
      <c r="W68" s="242">
        <v>0</v>
      </c>
      <c r="X68" s="242">
        <v>10745.944444444422</v>
      </c>
      <c r="Y68" s="242">
        <v>0</v>
      </c>
      <c r="Z68" s="242">
        <v>10566.666666666668</v>
      </c>
      <c r="AA68" s="242">
        <v>0</v>
      </c>
      <c r="AB68" s="242">
        <v>1928.6296296296114</v>
      </c>
      <c r="AC68" s="242">
        <v>0</v>
      </c>
      <c r="AD68" s="242">
        <v>10409.075000000023</v>
      </c>
      <c r="AE68" s="242">
        <v>0</v>
      </c>
      <c r="AF68" s="242">
        <v>23800.285000000011</v>
      </c>
      <c r="AG68" s="242">
        <v>0</v>
      </c>
      <c r="AH68" s="242">
        <v>16857.014423076922</v>
      </c>
      <c r="AI68" s="242">
        <v>0</v>
      </c>
      <c r="AJ68" s="242">
        <v>18870.7109375</v>
      </c>
      <c r="AK68" s="242">
        <v>0</v>
      </c>
      <c r="AL68" s="242">
        <v>21405.752403846149</v>
      </c>
      <c r="AM68" s="242">
        <v>0</v>
      </c>
      <c r="AN68" s="242">
        <v>7448.137019230785</v>
      </c>
      <c r="AO68" s="242">
        <v>0</v>
      </c>
      <c r="AP68" s="242">
        <v>6995.5480769230862</v>
      </c>
      <c r="AQ68" s="242">
        <v>0</v>
      </c>
      <c r="AR68" s="242">
        <v>10240.407499999992</v>
      </c>
      <c r="AS68" s="242">
        <v>0</v>
      </c>
      <c r="AT68" s="242">
        <v>6679.6153846153802</v>
      </c>
      <c r="AU68" s="242">
        <v>0</v>
      </c>
      <c r="AV68" s="242">
        <v>10808.90144230769</v>
      </c>
      <c r="AW68" s="242">
        <v>0</v>
      </c>
      <c r="AX68" s="242">
        <v>10382.717500000004</v>
      </c>
      <c r="AY68" s="242">
        <v>0</v>
      </c>
    </row>
    <row r="69" spans="2:51">
      <c r="B69" s="211">
        <v>10197</v>
      </c>
      <c r="C69" s="211" t="s">
        <v>72</v>
      </c>
      <c r="D69" s="242">
        <v>6919.2956730769256</v>
      </c>
      <c r="E69" s="242">
        <v>0</v>
      </c>
      <c r="F69" s="242">
        <v>3261.3225000000025</v>
      </c>
      <c r="G69" s="242">
        <v>0</v>
      </c>
      <c r="H69" s="242">
        <v>3409.0450000000001</v>
      </c>
      <c r="I69" s="242">
        <v>0</v>
      </c>
      <c r="J69" s="242">
        <v>499.10336538461354</v>
      </c>
      <c r="K69" s="242">
        <v>0</v>
      </c>
      <c r="L69" s="242">
        <v>601.52250000000197</v>
      </c>
      <c r="M69" s="242">
        <v>0</v>
      </c>
      <c r="N69" s="242">
        <v>181.95192307692221</v>
      </c>
      <c r="O69" s="242">
        <v>0</v>
      </c>
      <c r="P69" s="242">
        <v>3256.2187499999932</v>
      </c>
      <c r="Q69" s="242">
        <v>0</v>
      </c>
      <c r="R69" s="242">
        <v>383.29086538461968</v>
      </c>
      <c r="S69" s="242">
        <v>0</v>
      </c>
      <c r="T69" s="242">
        <v>9432.8349999999882</v>
      </c>
      <c r="U69" s="242">
        <v>0</v>
      </c>
      <c r="V69" s="242">
        <v>2168.9230769230835</v>
      </c>
      <c r="W69" s="242">
        <v>0</v>
      </c>
      <c r="X69" s="242">
        <v>4234.7916666666733</v>
      </c>
      <c r="Y69" s="242">
        <v>0</v>
      </c>
      <c r="Z69" s="242">
        <v>6703.731770833333</v>
      </c>
      <c r="AA69" s="242">
        <v>0</v>
      </c>
      <c r="AB69" s="242">
        <v>3480.9930555555593</v>
      </c>
      <c r="AC69" s="242">
        <v>0</v>
      </c>
      <c r="AD69" s="242">
        <v>0</v>
      </c>
      <c r="AE69" s="242">
        <v>0</v>
      </c>
      <c r="AF69" s="242">
        <v>0</v>
      </c>
      <c r="AG69" s="242">
        <v>0</v>
      </c>
      <c r="AH69" s="242">
        <v>0</v>
      </c>
      <c r="AI69" s="242">
        <v>0</v>
      </c>
      <c r="AJ69" s="242">
        <v>745.05989583332564</v>
      </c>
      <c r="AK69" s="242">
        <v>0</v>
      </c>
      <c r="AL69" s="242">
        <v>0</v>
      </c>
      <c r="AM69" s="242">
        <v>0</v>
      </c>
      <c r="AN69" s="242">
        <v>2684.4783653846116</v>
      </c>
      <c r="AO69" s="242">
        <v>0</v>
      </c>
      <c r="AP69" s="242">
        <v>0</v>
      </c>
      <c r="AQ69" s="242">
        <v>0</v>
      </c>
      <c r="AR69" s="242">
        <v>8995.057499999999</v>
      </c>
      <c r="AS69" s="242">
        <v>0</v>
      </c>
      <c r="AT69" s="242">
        <v>1413.5552884615354</v>
      </c>
      <c r="AU69" s="242">
        <v>0</v>
      </c>
      <c r="AV69" s="242">
        <v>3884.90625</v>
      </c>
      <c r="AW69" s="242">
        <v>0</v>
      </c>
      <c r="AX69" s="242">
        <v>6254.4274999999952</v>
      </c>
      <c r="AY69" s="242">
        <v>0</v>
      </c>
    </row>
    <row r="70" spans="2:51">
      <c r="B70" s="211">
        <v>10202</v>
      </c>
      <c r="C70" s="211" t="s">
        <v>73</v>
      </c>
      <c r="D70" s="242">
        <v>2495.2644230769229</v>
      </c>
      <c r="E70" s="242">
        <v>0</v>
      </c>
      <c r="F70" s="242">
        <v>1711.2375000000025</v>
      </c>
      <c r="G70" s="242">
        <v>0</v>
      </c>
      <c r="H70" s="242">
        <v>256.19000000000057</v>
      </c>
      <c r="I70" s="242">
        <v>0</v>
      </c>
      <c r="J70" s="242">
        <v>0</v>
      </c>
      <c r="K70" s="242">
        <v>0</v>
      </c>
      <c r="L70" s="242">
        <v>3725.8800000000028</v>
      </c>
      <c r="M70" s="242">
        <v>0</v>
      </c>
      <c r="N70" s="242">
        <v>2594.2884615384605</v>
      </c>
      <c r="O70" s="242">
        <v>0</v>
      </c>
      <c r="P70" s="242">
        <v>0</v>
      </c>
      <c r="Q70" s="242">
        <v>0</v>
      </c>
      <c r="R70" s="242">
        <v>127.30769230769035</v>
      </c>
      <c r="S70" s="242">
        <v>0</v>
      </c>
      <c r="T70" s="242">
        <v>1684.9125000000017</v>
      </c>
      <c r="U70" s="242">
        <v>0</v>
      </c>
      <c r="V70" s="242">
        <v>1535.9086538461538</v>
      </c>
      <c r="W70" s="242">
        <v>0</v>
      </c>
      <c r="X70" s="242">
        <v>2090.8472222222231</v>
      </c>
      <c r="Y70" s="242">
        <v>0</v>
      </c>
      <c r="Z70" s="242">
        <v>2594.3723958333339</v>
      </c>
      <c r="AA70" s="242">
        <v>0</v>
      </c>
      <c r="AB70" s="242">
        <v>2389.4351851851866</v>
      </c>
      <c r="AC70" s="242">
        <v>0</v>
      </c>
      <c r="AD70" s="242">
        <v>1565.427499999998</v>
      </c>
      <c r="AE70" s="242">
        <v>0</v>
      </c>
      <c r="AF70" s="242">
        <v>89.600000000001231</v>
      </c>
      <c r="AG70" s="242">
        <v>0</v>
      </c>
      <c r="AH70" s="242">
        <v>0</v>
      </c>
      <c r="AI70" s="242">
        <v>0</v>
      </c>
      <c r="AJ70" s="242">
        <v>3562.104166666667</v>
      </c>
      <c r="AK70" s="242">
        <v>0</v>
      </c>
      <c r="AL70" s="242">
        <v>2458.5552884615386</v>
      </c>
      <c r="AM70" s="242">
        <v>0</v>
      </c>
      <c r="AN70" s="242">
        <v>0</v>
      </c>
      <c r="AO70" s="242">
        <v>0</v>
      </c>
      <c r="AP70" s="242">
        <v>20.290865384620105</v>
      </c>
      <c r="AQ70" s="242">
        <v>0</v>
      </c>
      <c r="AR70" s="242">
        <v>1707.8874999999989</v>
      </c>
      <c r="AS70" s="242">
        <v>0</v>
      </c>
      <c r="AT70" s="242">
        <v>1560.5913461538462</v>
      </c>
      <c r="AU70" s="242">
        <v>0</v>
      </c>
      <c r="AV70" s="242">
        <v>2085.4038461538485</v>
      </c>
      <c r="AW70" s="242">
        <v>0</v>
      </c>
      <c r="AX70" s="242">
        <v>2673.9575000000018</v>
      </c>
      <c r="AY70" s="242">
        <v>0</v>
      </c>
    </row>
    <row r="71" spans="2:51">
      <c r="B71" s="211">
        <v>10203</v>
      </c>
      <c r="C71" s="211" t="s">
        <v>74</v>
      </c>
      <c r="D71" s="242">
        <v>691.44951923076951</v>
      </c>
      <c r="E71" s="242">
        <v>0</v>
      </c>
      <c r="F71" s="242">
        <v>875.00500000000068</v>
      </c>
      <c r="G71" s="242">
        <v>0</v>
      </c>
      <c r="H71" s="242">
        <v>239.87000000000114</v>
      </c>
      <c r="I71" s="242">
        <v>0</v>
      </c>
      <c r="J71" s="242">
        <v>946.93509615384608</v>
      </c>
      <c r="K71" s="242">
        <v>0</v>
      </c>
      <c r="L71" s="242">
        <v>1465.9824999999996</v>
      </c>
      <c r="M71" s="242">
        <v>0</v>
      </c>
      <c r="N71" s="242">
        <v>1057.4086538461538</v>
      </c>
      <c r="O71" s="242">
        <v>0</v>
      </c>
      <c r="P71" s="242">
        <v>683.90865384615336</v>
      </c>
      <c r="Q71" s="242">
        <v>0</v>
      </c>
      <c r="R71" s="242">
        <v>1564.9086538461536</v>
      </c>
      <c r="S71" s="242">
        <v>0</v>
      </c>
      <c r="T71" s="242">
        <v>989.85000000000082</v>
      </c>
      <c r="U71" s="242">
        <v>0</v>
      </c>
      <c r="V71" s="242">
        <v>1580.3509615384626</v>
      </c>
      <c r="W71" s="242">
        <v>0</v>
      </c>
      <c r="X71" s="242">
        <v>1131.7638888888882</v>
      </c>
      <c r="Y71" s="242">
        <v>0</v>
      </c>
      <c r="Z71" s="242">
        <v>1011.5026041666657</v>
      </c>
      <c r="AA71" s="242">
        <v>0</v>
      </c>
      <c r="AB71" s="242">
        <v>936.81712962963059</v>
      </c>
      <c r="AC71" s="242">
        <v>0</v>
      </c>
      <c r="AD71" s="242">
        <v>890.27249999999913</v>
      </c>
      <c r="AE71" s="242">
        <v>0</v>
      </c>
      <c r="AF71" s="242">
        <v>253.25749999999968</v>
      </c>
      <c r="AG71" s="242">
        <v>0</v>
      </c>
      <c r="AH71" s="242">
        <v>964.2788461538463</v>
      </c>
      <c r="AI71" s="242">
        <v>0</v>
      </c>
      <c r="AJ71" s="242">
        <v>1142.0182291666667</v>
      </c>
      <c r="AK71" s="242">
        <v>0</v>
      </c>
      <c r="AL71" s="242">
        <v>1071.2596153846157</v>
      </c>
      <c r="AM71" s="242">
        <v>0</v>
      </c>
      <c r="AN71" s="242">
        <v>696.67788461538521</v>
      </c>
      <c r="AO71" s="242">
        <v>0</v>
      </c>
      <c r="AP71" s="242">
        <v>1575.0625000000009</v>
      </c>
      <c r="AQ71" s="242">
        <v>0</v>
      </c>
      <c r="AR71" s="242">
        <v>997.26</v>
      </c>
      <c r="AS71" s="242">
        <v>0</v>
      </c>
      <c r="AT71" s="242">
        <v>1591.0264423076933</v>
      </c>
      <c r="AU71" s="242">
        <v>0</v>
      </c>
      <c r="AV71" s="242">
        <v>899.39663461538453</v>
      </c>
      <c r="AW71" s="242">
        <v>0</v>
      </c>
      <c r="AX71" s="242">
        <v>1243.6475000000003</v>
      </c>
      <c r="AY71" s="242">
        <v>0</v>
      </c>
    </row>
    <row r="72" spans="2:51">
      <c r="B72" s="211">
        <v>10204</v>
      </c>
      <c r="C72" s="211" t="s">
        <v>75</v>
      </c>
      <c r="D72" s="242">
        <v>0</v>
      </c>
      <c r="E72" s="242">
        <v>0</v>
      </c>
      <c r="F72" s="242">
        <v>0</v>
      </c>
      <c r="G72" s="242">
        <v>0</v>
      </c>
      <c r="H72" s="242">
        <v>0</v>
      </c>
      <c r="I72" s="242">
        <v>0</v>
      </c>
      <c r="J72" s="242">
        <v>0</v>
      </c>
      <c r="K72" s="242">
        <v>0</v>
      </c>
      <c r="L72" s="242">
        <v>0</v>
      </c>
      <c r="M72" s="242">
        <v>0</v>
      </c>
      <c r="N72" s="242">
        <v>0</v>
      </c>
      <c r="O72" s="242">
        <v>0</v>
      </c>
      <c r="P72" s="242">
        <v>0</v>
      </c>
      <c r="Q72" s="242">
        <v>0</v>
      </c>
      <c r="R72" s="242">
        <v>0</v>
      </c>
      <c r="S72" s="242">
        <v>0</v>
      </c>
      <c r="T72" s="242">
        <v>0</v>
      </c>
      <c r="U72" s="242">
        <v>0</v>
      </c>
      <c r="V72" s="242">
        <v>0</v>
      </c>
      <c r="W72" s="242">
        <v>0</v>
      </c>
      <c r="X72" s="242">
        <v>0</v>
      </c>
      <c r="Y72" s="242">
        <v>0</v>
      </c>
      <c r="Z72" s="242">
        <v>0</v>
      </c>
      <c r="AA72" s="242">
        <v>0</v>
      </c>
      <c r="AB72" s="242">
        <v>0</v>
      </c>
      <c r="AC72" s="242">
        <v>0</v>
      </c>
      <c r="AD72" s="242">
        <v>0</v>
      </c>
      <c r="AE72" s="242">
        <v>0</v>
      </c>
      <c r="AF72" s="242">
        <v>0</v>
      </c>
      <c r="AG72" s="242">
        <v>0</v>
      </c>
      <c r="AH72" s="242">
        <v>0</v>
      </c>
      <c r="AI72" s="242">
        <v>0</v>
      </c>
      <c r="AJ72" s="242">
        <v>0</v>
      </c>
      <c r="AK72" s="242">
        <v>0</v>
      </c>
      <c r="AL72" s="242">
        <v>0</v>
      </c>
      <c r="AM72" s="242">
        <v>0</v>
      </c>
      <c r="AN72" s="242">
        <v>0</v>
      </c>
      <c r="AO72" s="242">
        <v>0</v>
      </c>
      <c r="AP72" s="242">
        <v>0</v>
      </c>
      <c r="AQ72" s="242">
        <v>0</v>
      </c>
      <c r="AR72" s="242">
        <v>0</v>
      </c>
      <c r="AS72" s="242">
        <v>0</v>
      </c>
      <c r="AT72" s="242">
        <v>0</v>
      </c>
      <c r="AU72" s="242">
        <v>0</v>
      </c>
      <c r="AV72" s="242">
        <v>0</v>
      </c>
      <c r="AW72" s="242">
        <v>0</v>
      </c>
      <c r="AX72" s="242">
        <v>0</v>
      </c>
      <c r="AY72" s="242">
        <v>0</v>
      </c>
    </row>
    <row r="73" spans="2:51">
      <c r="B73" s="211">
        <v>10209</v>
      </c>
      <c r="C73" s="211" t="s">
        <v>76</v>
      </c>
      <c r="D73" s="242">
        <v>6940.3701923076969</v>
      </c>
      <c r="E73" s="242">
        <v>0</v>
      </c>
      <c r="F73" s="242">
        <v>21265.857499999966</v>
      </c>
      <c r="G73" s="242">
        <v>0</v>
      </c>
      <c r="H73" s="242">
        <v>22620.449999999986</v>
      </c>
      <c r="I73" s="242">
        <v>0</v>
      </c>
      <c r="J73" s="242">
        <v>22241.341346153837</v>
      </c>
      <c r="K73" s="242">
        <v>0</v>
      </c>
      <c r="L73" s="242">
        <v>15504.992499999986</v>
      </c>
      <c r="M73" s="242">
        <v>0</v>
      </c>
      <c r="N73" s="242">
        <v>26119.098557692305</v>
      </c>
      <c r="O73" s="242">
        <v>0</v>
      </c>
      <c r="P73" s="242">
        <v>36759.555288461546</v>
      </c>
      <c r="Q73" s="242">
        <v>0</v>
      </c>
      <c r="R73" s="242">
        <v>23197.810096153837</v>
      </c>
      <c r="S73" s="242">
        <v>0</v>
      </c>
      <c r="T73" s="242">
        <v>26989.297500000011</v>
      </c>
      <c r="U73" s="242">
        <v>0</v>
      </c>
      <c r="V73" s="242">
        <v>34029.509615384624</v>
      </c>
      <c r="W73" s="242">
        <v>0</v>
      </c>
      <c r="X73" s="242">
        <v>29890.462962962956</v>
      </c>
      <c r="Y73" s="242">
        <v>0</v>
      </c>
      <c r="Z73" s="242">
        <v>20401.265624999996</v>
      </c>
      <c r="AA73" s="242">
        <v>0</v>
      </c>
      <c r="AB73" s="242">
        <v>11380.750000000005</v>
      </c>
      <c r="AC73" s="242">
        <v>0</v>
      </c>
      <c r="AD73" s="242">
        <v>21270.442499999986</v>
      </c>
      <c r="AE73" s="242">
        <v>0</v>
      </c>
      <c r="AF73" s="242">
        <v>22337.332500000011</v>
      </c>
      <c r="AG73" s="242">
        <v>0</v>
      </c>
      <c r="AH73" s="242">
        <v>22623.151442307695</v>
      </c>
      <c r="AI73" s="242">
        <v>0</v>
      </c>
      <c r="AJ73" s="242">
        <v>14552.864583333332</v>
      </c>
      <c r="AK73" s="242">
        <v>0</v>
      </c>
      <c r="AL73" s="242">
        <v>26211.764423076922</v>
      </c>
      <c r="AM73" s="242">
        <v>0</v>
      </c>
      <c r="AN73" s="242">
        <v>36726.456730769205</v>
      </c>
      <c r="AO73" s="242">
        <v>0</v>
      </c>
      <c r="AP73" s="242">
        <v>23066.718750000015</v>
      </c>
      <c r="AQ73" s="242">
        <v>0</v>
      </c>
      <c r="AR73" s="242">
        <v>26815.705000000013</v>
      </c>
      <c r="AS73" s="242">
        <v>0</v>
      </c>
      <c r="AT73" s="242">
        <v>33875.874999999993</v>
      </c>
      <c r="AU73" s="242">
        <v>0</v>
      </c>
      <c r="AV73" s="242">
        <v>24793.584134615372</v>
      </c>
      <c r="AW73" s="242">
        <v>0</v>
      </c>
      <c r="AX73" s="242">
        <v>25019.210000000017</v>
      </c>
      <c r="AY73" s="242">
        <v>0</v>
      </c>
    </row>
    <row r="74" spans="2:51">
      <c r="B74" s="211">
        <v>10230</v>
      </c>
      <c r="C74" s="211" t="s">
        <v>77</v>
      </c>
      <c r="D74" s="242">
        <v>4080.7716346153848</v>
      </c>
      <c r="E74" s="242">
        <v>0</v>
      </c>
      <c r="F74" s="242">
        <v>2086.0124999999998</v>
      </c>
      <c r="G74" s="242">
        <v>0</v>
      </c>
      <c r="H74" s="242">
        <v>2892.0450000000033</v>
      </c>
      <c r="I74" s="242">
        <v>0</v>
      </c>
      <c r="J74" s="242">
        <v>3749.0504807692319</v>
      </c>
      <c r="K74" s="242">
        <v>0</v>
      </c>
      <c r="L74" s="242">
        <v>4464.7975000000042</v>
      </c>
      <c r="M74" s="242">
        <v>0</v>
      </c>
      <c r="N74" s="242">
        <v>3195.0072115384601</v>
      </c>
      <c r="O74" s="242">
        <v>0</v>
      </c>
      <c r="P74" s="242">
        <v>2215.82451923077</v>
      </c>
      <c r="Q74" s="242">
        <v>0</v>
      </c>
      <c r="R74" s="242">
        <v>2468.1322115384587</v>
      </c>
      <c r="S74" s="242">
        <v>0</v>
      </c>
      <c r="T74" s="242">
        <v>3290.5600000000004</v>
      </c>
      <c r="U74" s="242">
        <v>0</v>
      </c>
      <c r="V74" s="242">
        <v>2988.2692307692323</v>
      </c>
      <c r="W74" s="242">
        <v>0</v>
      </c>
      <c r="X74" s="242">
        <v>3238.0023148148125</v>
      </c>
      <c r="Y74" s="242">
        <v>0</v>
      </c>
      <c r="Z74" s="242">
        <v>1739.945312499998</v>
      </c>
      <c r="AA74" s="242">
        <v>0</v>
      </c>
      <c r="AB74" s="242">
        <v>4577.4467592592564</v>
      </c>
      <c r="AC74" s="242">
        <v>0</v>
      </c>
      <c r="AD74" s="242">
        <v>2152.8999999999996</v>
      </c>
      <c r="AE74" s="242">
        <v>0</v>
      </c>
      <c r="AF74" s="242">
        <v>2955.1124999999984</v>
      </c>
      <c r="AG74" s="242">
        <v>0</v>
      </c>
      <c r="AH74" s="242">
        <v>3829.6394230769206</v>
      </c>
      <c r="AI74" s="242">
        <v>0</v>
      </c>
      <c r="AJ74" s="242">
        <v>4404.5755208333339</v>
      </c>
      <c r="AK74" s="242">
        <v>0</v>
      </c>
      <c r="AL74" s="242">
        <v>3273.0937499999973</v>
      </c>
      <c r="AM74" s="242">
        <v>0</v>
      </c>
      <c r="AN74" s="242">
        <v>2297.5264423076906</v>
      </c>
      <c r="AO74" s="242">
        <v>0</v>
      </c>
      <c r="AP74" s="242">
        <v>2513.2596153846139</v>
      </c>
      <c r="AQ74" s="242">
        <v>0</v>
      </c>
      <c r="AR74" s="242">
        <v>3388.6274999999996</v>
      </c>
      <c r="AS74" s="242">
        <v>0</v>
      </c>
      <c r="AT74" s="242">
        <v>3037.4158653846152</v>
      </c>
      <c r="AU74" s="242">
        <v>0</v>
      </c>
      <c r="AV74" s="242">
        <v>2773.4519230769233</v>
      </c>
      <c r="AW74" s="242">
        <v>0</v>
      </c>
      <c r="AX74" s="242">
        <v>2256.5775000000008</v>
      </c>
      <c r="AY74" s="242">
        <v>0</v>
      </c>
    </row>
    <row r="75" spans="2:51">
      <c r="B75" s="211">
        <v>10231</v>
      </c>
      <c r="C75" s="211" t="s">
        <v>78</v>
      </c>
      <c r="D75" s="242">
        <v>0</v>
      </c>
      <c r="E75" s="242">
        <v>0</v>
      </c>
      <c r="F75" s="242">
        <v>668.5250000000043</v>
      </c>
      <c r="G75" s="242">
        <v>0</v>
      </c>
      <c r="H75" s="242">
        <v>5550.5275000000101</v>
      </c>
      <c r="I75" s="242">
        <v>0</v>
      </c>
      <c r="J75" s="242">
        <v>1210.675480769238</v>
      </c>
      <c r="K75" s="242">
        <v>0</v>
      </c>
      <c r="L75" s="242">
        <v>3867.2325000000001</v>
      </c>
      <c r="M75" s="242">
        <v>0</v>
      </c>
      <c r="N75" s="242">
        <v>4493.3437500000009</v>
      </c>
      <c r="O75" s="242">
        <v>0</v>
      </c>
      <c r="P75" s="242">
        <v>655.80048076922992</v>
      </c>
      <c r="Q75" s="242">
        <v>0</v>
      </c>
      <c r="R75" s="242">
        <v>4639.5649038461597</v>
      </c>
      <c r="S75" s="242">
        <v>0</v>
      </c>
      <c r="T75" s="242">
        <v>8881.5049999999974</v>
      </c>
      <c r="U75" s="242">
        <v>0</v>
      </c>
      <c r="V75" s="242">
        <v>2864.372596153853</v>
      </c>
      <c r="W75" s="242">
        <v>0</v>
      </c>
      <c r="X75" s="242">
        <v>9080.3472222222226</v>
      </c>
      <c r="Y75" s="242">
        <v>0</v>
      </c>
      <c r="Z75" s="242">
        <v>0</v>
      </c>
      <c r="AA75" s="242">
        <v>0</v>
      </c>
      <c r="AB75" s="242">
        <v>0</v>
      </c>
      <c r="AC75" s="242">
        <v>0</v>
      </c>
      <c r="AD75" s="242">
        <v>394.7124999999989</v>
      </c>
      <c r="AE75" s="242">
        <v>0</v>
      </c>
      <c r="AF75" s="242">
        <v>5530.8499999999958</v>
      </c>
      <c r="AG75" s="242">
        <v>0</v>
      </c>
      <c r="AH75" s="242">
        <v>1113.8581730769329</v>
      </c>
      <c r="AI75" s="242">
        <v>0</v>
      </c>
      <c r="AJ75" s="242">
        <v>1714.5026041666683</v>
      </c>
      <c r="AK75" s="242">
        <v>0</v>
      </c>
      <c r="AL75" s="242">
        <v>4213.8149038461561</v>
      </c>
      <c r="AM75" s="242">
        <v>0</v>
      </c>
      <c r="AN75" s="242">
        <v>292.10576923076559</v>
      </c>
      <c r="AO75" s="242">
        <v>0</v>
      </c>
      <c r="AP75" s="242">
        <v>4261.615384615392</v>
      </c>
      <c r="AQ75" s="242">
        <v>0</v>
      </c>
      <c r="AR75" s="242">
        <v>8474.4475000000039</v>
      </c>
      <c r="AS75" s="242">
        <v>0</v>
      </c>
      <c r="AT75" s="242">
        <v>2439.4903846153788</v>
      </c>
      <c r="AU75" s="242">
        <v>0</v>
      </c>
      <c r="AV75" s="242">
        <v>8773.9038461538494</v>
      </c>
      <c r="AW75" s="242">
        <v>0</v>
      </c>
      <c r="AX75" s="242">
        <v>0</v>
      </c>
      <c r="AY75" s="242">
        <v>0</v>
      </c>
    </row>
    <row r="76" spans="2:51">
      <c r="B76" s="211">
        <v>10234</v>
      </c>
      <c r="C76" s="211" t="s">
        <v>79</v>
      </c>
      <c r="D76" s="242">
        <v>10690.307692307673</v>
      </c>
      <c r="E76" s="242">
        <v>0</v>
      </c>
      <c r="F76" s="242">
        <v>7636.9424999999965</v>
      </c>
      <c r="G76" s="242">
        <v>0</v>
      </c>
      <c r="H76" s="242">
        <v>13275.755000000005</v>
      </c>
      <c r="I76" s="242">
        <v>0</v>
      </c>
      <c r="J76" s="242">
        <v>20486.324519230755</v>
      </c>
      <c r="K76" s="242">
        <v>0</v>
      </c>
      <c r="L76" s="242">
        <v>15172.322500000011</v>
      </c>
      <c r="M76" s="242">
        <v>0</v>
      </c>
      <c r="N76" s="242">
        <v>14463.394230769221</v>
      </c>
      <c r="O76" s="242">
        <v>0</v>
      </c>
      <c r="P76" s="242">
        <v>15538.098557692296</v>
      </c>
      <c r="Q76" s="242">
        <v>0</v>
      </c>
      <c r="R76" s="242">
        <v>13090.144230769227</v>
      </c>
      <c r="S76" s="242">
        <v>0</v>
      </c>
      <c r="T76" s="242">
        <v>13972.875000000004</v>
      </c>
      <c r="U76" s="242">
        <v>0</v>
      </c>
      <c r="V76" s="242">
        <v>24462.800480769223</v>
      </c>
      <c r="W76" s="242">
        <v>0</v>
      </c>
      <c r="X76" s="242">
        <v>23988.287037037044</v>
      </c>
      <c r="Y76" s="242">
        <v>0</v>
      </c>
      <c r="Z76" s="242">
        <v>11901.809895833334</v>
      </c>
      <c r="AA76" s="242">
        <v>0</v>
      </c>
      <c r="AB76" s="242">
        <v>14194.423611111109</v>
      </c>
      <c r="AC76" s="242">
        <v>0</v>
      </c>
      <c r="AD76" s="242">
        <v>8465.7174999999897</v>
      </c>
      <c r="AE76" s="242">
        <v>0</v>
      </c>
      <c r="AF76" s="242">
        <v>14130.790000000019</v>
      </c>
      <c r="AG76" s="242">
        <v>0</v>
      </c>
      <c r="AH76" s="242">
        <v>21511.961538461528</v>
      </c>
      <c r="AI76" s="242">
        <v>0</v>
      </c>
      <c r="AJ76" s="242">
        <v>13222.252604166673</v>
      </c>
      <c r="AK76" s="242">
        <v>0</v>
      </c>
      <c r="AL76" s="242">
        <v>15327.413461538481</v>
      </c>
      <c r="AM76" s="242">
        <v>0</v>
      </c>
      <c r="AN76" s="242">
        <v>16412.033653846167</v>
      </c>
      <c r="AO76" s="242">
        <v>0</v>
      </c>
      <c r="AP76" s="242">
        <v>13989.213942307686</v>
      </c>
      <c r="AQ76" s="242">
        <v>0</v>
      </c>
      <c r="AR76" s="242">
        <v>14697.079999999987</v>
      </c>
      <c r="AS76" s="242">
        <v>0</v>
      </c>
      <c r="AT76" s="242">
        <v>25397.826923076915</v>
      </c>
      <c r="AU76" s="242">
        <v>0</v>
      </c>
      <c r="AV76" s="242">
        <v>21914.887019230766</v>
      </c>
      <c r="AW76" s="242">
        <v>0</v>
      </c>
      <c r="AX76" s="242">
        <v>15421.235000000006</v>
      </c>
      <c r="AY76" s="242">
        <v>0</v>
      </c>
    </row>
    <row r="77" spans="2:51">
      <c r="B77" s="211">
        <v>10235</v>
      </c>
      <c r="C77" s="211" t="s">
        <v>80</v>
      </c>
      <c r="D77" s="242">
        <v>2194.4903846153816</v>
      </c>
      <c r="E77" s="242">
        <v>0</v>
      </c>
      <c r="F77" s="242">
        <v>1805.9375000000007</v>
      </c>
      <c r="G77" s="242">
        <v>0</v>
      </c>
      <c r="H77" s="242">
        <v>7072.4374999999945</v>
      </c>
      <c r="I77" s="242">
        <v>0</v>
      </c>
      <c r="J77" s="242">
        <v>6349.949519230775</v>
      </c>
      <c r="K77" s="242">
        <v>0</v>
      </c>
      <c r="L77" s="242">
        <v>3862.8675000000021</v>
      </c>
      <c r="M77" s="242">
        <v>0</v>
      </c>
      <c r="N77" s="242">
        <v>4180.1394230769192</v>
      </c>
      <c r="O77" s="242">
        <v>0</v>
      </c>
      <c r="P77" s="242">
        <v>6003.0625000000009</v>
      </c>
      <c r="Q77" s="242">
        <v>0</v>
      </c>
      <c r="R77" s="242">
        <v>3262.2499999999991</v>
      </c>
      <c r="S77" s="242">
        <v>0</v>
      </c>
      <c r="T77" s="242">
        <v>4220.1425000000008</v>
      </c>
      <c r="U77" s="242">
        <v>0</v>
      </c>
      <c r="V77" s="242">
        <v>3712.0961538461552</v>
      </c>
      <c r="W77" s="242">
        <v>0</v>
      </c>
      <c r="X77" s="242">
        <v>4509.7314814814845</v>
      </c>
      <c r="Y77" s="242">
        <v>0</v>
      </c>
      <c r="Z77" s="242">
        <v>4099.8541666666697</v>
      </c>
      <c r="AA77" s="242">
        <v>0</v>
      </c>
      <c r="AB77" s="242">
        <v>2347.608796296292</v>
      </c>
      <c r="AC77" s="242">
        <v>0</v>
      </c>
      <c r="AD77" s="242">
        <v>1875.3550000000007</v>
      </c>
      <c r="AE77" s="242">
        <v>0</v>
      </c>
      <c r="AF77" s="242">
        <v>7150.29</v>
      </c>
      <c r="AG77" s="242">
        <v>0</v>
      </c>
      <c r="AH77" s="242">
        <v>6430.175480769235</v>
      </c>
      <c r="AI77" s="242">
        <v>0</v>
      </c>
      <c r="AJ77" s="242">
        <v>3953.0416666666656</v>
      </c>
      <c r="AK77" s="242">
        <v>0</v>
      </c>
      <c r="AL77" s="242">
        <v>4244.1778846153848</v>
      </c>
      <c r="AM77" s="242">
        <v>0</v>
      </c>
      <c r="AN77" s="242">
        <v>6068.8485576923122</v>
      </c>
      <c r="AO77" s="242">
        <v>0</v>
      </c>
      <c r="AP77" s="242">
        <v>3308.3966346153888</v>
      </c>
      <c r="AQ77" s="242">
        <v>0</v>
      </c>
      <c r="AR77" s="242">
        <v>4269.3049999999948</v>
      </c>
      <c r="AS77" s="242">
        <v>0</v>
      </c>
      <c r="AT77" s="242">
        <v>3765.2403846153825</v>
      </c>
      <c r="AU77" s="242">
        <v>0</v>
      </c>
      <c r="AV77" s="242">
        <v>4462.4831730769256</v>
      </c>
      <c r="AW77" s="242">
        <v>0</v>
      </c>
      <c r="AX77" s="242">
        <v>4253.9199999999964</v>
      </c>
      <c r="AY77" s="242">
        <v>0</v>
      </c>
    </row>
    <row r="78" spans="2:51">
      <c r="B78" s="211">
        <v>10236</v>
      </c>
      <c r="C78" s="211" t="s">
        <v>81</v>
      </c>
      <c r="D78" s="242">
        <v>0</v>
      </c>
      <c r="E78" s="242">
        <v>0</v>
      </c>
      <c r="F78" s="242">
        <v>0</v>
      </c>
      <c r="G78" s="242">
        <v>0</v>
      </c>
      <c r="H78" s="242">
        <v>0</v>
      </c>
      <c r="I78" s="242">
        <v>0</v>
      </c>
      <c r="J78" s="242">
        <v>0</v>
      </c>
      <c r="K78" s="242">
        <v>0</v>
      </c>
      <c r="L78" s="242">
        <v>0</v>
      </c>
      <c r="M78" s="242">
        <v>0</v>
      </c>
      <c r="N78" s="242">
        <v>0</v>
      </c>
      <c r="O78" s="242">
        <v>0</v>
      </c>
      <c r="P78" s="242">
        <v>0</v>
      </c>
      <c r="Q78" s="242">
        <v>0</v>
      </c>
      <c r="R78" s="242">
        <v>0</v>
      </c>
      <c r="S78" s="242">
        <v>0</v>
      </c>
      <c r="T78" s="242">
        <v>0</v>
      </c>
      <c r="U78" s="242">
        <v>0</v>
      </c>
      <c r="V78" s="242">
        <v>0</v>
      </c>
      <c r="W78" s="242">
        <v>0</v>
      </c>
      <c r="X78" s="242">
        <v>0</v>
      </c>
      <c r="Y78" s="242">
        <v>0</v>
      </c>
      <c r="Z78" s="242">
        <v>0</v>
      </c>
      <c r="AA78" s="242">
        <v>0</v>
      </c>
      <c r="AB78" s="242">
        <v>0</v>
      </c>
      <c r="AC78" s="242">
        <v>0</v>
      </c>
      <c r="AD78" s="242">
        <v>0</v>
      </c>
      <c r="AE78" s="242">
        <v>0</v>
      </c>
      <c r="AF78" s="242">
        <v>0</v>
      </c>
      <c r="AG78" s="242">
        <v>0</v>
      </c>
      <c r="AH78" s="242">
        <v>0</v>
      </c>
      <c r="AI78" s="242">
        <v>0</v>
      </c>
      <c r="AJ78" s="242">
        <v>0</v>
      </c>
      <c r="AK78" s="242">
        <v>0</v>
      </c>
      <c r="AL78" s="242">
        <v>0</v>
      </c>
      <c r="AM78" s="242">
        <v>0</v>
      </c>
      <c r="AN78" s="242">
        <v>0</v>
      </c>
      <c r="AO78" s="242">
        <v>0</v>
      </c>
      <c r="AP78" s="242">
        <v>0</v>
      </c>
      <c r="AQ78" s="242">
        <v>0</v>
      </c>
      <c r="AR78" s="242">
        <v>0</v>
      </c>
      <c r="AS78" s="242">
        <v>0</v>
      </c>
      <c r="AT78" s="242">
        <v>0</v>
      </c>
      <c r="AU78" s="242">
        <v>0</v>
      </c>
      <c r="AV78" s="242">
        <v>0</v>
      </c>
      <c r="AW78" s="242">
        <v>0</v>
      </c>
      <c r="AX78" s="242">
        <v>0</v>
      </c>
      <c r="AY78" s="242">
        <v>0</v>
      </c>
    </row>
    <row r="79" spans="2:51">
      <c r="B79" s="211">
        <v>10237</v>
      </c>
      <c r="C79" s="211" t="s">
        <v>82</v>
      </c>
      <c r="D79" s="242">
        <v>0</v>
      </c>
      <c r="E79" s="242">
        <v>0</v>
      </c>
      <c r="F79" s="242">
        <v>0</v>
      </c>
      <c r="G79" s="242">
        <v>0</v>
      </c>
      <c r="H79" s="242">
        <v>0</v>
      </c>
      <c r="I79" s="242">
        <v>0</v>
      </c>
      <c r="J79" s="242">
        <v>0</v>
      </c>
      <c r="K79" s="242">
        <v>0</v>
      </c>
      <c r="L79" s="242">
        <v>0</v>
      </c>
      <c r="M79" s="242">
        <v>0</v>
      </c>
      <c r="N79" s="242">
        <v>0</v>
      </c>
      <c r="O79" s="242">
        <v>0</v>
      </c>
      <c r="P79" s="242">
        <v>0</v>
      </c>
      <c r="Q79" s="242">
        <v>0</v>
      </c>
      <c r="R79" s="242">
        <v>0</v>
      </c>
      <c r="S79" s="242">
        <v>0</v>
      </c>
      <c r="T79" s="242">
        <v>0</v>
      </c>
      <c r="U79" s="242">
        <v>0</v>
      </c>
      <c r="V79" s="242">
        <v>0</v>
      </c>
      <c r="W79" s="242">
        <v>0</v>
      </c>
      <c r="X79" s="242">
        <v>0</v>
      </c>
      <c r="Y79" s="242">
        <v>0</v>
      </c>
      <c r="Z79" s="242">
        <v>0</v>
      </c>
      <c r="AA79" s="242">
        <v>0</v>
      </c>
      <c r="AB79" s="242">
        <v>0</v>
      </c>
      <c r="AC79" s="242">
        <v>0</v>
      </c>
      <c r="AD79" s="242">
        <v>0</v>
      </c>
      <c r="AE79" s="242">
        <v>0</v>
      </c>
      <c r="AF79" s="242">
        <v>0</v>
      </c>
      <c r="AG79" s="242">
        <v>0</v>
      </c>
      <c r="AH79" s="242">
        <v>0</v>
      </c>
      <c r="AI79" s="242">
        <v>0</v>
      </c>
      <c r="AJ79" s="242">
        <v>0</v>
      </c>
      <c r="AK79" s="242">
        <v>0</v>
      </c>
      <c r="AL79" s="242">
        <v>0</v>
      </c>
      <c r="AM79" s="242">
        <v>0</v>
      </c>
      <c r="AN79" s="242">
        <v>0</v>
      </c>
      <c r="AO79" s="242">
        <v>0</v>
      </c>
      <c r="AP79" s="242">
        <v>0</v>
      </c>
      <c r="AQ79" s="242">
        <v>0</v>
      </c>
      <c r="AR79" s="242">
        <v>0</v>
      </c>
      <c r="AS79" s="242">
        <v>0</v>
      </c>
      <c r="AT79" s="242">
        <v>0</v>
      </c>
      <c r="AU79" s="242">
        <v>0</v>
      </c>
      <c r="AV79" s="242">
        <v>0</v>
      </c>
      <c r="AW79" s="242">
        <v>0</v>
      </c>
      <c r="AX79" s="242">
        <v>0</v>
      </c>
      <c r="AY79" s="242">
        <v>0</v>
      </c>
    </row>
    <row r="80" spans="2:51">
      <c r="B80" s="211">
        <v>10239</v>
      </c>
      <c r="C80" s="211" t="s">
        <v>83</v>
      </c>
      <c r="D80" s="242">
        <v>0</v>
      </c>
      <c r="E80" s="242">
        <v>0</v>
      </c>
      <c r="F80" s="242">
        <v>0</v>
      </c>
      <c r="G80" s="242">
        <v>0</v>
      </c>
      <c r="H80" s="242">
        <v>0</v>
      </c>
      <c r="I80" s="242">
        <v>0</v>
      </c>
      <c r="J80" s="242">
        <v>0</v>
      </c>
      <c r="K80" s="242">
        <v>0</v>
      </c>
      <c r="L80" s="242">
        <v>0</v>
      </c>
      <c r="M80" s="242">
        <v>0</v>
      </c>
      <c r="N80" s="242">
        <v>0</v>
      </c>
      <c r="O80" s="242">
        <v>0</v>
      </c>
      <c r="P80" s="242">
        <v>0</v>
      </c>
      <c r="Q80" s="242">
        <v>0</v>
      </c>
      <c r="R80" s="242">
        <v>0</v>
      </c>
      <c r="S80" s="242">
        <v>0</v>
      </c>
      <c r="T80" s="242">
        <v>0</v>
      </c>
      <c r="U80" s="242">
        <v>0</v>
      </c>
      <c r="V80" s="242">
        <v>0</v>
      </c>
      <c r="W80" s="242">
        <v>0</v>
      </c>
      <c r="X80" s="242">
        <v>0</v>
      </c>
      <c r="Y80" s="242">
        <v>0</v>
      </c>
      <c r="Z80" s="242">
        <v>0</v>
      </c>
      <c r="AA80" s="242">
        <v>0</v>
      </c>
      <c r="AB80" s="242">
        <v>0</v>
      </c>
      <c r="AC80" s="242">
        <v>0</v>
      </c>
      <c r="AD80" s="242">
        <v>0</v>
      </c>
      <c r="AE80" s="242">
        <v>0</v>
      </c>
      <c r="AF80" s="242">
        <v>0</v>
      </c>
      <c r="AG80" s="242">
        <v>0</v>
      </c>
      <c r="AH80" s="242">
        <v>0</v>
      </c>
      <c r="AI80" s="242">
        <v>0</v>
      </c>
      <c r="AJ80" s="242">
        <v>0</v>
      </c>
      <c r="AK80" s="242">
        <v>0</v>
      </c>
      <c r="AL80" s="242">
        <v>0</v>
      </c>
      <c r="AM80" s="242">
        <v>0</v>
      </c>
      <c r="AN80" s="242">
        <v>0</v>
      </c>
      <c r="AO80" s="242">
        <v>0</v>
      </c>
      <c r="AP80" s="242">
        <v>0</v>
      </c>
      <c r="AQ80" s="242">
        <v>0</v>
      </c>
      <c r="AR80" s="242">
        <v>0</v>
      </c>
      <c r="AS80" s="242">
        <v>0</v>
      </c>
      <c r="AT80" s="242">
        <v>0</v>
      </c>
      <c r="AU80" s="242">
        <v>0</v>
      </c>
      <c r="AV80" s="242">
        <v>0</v>
      </c>
      <c r="AW80" s="242">
        <v>0</v>
      </c>
      <c r="AX80" s="242">
        <v>0</v>
      </c>
      <c r="AY80" s="242">
        <v>0</v>
      </c>
    </row>
    <row r="81" spans="2:51">
      <c r="B81" s="211">
        <v>10242</v>
      </c>
      <c r="C81" s="211" t="s">
        <v>84</v>
      </c>
      <c r="D81" s="242">
        <v>2884.7740384615372</v>
      </c>
      <c r="E81" s="242">
        <v>0</v>
      </c>
      <c r="F81" s="242">
        <v>787.28749999999923</v>
      </c>
      <c r="G81" s="242">
        <v>0</v>
      </c>
      <c r="H81" s="242">
        <v>686.69249999999909</v>
      </c>
      <c r="I81" s="242">
        <v>0</v>
      </c>
      <c r="J81" s="242">
        <v>1105.8413461538469</v>
      </c>
      <c r="K81" s="242">
        <v>0</v>
      </c>
      <c r="L81" s="242">
        <v>660.88499999999863</v>
      </c>
      <c r="M81" s="242">
        <v>0</v>
      </c>
      <c r="N81" s="242">
        <v>1226.0072115384605</v>
      </c>
      <c r="O81" s="242">
        <v>0</v>
      </c>
      <c r="P81" s="242">
        <v>2276.5456730769229</v>
      </c>
      <c r="Q81" s="242">
        <v>0</v>
      </c>
      <c r="R81" s="242">
        <v>248.1394230769194</v>
      </c>
      <c r="S81" s="242">
        <v>0</v>
      </c>
      <c r="T81" s="242">
        <v>3572.5249999999987</v>
      </c>
      <c r="U81" s="242">
        <v>0</v>
      </c>
      <c r="V81" s="242">
        <v>3774.5360576923094</v>
      </c>
      <c r="W81" s="242">
        <v>0</v>
      </c>
      <c r="X81" s="242">
        <v>2706.4513888888878</v>
      </c>
      <c r="Y81" s="242">
        <v>0</v>
      </c>
      <c r="Z81" s="242">
        <v>3141.3046875</v>
      </c>
      <c r="AA81" s="242">
        <v>0</v>
      </c>
      <c r="AB81" s="242">
        <v>3146.7523148148152</v>
      </c>
      <c r="AC81" s="242">
        <v>0</v>
      </c>
      <c r="AD81" s="242">
        <v>815.57000000000062</v>
      </c>
      <c r="AE81" s="242">
        <v>0</v>
      </c>
      <c r="AF81" s="242">
        <v>705.95000000000095</v>
      </c>
      <c r="AG81" s="242">
        <v>0</v>
      </c>
      <c r="AH81" s="242">
        <v>1127.4639423076919</v>
      </c>
      <c r="AI81" s="242">
        <v>0</v>
      </c>
      <c r="AJ81" s="242">
        <v>1060.8906250000007</v>
      </c>
      <c r="AK81" s="242">
        <v>0</v>
      </c>
      <c r="AL81" s="242">
        <v>1258.1129807692316</v>
      </c>
      <c r="AM81" s="242">
        <v>0</v>
      </c>
      <c r="AN81" s="242">
        <v>2315.2019230769224</v>
      </c>
      <c r="AO81" s="242">
        <v>0</v>
      </c>
      <c r="AP81" s="242">
        <v>426.64423076922907</v>
      </c>
      <c r="AQ81" s="242">
        <v>0</v>
      </c>
      <c r="AR81" s="242">
        <v>3653.0925000000034</v>
      </c>
      <c r="AS81" s="242">
        <v>0</v>
      </c>
      <c r="AT81" s="242">
        <v>3838.7524038461511</v>
      </c>
      <c r="AU81" s="242">
        <v>0</v>
      </c>
      <c r="AV81" s="242">
        <v>1974.9062500000011</v>
      </c>
      <c r="AW81" s="242">
        <v>0</v>
      </c>
      <c r="AX81" s="242">
        <v>3874.4449999999997</v>
      </c>
      <c r="AY81" s="242">
        <v>0</v>
      </c>
    </row>
    <row r="82" spans="2:51">
      <c r="B82" s="211">
        <v>10244</v>
      </c>
      <c r="C82" s="211" t="s">
        <v>85</v>
      </c>
      <c r="D82" s="242">
        <v>12398.444711538477</v>
      </c>
      <c r="E82" s="242">
        <v>0</v>
      </c>
      <c r="F82" s="242">
        <v>17959.840000000007</v>
      </c>
      <c r="G82" s="242">
        <v>0</v>
      </c>
      <c r="H82" s="242">
        <v>14832.445</v>
      </c>
      <c r="I82" s="242">
        <v>0</v>
      </c>
      <c r="J82" s="242">
        <v>38260.526442307695</v>
      </c>
      <c r="K82" s="242">
        <v>0</v>
      </c>
      <c r="L82" s="242">
        <v>15287.92</v>
      </c>
      <c r="M82" s="242">
        <v>0</v>
      </c>
      <c r="N82" s="242">
        <v>19501.951923076929</v>
      </c>
      <c r="O82" s="242">
        <v>0</v>
      </c>
      <c r="P82" s="242">
        <v>23487.682692307695</v>
      </c>
      <c r="Q82" s="242">
        <v>0</v>
      </c>
      <c r="R82" s="242">
        <v>18143.76923076923</v>
      </c>
      <c r="S82" s="242">
        <v>0</v>
      </c>
      <c r="T82" s="242">
        <v>13420.967499999982</v>
      </c>
      <c r="U82" s="242">
        <v>0</v>
      </c>
      <c r="V82" s="242">
        <v>14479.954326923073</v>
      </c>
      <c r="W82" s="242">
        <v>0</v>
      </c>
      <c r="X82" s="242">
        <v>11689.395833333334</v>
      </c>
      <c r="Y82" s="242">
        <v>0</v>
      </c>
      <c r="Z82" s="242">
        <v>16324.575520833332</v>
      </c>
      <c r="AA82" s="242">
        <v>0</v>
      </c>
      <c r="AB82" s="242">
        <v>16956.842592592599</v>
      </c>
      <c r="AC82" s="242">
        <v>0</v>
      </c>
      <c r="AD82" s="242">
        <v>18958.28249999999</v>
      </c>
      <c r="AE82" s="242">
        <v>0</v>
      </c>
      <c r="AF82" s="242">
        <v>15822.442499999986</v>
      </c>
      <c r="AG82" s="242">
        <v>0</v>
      </c>
      <c r="AH82" s="242">
        <v>39318.935096153851</v>
      </c>
      <c r="AI82" s="242">
        <v>0</v>
      </c>
      <c r="AJ82" s="242">
        <v>13214.968749999984</v>
      </c>
      <c r="AK82" s="242">
        <v>0</v>
      </c>
      <c r="AL82" s="242">
        <v>20507.466346153833</v>
      </c>
      <c r="AM82" s="242">
        <v>0</v>
      </c>
      <c r="AN82" s="242">
        <v>24489.245192307684</v>
      </c>
      <c r="AO82" s="242">
        <v>0</v>
      </c>
      <c r="AP82" s="242">
        <v>18563.855769230777</v>
      </c>
      <c r="AQ82" s="242">
        <v>0</v>
      </c>
      <c r="AR82" s="242">
        <v>13760.834999999994</v>
      </c>
      <c r="AS82" s="242">
        <v>0</v>
      </c>
      <c r="AT82" s="242">
        <v>14873.197115384623</v>
      </c>
      <c r="AU82" s="242">
        <v>0</v>
      </c>
      <c r="AV82" s="242">
        <v>9181.747596153853</v>
      </c>
      <c r="AW82" s="242">
        <v>0</v>
      </c>
      <c r="AX82" s="242">
        <v>19728.84</v>
      </c>
      <c r="AY82" s="242">
        <v>0</v>
      </c>
    </row>
    <row r="83" spans="2:51">
      <c r="B83" s="211">
        <v>10246</v>
      </c>
      <c r="C83" s="211" t="s">
        <v>86</v>
      </c>
      <c r="D83" s="242">
        <v>897.55048076923322</v>
      </c>
      <c r="E83" s="242">
        <v>0</v>
      </c>
      <c r="F83" s="242">
        <v>1376.5449999999992</v>
      </c>
      <c r="G83" s="242">
        <v>0</v>
      </c>
      <c r="H83" s="242">
        <v>4127.1949999999988</v>
      </c>
      <c r="I83" s="242">
        <v>0</v>
      </c>
      <c r="J83" s="242">
        <v>3579.8942307692305</v>
      </c>
      <c r="K83" s="242">
        <v>0</v>
      </c>
      <c r="L83" s="242">
        <v>2865.4125000000031</v>
      </c>
      <c r="M83" s="242">
        <v>0</v>
      </c>
      <c r="N83" s="242">
        <v>3370.286057692309</v>
      </c>
      <c r="O83" s="242">
        <v>0</v>
      </c>
      <c r="P83" s="242">
        <v>2758.1538461538489</v>
      </c>
      <c r="Q83" s="242">
        <v>0</v>
      </c>
      <c r="R83" s="242">
        <v>1804.6346153846162</v>
      </c>
      <c r="S83" s="242">
        <v>0</v>
      </c>
      <c r="T83" s="242">
        <v>2408.3124999999991</v>
      </c>
      <c r="U83" s="242">
        <v>0</v>
      </c>
      <c r="V83" s="242">
        <v>1700.3100961538464</v>
      </c>
      <c r="W83" s="242">
        <v>0</v>
      </c>
      <c r="X83" s="242">
        <v>2269.2592592592582</v>
      </c>
      <c r="Y83" s="242">
        <v>0</v>
      </c>
      <c r="Z83" s="242">
        <v>395.20312500000057</v>
      </c>
      <c r="AA83" s="242">
        <v>0</v>
      </c>
      <c r="AB83" s="242">
        <v>911.66203703703809</v>
      </c>
      <c r="AC83" s="242">
        <v>0</v>
      </c>
      <c r="AD83" s="242">
        <v>1400.229999999998</v>
      </c>
      <c r="AE83" s="242">
        <v>0</v>
      </c>
      <c r="AF83" s="242">
        <v>4156.534999999998</v>
      </c>
      <c r="AG83" s="242">
        <v>0</v>
      </c>
      <c r="AH83" s="242">
        <v>3609.0721153846148</v>
      </c>
      <c r="AI83" s="242">
        <v>0</v>
      </c>
      <c r="AJ83" s="242">
        <v>2837.1692708333339</v>
      </c>
      <c r="AK83" s="242">
        <v>0</v>
      </c>
      <c r="AL83" s="242">
        <v>3397.9735576923094</v>
      </c>
      <c r="AM83" s="242">
        <v>0</v>
      </c>
      <c r="AN83" s="242">
        <v>2784.4759615384633</v>
      </c>
      <c r="AO83" s="242">
        <v>0</v>
      </c>
      <c r="AP83" s="242">
        <v>1830.9278846153845</v>
      </c>
      <c r="AQ83" s="242">
        <v>0</v>
      </c>
      <c r="AR83" s="242">
        <v>2433.9174999999996</v>
      </c>
      <c r="AS83" s="242">
        <v>0</v>
      </c>
      <c r="AT83" s="242">
        <v>1726.8677884615388</v>
      </c>
      <c r="AU83" s="242">
        <v>0</v>
      </c>
      <c r="AV83" s="242">
        <v>2302.0000000000023</v>
      </c>
      <c r="AW83" s="242">
        <v>0</v>
      </c>
      <c r="AX83" s="242">
        <v>401.13249999999965</v>
      </c>
      <c r="AY83" s="242">
        <v>0</v>
      </c>
    </row>
    <row r="84" spans="2:51">
      <c r="B84" s="211">
        <v>10247</v>
      </c>
      <c r="C84" s="211" t="s">
        <v>87</v>
      </c>
      <c r="D84" s="242">
        <v>0</v>
      </c>
      <c r="E84" s="242">
        <v>0</v>
      </c>
      <c r="F84" s="242">
        <v>2144.8849999999879</v>
      </c>
      <c r="G84" s="242">
        <v>0</v>
      </c>
      <c r="H84" s="242">
        <v>15836.140000000014</v>
      </c>
      <c r="I84" s="242">
        <v>0</v>
      </c>
      <c r="J84" s="242">
        <v>18713.54326923078</v>
      </c>
      <c r="K84" s="242">
        <v>0</v>
      </c>
      <c r="L84" s="242">
        <v>16941.094999999994</v>
      </c>
      <c r="M84" s="242">
        <v>0</v>
      </c>
      <c r="N84" s="242">
        <v>16496.057692307695</v>
      </c>
      <c r="O84" s="242">
        <v>0</v>
      </c>
      <c r="P84" s="242">
        <v>11753.656249999985</v>
      </c>
      <c r="Q84" s="242">
        <v>0</v>
      </c>
      <c r="R84" s="242">
        <v>1490.2692307692362</v>
      </c>
      <c r="S84" s="242">
        <v>0</v>
      </c>
      <c r="T84" s="242">
        <v>3519.6025000000059</v>
      </c>
      <c r="U84" s="242">
        <v>0</v>
      </c>
      <c r="V84" s="242">
        <v>14498.992788461534</v>
      </c>
      <c r="W84" s="242">
        <v>0</v>
      </c>
      <c r="X84" s="242">
        <v>21902.789351851858</v>
      </c>
      <c r="Y84" s="242">
        <v>0</v>
      </c>
      <c r="Z84" s="242">
        <v>0</v>
      </c>
      <c r="AA84" s="242">
        <v>0</v>
      </c>
      <c r="AB84" s="242">
        <v>0</v>
      </c>
      <c r="AC84" s="242">
        <v>0</v>
      </c>
      <c r="AD84" s="242">
        <v>2147.0649999999978</v>
      </c>
      <c r="AE84" s="242">
        <v>0</v>
      </c>
      <c r="AF84" s="242">
        <v>15897.762500000013</v>
      </c>
      <c r="AG84" s="242">
        <v>0</v>
      </c>
      <c r="AH84" s="242">
        <v>18781.038461538468</v>
      </c>
      <c r="AI84" s="242">
        <v>0</v>
      </c>
      <c r="AJ84" s="242">
        <v>14295.523437499998</v>
      </c>
      <c r="AK84" s="242">
        <v>0</v>
      </c>
      <c r="AL84" s="242">
        <v>16557.317307692294</v>
      </c>
      <c r="AM84" s="242">
        <v>0</v>
      </c>
      <c r="AN84" s="242">
        <v>11775.932692307684</v>
      </c>
      <c r="AO84" s="242">
        <v>0</v>
      </c>
      <c r="AP84" s="242">
        <v>1505.108173076927</v>
      </c>
      <c r="AQ84" s="242">
        <v>0</v>
      </c>
      <c r="AR84" s="242">
        <v>3520.8549999999841</v>
      </c>
      <c r="AS84" s="242">
        <v>0</v>
      </c>
      <c r="AT84" s="242">
        <v>14569.192307692318</v>
      </c>
      <c r="AU84" s="242">
        <v>0</v>
      </c>
      <c r="AV84" s="242">
        <v>19446.649038461535</v>
      </c>
      <c r="AW84" s="242">
        <v>0</v>
      </c>
      <c r="AX84" s="242">
        <v>192.7150000000033</v>
      </c>
      <c r="AY84" s="242">
        <v>0</v>
      </c>
    </row>
    <row r="85" spans="2:51">
      <c r="B85" s="211">
        <v>10256</v>
      </c>
      <c r="C85" s="211" t="s">
        <v>88</v>
      </c>
      <c r="D85" s="242">
        <v>11036.168269230764</v>
      </c>
      <c r="E85" s="242">
        <v>0</v>
      </c>
      <c r="F85" s="242">
        <v>7440.204999999999</v>
      </c>
      <c r="G85" s="242">
        <v>0</v>
      </c>
      <c r="H85" s="242">
        <v>16411.937500000007</v>
      </c>
      <c r="I85" s="242">
        <v>0</v>
      </c>
      <c r="J85" s="242">
        <v>18265.870192307688</v>
      </c>
      <c r="K85" s="242">
        <v>0</v>
      </c>
      <c r="L85" s="242">
        <v>3883.8299999999995</v>
      </c>
      <c r="M85" s="242">
        <v>0</v>
      </c>
      <c r="N85" s="242">
        <v>12115.490384615392</v>
      </c>
      <c r="O85" s="242">
        <v>0</v>
      </c>
      <c r="P85" s="242">
        <v>13609.901442307695</v>
      </c>
      <c r="Q85" s="242">
        <v>0</v>
      </c>
      <c r="R85" s="242">
        <v>8138.1658653846107</v>
      </c>
      <c r="S85" s="242">
        <v>0</v>
      </c>
      <c r="T85" s="242">
        <v>4364.450000000008</v>
      </c>
      <c r="U85" s="242">
        <v>0</v>
      </c>
      <c r="V85" s="242">
        <v>6263.3701923077042</v>
      </c>
      <c r="W85" s="242">
        <v>0</v>
      </c>
      <c r="X85" s="242">
        <v>7538.0208333333385</v>
      </c>
      <c r="Y85" s="242">
        <v>0</v>
      </c>
      <c r="Z85" s="242">
        <v>591.62239583332439</v>
      </c>
      <c r="AA85" s="242">
        <v>0</v>
      </c>
      <c r="AB85" s="242">
        <v>13904.759259259265</v>
      </c>
      <c r="AC85" s="242">
        <v>0</v>
      </c>
      <c r="AD85" s="242">
        <v>8119.2575000000033</v>
      </c>
      <c r="AE85" s="242">
        <v>0</v>
      </c>
      <c r="AF85" s="242">
        <v>17037.245000000014</v>
      </c>
      <c r="AG85" s="242">
        <v>0</v>
      </c>
      <c r="AH85" s="242">
        <v>18909.536057692309</v>
      </c>
      <c r="AI85" s="242">
        <v>0</v>
      </c>
      <c r="AJ85" s="242">
        <v>11148.507812499996</v>
      </c>
      <c r="AK85" s="242">
        <v>0</v>
      </c>
      <c r="AL85" s="242">
        <v>12735.846153846147</v>
      </c>
      <c r="AM85" s="242">
        <v>0</v>
      </c>
      <c r="AN85" s="242">
        <v>14333.134615384615</v>
      </c>
      <c r="AO85" s="242">
        <v>0</v>
      </c>
      <c r="AP85" s="242">
        <v>8351.6850961538476</v>
      </c>
      <c r="AQ85" s="242">
        <v>0</v>
      </c>
      <c r="AR85" s="242">
        <v>4510.1924999999974</v>
      </c>
      <c r="AS85" s="242">
        <v>0</v>
      </c>
      <c r="AT85" s="242">
        <v>6412.8725961538539</v>
      </c>
      <c r="AU85" s="242">
        <v>0</v>
      </c>
      <c r="AV85" s="242">
        <v>5498.8365384615436</v>
      </c>
      <c r="AW85" s="242">
        <v>0</v>
      </c>
      <c r="AX85" s="242">
        <v>2849.6875</v>
      </c>
      <c r="AY85" s="242">
        <v>0</v>
      </c>
    </row>
    <row r="86" spans="2:51">
      <c r="B86" s="211">
        <v>10258</v>
      </c>
      <c r="C86" s="211" t="s">
        <v>89</v>
      </c>
      <c r="D86" s="242">
        <v>3664.4254807692337</v>
      </c>
      <c r="E86" s="242">
        <v>0</v>
      </c>
      <c r="F86" s="242">
        <v>2965.5799999999958</v>
      </c>
      <c r="G86" s="242">
        <v>0</v>
      </c>
      <c r="H86" s="242">
        <v>3162.9025000000138</v>
      </c>
      <c r="I86" s="242">
        <v>0</v>
      </c>
      <c r="J86" s="242">
        <v>0</v>
      </c>
      <c r="K86" s="242">
        <v>0</v>
      </c>
      <c r="L86" s="242">
        <v>17364.297499999993</v>
      </c>
      <c r="M86" s="242">
        <v>0</v>
      </c>
      <c r="N86" s="242">
        <v>8958.9038461538548</v>
      </c>
      <c r="O86" s="242">
        <v>0</v>
      </c>
      <c r="P86" s="242">
        <v>9168.2379807692341</v>
      </c>
      <c r="Q86" s="242">
        <v>0</v>
      </c>
      <c r="R86" s="242">
        <v>1080.5288461538432</v>
      </c>
      <c r="S86" s="242">
        <v>0</v>
      </c>
      <c r="T86" s="242">
        <v>7533.0999999999967</v>
      </c>
      <c r="U86" s="242">
        <v>0</v>
      </c>
      <c r="V86" s="242">
        <v>13199.697115384619</v>
      </c>
      <c r="W86" s="242">
        <v>0</v>
      </c>
      <c r="X86" s="242">
        <v>9263.5185185185237</v>
      </c>
      <c r="Y86" s="242">
        <v>0</v>
      </c>
      <c r="Z86" s="242">
        <v>3467.7005208333344</v>
      </c>
      <c r="AA86" s="242">
        <v>0</v>
      </c>
      <c r="AB86" s="242">
        <v>5626.6249999999918</v>
      </c>
      <c r="AC86" s="242">
        <v>0</v>
      </c>
      <c r="AD86" s="242">
        <v>3102.4599999999937</v>
      </c>
      <c r="AE86" s="242">
        <v>0</v>
      </c>
      <c r="AF86" s="242">
        <v>3294.1225000000127</v>
      </c>
      <c r="AG86" s="242">
        <v>0</v>
      </c>
      <c r="AH86" s="242">
        <v>0</v>
      </c>
      <c r="AI86" s="242">
        <v>0</v>
      </c>
      <c r="AJ86" s="242">
        <v>17246.807291666672</v>
      </c>
      <c r="AK86" s="242">
        <v>0</v>
      </c>
      <c r="AL86" s="242">
        <v>9126.646634615392</v>
      </c>
      <c r="AM86" s="242">
        <v>0</v>
      </c>
      <c r="AN86" s="242">
        <v>9329.4903846153902</v>
      </c>
      <c r="AO86" s="242">
        <v>0</v>
      </c>
      <c r="AP86" s="242">
        <v>1187.1538461538441</v>
      </c>
      <c r="AQ86" s="242">
        <v>0</v>
      </c>
      <c r="AR86" s="242">
        <v>7520.369999999999</v>
      </c>
      <c r="AS86" s="242">
        <v>0</v>
      </c>
      <c r="AT86" s="242">
        <v>13189.115384615388</v>
      </c>
      <c r="AU86" s="242">
        <v>0</v>
      </c>
      <c r="AV86" s="242">
        <v>7349.8221153846116</v>
      </c>
      <c r="AW86" s="242">
        <v>0</v>
      </c>
      <c r="AX86" s="242">
        <v>5174.495000000009</v>
      </c>
      <c r="AY86" s="242">
        <v>0</v>
      </c>
    </row>
    <row r="87" spans="2:51">
      <c r="B87" s="211">
        <v>10259</v>
      </c>
      <c r="C87" s="211" t="s">
        <v>90</v>
      </c>
      <c r="D87" s="242">
        <v>3757.3798076923117</v>
      </c>
      <c r="E87" s="242">
        <v>0</v>
      </c>
      <c r="F87" s="242">
        <v>4706.9875000000002</v>
      </c>
      <c r="G87" s="242">
        <v>0</v>
      </c>
      <c r="H87" s="242">
        <v>3432.9875000000011</v>
      </c>
      <c r="I87" s="242">
        <v>0</v>
      </c>
      <c r="J87" s="242">
        <v>3921.6057692307704</v>
      </c>
      <c r="K87" s="242">
        <v>0</v>
      </c>
      <c r="L87" s="242">
        <v>3941.3925000000017</v>
      </c>
      <c r="M87" s="242">
        <v>0</v>
      </c>
      <c r="N87" s="242">
        <v>6913.3774038461588</v>
      </c>
      <c r="O87" s="242">
        <v>0</v>
      </c>
      <c r="P87" s="242">
        <v>7449.3437499999982</v>
      </c>
      <c r="Q87" s="242">
        <v>0</v>
      </c>
      <c r="R87" s="242">
        <v>5066.865384615382</v>
      </c>
      <c r="S87" s="242">
        <v>0</v>
      </c>
      <c r="T87" s="242">
        <v>6274.0700000000033</v>
      </c>
      <c r="U87" s="242">
        <v>0</v>
      </c>
      <c r="V87" s="242">
        <v>7150.1466346153838</v>
      </c>
      <c r="W87" s="242">
        <v>0</v>
      </c>
      <c r="X87" s="242">
        <v>6941.4953703703723</v>
      </c>
      <c r="Y87" s="242">
        <v>0</v>
      </c>
      <c r="Z87" s="242">
        <v>5161.7552083333303</v>
      </c>
      <c r="AA87" s="242">
        <v>0</v>
      </c>
      <c r="AB87" s="242">
        <v>3862.314814814818</v>
      </c>
      <c r="AC87" s="242">
        <v>0</v>
      </c>
      <c r="AD87" s="242">
        <v>4850.9624999999978</v>
      </c>
      <c r="AE87" s="242">
        <v>0</v>
      </c>
      <c r="AF87" s="242">
        <v>3563.8775000000019</v>
      </c>
      <c r="AG87" s="242">
        <v>0</v>
      </c>
      <c r="AH87" s="242">
        <v>4050.2115384615367</v>
      </c>
      <c r="AI87" s="242">
        <v>0</v>
      </c>
      <c r="AJ87" s="242">
        <v>6444.1692708333376</v>
      </c>
      <c r="AK87" s="242">
        <v>0</v>
      </c>
      <c r="AL87" s="242">
        <v>7075.8341346153875</v>
      </c>
      <c r="AM87" s="242">
        <v>0</v>
      </c>
      <c r="AN87" s="242">
        <v>7611.5625000000064</v>
      </c>
      <c r="AO87" s="242">
        <v>0</v>
      </c>
      <c r="AP87" s="242">
        <v>5179.2572115384619</v>
      </c>
      <c r="AQ87" s="242">
        <v>0</v>
      </c>
      <c r="AR87" s="242">
        <v>6396.5274999999992</v>
      </c>
      <c r="AS87" s="242">
        <v>0</v>
      </c>
      <c r="AT87" s="242">
        <v>7278.7451923076978</v>
      </c>
      <c r="AU87" s="242">
        <v>0</v>
      </c>
      <c r="AV87" s="242">
        <v>7082.9711538461561</v>
      </c>
      <c r="AW87" s="242">
        <v>0</v>
      </c>
      <c r="AX87" s="242">
        <v>5243.8075000000044</v>
      </c>
      <c r="AY87" s="242">
        <v>0</v>
      </c>
    </row>
    <row r="88" spans="2:51">
      <c r="B88" s="211">
        <v>10260</v>
      </c>
      <c r="C88" s="211" t="s">
        <v>91</v>
      </c>
      <c r="D88" s="242">
        <v>3192.4471153846189</v>
      </c>
      <c r="E88" s="242">
        <v>0</v>
      </c>
      <c r="F88" s="242">
        <v>4206.5849999999991</v>
      </c>
      <c r="G88" s="242">
        <v>0</v>
      </c>
      <c r="H88" s="242">
        <v>5330.4899999999943</v>
      </c>
      <c r="I88" s="242">
        <v>0</v>
      </c>
      <c r="J88" s="242">
        <v>6442.2259615384601</v>
      </c>
      <c r="K88" s="242">
        <v>0</v>
      </c>
      <c r="L88" s="242">
        <v>4924.149999999996</v>
      </c>
      <c r="M88" s="242">
        <v>0</v>
      </c>
      <c r="N88" s="242">
        <v>4476.9831730769201</v>
      </c>
      <c r="O88" s="242">
        <v>0</v>
      </c>
      <c r="P88" s="242">
        <v>7124.6754807692323</v>
      </c>
      <c r="Q88" s="242">
        <v>0</v>
      </c>
      <c r="R88" s="242">
        <v>6788.0817307692269</v>
      </c>
      <c r="S88" s="242">
        <v>0</v>
      </c>
      <c r="T88" s="242">
        <v>6757.3025000000025</v>
      </c>
      <c r="U88" s="242">
        <v>0</v>
      </c>
      <c r="V88" s="242">
        <v>6730.8221153846134</v>
      </c>
      <c r="W88" s="242">
        <v>0</v>
      </c>
      <c r="X88" s="242">
        <v>7095.8124999999964</v>
      </c>
      <c r="Y88" s="242">
        <v>0</v>
      </c>
      <c r="Z88" s="242">
        <v>5649.2187500000018</v>
      </c>
      <c r="AA88" s="242">
        <v>0</v>
      </c>
      <c r="AB88" s="242">
        <v>4217.5810185185137</v>
      </c>
      <c r="AC88" s="242">
        <v>0</v>
      </c>
      <c r="AD88" s="242">
        <v>4213.3175000000001</v>
      </c>
      <c r="AE88" s="242">
        <v>0</v>
      </c>
      <c r="AF88" s="242">
        <v>5336.760000000002</v>
      </c>
      <c r="AG88" s="242">
        <v>0</v>
      </c>
      <c r="AH88" s="242">
        <v>6454.2812499999918</v>
      </c>
      <c r="AI88" s="242">
        <v>0</v>
      </c>
      <c r="AJ88" s="242">
        <v>4556.2942708333394</v>
      </c>
      <c r="AK88" s="242">
        <v>0</v>
      </c>
      <c r="AL88" s="242">
        <v>4484.5985576923085</v>
      </c>
      <c r="AM88" s="242">
        <v>0</v>
      </c>
      <c r="AN88" s="242">
        <v>7131.0264423076951</v>
      </c>
      <c r="AO88" s="242">
        <v>0</v>
      </c>
      <c r="AP88" s="242">
        <v>6796.7475961538476</v>
      </c>
      <c r="AQ88" s="242">
        <v>0</v>
      </c>
      <c r="AR88" s="242">
        <v>6754.4274999999998</v>
      </c>
      <c r="AS88" s="242">
        <v>0</v>
      </c>
      <c r="AT88" s="242">
        <v>6736.225961538461</v>
      </c>
      <c r="AU88" s="242">
        <v>0</v>
      </c>
      <c r="AV88" s="242">
        <v>5982.6778846153866</v>
      </c>
      <c r="AW88" s="242">
        <v>0</v>
      </c>
      <c r="AX88" s="242">
        <v>6719.7075000000013</v>
      </c>
      <c r="AY88" s="242">
        <v>0</v>
      </c>
    </row>
    <row r="89" spans="2:51">
      <c r="B89" s="211">
        <v>10273</v>
      </c>
      <c r="C89" s="211" t="s">
        <v>92</v>
      </c>
      <c r="D89" s="242">
        <v>2633.2860576923067</v>
      </c>
      <c r="E89" s="242">
        <v>0</v>
      </c>
      <c r="F89" s="242">
        <v>714.20000000000084</v>
      </c>
      <c r="G89" s="242">
        <v>0</v>
      </c>
      <c r="H89" s="242">
        <v>1861.182499999999</v>
      </c>
      <c r="I89" s="242">
        <v>0</v>
      </c>
      <c r="J89" s="242">
        <v>1975.9278846153841</v>
      </c>
      <c r="K89" s="242">
        <v>0</v>
      </c>
      <c r="L89" s="242">
        <v>1468.8725000000015</v>
      </c>
      <c r="M89" s="242">
        <v>0</v>
      </c>
      <c r="N89" s="242">
        <v>1846.3533653846157</v>
      </c>
      <c r="O89" s="242">
        <v>0</v>
      </c>
      <c r="P89" s="242">
        <v>649.8052884615397</v>
      </c>
      <c r="Q89" s="242">
        <v>0</v>
      </c>
      <c r="R89" s="242">
        <v>1227.2788461538457</v>
      </c>
      <c r="S89" s="242">
        <v>0</v>
      </c>
      <c r="T89" s="242">
        <v>2111.7824999999993</v>
      </c>
      <c r="U89" s="242">
        <v>0</v>
      </c>
      <c r="V89" s="242">
        <v>2351.1899038461552</v>
      </c>
      <c r="W89" s="242">
        <v>0</v>
      </c>
      <c r="X89" s="242">
        <v>3225.6481481481487</v>
      </c>
      <c r="Y89" s="242">
        <v>0</v>
      </c>
      <c r="Z89" s="242">
        <v>2633.8385416666647</v>
      </c>
      <c r="AA89" s="242">
        <v>0</v>
      </c>
      <c r="AB89" s="242">
        <v>2960.8888888888887</v>
      </c>
      <c r="AC89" s="242">
        <v>0</v>
      </c>
      <c r="AD89" s="242">
        <v>819.08750000000111</v>
      </c>
      <c r="AE89" s="242">
        <v>0</v>
      </c>
      <c r="AF89" s="242">
        <v>1979.2000000000014</v>
      </c>
      <c r="AG89" s="242">
        <v>0</v>
      </c>
      <c r="AH89" s="242">
        <v>2119.7451923076915</v>
      </c>
      <c r="AI89" s="242">
        <v>0</v>
      </c>
      <c r="AJ89" s="242">
        <v>1527.5703125000009</v>
      </c>
      <c r="AK89" s="242">
        <v>0</v>
      </c>
      <c r="AL89" s="242">
        <v>1917.8653846153838</v>
      </c>
      <c r="AM89" s="242">
        <v>0</v>
      </c>
      <c r="AN89" s="242">
        <v>700.14903846153857</v>
      </c>
      <c r="AO89" s="242">
        <v>0</v>
      </c>
      <c r="AP89" s="242">
        <v>1277.6586538461529</v>
      </c>
      <c r="AQ89" s="242">
        <v>0</v>
      </c>
      <c r="AR89" s="242">
        <v>2160.7374999999988</v>
      </c>
      <c r="AS89" s="242">
        <v>0</v>
      </c>
      <c r="AT89" s="242">
        <v>2401.8004807692305</v>
      </c>
      <c r="AU89" s="242">
        <v>0</v>
      </c>
      <c r="AV89" s="242">
        <v>2808.3485576923067</v>
      </c>
      <c r="AW89" s="242">
        <v>0</v>
      </c>
      <c r="AX89" s="242">
        <v>3068.4325000000003</v>
      </c>
      <c r="AY89" s="242">
        <v>0</v>
      </c>
    </row>
    <row r="90" spans="2:51">
      <c r="B90" s="211">
        <v>10278</v>
      </c>
      <c r="C90" s="211" t="s">
        <v>93</v>
      </c>
      <c r="D90" s="242">
        <v>0</v>
      </c>
      <c r="E90" s="242">
        <v>0</v>
      </c>
      <c r="F90" s="242">
        <v>0</v>
      </c>
      <c r="G90" s="242">
        <v>0</v>
      </c>
      <c r="H90" s="242">
        <v>0</v>
      </c>
      <c r="I90" s="242">
        <v>0</v>
      </c>
      <c r="J90" s="242">
        <v>0</v>
      </c>
      <c r="K90" s="242">
        <v>0</v>
      </c>
      <c r="L90" s="242">
        <v>0</v>
      </c>
      <c r="M90" s="242">
        <v>0</v>
      </c>
      <c r="N90" s="242">
        <v>0</v>
      </c>
      <c r="O90" s="242">
        <v>0</v>
      </c>
      <c r="P90" s="242">
        <v>0</v>
      </c>
      <c r="Q90" s="242">
        <v>0</v>
      </c>
      <c r="R90" s="242">
        <v>0</v>
      </c>
      <c r="S90" s="242">
        <v>0</v>
      </c>
      <c r="T90" s="242">
        <v>0</v>
      </c>
      <c r="U90" s="242">
        <v>0</v>
      </c>
      <c r="V90" s="242">
        <v>0</v>
      </c>
      <c r="W90" s="242">
        <v>0</v>
      </c>
      <c r="X90" s="242">
        <v>0</v>
      </c>
      <c r="Y90" s="242">
        <v>0</v>
      </c>
      <c r="Z90" s="242">
        <v>0</v>
      </c>
      <c r="AA90" s="242">
        <v>0</v>
      </c>
      <c r="AB90" s="242">
        <v>0</v>
      </c>
      <c r="AC90" s="242">
        <v>0</v>
      </c>
      <c r="AD90" s="242">
        <v>0</v>
      </c>
      <c r="AE90" s="242">
        <v>0</v>
      </c>
      <c r="AF90" s="242">
        <v>0</v>
      </c>
      <c r="AG90" s="242">
        <v>0</v>
      </c>
      <c r="AH90" s="242">
        <v>0</v>
      </c>
      <c r="AI90" s="242">
        <v>0</v>
      </c>
      <c r="AJ90" s="242">
        <v>0</v>
      </c>
      <c r="AK90" s="242">
        <v>0</v>
      </c>
      <c r="AL90" s="242">
        <v>0</v>
      </c>
      <c r="AM90" s="242">
        <v>0</v>
      </c>
      <c r="AN90" s="242">
        <v>0</v>
      </c>
      <c r="AO90" s="242">
        <v>0</v>
      </c>
      <c r="AP90" s="242">
        <v>0</v>
      </c>
      <c r="AQ90" s="242">
        <v>0</v>
      </c>
      <c r="AR90" s="242">
        <v>0</v>
      </c>
      <c r="AS90" s="242">
        <v>0</v>
      </c>
      <c r="AT90" s="242">
        <v>0</v>
      </c>
      <c r="AU90" s="242">
        <v>0</v>
      </c>
      <c r="AV90" s="242">
        <v>0</v>
      </c>
      <c r="AW90" s="242">
        <v>0</v>
      </c>
      <c r="AX90" s="242">
        <v>0</v>
      </c>
      <c r="AY90" s="242">
        <v>0</v>
      </c>
    </row>
    <row r="91" spans="2:51">
      <c r="B91" s="211">
        <v>10279</v>
      </c>
      <c r="C91" s="211" t="s">
        <v>94</v>
      </c>
      <c r="D91" s="242">
        <v>0</v>
      </c>
      <c r="E91" s="242">
        <v>0</v>
      </c>
      <c r="F91" s="242">
        <v>0</v>
      </c>
      <c r="G91" s="242">
        <v>0</v>
      </c>
      <c r="H91" s="242">
        <v>0</v>
      </c>
      <c r="I91" s="242">
        <v>0</v>
      </c>
      <c r="J91" s="242">
        <v>0</v>
      </c>
      <c r="K91" s="242">
        <v>0</v>
      </c>
      <c r="L91" s="242">
        <v>0</v>
      </c>
      <c r="M91" s="242">
        <v>0</v>
      </c>
      <c r="N91" s="242">
        <v>0</v>
      </c>
      <c r="O91" s="242">
        <v>0</v>
      </c>
      <c r="P91" s="242">
        <v>0</v>
      </c>
      <c r="Q91" s="242">
        <v>0</v>
      </c>
      <c r="R91" s="242">
        <v>0</v>
      </c>
      <c r="S91" s="242">
        <v>0</v>
      </c>
      <c r="T91" s="242">
        <v>0</v>
      </c>
      <c r="U91" s="242">
        <v>0</v>
      </c>
      <c r="V91" s="242">
        <v>0</v>
      </c>
      <c r="W91" s="242">
        <v>0</v>
      </c>
      <c r="X91" s="242">
        <v>0</v>
      </c>
      <c r="Y91" s="242">
        <v>0</v>
      </c>
      <c r="Z91" s="242">
        <v>0</v>
      </c>
      <c r="AA91" s="242">
        <v>0</v>
      </c>
      <c r="AB91" s="242">
        <v>0</v>
      </c>
      <c r="AC91" s="242">
        <v>0</v>
      </c>
      <c r="AD91" s="242">
        <v>0</v>
      </c>
      <c r="AE91" s="242">
        <v>0</v>
      </c>
      <c r="AF91" s="242">
        <v>0</v>
      </c>
      <c r="AG91" s="242">
        <v>0</v>
      </c>
      <c r="AH91" s="242">
        <v>0</v>
      </c>
      <c r="AI91" s="242">
        <v>0</v>
      </c>
      <c r="AJ91" s="242">
        <v>0</v>
      </c>
      <c r="AK91" s="242">
        <v>0</v>
      </c>
      <c r="AL91" s="242">
        <v>0</v>
      </c>
      <c r="AM91" s="242">
        <v>0</v>
      </c>
      <c r="AN91" s="242">
        <v>0</v>
      </c>
      <c r="AO91" s="242">
        <v>0</v>
      </c>
      <c r="AP91" s="242">
        <v>0</v>
      </c>
      <c r="AQ91" s="242">
        <v>0</v>
      </c>
      <c r="AR91" s="242">
        <v>0</v>
      </c>
      <c r="AS91" s="242">
        <v>0</v>
      </c>
      <c r="AT91" s="242">
        <v>0</v>
      </c>
      <c r="AU91" s="242">
        <v>0</v>
      </c>
      <c r="AV91" s="242">
        <v>0</v>
      </c>
      <c r="AW91" s="242">
        <v>0</v>
      </c>
      <c r="AX91" s="242">
        <v>0</v>
      </c>
      <c r="AY91" s="242">
        <v>0</v>
      </c>
    </row>
    <row r="92" spans="2:51">
      <c r="B92" s="211">
        <v>10284</v>
      </c>
      <c r="C92" s="211" t="s">
        <v>95</v>
      </c>
      <c r="D92" s="242">
        <v>1551.5240384615377</v>
      </c>
      <c r="E92" s="242">
        <v>0</v>
      </c>
      <c r="F92" s="242">
        <v>1297.2575000000015</v>
      </c>
      <c r="G92" s="242">
        <v>0</v>
      </c>
      <c r="H92" s="242">
        <v>3490.27</v>
      </c>
      <c r="I92" s="242">
        <v>0</v>
      </c>
      <c r="J92" s="242">
        <v>4091.8341346153843</v>
      </c>
      <c r="K92" s="242">
        <v>0</v>
      </c>
      <c r="L92" s="242">
        <v>1059.9300000000014</v>
      </c>
      <c r="M92" s="242">
        <v>0</v>
      </c>
      <c r="N92" s="242">
        <v>2392.8197115384646</v>
      </c>
      <c r="O92" s="242">
        <v>0</v>
      </c>
      <c r="P92" s="242">
        <v>2069.0048076923081</v>
      </c>
      <c r="Q92" s="242">
        <v>0</v>
      </c>
      <c r="R92" s="242">
        <v>0</v>
      </c>
      <c r="S92" s="242">
        <v>0</v>
      </c>
      <c r="T92" s="242">
        <v>2381.1575000000003</v>
      </c>
      <c r="U92" s="242">
        <v>0</v>
      </c>
      <c r="V92" s="242">
        <v>2019.6033653846155</v>
      </c>
      <c r="W92" s="242">
        <v>0</v>
      </c>
      <c r="X92" s="242">
        <v>2794.5972222222222</v>
      </c>
      <c r="Y92" s="242">
        <v>0</v>
      </c>
      <c r="Z92" s="242">
        <v>976.61458333333371</v>
      </c>
      <c r="AA92" s="242">
        <v>0</v>
      </c>
      <c r="AB92" s="242">
        <v>1581.3773148148132</v>
      </c>
      <c r="AC92" s="242">
        <v>0</v>
      </c>
      <c r="AD92" s="242">
        <v>1371.0475000000004</v>
      </c>
      <c r="AE92" s="242">
        <v>0</v>
      </c>
      <c r="AF92" s="242">
        <v>3554.434999999999</v>
      </c>
      <c r="AG92" s="242">
        <v>0</v>
      </c>
      <c r="AH92" s="242">
        <v>4161.4302884615399</v>
      </c>
      <c r="AI92" s="242">
        <v>0</v>
      </c>
      <c r="AJ92" s="242">
        <v>2374.0885416666638</v>
      </c>
      <c r="AK92" s="242">
        <v>0</v>
      </c>
      <c r="AL92" s="242">
        <v>2470.8629807692314</v>
      </c>
      <c r="AM92" s="242">
        <v>0</v>
      </c>
      <c r="AN92" s="242">
        <v>2155.4254807692291</v>
      </c>
      <c r="AO92" s="242">
        <v>0</v>
      </c>
      <c r="AP92" s="242">
        <v>0</v>
      </c>
      <c r="AQ92" s="242">
        <v>0</v>
      </c>
      <c r="AR92" s="242">
        <v>2446.6150000000007</v>
      </c>
      <c r="AS92" s="242">
        <v>0</v>
      </c>
      <c r="AT92" s="242">
        <v>2077.4471153846152</v>
      </c>
      <c r="AU92" s="242">
        <v>0</v>
      </c>
      <c r="AV92" s="242">
        <v>2887.6682692307686</v>
      </c>
      <c r="AW92" s="242">
        <v>0</v>
      </c>
      <c r="AX92" s="242">
        <v>1006.2874999999996</v>
      </c>
      <c r="AY92" s="242">
        <v>0</v>
      </c>
    </row>
    <row r="93" spans="2:51">
      <c r="B93" s="211">
        <v>10285</v>
      </c>
      <c r="C93" s="211" t="s">
        <v>96</v>
      </c>
      <c r="D93" s="242">
        <v>0</v>
      </c>
      <c r="E93" s="242">
        <v>0</v>
      </c>
      <c r="F93" s="242">
        <v>0</v>
      </c>
      <c r="G93" s="242">
        <v>0</v>
      </c>
      <c r="H93" s="242">
        <v>0</v>
      </c>
      <c r="I93" s="242">
        <v>0</v>
      </c>
      <c r="J93" s="242">
        <v>0</v>
      </c>
      <c r="K93" s="242">
        <v>0</v>
      </c>
      <c r="L93" s="242">
        <v>0</v>
      </c>
      <c r="M93" s="242">
        <v>0</v>
      </c>
      <c r="N93" s="242">
        <v>0</v>
      </c>
      <c r="O93" s="242">
        <v>0</v>
      </c>
      <c r="P93" s="242">
        <v>0</v>
      </c>
      <c r="Q93" s="242">
        <v>0</v>
      </c>
      <c r="R93" s="242">
        <v>0</v>
      </c>
      <c r="S93" s="242">
        <v>0</v>
      </c>
      <c r="T93" s="242">
        <v>0</v>
      </c>
      <c r="U93" s="242">
        <v>0</v>
      </c>
      <c r="V93" s="242">
        <v>0</v>
      </c>
      <c r="W93" s="242">
        <v>0</v>
      </c>
      <c r="X93" s="242">
        <v>0</v>
      </c>
      <c r="Y93" s="242">
        <v>0</v>
      </c>
      <c r="Z93" s="242">
        <v>0</v>
      </c>
      <c r="AA93" s="242">
        <v>0</v>
      </c>
      <c r="AB93" s="242">
        <v>0</v>
      </c>
      <c r="AC93" s="242">
        <v>0</v>
      </c>
      <c r="AD93" s="242">
        <v>0</v>
      </c>
      <c r="AE93" s="242">
        <v>0</v>
      </c>
      <c r="AF93" s="242">
        <v>0</v>
      </c>
      <c r="AG93" s="242">
        <v>0</v>
      </c>
      <c r="AH93" s="242">
        <v>0</v>
      </c>
      <c r="AI93" s="242">
        <v>0</v>
      </c>
      <c r="AJ93" s="242">
        <v>0</v>
      </c>
      <c r="AK93" s="242">
        <v>0</v>
      </c>
      <c r="AL93" s="242">
        <v>0</v>
      </c>
      <c r="AM93" s="242">
        <v>0</v>
      </c>
      <c r="AN93" s="242">
        <v>0</v>
      </c>
      <c r="AO93" s="242">
        <v>0</v>
      </c>
      <c r="AP93" s="242">
        <v>0</v>
      </c>
      <c r="AQ93" s="242">
        <v>0</v>
      </c>
      <c r="AR93" s="242">
        <v>0</v>
      </c>
      <c r="AS93" s="242">
        <v>0</v>
      </c>
      <c r="AT93" s="242">
        <v>0</v>
      </c>
      <c r="AU93" s="242">
        <v>0</v>
      </c>
      <c r="AV93" s="242">
        <v>0</v>
      </c>
      <c r="AW93" s="242">
        <v>0</v>
      </c>
      <c r="AX93" s="242">
        <v>0</v>
      </c>
      <c r="AY93" s="242">
        <v>0</v>
      </c>
    </row>
    <row r="94" spans="2:51">
      <c r="B94" s="211">
        <v>10286</v>
      </c>
      <c r="C94" s="211" t="s">
        <v>97</v>
      </c>
      <c r="D94" s="242">
        <v>0</v>
      </c>
      <c r="E94" s="242">
        <v>0</v>
      </c>
      <c r="F94" s="242">
        <v>0</v>
      </c>
      <c r="G94" s="242">
        <v>0</v>
      </c>
      <c r="H94" s="242">
        <v>0</v>
      </c>
      <c r="I94" s="242">
        <v>0</v>
      </c>
      <c r="J94" s="242">
        <v>0</v>
      </c>
      <c r="K94" s="242">
        <v>0</v>
      </c>
      <c r="L94" s="242">
        <v>0</v>
      </c>
      <c r="M94" s="242">
        <v>0</v>
      </c>
      <c r="N94" s="242">
        <v>0</v>
      </c>
      <c r="O94" s="242">
        <v>0</v>
      </c>
      <c r="P94" s="242">
        <v>0</v>
      </c>
      <c r="Q94" s="242">
        <v>0</v>
      </c>
      <c r="R94" s="242">
        <v>0</v>
      </c>
      <c r="S94" s="242">
        <v>0</v>
      </c>
      <c r="T94" s="242">
        <v>0</v>
      </c>
      <c r="U94" s="242">
        <v>0</v>
      </c>
      <c r="V94" s="242">
        <v>0</v>
      </c>
      <c r="W94" s="242">
        <v>0</v>
      </c>
      <c r="X94" s="242">
        <v>0</v>
      </c>
      <c r="Y94" s="242">
        <v>0</v>
      </c>
      <c r="Z94" s="242">
        <v>0</v>
      </c>
      <c r="AA94" s="242">
        <v>0</v>
      </c>
      <c r="AB94" s="242">
        <v>0</v>
      </c>
      <c r="AC94" s="242">
        <v>0</v>
      </c>
      <c r="AD94" s="242">
        <v>0</v>
      </c>
      <c r="AE94" s="242">
        <v>0</v>
      </c>
      <c r="AF94" s="242">
        <v>0</v>
      </c>
      <c r="AG94" s="242">
        <v>0</v>
      </c>
      <c r="AH94" s="242">
        <v>0</v>
      </c>
      <c r="AI94" s="242">
        <v>0</v>
      </c>
      <c r="AJ94" s="242">
        <v>0</v>
      </c>
      <c r="AK94" s="242">
        <v>0</v>
      </c>
      <c r="AL94" s="242">
        <v>0</v>
      </c>
      <c r="AM94" s="242">
        <v>0</v>
      </c>
      <c r="AN94" s="242">
        <v>0</v>
      </c>
      <c r="AO94" s="242">
        <v>0</v>
      </c>
      <c r="AP94" s="242">
        <v>0</v>
      </c>
      <c r="AQ94" s="242">
        <v>0</v>
      </c>
      <c r="AR94" s="242">
        <v>0</v>
      </c>
      <c r="AS94" s="242">
        <v>0</v>
      </c>
      <c r="AT94" s="242">
        <v>0</v>
      </c>
      <c r="AU94" s="242">
        <v>0</v>
      </c>
      <c r="AV94" s="242">
        <v>0</v>
      </c>
      <c r="AW94" s="242">
        <v>0</v>
      </c>
      <c r="AX94" s="242">
        <v>0</v>
      </c>
      <c r="AY94" s="242">
        <v>0</v>
      </c>
    </row>
    <row r="95" spans="2:51">
      <c r="B95" s="211">
        <v>10288</v>
      </c>
      <c r="C95" s="211" t="s">
        <v>98</v>
      </c>
      <c r="D95" s="242">
        <v>0</v>
      </c>
      <c r="E95" s="242">
        <v>0</v>
      </c>
      <c r="F95" s="242">
        <v>0</v>
      </c>
      <c r="G95" s="242">
        <v>0</v>
      </c>
      <c r="H95" s="242">
        <v>0</v>
      </c>
      <c r="I95" s="242">
        <v>0</v>
      </c>
      <c r="J95" s="242">
        <v>0</v>
      </c>
      <c r="K95" s="242">
        <v>0</v>
      </c>
      <c r="L95" s="242">
        <v>0</v>
      </c>
      <c r="M95" s="242">
        <v>0</v>
      </c>
      <c r="N95" s="242">
        <v>0</v>
      </c>
      <c r="O95" s="242">
        <v>0</v>
      </c>
      <c r="P95" s="242">
        <v>0</v>
      </c>
      <c r="Q95" s="242">
        <v>0</v>
      </c>
      <c r="R95" s="242">
        <v>0</v>
      </c>
      <c r="S95" s="242">
        <v>0</v>
      </c>
      <c r="T95" s="242">
        <v>0</v>
      </c>
      <c r="U95" s="242">
        <v>0</v>
      </c>
      <c r="V95" s="242">
        <v>0</v>
      </c>
      <c r="W95" s="242">
        <v>0</v>
      </c>
      <c r="X95" s="242">
        <v>0</v>
      </c>
      <c r="Y95" s="242">
        <v>0</v>
      </c>
      <c r="Z95" s="242">
        <v>0</v>
      </c>
      <c r="AA95" s="242">
        <v>0</v>
      </c>
      <c r="AB95" s="242">
        <v>0</v>
      </c>
      <c r="AC95" s="242">
        <v>0</v>
      </c>
      <c r="AD95" s="242">
        <v>0</v>
      </c>
      <c r="AE95" s="242">
        <v>0</v>
      </c>
      <c r="AF95" s="242">
        <v>0</v>
      </c>
      <c r="AG95" s="242">
        <v>0</v>
      </c>
      <c r="AH95" s="242">
        <v>0</v>
      </c>
      <c r="AI95" s="242">
        <v>0</v>
      </c>
      <c r="AJ95" s="242">
        <v>0</v>
      </c>
      <c r="AK95" s="242">
        <v>0</v>
      </c>
      <c r="AL95" s="242">
        <v>0</v>
      </c>
      <c r="AM95" s="242">
        <v>0</v>
      </c>
      <c r="AN95" s="242">
        <v>0</v>
      </c>
      <c r="AO95" s="242">
        <v>0</v>
      </c>
      <c r="AP95" s="242">
        <v>0</v>
      </c>
      <c r="AQ95" s="242">
        <v>0</v>
      </c>
      <c r="AR95" s="242">
        <v>0</v>
      </c>
      <c r="AS95" s="242">
        <v>0</v>
      </c>
      <c r="AT95" s="242">
        <v>0</v>
      </c>
      <c r="AU95" s="242">
        <v>0</v>
      </c>
      <c r="AV95" s="242">
        <v>0</v>
      </c>
      <c r="AW95" s="242">
        <v>0</v>
      </c>
      <c r="AX95" s="242">
        <v>0</v>
      </c>
      <c r="AY95" s="242">
        <v>0</v>
      </c>
    </row>
    <row r="96" spans="2:51">
      <c r="B96" s="211">
        <v>10291</v>
      </c>
      <c r="C96" s="211" t="s">
        <v>99</v>
      </c>
      <c r="D96" s="242">
        <v>11123.81490384616</v>
      </c>
      <c r="E96" s="242">
        <v>0</v>
      </c>
      <c r="F96" s="242">
        <v>5036.7375000000011</v>
      </c>
      <c r="G96" s="242">
        <v>0</v>
      </c>
      <c r="H96" s="242">
        <v>15434.612499999999</v>
      </c>
      <c r="I96" s="242">
        <v>0</v>
      </c>
      <c r="J96" s="242">
        <v>15524.723557692323</v>
      </c>
      <c r="K96" s="242">
        <v>0</v>
      </c>
      <c r="L96" s="242">
        <v>8174.645000000005</v>
      </c>
      <c r="M96" s="242">
        <v>0</v>
      </c>
      <c r="N96" s="242">
        <v>13655.776442307697</v>
      </c>
      <c r="O96" s="242">
        <v>0</v>
      </c>
      <c r="P96" s="242">
        <v>13573.572115384612</v>
      </c>
      <c r="Q96" s="242">
        <v>0</v>
      </c>
      <c r="R96" s="242">
        <v>7120.7788461538385</v>
      </c>
      <c r="S96" s="242">
        <v>0</v>
      </c>
      <c r="T96" s="242">
        <v>12997.802500000003</v>
      </c>
      <c r="U96" s="242">
        <v>0</v>
      </c>
      <c r="V96" s="242">
        <v>19210.471153846163</v>
      </c>
      <c r="W96" s="242">
        <v>0</v>
      </c>
      <c r="X96" s="242">
        <v>21067.38425925927</v>
      </c>
      <c r="Y96" s="242">
        <v>0</v>
      </c>
      <c r="Z96" s="242">
        <v>11517.127604166668</v>
      </c>
      <c r="AA96" s="242">
        <v>0</v>
      </c>
      <c r="AB96" s="242">
        <v>11148.020833333341</v>
      </c>
      <c r="AC96" s="242">
        <v>0</v>
      </c>
      <c r="AD96" s="242">
        <v>5035.8075000000044</v>
      </c>
      <c r="AE96" s="242">
        <v>0</v>
      </c>
      <c r="AF96" s="242">
        <v>15378.810000000001</v>
      </c>
      <c r="AG96" s="242">
        <v>0</v>
      </c>
      <c r="AH96" s="242">
        <v>15494.266826923078</v>
      </c>
      <c r="AI96" s="242">
        <v>0</v>
      </c>
      <c r="AJ96" s="242">
        <v>13356.07291666667</v>
      </c>
      <c r="AK96" s="242">
        <v>0</v>
      </c>
      <c r="AL96" s="242">
        <v>13665.670673076917</v>
      </c>
      <c r="AM96" s="242">
        <v>0</v>
      </c>
      <c r="AN96" s="242">
        <v>13598.649038461534</v>
      </c>
      <c r="AO96" s="242">
        <v>0</v>
      </c>
      <c r="AP96" s="242">
        <v>7144.798076923079</v>
      </c>
      <c r="AQ96" s="242">
        <v>0</v>
      </c>
      <c r="AR96" s="242">
        <v>13030.315000000001</v>
      </c>
      <c r="AS96" s="242">
        <v>0</v>
      </c>
      <c r="AT96" s="242">
        <v>19242.810096153855</v>
      </c>
      <c r="AU96" s="242">
        <v>0</v>
      </c>
      <c r="AV96" s="242">
        <v>21020.822115384617</v>
      </c>
      <c r="AW96" s="242">
        <v>0</v>
      </c>
      <c r="AX96" s="242">
        <v>11608.477499999985</v>
      </c>
      <c r="AY96" s="242">
        <v>0</v>
      </c>
    </row>
    <row r="97" spans="2:51">
      <c r="B97" s="211">
        <v>10294</v>
      </c>
      <c r="C97" s="211" t="s">
        <v>100</v>
      </c>
      <c r="D97" s="242">
        <v>4564.4831730769229</v>
      </c>
      <c r="E97" s="242">
        <v>0</v>
      </c>
      <c r="F97" s="242">
        <v>1394.1650000000045</v>
      </c>
      <c r="G97" s="242">
        <v>0</v>
      </c>
      <c r="H97" s="242">
        <v>9556.1999999999971</v>
      </c>
      <c r="I97" s="242">
        <v>0</v>
      </c>
      <c r="J97" s="242">
        <v>12266.653846153855</v>
      </c>
      <c r="K97" s="242">
        <v>0</v>
      </c>
      <c r="L97" s="242">
        <v>8285.4875000000065</v>
      </c>
      <c r="M97" s="242">
        <v>0</v>
      </c>
      <c r="N97" s="242">
        <v>14508.454326923089</v>
      </c>
      <c r="O97" s="242">
        <v>0</v>
      </c>
      <c r="P97" s="242">
        <v>8850.2548076923067</v>
      </c>
      <c r="Q97" s="242">
        <v>0</v>
      </c>
      <c r="R97" s="242">
        <v>6332.8341346153875</v>
      </c>
      <c r="S97" s="242">
        <v>0</v>
      </c>
      <c r="T97" s="242">
        <v>3911.9275000000025</v>
      </c>
      <c r="U97" s="242">
        <v>0</v>
      </c>
      <c r="V97" s="242">
        <v>2079.7259615384601</v>
      </c>
      <c r="W97" s="242">
        <v>0</v>
      </c>
      <c r="X97" s="242">
        <v>1870.7939814814795</v>
      </c>
      <c r="Y97" s="242">
        <v>0</v>
      </c>
      <c r="Z97" s="242">
        <v>3220.7786458333326</v>
      </c>
      <c r="AA97" s="242">
        <v>0</v>
      </c>
      <c r="AB97" s="242">
        <v>4654.0462962962938</v>
      </c>
      <c r="AC97" s="242">
        <v>0</v>
      </c>
      <c r="AD97" s="242">
        <v>1453.0100000000098</v>
      </c>
      <c r="AE97" s="242">
        <v>0</v>
      </c>
      <c r="AF97" s="242">
        <v>9620.9874999999975</v>
      </c>
      <c r="AG97" s="242">
        <v>0</v>
      </c>
      <c r="AH97" s="242">
        <v>12348.252403846163</v>
      </c>
      <c r="AI97" s="242">
        <v>0</v>
      </c>
      <c r="AJ97" s="242">
        <v>8276.2890625000018</v>
      </c>
      <c r="AK97" s="242">
        <v>0</v>
      </c>
      <c r="AL97" s="242">
        <v>14606.048076923076</v>
      </c>
      <c r="AM97" s="242">
        <v>0</v>
      </c>
      <c r="AN97" s="242">
        <v>8932.1466346153829</v>
      </c>
      <c r="AO97" s="242">
        <v>0</v>
      </c>
      <c r="AP97" s="242">
        <v>6385.7355769230808</v>
      </c>
      <c r="AQ97" s="242">
        <v>0</v>
      </c>
      <c r="AR97" s="242">
        <v>3929.2450000000035</v>
      </c>
      <c r="AS97" s="242">
        <v>0</v>
      </c>
      <c r="AT97" s="242">
        <v>2073.4855769230753</v>
      </c>
      <c r="AU97" s="242">
        <v>0</v>
      </c>
      <c r="AV97" s="242">
        <v>1819.7596153846152</v>
      </c>
      <c r="AW97" s="242">
        <v>0</v>
      </c>
      <c r="AX97" s="242">
        <v>3292.440000000001</v>
      </c>
      <c r="AY97" s="242">
        <v>0</v>
      </c>
    </row>
    <row r="98" spans="2:51">
      <c r="B98" s="211">
        <v>10304</v>
      </c>
      <c r="C98" s="211" t="s">
        <v>101</v>
      </c>
      <c r="D98" s="242">
        <v>0</v>
      </c>
      <c r="E98" s="242">
        <v>0</v>
      </c>
      <c r="F98" s="242">
        <v>347.47000000000037</v>
      </c>
      <c r="G98" s="242">
        <v>0</v>
      </c>
      <c r="H98" s="242">
        <v>3477.2250000000008</v>
      </c>
      <c r="I98" s="242">
        <v>0</v>
      </c>
      <c r="J98" s="242">
        <v>3181.9663461538457</v>
      </c>
      <c r="K98" s="242">
        <v>0</v>
      </c>
      <c r="L98" s="242">
        <v>2135.9299999999985</v>
      </c>
      <c r="M98" s="242">
        <v>0</v>
      </c>
      <c r="N98" s="242">
        <v>0</v>
      </c>
      <c r="O98" s="242">
        <v>0</v>
      </c>
      <c r="P98" s="242">
        <v>1001.281249999999</v>
      </c>
      <c r="Q98" s="242">
        <v>0</v>
      </c>
      <c r="R98" s="242">
        <v>2206.9471153846157</v>
      </c>
      <c r="S98" s="242">
        <v>0</v>
      </c>
      <c r="T98" s="242">
        <v>1830.6349999999998</v>
      </c>
      <c r="U98" s="242">
        <v>0</v>
      </c>
      <c r="V98" s="242">
        <v>1531.8269230769215</v>
      </c>
      <c r="W98" s="242">
        <v>0</v>
      </c>
      <c r="X98" s="242">
        <v>1943.4467592592603</v>
      </c>
      <c r="Y98" s="242">
        <v>0</v>
      </c>
      <c r="Z98" s="242">
        <v>2254.546875</v>
      </c>
      <c r="AA98" s="242">
        <v>0</v>
      </c>
      <c r="AB98" s="242">
        <v>0</v>
      </c>
      <c r="AC98" s="242">
        <v>0</v>
      </c>
      <c r="AD98" s="242">
        <v>412.56000000000182</v>
      </c>
      <c r="AE98" s="242">
        <v>0</v>
      </c>
      <c r="AF98" s="242">
        <v>3542.2200000000003</v>
      </c>
      <c r="AG98" s="242">
        <v>0</v>
      </c>
      <c r="AH98" s="242">
        <v>3248.0192307692337</v>
      </c>
      <c r="AI98" s="242">
        <v>0</v>
      </c>
      <c r="AJ98" s="242">
        <v>1948.3932291666654</v>
      </c>
      <c r="AK98" s="242">
        <v>0</v>
      </c>
      <c r="AL98" s="242">
        <v>0</v>
      </c>
      <c r="AM98" s="242">
        <v>0</v>
      </c>
      <c r="AN98" s="242">
        <v>1058.6850961538455</v>
      </c>
      <c r="AO98" s="242">
        <v>0</v>
      </c>
      <c r="AP98" s="242">
        <v>2268.9158653846175</v>
      </c>
      <c r="AQ98" s="242">
        <v>0</v>
      </c>
      <c r="AR98" s="242">
        <v>1894.2450000000003</v>
      </c>
      <c r="AS98" s="242">
        <v>0</v>
      </c>
      <c r="AT98" s="242">
        <v>1595.1610576923081</v>
      </c>
      <c r="AU98" s="242">
        <v>0</v>
      </c>
      <c r="AV98" s="242">
        <v>1591.0552884615388</v>
      </c>
      <c r="AW98" s="242">
        <v>0</v>
      </c>
      <c r="AX98" s="242">
        <v>2801.8474999999999</v>
      </c>
      <c r="AY98" s="242">
        <v>0</v>
      </c>
    </row>
    <row r="99" spans="2:51">
      <c r="B99" s="211">
        <v>10306</v>
      </c>
      <c r="C99" s="211" t="s">
        <v>102</v>
      </c>
      <c r="D99" s="242">
        <v>0</v>
      </c>
      <c r="E99" s="242">
        <v>0</v>
      </c>
      <c r="F99" s="242">
        <v>0</v>
      </c>
      <c r="G99" s="242">
        <v>0</v>
      </c>
      <c r="H99" s="242">
        <v>0</v>
      </c>
      <c r="I99" s="242">
        <v>0</v>
      </c>
      <c r="J99" s="242">
        <v>0</v>
      </c>
      <c r="K99" s="242">
        <v>0</v>
      </c>
      <c r="L99" s="242">
        <v>0</v>
      </c>
      <c r="M99" s="242">
        <v>0</v>
      </c>
      <c r="N99" s="242">
        <v>0</v>
      </c>
      <c r="O99" s="242">
        <v>0</v>
      </c>
      <c r="P99" s="242">
        <v>0</v>
      </c>
      <c r="Q99" s="242">
        <v>0</v>
      </c>
      <c r="R99" s="242">
        <v>0</v>
      </c>
      <c r="S99" s="242">
        <v>0</v>
      </c>
      <c r="T99" s="242">
        <v>0</v>
      </c>
      <c r="U99" s="242">
        <v>0</v>
      </c>
      <c r="V99" s="242">
        <v>0</v>
      </c>
      <c r="W99" s="242">
        <v>0</v>
      </c>
      <c r="X99" s="242">
        <v>0</v>
      </c>
      <c r="Y99" s="242">
        <v>0</v>
      </c>
      <c r="Z99" s="242">
        <v>0</v>
      </c>
      <c r="AA99" s="242">
        <v>0</v>
      </c>
      <c r="AB99" s="242">
        <v>0</v>
      </c>
      <c r="AC99" s="242">
        <v>0</v>
      </c>
      <c r="AD99" s="242">
        <v>0</v>
      </c>
      <c r="AE99" s="242">
        <v>0</v>
      </c>
      <c r="AF99" s="242">
        <v>0</v>
      </c>
      <c r="AG99" s="242">
        <v>0</v>
      </c>
      <c r="AH99" s="242">
        <v>0</v>
      </c>
      <c r="AI99" s="242">
        <v>0</v>
      </c>
      <c r="AJ99" s="242">
        <v>0</v>
      </c>
      <c r="AK99" s="242">
        <v>0</v>
      </c>
      <c r="AL99" s="242">
        <v>0</v>
      </c>
      <c r="AM99" s="242">
        <v>0</v>
      </c>
      <c r="AN99" s="242">
        <v>0</v>
      </c>
      <c r="AO99" s="242">
        <v>0</v>
      </c>
      <c r="AP99" s="242">
        <v>0</v>
      </c>
      <c r="AQ99" s="242">
        <v>0</v>
      </c>
      <c r="AR99" s="242">
        <v>0</v>
      </c>
      <c r="AS99" s="242">
        <v>0</v>
      </c>
      <c r="AT99" s="242">
        <v>0</v>
      </c>
      <c r="AU99" s="242">
        <v>0</v>
      </c>
      <c r="AV99" s="242">
        <v>0</v>
      </c>
      <c r="AW99" s="242">
        <v>0</v>
      </c>
      <c r="AX99" s="242">
        <v>0</v>
      </c>
      <c r="AY99" s="242">
        <v>0</v>
      </c>
    </row>
    <row r="100" spans="2:51">
      <c r="B100" s="211">
        <v>10307</v>
      </c>
      <c r="C100" s="211" t="s">
        <v>103</v>
      </c>
      <c r="D100" s="242">
        <v>542.20913461539408</v>
      </c>
      <c r="E100" s="242">
        <v>0</v>
      </c>
      <c r="F100" s="242">
        <v>3572.9200000000033</v>
      </c>
      <c r="G100" s="242">
        <v>0</v>
      </c>
      <c r="H100" s="242">
        <v>21526.597499999978</v>
      </c>
      <c r="I100" s="242">
        <v>0</v>
      </c>
      <c r="J100" s="242">
        <v>17845.875</v>
      </c>
      <c r="K100" s="242">
        <v>0</v>
      </c>
      <c r="L100" s="242">
        <v>9494.7724999999991</v>
      </c>
      <c r="M100" s="242">
        <v>0</v>
      </c>
      <c r="N100" s="242">
        <v>12360.362980769229</v>
      </c>
      <c r="O100" s="242">
        <v>0</v>
      </c>
      <c r="P100" s="242">
        <v>11135.908653846158</v>
      </c>
      <c r="Q100" s="242">
        <v>0</v>
      </c>
      <c r="R100" s="242">
        <v>15979.081730769234</v>
      </c>
      <c r="S100" s="242">
        <v>0</v>
      </c>
      <c r="T100" s="242">
        <v>18184.227499999997</v>
      </c>
      <c r="U100" s="242">
        <v>0</v>
      </c>
      <c r="V100" s="242">
        <v>16993.961538461539</v>
      </c>
      <c r="W100" s="242">
        <v>0</v>
      </c>
      <c r="X100" s="242">
        <v>19337.231481481482</v>
      </c>
      <c r="Y100" s="242">
        <v>0</v>
      </c>
      <c r="Z100" s="242">
        <v>11691.125000000009</v>
      </c>
      <c r="AA100" s="242">
        <v>0</v>
      </c>
      <c r="AB100" s="242">
        <v>1515.4027777777835</v>
      </c>
      <c r="AC100" s="242">
        <v>0</v>
      </c>
      <c r="AD100" s="242">
        <v>4530.987500000002</v>
      </c>
      <c r="AE100" s="242">
        <v>0</v>
      </c>
      <c r="AF100" s="242">
        <v>22440.692500000008</v>
      </c>
      <c r="AG100" s="242">
        <v>0</v>
      </c>
      <c r="AH100" s="242">
        <v>18757.483173076929</v>
      </c>
      <c r="AI100" s="242">
        <v>0</v>
      </c>
      <c r="AJ100" s="242">
        <v>10010.257812500004</v>
      </c>
      <c r="AK100" s="242">
        <v>0</v>
      </c>
      <c r="AL100" s="242">
        <v>13268.882211538457</v>
      </c>
      <c r="AM100" s="242">
        <v>0</v>
      </c>
      <c r="AN100" s="242">
        <v>11991.223557692309</v>
      </c>
      <c r="AO100" s="242">
        <v>0</v>
      </c>
      <c r="AP100" s="242">
        <v>16928.033653846152</v>
      </c>
      <c r="AQ100" s="242">
        <v>0</v>
      </c>
      <c r="AR100" s="242">
        <v>19126.065000000002</v>
      </c>
      <c r="AS100" s="242">
        <v>0</v>
      </c>
      <c r="AT100" s="242">
        <v>17982.874999999996</v>
      </c>
      <c r="AU100" s="242">
        <v>0</v>
      </c>
      <c r="AV100" s="242">
        <v>20248.711538461535</v>
      </c>
      <c r="AW100" s="242">
        <v>0</v>
      </c>
      <c r="AX100" s="242">
        <v>12677.237499999999</v>
      </c>
      <c r="AY100" s="242">
        <v>0</v>
      </c>
    </row>
    <row r="101" spans="2:51">
      <c r="B101" s="211">
        <v>10326</v>
      </c>
      <c r="C101" s="211" t="s">
        <v>104</v>
      </c>
      <c r="D101" s="242">
        <v>2293.2644230769288</v>
      </c>
      <c r="E101" s="242">
        <v>0</v>
      </c>
      <c r="F101" s="242">
        <v>0</v>
      </c>
      <c r="G101" s="242">
        <v>0</v>
      </c>
      <c r="H101" s="242">
        <v>5000.597499999998</v>
      </c>
      <c r="I101" s="242">
        <v>0</v>
      </c>
      <c r="J101" s="242">
        <v>1454.377403846152</v>
      </c>
      <c r="K101" s="242">
        <v>0</v>
      </c>
      <c r="L101" s="242">
        <v>3449.8749999999995</v>
      </c>
      <c r="M101" s="242">
        <v>0</v>
      </c>
      <c r="N101" s="242">
        <v>4621.639423076921</v>
      </c>
      <c r="O101" s="242">
        <v>0</v>
      </c>
      <c r="P101" s="242">
        <v>485.27644230769693</v>
      </c>
      <c r="Q101" s="242">
        <v>0</v>
      </c>
      <c r="R101" s="242">
        <v>811.06250000000023</v>
      </c>
      <c r="S101" s="242">
        <v>0</v>
      </c>
      <c r="T101" s="242">
        <v>2853.0299999999988</v>
      </c>
      <c r="U101" s="242">
        <v>0</v>
      </c>
      <c r="V101" s="242">
        <v>4496.9062499999945</v>
      </c>
      <c r="W101" s="242">
        <v>0</v>
      </c>
      <c r="X101" s="242">
        <v>3531.9814814814767</v>
      </c>
      <c r="Y101" s="242">
        <v>0</v>
      </c>
      <c r="Z101" s="242">
        <v>5035.9479166666633</v>
      </c>
      <c r="AA101" s="242">
        <v>0</v>
      </c>
      <c r="AB101" s="242">
        <v>3208.8819444444443</v>
      </c>
      <c r="AC101" s="242">
        <v>0</v>
      </c>
      <c r="AD101" s="242">
        <v>802.28000000000497</v>
      </c>
      <c r="AE101" s="242">
        <v>0</v>
      </c>
      <c r="AF101" s="242">
        <v>5900.5225000000009</v>
      </c>
      <c r="AG101" s="242">
        <v>0</v>
      </c>
      <c r="AH101" s="242">
        <v>2089.6850961538503</v>
      </c>
      <c r="AI101" s="242">
        <v>0</v>
      </c>
      <c r="AJ101" s="242">
        <v>5538.2473958333312</v>
      </c>
      <c r="AK101" s="242">
        <v>0</v>
      </c>
      <c r="AL101" s="242">
        <v>5185.0480769230744</v>
      </c>
      <c r="AM101" s="242">
        <v>0</v>
      </c>
      <c r="AN101" s="242">
        <v>1202.5408653846164</v>
      </c>
      <c r="AO101" s="242">
        <v>0</v>
      </c>
      <c r="AP101" s="242">
        <v>1400.4423076923035</v>
      </c>
      <c r="AQ101" s="242">
        <v>0</v>
      </c>
      <c r="AR101" s="242">
        <v>2904.2125000000015</v>
      </c>
      <c r="AS101" s="242">
        <v>0</v>
      </c>
      <c r="AT101" s="242">
        <v>4550.2788461538439</v>
      </c>
      <c r="AU101" s="242">
        <v>0</v>
      </c>
      <c r="AV101" s="242">
        <v>3433.983173076921</v>
      </c>
      <c r="AW101" s="242">
        <v>0</v>
      </c>
      <c r="AX101" s="242">
        <v>5244.9950000000017</v>
      </c>
      <c r="AY101" s="242">
        <v>0</v>
      </c>
    </row>
    <row r="102" spans="2:51">
      <c r="B102" s="211">
        <v>10331</v>
      </c>
      <c r="C102" s="211" t="s">
        <v>105</v>
      </c>
      <c r="D102" s="242">
        <v>0</v>
      </c>
      <c r="E102" s="242">
        <v>0</v>
      </c>
      <c r="F102" s="242">
        <v>0</v>
      </c>
      <c r="G102" s="242">
        <v>0</v>
      </c>
      <c r="H102" s="242">
        <v>0</v>
      </c>
      <c r="I102" s="242">
        <v>0</v>
      </c>
      <c r="J102" s="242">
        <v>0</v>
      </c>
      <c r="K102" s="242">
        <v>0</v>
      </c>
      <c r="L102" s="242">
        <v>0</v>
      </c>
      <c r="M102" s="242">
        <v>0</v>
      </c>
      <c r="N102" s="242">
        <v>0</v>
      </c>
      <c r="O102" s="242">
        <v>0</v>
      </c>
      <c r="P102" s="242">
        <v>0</v>
      </c>
      <c r="Q102" s="242">
        <v>0</v>
      </c>
      <c r="R102" s="242">
        <v>0</v>
      </c>
      <c r="S102" s="242">
        <v>0</v>
      </c>
      <c r="T102" s="242">
        <v>0</v>
      </c>
      <c r="U102" s="242">
        <v>0</v>
      </c>
      <c r="V102" s="242">
        <v>0</v>
      </c>
      <c r="W102" s="242">
        <v>0</v>
      </c>
      <c r="X102" s="242">
        <v>0</v>
      </c>
      <c r="Y102" s="242">
        <v>0</v>
      </c>
      <c r="Z102" s="242">
        <v>0</v>
      </c>
      <c r="AA102" s="242">
        <v>0</v>
      </c>
      <c r="AB102" s="242">
        <v>0</v>
      </c>
      <c r="AC102" s="242">
        <v>0</v>
      </c>
      <c r="AD102" s="242">
        <v>0</v>
      </c>
      <c r="AE102" s="242">
        <v>0</v>
      </c>
      <c r="AF102" s="242">
        <v>0</v>
      </c>
      <c r="AG102" s="242">
        <v>0</v>
      </c>
      <c r="AH102" s="242">
        <v>0</v>
      </c>
      <c r="AI102" s="242">
        <v>0</v>
      </c>
      <c r="AJ102" s="242">
        <v>0</v>
      </c>
      <c r="AK102" s="242">
        <v>0</v>
      </c>
      <c r="AL102" s="242">
        <v>0</v>
      </c>
      <c r="AM102" s="242">
        <v>0</v>
      </c>
      <c r="AN102" s="242">
        <v>0</v>
      </c>
      <c r="AO102" s="242">
        <v>0</v>
      </c>
      <c r="AP102" s="242">
        <v>0</v>
      </c>
      <c r="AQ102" s="242">
        <v>0</v>
      </c>
      <c r="AR102" s="242">
        <v>0</v>
      </c>
      <c r="AS102" s="242">
        <v>0</v>
      </c>
      <c r="AT102" s="242">
        <v>0</v>
      </c>
      <c r="AU102" s="242">
        <v>0</v>
      </c>
      <c r="AV102" s="242">
        <v>0</v>
      </c>
      <c r="AW102" s="242">
        <v>0</v>
      </c>
      <c r="AX102" s="242">
        <v>0</v>
      </c>
      <c r="AY102" s="242">
        <v>0</v>
      </c>
    </row>
    <row r="103" spans="2:51">
      <c r="B103" s="211">
        <v>10333</v>
      </c>
      <c r="C103" s="211" t="s">
        <v>106</v>
      </c>
      <c r="D103" s="242">
        <v>0</v>
      </c>
      <c r="E103" s="242">
        <v>0</v>
      </c>
      <c r="F103" s="242">
        <v>0</v>
      </c>
      <c r="G103" s="242">
        <v>0</v>
      </c>
      <c r="H103" s="242">
        <v>0</v>
      </c>
      <c r="I103" s="242">
        <v>0</v>
      </c>
      <c r="J103" s="242">
        <v>0</v>
      </c>
      <c r="K103" s="242">
        <v>0</v>
      </c>
      <c r="L103" s="242">
        <v>0</v>
      </c>
      <c r="M103" s="242">
        <v>0</v>
      </c>
      <c r="N103" s="242">
        <v>0</v>
      </c>
      <c r="O103" s="242">
        <v>0</v>
      </c>
      <c r="P103" s="242">
        <v>0</v>
      </c>
      <c r="Q103" s="242">
        <v>0</v>
      </c>
      <c r="R103" s="242">
        <v>0</v>
      </c>
      <c r="S103" s="242">
        <v>0</v>
      </c>
      <c r="T103" s="242">
        <v>0</v>
      </c>
      <c r="U103" s="242">
        <v>0</v>
      </c>
      <c r="V103" s="242">
        <v>0</v>
      </c>
      <c r="W103" s="242">
        <v>0</v>
      </c>
      <c r="X103" s="242">
        <v>0</v>
      </c>
      <c r="Y103" s="242">
        <v>0</v>
      </c>
      <c r="Z103" s="242">
        <v>0</v>
      </c>
      <c r="AA103" s="242">
        <v>0</v>
      </c>
      <c r="AB103" s="242">
        <v>0</v>
      </c>
      <c r="AC103" s="242">
        <v>0</v>
      </c>
      <c r="AD103" s="242">
        <v>0</v>
      </c>
      <c r="AE103" s="242">
        <v>0</v>
      </c>
      <c r="AF103" s="242">
        <v>0</v>
      </c>
      <c r="AG103" s="242">
        <v>0</v>
      </c>
      <c r="AH103" s="242">
        <v>0</v>
      </c>
      <c r="AI103" s="242">
        <v>0</v>
      </c>
      <c r="AJ103" s="242">
        <v>0</v>
      </c>
      <c r="AK103" s="242">
        <v>0</v>
      </c>
      <c r="AL103" s="242">
        <v>0</v>
      </c>
      <c r="AM103" s="242">
        <v>0</v>
      </c>
      <c r="AN103" s="242">
        <v>0</v>
      </c>
      <c r="AO103" s="242">
        <v>0</v>
      </c>
      <c r="AP103" s="242">
        <v>0</v>
      </c>
      <c r="AQ103" s="242">
        <v>0</v>
      </c>
      <c r="AR103" s="242">
        <v>0</v>
      </c>
      <c r="AS103" s="242">
        <v>0</v>
      </c>
      <c r="AT103" s="242">
        <v>0</v>
      </c>
      <c r="AU103" s="242">
        <v>0</v>
      </c>
      <c r="AV103" s="242">
        <v>0</v>
      </c>
      <c r="AW103" s="242">
        <v>0</v>
      </c>
      <c r="AX103" s="242">
        <v>0</v>
      </c>
      <c r="AY103" s="242">
        <v>0</v>
      </c>
    </row>
    <row r="104" spans="2:51">
      <c r="B104" s="211">
        <v>10338</v>
      </c>
      <c r="C104" s="211" t="s">
        <v>107</v>
      </c>
      <c r="D104" s="242">
        <v>0</v>
      </c>
      <c r="E104" s="242">
        <v>0</v>
      </c>
      <c r="F104" s="242">
        <v>0</v>
      </c>
      <c r="G104" s="242">
        <v>0</v>
      </c>
      <c r="H104" s="242">
        <v>414.08749999999992</v>
      </c>
      <c r="I104" s="242">
        <v>0</v>
      </c>
      <c r="J104" s="242">
        <v>428.81249999999983</v>
      </c>
      <c r="K104" s="242">
        <v>0</v>
      </c>
      <c r="L104" s="242">
        <v>142.82749999999945</v>
      </c>
      <c r="M104" s="242">
        <v>0</v>
      </c>
      <c r="N104" s="242">
        <v>251.87259615384616</v>
      </c>
      <c r="O104" s="242">
        <v>0</v>
      </c>
      <c r="P104" s="242">
        <v>193.01442307692307</v>
      </c>
      <c r="Q104" s="242">
        <v>0</v>
      </c>
      <c r="R104" s="242">
        <v>755.01682692307668</v>
      </c>
      <c r="S104" s="242">
        <v>0</v>
      </c>
      <c r="T104" s="242">
        <v>383.11250000000041</v>
      </c>
      <c r="U104" s="242">
        <v>0</v>
      </c>
      <c r="V104" s="242">
        <v>572.79086538461536</v>
      </c>
      <c r="W104" s="242">
        <v>0</v>
      </c>
      <c r="X104" s="242">
        <v>485.71527777777743</v>
      </c>
      <c r="Y104" s="242">
        <v>0</v>
      </c>
      <c r="Z104" s="242">
        <v>283.19010416666646</v>
      </c>
      <c r="AA104" s="242">
        <v>0</v>
      </c>
      <c r="AB104" s="242">
        <v>0</v>
      </c>
      <c r="AC104" s="242">
        <v>0</v>
      </c>
      <c r="AD104" s="242">
        <v>0</v>
      </c>
      <c r="AE104" s="242">
        <v>0</v>
      </c>
      <c r="AF104" s="242">
        <v>397.14750000000043</v>
      </c>
      <c r="AG104" s="242">
        <v>0</v>
      </c>
      <c r="AH104" s="242">
        <v>411.12980769230802</v>
      </c>
      <c r="AI104" s="242">
        <v>0</v>
      </c>
      <c r="AJ104" s="242">
        <v>91.585937499999886</v>
      </c>
      <c r="AK104" s="242">
        <v>0</v>
      </c>
      <c r="AL104" s="242">
        <v>233.95673076923075</v>
      </c>
      <c r="AM104" s="242">
        <v>0</v>
      </c>
      <c r="AN104" s="242">
        <v>174.97596153846163</v>
      </c>
      <c r="AO104" s="242">
        <v>0</v>
      </c>
      <c r="AP104" s="242">
        <v>736.95673076923117</v>
      </c>
      <c r="AQ104" s="242">
        <v>0</v>
      </c>
      <c r="AR104" s="242">
        <v>363.6774999999999</v>
      </c>
      <c r="AS104" s="242">
        <v>0</v>
      </c>
      <c r="AT104" s="242">
        <v>553.1129807692306</v>
      </c>
      <c r="AU104" s="242">
        <v>0</v>
      </c>
      <c r="AV104" s="242">
        <v>457.82692307692349</v>
      </c>
      <c r="AW104" s="242">
        <v>0</v>
      </c>
      <c r="AX104" s="242">
        <v>268.91999999999985</v>
      </c>
      <c r="AY104" s="242">
        <v>0</v>
      </c>
    </row>
    <row r="105" spans="2:51">
      <c r="B105" s="211">
        <v>10342</v>
      </c>
      <c r="C105" s="211" t="s">
        <v>108</v>
      </c>
      <c r="D105" s="242">
        <v>2002.6754807692316</v>
      </c>
      <c r="E105" s="242">
        <v>0</v>
      </c>
      <c r="F105" s="242">
        <v>566.54499999999962</v>
      </c>
      <c r="G105" s="242">
        <v>0</v>
      </c>
      <c r="H105" s="242">
        <v>0</v>
      </c>
      <c r="I105" s="242">
        <v>0</v>
      </c>
      <c r="J105" s="242">
        <v>3960.1947115384578</v>
      </c>
      <c r="K105" s="242">
        <v>0</v>
      </c>
      <c r="L105" s="242">
        <v>3349.3500000000031</v>
      </c>
      <c r="M105" s="242">
        <v>0</v>
      </c>
      <c r="N105" s="242">
        <v>6486.6105769230771</v>
      </c>
      <c r="O105" s="242">
        <v>0</v>
      </c>
      <c r="P105" s="242">
        <v>2823.9567307692328</v>
      </c>
      <c r="Q105" s="242">
        <v>0</v>
      </c>
      <c r="R105" s="242">
        <v>6584.9639423076951</v>
      </c>
      <c r="S105" s="242">
        <v>0</v>
      </c>
      <c r="T105" s="242">
        <v>18948.362499999999</v>
      </c>
      <c r="U105" s="242">
        <v>0</v>
      </c>
      <c r="V105" s="242">
        <v>13388.461538461532</v>
      </c>
      <c r="W105" s="242">
        <v>0</v>
      </c>
      <c r="X105" s="242">
        <v>14157.571759259252</v>
      </c>
      <c r="Y105" s="242">
        <v>0</v>
      </c>
      <c r="Z105" s="242">
        <v>13156.236979166668</v>
      </c>
      <c r="AA105" s="242">
        <v>0</v>
      </c>
      <c r="AB105" s="242">
        <v>1926.1458333333339</v>
      </c>
      <c r="AC105" s="242">
        <v>0</v>
      </c>
      <c r="AD105" s="242">
        <v>420.91499999999547</v>
      </c>
      <c r="AE105" s="242">
        <v>0</v>
      </c>
      <c r="AF105" s="242">
        <v>0</v>
      </c>
      <c r="AG105" s="242">
        <v>0</v>
      </c>
      <c r="AH105" s="242">
        <v>3772.0889423076915</v>
      </c>
      <c r="AI105" s="242">
        <v>0</v>
      </c>
      <c r="AJ105" s="242">
        <v>3190.9999999999973</v>
      </c>
      <c r="AK105" s="242">
        <v>0</v>
      </c>
      <c r="AL105" s="242">
        <v>6353.6850961538466</v>
      </c>
      <c r="AM105" s="242">
        <v>0</v>
      </c>
      <c r="AN105" s="242">
        <v>2685.4447115384587</v>
      </c>
      <c r="AO105" s="242">
        <v>0</v>
      </c>
      <c r="AP105" s="242">
        <v>6475.4615384615308</v>
      </c>
      <c r="AQ105" s="242">
        <v>0</v>
      </c>
      <c r="AR105" s="242">
        <v>19277.505000000001</v>
      </c>
      <c r="AS105" s="242">
        <v>0</v>
      </c>
      <c r="AT105" s="242">
        <v>13732.475961538461</v>
      </c>
      <c r="AU105" s="242">
        <v>0</v>
      </c>
      <c r="AV105" s="242">
        <v>14395.182692307682</v>
      </c>
      <c r="AW105" s="242">
        <v>0</v>
      </c>
      <c r="AX105" s="242">
        <v>13494.532500000001</v>
      </c>
      <c r="AY105" s="242">
        <v>0</v>
      </c>
    </row>
    <row r="106" spans="2:51">
      <c r="B106" s="211">
        <v>10343</v>
      </c>
      <c r="C106" s="211" t="s">
        <v>109</v>
      </c>
      <c r="D106" s="242">
        <v>0</v>
      </c>
      <c r="E106" s="242">
        <v>0</v>
      </c>
      <c r="F106" s="242">
        <v>0</v>
      </c>
      <c r="G106" s="242">
        <v>0</v>
      </c>
      <c r="H106" s="242">
        <v>0</v>
      </c>
      <c r="I106" s="242">
        <v>0</v>
      </c>
      <c r="J106" s="242">
        <v>0</v>
      </c>
      <c r="K106" s="242">
        <v>0</v>
      </c>
      <c r="L106" s="242">
        <v>0</v>
      </c>
      <c r="M106" s="242">
        <v>0</v>
      </c>
      <c r="N106" s="242">
        <v>0</v>
      </c>
      <c r="O106" s="242">
        <v>0</v>
      </c>
      <c r="P106" s="242">
        <v>0</v>
      </c>
      <c r="Q106" s="242">
        <v>0</v>
      </c>
      <c r="R106" s="242">
        <v>0</v>
      </c>
      <c r="S106" s="242">
        <v>0</v>
      </c>
      <c r="T106" s="242">
        <v>0</v>
      </c>
      <c r="U106" s="242">
        <v>0</v>
      </c>
      <c r="V106" s="242">
        <v>0</v>
      </c>
      <c r="W106" s="242">
        <v>0</v>
      </c>
      <c r="X106" s="242">
        <v>0</v>
      </c>
      <c r="Y106" s="242">
        <v>0</v>
      </c>
      <c r="Z106" s="242">
        <v>0</v>
      </c>
      <c r="AA106" s="242">
        <v>0</v>
      </c>
      <c r="AB106" s="242">
        <v>0</v>
      </c>
      <c r="AC106" s="242">
        <v>0</v>
      </c>
      <c r="AD106" s="242">
        <v>0</v>
      </c>
      <c r="AE106" s="242">
        <v>0</v>
      </c>
      <c r="AF106" s="242">
        <v>0</v>
      </c>
      <c r="AG106" s="242">
        <v>0</v>
      </c>
      <c r="AH106" s="242">
        <v>0</v>
      </c>
      <c r="AI106" s="242">
        <v>0</v>
      </c>
      <c r="AJ106" s="242">
        <v>0</v>
      </c>
      <c r="AK106" s="242">
        <v>0</v>
      </c>
      <c r="AL106" s="242">
        <v>0</v>
      </c>
      <c r="AM106" s="242">
        <v>0</v>
      </c>
      <c r="AN106" s="242">
        <v>0</v>
      </c>
      <c r="AO106" s="242">
        <v>0</v>
      </c>
      <c r="AP106" s="242">
        <v>0</v>
      </c>
      <c r="AQ106" s="242">
        <v>0</v>
      </c>
      <c r="AR106" s="242">
        <v>0</v>
      </c>
      <c r="AS106" s="242">
        <v>0</v>
      </c>
      <c r="AT106" s="242">
        <v>0</v>
      </c>
      <c r="AU106" s="242">
        <v>0</v>
      </c>
      <c r="AV106" s="242">
        <v>0</v>
      </c>
      <c r="AW106" s="242">
        <v>0</v>
      </c>
      <c r="AX106" s="242">
        <v>0</v>
      </c>
      <c r="AY106" s="242">
        <v>0</v>
      </c>
    </row>
    <row r="107" spans="2:51">
      <c r="B107" s="211">
        <v>10349</v>
      </c>
      <c r="C107" s="211" t="s">
        <v>110</v>
      </c>
      <c r="D107" s="242">
        <v>0</v>
      </c>
      <c r="E107" s="242">
        <v>0</v>
      </c>
      <c r="F107" s="242">
        <v>0</v>
      </c>
      <c r="G107" s="242">
        <v>0</v>
      </c>
      <c r="H107" s="242">
        <v>0</v>
      </c>
      <c r="I107" s="242">
        <v>0</v>
      </c>
      <c r="J107" s="242">
        <v>0</v>
      </c>
      <c r="K107" s="242">
        <v>0</v>
      </c>
      <c r="L107" s="242">
        <v>0</v>
      </c>
      <c r="M107" s="242">
        <v>0</v>
      </c>
      <c r="N107" s="242">
        <v>0</v>
      </c>
      <c r="O107" s="242">
        <v>0</v>
      </c>
      <c r="P107" s="242">
        <v>0</v>
      </c>
      <c r="Q107" s="242">
        <v>0</v>
      </c>
      <c r="R107" s="242">
        <v>0</v>
      </c>
      <c r="S107" s="242">
        <v>0</v>
      </c>
      <c r="T107" s="242">
        <v>0</v>
      </c>
      <c r="U107" s="242">
        <v>0</v>
      </c>
      <c r="V107" s="242">
        <v>0</v>
      </c>
      <c r="W107" s="242">
        <v>0</v>
      </c>
      <c r="X107" s="242">
        <v>0</v>
      </c>
      <c r="Y107" s="242">
        <v>0</v>
      </c>
      <c r="Z107" s="242">
        <v>0</v>
      </c>
      <c r="AA107" s="242">
        <v>0</v>
      </c>
      <c r="AB107" s="242">
        <v>0</v>
      </c>
      <c r="AC107" s="242">
        <v>0</v>
      </c>
      <c r="AD107" s="242">
        <v>0</v>
      </c>
      <c r="AE107" s="242">
        <v>0</v>
      </c>
      <c r="AF107" s="242">
        <v>0</v>
      </c>
      <c r="AG107" s="242">
        <v>0</v>
      </c>
      <c r="AH107" s="242">
        <v>0</v>
      </c>
      <c r="AI107" s="242">
        <v>0</v>
      </c>
      <c r="AJ107" s="242">
        <v>0</v>
      </c>
      <c r="AK107" s="242">
        <v>0</v>
      </c>
      <c r="AL107" s="242">
        <v>0</v>
      </c>
      <c r="AM107" s="242">
        <v>0</v>
      </c>
      <c r="AN107" s="242">
        <v>0</v>
      </c>
      <c r="AO107" s="242">
        <v>0</v>
      </c>
      <c r="AP107" s="242">
        <v>0</v>
      </c>
      <c r="AQ107" s="242">
        <v>0</v>
      </c>
      <c r="AR107" s="242">
        <v>0</v>
      </c>
      <c r="AS107" s="242">
        <v>0</v>
      </c>
      <c r="AT107" s="242">
        <v>0</v>
      </c>
      <c r="AU107" s="242">
        <v>0</v>
      </c>
      <c r="AV107" s="242">
        <v>0</v>
      </c>
      <c r="AW107" s="242">
        <v>0</v>
      </c>
      <c r="AX107" s="242">
        <v>0</v>
      </c>
      <c r="AY107" s="242">
        <v>0</v>
      </c>
    </row>
    <row r="108" spans="2:51">
      <c r="B108" s="211">
        <v>10352</v>
      </c>
      <c r="C108" s="211" t="s">
        <v>111</v>
      </c>
      <c r="D108" s="242">
        <v>1184.9447115384626</v>
      </c>
      <c r="E108" s="242">
        <v>0</v>
      </c>
      <c r="F108" s="242">
        <v>817.85750000000326</v>
      </c>
      <c r="G108" s="242">
        <v>0</v>
      </c>
      <c r="H108" s="242">
        <v>2539.6574999999984</v>
      </c>
      <c r="I108" s="242">
        <v>0</v>
      </c>
      <c r="J108" s="242">
        <v>0</v>
      </c>
      <c r="K108" s="242">
        <v>0</v>
      </c>
      <c r="L108" s="242">
        <v>6118.9524999999985</v>
      </c>
      <c r="M108" s="242">
        <v>0</v>
      </c>
      <c r="N108" s="242">
        <v>4262.5096153846152</v>
      </c>
      <c r="O108" s="242">
        <v>0</v>
      </c>
      <c r="P108" s="242">
        <v>1231.2716346153866</v>
      </c>
      <c r="Q108" s="242">
        <v>0</v>
      </c>
      <c r="R108" s="242">
        <v>0</v>
      </c>
      <c r="S108" s="242">
        <v>0</v>
      </c>
      <c r="T108" s="242">
        <v>4239.6449999999977</v>
      </c>
      <c r="U108" s="242">
        <v>0</v>
      </c>
      <c r="V108" s="242">
        <v>2931.6778846153838</v>
      </c>
      <c r="W108" s="242">
        <v>0</v>
      </c>
      <c r="X108" s="242">
        <v>3769.8124999999986</v>
      </c>
      <c r="Y108" s="242">
        <v>0</v>
      </c>
      <c r="Z108" s="242">
        <v>1829.6067708333323</v>
      </c>
      <c r="AA108" s="242">
        <v>0</v>
      </c>
      <c r="AB108" s="242">
        <v>1198.9675925925906</v>
      </c>
      <c r="AC108" s="242">
        <v>0</v>
      </c>
      <c r="AD108" s="242">
        <v>816.13999999999805</v>
      </c>
      <c r="AE108" s="242">
        <v>0</v>
      </c>
      <c r="AF108" s="242">
        <v>2529.987500000002</v>
      </c>
      <c r="AG108" s="242">
        <v>0</v>
      </c>
      <c r="AH108" s="242">
        <v>0</v>
      </c>
      <c r="AI108" s="242">
        <v>0</v>
      </c>
      <c r="AJ108" s="242">
        <v>6137.6875000000055</v>
      </c>
      <c r="AK108" s="242">
        <v>0</v>
      </c>
      <c r="AL108" s="242">
        <v>4266.9134615384601</v>
      </c>
      <c r="AM108" s="242">
        <v>0</v>
      </c>
      <c r="AN108" s="242">
        <v>1228.2740384615397</v>
      </c>
      <c r="AO108" s="242">
        <v>0</v>
      </c>
      <c r="AP108" s="242">
        <v>0</v>
      </c>
      <c r="AQ108" s="242">
        <v>0</v>
      </c>
      <c r="AR108" s="242">
        <v>4289.7875000000013</v>
      </c>
      <c r="AS108" s="242">
        <v>0</v>
      </c>
      <c r="AT108" s="242">
        <v>2975.0913461538439</v>
      </c>
      <c r="AU108" s="242">
        <v>0</v>
      </c>
      <c r="AV108" s="242">
        <v>3793.4735576923072</v>
      </c>
      <c r="AW108" s="242">
        <v>0</v>
      </c>
      <c r="AX108" s="242">
        <v>1882.7050000000006</v>
      </c>
      <c r="AY108" s="242">
        <v>0</v>
      </c>
    </row>
    <row r="109" spans="2:51">
      <c r="B109" s="211">
        <v>10354</v>
      </c>
      <c r="C109" s="211" t="s">
        <v>112</v>
      </c>
      <c r="D109" s="242">
        <v>0</v>
      </c>
      <c r="E109" s="242">
        <v>0</v>
      </c>
      <c r="F109" s="242">
        <v>0</v>
      </c>
      <c r="G109" s="242">
        <v>0</v>
      </c>
      <c r="H109" s="242">
        <v>0</v>
      </c>
      <c r="I109" s="242">
        <v>0</v>
      </c>
      <c r="J109" s="242">
        <v>0</v>
      </c>
      <c r="K109" s="242">
        <v>0</v>
      </c>
      <c r="L109" s="242">
        <v>0</v>
      </c>
      <c r="M109" s="242">
        <v>0</v>
      </c>
      <c r="N109" s="242">
        <v>0</v>
      </c>
      <c r="O109" s="242">
        <v>0</v>
      </c>
      <c r="P109" s="242">
        <v>0</v>
      </c>
      <c r="Q109" s="242">
        <v>0</v>
      </c>
      <c r="R109" s="242">
        <v>0</v>
      </c>
      <c r="S109" s="242">
        <v>0</v>
      </c>
      <c r="T109" s="242">
        <v>0</v>
      </c>
      <c r="U109" s="242">
        <v>0</v>
      </c>
      <c r="V109" s="242">
        <v>0</v>
      </c>
      <c r="W109" s="242">
        <v>0</v>
      </c>
      <c r="X109" s="242">
        <v>0</v>
      </c>
      <c r="Y109" s="242">
        <v>0</v>
      </c>
      <c r="Z109" s="242">
        <v>0</v>
      </c>
      <c r="AA109" s="242">
        <v>0</v>
      </c>
      <c r="AB109" s="242">
        <v>0</v>
      </c>
      <c r="AC109" s="242">
        <v>0</v>
      </c>
      <c r="AD109" s="242">
        <v>0</v>
      </c>
      <c r="AE109" s="242">
        <v>0</v>
      </c>
      <c r="AF109" s="242">
        <v>0</v>
      </c>
      <c r="AG109" s="242">
        <v>0</v>
      </c>
      <c r="AH109" s="242">
        <v>0</v>
      </c>
      <c r="AI109" s="242">
        <v>0</v>
      </c>
      <c r="AJ109" s="242">
        <v>0</v>
      </c>
      <c r="AK109" s="242">
        <v>0</v>
      </c>
      <c r="AL109" s="242">
        <v>0</v>
      </c>
      <c r="AM109" s="242">
        <v>0</v>
      </c>
      <c r="AN109" s="242">
        <v>0</v>
      </c>
      <c r="AO109" s="242">
        <v>0</v>
      </c>
      <c r="AP109" s="242">
        <v>0</v>
      </c>
      <c r="AQ109" s="242">
        <v>0</v>
      </c>
      <c r="AR109" s="242">
        <v>0</v>
      </c>
      <c r="AS109" s="242">
        <v>0</v>
      </c>
      <c r="AT109" s="242">
        <v>0</v>
      </c>
      <c r="AU109" s="242">
        <v>0</v>
      </c>
      <c r="AV109" s="242">
        <v>0</v>
      </c>
      <c r="AW109" s="242">
        <v>0</v>
      </c>
      <c r="AX109" s="242">
        <v>0</v>
      </c>
      <c r="AY109" s="242">
        <v>0</v>
      </c>
    </row>
    <row r="110" spans="2:51">
      <c r="B110" s="211">
        <v>10360</v>
      </c>
      <c r="C110" s="211" t="s">
        <v>113</v>
      </c>
      <c r="D110" s="242">
        <v>1151.122596153846</v>
      </c>
      <c r="E110" s="242">
        <v>0</v>
      </c>
      <c r="F110" s="242">
        <v>368.25750000000033</v>
      </c>
      <c r="G110" s="242">
        <v>0</v>
      </c>
      <c r="H110" s="242">
        <v>743.52999999999963</v>
      </c>
      <c r="I110" s="242">
        <v>0</v>
      </c>
      <c r="J110" s="242">
        <v>788.7163461538471</v>
      </c>
      <c r="K110" s="242">
        <v>0</v>
      </c>
      <c r="L110" s="242">
        <v>249.28999999999979</v>
      </c>
      <c r="M110" s="242">
        <v>0</v>
      </c>
      <c r="N110" s="242">
        <v>348.29807692307702</v>
      </c>
      <c r="O110" s="242">
        <v>0</v>
      </c>
      <c r="P110" s="242">
        <v>1290.466346153846</v>
      </c>
      <c r="Q110" s="242">
        <v>0</v>
      </c>
      <c r="R110" s="242">
        <v>1093.3605769230765</v>
      </c>
      <c r="S110" s="242">
        <v>0</v>
      </c>
      <c r="T110" s="242">
        <v>1560.4624999999985</v>
      </c>
      <c r="U110" s="242">
        <v>0</v>
      </c>
      <c r="V110" s="242">
        <v>1678.1322115384621</v>
      </c>
      <c r="W110" s="242">
        <v>0</v>
      </c>
      <c r="X110" s="242">
        <v>1456.06712962963</v>
      </c>
      <c r="Y110" s="242">
        <v>0</v>
      </c>
      <c r="Z110" s="242">
        <v>1000.8984375000006</v>
      </c>
      <c r="AA110" s="242">
        <v>0</v>
      </c>
      <c r="AB110" s="242">
        <v>1155.8009259259261</v>
      </c>
      <c r="AC110" s="242">
        <v>0</v>
      </c>
      <c r="AD110" s="242">
        <v>368.70500000000027</v>
      </c>
      <c r="AE110" s="242">
        <v>0</v>
      </c>
      <c r="AF110" s="242">
        <v>686.27499999999998</v>
      </c>
      <c r="AG110" s="242">
        <v>0</v>
      </c>
      <c r="AH110" s="242">
        <v>732.4230769230777</v>
      </c>
      <c r="AI110" s="242">
        <v>0</v>
      </c>
      <c r="AJ110" s="242">
        <v>104.80989583333277</v>
      </c>
      <c r="AK110" s="242">
        <v>0</v>
      </c>
      <c r="AL110" s="242">
        <v>312.62019230769278</v>
      </c>
      <c r="AM110" s="242">
        <v>0</v>
      </c>
      <c r="AN110" s="242">
        <v>1294.1995192307688</v>
      </c>
      <c r="AO110" s="242">
        <v>0</v>
      </c>
      <c r="AP110" s="242">
        <v>1098.8605769230762</v>
      </c>
      <c r="AQ110" s="242">
        <v>0</v>
      </c>
      <c r="AR110" s="242">
        <v>1504.3475000000019</v>
      </c>
      <c r="AS110" s="242">
        <v>0</v>
      </c>
      <c r="AT110" s="242">
        <v>1681.5384615384614</v>
      </c>
      <c r="AU110" s="242">
        <v>0</v>
      </c>
      <c r="AV110" s="242">
        <v>1445.8245192307697</v>
      </c>
      <c r="AW110" s="242">
        <v>0</v>
      </c>
      <c r="AX110" s="242">
        <v>1006.3475000000009</v>
      </c>
      <c r="AY110" s="242">
        <v>0</v>
      </c>
    </row>
    <row r="111" spans="2:51">
      <c r="B111" s="211">
        <v>10363</v>
      </c>
      <c r="C111" s="211" t="s">
        <v>114</v>
      </c>
      <c r="D111" s="242">
        <v>0</v>
      </c>
      <c r="E111" s="242">
        <v>0</v>
      </c>
      <c r="F111" s="242">
        <v>0</v>
      </c>
      <c r="G111" s="242">
        <v>0</v>
      </c>
      <c r="H111" s="242">
        <v>17905.084999999981</v>
      </c>
      <c r="I111" s="242">
        <v>0</v>
      </c>
      <c r="J111" s="242">
        <v>11831.322115384604</v>
      </c>
      <c r="K111" s="242">
        <v>0</v>
      </c>
      <c r="L111" s="242">
        <v>0</v>
      </c>
      <c r="M111" s="242">
        <v>0</v>
      </c>
      <c r="N111" s="242">
        <v>11994.108173076909</v>
      </c>
      <c r="O111" s="242">
        <v>0</v>
      </c>
      <c r="P111" s="242">
        <v>5953.1754807692432</v>
      </c>
      <c r="Q111" s="242">
        <v>0</v>
      </c>
      <c r="R111" s="242">
        <v>1163.1081730769317</v>
      </c>
      <c r="S111" s="242">
        <v>0</v>
      </c>
      <c r="T111" s="242">
        <v>14844.210000000006</v>
      </c>
      <c r="U111" s="242">
        <v>0</v>
      </c>
      <c r="V111" s="242">
        <v>6715.4975961538494</v>
      </c>
      <c r="W111" s="242">
        <v>0</v>
      </c>
      <c r="X111" s="242">
        <v>14633.062500000007</v>
      </c>
      <c r="Y111" s="242">
        <v>0</v>
      </c>
      <c r="Z111" s="242">
        <v>7747.3098958333321</v>
      </c>
      <c r="AA111" s="242">
        <v>0</v>
      </c>
      <c r="AB111" s="242">
        <v>0</v>
      </c>
      <c r="AC111" s="242">
        <v>0</v>
      </c>
      <c r="AD111" s="242">
        <v>11.102500000010451</v>
      </c>
      <c r="AE111" s="242">
        <v>0</v>
      </c>
      <c r="AF111" s="242">
        <v>18118.414999999994</v>
      </c>
      <c r="AG111" s="242">
        <v>0</v>
      </c>
      <c r="AH111" s="242">
        <v>11909.831730769252</v>
      </c>
      <c r="AI111" s="242">
        <v>0</v>
      </c>
      <c r="AJ111" s="242">
        <v>0</v>
      </c>
      <c r="AK111" s="242">
        <v>0</v>
      </c>
      <c r="AL111" s="242">
        <v>12080.346153846165</v>
      </c>
      <c r="AM111" s="242">
        <v>0</v>
      </c>
      <c r="AN111" s="242">
        <v>6035.9326923076924</v>
      </c>
      <c r="AO111" s="242">
        <v>0</v>
      </c>
      <c r="AP111" s="242">
        <v>1219.901442307684</v>
      </c>
      <c r="AQ111" s="242">
        <v>0</v>
      </c>
      <c r="AR111" s="242">
        <v>14921.205000000002</v>
      </c>
      <c r="AS111" s="242">
        <v>0</v>
      </c>
      <c r="AT111" s="242">
        <v>6647.0360576923149</v>
      </c>
      <c r="AU111" s="242">
        <v>0</v>
      </c>
      <c r="AV111" s="242">
        <v>14589.682692307702</v>
      </c>
      <c r="AW111" s="242">
        <v>0</v>
      </c>
      <c r="AX111" s="242">
        <v>7766.715000000012</v>
      </c>
      <c r="AY111" s="242">
        <v>0</v>
      </c>
    </row>
    <row r="112" spans="2:51">
      <c r="B112" s="211">
        <v>10369</v>
      </c>
      <c r="C112" s="211" t="s">
        <v>115</v>
      </c>
      <c r="D112" s="242">
        <v>3098.6658653846171</v>
      </c>
      <c r="E112" s="242">
        <v>0</v>
      </c>
      <c r="F112" s="242">
        <v>903.33750000000191</v>
      </c>
      <c r="G112" s="242">
        <v>0</v>
      </c>
      <c r="H112" s="242">
        <v>1470.5149999999999</v>
      </c>
      <c r="I112" s="242">
        <v>0</v>
      </c>
      <c r="J112" s="242">
        <v>2373.2139423076942</v>
      </c>
      <c r="K112" s="242">
        <v>0</v>
      </c>
      <c r="L112" s="242">
        <v>1379.3000000000015</v>
      </c>
      <c r="M112" s="242">
        <v>0</v>
      </c>
      <c r="N112" s="242">
        <v>1913.4567307692305</v>
      </c>
      <c r="O112" s="242">
        <v>0</v>
      </c>
      <c r="P112" s="242">
        <v>3825.6778846153852</v>
      </c>
      <c r="Q112" s="242">
        <v>0</v>
      </c>
      <c r="R112" s="242">
        <v>3474.9110576923094</v>
      </c>
      <c r="S112" s="242">
        <v>0</v>
      </c>
      <c r="T112" s="242">
        <v>3518.9050000000011</v>
      </c>
      <c r="U112" s="242">
        <v>0</v>
      </c>
      <c r="V112" s="242">
        <v>3173.7668269230817</v>
      </c>
      <c r="W112" s="242">
        <v>0</v>
      </c>
      <c r="X112" s="242">
        <v>3971.6898148148143</v>
      </c>
      <c r="Y112" s="242">
        <v>0</v>
      </c>
      <c r="Z112" s="242">
        <v>5227.5572916666624</v>
      </c>
      <c r="AA112" s="242">
        <v>0</v>
      </c>
      <c r="AB112" s="242">
        <v>3102.9097222222226</v>
      </c>
      <c r="AC112" s="242">
        <v>0</v>
      </c>
      <c r="AD112" s="242">
        <v>903.33750000000191</v>
      </c>
      <c r="AE112" s="242">
        <v>0</v>
      </c>
      <c r="AF112" s="242">
        <v>1470.5149999999999</v>
      </c>
      <c r="AG112" s="242">
        <v>0</v>
      </c>
      <c r="AH112" s="242">
        <v>2373.2139423076942</v>
      </c>
      <c r="AI112" s="242">
        <v>0</v>
      </c>
      <c r="AJ112" s="242">
        <v>2010.1223958333342</v>
      </c>
      <c r="AK112" s="242">
        <v>0</v>
      </c>
      <c r="AL112" s="242">
        <v>1913.4567307692305</v>
      </c>
      <c r="AM112" s="242">
        <v>0</v>
      </c>
      <c r="AN112" s="242">
        <v>3825.6778846153852</v>
      </c>
      <c r="AO112" s="242">
        <v>0</v>
      </c>
      <c r="AP112" s="242">
        <v>3474.9110576923163</v>
      </c>
      <c r="AQ112" s="242">
        <v>0</v>
      </c>
      <c r="AR112" s="242">
        <v>3518.9050000000011</v>
      </c>
      <c r="AS112" s="242">
        <v>0</v>
      </c>
      <c r="AT112" s="242">
        <v>3173.766826923089</v>
      </c>
      <c r="AU112" s="242">
        <v>0</v>
      </c>
      <c r="AV112" s="242">
        <v>3996.5769230769279</v>
      </c>
      <c r="AW112" s="242">
        <v>0</v>
      </c>
      <c r="AX112" s="242">
        <v>5208.1924999999983</v>
      </c>
      <c r="AY112" s="242">
        <v>0</v>
      </c>
    </row>
    <row r="113" spans="2:51">
      <c r="B113" s="211">
        <v>10370</v>
      </c>
      <c r="C113" s="211" t="s">
        <v>116</v>
      </c>
      <c r="D113" s="242">
        <v>0</v>
      </c>
      <c r="E113" s="242">
        <v>0</v>
      </c>
      <c r="F113" s="242">
        <v>0</v>
      </c>
      <c r="G113" s="242">
        <v>0</v>
      </c>
      <c r="H113" s="242">
        <v>0</v>
      </c>
      <c r="I113" s="242">
        <v>0</v>
      </c>
      <c r="J113" s="242">
        <v>0</v>
      </c>
      <c r="K113" s="242">
        <v>0</v>
      </c>
      <c r="L113" s="242">
        <v>0</v>
      </c>
      <c r="M113" s="242">
        <v>0</v>
      </c>
      <c r="N113" s="242">
        <v>0</v>
      </c>
      <c r="O113" s="242">
        <v>0</v>
      </c>
      <c r="P113" s="242">
        <v>0</v>
      </c>
      <c r="Q113" s="242">
        <v>0</v>
      </c>
      <c r="R113" s="242">
        <v>0</v>
      </c>
      <c r="S113" s="242">
        <v>0</v>
      </c>
      <c r="T113" s="242">
        <v>0</v>
      </c>
      <c r="U113" s="242">
        <v>0</v>
      </c>
      <c r="V113" s="242">
        <v>0</v>
      </c>
      <c r="W113" s="242">
        <v>0</v>
      </c>
      <c r="X113" s="242">
        <v>0</v>
      </c>
      <c r="Y113" s="242">
        <v>0</v>
      </c>
      <c r="Z113" s="242">
        <v>0</v>
      </c>
      <c r="AA113" s="242">
        <v>0</v>
      </c>
      <c r="AB113" s="242">
        <v>0</v>
      </c>
      <c r="AC113" s="242">
        <v>0</v>
      </c>
      <c r="AD113" s="242">
        <v>0</v>
      </c>
      <c r="AE113" s="242">
        <v>0</v>
      </c>
      <c r="AF113" s="242">
        <v>0</v>
      </c>
      <c r="AG113" s="242">
        <v>0</v>
      </c>
      <c r="AH113" s="242">
        <v>0</v>
      </c>
      <c r="AI113" s="242">
        <v>0</v>
      </c>
      <c r="AJ113" s="242">
        <v>0</v>
      </c>
      <c r="AK113" s="242">
        <v>0</v>
      </c>
      <c r="AL113" s="242">
        <v>0</v>
      </c>
      <c r="AM113" s="242">
        <v>0</v>
      </c>
      <c r="AN113" s="242">
        <v>0</v>
      </c>
      <c r="AO113" s="242">
        <v>0</v>
      </c>
      <c r="AP113" s="242">
        <v>0</v>
      </c>
      <c r="AQ113" s="242">
        <v>0</v>
      </c>
      <c r="AR113" s="242">
        <v>0</v>
      </c>
      <c r="AS113" s="242">
        <v>0</v>
      </c>
      <c r="AT113" s="242">
        <v>0</v>
      </c>
      <c r="AU113" s="242">
        <v>0</v>
      </c>
      <c r="AV113" s="242">
        <v>0</v>
      </c>
      <c r="AW113" s="242">
        <v>0</v>
      </c>
      <c r="AX113" s="242">
        <v>0</v>
      </c>
      <c r="AY113" s="242">
        <v>0</v>
      </c>
    </row>
    <row r="114" spans="2:51">
      <c r="B114" s="211">
        <v>10371</v>
      </c>
      <c r="C114" s="211" t="s">
        <v>117</v>
      </c>
      <c r="D114" s="242">
        <v>0</v>
      </c>
      <c r="E114" s="242">
        <v>0</v>
      </c>
      <c r="F114" s="242">
        <v>0</v>
      </c>
      <c r="G114" s="242">
        <v>0</v>
      </c>
      <c r="H114" s="242">
        <v>0</v>
      </c>
      <c r="I114" s="242">
        <v>0</v>
      </c>
      <c r="J114" s="242">
        <v>577.62740384615529</v>
      </c>
      <c r="K114" s="242">
        <v>0</v>
      </c>
      <c r="L114" s="242">
        <v>133.73500000000149</v>
      </c>
      <c r="M114" s="242">
        <v>0</v>
      </c>
      <c r="N114" s="242">
        <v>0</v>
      </c>
      <c r="O114" s="242">
        <v>0</v>
      </c>
      <c r="P114" s="242">
        <v>519.82211538461524</v>
      </c>
      <c r="Q114" s="242">
        <v>0</v>
      </c>
      <c r="R114" s="242">
        <v>477.18749999999989</v>
      </c>
      <c r="S114" s="242">
        <v>0</v>
      </c>
      <c r="T114" s="242">
        <v>1220.0474999999994</v>
      </c>
      <c r="U114" s="242">
        <v>0</v>
      </c>
      <c r="V114" s="242">
        <v>1406.8461538461518</v>
      </c>
      <c r="W114" s="242">
        <v>0</v>
      </c>
      <c r="X114" s="242">
        <v>1612.7175925925926</v>
      </c>
      <c r="Y114" s="242">
        <v>0</v>
      </c>
      <c r="Z114" s="242">
        <v>0</v>
      </c>
      <c r="AA114" s="242">
        <v>0</v>
      </c>
      <c r="AB114" s="242">
        <v>0</v>
      </c>
      <c r="AC114" s="242">
        <v>0</v>
      </c>
      <c r="AD114" s="242">
        <v>0</v>
      </c>
      <c r="AE114" s="242">
        <v>0</v>
      </c>
      <c r="AF114" s="242">
        <v>0</v>
      </c>
      <c r="AG114" s="242">
        <v>0</v>
      </c>
      <c r="AH114" s="242">
        <v>640.98076923076962</v>
      </c>
      <c r="AI114" s="242">
        <v>0</v>
      </c>
      <c r="AJ114" s="242">
        <v>10.091145833332149</v>
      </c>
      <c r="AK114" s="242">
        <v>0</v>
      </c>
      <c r="AL114" s="242">
        <v>0</v>
      </c>
      <c r="AM114" s="242">
        <v>0</v>
      </c>
      <c r="AN114" s="242">
        <v>582.39663461538521</v>
      </c>
      <c r="AO114" s="242">
        <v>0</v>
      </c>
      <c r="AP114" s="242">
        <v>541.89663461538419</v>
      </c>
      <c r="AQ114" s="242">
        <v>0</v>
      </c>
      <c r="AR114" s="242">
        <v>1293.3699999999992</v>
      </c>
      <c r="AS114" s="242">
        <v>0</v>
      </c>
      <c r="AT114" s="242">
        <v>1476.4326923076931</v>
      </c>
      <c r="AU114" s="242">
        <v>0</v>
      </c>
      <c r="AV114" s="242">
        <v>1273.9999999999998</v>
      </c>
      <c r="AW114" s="242">
        <v>0</v>
      </c>
      <c r="AX114" s="242">
        <v>224.94249999999914</v>
      </c>
      <c r="AY114" s="242">
        <v>0</v>
      </c>
    </row>
    <row r="115" spans="2:51">
      <c r="B115" s="211">
        <v>10376</v>
      </c>
      <c r="C115" s="211" t="s">
        <v>118</v>
      </c>
      <c r="D115" s="242">
        <v>1069.6658653846214</v>
      </c>
      <c r="E115" s="242">
        <v>0</v>
      </c>
      <c r="F115" s="242">
        <v>2749.5624999999995</v>
      </c>
      <c r="G115" s="242">
        <v>0</v>
      </c>
      <c r="H115" s="242">
        <v>10305.277499999998</v>
      </c>
      <c r="I115" s="242">
        <v>0</v>
      </c>
      <c r="J115" s="242">
        <v>9923.1466346153775</v>
      </c>
      <c r="K115" s="242">
        <v>0</v>
      </c>
      <c r="L115" s="242">
        <v>0</v>
      </c>
      <c r="M115" s="242">
        <v>0</v>
      </c>
      <c r="N115" s="242">
        <v>7301.454326923089</v>
      </c>
      <c r="O115" s="242">
        <v>0</v>
      </c>
      <c r="P115" s="242">
        <v>4867.2812499999982</v>
      </c>
      <c r="Q115" s="242">
        <v>0</v>
      </c>
      <c r="R115" s="242">
        <v>3300.2908653846034</v>
      </c>
      <c r="S115" s="242">
        <v>0</v>
      </c>
      <c r="T115" s="242">
        <v>5140.4299999999994</v>
      </c>
      <c r="U115" s="242">
        <v>0</v>
      </c>
      <c r="V115" s="242">
        <v>4031.689903846157</v>
      </c>
      <c r="W115" s="242">
        <v>0</v>
      </c>
      <c r="X115" s="242">
        <v>2432.2407407407413</v>
      </c>
      <c r="Y115" s="242">
        <v>0</v>
      </c>
      <c r="Z115" s="242">
        <v>1482.5572916666658</v>
      </c>
      <c r="AA115" s="242">
        <v>0</v>
      </c>
      <c r="AB115" s="242">
        <v>891.21296296295327</v>
      </c>
      <c r="AC115" s="242">
        <v>0</v>
      </c>
      <c r="AD115" s="242">
        <v>2752.2675000000058</v>
      </c>
      <c r="AE115" s="242">
        <v>0</v>
      </c>
      <c r="AF115" s="242">
        <v>10394.190000000006</v>
      </c>
      <c r="AG115" s="242">
        <v>0</v>
      </c>
      <c r="AH115" s="242">
        <v>10041.26923076923</v>
      </c>
      <c r="AI115" s="242">
        <v>0</v>
      </c>
      <c r="AJ115" s="242">
        <v>0</v>
      </c>
      <c r="AK115" s="242">
        <v>0</v>
      </c>
      <c r="AL115" s="242">
        <v>7367.9062500000009</v>
      </c>
      <c r="AM115" s="242">
        <v>0</v>
      </c>
      <c r="AN115" s="242">
        <v>4937.2692307692323</v>
      </c>
      <c r="AO115" s="242">
        <v>0</v>
      </c>
      <c r="AP115" s="242">
        <v>3335.3149038461538</v>
      </c>
      <c r="AQ115" s="242">
        <v>0</v>
      </c>
      <c r="AR115" s="242">
        <v>5165.8975000000046</v>
      </c>
      <c r="AS115" s="242">
        <v>0</v>
      </c>
      <c r="AT115" s="242">
        <v>4047.0000000000041</v>
      </c>
      <c r="AU115" s="242">
        <v>0</v>
      </c>
      <c r="AV115" s="242">
        <v>2566.3173076923049</v>
      </c>
      <c r="AW115" s="242">
        <v>0</v>
      </c>
      <c r="AX115" s="242">
        <v>1387.8025000000066</v>
      </c>
      <c r="AY115" s="242">
        <v>0</v>
      </c>
    </row>
    <row r="116" spans="2:51">
      <c r="B116" s="211">
        <v>10378</v>
      </c>
      <c r="C116" s="211" t="s">
        <v>119</v>
      </c>
      <c r="D116" s="242">
        <v>55.500000000000213</v>
      </c>
      <c r="E116" s="242">
        <v>0</v>
      </c>
      <c r="F116" s="242">
        <v>260.87000000000018</v>
      </c>
      <c r="G116" s="242">
        <v>0</v>
      </c>
      <c r="H116" s="242">
        <v>761.58000000000027</v>
      </c>
      <c r="I116" s="242">
        <v>0</v>
      </c>
      <c r="J116" s="242">
        <v>1065.2932692307693</v>
      </c>
      <c r="K116" s="242">
        <v>0</v>
      </c>
      <c r="L116" s="242">
        <v>734.63000000000011</v>
      </c>
      <c r="M116" s="242">
        <v>0</v>
      </c>
      <c r="N116" s="242">
        <v>586.75961538461536</v>
      </c>
      <c r="O116" s="242">
        <v>0</v>
      </c>
      <c r="P116" s="242">
        <v>660.93269230769261</v>
      </c>
      <c r="Q116" s="242">
        <v>0</v>
      </c>
      <c r="R116" s="242">
        <v>313.29326923076911</v>
      </c>
      <c r="S116" s="242">
        <v>0</v>
      </c>
      <c r="T116" s="242">
        <v>379.31250000000017</v>
      </c>
      <c r="U116" s="242">
        <v>0</v>
      </c>
      <c r="V116" s="242">
        <v>470.56730769230751</v>
      </c>
      <c r="W116" s="242">
        <v>0</v>
      </c>
      <c r="X116" s="242">
        <v>470.25694444444434</v>
      </c>
      <c r="Y116" s="242">
        <v>0</v>
      </c>
      <c r="Z116" s="242">
        <v>548.04166666666674</v>
      </c>
      <c r="AA116" s="242">
        <v>0</v>
      </c>
      <c r="AB116" s="242">
        <v>125.08796296296299</v>
      </c>
      <c r="AC116" s="242">
        <v>0</v>
      </c>
      <c r="AD116" s="242">
        <v>268.74249999999967</v>
      </c>
      <c r="AE116" s="242">
        <v>0</v>
      </c>
      <c r="AF116" s="242">
        <v>774.49</v>
      </c>
      <c r="AG116" s="242">
        <v>0</v>
      </c>
      <c r="AH116" s="242">
        <v>1080.5793269230767</v>
      </c>
      <c r="AI116" s="242">
        <v>0</v>
      </c>
      <c r="AJ116" s="242">
        <v>716.02864583333405</v>
      </c>
      <c r="AK116" s="242">
        <v>0</v>
      </c>
      <c r="AL116" s="242">
        <v>595.79086538461547</v>
      </c>
      <c r="AM116" s="242">
        <v>0</v>
      </c>
      <c r="AN116" s="242">
        <v>666.76201923076951</v>
      </c>
      <c r="AO116" s="242">
        <v>0</v>
      </c>
      <c r="AP116" s="242">
        <v>313.05769230769226</v>
      </c>
      <c r="AQ116" s="242">
        <v>0</v>
      </c>
      <c r="AR116" s="242">
        <v>378.20249999999976</v>
      </c>
      <c r="AS116" s="242">
        <v>0</v>
      </c>
      <c r="AT116" s="242">
        <v>472.21153846153834</v>
      </c>
      <c r="AU116" s="242">
        <v>0</v>
      </c>
      <c r="AV116" s="242">
        <v>406.76923076923089</v>
      </c>
      <c r="AW116" s="242">
        <v>0</v>
      </c>
      <c r="AX116" s="242">
        <v>609.79000000000008</v>
      </c>
      <c r="AY116" s="242">
        <v>0</v>
      </c>
    </row>
    <row r="117" spans="2:51">
      <c r="B117" s="211">
        <v>10379</v>
      </c>
      <c r="C117" s="211" t="s">
        <v>120</v>
      </c>
      <c r="D117" s="242">
        <v>307.21153846153817</v>
      </c>
      <c r="E117" s="242">
        <v>0</v>
      </c>
      <c r="F117" s="242">
        <v>0</v>
      </c>
      <c r="G117" s="242">
        <v>0</v>
      </c>
      <c r="H117" s="242">
        <v>871.25500000000034</v>
      </c>
      <c r="I117" s="242">
        <v>0</v>
      </c>
      <c r="J117" s="242">
        <v>1097.1899038461543</v>
      </c>
      <c r="K117" s="242">
        <v>0</v>
      </c>
      <c r="L117" s="242">
        <v>786.12750000000096</v>
      </c>
      <c r="M117" s="242">
        <v>0</v>
      </c>
      <c r="N117" s="242">
        <v>686.10576923076883</v>
      </c>
      <c r="O117" s="242">
        <v>0</v>
      </c>
      <c r="P117" s="242">
        <v>262.04086538461536</v>
      </c>
      <c r="Q117" s="242">
        <v>0</v>
      </c>
      <c r="R117" s="242">
        <v>590.06971153846212</v>
      </c>
      <c r="S117" s="242">
        <v>0</v>
      </c>
      <c r="T117" s="242">
        <v>1080.3900000000003</v>
      </c>
      <c r="U117" s="242">
        <v>0</v>
      </c>
      <c r="V117" s="242">
        <v>1081.7740384615386</v>
      </c>
      <c r="W117" s="242">
        <v>0</v>
      </c>
      <c r="X117" s="242">
        <v>1230.023148148148</v>
      </c>
      <c r="Y117" s="242">
        <v>0</v>
      </c>
      <c r="Z117" s="242">
        <v>820.53645833333394</v>
      </c>
      <c r="AA117" s="242">
        <v>0</v>
      </c>
      <c r="AB117" s="242">
        <v>496.5856481481481</v>
      </c>
      <c r="AC117" s="242">
        <v>0</v>
      </c>
      <c r="AD117" s="242">
        <v>7.6974999999990246</v>
      </c>
      <c r="AE117" s="242">
        <v>0</v>
      </c>
      <c r="AF117" s="242">
        <v>881.25250000000108</v>
      </c>
      <c r="AG117" s="242">
        <v>0</v>
      </c>
      <c r="AH117" s="242">
        <v>1109.4879807692314</v>
      </c>
      <c r="AI117" s="242">
        <v>0</v>
      </c>
      <c r="AJ117" s="242">
        <v>728.71875000000136</v>
      </c>
      <c r="AK117" s="242">
        <v>0</v>
      </c>
      <c r="AL117" s="242">
        <v>699.81009615384653</v>
      </c>
      <c r="AM117" s="242">
        <v>0</v>
      </c>
      <c r="AN117" s="242">
        <v>271.82932692307651</v>
      </c>
      <c r="AO117" s="242">
        <v>0</v>
      </c>
      <c r="AP117" s="242">
        <v>601.87019230769238</v>
      </c>
      <c r="AQ117" s="242">
        <v>0</v>
      </c>
      <c r="AR117" s="242">
        <v>1094.1724999999994</v>
      </c>
      <c r="AS117" s="242">
        <v>0</v>
      </c>
      <c r="AT117" s="242">
        <v>1097.2379807692305</v>
      </c>
      <c r="AU117" s="242">
        <v>0</v>
      </c>
      <c r="AV117" s="242">
        <v>1094.4759615384614</v>
      </c>
      <c r="AW117" s="242">
        <v>0</v>
      </c>
      <c r="AX117" s="242">
        <v>991.13750000000016</v>
      </c>
      <c r="AY117" s="242">
        <v>0</v>
      </c>
    </row>
    <row r="118" spans="2:51">
      <c r="B118" s="211">
        <v>10388</v>
      </c>
      <c r="C118" s="211" t="s">
        <v>121</v>
      </c>
      <c r="D118" s="242">
        <v>0</v>
      </c>
      <c r="E118" s="242">
        <v>0</v>
      </c>
      <c r="F118" s="242">
        <v>0</v>
      </c>
      <c r="G118" s="242">
        <v>0</v>
      </c>
      <c r="H118" s="242">
        <v>0</v>
      </c>
      <c r="I118" s="242">
        <v>0</v>
      </c>
      <c r="J118" s="242">
        <v>0</v>
      </c>
      <c r="K118" s="242">
        <v>0</v>
      </c>
      <c r="L118" s="242">
        <v>0</v>
      </c>
      <c r="M118" s="242">
        <v>0</v>
      </c>
      <c r="N118" s="242">
        <v>0</v>
      </c>
      <c r="O118" s="242">
        <v>0</v>
      </c>
      <c r="P118" s="242">
        <v>0</v>
      </c>
      <c r="Q118" s="242">
        <v>0</v>
      </c>
      <c r="R118" s="242">
        <v>0</v>
      </c>
      <c r="S118" s="242">
        <v>0</v>
      </c>
      <c r="T118" s="242">
        <v>0</v>
      </c>
      <c r="U118" s="242">
        <v>0</v>
      </c>
      <c r="V118" s="242">
        <v>0</v>
      </c>
      <c r="W118" s="242">
        <v>0</v>
      </c>
      <c r="X118" s="242">
        <v>0</v>
      </c>
      <c r="Y118" s="242">
        <v>0</v>
      </c>
      <c r="Z118" s="242">
        <v>0</v>
      </c>
      <c r="AA118" s="242">
        <v>0</v>
      </c>
      <c r="AB118" s="242">
        <v>54497.902777777781</v>
      </c>
      <c r="AC118" s="242">
        <v>0</v>
      </c>
      <c r="AD118" s="242">
        <v>7440.8900000000385</v>
      </c>
      <c r="AE118" s="242">
        <v>0</v>
      </c>
      <c r="AF118" s="242">
        <v>0</v>
      </c>
      <c r="AG118" s="242">
        <v>0</v>
      </c>
      <c r="AH118" s="242">
        <v>0</v>
      </c>
      <c r="AI118" s="242">
        <v>0</v>
      </c>
      <c r="AJ118" s="242">
        <v>0</v>
      </c>
      <c r="AK118" s="242">
        <v>0</v>
      </c>
      <c r="AL118" s="242">
        <v>0</v>
      </c>
      <c r="AM118" s="242">
        <v>0</v>
      </c>
      <c r="AN118" s="242">
        <v>35598.139423076922</v>
      </c>
      <c r="AO118" s="242">
        <v>0</v>
      </c>
      <c r="AP118" s="242">
        <v>16307.64423076942</v>
      </c>
      <c r="AQ118" s="242">
        <v>0</v>
      </c>
      <c r="AR118" s="242">
        <v>0</v>
      </c>
      <c r="AS118" s="242">
        <v>0</v>
      </c>
      <c r="AT118" s="242">
        <v>75662.968750000175</v>
      </c>
      <c r="AU118" s="242">
        <v>0</v>
      </c>
      <c r="AV118" s="242">
        <v>0</v>
      </c>
      <c r="AW118" s="242">
        <v>0</v>
      </c>
      <c r="AX118" s="242">
        <v>0</v>
      </c>
      <c r="AY118" s="242">
        <v>0</v>
      </c>
    </row>
    <row r="119" spans="2:51">
      <c r="B119" s="211">
        <v>10391</v>
      </c>
      <c r="C119" s="211" t="s">
        <v>122</v>
      </c>
      <c r="D119" s="242">
        <v>1603.9447115384612</v>
      </c>
      <c r="E119" s="242">
        <v>0</v>
      </c>
      <c r="F119" s="242">
        <v>3683.7700000000009</v>
      </c>
      <c r="G119" s="242">
        <v>0</v>
      </c>
      <c r="H119" s="242">
        <v>5942.1024999999991</v>
      </c>
      <c r="I119" s="242">
        <v>0</v>
      </c>
      <c r="J119" s="242">
        <v>6752.0288461538466</v>
      </c>
      <c r="K119" s="242">
        <v>0</v>
      </c>
      <c r="L119" s="242">
        <v>2520.8550000000064</v>
      </c>
      <c r="M119" s="242">
        <v>0</v>
      </c>
      <c r="N119" s="242">
        <v>1706.5841346153868</v>
      </c>
      <c r="O119" s="242">
        <v>0</v>
      </c>
      <c r="P119" s="242">
        <v>1785.0817307692334</v>
      </c>
      <c r="Q119" s="242">
        <v>0</v>
      </c>
      <c r="R119" s="242">
        <v>5030.6418269230817</v>
      </c>
      <c r="S119" s="242">
        <v>0</v>
      </c>
      <c r="T119" s="242">
        <v>2046.3875000000016</v>
      </c>
      <c r="U119" s="242">
        <v>0</v>
      </c>
      <c r="V119" s="242">
        <v>10944.923076923071</v>
      </c>
      <c r="W119" s="242">
        <v>0</v>
      </c>
      <c r="X119" s="242">
        <v>8647.1504629629635</v>
      </c>
      <c r="Y119" s="242">
        <v>0</v>
      </c>
      <c r="Z119" s="242">
        <v>0</v>
      </c>
      <c r="AA119" s="242">
        <v>0</v>
      </c>
      <c r="AB119" s="242">
        <v>3058.1736111111095</v>
      </c>
      <c r="AC119" s="242">
        <v>0</v>
      </c>
      <c r="AD119" s="242">
        <v>3921.6999999999994</v>
      </c>
      <c r="AE119" s="242">
        <v>0</v>
      </c>
      <c r="AF119" s="242">
        <v>6179.0675000000037</v>
      </c>
      <c r="AG119" s="242">
        <v>0</v>
      </c>
      <c r="AH119" s="242">
        <v>7009.8461538461534</v>
      </c>
      <c r="AI119" s="242">
        <v>0</v>
      </c>
      <c r="AJ119" s="242">
        <v>1841.125</v>
      </c>
      <c r="AK119" s="242">
        <v>0</v>
      </c>
      <c r="AL119" s="242">
        <v>1945.9927884615417</v>
      </c>
      <c r="AM119" s="242">
        <v>0</v>
      </c>
      <c r="AN119" s="242">
        <v>2013.913461538463</v>
      </c>
      <c r="AO119" s="242">
        <v>0</v>
      </c>
      <c r="AP119" s="242">
        <v>5276.8437499999982</v>
      </c>
      <c r="AQ119" s="242">
        <v>0</v>
      </c>
      <c r="AR119" s="242">
        <v>2254.3575000000046</v>
      </c>
      <c r="AS119" s="242">
        <v>0</v>
      </c>
      <c r="AT119" s="242">
        <v>11195.548076923085</v>
      </c>
      <c r="AU119" s="242">
        <v>0</v>
      </c>
      <c r="AV119" s="242">
        <v>7111.3653846153838</v>
      </c>
      <c r="AW119" s="242">
        <v>0</v>
      </c>
      <c r="AX119" s="242">
        <v>1605.5324999999989</v>
      </c>
      <c r="AY119" s="242">
        <v>0</v>
      </c>
    </row>
    <row r="120" spans="2:51">
      <c r="B120" s="211">
        <v>10406</v>
      </c>
      <c r="C120" s="211" t="s">
        <v>123</v>
      </c>
      <c r="D120" s="242">
        <v>73.850961538461576</v>
      </c>
      <c r="E120" s="242">
        <v>0</v>
      </c>
      <c r="F120" s="242">
        <v>154.96249999999984</v>
      </c>
      <c r="G120" s="242">
        <v>0</v>
      </c>
      <c r="H120" s="242">
        <v>0</v>
      </c>
      <c r="I120" s="242">
        <v>0</v>
      </c>
      <c r="J120" s="242">
        <v>252.20432692307705</v>
      </c>
      <c r="K120" s="242">
        <v>0</v>
      </c>
      <c r="L120" s="242">
        <v>79.142499999999998</v>
      </c>
      <c r="M120" s="242">
        <v>0</v>
      </c>
      <c r="N120" s="242">
        <v>206.86298076923066</v>
      </c>
      <c r="O120" s="242">
        <v>0</v>
      </c>
      <c r="P120" s="242">
        <v>152.02884615384622</v>
      </c>
      <c r="Q120" s="242">
        <v>0</v>
      </c>
      <c r="R120" s="242">
        <v>52.165865384615316</v>
      </c>
      <c r="S120" s="242">
        <v>0</v>
      </c>
      <c r="T120" s="242">
        <v>54.407500000000056</v>
      </c>
      <c r="U120" s="242">
        <v>0</v>
      </c>
      <c r="V120" s="242">
        <v>0</v>
      </c>
      <c r="W120" s="242">
        <v>0</v>
      </c>
      <c r="X120" s="242">
        <v>0</v>
      </c>
      <c r="Y120" s="242">
        <v>0</v>
      </c>
      <c r="Z120" s="242">
        <v>34.734375000000043</v>
      </c>
      <c r="AA120" s="242">
        <v>0</v>
      </c>
      <c r="AB120" s="242">
        <v>68.312499999999972</v>
      </c>
      <c r="AC120" s="242">
        <v>0</v>
      </c>
      <c r="AD120" s="242">
        <v>148.87250000000003</v>
      </c>
      <c r="AE120" s="242">
        <v>0</v>
      </c>
      <c r="AF120" s="242">
        <v>0</v>
      </c>
      <c r="AG120" s="242">
        <v>0</v>
      </c>
      <c r="AH120" s="242">
        <v>245.18749999999997</v>
      </c>
      <c r="AI120" s="242">
        <v>0</v>
      </c>
      <c r="AJ120" s="242">
        <v>71.752604166666629</v>
      </c>
      <c r="AK120" s="242">
        <v>0</v>
      </c>
      <c r="AL120" s="242">
        <v>200.79086538461539</v>
      </c>
      <c r="AM120" s="242">
        <v>0</v>
      </c>
      <c r="AN120" s="242">
        <v>147.32932692307693</v>
      </c>
      <c r="AO120" s="242">
        <v>0</v>
      </c>
      <c r="AP120" s="242">
        <v>48.461538461538446</v>
      </c>
      <c r="AQ120" s="242">
        <v>0</v>
      </c>
      <c r="AR120" s="242">
        <v>57.117500000000042</v>
      </c>
      <c r="AS120" s="242">
        <v>0</v>
      </c>
      <c r="AT120" s="242">
        <v>0</v>
      </c>
      <c r="AU120" s="242">
        <v>0</v>
      </c>
      <c r="AV120" s="242">
        <v>0</v>
      </c>
      <c r="AW120" s="242">
        <v>0</v>
      </c>
      <c r="AX120" s="242">
        <v>37.622500000000059</v>
      </c>
      <c r="AY120" s="242">
        <v>0</v>
      </c>
    </row>
    <row r="121" spans="2:51">
      <c r="B121" s="211">
        <v>10408</v>
      </c>
      <c r="C121" s="211" t="s">
        <v>124</v>
      </c>
      <c r="D121" s="242">
        <v>136.34855769230765</v>
      </c>
      <c r="E121" s="242">
        <v>0</v>
      </c>
      <c r="F121" s="242">
        <v>206.36749999999981</v>
      </c>
      <c r="G121" s="242">
        <v>0</v>
      </c>
      <c r="H121" s="242">
        <v>247.53249999999991</v>
      </c>
      <c r="I121" s="242">
        <v>0</v>
      </c>
      <c r="J121" s="242">
        <v>162.63221153846152</v>
      </c>
      <c r="K121" s="242">
        <v>0</v>
      </c>
      <c r="L121" s="242">
        <v>293.63499999999959</v>
      </c>
      <c r="M121" s="242">
        <v>0</v>
      </c>
      <c r="N121" s="242">
        <v>331.87259615384636</v>
      </c>
      <c r="O121" s="242">
        <v>0</v>
      </c>
      <c r="P121" s="242">
        <v>185.19711538461559</v>
      </c>
      <c r="Q121" s="242">
        <v>0</v>
      </c>
      <c r="R121" s="242">
        <v>196.54326923076925</v>
      </c>
      <c r="S121" s="242">
        <v>0</v>
      </c>
      <c r="T121" s="242">
        <v>293.38749999999999</v>
      </c>
      <c r="U121" s="242">
        <v>0</v>
      </c>
      <c r="V121" s="242">
        <v>190.41586538461559</v>
      </c>
      <c r="W121" s="242">
        <v>0</v>
      </c>
      <c r="X121" s="242">
        <v>267.18749999999994</v>
      </c>
      <c r="Y121" s="242">
        <v>0</v>
      </c>
      <c r="Z121" s="242">
        <v>160.88281249999991</v>
      </c>
      <c r="AA121" s="242">
        <v>0</v>
      </c>
      <c r="AB121" s="242">
        <v>117.29629629629632</v>
      </c>
      <c r="AC121" s="242">
        <v>0</v>
      </c>
      <c r="AD121" s="242">
        <v>206.36749999999981</v>
      </c>
      <c r="AE121" s="242">
        <v>0</v>
      </c>
      <c r="AF121" s="242">
        <v>247.53249999999991</v>
      </c>
      <c r="AG121" s="242">
        <v>0</v>
      </c>
      <c r="AH121" s="242">
        <v>162.63221153846152</v>
      </c>
      <c r="AI121" s="242">
        <v>0</v>
      </c>
      <c r="AJ121" s="242">
        <v>296.609375</v>
      </c>
      <c r="AK121" s="242">
        <v>0</v>
      </c>
      <c r="AL121" s="242">
        <v>331.87259615384636</v>
      </c>
      <c r="AM121" s="242">
        <v>0</v>
      </c>
      <c r="AN121" s="242">
        <v>185.19711538461559</v>
      </c>
      <c r="AO121" s="242">
        <v>0</v>
      </c>
      <c r="AP121" s="242">
        <v>196.54326923076925</v>
      </c>
      <c r="AQ121" s="242">
        <v>0</v>
      </c>
      <c r="AR121" s="242">
        <v>293.38749999999999</v>
      </c>
      <c r="AS121" s="242">
        <v>0</v>
      </c>
      <c r="AT121" s="242">
        <v>190.41586538461559</v>
      </c>
      <c r="AU121" s="242">
        <v>0</v>
      </c>
      <c r="AV121" s="242">
        <v>282.96634615384613</v>
      </c>
      <c r="AW121" s="242">
        <v>0</v>
      </c>
      <c r="AX121" s="242">
        <v>148.73249999999993</v>
      </c>
      <c r="AY121" s="242">
        <v>0</v>
      </c>
    </row>
    <row r="122" spans="2:51">
      <c r="B122" s="211">
        <v>10409</v>
      </c>
      <c r="C122" s="211" t="s">
        <v>125</v>
      </c>
      <c r="D122" s="242">
        <v>5697.060096153843</v>
      </c>
      <c r="E122" s="242">
        <v>0</v>
      </c>
      <c r="F122" s="242">
        <v>4801.3150000000051</v>
      </c>
      <c r="G122" s="242">
        <v>0</v>
      </c>
      <c r="H122" s="242">
        <v>6055.0574999999999</v>
      </c>
      <c r="I122" s="242">
        <v>0</v>
      </c>
      <c r="J122" s="242">
        <v>7112.8774038461524</v>
      </c>
      <c r="K122" s="242">
        <v>0</v>
      </c>
      <c r="L122" s="242">
        <v>6553.0499999999993</v>
      </c>
      <c r="M122" s="242">
        <v>0</v>
      </c>
      <c r="N122" s="242">
        <v>6397.882211538461</v>
      </c>
      <c r="O122" s="242">
        <v>0</v>
      </c>
      <c r="P122" s="242">
        <v>5670.4687500000009</v>
      </c>
      <c r="Q122" s="242">
        <v>0</v>
      </c>
      <c r="R122" s="242">
        <v>5587.1370192307704</v>
      </c>
      <c r="S122" s="242">
        <v>0</v>
      </c>
      <c r="T122" s="242">
        <v>6634.2549999999947</v>
      </c>
      <c r="U122" s="242">
        <v>0</v>
      </c>
      <c r="V122" s="242">
        <v>6203.694711538461</v>
      </c>
      <c r="W122" s="242">
        <v>0</v>
      </c>
      <c r="X122" s="242">
        <v>6779.2037037037035</v>
      </c>
      <c r="Y122" s="242">
        <v>0</v>
      </c>
      <c r="Z122" s="242">
        <v>5330.018229166667</v>
      </c>
      <c r="AA122" s="242">
        <v>0</v>
      </c>
      <c r="AB122" s="242">
        <v>6035.0671296296296</v>
      </c>
      <c r="AC122" s="242">
        <v>0</v>
      </c>
      <c r="AD122" s="242">
        <v>4801.3150000000051</v>
      </c>
      <c r="AE122" s="242">
        <v>0</v>
      </c>
      <c r="AF122" s="242">
        <v>6055.0574999999999</v>
      </c>
      <c r="AG122" s="242">
        <v>0</v>
      </c>
      <c r="AH122" s="242">
        <v>7112.8774038461524</v>
      </c>
      <c r="AI122" s="242">
        <v>0</v>
      </c>
      <c r="AJ122" s="242">
        <v>7376.4114583333294</v>
      </c>
      <c r="AK122" s="242">
        <v>0</v>
      </c>
      <c r="AL122" s="242">
        <v>6397.8822115384573</v>
      </c>
      <c r="AM122" s="242">
        <v>0</v>
      </c>
      <c r="AN122" s="242">
        <v>5670.4687500000009</v>
      </c>
      <c r="AO122" s="242">
        <v>0</v>
      </c>
      <c r="AP122" s="242">
        <v>5587.1370192307704</v>
      </c>
      <c r="AQ122" s="242">
        <v>0</v>
      </c>
      <c r="AR122" s="242">
        <v>6634.2549999999947</v>
      </c>
      <c r="AS122" s="242">
        <v>0</v>
      </c>
      <c r="AT122" s="242">
        <v>6203.694711538461</v>
      </c>
      <c r="AU122" s="242">
        <v>0</v>
      </c>
      <c r="AV122" s="242">
        <v>6437.5456730769174</v>
      </c>
      <c r="AW122" s="242">
        <v>0</v>
      </c>
      <c r="AX122" s="242">
        <v>5714.1900000000005</v>
      </c>
      <c r="AY122" s="242">
        <v>0</v>
      </c>
    </row>
    <row r="123" spans="2:51">
      <c r="B123" s="211">
        <v>10426</v>
      </c>
      <c r="C123" s="211" t="s">
        <v>126</v>
      </c>
      <c r="D123" s="242">
        <v>4255.0504807692287</v>
      </c>
      <c r="E123" s="242">
        <v>0</v>
      </c>
      <c r="F123" s="242">
        <v>2980.2274999999991</v>
      </c>
      <c r="G123" s="242">
        <v>0</v>
      </c>
      <c r="H123" s="242">
        <v>5039.8350000000037</v>
      </c>
      <c r="I123" s="242">
        <v>0</v>
      </c>
      <c r="J123" s="242">
        <v>5859.151442307696</v>
      </c>
      <c r="K123" s="242">
        <v>0</v>
      </c>
      <c r="L123" s="242">
        <v>3028.1150000000048</v>
      </c>
      <c r="M123" s="242">
        <v>0</v>
      </c>
      <c r="N123" s="242">
        <v>7224.1538461538485</v>
      </c>
      <c r="O123" s="242">
        <v>0</v>
      </c>
      <c r="P123" s="242">
        <v>6976.9182692307722</v>
      </c>
      <c r="Q123" s="242">
        <v>0</v>
      </c>
      <c r="R123" s="242">
        <v>4265.9495192307731</v>
      </c>
      <c r="S123" s="242">
        <v>0</v>
      </c>
      <c r="T123" s="242">
        <v>2484.7025000000003</v>
      </c>
      <c r="U123" s="242">
        <v>0</v>
      </c>
      <c r="V123" s="242">
        <v>4312.579326923079</v>
      </c>
      <c r="W123" s="242">
        <v>0</v>
      </c>
      <c r="X123" s="242">
        <v>5302.6481481481514</v>
      </c>
      <c r="Y123" s="242">
        <v>0</v>
      </c>
      <c r="Z123" s="242">
        <v>3031.0859375</v>
      </c>
      <c r="AA123" s="242">
        <v>0</v>
      </c>
      <c r="AB123" s="242">
        <v>5769.787037037042</v>
      </c>
      <c r="AC123" s="242">
        <v>0</v>
      </c>
      <c r="AD123" s="242">
        <v>3244.4350000000036</v>
      </c>
      <c r="AE123" s="242">
        <v>0</v>
      </c>
      <c r="AF123" s="242">
        <v>5424.8799999999947</v>
      </c>
      <c r="AG123" s="242">
        <v>0</v>
      </c>
      <c r="AH123" s="242">
        <v>6250.2307692307722</v>
      </c>
      <c r="AI123" s="242">
        <v>0</v>
      </c>
      <c r="AJ123" s="242">
        <v>2214.1406250000041</v>
      </c>
      <c r="AK123" s="242">
        <v>0</v>
      </c>
      <c r="AL123" s="242">
        <v>7679.1562500000036</v>
      </c>
      <c r="AM123" s="242">
        <v>0</v>
      </c>
      <c r="AN123" s="242">
        <v>7366.0336538461561</v>
      </c>
      <c r="AO123" s="242">
        <v>0</v>
      </c>
      <c r="AP123" s="242">
        <v>4622.1346153846098</v>
      </c>
      <c r="AQ123" s="242">
        <v>0</v>
      </c>
      <c r="AR123" s="242">
        <v>2330.4875000000034</v>
      </c>
      <c r="AS123" s="242">
        <v>0</v>
      </c>
      <c r="AT123" s="242">
        <v>4429.2403846153802</v>
      </c>
      <c r="AU123" s="242">
        <v>0</v>
      </c>
      <c r="AV123" s="242">
        <v>4009.7548076923031</v>
      </c>
      <c r="AW123" s="242">
        <v>0</v>
      </c>
      <c r="AX123" s="242">
        <v>4393.3425000000007</v>
      </c>
      <c r="AY123" s="242">
        <v>0</v>
      </c>
    </row>
    <row r="124" spans="2:51">
      <c r="B124" s="211">
        <v>10434</v>
      </c>
      <c r="C124" s="211" t="s">
        <v>127</v>
      </c>
      <c r="D124" s="242">
        <v>0</v>
      </c>
      <c r="E124" s="242">
        <v>0</v>
      </c>
      <c r="F124" s="242">
        <v>623.11749999999756</v>
      </c>
      <c r="G124" s="242">
        <v>0</v>
      </c>
      <c r="H124" s="242">
        <v>1796.9224999999919</v>
      </c>
      <c r="I124" s="242">
        <v>0</v>
      </c>
      <c r="J124" s="242">
        <v>9088.8293269230762</v>
      </c>
      <c r="K124" s="242">
        <v>0</v>
      </c>
      <c r="L124" s="242">
        <v>1201.3225000000016</v>
      </c>
      <c r="M124" s="242">
        <v>0</v>
      </c>
      <c r="N124" s="242">
        <v>588.56250000000637</v>
      </c>
      <c r="O124" s="242">
        <v>0</v>
      </c>
      <c r="P124" s="242">
        <v>3568.9158653846162</v>
      </c>
      <c r="Q124" s="242">
        <v>0</v>
      </c>
      <c r="R124" s="242">
        <v>5732.4158653846198</v>
      </c>
      <c r="S124" s="242">
        <v>0</v>
      </c>
      <c r="T124" s="242">
        <v>7535.6275000000005</v>
      </c>
      <c r="U124" s="242">
        <v>0</v>
      </c>
      <c r="V124" s="242">
        <v>9463.9855769230799</v>
      </c>
      <c r="W124" s="242">
        <v>0</v>
      </c>
      <c r="X124" s="242">
        <v>13942.659722222223</v>
      </c>
      <c r="Y124" s="242">
        <v>0</v>
      </c>
      <c r="Z124" s="242">
        <v>7058.8489583333348</v>
      </c>
      <c r="AA124" s="242">
        <v>0</v>
      </c>
      <c r="AB124" s="242">
        <v>482.83333333333098</v>
      </c>
      <c r="AC124" s="242">
        <v>0</v>
      </c>
      <c r="AD124" s="242">
        <v>711.23250000000303</v>
      </c>
      <c r="AE124" s="242">
        <v>0</v>
      </c>
      <c r="AF124" s="242">
        <v>1861.5449999999978</v>
      </c>
      <c r="AG124" s="242">
        <v>0</v>
      </c>
      <c r="AH124" s="242">
        <v>9237.1201923076933</v>
      </c>
      <c r="AI124" s="242">
        <v>0</v>
      </c>
      <c r="AJ124" s="242">
        <v>1080.169270833336</v>
      </c>
      <c r="AK124" s="242">
        <v>0</v>
      </c>
      <c r="AL124" s="242">
        <v>654.5312500000025</v>
      </c>
      <c r="AM124" s="242">
        <v>0</v>
      </c>
      <c r="AN124" s="242">
        <v>3644.2091346153857</v>
      </c>
      <c r="AO124" s="242">
        <v>0</v>
      </c>
      <c r="AP124" s="242">
        <v>5844.7091346153848</v>
      </c>
      <c r="AQ124" s="242">
        <v>0</v>
      </c>
      <c r="AR124" s="242">
        <v>7697.5874999999978</v>
      </c>
      <c r="AS124" s="242">
        <v>0</v>
      </c>
      <c r="AT124" s="242">
        <v>9463.9855769230799</v>
      </c>
      <c r="AU124" s="242">
        <v>0</v>
      </c>
      <c r="AV124" s="242">
        <v>12815.76201923077</v>
      </c>
      <c r="AW124" s="242">
        <v>0</v>
      </c>
      <c r="AX124" s="242">
        <v>8075.4950000000035</v>
      </c>
      <c r="AY124" s="242">
        <v>0</v>
      </c>
    </row>
    <row r="125" spans="2:51">
      <c r="B125" s="211">
        <v>10436</v>
      </c>
      <c r="C125" s="211" t="s">
        <v>128</v>
      </c>
      <c r="D125" s="242">
        <v>2420.5913461538462</v>
      </c>
      <c r="E125" s="242">
        <v>0</v>
      </c>
      <c r="F125" s="242">
        <v>450.71749999999878</v>
      </c>
      <c r="G125" s="242">
        <v>0</v>
      </c>
      <c r="H125" s="242">
        <v>0</v>
      </c>
      <c r="I125" s="242">
        <v>0</v>
      </c>
      <c r="J125" s="242">
        <v>1705.8221153846116</v>
      </c>
      <c r="K125" s="242">
        <v>0</v>
      </c>
      <c r="L125" s="242">
        <v>951.34750000000065</v>
      </c>
      <c r="M125" s="242">
        <v>0</v>
      </c>
      <c r="N125" s="242">
        <v>1152.3774038461515</v>
      </c>
      <c r="O125" s="242">
        <v>0</v>
      </c>
      <c r="P125" s="242">
        <v>3400.1442307692314</v>
      </c>
      <c r="Q125" s="242">
        <v>0</v>
      </c>
      <c r="R125" s="242">
        <v>3768.9543269230762</v>
      </c>
      <c r="S125" s="242">
        <v>0</v>
      </c>
      <c r="T125" s="242">
        <v>2512.6575000000003</v>
      </c>
      <c r="U125" s="242">
        <v>0</v>
      </c>
      <c r="V125" s="242">
        <v>3101.9399038461597</v>
      </c>
      <c r="W125" s="242">
        <v>0</v>
      </c>
      <c r="X125" s="242">
        <v>4781.3958333333294</v>
      </c>
      <c r="Y125" s="242">
        <v>0</v>
      </c>
      <c r="Z125" s="242">
        <v>4570.5026041666679</v>
      </c>
      <c r="AA125" s="242">
        <v>0</v>
      </c>
      <c r="AB125" s="242">
        <v>3207.3842592592578</v>
      </c>
      <c r="AC125" s="242">
        <v>0</v>
      </c>
      <c r="AD125" s="242">
        <v>511.28750000000076</v>
      </c>
      <c r="AE125" s="242">
        <v>0</v>
      </c>
      <c r="AF125" s="242">
        <v>0</v>
      </c>
      <c r="AG125" s="242">
        <v>0</v>
      </c>
      <c r="AH125" s="242">
        <v>1769.8557692307641</v>
      </c>
      <c r="AI125" s="242">
        <v>0</v>
      </c>
      <c r="AJ125" s="242">
        <v>754.83333333333394</v>
      </c>
      <c r="AK125" s="242">
        <v>0</v>
      </c>
      <c r="AL125" s="242">
        <v>1214.4903846153836</v>
      </c>
      <c r="AM125" s="242">
        <v>0</v>
      </c>
      <c r="AN125" s="242">
        <v>3461.9903846153857</v>
      </c>
      <c r="AO125" s="242">
        <v>0</v>
      </c>
      <c r="AP125" s="242">
        <v>3886.6274038461556</v>
      </c>
      <c r="AQ125" s="242">
        <v>0</v>
      </c>
      <c r="AR125" s="242">
        <v>2586.7949999999996</v>
      </c>
      <c r="AS125" s="242">
        <v>0</v>
      </c>
      <c r="AT125" s="242">
        <v>3167.4182692307668</v>
      </c>
      <c r="AU125" s="242">
        <v>0</v>
      </c>
      <c r="AV125" s="242">
        <v>3677.8413461538457</v>
      </c>
      <c r="AW125" s="242">
        <v>0</v>
      </c>
      <c r="AX125" s="242">
        <v>5661.2175000000016</v>
      </c>
      <c r="AY125" s="242">
        <v>0</v>
      </c>
    </row>
    <row r="126" spans="2:51">
      <c r="B126" s="211">
        <v>10440</v>
      </c>
      <c r="C126" s="211" t="s">
        <v>129</v>
      </c>
      <c r="D126" s="242">
        <v>0</v>
      </c>
      <c r="E126" s="242">
        <v>0</v>
      </c>
      <c r="F126" s="242">
        <v>0</v>
      </c>
      <c r="G126" s="242">
        <v>0</v>
      </c>
      <c r="H126" s="242">
        <v>197.80499999999978</v>
      </c>
      <c r="I126" s="242">
        <v>0</v>
      </c>
      <c r="J126" s="242">
        <v>0</v>
      </c>
      <c r="K126" s="242">
        <v>0</v>
      </c>
      <c r="L126" s="242">
        <v>581.11500000000001</v>
      </c>
      <c r="M126" s="242">
        <v>0</v>
      </c>
      <c r="N126" s="242">
        <v>1894.0673076923074</v>
      </c>
      <c r="O126" s="242">
        <v>0</v>
      </c>
      <c r="P126" s="242">
        <v>276.77163461538345</v>
      </c>
      <c r="Q126" s="242">
        <v>0</v>
      </c>
      <c r="R126" s="242">
        <v>0</v>
      </c>
      <c r="S126" s="242">
        <v>0</v>
      </c>
      <c r="T126" s="242">
        <v>38.382500000000434</v>
      </c>
      <c r="U126" s="242">
        <v>0</v>
      </c>
      <c r="V126" s="242">
        <v>318.82692307692287</v>
      </c>
      <c r="W126" s="242">
        <v>0</v>
      </c>
      <c r="X126" s="242">
        <v>544.65509259259261</v>
      </c>
      <c r="Y126" s="242">
        <v>0</v>
      </c>
      <c r="Z126" s="242">
        <v>56.317708333333492</v>
      </c>
      <c r="AA126" s="242">
        <v>0</v>
      </c>
      <c r="AB126" s="242">
        <v>0</v>
      </c>
      <c r="AC126" s="242">
        <v>0</v>
      </c>
      <c r="AD126" s="242">
        <v>0</v>
      </c>
      <c r="AE126" s="242">
        <v>0</v>
      </c>
      <c r="AF126" s="242">
        <v>164.49249999999881</v>
      </c>
      <c r="AG126" s="242">
        <v>0</v>
      </c>
      <c r="AH126" s="242">
        <v>0</v>
      </c>
      <c r="AI126" s="242">
        <v>0</v>
      </c>
      <c r="AJ126" s="242">
        <v>545.40104166666708</v>
      </c>
      <c r="AK126" s="242">
        <v>0</v>
      </c>
      <c r="AL126" s="242">
        <v>1868.9326923076926</v>
      </c>
      <c r="AM126" s="242">
        <v>0</v>
      </c>
      <c r="AN126" s="242">
        <v>252.99038461538359</v>
      </c>
      <c r="AO126" s="242">
        <v>0</v>
      </c>
      <c r="AP126" s="242">
        <v>0</v>
      </c>
      <c r="AQ126" s="242">
        <v>0</v>
      </c>
      <c r="AR126" s="242">
        <v>52.504999999999583</v>
      </c>
      <c r="AS126" s="242">
        <v>0</v>
      </c>
      <c r="AT126" s="242">
        <v>331.87019230769266</v>
      </c>
      <c r="AU126" s="242">
        <v>0</v>
      </c>
      <c r="AV126" s="242">
        <v>555.35817307692241</v>
      </c>
      <c r="AW126" s="242">
        <v>0</v>
      </c>
      <c r="AX126" s="242">
        <v>74.235000000000056</v>
      </c>
      <c r="AY126" s="242">
        <v>0</v>
      </c>
    </row>
    <row r="127" spans="2:51">
      <c r="B127" s="211">
        <v>10442</v>
      </c>
      <c r="C127" s="211" t="s">
        <v>130</v>
      </c>
      <c r="D127" s="242">
        <v>2790.4471153846162</v>
      </c>
      <c r="E127" s="242">
        <v>0</v>
      </c>
      <c r="F127" s="242">
        <v>2993.6050000000023</v>
      </c>
      <c r="G127" s="242">
        <v>0</v>
      </c>
      <c r="H127" s="242">
        <v>4039.8225000000007</v>
      </c>
      <c r="I127" s="242">
        <v>0</v>
      </c>
      <c r="J127" s="242">
        <v>3606.0552884615377</v>
      </c>
      <c r="K127" s="242">
        <v>0</v>
      </c>
      <c r="L127" s="242">
        <v>3862.7249999999976</v>
      </c>
      <c r="M127" s="242">
        <v>0</v>
      </c>
      <c r="N127" s="242">
        <v>3504.7884615384605</v>
      </c>
      <c r="O127" s="242">
        <v>0</v>
      </c>
      <c r="P127" s="242">
        <v>1394.0264423076947</v>
      </c>
      <c r="Q127" s="242">
        <v>0</v>
      </c>
      <c r="R127" s="242">
        <v>1469.9423076923056</v>
      </c>
      <c r="S127" s="242">
        <v>0</v>
      </c>
      <c r="T127" s="242">
        <v>3296.2950000000005</v>
      </c>
      <c r="U127" s="242">
        <v>0</v>
      </c>
      <c r="V127" s="242">
        <v>2308.7812499999995</v>
      </c>
      <c r="W127" s="242">
        <v>0</v>
      </c>
      <c r="X127" s="242">
        <v>2892.497685185187</v>
      </c>
      <c r="Y127" s="242">
        <v>0</v>
      </c>
      <c r="Z127" s="242">
        <v>2597.3359375</v>
      </c>
      <c r="AA127" s="242">
        <v>0</v>
      </c>
      <c r="AB127" s="242">
        <v>2803.2893518518504</v>
      </c>
      <c r="AC127" s="242">
        <v>0</v>
      </c>
      <c r="AD127" s="242">
        <v>3028.5175000000013</v>
      </c>
      <c r="AE127" s="242">
        <v>0</v>
      </c>
      <c r="AF127" s="242">
        <v>4018.2149999999988</v>
      </c>
      <c r="AG127" s="242">
        <v>0</v>
      </c>
      <c r="AH127" s="242">
        <v>3587.6658653846157</v>
      </c>
      <c r="AI127" s="242">
        <v>0</v>
      </c>
      <c r="AJ127" s="242">
        <v>4751.6874999999991</v>
      </c>
      <c r="AK127" s="242">
        <v>0</v>
      </c>
      <c r="AL127" s="242">
        <v>3524.2115384615395</v>
      </c>
      <c r="AM127" s="242">
        <v>0</v>
      </c>
      <c r="AN127" s="242">
        <v>1417.5673076923072</v>
      </c>
      <c r="AO127" s="242">
        <v>0</v>
      </c>
      <c r="AP127" s="242">
        <v>1485.8629807692307</v>
      </c>
      <c r="AQ127" s="242">
        <v>0</v>
      </c>
      <c r="AR127" s="242">
        <v>3310.4499999999994</v>
      </c>
      <c r="AS127" s="242">
        <v>0</v>
      </c>
      <c r="AT127" s="242">
        <v>2325.7692307692309</v>
      </c>
      <c r="AU127" s="242">
        <v>0</v>
      </c>
      <c r="AV127" s="242">
        <v>2946.1129807692319</v>
      </c>
      <c r="AW127" s="242">
        <v>0</v>
      </c>
      <c r="AX127" s="242">
        <v>2581.1550000000002</v>
      </c>
      <c r="AY127" s="242">
        <v>0</v>
      </c>
    </row>
    <row r="128" spans="2:51">
      <c r="B128" s="211">
        <v>10446</v>
      </c>
      <c r="C128" s="211" t="s">
        <v>131</v>
      </c>
      <c r="D128" s="242">
        <v>3411.0552884615427</v>
      </c>
      <c r="E128" s="242">
        <v>0</v>
      </c>
      <c r="F128" s="242">
        <v>4419.6549999999988</v>
      </c>
      <c r="G128" s="242">
        <v>0</v>
      </c>
      <c r="H128" s="242">
        <v>7704.7075000000041</v>
      </c>
      <c r="I128" s="242">
        <v>0</v>
      </c>
      <c r="J128" s="242">
        <v>9457.0216346154011</v>
      </c>
      <c r="K128" s="242">
        <v>0</v>
      </c>
      <c r="L128" s="242">
        <v>8925.8375000000178</v>
      </c>
      <c r="M128" s="242">
        <v>0</v>
      </c>
      <c r="N128" s="242">
        <v>12073.103365384613</v>
      </c>
      <c r="O128" s="242">
        <v>0</v>
      </c>
      <c r="P128" s="242">
        <v>8529.2451923076896</v>
      </c>
      <c r="Q128" s="242">
        <v>0</v>
      </c>
      <c r="R128" s="242">
        <v>0</v>
      </c>
      <c r="S128" s="242">
        <v>0</v>
      </c>
      <c r="T128" s="242">
        <v>952.33500000000242</v>
      </c>
      <c r="U128" s="242">
        <v>0</v>
      </c>
      <c r="V128" s="242">
        <v>16455.055288461535</v>
      </c>
      <c r="W128" s="242">
        <v>0</v>
      </c>
      <c r="X128" s="242">
        <v>8404.6018518518358</v>
      </c>
      <c r="Y128" s="242">
        <v>0</v>
      </c>
      <c r="Z128" s="242">
        <v>3072.6640624999932</v>
      </c>
      <c r="AA128" s="242">
        <v>0</v>
      </c>
      <c r="AB128" s="242">
        <v>3968.4120370370292</v>
      </c>
      <c r="AC128" s="242">
        <v>0</v>
      </c>
      <c r="AD128" s="242">
        <v>4682.862499999992</v>
      </c>
      <c r="AE128" s="242">
        <v>0</v>
      </c>
      <c r="AF128" s="242">
        <v>7819.8900000000067</v>
      </c>
      <c r="AG128" s="242">
        <v>0</v>
      </c>
      <c r="AH128" s="242">
        <v>10678.841346153846</v>
      </c>
      <c r="AI128" s="242">
        <v>0</v>
      </c>
      <c r="AJ128" s="242">
        <v>8952.3411458333339</v>
      </c>
      <c r="AK128" s="242">
        <v>0</v>
      </c>
      <c r="AL128" s="242">
        <v>10940.769230769236</v>
      </c>
      <c r="AM128" s="242">
        <v>0</v>
      </c>
      <c r="AN128" s="242">
        <v>7509.3173076923185</v>
      </c>
      <c r="AO128" s="242">
        <v>0</v>
      </c>
      <c r="AP128" s="242">
        <v>0</v>
      </c>
      <c r="AQ128" s="242">
        <v>0</v>
      </c>
      <c r="AR128" s="242">
        <v>2175.6650000000068</v>
      </c>
      <c r="AS128" s="242">
        <v>0</v>
      </c>
      <c r="AT128" s="242">
        <v>16692.692307692298</v>
      </c>
      <c r="AU128" s="242">
        <v>0</v>
      </c>
      <c r="AV128" s="242">
        <v>8306.8485576923049</v>
      </c>
      <c r="AW128" s="242">
        <v>0</v>
      </c>
      <c r="AX128" s="242">
        <v>2417.1199999999944</v>
      </c>
      <c r="AY128" s="242">
        <v>0</v>
      </c>
    </row>
    <row r="129" spans="2:51">
      <c r="B129" s="211">
        <v>10448</v>
      </c>
      <c r="C129" s="211" t="s">
        <v>132</v>
      </c>
      <c r="D129" s="242">
        <v>0</v>
      </c>
      <c r="E129" s="242">
        <v>0</v>
      </c>
      <c r="F129" s="242">
        <v>0</v>
      </c>
      <c r="G129" s="242">
        <v>0</v>
      </c>
      <c r="H129" s="242">
        <v>0</v>
      </c>
      <c r="I129" s="242">
        <v>0</v>
      </c>
      <c r="J129" s="242">
        <v>0</v>
      </c>
      <c r="K129" s="242">
        <v>0</v>
      </c>
      <c r="L129" s="242">
        <v>0</v>
      </c>
      <c r="M129" s="242">
        <v>0</v>
      </c>
      <c r="N129" s="242">
        <v>0</v>
      </c>
      <c r="O129" s="242">
        <v>0</v>
      </c>
      <c r="P129" s="242">
        <v>0</v>
      </c>
      <c r="Q129" s="242">
        <v>0</v>
      </c>
      <c r="R129" s="242">
        <v>0</v>
      </c>
      <c r="S129" s="242">
        <v>0</v>
      </c>
      <c r="T129" s="242">
        <v>0</v>
      </c>
      <c r="U129" s="242">
        <v>0</v>
      </c>
      <c r="V129" s="242">
        <v>0</v>
      </c>
      <c r="W129" s="242">
        <v>0</v>
      </c>
      <c r="X129" s="242">
        <v>0</v>
      </c>
      <c r="Y129" s="242">
        <v>0</v>
      </c>
      <c r="Z129" s="242">
        <v>0</v>
      </c>
      <c r="AA129" s="242">
        <v>0</v>
      </c>
      <c r="AB129" s="242">
        <v>0</v>
      </c>
      <c r="AC129" s="242">
        <v>0</v>
      </c>
      <c r="AD129" s="242">
        <v>0</v>
      </c>
      <c r="AE129" s="242">
        <v>0</v>
      </c>
      <c r="AF129" s="242">
        <v>0</v>
      </c>
      <c r="AG129" s="242">
        <v>0</v>
      </c>
      <c r="AH129" s="242">
        <v>0</v>
      </c>
      <c r="AI129" s="242">
        <v>0</v>
      </c>
      <c r="AJ129" s="242">
        <v>0</v>
      </c>
      <c r="AK129" s="242">
        <v>0</v>
      </c>
      <c r="AL129" s="242">
        <v>0</v>
      </c>
      <c r="AM129" s="242">
        <v>0</v>
      </c>
      <c r="AN129" s="242">
        <v>0</v>
      </c>
      <c r="AO129" s="242">
        <v>0</v>
      </c>
      <c r="AP129" s="242">
        <v>0</v>
      </c>
      <c r="AQ129" s="242">
        <v>0</v>
      </c>
      <c r="AR129" s="242">
        <v>0</v>
      </c>
      <c r="AS129" s="242">
        <v>0</v>
      </c>
      <c r="AT129" s="242">
        <v>0</v>
      </c>
      <c r="AU129" s="242">
        <v>0</v>
      </c>
      <c r="AV129" s="242">
        <v>0</v>
      </c>
      <c r="AW129" s="242">
        <v>0</v>
      </c>
      <c r="AX129" s="242">
        <v>0</v>
      </c>
      <c r="AY129" s="242">
        <v>0</v>
      </c>
    </row>
    <row r="130" spans="2:51">
      <c r="B130" s="211">
        <v>10451</v>
      </c>
      <c r="C130" s="211" t="s">
        <v>133</v>
      </c>
      <c r="D130" s="242">
        <v>2978.2884615384619</v>
      </c>
      <c r="E130" s="242">
        <v>0</v>
      </c>
      <c r="F130" s="242">
        <v>3089.3799999999983</v>
      </c>
      <c r="G130" s="242">
        <v>0</v>
      </c>
      <c r="H130" s="242">
        <v>3271.2850000000026</v>
      </c>
      <c r="I130" s="242">
        <v>0</v>
      </c>
      <c r="J130" s="242">
        <v>2720.3221153846189</v>
      </c>
      <c r="K130" s="242">
        <v>0</v>
      </c>
      <c r="L130" s="242">
        <v>0</v>
      </c>
      <c r="M130" s="242">
        <v>0</v>
      </c>
      <c r="N130" s="242">
        <v>0</v>
      </c>
      <c r="O130" s="242">
        <v>0</v>
      </c>
      <c r="P130" s="242">
        <v>2805.045673076922</v>
      </c>
      <c r="Q130" s="242">
        <v>0</v>
      </c>
      <c r="R130" s="242">
        <v>2692.302884615387</v>
      </c>
      <c r="S130" s="242">
        <v>0</v>
      </c>
      <c r="T130" s="242">
        <v>3311.605</v>
      </c>
      <c r="U130" s="242">
        <v>0</v>
      </c>
      <c r="V130" s="242">
        <v>9732.3341346153848</v>
      </c>
      <c r="W130" s="242">
        <v>0</v>
      </c>
      <c r="X130" s="242">
        <v>2795.9976851851884</v>
      </c>
      <c r="Y130" s="242">
        <v>0</v>
      </c>
      <c r="Z130" s="242">
        <v>3569.4765625</v>
      </c>
      <c r="AA130" s="242">
        <v>0</v>
      </c>
      <c r="AB130" s="242">
        <v>2951.8171296296282</v>
      </c>
      <c r="AC130" s="242">
        <v>0</v>
      </c>
      <c r="AD130" s="242">
        <v>3089.3799999999983</v>
      </c>
      <c r="AE130" s="242">
        <v>0</v>
      </c>
      <c r="AF130" s="242">
        <v>3271.2850000000026</v>
      </c>
      <c r="AG130" s="242">
        <v>0</v>
      </c>
      <c r="AH130" s="242">
        <v>2720.3221153846189</v>
      </c>
      <c r="AI130" s="242">
        <v>0</v>
      </c>
      <c r="AJ130" s="242">
        <v>0</v>
      </c>
      <c r="AK130" s="242">
        <v>0</v>
      </c>
      <c r="AL130" s="242">
        <v>0</v>
      </c>
      <c r="AM130" s="242">
        <v>0</v>
      </c>
      <c r="AN130" s="242">
        <v>2805.045673076922</v>
      </c>
      <c r="AO130" s="242">
        <v>0</v>
      </c>
      <c r="AP130" s="242">
        <v>2692.302884615387</v>
      </c>
      <c r="AQ130" s="242">
        <v>0</v>
      </c>
      <c r="AR130" s="242">
        <v>3311.605</v>
      </c>
      <c r="AS130" s="242">
        <v>0</v>
      </c>
      <c r="AT130" s="242">
        <v>3040.1322115384596</v>
      </c>
      <c r="AU130" s="242">
        <v>0</v>
      </c>
      <c r="AV130" s="242">
        <v>2820.5985576923104</v>
      </c>
      <c r="AW130" s="242">
        <v>0</v>
      </c>
      <c r="AX130" s="242">
        <v>3539.5999999999967</v>
      </c>
      <c r="AY130" s="242">
        <v>0</v>
      </c>
    </row>
    <row r="131" spans="2:51">
      <c r="B131" s="211">
        <v>10482</v>
      </c>
      <c r="C131" s="211" t="s">
        <v>134</v>
      </c>
      <c r="D131" s="242">
        <v>145.45673076923072</v>
      </c>
      <c r="E131" s="242">
        <v>0</v>
      </c>
      <c r="F131" s="242">
        <v>273.67250000000053</v>
      </c>
      <c r="G131" s="242">
        <v>0</v>
      </c>
      <c r="H131" s="242">
        <v>314.2799999999998</v>
      </c>
      <c r="I131" s="242">
        <v>0</v>
      </c>
      <c r="J131" s="242">
        <v>305.4807692307694</v>
      </c>
      <c r="K131" s="242">
        <v>0</v>
      </c>
      <c r="L131" s="242">
        <v>199.1400000000001</v>
      </c>
      <c r="M131" s="242">
        <v>0</v>
      </c>
      <c r="N131" s="242">
        <v>201.77644230769243</v>
      </c>
      <c r="O131" s="242">
        <v>0</v>
      </c>
      <c r="P131" s="242">
        <v>178.9663461538461</v>
      </c>
      <c r="Q131" s="242">
        <v>0</v>
      </c>
      <c r="R131" s="242">
        <v>242.32451923076914</v>
      </c>
      <c r="S131" s="242">
        <v>0</v>
      </c>
      <c r="T131" s="242">
        <v>465.71000000000021</v>
      </c>
      <c r="U131" s="242">
        <v>0</v>
      </c>
      <c r="V131" s="242">
        <v>314.13461538461547</v>
      </c>
      <c r="W131" s="242">
        <v>0</v>
      </c>
      <c r="X131" s="242">
        <v>579.78935185185208</v>
      </c>
      <c r="Y131" s="242">
        <v>0</v>
      </c>
      <c r="Z131" s="242">
        <v>321.90885416666725</v>
      </c>
      <c r="AA131" s="242">
        <v>0</v>
      </c>
      <c r="AB131" s="242">
        <v>90.145833333333144</v>
      </c>
      <c r="AC131" s="242">
        <v>0</v>
      </c>
      <c r="AD131" s="242">
        <v>232.1299999999998</v>
      </c>
      <c r="AE131" s="242">
        <v>0</v>
      </c>
      <c r="AF131" s="242">
        <v>263.19249999999982</v>
      </c>
      <c r="AG131" s="242">
        <v>0</v>
      </c>
      <c r="AH131" s="242">
        <v>274.80769230769243</v>
      </c>
      <c r="AI131" s="242">
        <v>0</v>
      </c>
      <c r="AJ131" s="242">
        <v>125.94531249999963</v>
      </c>
      <c r="AK131" s="242">
        <v>0</v>
      </c>
      <c r="AL131" s="242">
        <v>169.60336538461542</v>
      </c>
      <c r="AM131" s="242">
        <v>0</v>
      </c>
      <c r="AN131" s="242">
        <v>150.06730769230771</v>
      </c>
      <c r="AO131" s="242">
        <v>0</v>
      </c>
      <c r="AP131" s="242">
        <v>217.96394230769212</v>
      </c>
      <c r="AQ131" s="242">
        <v>0</v>
      </c>
      <c r="AR131" s="242">
        <v>442.67250000000018</v>
      </c>
      <c r="AS131" s="242">
        <v>0</v>
      </c>
      <c r="AT131" s="242">
        <v>295.51201923076906</v>
      </c>
      <c r="AU131" s="242">
        <v>0</v>
      </c>
      <c r="AV131" s="242">
        <v>572.65144230769238</v>
      </c>
      <c r="AW131" s="242">
        <v>0</v>
      </c>
      <c r="AX131" s="242">
        <v>299.69</v>
      </c>
      <c r="AY131" s="242">
        <v>0</v>
      </c>
    </row>
    <row r="132" spans="2:51">
      <c r="B132" s="211">
        <v>10502</v>
      </c>
      <c r="C132" s="211" t="s">
        <v>135</v>
      </c>
      <c r="D132" s="242">
        <v>2566.9062500000005</v>
      </c>
      <c r="E132" s="242">
        <v>0</v>
      </c>
      <c r="F132" s="242">
        <v>3293.4475000000025</v>
      </c>
      <c r="G132" s="242">
        <v>0</v>
      </c>
      <c r="H132" s="242">
        <v>852.76999999999953</v>
      </c>
      <c r="I132" s="242">
        <v>0</v>
      </c>
      <c r="J132" s="242">
        <v>2313.4350961538453</v>
      </c>
      <c r="K132" s="242">
        <v>0</v>
      </c>
      <c r="L132" s="242">
        <v>1708.492499999998</v>
      </c>
      <c r="M132" s="242">
        <v>0</v>
      </c>
      <c r="N132" s="242">
        <v>1465.9687499999995</v>
      </c>
      <c r="O132" s="242">
        <v>0</v>
      </c>
      <c r="P132" s="242">
        <v>3847.3052884615404</v>
      </c>
      <c r="Q132" s="242">
        <v>0</v>
      </c>
      <c r="R132" s="242">
        <v>3485.692307692309</v>
      </c>
      <c r="S132" s="242">
        <v>0</v>
      </c>
      <c r="T132" s="242">
        <v>3542.5474999999992</v>
      </c>
      <c r="U132" s="242">
        <v>0</v>
      </c>
      <c r="V132" s="242">
        <v>2693.5216346153857</v>
      </c>
      <c r="W132" s="242">
        <v>0</v>
      </c>
      <c r="X132" s="242">
        <v>694.87268518518249</v>
      </c>
      <c r="Y132" s="242">
        <v>0</v>
      </c>
      <c r="Z132" s="242">
        <v>4331.5182291666706</v>
      </c>
      <c r="AA132" s="242">
        <v>0</v>
      </c>
      <c r="AB132" s="242">
        <v>3641.1134259259265</v>
      </c>
      <c r="AC132" s="242">
        <v>0</v>
      </c>
      <c r="AD132" s="242">
        <v>3310.1275000000014</v>
      </c>
      <c r="AE132" s="242">
        <v>0</v>
      </c>
      <c r="AF132" s="242">
        <v>863.07249999999772</v>
      </c>
      <c r="AG132" s="242">
        <v>0</v>
      </c>
      <c r="AH132" s="242">
        <v>2329.6009615384583</v>
      </c>
      <c r="AI132" s="242">
        <v>0</v>
      </c>
      <c r="AJ132" s="242">
        <v>1581.2395833333314</v>
      </c>
      <c r="AK132" s="242">
        <v>0</v>
      </c>
      <c r="AL132" s="242">
        <v>1480.0120192307679</v>
      </c>
      <c r="AM132" s="242">
        <v>0</v>
      </c>
      <c r="AN132" s="242">
        <v>3865.2980769230794</v>
      </c>
      <c r="AO132" s="242">
        <v>0</v>
      </c>
      <c r="AP132" s="242">
        <v>3502.5168269230758</v>
      </c>
      <c r="AQ132" s="242">
        <v>0</v>
      </c>
      <c r="AR132" s="242">
        <v>3560.485000000001</v>
      </c>
      <c r="AS132" s="242">
        <v>0</v>
      </c>
      <c r="AT132" s="242">
        <v>2705.6057692307709</v>
      </c>
      <c r="AU132" s="242">
        <v>0</v>
      </c>
      <c r="AV132" s="242">
        <v>0</v>
      </c>
      <c r="AW132" s="242">
        <v>0</v>
      </c>
      <c r="AX132" s="242">
        <v>5286.8224999999975</v>
      </c>
      <c r="AY132" s="242">
        <v>0</v>
      </c>
    </row>
    <row r="133" spans="2:51">
      <c r="B133" s="211">
        <v>13927</v>
      </c>
      <c r="C133" s="211" t="s">
        <v>238</v>
      </c>
      <c r="D133" s="242">
        <v>0</v>
      </c>
      <c r="E133" s="242">
        <v>0</v>
      </c>
      <c r="F133" s="242">
        <v>0</v>
      </c>
      <c r="G133" s="242">
        <v>0</v>
      </c>
      <c r="H133" s="242">
        <v>0</v>
      </c>
      <c r="I133" s="242">
        <v>0</v>
      </c>
      <c r="J133" s="242">
        <v>0</v>
      </c>
      <c r="K133" s="242">
        <v>0</v>
      </c>
      <c r="L133" s="242">
        <v>0</v>
      </c>
      <c r="M133" s="242">
        <v>0</v>
      </c>
      <c r="N133" s="242">
        <v>0</v>
      </c>
      <c r="O133" s="242">
        <v>0</v>
      </c>
      <c r="P133" s="242">
        <v>0</v>
      </c>
      <c r="Q133" s="242">
        <v>0</v>
      </c>
      <c r="R133" s="242">
        <v>0</v>
      </c>
      <c r="S133" s="242">
        <v>0</v>
      </c>
      <c r="T133" s="242">
        <v>0</v>
      </c>
      <c r="U133" s="242">
        <v>0</v>
      </c>
      <c r="V133" s="242">
        <v>206.11057692307634</v>
      </c>
      <c r="W133" s="242">
        <v>0</v>
      </c>
      <c r="X133" s="242">
        <v>733.64814814814804</v>
      </c>
      <c r="Y133" s="242">
        <v>0</v>
      </c>
      <c r="Z133" s="242">
        <v>0</v>
      </c>
      <c r="AA133" s="242">
        <v>0</v>
      </c>
      <c r="AB133" s="242">
        <v>0</v>
      </c>
      <c r="AC133" s="242">
        <v>0</v>
      </c>
      <c r="AD133" s="242">
        <v>0</v>
      </c>
      <c r="AE133" s="242">
        <v>0</v>
      </c>
      <c r="AF133" s="242">
        <v>0</v>
      </c>
      <c r="AG133" s="242">
        <v>0</v>
      </c>
      <c r="AH133" s="242">
        <v>0</v>
      </c>
      <c r="AI133" s="242">
        <v>0</v>
      </c>
      <c r="AJ133" s="242">
        <v>0</v>
      </c>
      <c r="AK133" s="242">
        <v>0</v>
      </c>
      <c r="AL133" s="242">
        <v>0</v>
      </c>
      <c r="AM133" s="242">
        <v>0</v>
      </c>
      <c r="AN133" s="242">
        <v>0</v>
      </c>
      <c r="AO133" s="242">
        <v>0</v>
      </c>
      <c r="AP133" s="242">
        <v>76.680288461538183</v>
      </c>
      <c r="AQ133" s="242">
        <v>0</v>
      </c>
      <c r="AR133" s="242">
        <v>0</v>
      </c>
      <c r="AS133" s="242">
        <v>0</v>
      </c>
      <c r="AT133" s="242">
        <v>351.83173076923077</v>
      </c>
      <c r="AU133" s="242">
        <v>0</v>
      </c>
      <c r="AV133" s="242">
        <v>687.62980769230751</v>
      </c>
      <c r="AW133" s="242">
        <v>0</v>
      </c>
      <c r="AX133" s="242">
        <v>142.34250000000014</v>
      </c>
      <c r="AY133" s="242">
        <v>0</v>
      </c>
    </row>
    <row r="134" spans="2:51">
      <c r="B134" s="211">
        <v>10597</v>
      </c>
      <c r="C134" s="211" t="s">
        <v>136</v>
      </c>
      <c r="D134" s="242">
        <v>1774.9182692307716</v>
      </c>
      <c r="E134" s="242">
        <v>0</v>
      </c>
      <c r="F134" s="242">
        <v>1172.5199999999991</v>
      </c>
      <c r="G134" s="242">
        <v>0</v>
      </c>
      <c r="H134" s="242">
        <v>2088.5625000000027</v>
      </c>
      <c r="I134" s="242">
        <v>0</v>
      </c>
      <c r="J134" s="242">
        <v>1872.572115384615</v>
      </c>
      <c r="K134" s="242">
        <v>0</v>
      </c>
      <c r="L134" s="242">
        <v>1198.5399999999995</v>
      </c>
      <c r="M134" s="242">
        <v>0</v>
      </c>
      <c r="N134" s="242">
        <v>1770.8245192307695</v>
      </c>
      <c r="O134" s="242">
        <v>0</v>
      </c>
      <c r="P134" s="242">
        <v>1630.6658653846157</v>
      </c>
      <c r="Q134" s="242">
        <v>0</v>
      </c>
      <c r="R134" s="242">
        <v>1223.6754807692298</v>
      </c>
      <c r="S134" s="242">
        <v>0</v>
      </c>
      <c r="T134" s="242">
        <v>1746.1475000000003</v>
      </c>
      <c r="U134" s="242">
        <v>0</v>
      </c>
      <c r="V134" s="242">
        <v>3141.7019230769229</v>
      </c>
      <c r="W134" s="242">
        <v>0</v>
      </c>
      <c r="X134" s="242">
        <v>2294.6226851851829</v>
      </c>
      <c r="Y134" s="242">
        <v>0</v>
      </c>
      <c r="Z134" s="242">
        <v>1181.8255208333346</v>
      </c>
      <c r="AA134" s="242">
        <v>0</v>
      </c>
      <c r="AB134" s="242">
        <v>2212.655092592594</v>
      </c>
      <c r="AC134" s="242">
        <v>0</v>
      </c>
      <c r="AD134" s="242">
        <v>1166.8325000000004</v>
      </c>
      <c r="AE134" s="242">
        <v>0</v>
      </c>
      <c r="AF134" s="242">
        <v>2077.5550000000012</v>
      </c>
      <c r="AG134" s="242">
        <v>0</v>
      </c>
      <c r="AH134" s="242">
        <v>1861.7259615384626</v>
      </c>
      <c r="AI134" s="242">
        <v>0</v>
      </c>
      <c r="AJ134" s="242">
        <v>1022.096354166667</v>
      </c>
      <c r="AK134" s="242">
        <v>0</v>
      </c>
      <c r="AL134" s="242">
        <v>1768.9735576923072</v>
      </c>
      <c r="AM134" s="242">
        <v>0</v>
      </c>
      <c r="AN134" s="242">
        <v>1630.9495192307695</v>
      </c>
      <c r="AO134" s="242">
        <v>0</v>
      </c>
      <c r="AP134" s="242">
        <v>1225.3990384615365</v>
      </c>
      <c r="AQ134" s="242">
        <v>0</v>
      </c>
      <c r="AR134" s="242">
        <v>1747.9649999999997</v>
      </c>
      <c r="AS134" s="242">
        <v>0</v>
      </c>
      <c r="AT134" s="242">
        <v>3143.1418269230739</v>
      </c>
      <c r="AU134" s="242">
        <v>0</v>
      </c>
      <c r="AV134" s="242">
        <v>1712.4495192307672</v>
      </c>
      <c r="AW134" s="242">
        <v>0</v>
      </c>
      <c r="AX134" s="242">
        <v>1700.8875000000012</v>
      </c>
      <c r="AY134" s="242">
        <v>0</v>
      </c>
    </row>
    <row r="135" spans="2:51">
      <c r="B135" s="211">
        <v>10706</v>
      </c>
      <c r="C135" s="211" t="s">
        <v>137</v>
      </c>
      <c r="D135" s="242">
        <v>1371.8749999999993</v>
      </c>
      <c r="E135" s="242">
        <v>0</v>
      </c>
      <c r="F135" s="242">
        <v>1980.7699999999998</v>
      </c>
      <c r="G135" s="242">
        <v>0</v>
      </c>
      <c r="H135" s="242">
        <v>1690.2425000000001</v>
      </c>
      <c r="I135" s="242">
        <v>0</v>
      </c>
      <c r="J135" s="242">
        <v>2302.0985576923076</v>
      </c>
      <c r="K135" s="242">
        <v>0</v>
      </c>
      <c r="L135" s="242">
        <v>2062.6774999999993</v>
      </c>
      <c r="M135" s="242">
        <v>0</v>
      </c>
      <c r="N135" s="242">
        <v>1887.3437499999995</v>
      </c>
      <c r="O135" s="242">
        <v>0</v>
      </c>
      <c r="P135" s="242">
        <v>2018.4399038461552</v>
      </c>
      <c r="Q135" s="242">
        <v>0</v>
      </c>
      <c r="R135" s="242">
        <v>1937.4927884615386</v>
      </c>
      <c r="S135" s="242">
        <v>0</v>
      </c>
      <c r="T135" s="242">
        <v>1959.8850000000004</v>
      </c>
      <c r="U135" s="242">
        <v>0</v>
      </c>
      <c r="V135" s="242">
        <v>1946.9879807692294</v>
      </c>
      <c r="W135" s="242">
        <v>0</v>
      </c>
      <c r="X135" s="242">
        <v>3012.9305555555547</v>
      </c>
      <c r="Y135" s="242">
        <v>0</v>
      </c>
      <c r="Z135" s="242">
        <v>1476.3281250000005</v>
      </c>
      <c r="AA135" s="242">
        <v>0</v>
      </c>
      <c r="AB135" s="242">
        <v>1800.7129629629617</v>
      </c>
      <c r="AC135" s="242">
        <v>0</v>
      </c>
      <c r="AD135" s="242">
        <v>1779.3149999999969</v>
      </c>
      <c r="AE135" s="242">
        <v>0</v>
      </c>
      <c r="AF135" s="242">
        <v>1481.1949999999997</v>
      </c>
      <c r="AG135" s="242">
        <v>0</v>
      </c>
      <c r="AH135" s="242">
        <v>2099.4230769230776</v>
      </c>
      <c r="AI135" s="242">
        <v>0</v>
      </c>
      <c r="AJ135" s="242">
        <v>1766.8723958333317</v>
      </c>
      <c r="AK135" s="242">
        <v>0</v>
      </c>
      <c r="AL135" s="242">
        <v>1681.8629807692319</v>
      </c>
      <c r="AM135" s="242">
        <v>0</v>
      </c>
      <c r="AN135" s="242">
        <v>1818.9158653846152</v>
      </c>
      <c r="AO135" s="242">
        <v>0</v>
      </c>
      <c r="AP135" s="242">
        <v>1737.6442307692325</v>
      </c>
      <c r="AQ135" s="242">
        <v>0</v>
      </c>
      <c r="AR135" s="242">
        <v>1959.8850000000004</v>
      </c>
      <c r="AS135" s="242">
        <v>0</v>
      </c>
      <c r="AT135" s="242">
        <v>1946.9879807692294</v>
      </c>
      <c r="AU135" s="242">
        <v>0</v>
      </c>
      <c r="AV135" s="242">
        <v>2305.697115384613</v>
      </c>
      <c r="AW135" s="242">
        <v>0</v>
      </c>
      <c r="AX135" s="242">
        <v>2205.6750000000011</v>
      </c>
      <c r="AY135" s="242">
        <v>0</v>
      </c>
    </row>
    <row r="136" spans="2:51">
      <c r="B136" s="211">
        <v>11680</v>
      </c>
      <c r="C136" s="211" t="s">
        <v>138</v>
      </c>
      <c r="D136" s="242">
        <v>459.98798076923129</v>
      </c>
      <c r="E136" s="242">
        <v>0</v>
      </c>
      <c r="F136" s="242">
        <v>569.94750000000045</v>
      </c>
      <c r="G136" s="242">
        <v>0</v>
      </c>
      <c r="H136" s="242">
        <v>623.07500000000095</v>
      </c>
      <c r="I136" s="242">
        <v>0</v>
      </c>
      <c r="J136" s="242">
        <v>47.209134615386006</v>
      </c>
      <c r="K136" s="242">
        <v>0</v>
      </c>
      <c r="L136" s="242">
        <v>219.42500000000021</v>
      </c>
      <c r="M136" s="242">
        <v>0</v>
      </c>
      <c r="N136" s="242">
        <v>717.58413461538464</v>
      </c>
      <c r="O136" s="242">
        <v>0</v>
      </c>
      <c r="P136" s="242">
        <v>887.0673076923083</v>
      </c>
      <c r="Q136" s="242">
        <v>0</v>
      </c>
      <c r="R136" s="242">
        <v>166.5168269230779</v>
      </c>
      <c r="S136" s="242">
        <v>0</v>
      </c>
      <c r="T136" s="242">
        <v>1379.2724999999994</v>
      </c>
      <c r="U136" s="242">
        <v>0</v>
      </c>
      <c r="V136" s="242">
        <v>974.04086538461559</v>
      </c>
      <c r="W136" s="242">
        <v>0</v>
      </c>
      <c r="X136" s="242">
        <v>275.60648148148204</v>
      </c>
      <c r="Y136" s="242">
        <v>0</v>
      </c>
      <c r="Z136" s="242">
        <v>0</v>
      </c>
      <c r="AA136" s="242">
        <v>0</v>
      </c>
      <c r="AB136" s="242">
        <v>485.51388888888903</v>
      </c>
      <c r="AC136" s="242">
        <v>0</v>
      </c>
      <c r="AD136" s="242">
        <v>572.82999999999879</v>
      </c>
      <c r="AE136" s="242">
        <v>0</v>
      </c>
      <c r="AF136" s="242">
        <v>625.78499999999963</v>
      </c>
      <c r="AG136" s="242">
        <v>0</v>
      </c>
      <c r="AH136" s="242">
        <v>50.33413461538494</v>
      </c>
      <c r="AI136" s="242">
        <v>0</v>
      </c>
      <c r="AJ136" s="242">
        <v>221.02604166666583</v>
      </c>
      <c r="AK136" s="242">
        <v>0</v>
      </c>
      <c r="AL136" s="242">
        <v>721.42067307692287</v>
      </c>
      <c r="AM136" s="242">
        <v>0</v>
      </c>
      <c r="AN136" s="242">
        <v>891.00721153846087</v>
      </c>
      <c r="AO136" s="242">
        <v>0</v>
      </c>
      <c r="AP136" s="242">
        <v>168.73317307692369</v>
      </c>
      <c r="AQ136" s="242">
        <v>0</v>
      </c>
      <c r="AR136" s="242">
        <v>1385.8525000000009</v>
      </c>
      <c r="AS136" s="242">
        <v>0</v>
      </c>
      <c r="AT136" s="242">
        <v>979.07211538461559</v>
      </c>
      <c r="AU136" s="242">
        <v>0</v>
      </c>
      <c r="AV136" s="242">
        <v>246.0240384615382</v>
      </c>
      <c r="AW136" s="242">
        <v>0</v>
      </c>
      <c r="AX136" s="242">
        <v>0</v>
      </c>
      <c r="AY136" s="242">
        <v>0</v>
      </c>
    </row>
    <row r="137" spans="2:51">
      <c r="B137" s="211">
        <v>12026</v>
      </c>
      <c r="C137" s="211" t="s">
        <v>139</v>
      </c>
      <c r="D137" s="242">
        <v>0</v>
      </c>
      <c r="E137" s="242">
        <v>0</v>
      </c>
      <c r="F137" s="242">
        <v>6956.3074999999944</v>
      </c>
      <c r="G137" s="242">
        <v>0</v>
      </c>
      <c r="H137" s="242">
        <v>8874.4424999999901</v>
      </c>
      <c r="I137" s="242">
        <v>0</v>
      </c>
      <c r="J137" s="242">
        <v>14543.567307692299</v>
      </c>
      <c r="K137" s="242">
        <v>0</v>
      </c>
      <c r="L137" s="242">
        <v>8008.3025000000098</v>
      </c>
      <c r="M137" s="242">
        <v>0</v>
      </c>
      <c r="N137" s="242">
        <v>5510.3437500000036</v>
      </c>
      <c r="O137" s="242">
        <v>0</v>
      </c>
      <c r="P137" s="242">
        <v>5365.7475961538448</v>
      </c>
      <c r="Q137" s="242">
        <v>0</v>
      </c>
      <c r="R137" s="242">
        <v>3453.4807692307722</v>
      </c>
      <c r="S137" s="242">
        <v>0</v>
      </c>
      <c r="T137" s="242">
        <v>3737.1849999999977</v>
      </c>
      <c r="U137" s="242">
        <v>0</v>
      </c>
      <c r="V137" s="242">
        <v>2665.9495192307722</v>
      </c>
      <c r="W137" s="242">
        <v>0</v>
      </c>
      <c r="X137" s="242">
        <v>3266.875000000005</v>
      </c>
      <c r="Y137" s="242">
        <v>0</v>
      </c>
      <c r="Z137" s="242">
        <v>5227.6614583333348</v>
      </c>
      <c r="AA137" s="242">
        <v>0</v>
      </c>
      <c r="AB137" s="242">
        <v>0</v>
      </c>
      <c r="AC137" s="242">
        <v>0</v>
      </c>
      <c r="AD137" s="242">
        <v>6968.1575000000039</v>
      </c>
      <c r="AE137" s="242">
        <v>0</v>
      </c>
      <c r="AF137" s="242">
        <v>9103.3875000000007</v>
      </c>
      <c r="AG137" s="242">
        <v>0</v>
      </c>
      <c r="AH137" s="242">
        <v>14734.757211538465</v>
      </c>
      <c r="AI137" s="242">
        <v>0</v>
      </c>
      <c r="AJ137" s="242">
        <v>6356.2291666666688</v>
      </c>
      <c r="AK137" s="242">
        <v>0</v>
      </c>
      <c r="AL137" s="242">
        <v>5519.6730769230699</v>
      </c>
      <c r="AM137" s="242">
        <v>0</v>
      </c>
      <c r="AN137" s="242">
        <v>5352.6346153846162</v>
      </c>
      <c r="AO137" s="242">
        <v>0</v>
      </c>
      <c r="AP137" s="242">
        <v>3392.2379807692309</v>
      </c>
      <c r="AQ137" s="242">
        <v>0</v>
      </c>
      <c r="AR137" s="242">
        <v>3665.2225000000067</v>
      </c>
      <c r="AS137" s="242">
        <v>0</v>
      </c>
      <c r="AT137" s="242">
        <v>2579.1562500000045</v>
      </c>
      <c r="AU137" s="242">
        <v>0</v>
      </c>
      <c r="AV137" s="242">
        <v>3017.2067307692309</v>
      </c>
      <c r="AW137" s="242">
        <v>0</v>
      </c>
      <c r="AX137" s="242">
        <v>5398.2500000000027</v>
      </c>
      <c r="AY137" s="242">
        <v>0</v>
      </c>
    </row>
    <row r="138" spans="2:51" s="72" customFormat="1">
      <c r="B138" s="211">
        <v>10298</v>
      </c>
      <c r="C138" s="211" t="s">
        <v>140</v>
      </c>
      <c r="D138" s="242">
        <v>67958.622115384453</v>
      </c>
      <c r="E138" s="242">
        <v>0</v>
      </c>
      <c r="F138" s="242">
        <v>95745.729999999618</v>
      </c>
      <c r="G138" s="242">
        <v>0</v>
      </c>
      <c r="H138" s="242">
        <v>142887.22999999978</v>
      </c>
      <c r="I138" s="242">
        <v>0</v>
      </c>
      <c r="J138" s="242">
        <v>100746.40961538455</v>
      </c>
      <c r="K138" s="242">
        <v>0</v>
      </c>
      <c r="L138" s="242">
        <v>64178.655000000217</v>
      </c>
      <c r="M138" s="242">
        <v>0</v>
      </c>
      <c r="N138" s="242">
        <v>100260.19519230735</v>
      </c>
      <c r="O138" s="242">
        <v>0</v>
      </c>
      <c r="P138" s="242">
        <v>118399.62980769227</v>
      </c>
      <c r="Q138" s="242">
        <v>0</v>
      </c>
      <c r="R138" s="242">
        <v>125472.49807692303</v>
      </c>
      <c r="S138" s="242">
        <v>0</v>
      </c>
      <c r="T138" s="242">
        <v>94969.584999999905</v>
      </c>
      <c r="U138" s="242">
        <v>0</v>
      </c>
      <c r="V138" s="242">
        <v>132261.09471153843</v>
      </c>
      <c r="W138" s="242">
        <v>0</v>
      </c>
      <c r="X138" s="242">
        <v>132095.88518518492</v>
      </c>
      <c r="Y138" s="242">
        <v>0</v>
      </c>
      <c r="Z138" s="242">
        <v>89905.183854166506</v>
      </c>
      <c r="AA138" s="242">
        <v>0</v>
      </c>
      <c r="AB138" s="242">
        <v>78329.016203703708</v>
      </c>
      <c r="AC138" s="242">
        <v>0</v>
      </c>
      <c r="AD138" s="242">
        <v>97644.212499999834</v>
      </c>
      <c r="AE138" s="242">
        <v>0</v>
      </c>
      <c r="AF138" s="242">
        <v>144383.14999999985</v>
      </c>
      <c r="AG138" s="242">
        <v>0</v>
      </c>
      <c r="AH138" s="242">
        <v>102281.16298076941</v>
      </c>
      <c r="AI138" s="242">
        <v>0</v>
      </c>
      <c r="AJ138" s="242">
        <v>48633.511458333203</v>
      </c>
      <c r="AK138" s="242">
        <v>0</v>
      </c>
      <c r="AL138" s="242">
        <v>101660.57932692305</v>
      </c>
      <c r="AM138" s="242">
        <v>0</v>
      </c>
      <c r="AN138" s="242">
        <v>120038.1610576923</v>
      </c>
      <c r="AO138" s="242">
        <v>0</v>
      </c>
      <c r="AP138" s="242">
        <v>127131.45192307666</v>
      </c>
      <c r="AQ138" s="242">
        <v>0</v>
      </c>
      <c r="AR138" s="242">
        <v>96021.304999999949</v>
      </c>
      <c r="AS138" s="242">
        <v>0</v>
      </c>
      <c r="AT138" s="242">
        <v>133864.70769230759</v>
      </c>
      <c r="AU138" s="242">
        <v>0</v>
      </c>
      <c r="AV138" s="242">
        <v>121629.01778846154</v>
      </c>
      <c r="AW138" s="242">
        <v>0</v>
      </c>
      <c r="AX138" s="242">
        <v>102300.58999999998</v>
      </c>
      <c r="AY138" s="242">
        <v>0</v>
      </c>
    </row>
    <row r="140" spans="2:51">
      <c r="B140" s="24"/>
      <c r="C140" s="25"/>
      <c r="D140" s="26"/>
      <c r="E140" s="27"/>
      <c r="F140" s="26"/>
      <c r="G140" s="27"/>
      <c r="H140" s="26"/>
      <c r="I140" s="27"/>
      <c r="J140" s="26"/>
      <c r="K140" s="27"/>
      <c r="L140" s="26"/>
      <c r="M140" s="27"/>
      <c r="N140" s="26"/>
      <c r="O140" s="27"/>
      <c r="P140" s="26"/>
      <c r="Q140" s="27"/>
      <c r="R140" s="26"/>
      <c r="S140" s="27"/>
      <c r="T140" s="26"/>
      <c r="U140" s="27"/>
      <c r="V140" s="26"/>
      <c r="W140" s="27"/>
      <c r="X140" s="26"/>
      <c r="Y140" s="27"/>
      <c r="Z140" s="26"/>
      <c r="AA140" s="27"/>
      <c r="AB140" s="26"/>
      <c r="AC140" s="27"/>
      <c r="AD140" s="26"/>
      <c r="AE140" s="27"/>
      <c r="AF140" s="26"/>
      <c r="AG140" s="27"/>
      <c r="AH140" s="26"/>
      <c r="AI140" s="27"/>
      <c r="AJ140" s="26"/>
      <c r="AK140" s="27"/>
      <c r="AL140" s="26"/>
      <c r="AM140" s="27"/>
      <c r="AN140" s="26"/>
      <c r="AO140" s="27"/>
      <c r="AP140" s="26"/>
      <c r="AQ140" s="27"/>
      <c r="AR140" s="26"/>
      <c r="AS140" s="27"/>
      <c r="AT140" s="26"/>
      <c r="AU140" s="27"/>
      <c r="AV140" s="26"/>
      <c r="AW140" s="27"/>
      <c r="AX140" s="26"/>
      <c r="AY140" s="27"/>
    </row>
    <row r="141" spans="2:51">
      <c r="B141" s="24"/>
      <c r="C141" s="25"/>
      <c r="D141" s="26"/>
      <c r="E141" s="27"/>
      <c r="F141" s="26"/>
      <c r="G141" s="27"/>
      <c r="H141" s="26"/>
      <c r="I141" s="27"/>
      <c r="J141" s="26"/>
      <c r="K141" s="27"/>
      <c r="L141" s="26"/>
      <c r="M141" s="27"/>
      <c r="N141" s="26"/>
      <c r="O141" s="27"/>
      <c r="P141" s="26"/>
      <c r="Q141" s="27"/>
      <c r="R141" s="26"/>
      <c r="S141" s="27"/>
      <c r="T141" s="26"/>
      <c r="U141" s="27"/>
      <c r="V141" s="26"/>
      <c r="W141" s="27"/>
      <c r="X141" s="26"/>
      <c r="Y141" s="27"/>
      <c r="Z141" s="26"/>
      <c r="AA141" s="27"/>
      <c r="AB141" s="26"/>
      <c r="AC141" s="27"/>
      <c r="AD141" s="26"/>
      <c r="AE141" s="27"/>
      <c r="AF141" s="26"/>
      <c r="AG141" s="27"/>
      <c r="AH141" s="26"/>
      <c r="AI141" s="27"/>
      <c r="AJ141" s="26"/>
      <c r="AK141" s="27"/>
      <c r="AL141" s="26"/>
      <c r="AM141" s="27"/>
      <c r="AN141" s="26"/>
      <c r="AO141" s="27"/>
      <c r="AP141" s="26"/>
      <c r="AQ141" s="27"/>
      <c r="AR141" s="26"/>
      <c r="AS141" s="27"/>
      <c r="AT141" s="26"/>
      <c r="AU141" s="27"/>
      <c r="AV141" s="26"/>
      <c r="AW141" s="27"/>
      <c r="AX141" s="26"/>
      <c r="AY141" s="27"/>
    </row>
    <row r="142" spans="2:51">
      <c r="B142" s="24"/>
      <c r="C142" s="25"/>
      <c r="D142" s="26"/>
      <c r="E142" s="27"/>
      <c r="F142" s="26"/>
      <c r="G142" s="27"/>
      <c r="H142" s="26"/>
      <c r="I142" s="27"/>
      <c r="J142" s="26"/>
      <c r="K142" s="27"/>
      <c r="L142" s="26"/>
      <c r="M142" s="27"/>
      <c r="N142" s="26"/>
      <c r="O142" s="27"/>
      <c r="P142" s="26"/>
      <c r="Q142" s="27"/>
      <c r="R142" s="26"/>
      <c r="S142" s="27"/>
      <c r="T142" s="26"/>
      <c r="U142" s="27"/>
      <c r="V142" s="26"/>
      <c r="W142" s="27"/>
      <c r="X142" s="26"/>
      <c r="Y142" s="27"/>
      <c r="Z142" s="26"/>
      <c r="AA142" s="27"/>
      <c r="AB142" s="26"/>
      <c r="AC142" s="27"/>
      <c r="AD142" s="26"/>
      <c r="AE142" s="27"/>
      <c r="AF142" s="26"/>
      <c r="AG142" s="27"/>
      <c r="AH142" s="26"/>
      <c r="AI142" s="27"/>
      <c r="AJ142" s="26"/>
      <c r="AK142" s="27"/>
      <c r="AL142" s="26"/>
      <c r="AM142" s="27"/>
      <c r="AN142" s="26"/>
      <c r="AO142" s="27"/>
      <c r="AP142" s="26"/>
      <c r="AQ142" s="27"/>
      <c r="AR142" s="26"/>
      <c r="AS142" s="27"/>
      <c r="AT142" s="26"/>
      <c r="AU142" s="27"/>
      <c r="AV142" s="26"/>
      <c r="AW142" s="27"/>
      <c r="AX142" s="26"/>
      <c r="AY142" s="27"/>
    </row>
    <row r="143" spans="2:51">
      <c r="B143" s="24"/>
      <c r="C143" s="25"/>
      <c r="D143" s="26"/>
      <c r="E143" s="27"/>
      <c r="F143" s="26"/>
      <c r="G143" s="27"/>
      <c r="H143" s="26"/>
      <c r="I143" s="27"/>
      <c r="J143" s="26"/>
      <c r="K143" s="27"/>
      <c r="L143" s="26"/>
      <c r="M143" s="27"/>
      <c r="N143" s="26"/>
      <c r="O143" s="27"/>
      <c r="P143" s="26"/>
      <c r="Q143" s="27"/>
      <c r="R143" s="26"/>
      <c r="S143" s="27"/>
      <c r="T143" s="26"/>
      <c r="U143" s="27"/>
      <c r="V143" s="26"/>
      <c r="W143" s="27"/>
      <c r="X143" s="26"/>
      <c r="Y143" s="27"/>
      <c r="Z143" s="26"/>
      <c r="AA143" s="27"/>
      <c r="AB143" s="26"/>
      <c r="AC143" s="27"/>
      <c r="AD143" s="26"/>
      <c r="AE143" s="27"/>
      <c r="AF143" s="26"/>
      <c r="AG143" s="27"/>
      <c r="AH143" s="26"/>
      <c r="AI143" s="27"/>
      <c r="AJ143" s="26"/>
      <c r="AK143" s="27"/>
      <c r="AL143" s="26"/>
      <c r="AM143" s="27"/>
      <c r="AN143" s="26"/>
      <c r="AO143" s="27"/>
      <c r="AP143" s="26"/>
      <c r="AQ143" s="27"/>
      <c r="AR143" s="26"/>
      <c r="AS143" s="27"/>
      <c r="AT143" s="26"/>
      <c r="AU143" s="27"/>
      <c r="AV143" s="26"/>
      <c r="AW143" s="27"/>
      <c r="AX143" s="26"/>
      <c r="AY143" s="27"/>
    </row>
    <row r="144" spans="2:51">
      <c r="B144" s="24"/>
      <c r="C144" s="25"/>
      <c r="D144" s="26"/>
      <c r="E144" s="27"/>
      <c r="F144" s="26"/>
      <c r="G144" s="27"/>
      <c r="H144" s="26"/>
      <c r="I144" s="27"/>
      <c r="J144" s="26"/>
      <c r="K144" s="27"/>
      <c r="L144" s="26"/>
      <c r="M144" s="27"/>
      <c r="N144" s="26"/>
      <c r="O144" s="27"/>
      <c r="P144" s="26"/>
      <c r="Q144" s="27"/>
      <c r="R144" s="26"/>
      <c r="S144" s="27"/>
      <c r="T144" s="26"/>
      <c r="U144" s="27"/>
      <c r="V144" s="26"/>
      <c r="W144" s="27"/>
      <c r="X144" s="26"/>
      <c r="Y144" s="27"/>
      <c r="Z144" s="26"/>
      <c r="AA144" s="27"/>
      <c r="AB144" s="26"/>
      <c r="AC144" s="27"/>
      <c r="AD144" s="26"/>
      <c r="AE144" s="27"/>
      <c r="AF144" s="26"/>
      <c r="AG144" s="27"/>
      <c r="AH144" s="26"/>
      <c r="AI144" s="27"/>
      <c r="AJ144" s="26"/>
      <c r="AK144" s="27"/>
      <c r="AL144" s="26"/>
      <c r="AM144" s="27"/>
      <c r="AN144" s="26"/>
      <c r="AO144" s="27"/>
      <c r="AP144" s="26"/>
      <c r="AQ144" s="27"/>
      <c r="AR144" s="26"/>
      <c r="AS144" s="27"/>
      <c r="AT144" s="26"/>
      <c r="AU144" s="27"/>
      <c r="AV144" s="26"/>
      <c r="AW144" s="27"/>
      <c r="AX144" s="26"/>
      <c r="AY144" s="27"/>
    </row>
    <row r="145" spans="2:51">
      <c r="B145" s="24"/>
      <c r="C145" s="25"/>
      <c r="D145" s="26"/>
      <c r="E145" s="27"/>
      <c r="F145" s="26"/>
      <c r="G145" s="27"/>
      <c r="H145" s="26"/>
      <c r="I145" s="27"/>
      <c r="J145" s="26"/>
      <c r="K145" s="27"/>
      <c r="L145" s="26"/>
      <c r="M145" s="27"/>
      <c r="N145" s="26"/>
      <c r="O145" s="27"/>
      <c r="P145" s="26"/>
      <c r="Q145" s="27"/>
      <c r="R145" s="26"/>
      <c r="S145" s="27"/>
      <c r="T145" s="26"/>
      <c r="U145" s="27"/>
      <c r="V145" s="26"/>
      <c r="W145" s="27"/>
      <c r="X145" s="26"/>
      <c r="Y145" s="27"/>
      <c r="Z145" s="26"/>
      <c r="AA145" s="27"/>
      <c r="AB145" s="26"/>
      <c r="AC145" s="27"/>
      <c r="AD145" s="26"/>
      <c r="AE145" s="27"/>
      <c r="AF145" s="26"/>
      <c r="AG145" s="27"/>
      <c r="AH145" s="26"/>
      <c r="AI145" s="27"/>
      <c r="AJ145" s="26"/>
      <c r="AK145" s="27"/>
      <c r="AL145" s="26"/>
      <c r="AM145" s="27"/>
      <c r="AN145" s="26"/>
      <c r="AO145" s="27"/>
      <c r="AP145" s="26"/>
      <c r="AQ145" s="27"/>
      <c r="AR145" s="26"/>
      <c r="AS145" s="27"/>
      <c r="AT145" s="26"/>
      <c r="AU145" s="27"/>
      <c r="AV145" s="26"/>
      <c r="AW145" s="27"/>
      <c r="AX145" s="26"/>
      <c r="AY145" s="27"/>
    </row>
    <row r="146" spans="2:51">
      <c r="B146" s="24"/>
      <c r="C146" s="25"/>
      <c r="D146" s="26"/>
      <c r="E146" s="27"/>
      <c r="F146" s="26"/>
      <c r="G146" s="27"/>
      <c r="H146" s="26"/>
      <c r="I146" s="27"/>
      <c r="J146" s="26"/>
      <c r="K146" s="27"/>
      <c r="L146" s="26"/>
      <c r="M146" s="27"/>
      <c r="N146" s="26"/>
      <c r="O146" s="27"/>
      <c r="P146" s="26"/>
      <c r="Q146" s="27"/>
      <c r="R146" s="26"/>
      <c r="S146" s="27"/>
      <c r="T146" s="26"/>
      <c r="U146" s="27"/>
      <c r="V146" s="26"/>
      <c r="W146" s="27"/>
      <c r="X146" s="26"/>
      <c r="Y146" s="27"/>
      <c r="Z146" s="26"/>
      <c r="AA146" s="27"/>
      <c r="AB146" s="26"/>
      <c r="AC146" s="27"/>
      <c r="AD146" s="26"/>
      <c r="AE146" s="27"/>
      <c r="AF146" s="26"/>
      <c r="AG146" s="27"/>
      <c r="AH146" s="26"/>
      <c r="AI146" s="27"/>
      <c r="AJ146" s="26"/>
      <c r="AK146" s="27"/>
      <c r="AL146" s="26"/>
      <c r="AM146" s="27"/>
      <c r="AN146" s="26"/>
      <c r="AO146" s="27"/>
      <c r="AP146" s="26"/>
      <c r="AQ146" s="27"/>
      <c r="AR146" s="26"/>
      <c r="AS146" s="27"/>
      <c r="AT146" s="26"/>
      <c r="AU146" s="27"/>
      <c r="AV146" s="26"/>
      <c r="AW146" s="27"/>
      <c r="AX146" s="26"/>
      <c r="AY146" s="27"/>
    </row>
    <row r="147" spans="2:51">
      <c r="B147" s="24"/>
      <c r="C147" s="25"/>
      <c r="D147" s="26"/>
      <c r="E147" s="27"/>
      <c r="F147" s="26"/>
      <c r="G147" s="27"/>
      <c r="H147" s="26"/>
      <c r="I147" s="27"/>
      <c r="J147" s="26"/>
      <c r="K147" s="27"/>
      <c r="L147" s="26"/>
      <c r="M147" s="27"/>
      <c r="N147" s="26"/>
      <c r="O147" s="27"/>
      <c r="P147" s="26"/>
      <c r="Q147" s="27"/>
      <c r="R147" s="26"/>
      <c r="S147" s="27"/>
      <c r="T147" s="26"/>
      <c r="U147" s="27"/>
      <c r="V147" s="26"/>
      <c r="W147" s="27"/>
      <c r="X147" s="26"/>
      <c r="Y147" s="27"/>
      <c r="Z147" s="26"/>
      <c r="AA147" s="27"/>
      <c r="AB147" s="26"/>
      <c r="AC147" s="27"/>
      <c r="AD147" s="26"/>
      <c r="AE147" s="27"/>
      <c r="AF147" s="26"/>
      <c r="AG147" s="27"/>
      <c r="AH147" s="26"/>
      <c r="AI147" s="27"/>
      <c r="AJ147" s="26"/>
      <c r="AK147" s="27"/>
      <c r="AL147" s="26"/>
      <c r="AM147" s="27"/>
      <c r="AN147" s="26"/>
      <c r="AO147" s="27"/>
      <c r="AP147" s="26"/>
      <c r="AQ147" s="27"/>
      <c r="AR147" s="26"/>
      <c r="AS147" s="27"/>
      <c r="AT147" s="26"/>
      <c r="AU147" s="27"/>
      <c r="AV147" s="26"/>
      <c r="AW147" s="27"/>
      <c r="AX147" s="26"/>
      <c r="AY147" s="27"/>
    </row>
    <row r="148" spans="2:51">
      <c r="B148" s="143">
        <v>1</v>
      </c>
      <c r="C148" s="144">
        <v>2</v>
      </c>
      <c r="D148" s="145">
        <v>3</v>
      </c>
      <c r="E148" s="146">
        <v>4</v>
      </c>
      <c r="F148" s="145">
        <v>5</v>
      </c>
      <c r="G148" s="146">
        <v>6</v>
      </c>
      <c r="H148" s="145">
        <v>7</v>
      </c>
      <c r="I148" s="146">
        <v>8</v>
      </c>
      <c r="J148" s="145">
        <v>9</v>
      </c>
      <c r="K148" s="146">
        <v>10</v>
      </c>
      <c r="L148" s="145">
        <v>11</v>
      </c>
      <c r="M148" s="146">
        <v>12</v>
      </c>
      <c r="N148" s="145">
        <v>13</v>
      </c>
      <c r="O148" s="146">
        <v>14</v>
      </c>
      <c r="P148" s="145">
        <v>15</v>
      </c>
      <c r="Q148" s="146">
        <v>16</v>
      </c>
      <c r="R148" s="145">
        <v>17</v>
      </c>
      <c r="S148" s="146">
        <v>18</v>
      </c>
      <c r="T148" s="145">
        <v>19</v>
      </c>
      <c r="U148" s="146">
        <v>20</v>
      </c>
      <c r="V148" s="145">
        <v>21</v>
      </c>
      <c r="W148" s="146">
        <v>22</v>
      </c>
      <c r="X148" s="145">
        <v>23</v>
      </c>
      <c r="Y148" s="146">
        <v>24</v>
      </c>
      <c r="Z148" s="145">
        <v>25</v>
      </c>
      <c r="AA148" s="146">
        <v>26</v>
      </c>
      <c r="AB148" s="145">
        <v>27</v>
      </c>
      <c r="AC148" s="146">
        <v>28</v>
      </c>
      <c r="AD148" s="145">
        <v>29</v>
      </c>
      <c r="AE148" s="146">
        <v>30</v>
      </c>
      <c r="AF148" s="145">
        <v>31</v>
      </c>
      <c r="AG148" s="146">
        <v>32</v>
      </c>
      <c r="AH148" s="145">
        <v>33</v>
      </c>
      <c r="AI148" s="146">
        <v>34</v>
      </c>
      <c r="AJ148" s="145">
        <v>35</v>
      </c>
      <c r="AK148" s="146">
        <v>36</v>
      </c>
      <c r="AL148" s="145">
        <v>37</v>
      </c>
      <c r="AM148" s="146">
        <v>38</v>
      </c>
      <c r="AN148" s="145">
        <v>39</v>
      </c>
      <c r="AO148" s="146">
        <v>40</v>
      </c>
      <c r="AP148" s="145">
        <v>41</v>
      </c>
      <c r="AQ148" s="146">
        <v>42</v>
      </c>
      <c r="AR148" s="145">
        <v>43</v>
      </c>
      <c r="AS148" s="146">
        <v>44</v>
      </c>
      <c r="AT148" s="145">
        <v>45</v>
      </c>
      <c r="AU148" s="146">
        <v>46</v>
      </c>
      <c r="AV148" s="145">
        <v>47</v>
      </c>
      <c r="AW148" s="146">
        <v>48</v>
      </c>
      <c r="AX148" s="145">
        <v>49</v>
      </c>
      <c r="AY148" s="146">
        <v>50</v>
      </c>
    </row>
    <row r="149" spans="2:51">
      <c r="B149" s="24"/>
      <c r="C149" s="25"/>
      <c r="D149" s="26"/>
      <c r="E149" s="27"/>
      <c r="F149" s="26"/>
      <c r="G149" s="27"/>
      <c r="H149" s="26"/>
      <c r="I149" s="27"/>
      <c r="J149" s="26"/>
      <c r="K149" s="27"/>
      <c r="L149" s="26"/>
      <c r="M149" s="27"/>
      <c r="N149" s="26"/>
      <c r="O149" s="27"/>
      <c r="P149" s="26"/>
      <c r="Q149" s="27"/>
      <c r="R149" s="26"/>
      <c r="S149" s="27"/>
      <c r="T149" s="26"/>
      <c r="U149" s="27"/>
      <c r="V149" s="26"/>
      <c r="W149" s="27"/>
      <c r="X149" s="26"/>
      <c r="Y149" s="27"/>
      <c r="Z149" s="26"/>
      <c r="AA149" s="27"/>
      <c r="AB149" s="26"/>
      <c r="AC149" s="27"/>
      <c r="AD149" s="26"/>
      <c r="AE149" s="27"/>
      <c r="AF149" s="26"/>
      <c r="AG149" s="27"/>
      <c r="AH149" s="26"/>
      <c r="AI149" s="27"/>
      <c r="AJ149" s="26"/>
      <c r="AK149" s="27"/>
      <c r="AL149" s="26"/>
      <c r="AM149" s="27"/>
      <c r="AN149" s="26"/>
      <c r="AO149" s="27"/>
      <c r="AP149" s="26"/>
      <c r="AQ149" s="27"/>
      <c r="AR149" s="26"/>
      <c r="AS149" s="27"/>
      <c r="AT149" s="26"/>
      <c r="AU149" s="27"/>
      <c r="AV149" s="26"/>
      <c r="AW149" s="27"/>
      <c r="AX149" s="26"/>
      <c r="AY149" s="27"/>
    </row>
    <row r="150" spans="2:51">
      <c r="B150" s="24"/>
      <c r="C150" s="25"/>
      <c r="D150" s="26"/>
      <c r="E150" s="27"/>
      <c r="F150" s="26"/>
      <c r="G150" s="27"/>
      <c r="H150" s="26"/>
      <c r="I150" s="27"/>
      <c r="J150" s="26"/>
      <c r="K150" s="27"/>
      <c r="L150" s="26"/>
      <c r="M150" s="27"/>
      <c r="N150" s="26"/>
      <c r="O150" s="27"/>
      <c r="P150" s="26"/>
      <c r="Q150" s="27"/>
      <c r="R150" s="26"/>
      <c r="S150" s="27"/>
      <c r="T150" s="26"/>
      <c r="U150" s="27"/>
      <c r="V150" s="26"/>
      <c r="W150" s="27"/>
      <c r="X150" s="26"/>
      <c r="Y150" s="27"/>
      <c r="Z150" s="26"/>
      <c r="AA150" s="27"/>
      <c r="AB150" s="26"/>
      <c r="AC150" s="27"/>
      <c r="AD150" s="26"/>
      <c r="AE150" s="27"/>
      <c r="AF150" s="26"/>
      <c r="AG150" s="27"/>
      <c r="AH150" s="26"/>
      <c r="AI150" s="27"/>
      <c r="AJ150" s="26"/>
      <c r="AK150" s="27"/>
      <c r="AL150" s="26"/>
      <c r="AM150" s="27"/>
      <c r="AN150" s="26"/>
      <c r="AO150" s="27"/>
      <c r="AP150" s="26"/>
      <c r="AQ150" s="27"/>
      <c r="AR150" s="26"/>
      <c r="AS150" s="27"/>
      <c r="AT150" s="26"/>
      <c r="AU150" s="27"/>
      <c r="AV150" s="26"/>
      <c r="AW150" s="27"/>
      <c r="AX150" s="26"/>
      <c r="AY150" s="27"/>
    </row>
    <row r="151" spans="2:51">
      <c r="B151" s="24"/>
      <c r="C151" s="25"/>
      <c r="D151" s="26"/>
      <c r="E151" s="27"/>
      <c r="F151" s="26"/>
      <c r="G151" s="27"/>
      <c r="H151" s="26"/>
      <c r="I151" s="27"/>
      <c r="J151" s="26"/>
      <c r="K151" s="27"/>
      <c r="L151" s="26"/>
      <c r="M151" s="27"/>
      <c r="N151" s="26"/>
      <c r="O151" s="27"/>
      <c r="P151" s="26"/>
      <c r="Q151" s="27"/>
      <c r="R151" s="26"/>
      <c r="S151" s="27"/>
      <c r="T151" s="26"/>
      <c r="U151" s="27"/>
      <c r="V151" s="26"/>
      <c r="W151" s="27"/>
      <c r="X151" s="26"/>
      <c r="Y151" s="27"/>
      <c r="Z151" s="26"/>
      <c r="AA151" s="27"/>
      <c r="AB151" s="26"/>
      <c r="AC151" s="27"/>
      <c r="AD151" s="26"/>
      <c r="AE151" s="27"/>
      <c r="AF151" s="26"/>
      <c r="AG151" s="27"/>
      <c r="AH151" s="26"/>
      <c r="AI151" s="27"/>
      <c r="AJ151" s="26"/>
      <c r="AK151" s="27"/>
      <c r="AL151" s="26"/>
      <c r="AM151" s="27"/>
      <c r="AN151" s="26"/>
      <c r="AO151" s="27"/>
      <c r="AP151" s="26"/>
      <c r="AQ151" s="27"/>
      <c r="AR151" s="26"/>
      <c r="AS151" s="27"/>
      <c r="AT151" s="26"/>
      <c r="AU151" s="27"/>
      <c r="AV151" s="26"/>
      <c r="AW151" s="27"/>
      <c r="AX151" s="26"/>
      <c r="AY151" s="27"/>
    </row>
    <row r="152" spans="2:51">
      <c r="B152" s="24"/>
      <c r="C152" s="25"/>
      <c r="D152" s="26"/>
      <c r="E152" s="27"/>
      <c r="F152" s="26"/>
      <c r="G152" s="27"/>
      <c r="H152" s="26"/>
      <c r="I152" s="27"/>
      <c r="J152" s="26"/>
      <c r="K152" s="27"/>
      <c r="L152" s="26"/>
      <c r="M152" s="27"/>
      <c r="N152" s="26"/>
      <c r="O152" s="27"/>
      <c r="P152" s="26"/>
      <c r="Q152" s="27"/>
      <c r="R152" s="26"/>
      <c r="S152" s="27"/>
      <c r="T152" s="26"/>
      <c r="U152" s="27"/>
      <c r="V152" s="26"/>
      <c r="W152" s="27"/>
      <c r="X152" s="26"/>
      <c r="Y152" s="27"/>
      <c r="Z152" s="26"/>
      <c r="AA152" s="27"/>
      <c r="AB152" s="26"/>
      <c r="AC152" s="27"/>
      <c r="AD152" s="26"/>
      <c r="AE152" s="27"/>
      <c r="AF152" s="26"/>
      <c r="AG152" s="27"/>
      <c r="AH152" s="26"/>
      <c r="AI152" s="27"/>
      <c r="AJ152" s="26"/>
      <c r="AK152" s="27"/>
      <c r="AL152" s="26"/>
      <c r="AM152" s="27"/>
      <c r="AN152" s="26"/>
      <c r="AO152" s="27"/>
      <c r="AP152" s="26"/>
      <c r="AQ152" s="27"/>
      <c r="AR152" s="26"/>
      <c r="AS152" s="27"/>
      <c r="AT152" s="26"/>
      <c r="AU152" s="27"/>
      <c r="AV152" s="26"/>
      <c r="AW152" s="27"/>
      <c r="AX152" s="26"/>
      <c r="AY152" s="27"/>
    </row>
    <row r="153" spans="2:51">
      <c r="B153" s="24"/>
      <c r="C153" s="25"/>
      <c r="D153" s="26"/>
      <c r="E153" s="27"/>
      <c r="F153" s="26"/>
      <c r="G153" s="27"/>
      <c r="H153" s="26"/>
      <c r="I153" s="27"/>
      <c r="J153" s="26"/>
      <c r="K153" s="27"/>
      <c r="L153" s="26"/>
      <c r="M153" s="27"/>
      <c r="N153" s="26"/>
      <c r="O153" s="27"/>
      <c r="P153" s="26"/>
      <c r="Q153" s="27"/>
      <c r="R153" s="26"/>
      <c r="S153" s="27"/>
      <c r="T153" s="26"/>
      <c r="U153" s="27"/>
      <c r="V153" s="26"/>
      <c r="W153" s="27"/>
      <c r="X153" s="26"/>
      <c r="Y153" s="27"/>
      <c r="Z153" s="26"/>
      <c r="AA153" s="27"/>
      <c r="AB153" s="26"/>
      <c r="AC153" s="27"/>
      <c r="AD153" s="26"/>
      <c r="AE153" s="27"/>
      <c r="AF153" s="26"/>
      <c r="AG153" s="27"/>
      <c r="AH153" s="26"/>
      <c r="AI153" s="27"/>
      <c r="AJ153" s="26"/>
      <c r="AK153" s="27"/>
      <c r="AL153" s="26"/>
      <c r="AM153" s="27"/>
      <c r="AN153" s="26"/>
      <c r="AO153" s="27"/>
      <c r="AP153" s="26"/>
      <c r="AQ153" s="27"/>
      <c r="AR153" s="26"/>
      <c r="AS153" s="27"/>
      <c r="AT153" s="26"/>
      <c r="AU153" s="27"/>
      <c r="AV153" s="26"/>
      <c r="AW153" s="27"/>
      <c r="AX153" s="26"/>
      <c r="AY153" s="27"/>
    </row>
    <row r="154" spans="2:51">
      <c r="B154" s="24"/>
      <c r="C154" s="25"/>
      <c r="D154" s="26"/>
      <c r="E154" s="27"/>
      <c r="F154" s="26"/>
      <c r="G154" s="27"/>
      <c r="H154" s="26"/>
      <c r="I154" s="27"/>
      <c r="J154" s="26"/>
      <c r="K154" s="27"/>
      <c r="L154" s="26"/>
      <c r="M154" s="27"/>
      <c r="N154" s="26"/>
      <c r="O154" s="27"/>
      <c r="P154" s="26"/>
      <c r="Q154" s="27"/>
      <c r="R154" s="26"/>
      <c r="S154" s="27"/>
      <c r="T154" s="26"/>
      <c r="U154" s="27"/>
      <c r="V154" s="26"/>
      <c r="W154" s="27"/>
      <c r="X154" s="26"/>
      <c r="Y154" s="27"/>
      <c r="Z154" s="26"/>
      <c r="AA154" s="27"/>
      <c r="AB154" s="26"/>
      <c r="AC154" s="27"/>
      <c r="AD154" s="26"/>
      <c r="AE154" s="27"/>
      <c r="AF154" s="26"/>
      <c r="AG154" s="27"/>
      <c r="AH154" s="26"/>
      <c r="AI154" s="27"/>
      <c r="AJ154" s="26"/>
      <c r="AK154" s="27"/>
      <c r="AL154" s="26"/>
      <c r="AM154" s="27"/>
      <c r="AN154" s="26"/>
      <c r="AO154" s="27"/>
      <c r="AP154" s="26"/>
      <c r="AQ154" s="27"/>
      <c r="AR154" s="26"/>
      <c r="AS154" s="27"/>
      <c r="AT154" s="26"/>
      <c r="AU154" s="27"/>
      <c r="AV154" s="26"/>
      <c r="AW154" s="27"/>
      <c r="AX154" s="26"/>
      <c r="AY154" s="27"/>
    </row>
    <row r="155" spans="2:51">
      <c r="B155" s="24"/>
      <c r="C155" s="25"/>
      <c r="D155" s="26"/>
      <c r="E155" s="27"/>
      <c r="F155" s="26"/>
      <c r="G155" s="27"/>
      <c r="H155" s="26"/>
      <c r="I155" s="27"/>
      <c r="J155" s="26"/>
      <c r="K155" s="27"/>
      <c r="L155" s="26"/>
      <c r="M155" s="27"/>
      <c r="N155" s="26"/>
      <c r="O155" s="27"/>
      <c r="P155" s="26"/>
      <c r="Q155" s="27"/>
      <c r="R155" s="26"/>
      <c r="S155" s="27"/>
      <c r="T155" s="26"/>
      <c r="U155" s="27"/>
      <c r="V155" s="26"/>
      <c r="W155" s="27"/>
      <c r="X155" s="26"/>
      <c r="Y155" s="27"/>
      <c r="Z155" s="26"/>
      <c r="AA155" s="27"/>
      <c r="AB155" s="26"/>
      <c r="AC155" s="27"/>
      <c r="AD155" s="26"/>
      <c r="AE155" s="27"/>
      <c r="AF155" s="26"/>
      <c r="AG155" s="27"/>
      <c r="AH155" s="26"/>
      <c r="AI155" s="27"/>
      <c r="AJ155" s="26"/>
      <c r="AK155" s="27"/>
      <c r="AL155" s="26"/>
      <c r="AM155" s="27"/>
      <c r="AN155" s="26"/>
      <c r="AO155" s="27"/>
      <c r="AP155" s="26"/>
      <c r="AQ155" s="27"/>
      <c r="AR155" s="26"/>
      <c r="AS155" s="27"/>
      <c r="AT155" s="26"/>
      <c r="AU155" s="27"/>
      <c r="AV155" s="26"/>
      <c r="AW155" s="27"/>
      <c r="AX155" s="26"/>
      <c r="AY155" s="27"/>
    </row>
    <row r="156" spans="2:51">
      <c r="B156" s="24"/>
      <c r="C156" s="25"/>
      <c r="D156" s="26"/>
      <c r="E156" s="27"/>
      <c r="F156" s="26"/>
      <c r="G156" s="27"/>
      <c r="H156" s="26"/>
      <c r="I156" s="27"/>
      <c r="J156" s="26"/>
      <c r="K156" s="27"/>
      <c r="L156" s="26"/>
      <c r="M156" s="27"/>
      <c r="N156" s="26"/>
      <c r="O156" s="27"/>
      <c r="P156" s="26"/>
      <c r="Q156" s="27"/>
      <c r="R156" s="26"/>
      <c r="S156" s="27"/>
      <c r="T156" s="26"/>
      <c r="U156" s="27"/>
      <c r="V156" s="26"/>
      <c r="W156" s="27"/>
      <c r="X156" s="26"/>
      <c r="Y156" s="27"/>
      <c r="Z156" s="26"/>
      <c r="AA156" s="27"/>
      <c r="AB156" s="26"/>
      <c r="AC156" s="27"/>
      <c r="AD156" s="26"/>
      <c r="AE156" s="27"/>
      <c r="AF156" s="26"/>
      <c r="AG156" s="27"/>
      <c r="AH156" s="26"/>
      <c r="AI156" s="27"/>
      <c r="AJ156" s="26"/>
      <c r="AK156" s="27"/>
      <c r="AL156" s="26"/>
      <c r="AM156" s="27"/>
      <c r="AN156" s="26"/>
      <c r="AO156" s="27"/>
      <c r="AP156" s="26"/>
      <c r="AQ156" s="27"/>
      <c r="AR156" s="26"/>
      <c r="AS156" s="27"/>
      <c r="AT156" s="26"/>
      <c r="AU156" s="27"/>
      <c r="AV156" s="26"/>
      <c r="AW156" s="27"/>
      <c r="AX156" s="26"/>
      <c r="AY156" s="27"/>
    </row>
    <row r="157" spans="2:51">
      <c r="B157" s="24"/>
      <c r="C157" s="25"/>
      <c r="D157" s="26"/>
      <c r="E157" s="27"/>
      <c r="F157" s="26"/>
      <c r="G157" s="27"/>
      <c r="H157" s="26"/>
      <c r="I157" s="27"/>
      <c r="J157" s="26"/>
      <c r="K157" s="27"/>
      <c r="L157" s="26"/>
      <c r="M157" s="27"/>
      <c r="N157" s="26"/>
      <c r="O157" s="27"/>
      <c r="P157" s="26"/>
      <c r="Q157" s="27"/>
      <c r="R157" s="26"/>
      <c r="S157" s="27"/>
      <c r="T157" s="26"/>
      <c r="U157" s="27"/>
      <c r="V157" s="26"/>
      <c r="W157" s="27"/>
      <c r="X157" s="26"/>
      <c r="Y157" s="27"/>
      <c r="Z157" s="26"/>
      <c r="AA157" s="27"/>
      <c r="AB157" s="26"/>
      <c r="AC157" s="27"/>
      <c r="AD157" s="26"/>
      <c r="AE157" s="27"/>
      <c r="AF157" s="26"/>
      <c r="AG157" s="27"/>
      <c r="AH157" s="26"/>
      <c r="AI157" s="27"/>
      <c r="AJ157" s="26"/>
      <c r="AK157" s="27"/>
      <c r="AL157" s="26"/>
      <c r="AM157" s="27"/>
      <c r="AN157" s="26"/>
      <c r="AO157" s="27"/>
      <c r="AP157" s="26"/>
      <c r="AQ157" s="27"/>
      <c r="AR157" s="26"/>
      <c r="AS157" s="27"/>
      <c r="AT157" s="26"/>
      <c r="AU157" s="27"/>
      <c r="AV157" s="26"/>
      <c r="AW157" s="27"/>
      <c r="AX157" s="26"/>
      <c r="AY157" s="27"/>
    </row>
    <row r="158" spans="2:51">
      <c r="B158" s="24"/>
      <c r="C158" s="25"/>
      <c r="D158" s="26"/>
      <c r="E158" s="27"/>
      <c r="F158" s="26"/>
      <c r="G158" s="27"/>
      <c r="H158" s="26"/>
      <c r="I158" s="27"/>
      <c r="J158" s="26"/>
      <c r="K158" s="27"/>
      <c r="L158" s="26"/>
      <c r="M158" s="27"/>
      <c r="N158" s="26"/>
      <c r="O158" s="27"/>
      <c r="P158" s="26"/>
      <c r="Q158" s="27"/>
      <c r="R158" s="26"/>
      <c r="S158" s="27"/>
      <c r="T158" s="26"/>
      <c r="U158" s="27"/>
      <c r="V158" s="26"/>
      <c r="W158" s="27"/>
      <c r="X158" s="26"/>
      <c r="Y158" s="27"/>
      <c r="Z158" s="26"/>
      <c r="AA158" s="27"/>
      <c r="AB158" s="26"/>
      <c r="AC158" s="27"/>
      <c r="AD158" s="26"/>
      <c r="AE158" s="27"/>
      <c r="AF158" s="26"/>
      <c r="AG158" s="27"/>
      <c r="AH158" s="26"/>
      <c r="AI158" s="27"/>
      <c r="AJ158" s="26"/>
      <c r="AK158" s="27"/>
      <c r="AL158" s="26"/>
      <c r="AM158" s="27"/>
      <c r="AN158" s="26"/>
      <c r="AO158" s="27"/>
      <c r="AP158" s="26"/>
      <c r="AQ158" s="27"/>
      <c r="AR158" s="26"/>
      <c r="AS158" s="27"/>
      <c r="AT158" s="26"/>
      <c r="AU158" s="27"/>
      <c r="AV158" s="26"/>
      <c r="AW158" s="27"/>
      <c r="AX158" s="26"/>
      <c r="AY158" s="27"/>
    </row>
    <row r="159" spans="2:51">
      <c r="B159" s="24"/>
      <c r="C159" s="25"/>
      <c r="D159" s="26"/>
      <c r="E159" s="27"/>
      <c r="F159" s="26"/>
      <c r="G159" s="27"/>
      <c r="H159" s="26"/>
      <c r="I159" s="27"/>
      <c r="J159" s="26"/>
      <c r="K159" s="27"/>
      <c r="L159" s="26"/>
      <c r="M159" s="27"/>
      <c r="N159" s="26"/>
      <c r="O159" s="27"/>
      <c r="P159" s="26"/>
      <c r="Q159" s="27"/>
      <c r="R159" s="26"/>
      <c r="S159" s="27"/>
      <c r="T159" s="26"/>
      <c r="U159" s="27"/>
      <c r="V159" s="26"/>
      <c r="W159" s="27"/>
      <c r="X159" s="26"/>
      <c r="Y159" s="27"/>
      <c r="Z159" s="26"/>
      <c r="AA159" s="27"/>
      <c r="AB159" s="26"/>
      <c r="AC159" s="27"/>
      <c r="AD159" s="26"/>
      <c r="AE159" s="27"/>
      <c r="AF159" s="26"/>
      <c r="AG159" s="27"/>
      <c r="AH159" s="26"/>
      <c r="AI159" s="27"/>
      <c r="AJ159" s="26"/>
      <c r="AK159" s="27"/>
      <c r="AL159" s="26"/>
      <c r="AM159" s="27"/>
      <c r="AN159" s="26"/>
      <c r="AO159" s="27"/>
      <c r="AP159" s="26"/>
      <c r="AQ159" s="27"/>
      <c r="AR159" s="26"/>
      <c r="AS159" s="27"/>
      <c r="AT159" s="26"/>
      <c r="AU159" s="27"/>
      <c r="AV159" s="26"/>
      <c r="AW159" s="27"/>
      <c r="AX159" s="26"/>
      <c r="AY159" s="27"/>
    </row>
    <row r="160" spans="2:51">
      <c r="B160" s="24"/>
      <c r="C160" s="25"/>
      <c r="D160" s="26"/>
      <c r="E160" s="27"/>
      <c r="F160" s="26"/>
      <c r="G160" s="27"/>
      <c r="H160" s="26"/>
      <c r="I160" s="27"/>
      <c r="J160" s="26"/>
      <c r="K160" s="27"/>
      <c r="L160" s="26"/>
      <c r="M160" s="27"/>
      <c r="N160" s="26"/>
      <c r="O160" s="27"/>
      <c r="P160" s="26"/>
      <c r="Q160" s="27"/>
      <c r="R160" s="26"/>
      <c r="S160" s="27"/>
      <c r="T160" s="26"/>
      <c r="U160" s="27"/>
      <c r="V160" s="26"/>
      <c r="W160" s="27"/>
      <c r="X160" s="26"/>
      <c r="Y160" s="27"/>
      <c r="Z160" s="26"/>
      <c r="AA160" s="27"/>
      <c r="AB160" s="26"/>
      <c r="AC160" s="27"/>
      <c r="AD160" s="26"/>
      <c r="AE160" s="27"/>
      <c r="AF160" s="26"/>
      <c r="AG160" s="27"/>
      <c r="AH160" s="26"/>
      <c r="AI160" s="27"/>
      <c r="AJ160" s="26"/>
      <c r="AK160" s="27"/>
      <c r="AL160" s="26"/>
      <c r="AM160" s="27"/>
      <c r="AN160" s="26"/>
      <c r="AO160" s="27"/>
      <c r="AP160" s="26"/>
      <c r="AQ160" s="27"/>
      <c r="AR160" s="26"/>
      <c r="AS160" s="27"/>
      <c r="AT160" s="26"/>
      <c r="AU160" s="27"/>
      <c r="AV160" s="26"/>
      <c r="AW160" s="27"/>
      <c r="AX160" s="26"/>
      <c r="AY160" s="27"/>
    </row>
    <row r="161" spans="2:51">
      <c r="B161" s="24"/>
      <c r="C161" s="25"/>
      <c r="D161" s="26"/>
      <c r="E161" s="27"/>
      <c r="F161" s="26"/>
      <c r="G161" s="27"/>
      <c r="H161" s="26"/>
      <c r="I161" s="27"/>
      <c r="J161" s="26"/>
      <c r="K161" s="27"/>
      <c r="L161" s="26"/>
      <c r="M161" s="27"/>
      <c r="N161" s="26"/>
      <c r="O161" s="27"/>
      <c r="P161" s="26"/>
      <c r="Q161" s="27"/>
      <c r="R161" s="26"/>
      <c r="S161" s="27"/>
      <c r="T161" s="26"/>
      <c r="U161" s="27"/>
      <c r="V161" s="26"/>
      <c r="W161" s="27"/>
      <c r="X161" s="26"/>
      <c r="Y161" s="27"/>
      <c r="Z161" s="26"/>
      <c r="AA161" s="27"/>
      <c r="AB161" s="26"/>
      <c r="AC161" s="27"/>
      <c r="AD161" s="26"/>
      <c r="AE161" s="27"/>
      <c r="AF161" s="26"/>
      <c r="AG161" s="27"/>
      <c r="AH161" s="26"/>
      <c r="AI161" s="27"/>
      <c r="AJ161" s="26"/>
      <c r="AK161" s="27"/>
      <c r="AL161" s="26"/>
      <c r="AM161" s="27"/>
      <c r="AN161" s="26"/>
      <c r="AO161" s="27"/>
      <c r="AP161" s="26"/>
      <c r="AQ161" s="27"/>
      <c r="AR161" s="26"/>
      <c r="AS161" s="27"/>
      <c r="AT161" s="26"/>
      <c r="AU161" s="27"/>
      <c r="AV161" s="26"/>
      <c r="AW161" s="27"/>
      <c r="AX161" s="26"/>
      <c r="AY161" s="27"/>
    </row>
    <row r="162" spans="2:51">
      <c r="B162" s="24"/>
      <c r="C162" s="25"/>
      <c r="D162" s="26"/>
      <c r="E162" s="27"/>
      <c r="F162" s="26"/>
      <c r="G162" s="27"/>
      <c r="H162" s="26"/>
      <c r="I162" s="27"/>
      <c r="J162" s="26"/>
      <c r="K162" s="27"/>
      <c r="L162" s="26"/>
      <c r="M162" s="27"/>
      <c r="N162" s="26"/>
      <c r="O162" s="27"/>
      <c r="P162" s="26"/>
      <c r="Q162" s="27"/>
      <c r="R162" s="26"/>
      <c r="S162" s="27"/>
      <c r="T162" s="26"/>
      <c r="U162" s="27"/>
      <c r="V162" s="26"/>
      <c r="W162" s="27"/>
      <c r="X162" s="26"/>
      <c r="Y162" s="27"/>
      <c r="Z162" s="26"/>
      <c r="AA162" s="27"/>
      <c r="AB162" s="26"/>
      <c r="AC162" s="27"/>
      <c r="AD162" s="26"/>
      <c r="AE162" s="27"/>
      <c r="AF162" s="26"/>
      <c r="AG162" s="27"/>
      <c r="AH162" s="26"/>
      <c r="AI162" s="27"/>
      <c r="AJ162" s="26"/>
      <c r="AK162" s="27"/>
      <c r="AL162" s="26"/>
      <c r="AM162" s="27"/>
      <c r="AN162" s="26"/>
      <c r="AO162" s="27"/>
      <c r="AP162" s="26"/>
      <c r="AQ162" s="27"/>
      <c r="AR162" s="26"/>
      <c r="AS162" s="27"/>
      <c r="AT162" s="26"/>
      <c r="AU162" s="27"/>
      <c r="AV162" s="26"/>
      <c r="AW162" s="27"/>
      <c r="AX162" s="26"/>
      <c r="AY162" s="27"/>
    </row>
    <row r="163" spans="2:51">
      <c r="B163" s="24"/>
      <c r="C163" s="25"/>
      <c r="D163" s="26"/>
      <c r="E163" s="27"/>
      <c r="F163" s="26"/>
      <c r="G163" s="27"/>
      <c r="H163" s="26"/>
      <c r="I163" s="27"/>
      <c r="J163" s="26"/>
      <c r="K163" s="27"/>
      <c r="L163" s="26"/>
      <c r="M163" s="27"/>
      <c r="N163" s="26"/>
      <c r="O163" s="27"/>
      <c r="P163" s="26"/>
      <c r="Q163" s="27"/>
      <c r="R163" s="26"/>
      <c r="S163" s="27"/>
      <c r="T163" s="26"/>
      <c r="U163" s="27"/>
      <c r="V163" s="26"/>
      <c r="W163" s="27"/>
      <c r="X163" s="26"/>
      <c r="Y163" s="27"/>
      <c r="Z163" s="26"/>
      <c r="AA163" s="27"/>
      <c r="AB163" s="26"/>
      <c r="AC163" s="27"/>
      <c r="AD163" s="26"/>
      <c r="AE163" s="27"/>
      <c r="AF163" s="26"/>
      <c r="AG163" s="27"/>
      <c r="AH163" s="26"/>
      <c r="AI163" s="27"/>
      <c r="AJ163" s="26"/>
      <c r="AK163" s="27"/>
      <c r="AL163" s="26"/>
      <c r="AM163" s="27"/>
      <c r="AN163" s="26"/>
      <c r="AO163" s="27"/>
      <c r="AP163" s="26"/>
      <c r="AQ163" s="27"/>
      <c r="AR163" s="26"/>
      <c r="AS163" s="27"/>
      <c r="AT163" s="26"/>
      <c r="AU163" s="27"/>
      <c r="AV163" s="26"/>
      <c r="AW163" s="27"/>
      <c r="AX163" s="26"/>
      <c r="AY163" s="27"/>
    </row>
    <row r="164" spans="2:51">
      <c r="B164" s="24"/>
      <c r="C164" s="25"/>
      <c r="D164" s="26"/>
      <c r="E164" s="27"/>
      <c r="F164" s="26"/>
      <c r="G164" s="27"/>
      <c r="H164" s="26"/>
      <c r="I164" s="27"/>
      <c r="J164" s="26"/>
      <c r="K164" s="27"/>
      <c r="L164" s="26"/>
      <c r="M164" s="27"/>
      <c r="N164" s="26"/>
      <c r="O164" s="27"/>
      <c r="P164" s="26"/>
      <c r="Q164" s="27"/>
      <c r="R164" s="26"/>
      <c r="S164" s="27"/>
      <c r="T164" s="26"/>
      <c r="U164" s="27"/>
      <c r="V164" s="26"/>
      <c r="W164" s="27"/>
      <c r="X164" s="26"/>
      <c r="Y164" s="27"/>
      <c r="Z164" s="26"/>
      <c r="AA164" s="27"/>
      <c r="AB164" s="26"/>
      <c r="AC164" s="27"/>
      <c r="AD164" s="26"/>
      <c r="AE164" s="27"/>
      <c r="AF164" s="26"/>
      <c r="AG164" s="27"/>
      <c r="AH164" s="26"/>
      <c r="AI164" s="27"/>
      <c r="AJ164" s="26"/>
      <c r="AK164" s="27"/>
      <c r="AL164" s="26"/>
      <c r="AM164" s="27"/>
      <c r="AN164" s="26"/>
      <c r="AO164" s="27"/>
      <c r="AP164" s="26"/>
      <c r="AQ164" s="27"/>
      <c r="AR164" s="26"/>
      <c r="AS164" s="27"/>
      <c r="AT164" s="26"/>
      <c r="AU164" s="27"/>
      <c r="AV164" s="26"/>
      <c r="AW164" s="27"/>
      <c r="AX164" s="26"/>
      <c r="AY164" s="27"/>
    </row>
    <row r="165" spans="2:51">
      <c r="B165" s="24"/>
      <c r="C165" s="25"/>
      <c r="D165" s="26"/>
      <c r="E165" s="27"/>
      <c r="F165" s="26"/>
      <c r="G165" s="27"/>
      <c r="H165" s="26"/>
      <c r="I165" s="27"/>
      <c r="J165" s="26"/>
      <c r="K165" s="27"/>
      <c r="L165" s="26"/>
      <c r="M165" s="27"/>
      <c r="N165" s="26"/>
      <c r="O165" s="27"/>
      <c r="P165" s="26"/>
      <c r="Q165" s="27"/>
      <c r="R165" s="26"/>
      <c r="S165" s="27"/>
      <c r="T165" s="26"/>
      <c r="U165" s="27"/>
      <c r="V165" s="26"/>
      <c r="W165" s="27"/>
      <c r="X165" s="26"/>
      <c r="Y165" s="27"/>
      <c r="Z165" s="26"/>
      <c r="AA165" s="27"/>
      <c r="AB165" s="26"/>
      <c r="AC165" s="27"/>
      <c r="AD165" s="26"/>
      <c r="AE165" s="27"/>
      <c r="AF165" s="26"/>
      <c r="AG165" s="27"/>
      <c r="AH165" s="26"/>
      <c r="AI165" s="27"/>
      <c r="AJ165" s="26"/>
      <c r="AK165" s="27"/>
      <c r="AL165" s="26"/>
      <c r="AM165" s="27"/>
      <c r="AN165" s="26"/>
      <c r="AO165" s="27"/>
      <c r="AP165" s="26"/>
      <c r="AQ165" s="27"/>
      <c r="AR165" s="26"/>
      <c r="AS165" s="27"/>
      <c r="AT165" s="26"/>
      <c r="AU165" s="27"/>
      <c r="AV165" s="26"/>
      <c r="AW165" s="27"/>
      <c r="AX165" s="26"/>
      <c r="AY165" s="27"/>
    </row>
    <row r="166" spans="2:51">
      <c r="B166" s="24"/>
      <c r="C166" s="25"/>
      <c r="D166" s="26"/>
      <c r="E166" s="27"/>
      <c r="F166" s="26"/>
      <c r="G166" s="27"/>
      <c r="H166" s="26"/>
      <c r="I166" s="27"/>
      <c r="J166" s="26"/>
      <c r="K166" s="27"/>
      <c r="L166" s="26"/>
      <c r="M166" s="27"/>
      <c r="N166" s="26"/>
      <c r="O166" s="27"/>
      <c r="P166" s="26"/>
      <c r="Q166" s="27"/>
      <c r="R166" s="26"/>
      <c r="S166" s="27"/>
      <c r="T166" s="26"/>
      <c r="U166" s="27"/>
      <c r="V166" s="26"/>
      <c r="W166" s="27"/>
      <c r="X166" s="26"/>
      <c r="Y166" s="27"/>
      <c r="Z166" s="26"/>
      <c r="AA166" s="27"/>
      <c r="AB166" s="26"/>
      <c r="AC166" s="27"/>
      <c r="AD166" s="26"/>
      <c r="AE166" s="27"/>
      <c r="AF166" s="26"/>
      <c r="AG166" s="27"/>
      <c r="AH166" s="26"/>
      <c r="AI166" s="27"/>
      <c r="AJ166" s="26"/>
      <c r="AK166" s="27"/>
      <c r="AL166" s="26"/>
      <c r="AM166" s="27"/>
      <c r="AN166" s="26"/>
      <c r="AO166" s="27"/>
      <c r="AP166" s="26"/>
      <c r="AQ166" s="27"/>
      <c r="AR166" s="26"/>
      <c r="AS166" s="27"/>
      <c r="AT166" s="26"/>
      <c r="AU166" s="27"/>
      <c r="AV166" s="26"/>
      <c r="AW166" s="27"/>
      <c r="AX166" s="26"/>
      <c r="AY166" s="27"/>
    </row>
    <row r="167" spans="2:51">
      <c r="B167" s="24"/>
      <c r="C167" s="25"/>
      <c r="D167" s="26"/>
      <c r="E167" s="27"/>
      <c r="F167" s="26"/>
      <c r="G167" s="27"/>
      <c r="H167" s="26"/>
      <c r="I167" s="27"/>
      <c r="J167" s="26"/>
      <c r="K167" s="27"/>
      <c r="L167" s="26"/>
      <c r="M167" s="27"/>
      <c r="N167" s="26"/>
      <c r="O167" s="27"/>
      <c r="P167" s="26"/>
      <c r="Q167" s="27"/>
      <c r="R167" s="26"/>
      <c r="S167" s="27"/>
      <c r="T167" s="26"/>
      <c r="U167" s="27"/>
      <c r="V167" s="26"/>
      <c r="W167" s="27"/>
      <c r="X167" s="26"/>
      <c r="Y167" s="27"/>
      <c r="Z167" s="26"/>
      <c r="AA167" s="27"/>
      <c r="AB167" s="26"/>
      <c r="AC167" s="27"/>
      <c r="AD167" s="26"/>
      <c r="AE167" s="27"/>
      <c r="AF167" s="26"/>
      <c r="AG167" s="27"/>
      <c r="AH167" s="26"/>
      <c r="AI167" s="27"/>
      <c r="AJ167" s="26"/>
      <c r="AK167" s="27"/>
      <c r="AL167" s="26"/>
      <c r="AM167" s="27"/>
      <c r="AN167" s="26"/>
      <c r="AO167" s="27"/>
      <c r="AP167" s="26"/>
      <c r="AQ167" s="27"/>
      <c r="AR167" s="26"/>
      <c r="AS167" s="27"/>
      <c r="AT167" s="26"/>
      <c r="AU167" s="27"/>
      <c r="AV167" s="26"/>
      <c r="AW167" s="27"/>
      <c r="AX167" s="26"/>
      <c r="AY167" s="27"/>
    </row>
  </sheetData>
  <conditionalFormatting sqref="C2:M2">
    <cfRule type="expression" dxfId="7" priority="1" stopIfTrue="1">
      <formula>#REF! &gt; 30</formula>
    </cfRule>
  </conditionalFormatting>
  <conditionalFormatting sqref="B2">
    <cfRule type="expression" dxfId="6" priority="2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00B0F0"/>
  </sheetPr>
  <dimension ref="A1:S94"/>
  <sheetViews>
    <sheetView zoomScale="80" zoomScaleNormal="80" workbookViewId="0">
      <selection activeCell="B2" sqref="B2"/>
    </sheetView>
  </sheetViews>
  <sheetFormatPr defaultColWidth="9.109375" defaultRowHeight="14.4"/>
  <cols>
    <col min="1" max="1" width="9.109375" style="251"/>
    <col min="2" max="2" width="58.5546875" style="252" customWidth="1"/>
    <col min="3" max="3" width="17.6640625" style="252" bestFit="1" customWidth="1"/>
    <col min="4" max="5" width="18.33203125" style="252" bestFit="1" customWidth="1"/>
    <col min="6" max="6" width="9.109375" style="252"/>
    <col min="7" max="7" width="10.5546875" style="252" bestFit="1" customWidth="1"/>
    <col min="8" max="16" width="13.88671875" style="252" customWidth="1"/>
    <col min="17" max="17" width="12.5546875" style="252" customWidth="1"/>
    <col min="18" max="16384" width="9.109375" style="252"/>
  </cols>
  <sheetData>
    <row r="1" spans="1:19">
      <c r="A1" s="250"/>
      <c r="B1" s="262" t="s">
        <v>156</v>
      </c>
      <c r="C1" s="251"/>
      <c r="D1" s="251"/>
      <c r="E1" s="251"/>
    </row>
    <row r="2" spans="1:19">
      <c r="A2" s="263"/>
      <c r="B2" s="264" t="s">
        <v>536</v>
      </c>
      <c r="C2" s="251"/>
      <c r="D2" s="251"/>
      <c r="E2" s="251"/>
    </row>
    <row r="3" spans="1:19">
      <c r="A3" s="265"/>
      <c r="B3" s="251"/>
      <c r="C3" s="251"/>
      <c r="D3" s="251"/>
      <c r="E3" s="251"/>
    </row>
    <row r="4" spans="1:19" ht="7.5" customHeight="1"/>
    <row r="5" spans="1:19" ht="43.8" thickBot="1">
      <c r="B5" s="355" t="s">
        <v>157</v>
      </c>
      <c r="C5" s="356">
        <v>2022</v>
      </c>
      <c r="D5" s="356">
        <v>2023</v>
      </c>
      <c r="E5" s="357" t="s">
        <v>158</v>
      </c>
      <c r="G5" s="266"/>
      <c r="H5" s="267" t="s">
        <v>201</v>
      </c>
      <c r="I5" s="267" t="s">
        <v>202</v>
      </c>
      <c r="J5" s="267" t="s">
        <v>203</v>
      </c>
      <c r="K5" s="267" t="s">
        <v>204</v>
      </c>
      <c r="L5" s="267" t="s">
        <v>205</v>
      </c>
      <c r="M5" s="267" t="s">
        <v>206</v>
      </c>
      <c r="N5" s="267" t="s">
        <v>207</v>
      </c>
      <c r="O5" s="267" t="s">
        <v>208</v>
      </c>
      <c r="P5" s="267" t="s">
        <v>266</v>
      </c>
      <c r="Q5" s="267" t="s">
        <v>267</v>
      </c>
      <c r="R5" s="267" t="s">
        <v>143</v>
      </c>
      <c r="S5" s="267" t="s">
        <v>144</v>
      </c>
    </row>
    <row r="6" spans="1:19" ht="15" thickTop="1">
      <c r="B6" s="354" t="s">
        <v>159</v>
      </c>
      <c r="C6" s="358">
        <v>2559204.5969711118</v>
      </c>
      <c r="D6" s="358">
        <v>2605041.5968466764</v>
      </c>
      <c r="E6" s="358">
        <v>5164246.1938177887</v>
      </c>
      <c r="G6" s="291">
        <v>44470</v>
      </c>
      <c r="H6" s="341">
        <v>240598.48076923069</v>
      </c>
      <c r="I6" s="342">
        <v>9.8699999999999992</v>
      </c>
      <c r="J6" s="343">
        <v>2374707.0051923068</v>
      </c>
      <c r="K6" s="341">
        <v>-197717.800075423</v>
      </c>
      <c r="L6" s="341">
        <v>111102.77494334755</v>
      </c>
      <c r="M6" s="342">
        <v>29.92</v>
      </c>
      <c r="N6" s="342">
        <v>28.27</v>
      </c>
      <c r="O6" s="344">
        <v>-2774841.1306082211</v>
      </c>
      <c r="P6" s="345">
        <v>2920790.2645354997</v>
      </c>
      <c r="Q6" s="345">
        <v>1633134.1562275002</v>
      </c>
      <c r="R6" s="351">
        <v>416</v>
      </c>
      <c r="S6" s="351">
        <v>328</v>
      </c>
    </row>
    <row r="7" spans="1:19">
      <c r="B7" s="354" t="s">
        <v>160</v>
      </c>
      <c r="C7" s="358">
        <v>153612.72516092777</v>
      </c>
      <c r="D7" s="358">
        <v>145002.09211784913</v>
      </c>
      <c r="E7" s="358">
        <v>298614.8172787769</v>
      </c>
      <c r="G7" s="291">
        <v>44501</v>
      </c>
      <c r="H7" s="341">
        <v>311366</v>
      </c>
      <c r="I7" s="342">
        <v>10.46</v>
      </c>
      <c r="J7" s="343">
        <v>3256888.3600000003</v>
      </c>
      <c r="K7" s="341">
        <v>-390111.24178018811</v>
      </c>
      <c r="L7" s="341">
        <v>-64236.252998713702</v>
      </c>
      <c r="M7" s="342">
        <v>31.71</v>
      </c>
      <c r="N7" s="342">
        <v>29.14</v>
      </c>
      <c r="O7" s="344">
        <v>-14242271.889232282</v>
      </c>
      <c r="P7" s="345">
        <v>3537945.1705555003</v>
      </c>
      <c r="Q7" s="345">
        <v>2227488.4194209999</v>
      </c>
      <c r="R7" s="351">
        <v>400</v>
      </c>
      <c r="S7" s="351">
        <v>321</v>
      </c>
    </row>
    <row r="8" spans="1:19">
      <c r="B8" s="354" t="s">
        <v>161</v>
      </c>
      <c r="C8" s="358">
        <v>0</v>
      </c>
      <c r="D8" s="358">
        <v>0</v>
      </c>
      <c r="E8" s="358">
        <v>0</v>
      </c>
      <c r="G8" s="291">
        <v>44531</v>
      </c>
      <c r="H8" s="341">
        <v>662406.60336538462</v>
      </c>
      <c r="I8" s="342">
        <v>12.78</v>
      </c>
      <c r="J8" s="343">
        <v>8465556.3910096157</v>
      </c>
      <c r="K8" s="341">
        <v>280709.1124624426</v>
      </c>
      <c r="L8" s="341">
        <v>121448.40271946962</v>
      </c>
      <c r="M8" s="342">
        <v>38.76</v>
      </c>
      <c r="N8" s="342">
        <v>32.049999999999997</v>
      </c>
      <c r="O8" s="344">
        <v>14772706.506203275</v>
      </c>
      <c r="P8" s="345">
        <v>3223872.7356785</v>
      </c>
      <c r="Q8" s="345">
        <v>2419334.9120455002</v>
      </c>
      <c r="R8" s="351">
        <v>416</v>
      </c>
      <c r="S8" s="351">
        <v>328</v>
      </c>
    </row>
    <row r="9" spans="1:19">
      <c r="B9" s="359" t="s">
        <v>162</v>
      </c>
      <c r="C9" s="360">
        <v>46009.386494016624</v>
      </c>
      <c r="D9" s="360">
        <v>48974.658380774446</v>
      </c>
      <c r="E9" s="360">
        <v>94984.04487479107</v>
      </c>
      <c r="G9" s="291">
        <v>44562</v>
      </c>
      <c r="H9" s="341">
        <v>513053.09250000003</v>
      </c>
      <c r="I9" s="342">
        <v>11.31</v>
      </c>
      <c r="J9" s="343">
        <v>5802630.4761750009</v>
      </c>
      <c r="K9" s="341">
        <v>676660.6310354186</v>
      </c>
      <c r="L9" s="341">
        <v>475163.32208860043</v>
      </c>
      <c r="M9" s="342">
        <v>34.29</v>
      </c>
      <c r="N9" s="342">
        <v>25.85</v>
      </c>
      <c r="O9" s="344">
        <v>35485664.914194822</v>
      </c>
      <c r="P9" s="345">
        <v>2651579.7252024999</v>
      </c>
      <c r="Q9" s="345">
        <v>2009469.8153045001</v>
      </c>
      <c r="R9" s="351">
        <v>400</v>
      </c>
      <c r="S9" s="351">
        <v>344</v>
      </c>
    </row>
    <row r="10" spans="1:19">
      <c r="B10" s="361" t="s">
        <v>163</v>
      </c>
      <c r="C10" s="362">
        <v>2758826.7086260561</v>
      </c>
      <c r="D10" s="362">
        <v>2799018.3473453</v>
      </c>
      <c r="E10" s="362">
        <v>5557845.0559713561</v>
      </c>
      <c r="G10" s="291">
        <v>44593</v>
      </c>
      <c r="H10" s="341">
        <v>347566.25</v>
      </c>
      <c r="I10" s="342">
        <v>11.47</v>
      </c>
      <c r="J10" s="343">
        <v>3986584.8875000002</v>
      </c>
      <c r="K10" s="341">
        <v>544800.21335585485</v>
      </c>
      <c r="L10" s="341">
        <v>297572.08491503354</v>
      </c>
      <c r="M10" s="342">
        <v>34.79</v>
      </c>
      <c r="N10" s="342">
        <v>28.29</v>
      </c>
      <c r="O10" s="344">
        <v>27371913.704896487</v>
      </c>
      <c r="P10" s="345">
        <v>2346690.1216629995</v>
      </c>
      <c r="Q10" s="345">
        <v>1693143.6717284999</v>
      </c>
      <c r="R10" s="351">
        <v>384</v>
      </c>
      <c r="S10" s="351">
        <v>288</v>
      </c>
    </row>
    <row r="11" spans="1:19">
      <c r="B11" s="363"/>
      <c r="C11" s="364"/>
      <c r="D11" s="364"/>
      <c r="E11" s="364"/>
      <c r="G11" s="291">
        <v>44621</v>
      </c>
      <c r="H11" s="341">
        <v>549172.0694444445</v>
      </c>
      <c r="I11" s="342">
        <v>9.09</v>
      </c>
      <c r="J11" s="343">
        <v>4991974.1112500001</v>
      </c>
      <c r="K11" s="341">
        <v>117233.02355765394</v>
      </c>
      <c r="L11" s="341">
        <v>151909.25664830368</v>
      </c>
      <c r="M11" s="342">
        <v>27.57</v>
      </c>
      <c r="N11" s="342">
        <v>28.44</v>
      </c>
      <c r="O11" s="344">
        <v>7552413.7185622761</v>
      </c>
      <c r="P11" s="345">
        <v>2961839.2513114996</v>
      </c>
      <c r="Q11" s="345">
        <v>1860906.497004</v>
      </c>
      <c r="R11" s="351">
        <v>432</v>
      </c>
      <c r="S11" s="351">
        <v>311</v>
      </c>
    </row>
    <row r="12" spans="1:19" ht="15" thickBot="1">
      <c r="B12" s="355" t="s">
        <v>164</v>
      </c>
      <c r="C12" s="365"/>
      <c r="D12" s="366"/>
      <c r="E12" s="365"/>
      <c r="G12" s="291">
        <v>44652</v>
      </c>
      <c r="H12" s="341">
        <v>504335.39423076925</v>
      </c>
      <c r="I12" s="342">
        <v>6.83</v>
      </c>
      <c r="J12" s="343">
        <v>3444610.7425961541</v>
      </c>
      <c r="K12" s="341">
        <v>237065.11440718954</v>
      </c>
      <c r="L12" s="341">
        <v>227947.11666190013</v>
      </c>
      <c r="M12" s="342">
        <v>20.71</v>
      </c>
      <c r="N12" s="342">
        <v>25.66</v>
      </c>
      <c r="O12" s="344">
        <v>10758741.532917254</v>
      </c>
      <c r="P12" s="345">
        <v>2307313.6325114998</v>
      </c>
      <c r="Q12" s="345">
        <v>1436906.3942220001</v>
      </c>
      <c r="R12" s="351">
        <v>416</v>
      </c>
      <c r="S12" s="351">
        <v>304</v>
      </c>
    </row>
    <row r="13" spans="1:19" ht="15" thickTop="1">
      <c r="B13" s="363"/>
      <c r="C13" s="363"/>
      <c r="D13" s="363"/>
      <c r="E13" s="363"/>
      <c r="G13" s="291">
        <v>44682</v>
      </c>
      <c r="H13" s="341">
        <v>330867.33999999997</v>
      </c>
      <c r="I13" s="342">
        <v>5.36</v>
      </c>
      <c r="J13" s="343">
        <v>1773448.9423999998</v>
      </c>
      <c r="K13" s="341">
        <v>-809107.61594691791</v>
      </c>
      <c r="L13" s="341">
        <v>38570.086242848542</v>
      </c>
      <c r="M13" s="342">
        <v>16.28</v>
      </c>
      <c r="N13" s="342">
        <v>16.3</v>
      </c>
      <c r="O13" s="344">
        <v>-12543579.581857393</v>
      </c>
      <c r="P13" s="345">
        <v>3495709.6741295001</v>
      </c>
      <c r="Q13" s="345">
        <v>1691934.7265655</v>
      </c>
      <c r="R13" s="351">
        <v>400</v>
      </c>
      <c r="S13" s="351">
        <v>344</v>
      </c>
    </row>
    <row r="14" spans="1:19" ht="15" thickBot="1">
      <c r="B14" s="367" t="s">
        <v>165</v>
      </c>
      <c r="C14" s="368">
        <v>2022</v>
      </c>
      <c r="D14" s="368">
        <v>2023</v>
      </c>
      <c r="E14" s="369" t="s">
        <v>158</v>
      </c>
      <c r="G14" s="291">
        <v>44713</v>
      </c>
      <c r="H14" s="341">
        <v>524741.7259615385</v>
      </c>
      <c r="I14" s="342">
        <v>5.65</v>
      </c>
      <c r="J14" s="343">
        <v>2964790.7516826927</v>
      </c>
      <c r="K14" s="341">
        <v>-1059927.1537242546</v>
      </c>
      <c r="L14" s="341">
        <v>323.41281014848209</v>
      </c>
      <c r="M14" s="342">
        <v>17.149999999999999</v>
      </c>
      <c r="N14" s="342">
        <v>10.62</v>
      </c>
      <c r="O14" s="344">
        <v>-18174316.042327188</v>
      </c>
      <c r="P14" s="345">
        <v>3952932.9129210003</v>
      </c>
      <c r="Q14" s="345">
        <v>1590173.7540925001</v>
      </c>
      <c r="R14" s="351">
        <v>416</v>
      </c>
      <c r="S14" s="351">
        <v>304</v>
      </c>
    </row>
    <row r="15" spans="1:19" ht="15" thickTop="1">
      <c r="B15" s="352" t="s">
        <v>166</v>
      </c>
      <c r="C15" s="373">
        <v>-4277.3327999999992</v>
      </c>
      <c r="D15" s="373">
        <v>-4277.3327999999992</v>
      </c>
      <c r="E15" s="373">
        <v>-8554.6655999999984</v>
      </c>
      <c r="G15" s="291">
        <v>44743</v>
      </c>
      <c r="H15" s="341">
        <v>490206.24000000022</v>
      </c>
      <c r="I15" s="342">
        <v>12.14</v>
      </c>
      <c r="J15" s="343">
        <v>5951103.7536000032</v>
      </c>
      <c r="K15" s="341">
        <v>-537766.35472244117</v>
      </c>
      <c r="L15" s="341">
        <v>177800.91169557659</v>
      </c>
      <c r="M15" s="342">
        <v>36.83</v>
      </c>
      <c r="N15" s="342">
        <v>21.36</v>
      </c>
      <c r="O15" s="344">
        <v>-16008107.370609991</v>
      </c>
      <c r="P15" s="345">
        <v>3505339.3100824999</v>
      </c>
      <c r="Q15" s="345">
        <v>1757589.469515</v>
      </c>
      <c r="R15" s="351">
        <v>400</v>
      </c>
      <c r="S15" s="351">
        <v>344</v>
      </c>
    </row>
    <row r="16" spans="1:19">
      <c r="B16" s="352" t="s">
        <v>167</v>
      </c>
      <c r="C16" s="373">
        <v>0</v>
      </c>
      <c r="D16" s="373">
        <v>0</v>
      </c>
      <c r="E16" s="373">
        <v>0</v>
      </c>
      <c r="G16" s="291">
        <v>44774</v>
      </c>
      <c r="H16" s="341">
        <v>636317.34722222248</v>
      </c>
      <c r="I16" s="342">
        <v>11.83</v>
      </c>
      <c r="J16" s="343">
        <v>7527634.2176388921</v>
      </c>
      <c r="K16" s="341">
        <v>-390177.78675676213</v>
      </c>
      <c r="L16" s="341">
        <v>103370.54898184206</v>
      </c>
      <c r="M16" s="342">
        <v>35.869999999999997</v>
      </c>
      <c r="N16" s="342">
        <v>26.85</v>
      </c>
      <c r="O16" s="344">
        <v>-11220177.970802596</v>
      </c>
      <c r="P16" s="345">
        <v>3425259.1536944997</v>
      </c>
      <c r="Q16" s="345">
        <v>1660955.4979559998</v>
      </c>
      <c r="R16" s="351">
        <v>432</v>
      </c>
      <c r="S16" s="351">
        <v>312</v>
      </c>
    </row>
    <row r="17" spans="1:19">
      <c r="A17" s="252"/>
      <c r="B17" s="352" t="s">
        <v>168</v>
      </c>
      <c r="C17" s="399">
        <v>-0.75780420426248596</v>
      </c>
      <c r="D17" s="399">
        <v>-0.79364320634784102</v>
      </c>
      <c r="E17" s="373">
        <v>-1.5514474106103271</v>
      </c>
      <c r="G17" s="292">
        <v>44805</v>
      </c>
      <c r="H17" s="346">
        <v>476739.06499999994</v>
      </c>
      <c r="I17" s="347">
        <v>9.2899999999999991</v>
      </c>
      <c r="J17" s="348">
        <v>4428905.9138499992</v>
      </c>
      <c r="K17" s="346">
        <v>-343859.03821881709</v>
      </c>
      <c r="L17" s="346">
        <v>48849.337261395645</v>
      </c>
      <c r="M17" s="347">
        <v>28.15</v>
      </c>
      <c r="N17" s="347">
        <v>28.95</v>
      </c>
      <c r="O17" s="349">
        <v>-8265443.6121422965</v>
      </c>
      <c r="P17" s="345">
        <v>2999684.9937805003</v>
      </c>
      <c r="Q17" s="345">
        <v>1700507.5612094998</v>
      </c>
      <c r="R17" s="351">
        <v>400</v>
      </c>
      <c r="S17" s="351">
        <v>320</v>
      </c>
    </row>
    <row r="18" spans="1:19">
      <c r="A18" s="252"/>
      <c r="B18" s="352" t="s">
        <v>169</v>
      </c>
      <c r="C18" s="253">
        <v>-1070.472</v>
      </c>
      <c r="D18" s="253">
        <v>-1070.472</v>
      </c>
      <c r="E18" s="253">
        <v>-2140.944</v>
      </c>
      <c r="G18" s="291">
        <v>44835</v>
      </c>
      <c r="H18" s="341">
        <v>261618.29326923075</v>
      </c>
      <c r="I18" s="342">
        <v>9.8699999999999992</v>
      </c>
      <c r="J18" s="343">
        <v>2582172.5545673072</v>
      </c>
      <c r="K18" s="341">
        <v>-189155.16305455938</v>
      </c>
      <c r="L18" s="341">
        <v>115774.72279184579</v>
      </c>
      <c r="M18" s="342">
        <v>29.92</v>
      </c>
      <c r="N18" s="342">
        <v>28.27</v>
      </c>
      <c r="O18" s="344">
        <v>-2386571.0652669366</v>
      </c>
      <c r="P18" s="345">
        <v>2920790.2645354997</v>
      </c>
      <c r="Q18" s="350">
        <v>1633134.1562275002</v>
      </c>
      <c r="R18" s="351">
        <v>416</v>
      </c>
      <c r="S18" s="351">
        <v>328</v>
      </c>
    </row>
    <row r="19" spans="1:19">
      <c r="A19" s="252"/>
      <c r="B19" s="352" t="s">
        <v>170</v>
      </c>
      <c r="C19" s="253">
        <v>-879</v>
      </c>
      <c r="D19" s="253">
        <v>-879</v>
      </c>
      <c r="E19" s="253">
        <v>-1758</v>
      </c>
      <c r="G19" s="291">
        <v>44866</v>
      </c>
      <c r="H19" s="341">
        <v>322761.48749999993</v>
      </c>
      <c r="I19" s="342">
        <v>10.46</v>
      </c>
      <c r="J19" s="343">
        <v>3376085.1592499996</v>
      </c>
      <c r="K19" s="341">
        <v>-376629.49828520592</v>
      </c>
      <c r="L19" s="341">
        <v>-50419.293342038705</v>
      </c>
      <c r="M19" s="342">
        <v>31.71</v>
      </c>
      <c r="N19" s="342">
        <v>29.14</v>
      </c>
      <c r="O19" s="344">
        <v>-13412139.598610889</v>
      </c>
      <c r="P19" s="345">
        <v>3537945.1705555003</v>
      </c>
      <c r="Q19" s="345">
        <v>2227488.4194209999</v>
      </c>
      <c r="R19" s="351">
        <v>400</v>
      </c>
      <c r="S19" s="351">
        <v>321</v>
      </c>
    </row>
    <row r="20" spans="1:19">
      <c r="A20" s="252"/>
      <c r="B20" s="352" t="s">
        <v>171</v>
      </c>
      <c r="C20" s="253">
        <v>-243708.90835027245</v>
      </c>
      <c r="D20" s="253">
        <v>-243818.9501873941</v>
      </c>
      <c r="E20" s="253">
        <v>-487527.85853766656</v>
      </c>
      <c r="G20" s="291">
        <v>44896</v>
      </c>
      <c r="H20" s="341">
        <v>674424.98557692335</v>
      </c>
      <c r="I20" s="342">
        <v>12.78</v>
      </c>
      <c r="J20" s="343">
        <v>8619151.3156730793</v>
      </c>
      <c r="K20" s="341">
        <v>298722.84485342563</v>
      </c>
      <c r="L20" s="341">
        <v>137986.87033294066</v>
      </c>
      <c r="M20" s="342">
        <v>38.76</v>
      </c>
      <c r="N20" s="342">
        <v>32.049999999999997</v>
      </c>
      <c r="O20" s="344">
        <v>16000976.660689525</v>
      </c>
      <c r="P20" s="345">
        <v>3223872.7356785</v>
      </c>
      <c r="Q20" s="345">
        <v>2419334.9120455002</v>
      </c>
      <c r="R20" s="351">
        <v>416</v>
      </c>
      <c r="S20" s="351">
        <v>328</v>
      </c>
    </row>
    <row r="21" spans="1:19">
      <c r="A21" s="252"/>
      <c r="B21" s="352" t="s">
        <v>172</v>
      </c>
      <c r="C21" s="253"/>
      <c r="D21" s="253"/>
      <c r="E21" s="253">
        <v>0</v>
      </c>
      <c r="G21" s="291">
        <v>44927</v>
      </c>
      <c r="H21" s="341">
        <v>523881.32000000018</v>
      </c>
      <c r="I21" s="342">
        <v>11.31</v>
      </c>
      <c r="J21" s="343">
        <v>5925097.7292000027</v>
      </c>
      <c r="K21" s="341">
        <v>699465.43304059317</v>
      </c>
      <c r="L21" s="341">
        <v>491513.21670748456</v>
      </c>
      <c r="M21" s="342">
        <v>34.29</v>
      </c>
      <c r="N21" s="342">
        <v>25.85</v>
      </c>
      <c r="O21" s="344">
        <v>36690286.350850418</v>
      </c>
      <c r="P21" s="345">
        <v>2651579.7252024999</v>
      </c>
      <c r="Q21" s="345">
        <v>2009469.8153045001</v>
      </c>
      <c r="R21" s="351">
        <v>400</v>
      </c>
      <c r="S21" s="351">
        <v>344</v>
      </c>
    </row>
    <row r="22" spans="1:19">
      <c r="A22" s="252"/>
      <c r="B22" s="370" t="s">
        <v>173</v>
      </c>
      <c r="C22" s="253">
        <v>-86167.760896540989</v>
      </c>
      <c r="D22" s="253">
        <v>-79301.384944645775</v>
      </c>
      <c r="E22" s="253">
        <v>-165469.14584118675</v>
      </c>
      <c r="G22" s="291">
        <v>44958</v>
      </c>
      <c r="H22" s="341">
        <v>357502.7109375</v>
      </c>
      <c r="I22" s="342">
        <v>11.47</v>
      </c>
      <c r="J22" s="343">
        <v>4100556.0944531253</v>
      </c>
      <c r="K22" s="341">
        <v>565494.24557642278</v>
      </c>
      <c r="L22" s="341">
        <v>311507.06012275582</v>
      </c>
      <c r="M22" s="342">
        <v>34.79</v>
      </c>
      <c r="N22" s="342">
        <v>28.29</v>
      </c>
      <c r="O22" s="344">
        <v>28486079.534476511</v>
      </c>
      <c r="P22" s="345">
        <v>2346690.1216629995</v>
      </c>
      <c r="Q22" s="345">
        <v>1693143.6717284999</v>
      </c>
      <c r="R22" s="351">
        <v>384</v>
      </c>
      <c r="S22" s="351">
        <v>288</v>
      </c>
    </row>
    <row r="23" spans="1:19">
      <c r="A23" s="252"/>
      <c r="B23" s="370" t="s">
        <v>174</v>
      </c>
      <c r="C23" s="253">
        <v>4070.1127817001793</v>
      </c>
      <c r="D23" s="253">
        <v>-4018.7899960985251</v>
      </c>
      <c r="E23" s="253">
        <v>51.322785601654232</v>
      </c>
      <c r="G23" s="291">
        <v>44986</v>
      </c>
      <c r="H23" s="341">
        <v>558228.39351851842</v>
      </c>
      <c r="I23" s="342">
        <v>9.09</v>
      </c>
      <c r="J23" s="343">
        <v>5074296.097083332</v>
      </c>
      <c r="K23" s="341">
        <v>135535.12797970051</v>
      </c>
      <c r="L23" s="341">
        <v>167041.91116983542</v>
      </c>
      <c r="M23" s="342">
        <v>27.57</v>
      </c>
      <c r="N23" s="342">
        <v>28.44</v>
      </c>
      <c r="O23" s="344">
        <v>8487375.4320704639</v>
      </c>
      <c r="P23" s="345">
        <v>2961839.2513114996</v>
      </c>
      <c r="Q23" s="345">
        <v>1860906.497004</v>
      </c>
      <c r="R23" s="351">
        <v>432</v>
      </c>
      <c r="S23" s="351">
        <v>311</v>
      </c>
    </row>
    <row r="24" spans="1:19">
      <c r="A24" s="252"/>
      <c r="B24" s="370" t="s">
        <v>175</v>
      </c>
      <c r="C24" s="253">
        <v>-2010</v>
      </c>
      <c r="D24" s="253">
        <v>-2010</v>
      </c>
      <c r="E24" s="253">
        <v>-4020</v>
      </c>
      <c r="G24" s="291">
        <v>45017</v>
      </c>
      <c r="H24" s="341">
        <v>455216.85499999998</v>
      </c>
      <c r="I24" s="342">
        <v>6.83</v>
      </c>
      <c r="J24" s="343">
        <v>3109131.1196499998</v>
      </c>
      <c r="K24" s="341">
        <v>219417.32543309522</v>
      </c>
      <c r="L24" s="341">
        <v>280944.94614152319</v>
      </c>
      <c r="M24" s="342">
        <v>20.71</v>
      </c>
      <c r="N24" s="342">
        <v>25.66</v>
      </c>
      <c r="O24" s="344">
        <v>11753180.127710886</v>
      </c>
      <c r="P24" s="345">
        <v>2307313.6325114998</v>
      </c>
      <c r="Q24" s="345">
        <v>1436906.3942220001</v>
      </c>
      <c r="R24" s="351">
        <v>400</v>
      </c>
      <c r="S24" s="351">
        <v>320</v>
      </c>
    </row>
    <row r="25" spans="1:19">
      <c r="A25" s="252"/>
      <c r="B25" s="370" t="s">
        <v>176</v>
      </c>
      <c r="C25" s="253">
        <v>-150.89012399999999</v>
      </c>
      <c r="D25" s="253">
        <v>-166.89648360000001</v>
      </c>
      <c r="E25" s="253">
        <v>-317.78660760000002</v>
      </c>
      <c r="G25" s="291">
        <v>45047</v>
      </c>
      <c r="H25" s="341">
        <v>399463.22355769249</v>
      </c>
      <c r="I25" s="342">
        <v>5.36</v>
      </c>
      <c r="J25" s="343">
        <v>2141122.8782692319</v>
      </c>
      <c r="K25" s="341">
        <v>-758832.43413441163</v>
      </c>
      <c r="L25" s="341">
        <v>17911.65892620934</v>
      </c>
      <c r="M25" s="342">
        <v>16.28</v>
      </c>
      <c r="N25" s="342">
        <v>16.3</v>
      </c>
      <c r="O25" s="344">
        <v>-12061831.987211009</v>
      </c>
      <c r="P25" s="345">
        <v>3495709.6741295001</v>
      </c>
      <c r="Q25" s="345">
        <v>1691934.7265655</v>
      </c>
      <c r="R25" s="351">
        <v>416</v>
      </c>
      <c r="S25" s="351">
        <v>328</v>
      </c>
    </row>
    <row r="26" spans="1:19">
      <c r="A26" s="252"/>
      <c r="B26" s="370" t="s">
        <v>177</v>
      </c>
      <c r="C26" s="253">
        <v>-1537.3857617846481</v>
      </c>
      <c r="D26" s="253">
        <v>-1767.1954349036189</v>
      </c>
      <c r="E26" s="253">
        <v>-3304.581196688267</v>
      </c>
      <c r="G26" s="291">
        <v>45078</v>
      </c>
      <c r="H26" s="341">
        <v>532657.15384615387</v>
      </c>
      <c r="I26" s="342">
        <v>5.65</v>
      </c>
      <c r="J26" s="343">
        <v>3009512.9192307694</v>
      </c>
      <c r="K26" s="341">
        <v>-1045932.5453681955</v>
      </c>
      <c r="L26" s="341">
        <v>10600.741230730469</v>
      </c>
      <c r="M26" s="342">
        <v>17.149999999999999</v>
      </c>
      <c r="N26" s="342">
        <v>10.62</v>
      </c>
      <c r="O26" s="344">
        <v>-17825163.281194195</v>
      </c>
      <c r="P26" s="345">
        <v>3952932.9129210003</v>
      </c>
      <c r="Q26" s="345">
        <v>1590173.7540925001</v>
      </c>
      <c r="R26" s="351">
        <v>416</v>
      </c>
      <c r="S26" s="351">
        <v>304</v>
      </c>
    </row>
    <row r="27" spans="1:19">
      <c r="A27" s="252"/>
      <c r="B27" s="371" t="s">
        <v>178</v>
      </c>
      <c r="C27" s="372">
        <v>-30186.655665504524</v>
      </c>
      <c r="D27" s="372">
        <v>-30577.444294714347</v>
      </c>
      <c r="E27" s="372">
        <v>-60764.099960218868</v>
      </c>
      <c r="G27" s="291">
        <v>45108</v>
      </c>
      <c r="H27" s="341">
        <v>498207.49500000011</v>
      </c>
      <c r="I27" s="342">
        <v>12.14</v>
      </c>
      <c r="J27" s="343">
        <v>6048238.9893000014</v>
      </c>
      <c r="K27" s="341">
        <v>-523002.40519816038</v>
      </c>
      <c r="L27" s="341">
        <v>189954.67536540379</v>
      </c>
      <c r="M27" s="342">
        <v>36.83</v>
      </c>
      <c r="N27" s="342">
        <v>21.36</v>
      </c>
      <c r="O27" s="344">
        <v>-15204746.717643222</v>
      </c>
      <c r="P27" s="345">
        <v>3505339.3100824999</v>
      </c>
      <c r="Q27" s="345">
        <v>1757589.469515</v>
      </c>
      <c r="R27" s="351">
        <v>400</v>
      </c>
      <c r="S27" s="351">
        <v>344</v>
      </c>
    </row>
    <row r="28" spans="1:19">
      <c r="A28" s="252"/>
      <c r="B28" s="352" t="s">
        <v>179</v>
      </c>
      <c r="C28" s="373">
        <v>-365919.05062060669</v>
      </c>
      <c r="D28" s="373">
        <v>-367888.2597845628</v>
      </c>
      <c r="E28" s="373">
        <v>-733807.3104051695</v>
      </c>
      <c r="G28" s="291">
        <v>45139</v>
      </c>
      <c r="H28" s="341">
        <v>644059.52546296327</v>
      </c>
      <c r="I28" s="342">
        <v>11.83</v>
      </c>
      <c r="J28" s="343">
        <v>7619224.186226856</v>
      </c>
      <c r="K28" s="341">
        <v>-374016.81879157753</v>
      </c>
      <c r="L28" s="341">
        <v>116209.2685900424</v>
      </c>
      <c r="M28" s="342">
        <v>35.869999999999997</v>
      </c>
      <c r="N28" s="342">
        <v>26.85</v>
      </c>
      <c r="O28" s="344">
        <v>-10295764.428411247</v>
      </c>
      <c r="P28" s="345">
        <v>3425259.1536944997</v>
      </c>
      <c r="Q28" s="345">
        <v>1660955.4979559998</v>
      </c>
      <c r="R28" s="351">
        <v>432</v>
      </c>
      <c r="S28" s="351">
        <v>312</v>
      </c>
    </row>
    <row r="29" spans="1:19">
      <c r="A29" s="252"/>
      <c r="B29" s="363"/>
      <c r="C29" s="364"/>
      <c r="D29" s="363"/>
      <c r="E29" s="363"/>
      <c r="G29" s="292">
        <v>45170</v>
      </c>
      <c r="H29" s="346">
        <v>467292.98999999982</v>
      </c>
      <c r="I29" s="347">
        <v>9.2899999999999991</v>
      </c>
      <c r="J29" s="348">
        <v>4341151.8770999983</v>
      </c>
      <c r="K29" s="346">
        <v>-322877.31338100322</v>
      </c>
      <c r="L29" s="346">
        <v>67000.586983770001</v>
      </c>
      <c r="M29" s="347">
        <v>28.15</v>
      </c>
      <c r="N29" s="347">
        <v>28.95</v>
      </c>
      <c r="O29" s="349">
        <v>-7149329.3784950981</v>
      </c>
      <c r="P29" s="345">
        <v>2999684.9937805003</v>
      </c>
      <c r="Q29" s="345">
        <v>1700507.5612094998</v>
      </c>
      <c r="R29" s="351">
        <v>400</v>
      </c>
      <c r="S29" s="351">
        <v>320</v>
      </c>
    </row>
    <row r="30" spans="1:19" ht="15" thickBot="1">
      <c r="A30" s="252"/>
      <c r="B30" s="367" t="s">
        <v>180</v>
      </c>
      <c r="C30" s="374">
        <v>2022</v>
      </c>
      <c r="D30" s="374">
        <v>2023</v>
      </c>
      <c r="E30" s="375" t="s">
        <v>158</v>
      </c>
    </row>
    <row r="31" spans="1:19" ht="15" thickTop="1">
      <c r="A31" s="252"/>
      <c r="B31" s="352" t="s">
        <v>181</v>
      </c>
      <c r="C31" s="255">
        <v>20509.489529600003</v>
      </c>
      <c r="D31" s="255">
        <v>20509.489529600003</v>
      </c>
      <c r="E31" s="255">
        <v>41018.979059200006</v>
      </c>
      <c r="G31" s="243"/>
      <c r="H31" s="247" t="s">
        <v>541</v>
      </c>
    </row>
    <row r="32" spans="1:19">
      <c r="A32" s="252"/>
      <c r="B32" s="353" t="s">
        <v>182</v>
      </c>
      <c r="C32" s="257">
        <v>39482.022521711951</v>
      </c>
      <c r="D32" s="257">
        <v>40009.386343611863</v>
      </c>
      <c r="E32" s="257">
        <v>79491.408865323814</v>
      </c>
      <c r="G32" s="247" t="s">
        <v>215</v>
      </c>
      <c r="H32" s="248">
        <v>10.9</v>
      </c>
      <c r="I32" s="243"/>
      <c r="M32" s="290"/>
    </row>
    <row r="33" spans="1:16">
      <c r="A33" s="252"/>
      <c r="B33" s="352" t="s">
        <v>179</v>
      </c>
      <c r="C33" s="255">
        <v>59991.512051311955</v>
      </c>
      <c r="D33" s="255">
        <v>60518.875873211866</v>
      </c>
      <c r="E33" s="255">
        <v>120510.38792452382</v>
      </c>
      <c r="G33" s="247" t="s">
        <v>223</v>
      </c>
      <c r="H33" s="249">
        <v>-6.11</v>
      </c>
      <c r="I33" s="245"/>
      <c r="M33" s="290"/>
      <c r="N33" s="290"/>
    </row>
    <row r="34" spans="1:16">
      <c r="A34" s="252"/>
      <c r="B34" s="363"/>
      <c r="C34" s="364"/>
      <c r="D34" s="363"/>
      <c r="E34" s="363"/>
      <c r="G34" s="247" t="s">
        <v>240</v>
      </c>
      <c r="H34" s="247">
        <f>(SUMPRODUCT(M6:M29,R6:R29)+SUMPRODUCT(N6:N29,S6:S29))/SUM(R6:S29)</f>
        <v>27.474719178082193</v>
      </c>
      <c r="I34" s="243"/>
    </row>
    <row r="35" spans="1:16" ht="15" thickBot="1">
      <c r="A35" s="252"/>
      <c r="B35" s="355"/>
      <c r="C35" s="376">
        <v>2022</v>
      </c>
      <c r="D35" s="376">
        <v>2023</v>
      </c>
      <c r="E35" s="377" t="s">
        <v>158</v>
      </c>
      <c r="G35" s="247" t="s">
        <v>542</v>
      </c>
      <c r="H35" s="232">
        <v>6736.3590000000004</v>
      </c>
      <c r="I35" s="243"/>
    </row>
    <row r="36" spans="1:16" ht="15" thickTop="1">
      <c r="A36" s="252"/>
      <c r="B36" s="354" t="s">
        <v>159</v>
      </c>
      <c r="C36" s="378">
        <v>2253277.058401817</v>
      </c>
      <c r="D36" s="378">
        <v>2297672.2129353252</v>
      </c>
      <c r="E36" s="378">
        <v>4550949.2713371431</v>
      </c>
      <c r="G36" s="247" t="s">
        <v>543</v>
      </c>
      <c r="H36" s="232">
        <v>6736.3610000000044</v>
      </c>
    </row>
    <row r="37" spans="1:16">
      <c r="A37" s="252"/>
      <c r="B37" s="363"/>
      <c r="C37" s="364"/>
      <c r="D37" s="363"/>
      <c r="E37" s="363"/>
      <c r="J37" s="258"/>
      <c r="K37" s="258"/>
      <c r="L37" s="258"/>
      <c r="M37" s="258"/>
      <c r="N37" s="258"/>
      <c r="O37" s="258"/>
      <c r="P37" s="258"/>
    </row>
    <row r="38" spans="1:16" ht="15" thickBot="1">
      <c r="A38" s="252"/>
      <c r="B38" s="367" t="s">
        <v>183</v>
      </c>
      <c r="C38" s="379">
        <v>2022</v>
      </c>
      <c r="D38" s="379">
        <v>2023</v>
      </c>
      <c r="E38" s="380" t="s">
        <v>158</v>
      </c>
      <c r="J38" s="258"/>
      <c r="K38" s="258"/>
      <c r="L38" s="258"/>
      <c r="M38" s="258"/>
      <c r="N38" s="258"/>
      <c r="O38" s="258"/>
      <c r="P38" s="258"/>
    </row>
    <row r="39" spans="1:16" ht="15" thickTop="1">
      <c r="A39" s="252"/>
      <c r="B39" s="352" t="s">
        <v>184</v>
      </c>
      <c r="C39" s="259">
        <v>-503855.50157347461</v>
      </c>
      <c r="D39" s="259">
        <v>-447898.23147506529</v>
      </c>
      <c r="E39" s="259">
        <v>-951753.73304853984</v>
      </c>
      <c r="J39" s="287"/>
      <c r="K39" s="282"/>
      <c r="L39" s="282"/>
      <c r="M39" s="283"/>
      <c r="N39" s="283"/>
      <c r="O39" s="284"/>
      <c r="P39" s="258"/>
    </row>
    <row r="40" spans="1:16">
      <c r="A40" s="252"/>
      <c r="B40" s="370" t="s">
        <v>173</v>
      </c>
      <c r="C40" s="259">
        <v>86167.760896540989</v>
      </c>
      <c r="D40" s="259">
        <v>79301.384944645775</v>
      </c>
      <c r="E40" s="259">
        <v>165469.14584118675</v>
      </c>
      <c r="J40" s="287"/>
      <c r="K40" s="282"/>
      <c r="L40" s="282"/>
      <c r="M40" s="283"/>
      <c r="N40" s="283"/>
      <c r="O40" s="284"/>
      <c r="P40" s="258"/>
    </row>
    <row r="41" spans="1:16">
      <c r="A41" s="252"/>
      <c r="B41" s="352" t="s">
        <v>243</v>
      </c>
      <c r="C41" s="259">
        <v>0</v>
      </c>
      <c r="D41" s="259">
        <v>0</v>
      </c>
      <c r="E41" s="259">
        <v>0</v>
      </c>
      <c r="G41" s="285"/>
      <c r="H41" s="282"/>
      <c r="I41" s="286"/>
      <c r="J41" s="287"/>
      <c r="K41" s="282"/>
      <c r="L41" s="282"/>
      <c r="M41" s="283"/>
      <c r="N41" s="283"/>
      <c r="O41" s="284"/>
      <c r="P41" s="258"/>
    </row>
    <row r="42" spans="1:16">
      <c r="A42" s="252"/>
      <c r="B42" s="352" t="s">
        <v>185</v>
      </c>
      <c r="C42" s="259">
        <v>-236</v>
      </c>
      <c r="D42" s="259">
        <v>-236</v>
      </c>
      <c r="E42" s="259">
        <v>-472</v>
      </c>
      <c r="G42" s="285"/>
      <c r="H42" s="282"/>
      <c r="I42" s="286"/>
      <c r="J42" s="287"/>
      <c r="K42" s="282"/>
      <c r="L42" s="282"/>
      <c r="M42" s="283"/>
      <c r="N42" s="283"/>
      <c r="O42" s="284"/>
      <c r="P42" s="258"/>
    </row>
    <row r="43" spans="1:16">
      <c r="A43" s="252"/>
      <c r="B43" s="352" t="s">
        <v>236</v>
      </c>
      <c r="C43" s="259">
        <v>0</v>
      </c>
      <c r="D43" s="259">
        <v>0</v>
      </c>
      <c r="E43" s="259">
        <v>0</v>
      </c>
      <c r="G43" s="285"/>
      <c r="H43" s="282"/>
      <c r="I43" s="286"/>
      <c r="J43" s="287"/>
      <c r="K43" s="282"/>
      <c r="L43" s="282"/>
      <c r="M43" s="283"/>
      <c r="N43" s="283"/>
      <c r="O43" s="284"/>
      <c r="P43" s="258"/>
    </row>
    <row r="44" spans="1:16">
      <c r="A44" s="252"/>
      <c r="B44" s="352" t="s">
        <v>186</v>
      </c>
      <c r="C44" s="259">
        <v>-12712.70277919416</v>
      </c>
      <c r="D44" s="259">
        <v>-23082.351648965217</v>
      </c>
      <c r="E44" s="259">
        <v>-35795.054428159376</v>
      </c>
      <c r="G44" s="285"/>
      <c r="H44" s="282"/>
      <c r="I44" s="286"/>
      <c r="J44" s="287"/>
      <c r="K44" s="282"/>
      <c r="L44" s="282"/>
      <c r="M44" s="283"/>
      <c r="N44" s="283"/>
      <c r="O44" s="284"/>
      <c r="P44" s="258"/>
    </row>
    <row r="45" spans="1:16">
      <c r="A45" s="252"/>
      <c r="B45" s="352" t="s">
        <v>174</v>
      </c>
      <c r="C45" s="259">
        <v>-4070.1127817001793</v>
      </c>
      <c r="D45" s="259">
        <v>4018.7899960985251</v>
      </c>
      <c r="E45" s="259">
        <v>-51.322785601654232</v>
      </c>
      <c r="G45" s="285"/>
      <c r="H45" s="282"/>
      <c r="I45" s="286"/>
      <c r="J45" s="287"/>
      <c r="K45" s="282"/>
      <c r="L45" s="282"/>
      <c r="M45" s="283"/>
      <c r="N45" s="283"/>
      <c r="O45" s="284"/>
      <c r="P45" s="258"/>
    </row>
    <row r="46" spans="1:16">
      <c r="A46" s="252"/>
      <c r="B46" s="370" t="s">
        <v>187</v>
      </c>
      <c r="C46" s="259">
        <v>-54968.83555289467</v>
      </c>
      <c r="D46" s="259">
        <v>-55945.740920003707</v>
      </c>
      <c r="E46" s="259">
        <v>-110914.57647289838</v>
      </c>
      <c r="G46" s="285"/>
      <c r="H46" s="282"/>
      <c r="I46" s="286"/>
      <c r="J46" s="287"/>
      <c r="K46" s="282"/>
      <c r="L46" s="282"/>
      <c r="M46" s="283"/>
      <c r="N46" s="283"/>
      <c r="O46" s="284"/>
      <c r="P46" s="258"/>
    </row>
    <row r="47" spans="1:16">
      <c r="A47" s="252"/>
      <c r="B47" s="381" t="s">
        <v>188</v>
      </c>
      <c r="C47" s="259">
        <v>-76</v>
      </c>
      <c r="D47" s="259">
        <v>-76</v>
      </c>
      <c r="E47" s="259">
        <v>-152</v>
      </c>
      <c r="G47" s="285"/>
      <c r="H47" s="282"/>
      <c r="I47" s="286"/>
      <c r="J47" s="287"/>
      <c r="K47" s="282"/>
      <c r="L47" s="282"/>
      <c r="M47" s="283"/>
      <c r="N47" s="283"/>
      <c r="O47" s="284"/>
      <c r="P47" s="258"/>
    </row>
    <row r="48" spans="1:16">
      <c r="A48" s="252"/>
      <c r="B48" s="381" t="s">
        <v>189</v>
      </c>
      <c r="C48" s="382">
        <v>0</v>
      </c>
      <c r="D48" s="382">
        <v>0</v>
      </c>
      <c r="E48" s="382">
        <v>0</v>
      </c>
      <c r="G48" s="285"/>
      <c r="H48" s="282"/>
      <c r="I48" s="286"/>
      <c r="J48" s="287"/>
      <c r="K48" s="282"/>
      <c r="L48" s="282"/>
      <c r="M48" s="283"/>
      <c r="N48" s="283"/>
      <c r="O48" s="284"/>
      <c r="P48" s="258"/>
    </row>
    <row r="49" spans="1:16">
      <c r="A49" s="252"/>
      <c r="B49" s="381" t="s">
        <v>190</v>
      </c>
      <c r="C49" s="382">
        <v>0</v>
      </c>
      <c r="D49" s="382">
        <v>0</v>
      </c>
      <c r="E49" s="382">
        <v>0</v>
      </c>
      <c r="G49" s="285"/>
      <c r="H49" s="282"/>
      <c r="I49" s="286"/>
      <c r="J49" s="287"/>
      <c r="K49" s="282"/>
      <c r="L49" s="282"/>
      <c r="M49" s="283"/>
      <c r="N49" s="283"/>
      <c r="O49" s="284"/>
      <c r="P49" s="258"/>
    </row>
    <row r="50" spans="1:16">
      <c r="A50" s="252"/>
      <c r="B50" s="381" t="s">
        <v>537</v>
      </c>
      <c r="C50" s="382">
        <v>0</v>
      </c>
      <c r="D50" s="382">
        <v>0</v>
      </c>
      <c r="E50" s="382">
        <v>0</v>
      </c>
      <c r="G50" s="285"/>
      <c r="H50" s="282"/>
      <c r="I50" s="286"/>
      <c r="J50" s="287"/>
      <c r="K50" s="282"/>
      <c r="L50" s="282"/>
      <c r="M50" s="283"/>
      <c r="N50" s="283"/>
      <c r="O50" s="284"/>
      <c r="P50" s="258"/>
    </row>
    <row r="51" spans="1:16">
      <c r="A51" s="252"/>
      <c r="B51" s="381" t="s">
        <v>538</v>
      </c>
      <c r="C51" s="382">
        <v>0</v>
      </c>
      <c r="D51" s="382">
        <v>0</v>
      </c>
      <c r="E51" s="382">
        <v>0</v>
      </c>
      <c r="G51" s="288"/>
      <c r="H51" s="282"/>
      <c r="I51" s="286"/>
      <c r="J51" s="287"/>
      <c r="K51" s="282"/>
      <c r="L51" s="282"/>
      <c r="M51" s="286"/>
      <c r="N51" s="286"/>
      <c r="O51" s="289"/>
      <c r="P51" s="258"/>
    </row>
    <row r="52" spans="1:16">
      <c r="A52" s="252"/>
      <c r="B52" s="353" t="s">
        <v>178</v>
      </c>
      <c r="C52" s="383">
        <v>30186.655665504524</v>
      </c>
      <c r="D52" s="383">
        <v>30577.444294714347</v>
      </c>
      <c r="E52" s="383">
        <v>60764.099960218868</v>
      </c>
      <c r="G52" s="258"/>
      <c r="H52" s="258"/>
      <c r="I52" s="258"/>
      <c r="J52" s="258"/>
      <c r="K52" s="258"/>
      <c r="L52" s="258"/>
      <c r="M52" s="258"/>
      <c r="N52" s="258"/>
      <c r="O52" s="258"/>
      <c r="P52" s="258"/>
    </row>
    <row r="53" spans="1:16">
      <c r="A53" s="252"/>
      <c r="B53" s="352" t="s">
        <v>179</v>
      </c>
      <c r="C53" s="259">
        <v>-459564.7361252181</v>
      </c>
      <c r="D53" s="259">
        <v>-413340.70480857557</v>
      </c>
      <c r="E53" s="259">
        <v>-872905.44093379367</v>
      </c>
    </row>
    <row r="54" spans="1:16">
      <c r="A54" s="252"/>
      <c r="B54" s="384"/>
      <c r="C54" s="384"/>
      <c r="D54" s="384"/>
      <c r="E54" s="384"/>
    </row>
    <row r="55" spans="1:16" ht="15" thickBot="1">
      <c r="A55" s="252"/>
      <c r="B55" s="355"/>
      <c r="C55" s="379">
        <v>2022</v>
      </c>
      <c r="D55" s="379">
        <v>2023</v>
      </c>
      <c r="E55" s="380" t="s">
        <v>158</v>
      </c>
    </row>
    <row r="56" spans="1:16" ht="15" thickTop="1">
      <c r="A56" s="252"/>
      <c r="B56" s="354" t="s">
        <v>160</v>
      </c>
      <c r="C56" s="382">
        <v>-305952.01096429036</v>
      </c>
      <c r="D56" s="382">
        <v>-268338.61269072641</v>
      </c>
      <c r="E56" s="382">
        <v>-574290.62365501677</v>
      </c>
    </row>
    <row r="57" spans="1:16">
      <c r="A57" s="252"/>
      <c r="B57" s="384"/>
      <c r="C57" s="259"/>
      <c r="D57" s="384"/>
      <c r="E57" s="384"/>
    </row>
    <row r="58" spans="1:16" ht="15" thickBot="1">
      <c r="A58" s="252"/>
      <c r="B58" s="355" t="s">
        <v>191</v>
      </c>
      <c r="C58" s="379">
        <v>2022</v>
      </c>
      <c r="D58" s="379">
        <v>2023</v>
      </c>
      <c r="E58" s="380" t="s">
        <v>158</v>
      </c>
    </row>
    <row r="59" spans="1:16" ht="15" thickTop="1">
      <c r="A59" s="252"/>
      <c r="B59" s="354" t="s">
        <v>159</v>
      </c>
      <c r="C59" s="382">
        <v>2253277.058401817</v>
      </c>
      <c r="D59" s="382">
        <v>2297672.2129353252</v>
      </c>
      <c r="E59" s="382">
        <v>4550949.2713371431</v>
      </c>
    </row>
    <row r="60" spans="1:16">
      <c r="A60" s="252"/>
      <c r="B60" s="354" t="s">
        <v>160</v>
      </c>
      <c r="C60" s="382">
        <v>-305952.01096429036</v>
      </c>
      <c r="D60" s="382">
        <v>-268338.61269072641</v>
      </c>
      <c r="E60" s="382">
        <v>-574290.62365501677</v>
      </c>
    </row>
    <row r="61" spans="1:16">
      <c r="A61" s="252"/>
      <c r="B61" s="354" t="s">
        <v>161</v>
      </c>
      <c r="C61" s="382">
        <v>0</v>
      </c>
      <c r="D61" s="382">
        <v>0</v>
      </c>
      <c r="E61" s="382">
        <v>0</v>
      </c>
    </row>
    <row r="62" spans="1:16">
      <c r="A62" s="252"/>
      <c r="B62" s="359" t="s">
        <v>162</v>
      </c>
      <c r="C62" s="383">
        <v>46009.386494016624</v>
      </c>
      <c r="D62" s="383">
        <v>48974.658380774446</v>
      </c>
      <c r="E62" s="383">
        <v>94984.04487479107</v>
      </c>
    </row>
    <row r="63" spans="1:16">
      <c r="A63" s="252"/>
      <c r="B63" s="385" t="s">
        <v>163</v>
      </c>
      <c r="C63" s="382">
        <v>1993334.4339315435</v>
      </c>
      <c r="D63" s="382">
        <v>2078308.2586253735</v>
      </c>
      <c r="E63" s="382">
        <v>4071642.6925569177</v>
      </c>
    </row>
    <row r="64" spans="1:16">
      <c r="A64" s="252"/>
      <c r="B64" s="384"/>
      <c r="C64" s="384"/>
      <c r="D64" s="384"/>
      <c r="E64" s="384"/>
    </row>
    <row r="65" spans="1:7" ht="15" thickBot="1">
      <c r="A65" s="252"/>
      <c r="B65" s="355" t="s">
        <v>192</v>
      </c>
      <c r="C65" s="379">
        <v>2022</v>
      </c>
      <c r="D65" s="379">
        <v>2023</v>
      </c>
      <c r="E65" s="380" t="s">
        <v>158</v>
      </c>
    </row>
    <row r="66" spans="1:7" ht="15" thickTop="1">
      <c r="A66" s="252"/>
      <c r="B66" s="354" t="s">
        <v>193</v>
      </c>
      <c r="C66" s="386">
        <v>94.731149999999985</v>
      </c>
      <c r="D66" s="386">
        <v>95.041910000000001</v>
      </c>
      <c r="E66" s="386">
        <v>94.886529999999993</v>
      </c>
    </row>
    <row r="67" spans="1:7">
      <c r="A67" s="252"/>
      <c r="B67" s="354" t="s">
        <v>194</v>
      </c>
      <c r="C67" s="386">
        <v>72.368479999999977</v>
      </c>
      <c r="D67" s="386">
        <v>72.679239999999993</v>
      </c>
      <c r="E67" s="386">
        <v>72.523859999999985</v>
      </c>
    </row>
    <row r="68" spans="1:7">
      <c r="A68" s="252"/>
      <c r="B68" s="354" t="s">
        <v>195</v>
      </c>
      <c r="C68" s="386">
        <v>22.362670000000001</v>
      </c>
      <c r="D68" s="386">
        <v>22.362670000000001</v>
      </c>
      <c r="E68" s="386">
        <v>22.362670000000001</v>
      </c>
    </row>
    <row r="69" spans="1:7">
      <c r="A69" s="252"/>
      <c r="B69" s="354"/>
      <c r="C69" s="382"/>
      <c r="D69" s="382"/>
      <c r="E69" s="382"/>
    </row>
    <row r="70" spans="1:7" ht="15" thickBot="1">
      <c r="A70" s="252"/>
      <c r="B70" s="355" t="s">
        <v>196</v>
      </c>
      <c r="C70" s="379">
        <v>2022</v>
      </c>
      <c r="D70" s="379">
        <v>2023</v>
      </c>
      <c r="E70" s="380" t="s">
        <v>158</v>
      </c>
    </row>
    <row r="71" spans="1:7" ht="15" thickTop="1">
      <c r="A71" s="252"/>
      <c r="B71" s="354" t="s">
        <v>159</v>
      </c>
      <c r="C71" s="382">
        <v>23786.020315406466</v>
      </c>
      <c r="D71" s="382">
        <v>24175.358143952759</v>
      </c>
      <c r="E71" s="382">
        <v>23981.008006811629</v>
      </c>
    </row>
    <row r="72" spans="1:7">
      <c r="B72" s="354" t="s">
        <v>160</v>
      </c>
      <c r="C72" s="382">
        <v>-4227.6970714914896</v>
      </c>
      <c r="D72" s="382">
        <v>-3692.0943682229813</v>
      </c>
      <c r="E72" s="382">
        <v>-3959.3219642129975</v>
      </c>
    </row>
    <row r="73" spans="1:7">
      <c r="A73" s="252"/>
      <c r="B73" s="354" t="s">
        <v>161</v>
      </c>
      <c r="C73" s="382">
        <v>0</v>
      </c>
      <c r="D73" s="382">
        <v>0</v>
      </c>
      <c r="E73" s="382">
        <v>0</v>
      </c>
    </row>
    <row r="74" spans="1:7">
      <c r="A74" s="252"/>
      <c r="B74" s="384"/>
      <c r="C74" s="384"/>
      <c r="D74" s="384"/>
      <c r="E74" s="384"/>
      <c r="G74" s="260"/>
    </row>
    <row r="75" spans="1:7" ht="15" thickBot="1">
      <c r="A75" s="252"/>
      <c r="B75" s="355" t="s">
        <v>197</v>
      </c>
      <c r="C75" s="379">
        <v>2022</v>
      </c>
      <c r="D75" s="379">
        <v>2023</v>
      </c>
      <c r="E75" s="380" t="s">
        <v>158</v>
      </c>
      <c r="G75" s="260"/>
    </row>
    <row r="76" spans="1:7" ht="15" thickTop="1">
      <c r="A76" s="252"/>
      <c r="B76" s="354" t="s">
        <v>159</v>
      </c>
      <c r="C76" s="387">
        <v>1982168.3596172053</v>
      </c>
      <c r="D76" s="387">
        <v>2014613.1786627297</v>
      </c>
      <c r="E76" s="387">
        <v>1998417.3339009692</v>
      </c>
    </row>
    <row r="77" spans="1:7">
      <c r="B77" s="354" t="s">
        <v>160</v>
      </c>
      <c r="C77" s="387">
        <v>-352308.08929095743</v>
      </c>
      <c r="D77" s="387">
        <v>-307674.53068524844</v>
      </c>
      <c r="E77" s="387">
        <v>-329943.49701774976</v>
      </c>
    </row>
    <row r="78" spans="1:7">
      <c r="A78" s="252"/>
      <c r="B78" s="354" t="s">
        <v>161</v>
      </c>
      <c r="C78" s="387">
        <v>0</v>
      </c>
      <c r="D78" s="387">
        <v>0</v>
      </c>
      <c r="E78" s="387">
        <v>0</v>
      </c>
    </row>
    <row r="79" spans="1:7">
      <c r="A79" s="252"/>
      <c r="B79" s="384"/>
      <c r="C79" s="384"/>
      <c r="D79" s="384"/>
      <c r="E79" s="384"/>
    </row>
    <row r="80" spans="1:7" ht="15" thickBot="1">
      <c r="A80" s="252"/>
      <c r="B80" s="355" t="s">
        <v>198</v>
      </c>
      <c r="C80" s="379">
        <v>2022</v>
      </c>
      <c r="D80" s="379">
        <v>2023</v>
      </c>
      <c r="E80" s="380" t="s">
        <v>158</v>
      </c>
    </row>
    <row r="81" spans="1:5" ht="15" thickTop="1">
      <c r="A81" s="252"/>
      <c r="B81" s="354" t="s">
        <v>199</v>
      </c>
      <c r="C81" s="388">
        <v>34.39</v>
      </c>
      <c r="D81" s="388">
        <v>32.99</v>
      </c>
      <c r="E81" s="388">
        <v>33.654742215524379</v>
      </c>
    </row>
    <row r="82" spans="1:5">
      <c r="A82" s="252"/>
      <c r="B82" s="354" t="s">
        <v>200</v>
      </c>
      <c r="C82" s="388">
        <v>34.39</v>
      </c>
      <c r="D82" s="388">
        <v>32.99</v>
      </c>
      <c r="E82" s="388">
        <v>33.69</v>
      </c>
    </row>
    <row r="83" spans="1:5">
      <c r="A83" s="252"/>
      <c r="B83" s="354" t="s">
        <v>244</v>
      </c>
      <c r="C83" s="388">
        <v>0</v>
      </c>
      <c r="D83" s="388">
        <v>0</v>
      </c>
      <c r="E83" s="388">
        <v>0</v>
      </c>
    </row>
    <row r="85" spans="1:5" ht="15" thickBot="1">
      <c r="C85" s="379">
        <v>2022</v>
      </c>
      <c r="D85" s="379">
        <v>2023</v>
      </c>
    </row>
    <row r="86" spans="1:5" ht="15" thickTop="1">
      <c r="B86" s="247" t="s">
        <v>544</v>
      </c>
      <c r="C86" s="246">
        <v>0.93435844146480962</v>
      </c>
      <c r="D86" s="252">
        <v>0.93037310410978913</v>
      </c>
    </row>
    <row r="87" spans="1:5">
      <c r="B87" s="247" t="s">
        <v>539</v>
      </c>
      <c r="C87" s="247">
        <v>1.1323559753835928</v>
      </c>
      <c r="D87" s="252">
        <v>1.12752622455053</v>
      </c>
    </row>
    <row r="88" spans="1:5">
      <c r="B88" s="252" t="s">
        <v>540</v>
      </c>
      <c r="C88" s="302">
        <v>-7.0443584414648104</v>
      </c>
      <c r="D88" s="302">
        <v>-7.0403731041097899</v>
      </c>
    </row>
    <row r="91" spans="1:5">
      <c r="B91" s="252" t="s">
        <v>545</v>
      </c>
      <c r="C91" s="252">
        <v>42705003.208488725</v>
      </c>
      <c r="D91" s="252">
        <v>42888384.243948758</v>
      </c>
    </row>
    <row r="92" spans="1:5">
      <c r="B92" s="252" t="s">
        <v>546</v>
      </c>
      <c r="C92" s="252">
        <v>105119.99999999999</v>
      </c>
      <c r="D92" s="252">
        <v>105119.99999999999</v>
      </c>
    </row>
    <row r="93" spans="1:5">
      <c r="B93" s="252" t="s">
        <v>547</v>
      </c>
      <c r="C93" s="252">
        <v>35237040.670358315</v>
      </c>
      <c r="D93" s="252">
        <v>35388353.268864192</v>
      </c>
    </row>
    <row r="94" spans="1:5">
      <c r="B94" s="252" t="s">
        <v>548</v>
      </c>
      <c r="C94" s="252">
        <v>87539.999999999985</v>
      </c>
      <c r="D94" s="252">
        <v>87539.999999999985</v>
      </c>
    </row>
  </sheetData>
  <conditionalFormatting sqref="B2">
    <cfRule type="expression" dxfId="5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B0F0"/>
    <pageSetUpPr fitToPage="1"/>
  </sheetPr>
  <dimension ref="A1:T94"/>
  <sheetViews>
    <sheetView zoomScale="80" zoomScaleNormal="80" workbookViewId="0">
      <selection activeCell="B1" sqref="B1"/>
    </sheetView>
  </sheetViews>
  <sheetFormatPr defaultColWidth="9.109375" defaultRowHeight="14.4"/>
  <cols>
    <col min="1" max="1" width="9.109375" style="251"/>
    <col min="2" max="2" width="61.109375" style="252" customWidth="1"/>
    <col min="3" max="3" width="17.6640625" style="252" bestFit="1" customWidth="1"/>
    <col min="4" max="5" width="18.33203125" style="252" bestFit="1" customWidth="1"/>
    <col min="6" max="6" width="9.109375" style="252"/>
    <col min="7" max="7" width="10.5546875" style="252" bestFit="1" customWidth="1"/>
    <col min="8" max="14" width="13.88671875" style="252" customWidth="1"/>
    <col min="15" max="15" width="15.44140625" style="252" customWidth="1"/>
    <col min="16" max="16" width="13.88671875" style="252" customWidth="1"/>
    <col min="17" max="17" width="14.33203125" style="252" bestFit="1" customWidth="1"/>
    <col min="18" max="18" width="6.33203125" style="252" customWidth="1"/>
    <col min="19" max="19" width="5.33203125" style="252" bestFit="1" customWidth="1"/>
    <col min="20" max="16384" width="9.109375" style="252"/>
  </cols>
  <sheetData>
    <row r="1" spans="1:19">
      <c r="A1" s="250"/>
      <c r="B1" s="389" t="s">
        <v>156</v>
      </c>
      <c r="C1" s="243"/>
      <c r="D1" s="243"/>
      <c r="E1" s="243"/>
    </row>
    <row r="2" spans="1:19">
      <c r="A2" s="263"/>
      <c r="B2" s="320" t="s">
        <v>604</v>
      </c>
      <c r="C2" s="243"/>
      <c r="D2" s="243"/>
      <c r="E2" s="243"/>
    </row>
    <row r="3" spans="1:19">
      <c r="A3" s="265"/>
      <c r="B3" s="243"/>
      <c r="C3" s="243"/>
      <c r="D3" s="243"/>
      <c r="E3" s="243"/>
    </row>
    <row r="4" spans="1:19" ht="7.5" customHeight="1">
      <c r="B4" s="243"/>
      <c r="C4" s="243"/>
      <c r="D4" s="243"/>
      <c r="E4" s="243"/>
    </row>
    <row r="5" spans="1:19" ht="43.8" thickBot="1">
      <c r="B5" s="390" t="s">
        <v>157</v>
      </c>
      <c r="C5" s="356">
        <v>2024</v>
      </c>
      <c r="D5" s="356">
        <v>2025</v>
      </c>
      <c r="E5" s="357" t="s">
        <v>158</v>
      </c>
      <c r="G5" s="266"/>
      <c r="H5" s="267" t="s">
        <v>201</v>
      </c>
      <c r="I5" s="267" t="s">
        <v>202</v>
      </c>
      <c r="J5" s="267" t="s">
        <v>203</v>
      </c>
      <c r="K5" s="267" t="s">
        <v>204</v>
      </c>
      <c r="L5" s="267" t="s">
        <v>205</v>
      </c>
      <c r="M5" s="267" t="s">
        <v>206</v>
      </c>
      <c r="N5" s="267" t="s">
        <v>207</v>
      </c>
      <c r="O5" s="267" t="s">
        <v>208</v>
      </c>
      <c r="P5" s="267" t="s">
        <v>266</v>
      </c>
      <c r="Q5" s="267" t="s">
        <v>267</v>
      </c>
      <c r="R5" s="267" t="s">
        <v>143</v>
      </c>
      <c r="S5" s="267" t="s">
        <v>144</v>
      </c>
    </row>
    <row r="6" spans="1:19" ht="15" thickTop="1">
      <c r="B6" s="261" t="s">
        <v>159</v>
      </c>
      <c r="C6" s="358">
        <v>2696652.3956625951</v>
      </c>
      <c r="D6" s="358">
        <v>2750890.8080367078</v>
      </c>
      <c r="E6" s="358">
        <v>5447543.2036993029</v>
      </c>
      <c r="G6" s="268">
        <v>45200</v>
      </c>
      <c r="H6" s="269">
        <v>280268.38701923063</v>
      </c>
      <c r="I6" s="270">
        <v>10.37</v>
      </c>
      <c r="J6" s="271">
        <v>2906383.1733894213</v>
      </c>
      <c r="K6" s="269">
        <v>170428.30046278654</v>
      </c>
      <c r="L6" s="269">
        <v>161888.20501930782</v>
      </c>
      <c r="M6" s="270">
        <v>47.71</v>
      </c>
      <c r="N6" s="270">
        <v>32.909999999999997</v>
      </c>
      <c r="O6" s="272">
        <v>13458875.042264964</v>
      </c>
      <c r="P6" s="269">
        <v>2552444.0360000003</v>
      </c>
      <c r="Q6" s="269">
        <v>1666359.7254999999</v>
      </c>
      <c r="R6" s="351">
        <f>VLOOKUP($G6,Init!$C$5:$H$232, 2,FALSE)</f>
        <v>416</v>
      </c>
      <c r="S6" s="351">
        <f>VLOOKUP($G6,Init!$C$5:$H$232, 3,FALSE)</f>
        <v>328</v>
      </c>
    </row>
    <row r="7" spans="1:19">
      <c r="B7" s="261" t="s">
        <v>160</v>
      </c>
      <c r="C7" s="358">
        <v>273682.28036175208</v>
      </c>
      <c r="D7" s="358">
        <v>261470.94395638982</v>
      </c>
      <c r="E7" s="358">
        <v>535153.22431814193</v>
      </c>
      <c r="G7" s="268">
        <v>45231</v>
      </c>
      <c r="H7" s="269">
        <v>298840.97750000004</v>
      </c>
      <c r="I7" s="270">
        <v>8.75</v>
      </c>
      <c r="J7" s="271">
        <v>2614858.5531250006</v>
      </c>
      <c r="K7" s="269">
        <v>-65221.179772491712</v>
      </c>
      <c r="L7" s="269">
        <v>111842.94700260917</v>
      </c>
      <c r="M7" s="270">
        <v>40.299999999999997</v>
      </c>
      <c r="N7" s="270">
        <v>31.39</v>
      </c>
      <c r="O7" s="272">
        <v>882336.5615804866</v>
      </c>
      <c r="P7" s="269">
        <v>3264487.3280000002</v>
      </c>
      <c r="Q7" s="269">
        <v>2115878.6310000001</v>
      </c>
      <c r="R7" s="351">
        <f>VLOOKUP($G7,Init!$C$5:$H$232, 2,FALSE)</f>
        <v>400</v>
      </c>
      <c r="S7" s="351">
        <f>VLOOKUP($G7,Init!$C$5:$H$232, 3,FALSE)</f>
        <v>321</v>
      </c>
    </row>
    <row r="8" spans="1:19">
      <c r="B8" s="261" t="s">
        <v>161</v>
      </c>
      <c r="C8" s="358">
        <v>0</v>
      </c>
      <c r="D8" s="358">
        <v>0</v>
      </c>
      <c r="E8" s="358">
        <v>0</v>
      </c>
      <c r="G8" s="268">
        <v>45261</v>
      </c>
      <c r="H8" s="269">
        <v>542575.28999999992</v>
      </c>
      <c r="I8" s="270">
        <v>13.39</v>
      </c>
      <c r="J8" s="271">
        <v>7265083.1330999993</v>
      </c>
      <c r="K8" s="269">
        <v>132756.16436960027</v>
      </c>
      <c r="L8" s="269">
        <v>378666.43438784918</v>
      </c>
      <c r="M8" s="270">
        <v>61.63</v>
      </c>
      <c r="N8" s="270">
        <v>52.69</v>
      </c>
      <c r="O8" s="272">
        <v>28133696.83799424</v>
      </c>
      <c r="P8" s="269">
        <v>3520485.7390000001</v>
      </c>
      <c r="Q8" s="269">
        <v>2285993.696</v>
      </c>
      <c r="R8" s="351">
        <f>VLOOKUP($G8,Init!$C$5:$H$232, 2,FALSE)</f>
        <v>400</v>
      </c>
      <c r="S8" s="351">
        <f>VLOOKUP($G8,Init!$C$5:$H$232, 3,FALSE)</f>
        <v>344</v>
      </c>
    </row>
    <row r="9" spans="1:19">
      <c r="B9" s="391" t="s">
        <v>162</v>
      </c>
      <c r="C9" s="360">
        <v>114786.93521434406</v>
      </c>
      <c r="D9" s="360">
        <v>205792.00636250814</v>
      </c>
      <c r="E9" s="360">
        <v>320578.94157685223</v>
      </c>
      <c r="G9" s="268">
        <v>45292</v>
      </c>
      <c r="H9" s="269">
        <v>590318.66346153838</v>
      </c>
      <c r="I9" s="270">
        <v>10.84</v>
      </c>
      <c r="J9" s="271">
        <v>6399054.3119230764</v>
      </c>
      <c r="K9" s="269">
        <v>94327.632571759314</v>
      </c>
      <c r="L9" s="269">
        <v>327043.35150306462</v>
      </c>
      <c r="M9" s="270">
        <v>49.88</v>
      </c>
      <c r="N9" s="270">
        <v>36.729999999999997</v>
      </c>
      <c r="O9" s="272">
        <v>16717364.613386918</v>
      </c>
      <c r="P9" s="269">
        <v>3735691.7149999999</v>
      </c>
      <c r="Q9" s="269">
        <v>2298138.0290000001</v>
      </c>
      <c r="R9" s="351">
        <f>VLOOKUP($G9,Init!$C$5:$H$232, 2,FALSE)</f>
        <v>416</v>
      </c>
      <c r="S9" s="351">
        <f>VLOOKUP($G9,Init!$C$5:$H$232, 3,FALSE)</f>
        <v>328</v>
      </c>
    </row>
    <row r="10" spans="1:19">
      <c r="B10" s="361" t="s">
        <v>163</v>
      </c>
      <c r="C10" s="362">
        <v>3085121.611238691</v>
      </c>
      <c r="D10" s="362">
        <v>3218153.7583556059</v>
      </c>
      <c r="E10" s="362">
        <v>6303275.3695942964</v>
      </c>
      <c r="G10" s="268">
        <v>45323</v>
      </c>
      <c r="H10" s="269">
        <v>412113.76250000007</v>
      </c>
      <c r="I10" s="270">
        <v>10.93</v>
      </c>
      <c r="J10" s="271">
        <v>4504403.4241250008</v>
      </c>
      <c r="K10" s="269">
        <v>17538.263296746576</v>
      </c>
      <c r="L10" s="269">
        <v>259597.00440253271</v>
      </c>
      <c r="M10" s="270">
        <v>50.32</v>
      </c>
      <c r="N10" s="270">
        <v>42.01</v>
      </c>
      <c r="O10" s="272">
        <v>11788195.564042687</v>
      </c>
      <c r="P10" s="269">
        <v>3299995.8789999997</v>
      </c>
      <c r="Q10" s="269">
        <v>1889901.959</v>
      </c>
      <c r="R10" s="351">
        <f>VLOOKUP($G10,Init!$C$5:$H$232, 2,FALSE)</f>
        <v>400</v>
      </c>
      <c r="S10" s="351">
        <f>VLOOKUP($G10,Init!$C$5:$H$232, 3,FALSE)</f>
        <v>296</v>
      </c>
    </row>
    <row r="11" spans="1:19">
      <c r="B11" s="363"/>
      <c r="C11" s="364"/>
      <c r="D11" s="364"/>
      <c r="E11" s="364"/>
      <c r="G11" s="268">
        <v>45352</v>
      </c>
      <c r="H11" s="269">
        <v>514958.04086538474</v>
      </c>
      <c r="I11" s="270">
        <v>7.62</v>
      </c>
      <c r="J11" s="271">
        <v>3923980.2713942318</v>
      </c>
      <c r="K11" s="269">
        <v>-148847.18595793279</v>
      </c>
      <c r="L11" s="269">
        <v>30144.577971601553</v>
      </c>
      <c r="M11" s="270">
        <v>35.07</v>
      </c>
      <c r="N11" s="270">
        <v>35.840000000000003</v>
      </c>
      <c r="O11" s="272">
        <v>-4139689.1370425038</v>
      </c>
      <c r="P11" s="269">
        <v>3449919.1129999999</v>
      </c>
      <c r="Q11" s="269">
        <v>2216421.7779999999</v>
      </c>
      <c r="R11" s="351">
        <f>VLOOKUP($G11,Init!$C$5:$H$232, 2,FALSE)</f>
        <v>416</v>
      </c>
      <c r="S11" s="351">
        <f>VLOOKUP($G11,Init!$C$5:$H$232, 3,FALSE)</f>
        <v>327</v>
      </c>
    </row>
    <row r="12" spans="1:19" ht="15" thickBot="1">
      <c r="B12" s="390" t="s">
        <v>164</v>
      </c>
      <c r="C12" s="365"/>
      <c r="D12" s="366"/>
      <c r="E12" s="365"/>
      <c r="G12" s="268">
        <v>45383</v>
      </c>
      <c r="H12" s="269">
        <v>514207.79086538497</v>
      </c>
      <c r="I12" s="270">
        <v>4.43</v>
      </c>
      <c r="J12" s="271">
        <v>2277940.5135336551</v>
      </c>
      <c r="K12" s="269">
        <v>24913.478823756202</v>
      </c>
      <c r="L12" s="269">
        <v>61369.238819776219</v>
      </c>
      <c r="M12" s="270">
        <v>20.420000000000002</v>
      </c>
      <c r="N12" s="270">
        <v>21.67</v>
      </c>
      <c r="O12" s="272">
        <v>1838604.6428056525</v>
      </c>
      <c r="P12" s="269">
        <v>2722407.7774999999</v>
      </c>
      <c r="Q12" s="269">
        <v>1750213.4617499998</v>
      </c>
      <c r="R12" s="351">
        <f>VLOOKUP($G12,Init!$C$5:$H$232, 2,FALSE)</f>
        <v>416</v>
      </c>
      <c r="S12" s="351">
        <f>VLOOKUP($G12,Init!$C$5:$H$232, 3,FALSE)</f>
        <v>304</v>
      </c>
    </row>
    <row r="13" spans="1:19" ht="15" thickTop="1">
      <c r="B13" s="363"/>
      <c r="C13" s="363"/>
      <c r="D13" s="363"/>
      <c r="E13" s="363"/>
      <c r="G13" s="268">
        <v>45413</v>
      </c>
      <c r="H13" s="269">
        <v>386414.44951923081</v>
      </c>
      <c r="I13" s="270">
        <v>3.95</v>
      </c>
      <c r="J13" s="271">
        <v>1526337.0756009617</v>
      </c>
      <c r="K13" s="269">
        <v>-589047.7797136493</v>
      </c>
      <c r="L13" s="269">
        <v>-283155.74052565987</v>
      </c>
      <c r="M13" s="270">
        <v>18.21</v>
      </c>
      <c r="N13" s="270">
        <v>16.34</v>
      </c>
      <c r="O13" s="272">
        <v>-15353324.868774835</v>
      </c>
      <c r="P13" s="269">
        <v>3371816.8480000002</v>
      </c>
      <c r="Q13" s="269">
        <v>2177069.1584999999</v>
      </c>
      <c r="R13" s="351">
        <f>VLOOKUP($G13,Init!$C$5:$H$232, 2,FALSE)</f>
        <v>416</v>
      </c>
      <c r="S13" s="351">
        <f>VLOOKUP($G13,Init!$C$5:$H$232, 3,FALSE)</f>
        <v>328</v>
      </c>
    </row>
    <row r="14" spans="1:19" ht="15" thickBot="1">
      <c r="B14" s="392" t="s">
        <v>165</v>
      </c>
      <c r="C14" s="368">
        <v>2024</v>
      </c>
      <c r="D14" s="368">
        <v>2025</v>
      </c>
      <c r="E14" s="369" t="s">
        <v>158</v>
      </c>
      <c r="G14" s="268">
        <v>45444</v>
      </c>
      <c r="H14" s="269">
        <v>498640.71499999997</v>
      </c>
      <c r="I14" s="270">
        <v>3.88</v>
      </c>
      <c r="J14" s="271">
        <v>1934725.9741999998</v>
      </c>
      <c r="K14" s="269">
        <v>-735394.90451789903</v>
      </c>
      <c r="L14" s="269">
        <v>-290674.43725639058</v>
      </c>
      <c r="M14" s="270">
        <v>17.87</v>
      </c>
      <c r="N14" s="270">
        <v>10.33</v>
      </c>
      <c r="O14" s="272">
        <v>-16144173.880593371</v>
      </c>
      <c r="P14" s="269">
        <v>3560007.926</v>
      </c>
      <c r="Q14" s="269">
        <v>2109275.0545000001</v>
      </c>
      <c r="R14" s="351">
        <f>VLOOKUP($G14,Init!$C$5:$H$232, 2,FALSE)</f>
        <v>400</v>
      </c>
      <c r="S14" s="351">
        <f>VLOOKUP($G14,Init!$C$5:$H$232, 3,FALSE)</f>
        <v>320</v>
      </c>
    </row>
    <row r="15" spans="1:19" ht="15" thickTop="1">
      <c r="B15" s="254" t="s">
        <v>166</v>
      </c>
      <c r="C15" s="398">
        <v>-3998.3011200000001</v>
      </c>
      <c r="D15" s="398">
        <v>-3987.3767999999995</v>
      </c>
      <c r="E15" s="398">
        <v>-7985.6779200000001</v>
      </c>
      <c r="G15" s="268">
        <v>45474</v>
      </c>
      <c r="H15" s="269">
        <v>608428.95192307699</v>
      </c>
      <c r="I15" s="270">
        <v>12.08</v>
      </c>
      <c r="J15" s="271">
        <v>7349821.7392307697</v>
      </c>
      <c r="K15" s="269">
        <v>-106090.84170239381</v>
      </c>
      <c r="L15" s="269">
        <v>129778.06215841442</v>
      </c>
      <c r="M15" s="270">
        <v>55.6</v>
      </c>
      <c r="N15" s="270">
        <v>36.92</v>
      </c>
      <c r="O15" s="272">
        <v>-1107244.7437644349</v>
      </c>
      <c r="P15" s="269">
        <v>3067031.764</v>
      </c>
      <c r="Q15" s="269">
        <v>1854722.6274999999</v>
      </c>
      <c r="R15" s="351">
        <f>VLOOKUP($G15,Init!$C$5:$H$232, 2,FALSE)</f>
        <v>416</v>
      </c>
      <c r="S15" s="351">
        <f>VLOOKUP($G15,Init!$C$5:$H$232, 3,FALSE)</f>
        <v>328</v>
      </c>
    </row>
    <row r="16" spans="1:19">
      <c r="B16" s="254" t="s">
        <v>167</v>
      </c>
      <c r="C16" s="398">
        <v>0</v>
      </c>
      <c r="D16" s="398">
        <v>0</v>
      </c>
      <c r="E16" s="398">
        <v>0</v>
      </c>
      <c r="G16" s="268">
        <v>45505</v>
      </c>
      <c r="H16" s="269">
        <v>679098.08796296292</v>
      </c>
      <c r="I16" s="270">
        <v>15.54</v>
      </c>
      <c r="J16" s="271">
        <v>10553184.286944443</v>
      </c>
      <c r="K16" s="269">
        <v>4889.2615784946393</v>
      </c>
      <c r="L16" s="269">
        <v>93194.785877608665</v>
      </c>
      <c r="M16" s="270">
        <v>71.52</v>
      </c>
      <c r="N16" s="270">
        <v>48.93</v>
      </c>
      <c r="O16" s="272">
        <v>4909700.8610853292</v>
      </c>
      <c r="P16" s="269">
        <v>3018290.1715000002</v>
      </c>
      <c r="Q16" s="269">
        <v>1739738.0798499999</v>
      </c>
      <c r="R16" s="351">
        <f>VLOOKUP($G16,Init!$C$5:$H$232, 2,FALSE)</f>
        <v>432</v>
      </c>
      <c r="S16" s="351">
        <f>VLOOKUP($G16,Init!$C$5:$H$232, 3,FALSE)</f>
        <v>312</v>
      </c>
    </row>
    <row r="17" spans="1:20">
      <c r="A17" s="252"/>
      <c r="B17" s="254" t="s">
        <v>168</v>
      </c>
      <c r="C17" s="398">
        <v>-0.83895508310304767</v>
      </c>
      <c r="D17" s="398">
        <v>-0.84078149147612335</v>
      </c>
      <c r="E17" s="398">
        <v>-1.679736574579171</v>
      </c>
      <c r="G17" s="268">
        <v>45536</v>
      </c>
      <c r="H17" s="273">
        <v>372483.20572916663</v>
      </c>
      <c r="I17" s="274">
        <v>12.75</v>
      </c>
      <c r="J17" s="275">
        <v>4749160.8730468741</v>
      </c>
      <c r="K17" s="273">
        <v>1010.6897326610924</v>
      </c>
      <c r="L17" s="273">
        <v>119034.78623781929</v>
      </c>
      <c r="M17" s="274">
        <v>58.7</v>
      </c>
      <c r="N17" s="274">
        <v>44.18</v>
      </c>
      <c r="O17" s="276">
        <v>5318284.3432940627</v>
      </c>
      <c r="P17" s="273">
        <v>2614938.2740000002</v>
      </c>
      <c r="Q17" s="273">
        <v>1763369.1040000001</v>
      </c>
      <c r="R17" s="351">
        <f>VLOOKUP($G17,Init!$C$5:$H$232, 2,FALSE)</f>
        <v>384</v>
      </c>
      <c r="S17" s="351">
        <f>VLOOKUP($G17,Init!$C$5:$H$232, 3,FALSE)</f>
        <v>336</v>
      </c>
    </row>
    <row r="18" spans="1:20">
      <c r="A18" s="252"/>
      <c r="B18" s="254" t="s">
        <v>169</v>
      </c>
      <c r="C18" s="396">
        <v>0</v>
      </c>
      <c r="D18" s="396">
        <v>0</v>
      </c>
      <c r="E18" s="396">
        <v>0</v>
      </c>
      <c r="G18" s="268">
        <v>45566</v>
      </c>
      <c r="H18" s="269">
        <v>369256.56712962955</v>
      </c>
      <c r="I18" s="270">
        <v>10.37</v>
      </c>
      <c r="J18" s="271">
        <v>3829190.6011342583</v>
      </c>
      <c r="K18" s="269">
        <v>213243.52728090278</v>
      </c>
      <c r="L18" s="269">
        <v>117296.99787830605</v>
      </c>
      <c r="M18" s="270">
        <v>47.71</v>
      </c>
      <c r="N18" s="270">
        <v>32.909999999999997</v>
      </c>
      <c r="O18" s="277">
        <v>14034092.886746924</v>
      </c>
      <c r="P18" s="269">
        <v>2552444.0360000003</v>
      </c>
      <c r="Q18" s="269">
        <v>1666359.7254999999</v>
      </c>
      <c r="R18" s="351">
        <f>VLOOKUP($G18,Init!$C$5:$H$232, 2,FALSE)</f>
        <v>432</v>
      </c>
      <c r="S18" s="351">
        <f>VLOOKUP($G18,Init!$C$5:$H$232, 3,FALSE)</f>
        <v>312</v>
      </c>
    </row>
    <row r="19" spans="1:20">
      <c r="A19" s="252"/>
      <c r="B19" s="254" t="s">
        <v>170</v>
      </c>
      <c r="C19" s="396">
        <v>-964</v>
      </c>
      <c r="D19" s="396">
        <v>-944</v>
      </c>
      <c r="E19" s="396">
        <v>-1908</v>
      </c>
      <c r="G19" s="268">
        <v>45597</v>
      </c>
      <c r="H19" s="269">
        <v>320802.35999999993</v>
      </c>
      <c r="I19" s="270">
        <v>8.75</v>
      </c>
      <c r="J19" s="271">
        <v>2807020.6499999994</v>
      </c>
      <c r="K19" s="269">
        <v>-67883.38924706541</v>
      </c>
      <c r="L19" s="269">
        <v>109784.35841202576</v>
      </c>
      <c r="M19" s="270">
        <v>40.299999999999997</v>
      </c>
      <c r="N19" s="270">
        <v>31.39</v>
      </c>
      <c r="O19" s="277">
        <v>710430.42389675276</v>
      </c>
      <c r="P19" s="269">
        <v>3264487.3280000002</v>
      </c>
      <c r="Q19" s="269">
        <v>2115878.6310000001</v>
      </c>
      <c r="R19" s="351">
        <f>VLOOKUP($G19,Init!$C$5:$H$232, 2,FALSE)</f>
        <v>400</v>
      </c>
      <c r="S19" s="351">
        <f>VLOOKUP($G19,Init!$C$5:$H$232, 3,FALSE)</f>
        <v>321</v>
      </c>
    </row>
    <row r="20" spans="1:20">
      <c r="A20" s="252"/>
      <c r="B20" s="254" t="s">
        <v>171</v>
      </c>
      <c r="C20" s="396">
        <v>-261207.39084739791</v>
      </c>
      <c r="D20" s="396">
        <v>-261564.50985066523</v>
      </c>
      <c r="E20" s="396">
        <v>-522771.90069806314</v>
      </c>
      <c r="G20" s="268">
        <v>45627</v>
      </c>
      <c r="H20" s="269">
        <v>580919.21000000008</v>
      </c>
      <c r="I20" s="270">
        <v>13.39</v>
      </c>
      <c r="J20" s="271">
        <v>7778508.2219000012</v>
      </c>
      <c r="K20" s="269">
        <v>128982.49424395524</v>
      </c>
      <c r="L20" s="269">
        <v>379050.59576754109</v>
      </c>
      <c r="M20" s="270">
        <v>61.63</v>
      </c>
      <c r="N20" s="270">
        <v>52.69</v>
      </c>
      <c r="O20" s="277">
        <v>27921367.011246704</v>
      </c>
      <c r="P20" s="269">
        <v>3520485.7390000001</v>
      </c>
      <c r="Q20" s="269">
        <v>2285993.696</v>
      </c>
      <c r="R20" s="351">
        <f>VLOOKUP($G20,Init!$C$5:$H$232, 2,FALSE)</f>
        <v>400</v>
      </c>
      <c r="S20" s="351">
        <f>VLOOKUP($G20,Init!$C$5:$H$232, 3,FALSE)</f>
        <v>344</v>
      </c>
    </row>
    <row r="21" spans="1:20">
      <c r="A21" s="252"/>
      <c r="B21" s="254" t="s">
        <v>172</v>
      </c>
      <c r="C21" s="396"/>
      <c r="D21" s="396"/>
      <c r="E21" s="396">
        <v>0</v>
      </c>
      <c r="G21" s="268">
        <v>45658</v>
      </c>
      <c r="H21" s="269">
        <v>609502.25240384624</v>
      </c>
      <c r="I21" s="270">
        <v>10.84</v>
      </c>
      <c r="J21" s="271">
        <v>6607004.4160576928</v>
      </c>
      <c r="K21" s="269">
        <v>94931.236488862865</v>
      </c>
      <c r="L21" s="269">
        <v>328109.9352351781</v>
      </c>
      <c r="M21" s="270">
        <v>49.88</v>
      </c>
      <c r="N21" s="270">
        <v>36.729999999999997</v>
      </c>
      <c r="O21" s="277">
        <v>16786647.997252569</v>
      </c>
      <c r="P21" s="269">
        <v>3735691.7149999999</v>
      </c>
      <c r="Q21" s="269">
        <v>2298138.0290000001</v>
      </c>
      <c r="R21" s="351">
        <f>VLOOKUP($G21,Init!$C$5:$H$232, 2,FALSE)</f>
        <v>416</v>
      </c>
      <c r="S21" s="351">
        <f>VLOOKUP($G21,Init!$C$5:$H$232, 3,FALSE)</f>
        <v>328</v>
      </c>
    </row>
    <row r="22" spans="1:20">
      <c r="A22" s="252"/>
      <c r="B22" s="393" t="s">
        <v>173</v>
      </c>
      <c r="C22" s="396">
        <v>-98789.345122210943</v>
      </c>
      <c r="D22" s="396">
        <v>-86643.867162749826</v>
      </c>
      <c r="E22" s="396">
        <v>-185433.21228496078</v>
      </c>
      <c r="G22" s="268">
        <v>45689</v>
      </c>
      <c r="H22" s="269">
        <v>416065.6145833332</v>
      </c>
      <c r="I22" s="270">
        <v>10.93</v>
      </c>
      <c r="J22" s="271">
        <v>4547597.167395832</v>
      </c>
      <c r="K22" s="269">
        <v>62274.638778944645</v>
      </c>
      <c r="L22" s="269">
        <v>289452.28133541078</v>
      </c>
      <c r="M22" s="270">
        <v>50.32</v>
      </c>
      <c r="N22" s="270">
        <v>42.01</v>
      </c>
      <c r="O22" s="277">
        <v>15293550.162257101</v>
      </c>
      <c r="P22" s="269">
        <v>3186982.0389999999</v>
      </c>
      <c r="Q22" s="269">
        <v>1833395.0390000001</v>
      </c>
      <c r="R22" s="351">
        <f>VLOOKUP($G22,Init!$C$5:$H$232, 2,FALSE)</f>
        <v>384</v>
      </c>
      <c r="S22" s="351">
        <f>VLOOKUP($G22,Init!$C$5:$H$232, 3,FALSE)</f>
        <v>288</v>
      </c>
    </row>
    <row r="23" spans="1:20">
      <c r="A23" s="252"/>
      <c r="B23" s="393" t="s">
        <v>174</v>
      </c>
      <c r="C23" s="396">
        <v>-2358.4355119474822</v>
      </c>
      <c r="D23" s="396">
        <v>-5791.9217670342941</v>
      </c>
      <c r="E23" s="396">
        <v>-8150.3572789817763</v>
      </c>
      <c r="G23" s="268">
        <v>45717</v>
      </c>
      <c r="H23" s="269">
        <v>536620.97836538474</v>
      </c>
      <c r="I23" s="270">
        <v>7.62</v>
      </c>
      <c r="J23" s="271">
        <v>4089051.8551442316</v>
      </c>
      <c r="K23" s="269">
        <v>-148478.65039200676</v>
      </c>
      <c r="L23" s="269">
        <v>30203.879701364669</v>
      </c>
      <c r="M23" s="270">
        <v>35.07</v>
      </c>
      <c r="N23" s="270">
        <v>35.840000000000003</v>
      </c>
      <c r="O23" s="277">
        <v>-4124639.2207507673</v>
      </c>
      <c r="P23" s="269">
        <v>3449919.1129999999</v>
      </c>
      <c r="Q23" s="269">
        <v>2216421.7779999999</v>
      </c>
      <c r="R23" s="351">
        <f>VLOOKUP($G23,Init!$C$5:$H$232, 2,FALSE)</f>
        <v>416</v>
      </c>
      <c r="S23" s="351">
        <f>VLOOKUP($G23,Init!$C$5:$H$232, 3,FALSE)</f>
        <v>327</v>
      </c>
    </row>
    <row r="24" spans="1:20">
      <c r="A24" s="252"/>
      <c r="B24" s="393" t="s">
        <v>175</v>
      </c>
      <c r="C24" s="396">
        <v>-1947</v>
      </c>
      <c r="D24" s="396">
        <v>-1947</v>
      </c>
      <c r="E24" s="396">
        <v>-3894</v>
      </c>
      <c r="G24" s="268">
        <v>45748</v>
      </c>
      <c r="H24" s="269">
        <v>570530.41826923052</v>
      </c>
      <c r="I24" s="270">
        <v>4.43</v>
      </c>
      <c r="J24" s="271">
        <v>2527449.752932691</v>
      </c>
      <c r="K24" s="269">
        <v>29063.706670614265</v>
      </c>
      <c r="L24" s="269">
        <v>64718.083896792217</v>
      </c>
      <c r="M24" s="270">
        <v>20.420000000000002</v>
      </c>
      <c r="N24" s="270">
        <v>21.67</v>
      </c>
      <c r="O24" s="277">
        <v>1995921.7682574308</v>
      </c>
      <c r="P24" s="269">
        <v>2722407.7774999999</v>
      </c>
      <c r="Q24" s="269">
        <v>1750213.4617499998</v>
      </c>
      <c r="R24" s="351">
        <f>VLOOKUP($G24,Init!$C$5:$H$232, 2,FALSE)</f>
        <v>416</v>
      </c>
      <c r="S24" s="351">
        <f>VLOOKUP($G24,Init!$C$5:$H$232, 3,FALSE)</f>
        <v>304</v>
      </c>
    </row>
    <row r="25" spans="1:20">
      <c r="A25" s="252"/>
      <c r="B25" s="393" t="s">
        <v>176</v>
      </c>
      <c r="C25" s="396">
        <v>-202.8234384000001</v>
      </c>
      <c r="D25" s="396">
        <v>-380.03420399999987</v>
      </c>
      <c r="E25" s="396">
        <v>-582.85764240000003</v>
      </c>
      <c r="G25" s="268">
        <v>45778</v>
      </c>
      <c r="H25" s="269">
        <v>412101.67788461555</v>
      </c>
      <c r="I25" s="270">
        <v>3.95</v>
      </c>
      <c r="J25" s="271">
        <v>1627801.6276442315</v>
      </c>
      <c r="K25" s="269">
        <v>-587583.14330576779</v>
      </c>
      <c r="L25" s="269">
        <v>-283674.11238772364</v>
      </c>
      <c r="M25" s="270">
        <v>18.21</v>
      </c>
      <c r="N25" s="270">
        <v>16.34</v>
      </c>
      <c r="O25" s="277">
        <v>-15335124.036013437</v>
      </c>
      <c r="P25" s="269">
        <v>3371816.8480000002</v>
      </c>
      <c r="Q25" s="269">
        <v>2177069.1584999999</v>
      </c>
      <c r="R25" s="351">
        <f>VLOOKUP($G25,Init!$C$5:$H$232, 2,FALSE)</f>
        <v>416</v>
      </c>
      <c r="S25" s="351">
        <f>VLOOKUP($G25,Init!$C$5:$H$232, 3,FALSE)</f>
        <v>328</v>
      </c>
    </row>
    <row r="26" spans="1:20">
      <c r="A26" s="252"/>
      <c r="B26" s="393" t="s">
        <v>177</v>
      </c>
      <c r="C26" s="396">
        <v>-2713.1262539923732</v>
      </c>
      <c r="D26" s="396">
        <v>-4998.2294531307843</v>
      </c>
      <c r="E26" s="396">
        <v>-7711.3557071231571</v>
      </c>
      <c r="G26" s="268">
        <v>45809</v>
      </c>
      <c r="H26" s="269">
        <v>506570.04500000004</v>
      </c>
      <c r="I26" s="270">
        <v>3.88</v>
      </c>
      <c r="J26" s="271">
        <v>1965491.7746000001</v>
      </c>
      <c r="K26" s="269">
        <v>-733316.15529523464</v>
      </c>
      <c r="L26" s="269">
        <v>-291731.67315771745</v>
      </c>
      <c r="M26" s="270">
        <v>17.87</v>
      </c>
      <c r="N26" s="270">
        <v>10.33</v>
      </c>
      <c r="O26" s="277">
        <v>-16117947.878845066</v>
      </c>
      <c r="P26" s="269">
        <v>3560007.926</v>
      </c>
      <c r="Q26" s="269">
        <v>2109275.0545000001</v>
      </c>
      <c r="R26" s="351">
        <f>VLOOKUP($G26,Init!$C$5:$H$232, 2,FALSE)</f>
        <v>400</v>
      </c>
      <c r="S26" s="351">
        <f>VLOOKUP($G26,Init!$C$5:$H$232, 3,FALSE)</f>
        <v>320</v>
      </c>
    </row>
    <row r="27" spans="1:20">
      <c r="A27" s="252"/>
      <c r="B27" s="394" t="s">
        <v>178</v>
      </c>
      <c r="C27" s="397">
        <v>-33464.084521789133</v>
      </c>
      <c r="D27" s="397">
        <v>-33638.997742444182</v>
      </c>
      <c r="E27" s="397">
        <v>-67103.082264233322</v>
      </c>
      <c r="G27" s="268">
        <v>45839</v>
      </c>
      <c r="H27" s="269">
        <v>673242.03125000035</v>
      </c>
      <c r="I27" s="270">
        <v>12.08</v>
      </c>
      <c r="J27" s="271">
        <v>8132763.7375000045</v>
      </c>
      <c r="K27" s="269">
        <v>-102087.25478218698</v>
      </c>
      <c r="L27" s="269">
        <v>133383.53218628815</v>
      </c>
      <c r="M27" s="270">
        <v>55.6</v>
      </c>
      <c r="N27" s="270">
        <v>36.92</v>
      </c>
      <c r="O27" s="277">
        <v>-751531.35757183749</v>
      </c>
      <c r="P27" s="269">
        <v>3067031.764</v>
      </c>
      <c r="Q27" s="269">
        <v>1854722.6274999999</v>
      </c>
      <c r="R27" s="351">
        <f>VLOOKUP($G27,Init!$C$5:$H$232, 2,FALSE)</f>
        <v>416</v>
      </c>
      <c r="S27" s="351">
        <f>VLOOKUP($G27,Init!$C$5:$H$232, 3,FALSE)</f>
        <v>328</v>
      </c>
    </row>
    <row r="28" spans="1:20">
      <c r="A28" s="252"/>
      <c r="B28" s="254" t="s">
        <v>179</v>
      </c>
      <c r="C28" s="398">
        <v>-405645.34577082098</v>
      </c>
      <c r="D28" s="398">
        <v>-399896.77776151575</v>
      </c>
      <c r="E28" s="398">
        <v>-805542.12353233667</v>
      </c>
      <c r="G28" s="268">
        <v>45870</v>
      </c>
      <c r="H28" s="269">
        <v>627270.34375</v>
      </c>
      <c r="I28" s="270">
        <v>15.54</v>
      </c>
      <c r="J28" s="271">
        <v>9747781.1418749988</v>
      </c>
      <c r="K28" s="269">
        <v>-33034.853186160544</v>
      </c>
      <c r="L28" s="269">
        <v>133974.38967764133</v>
      </c>
      <c r="M28" s="270">
        <v>71.52</v>
      </c>
      <c r="N28" s="270">
        <v>48.93</v>
      </c>
      <c r="O28" s="277">
        <v>4192714.1870527882</v>
      </c>
      <c r="P28" s="269">
        <v>3018290.1715000002</v>
      </c>
      <c r="Q28" s="269">
        <v>1739738.0798499999</v>
      </c>
      <c r="R28" s="351">
        <f>VLOOKUP($G28,Init!$C$5:$H$232, 2,FALSE)</f>
        <v>416</v>
      </c>
      <c r="S28" s="351">
        <f>VLOOKUP($G28,Init!$C$5:$H$232, 3,FALSE)</f>
        <v>328</v>
      </c>
    </row>
    <row r="29" spans="1:20">
      <c r="A29" s="252"/>
      <c r="B29" s="363"/>
      <c r="C29" s="364"/>
      <c r="D29" s="363"/>
      <c r="E29" s="363"/>
      <c r="G29" s="268">
        <v>45901</v>
      </c>
      <c r="H29" s="273">
        <v>482740.45250000001</v>
      </c>
      <c r="I29" s="274">
        <v>12.75</v>
      </c>
      <c r="J29" s="275">
        <v>6154940.7693750001</v>
      </c>
      <c r="K29" s="273">
        <v>40575.76139590182</v>
      </c>
      <c r="L29" s="273">
        <v>79689.892638483259</v>
      </c>
      <c r="M29" s="274">
        <v>58.7</v>
      </c>
      <c r="N29" s="274">
        <v>44.18</v>
      </c>
      <c r="O29" s="278">
        <v>5902496.6507076276</v>
      </c>
      <c r="P29" s="273">
        <v>2614938.2740000002</v>
      </c>
      <c r="Q29" s="273">
        <v>1763369.1040000001</v>
      </c>
      <c r="R29" s="351">
        <f>VLOOKUP($G29,Init!$C$5:$H$232, 2,FALSE)</f>
        <v>400</v>
      </c>
      <c r="S29" s="351">
        <f>VLOOKUP($G29,Init!$C$5:$H$232, 3,FALSE)</f>
        <v>320</v>
      </c>
    </row>
    <row r="30" spans="1:20" ht="15" thickBot="1">
      <c r="A30" s="252"/>
      <c r="B30" s="392" t="s">
        <v>180</v>
      </c>
      <c r="C30" s="374">
        <v>2024</v>
      </c>
      <c r="D30" s="374">
        <v>2025</v>
      </c>
      <c r="E30" s="375" t="s">
        <v>158</v>
      </c>
    </row>
    <row r="31" spans="1:20" ht="15" thickTop="1">
      <c r="A31" s="252"/>
      <c r="B31" s="254" t="s">
        <v>181</v>
      </c>
      <c r="C31" s="255">
        <v>21770.164574080001</v>
      </c>
      <c r="D31" s="255">
        <v>21770.164574080001</v>
      </c>
      <c r="E31" s="255">
        <v>43540.329148160003</v>
      </c>
      <c r="G31" s="247"/>
      <c r="H31" s="247" t="s">
        <v>541</v>
      </c>
      <c r="I31" s="247"/>
      <c r="J31" s="244"/>
      <c r="K31"/>
      <c r="L31"/>
      <c r="M31"/>
      <c r="N31"/>
      <c r="O31"/>
      <c r="P31"/>
      <c r="Q31"/>
      <c r="R31"/>
      <c r="S31"/>
      <c r="T31"/>
    </row>
    <row r="32" spans="1:20">
      <c r="A32" s="252"/>
      <c r="B32" s="256" t="s">
        <v>182</v>
      </c>
      <c r="C32" s="257">
        <v>37700.685942201839</v>
      </c>
      <c r="D32" s="257">
        <v>38531.674433254069</v>
      </c>
      <c r="E32" s="257">
        <v>76232.360375455901</v>
      </c>
      <c r="G32" s="247" t="s">
        <v>215</v>
      </c>
      <c r="H32" s="400">
        <v>11.57</v>
      </c>
      <c r="I32" s="247"/>
      <c r="J32" s="244"/>
      <c r="K32"/>
      <c r="L32"/>
      <c r="M32"/>
      <c r="N32"/>
      <c r="O32"/>
      <c r="P32"/>
      <c r="Q32"/>
      <c r="R32"/>
      <c r="S32"/>
      <c r="T32"/>
    </row>
    <row r="33" spans="1:20">
      <c r="A33" s="252"/>
      <c r="B33" s="254" t="s">
        <v>179</v>
      </c>
      <c r="C33" s="255">
        <v>59470.85051628184</v>
      </c>
      <c r="D33" s="255">
        <v>60301.839007334071</v>
      </c>
      <c r="E33" s="255">
        <v>119772.6895236159</v>
      </c>
      <c r="G33" s="247" t="s">
        <v>223</v>
      </c>
      <c r="H33" s="249">
        <v>6.73</v>
      </c>
      <c r="I33" s="247"/>
      <c r="J33" s="244"/>
      <c r="K33"/>
      <c r="L33"/>
      <c r="M33"/>
      <c r="N33"/>
      <c r="O33"/>
      <c r="P33"/>
      <c r="Q33"/>
      <c r="R33"/>
      <c r="S33"/>
      <c r="T33"/>
    </row>
    <row r="34" spans="1:20">
      <c r="A34" s="252"/>
      <c r="B34" s="363"/>
      <c r="C34" s="364"/>
      <c r="D34" s="363"/>
      <c r="E34" s="363"/>
      <c r="G34" s="247" t="s">
        <v>240</v>
      </c>
      <c r="H34" s="247">
        <f>(SUMPRODUCT(M6:M29,R6:R29)+SUMPRODUCT(N6:N29,S6:S29))/SUM(R6:S29)</f>
        <v>39.674672822617424</v>
      </c>
      <c r="I34" s="247"/>
      <c r="J34" s="244"/>
      <c r="K34"/>
      <c r="L34"/>
      <c r="M34"/>
      <c r="N34"/>
      <c r="O34"/>
      <c r="P34"/>
      <c r="Q34"/>
      <c r="R34"/>
      <c r="S34"/>
      <c r="T34"/>
    </row>
    <row r="35" spans="1:20" ht="15" thickBot="1">
      <c r="A35" s="252"/>
      <c r="B35" s="390"/>
      <c r="C35" s="376">
        <v>2024</v>
      </c>
      <c r="D35" s="376">
        <v>2025</v>
      </c>
      <c r="E35" s="377" t="s">
        <v>158</v>
      </c>
      <c r="G35" s="247" t="s">
        <v>542</v>
      </c>
      <c r="H35" s="232">
        <v>7063.3649999999998</v>
      </c>
      <c r="I35" s="247"/>
      <c r="J35" s="244"/>
      <c r="K35"/>
      <c r="L35" s="299"/>
      <c r="M35"/>
      <c r="N35"/>
      <c r="O35"/>
      <c r="P35"/>
      <c r="Q35"/>
      <c r="R35"/>
      <c r="S35"/>
      <c r="T35"/>
    </row>
    <row r="36" spans="1:20" ht="15" thickTop="1">
      <c r="A36" s="252"/>
      <c r="B36" s="261" t="s">
        <v>159</v>
      </c>
      <c r="C36" s="378">
        <v>2350477.9004080561</v>
      </c>
      <c r="D36" s="378">
        <v>2411295.869282526</v>
      </c>
      <c r="E36" s="378">
        <v>4761773.7696905816</v>
      </c>
      <c r="G36" s="247" t="s">
        <v>543</v>
      </c>
      <c r="H36" s="232">
        <v>7063.3670000000011</v>
      </c>
      <c r="I36"/>
      <c r="J36" s="244"/>
      <c r="K36"/>
      <c r="L36"/>
      <c r="M36"/>
      <c r="N36"/>
      <c r="O36"/>
      <c r="P36"/>
      <c r="Q36"/>
      <c r="R36"/>
      <c r="S36"/>
      <c r="T36"/>
    </row>
    <row r="37" spans="1:20">
      <c r="A37" s="252"/>
      <c r="B37" s="363"/>
      <c r="C37" s="364"/>
      <c r="D37" s="363"/>
      <c r="E37" s="363"/>
      <c r="G37" s="247" t="s">
        <v>610</v>
      </c>
      <c r="H37">
        <v>1.1200000000000001</v>
      </c>
      <c r="I37"/>
      <c r="J37" s="244"/>
      <c r="K37"/>
      <c r="L37"/>
      <c r="M37"/>
      <c r="N37"/>
      <c r="O37"/>
      <c r="P37"/>
      <c r="Q37"/>
      <c r="R37"/>
      <c r="S37"/>
      <c r="T37"/>
    </row>
    <row r="38" spans="1:20" ht="15" thickBot="1">
      <c r="A38" s="252"/>
      <c r="B38" s="392" t="s">
        <v>183</v>
      </c>
      <c r="C38" s="379">
        <v>2024</v>
      </c>
      <c r="D38" s="379">
        <v>2025</v>
      </c>
      <c r="E38" s="380" t="s">
        <v>158</v>
      </c>
      <c r="G38" s="247" t="s">
        <v>611</v>
      </c>
      <c r="H38">
        <v>0.05</v>
      </c>
      <c r="I38"/>
      <c r="J38" s="244"/>
      <c r="K38"/>
      <c r="L38"/>
      <c r="M38"/>
      <c r="N38"/>
      <c r="O38"/>
      <c r="P38"/>
      <c r="Q38"/>
      <c r="R38"/>
      <c r="S38"/>
      <c r="T38"/>
    </row>
    <row r="39" spans="1:20" ht="15" thickTop="1">
      <c r="A39" s="252"/>
      <c r="B39" s="254" t="s">
        <v>184</v>
      </c>
      <c r="C39" s="259">
        <v>-638012.82385864481</v>
      </c>
      <c r="D39" s="259">
        <v>-575151.80315591989</v>
      </c>
      <c r="E39" s="259">
        <v>-1213164.6270145648</v>
      </c>
      <c r="G39" s="279"/>
      <c r="H39" s="249"/>
      <c r="I39" s="280"/>
      <c r="J39" s="281"/>
      <c r="K39"/>
      <c r="L39"/>
      <c r="M39"/>
      <c r="N39"/>
      <c r="O39"/>
      <c r="P39"/>
      <c r="Q39"/>
      <c r="R39"/>
      <c r="S39"/>
      <c r="T39"/>
    </row>
    <row r="40" spans="1:20">
      <c r="A40" s="252"/>
      <c r="B40" s="393" t="s">
        <v>173</v>
      </c>
      <c r="C40" s="259">
        <v>98789.345122210943</v>
      </c>
      <c r="D40" s="259">
        <v>86643.867162749826</v>
      </c>
      <c r="E40" s="259">
        <v>185433.21228496078</v>
      </c>
      <c r="G40" s="279"/>
      <c r="H40" s="249"/>
      <c r="I40" s="280"/>
      <c r="J40" s="281"/>
      <c r="K40"/>
      <c r="L40"/>
      <c r="M40"/>
      <c r="N40"/>
      <c r="O40"/>
      <c r="P40"/>
      <c r="Q40"/>
      <c r="R40"/>
      <c r="S40"/>
      <c r="T40"/>
    </row>
    <row r="41" spans="1:20">
      <c r="A41" s="252"/>
      <c r="B41" s="254" t="s">
        <v>243</v>
      </c>
      <c r="C41" s="259">
        <v>0</v>
      </c>
      <c r="D41" s="259">
        <v>0</v>
      </c>
      <c r="E41" s="259">
        <v>0</v>
      </c>
      <c r="G41" s="285"/>
      <c r="H41" s="282"/>
      <c r="I41" s="286"/>
      <c r="J41" s="287"/>
      <c r="K41"/>
      <c r="L41"/>
      <c r="M41"/>
      <c r="N41"/>
      <c r="O41"/>
      <c r="P41"/>
      <c r="Q41"/>
      <c r="R41"/>
      <c r="S41"/>
      <c r="T41"/>
    </row>
    <row r="42" spans="1:20">
      <c r="A42" s="252"/>
      <c r="B42" s="254" t="s">
        <v>185</v>
      </c>
      <c r="C42" s="259">
        <v>-92</v>
      </c>
      <c r="D42" s="259">
        <v>-92</v>
      </c>
      <c r="E42" s="259">
        <v>-184</v>
      </c>
      <c r="G42" s="285"/>
      <c r="H42" s="282"/>
      <c r="I42" s="286"/>
      <c r="J42" s="287"/>
      <c r="K42"/>
      <c r="L42"/>
      <c r="M42"/>
      <c r="N42"/>
      <c r="O42"/>
      <c r="P42"/>
      <c r="Q42"/>
      <c r="R42"/>
      <c r="S42"/>
      <c r="T42"/>
    </row>
    <row r="43" spans="1:20">
      <c r="A43" s="252"/>
      <c r="B43" s="254" t="s">
        <v>236</v>
      </c>
      <c r="C43" s="259">
        <v>0</v>
      </c>
      <c r="D43" s="259">
        <v>0</v>
      </c>
      <c r="E43" s="259">
        <v>0</v>
      </c>
      <c r="G43" s="285"/>
      <c r="H43" s="282"/>
      <c r="I43" s="286"/>
      <c r="J43" s="287"/>
      <c r="K43"/>
      <c r="L43"/>
      <c r="M43"/>
      <c r="N43"/>
      <c r="O43"/>
      <c r="P43"/>
      <c r="Q43"/>
      <c r="R43"/>
      <c r="S43"/>
      <c r="T43"/>
    </row>
    <row r="44" spans="1:20">
      <c r="A44" s="252"/>
      <c r="B44" s="254" t="s">
        <v>186</v>
      </c>
      <c r="C44" s="259">
        <v>-57930.734300019853</v>
      </c>
      <c r="D44" s="259">
        <v>-63974.994951038614</v>
      </c>
      <c r="E44" s="259">
        <v>-121905.72925105847</v>
      </c>
      <c r="G44" s="285"/>
      <c r="H44" s="282"/>
      <c r="I44" s="286"/>
      <c r="J44" s="287"/>
      <c r="K44"/>
      <c r="L44"/>
      <c r="M44"/>
      <c r="N44"/>
      <c r="O44"/>
      <c r="P44"/>
      <c r="Q44"/>
      <c r="R44"/>
      <c r="S44"/>
      <c r="T44"/>
    </row>
    <row r="45" spans="1:20">
      <c r="A45" s="252"/>
      <c r="B45" s="393" t="s">
        <v>174</v>
      </c>
      <c r="C45" s="259">
        <v>2358.4355119474822</v>
      </c>
      <c r="D45" s="259">
        <v>5791.9217670342941</v>
      </c>
      <c r="E45" s="259">
        <v>8150.3572789817763</v>
      </c>
      <c r="G45" s="285"/>
      <c r="H45" s="282"/>
      <c r="I45" s="286"/>
      <c r="J45" s="287"/>
      <c r="K45"/>
      <c r="L45"/>
      <c r="M45"/>
      <c r="N45"/>
      <c r="O45"/>
      <c r="P45"/>
      <c r="Q45"/>
      <c r="R45"/>
      <c r="S45"/>
      <c r="T45"/>
    </row>
    <row r="46" spans="1:20">
      <c r="A46" s="252"/>
      <c r="B46" s="395" t="s">
        <v>187</v>
      </c>
      <c r="C46" s="259">
        <v>-60246.80403210604</v>
      </c>
      <c r="D46" s="259">
        <v>-62636.256156872274</v>
      </c>
      <c r="E46" s="259">
        <v>-122883.06018897831</v>
      </c>
      <c r="G46" s="285"/>
      <c r="H46" s="282"/>
      <c r="I46" s="286"/>
      <c r="J46" s="287"/>
      <c r="K46" s="282"/>
      <c r="L46" s="282"/>
      <c r="M46" s="283"/>
      <c r="N46" s="283"/>
      <c r="O46" s="284"/>
      <c r="P46" s="258"/>
    </row>
    <row r="47" spans="1:20">
      <c r="A47" s="252"/>
      <c r="B47" s="395" t="s">
        <v>188</v>
      </c>
      <c r="C47" s="382">
        <v>-842</v>
      </c>
      <c r="D47" s="382">
        <v>-842</v>
      </c>
      <c r="E47" s="382">
        <v>-1684</v>
      </c>
      <c r="G47" s="285"/>
      <c r="H47" s="282"/>
      <c r="I47" s="286"/>
      <c r="J47" s="287"/>
      <c r="K47" s="282"/>
      <c r="L47" s="282"/>
      <c r="M47" s="283"/>
      <c r="N47" s="283"/>
      <c r="O47" s="284"/>
      <c r="P47" s="258"/>
    </row>
    <row r="48" spans="1:20">
      <c r="A48" s="252"/>
      <c r="B48" s="395" t="s">
        <v>189</v>
      </c>
      <c r="C48" s="382">
        <v>0</v>
      </c>
      <c r="D48" s="382">
        <v>0</v>
      </c>
      <c r="E48" s="382">
        <v>0</v>
      </c>
      <c r="G48" s="285"/>
      <c r="H48" s="282"/>
      <c r="I48" s="286"/>
      <c r="J48" s="287"/>
      <c r="K48" s="282"/>
      <c r="L48" s="282"/>
      <c r="M48" s="283"/>
      <c r="N48" s="283"/>
      <c r="O48" s="284"/>
      <c r="P48" s="258"/>
    </row>
    <row r="49" spans="1:16">
      <c r="A49" s="252"/>
      <c r="B49" s="395" t="s">
        <v>190</v>
      </c>
      <c r="C49" s="382">
        <v>0</v>
      </c>
      <c r="D49" s="382">
        <v>0</v>
      </c>
      <c r="E49" s="382">
        <v>0</v>
      </c>
      <c r="G49" s="285"/>
      <c r="H49" s="282"/>
      <c r="I49" s="286"/>
      <c r="J49" s="287"/>
      <c r="K49" s="282"/>
      <c r="L49" s="282"/>
      <c r="M49" s="283"/>
      <c r="N49" s="283"/>
      <c r="O49" s="284"/>
      <c r="P49" s="258"/>
    </row>
    <row r="50" spans="1:16">
      <c r="A50" s="252"/>
      <c r="B50" s="254" t="s">
        <v>537</v>
      </c>
      <c r="C50" s="382">
        <v>0</v>
      </c>
      <c r="D50" s="382">
        <v>0</v>
      </c>
      <c r="E50" s="382">
        <v>0</v>
      </c>
      <c r="G50" s="288"/>
      <c r="H50" s="282"/>
      <c r="I50" s="286"/>
      <c r="J50" s="287"/>
      <c r="K50" s="282"/>
      <c r="L50" s="282"/>
      <c r="M50" s="286"/>
      <c r="N50" s="286"/>
      <c r="O50" s="289"/>
      <c r="P50" s="258"/>
    </row>
    <row r="51" spans="1:16">
      <c r="A51" s="252"/>
      <c r="B51" s="254" t="s">
        <v>538</v>
      </c>
      <c r="C51" s="382">
        <v>0</v>
      </c>
      <c r="D51" s="382">
        <v>0</v>
      </c>
      <c r="E51" s="382">
        <v>0</v>
      </c>
      <c r="G51" s="258"/>
      <c r="H51" s="258"/>
      <c r="I51" s="258"/>
      <c r="J51" s="258"/>
      <c r="K51" s="258"/>
      <c r="L51" s="258"/>
      <c r="M51" s="258"/>
      <c r="N51" s="258"/>
      <c r="O51" s="258"/>
      <c r="P51" s="258"/>
    </row>
    <row r="52" spans="1:16">
      <c r="A52" s="252"/>
      <c r="B52" s="256" t="s">
        <v>178</v>
      </c>
      <c r="C52" s="383">
        <v>33464.084521789133</v>
      </c>
      <c r="D52" s="383">
        <v>33638.997742444182</v>
      </c>
      <c r="E52" s="383">
        <v>67103.082264233322</v>
      </c>
    </row>
    <row r="53" spans="1:16">
      <c r="A53" s="252"/>
      <c r="B53" s="254" t="s">
        <v>179</v>
      </c>
      <c r="C53" s="259">
        <v>-622512.49703482317</v>
      </c>
      <c r="D53" s="259">
        <v>-576622.2675916024</v>
      </c>
      <c r="E53" s="259">
        <v>-1199134.7646264257</v>
      </c>
    </row>
    <row r="54" spans="1:16">
      <c r="A54" s="252"/>
      <c r="B54" s="384"/>
      <c r="C54" s="384"/>
      <c r="D54" s="384"/>
      <c r="E54" s="384"/>
    </row>
    <row r="55" spans="1:16" ht="15" thickBot="1">
      <c r="A55" s="252"/>
      <c r="B55" s="390"/>
      <c r="C55" s="379">
        <v>2024</v>
      </c>
      <c r="D55" s="379">
        <v>2025</v>
      </c>
      <c r="E55" s="380" t="s">
        <v>158</v>
      </c>
    </row>
    <row r="56" spans="1:16" ht="15" thickTop="1">
      <c r="A56" s="252"/>
      <c r="B56" s="261" t="s">
        <v>160</v>
      </c>
      <c r="C56" s="382">
        <v>-348830.21667307109</v>
      </c>
      <c r="D56" s="382">
        <v>-315151.32363521261</v>
      </c>
      <c r="E56" s="382">
        <v>-663981.54030828376</v>
      </c>
    </row>
    <row r="57" spans="1:16">
      <c r="A57" s="252"/>
      <c r="B57" s="384"/>
      <c r="C57" s="259"/>
      <c r="D57" s="384"/>
      <c r="E57" s="384"/>
    </row>
    <row r="58" spans="1:16" ht="15" thickBot="1">
      <c r="A58" s="252"/>
      <c r="B58" s="390" t="s">
        <v>191</v>
      </c>
      <c r="C58" s="379">
        <v>2024</v>
      </c>
      <c r="D58" s="379">
        <v>2025</v>
      </c>
      <c r="E58" s="380" t="s">
        <v>158</v>
      </c>
    </row>
    <row r="59" spans="1:16" ht="15" thickTop="1">
      <c r="A59" s="252"/>
      <c r="B59" s="261" t="s">
        <v>159</v>
      </c>
      <c r="C59" s="382">
        <v>2350477.9004080561</v>
      </c>
      <c r="D59" s="382">
        <v>2411295.869282526</v>
      </c>
      <c r="E59" s="382">
        <v>4761773.7696905816</v>
      </c>
    </row>
    <row r="60" spans="1:16">
      <c r="A60" s="252"/>
      <c r="B60" s="261" t="s">
        <v>160</v>
      </c>
      <c r="C60" s="382">
        <v>-348830.21667307109</v>
      </c>
      <c r="D60" s="382">
        <v>-315151.32363521261</v>
      </c>
      <c r="E60" s="382">
        <v>-663981.54030828376</v>
      </c>
    </row>
    <row r="61" spans="1:16">
      <c r="A61" s="252"/>
      <c r="B61" s="261" t="s">
        <v>161</v>
      </c>
      <c r="C61" s="382">
        <v>0</v>
      </c>
      <c r="D61" s="382">
        <v>0</v>
      </c>
      <c r="E61" s="382">
        <v>0</v>
      </c>
    </row>
    <row r="62" spans="1:16">
      <c r="A62" s="252"/>
      <c r="B62" s="391" t="s">
        <v>162</v>
      </c>
      <c r="C62" s="383">
        <v>114786.93521434406</v>
      </c>
      <c r="D62" s="383">
        <v>205792.00636250814</v>
      </c>
      <c r="E62" s="383">
        <v>320578.94157685223</v>
      </c>
    </row>
    <row r="63" spans="1:16">
      <c r="A63" s="252"/>
      <c r="B63" s="385" t="s">
        <v>163</v>
      </c>
      <c r="C63" s="382">
        <v>2116434.618949329</v>
      </c>
      <c r="D63" s="382">
        <v>2301936.5520098214</v>
      </c>
      <c r="E63" s="382">
        <v>4418371.1709591504</v>
      </c>
    </row>
    <row r="64" spans="1:16">
      <c r="A64" s="252"/>
      <c r="B64" s="384"/>
      <c r="C64" s="384"/>
      <c r="D64" s="384"/>
      <c r="E64" s="384"/>
    </row>
    <row r="65" spans="1:7" ht="15" thickBot="1">
      <c r="A65" s="252"/>
      <c r="B65" s="390" t="s">
        <v>192</v>
      </c>
      <c r="C65" s="379">
        <v>2024</v>
      </c>
      <c r="D65" s="379">
        <v>2025</v>
      </c>
      <c r="E65" s="380" t="s">
        <v>158</v>
      </c>
    </row>
    <row r="66" spans="1:7" ht="15" thickTop="1">
      <c r="A66" s="252"/>
      <c r="B66" s="261" t="s">
        <v>193</v>
      </c>
      <c r="C66" s="386">
        <v>95.379680000000022</v>
      </c>
      <c r="D66" s="386">
        <v>95.769050000000007</v>
      </c>
      <c r="E66" s="386">
        <v>95.574365000000014</v>
      </c>
    </row>
    <row r="67" spans="1:7">
      <c r="A67" s="252"/>
      <c r="B67" s="261" t="s">
        <v>194</v>
      </c>
      <c r="C67" s="386">
        <v>75.638969999999986</v>
      </c>
      <c r="D67" s="386">
        <v>76.028339999999957</v>
      </c>
      <c r="E67" s="386">
        <v>75.833654999999965</v>
      </c>
    </row>
    <row r="68" spans="1:7">
      <c r="A68" s="252"/>
      <c r="B68" s="261" t="s">
        <v>195</v>
      </c>
      <c r="C68" s="386">
        <v>19.74071</v>
      </c>
      <c r="D68" s="386">
        <v>19.74071</v>
      </c>
      <c r="E68" s="386">
        <v>19.74071</v>
      </c>
    </row>
    <row r="69" spans="1:7">
      <c r="A69" s="252"/>
      <c r="B69" s="261"/>
      <c r="C69" s="382"/>
      <c r="D69" s="382"/>
      <c r="E69" s="382"/>
    </row>
    <row r="70" spans="1:7" ht="15" thickBot="1">
      <c r="A70" s="252"/>
      <c r="B70" s="390" t="s">
        <v>196</v>
      </c>
      <c r="C70" s="379">
        <v>2024</v>
      </c>
      <c r="D70" s="379">
        <v>2025</v>
      </c>
      <c r="E70" s="380" t="s">
        <v>158</v>
      </c>
    </row>
    <row r="71" spans="1:7" ht="15" thickTop="1">
      <c r="B71" s="261" t="s">
        <v>159</v>
      </c>
      <c r="C71" s="382">
        <v>24643.382116694622</v>
      </c>
      <c r="D71" s="382">
        <v>25178.237324924135</v>
      </c>
      <c r="E71" s="382">
        <v>24911.354470890707</v>
      </c>
    </row>
    <row r="72" spans="1:7">
      <c r="A72" s="252"/>
      <c r="B72" s="261" t="s">
        <v>160</v>
      </c>
      <c r="C72" s="382">
        <v>-4611.7790429069983</v>
      </c>
      <c r="D72" s="382">
        <v>-4145.1822259332876</v>
      </c>
      <c r="E72" s="382">
        <v>-4377.8816958531415</v>
      </c>
    </row>
    <row r="73" spans="1:7">
      <c r="A73" s="252"/>
      <c r="B73" s="261" t="s">
        <v>161</v>
      </c>
      <c r="C73" s="382">
        <v>0</v>
      </c>
      <c r="D73" s="382">
        <v>0</v>
      </c>
      <c r="E73" s="382">
        <v>0</v>
      </c>
      <c r="G73" s="260"/>
    </row>
    <row r="74" spans="1:7">
      <c r="A74" s="252"/>
      <c r="B74" s="384"/>
      <c r="C74" s="384"/>
      <c r="D74" s="384"/>
      <c r="E74" s="384"/>
      <c r="G74" s="260"/>
    </row>
    <row r="75" spans="1:7" ht="15" thickBot="1">
      <c r="A75" s="252"/>
      <c r="B75" s="390" t="s">
        <v>197</v>
      </c>
      <c r="C75" s="379">
        <v>2024</v>
      </c>
      <c r="D75" s="379">
        <v>2025</v>
      </c>
      <c r="E75" s="380" t="s">
        <v>158</v>
      </c>
    </row>
    <row r="76" spans="1:7" ht="15" thickTop="1">
      <c r="B76" s="261" t="s">
        <v>159</v>
      </c>
      <c r="C76" s="387">
        <v>2053615.1763912186</v>
      </c>
      <c r="D76" s="387">
        <v>2098186.4437436778</v>
      </c>
      <c r="E76" s="387">
        <v>2075946</v>
      </c>
    </row>
    <row r="77" spans="1:7">
      <c r="A77" s="252"/>
      <c r="B77" s="261" t="s">
        <v>160</v>
      </c>
      <c r="C77" s="387">
        <v>-384314.92024224991</v>
      </c>
      <c r="D77" s="387">
        <v>-345431.85216110729</v>
      </c>
      <c r="E77" s="387">
        <v>-364823</v>
      </c>
    </row>
    <row r="78" spans="1:7">
      <c r="A78" s="252"/>
      <c r="B78" s="261" t="s">
        <v>161</v>
      </c>
      <c r="C78" s="387">
        <v>0</v>
      </c>
      <c r="D78" s="387">
        <v>0</v>
      </c>
      <c r="E78" s="387">
        <v>0</v>
      </c>
    </row>
    <row r="79" spans="1:7">
      <c r="A79" s="252"/>
      <c r="B79" s="384"/>
      <c r="C79" s="384"/>
      <c r="D79" s="384"/>
      <c r="E79" s="384"/>
    </row>
    <row r="80" spans="1:7" ht="15" thickBot="1">
      <c r="A80" s="252"/>
      <c r="B80" s="390" t="s">
        <v>198</v>
      </c>
      <c r="C80" s="379">
        <v>2024</v>
      </c>
      <c r="D80" s="379">
        <v>2025</v>
      </c>
      <c r="E80" s="380" t="s">
        <v>158</v>
      </c>
    </row>
    <row r="81" spans="2:7" ht="15" thickTop="1">
      <c r="B81" s="261" t="s">
        <v>199</v>
      </c>
      <c r="C81" s="300">
        <v>63.83</v>
      </c>
      <c r="D81" s="300">
        <v>60.25</v>
      </c>
      <c r="E81" s="300">
        <v>61.495772306393967</v>
      </c>
    </row>
    <row r="82" spans="2:7">
      <c r="B82" s="261" t="s">
        <v>200</v>
      </c>
      <c r="C82" s="300">
        <v>63.83</v>
      </c>
      <c r="D82" s="300">
        <v>60.25</v>
      </c>
      <c r="E82" s="300">
        <v>62.04</v>
      </c>
    </row>
    <row r="83" spans="2:7">
      <c r="B83" s="261" t="s">
        <v>244</v>
      </c>
      <c r="C83" s="388">
        <v>0</v>
      </c>
      <c r="D83" s="388">
        <v>0</v>
      </c>
      <c r="E83" s="388">
        <v>0</v>
      </c>
    </row>
    <row r="85" spans="2:7" ht="15" thickBot="1">
      <c r="C85" s="379">
        <v>2024</v>
      </c>
      <c r="D85" s="379">
        <v>2025</v>
      </c>
      <c r="F85"/>
      <c r="G85"/>
    </row>
    <row r="86" spans="2:7" ht="15" thickTop="1">
      <c r="B86" s="247" t="s">
        <v>605</v>
      </c>
      <c r="C86" s="246">
        <f>40000000/SUM(C91:C92)</f>
        <v>0.8793255920595483</v>
      </c>
      <c r="D86" s="246">
        <f>40000000/SUM(D91:D92)</f>
        <v>0.87713364796111692</v>
      </c>
    </row>
    <row r="87" spans="2:7">
      <c r="B87" s="247" t="s">
        <v>606</v>
      </c>
      <c r="C87" s="246">
        <f>40000000/SUM(C93:C94)</f>
        <v>1.006297139101767</v>
      </c>
      <c r="D87" s="246">
        <f>40000000/SUM(D93:D94)</f>
        <v>1.0382288365287708</v>
      </c>
    </row>
    <row r="88" spans="2:7">
      <c r="B88" s="252" t="s">
        <v>540</v>
      </c>
      <c r="C88" s="302">
        <f>$H$33-C86</f>
        <v>5.8506744079404518</v>
      </c>
      <c r="D88" s="302">
        <f>$H$33-D86</f>
        <v>5.8528663520388839</v>
      </c>
    </row>
    <row r="91" spans="2:7">
      <c r="B91" s="252" t="s">
        <v>545</v>
      </c>
      <c r="C91" s="407">
        <v>45392783.292596102</v>
      </c>
      <c r="D91" s="407">
        <v>45506724.653039314</v>
      </c>
    </row>
    <row r="92" spans="2:7">
      <c r="B92" s="252" t="s">
        <v>546</v>
      </c>
      <c r="C92" s="407">
        <v>96623.999999999985</v>
      </c>
      <c r="D92" s="407">
        <v>96359.999999999985</v>
      </c>
    </row>
    <row r="93" spans="2:7">
      <c r="B93" s="252" t="s">
        <v>547</v>
      </c>
      <c r="C93" s="407">
        <f>SUM('Staging Table'!DK6:DT139)</f>
        <v>39669181.66860757</v>
      </c>
      <c r="D93" s="407">
        <v>38446906.811479799</v>
      </c>
    </row>
    <row r="94" spans="2:7">
      <c r="B94" s="252" t="s">
        <v>548</v>
      </c>
      <c r="C94" s="407">
        <f>44587+35922</f>
        <v>80509</v>
      </c>
      <c r="D94" s="407">
        <f>44439+35806</f>
        <v>80245</v>
      </c>
    </row>
  </sheetData>
  <conditionalFormatting sqref="B2">
    <cfRule type="expression" dxfId="4" priority="1" stopIfTrue="1">
      <formula>A1 &gt; 30</formula>
    </cfRule>
  </conditionalFormatting>
  <pageMargins left="0.25" right="0.25" top="0.75" bottom="0.75" header="0.3" footer="0.3"/>
  <pageSetup scale="39" orientation="portrait" r:id="rId1"/>
  <colBreaks count="1" manualBreakCount="1">
    <brk id="15" max="80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00B0F0"/>
  </sheetPr>
  <dimension ref="A1:O401"/>
  <sheetViews>
    <sheetView workbookViewId="0">
      <selection activeCell="A3" sqref="A3"/>
    </sheetView>
  </sheetViews>
  <sheetFormatPr defaultRowHeight="14.4"/>
  <cols>
    <col min="1" max="1" width="32.33203125" style="31" customWidth="1"/>
    <col min="2" max="2" width="30.5546875" style="31" bestFit="1" customWidth="1"/>
    <col min="3" max="3" width="8" style="34" customWidth="1"/>
    <col min="4" max="4" width="2.33203125" customWidth="1"/>
    <col min="5" max="5" width="32.33203125" style="31" customWidth="1"/>
    <col min="6" max="6" width="30.5546875" style="31" bestFit="1" customWidth="1"/>
    <col min="7" max="7" width="8" style="34" customWidth="1"/>
    <col min="15" max="15" width="10.109375" bestFit="1" customWidth="1"/>
  </cols>
  <sheetData>
    <row r="1" spans="1:15">
      <c r="A1" s="37"/>
      <c r="B1" s="37"/>
      <c r="C1" s="38"/>
      <c r="D1" s="2"/>
      <c r="E1" s="37"/>
      <c r="F1" s="37"/>
      <c r="G1" s="38"/>
    </row>
    <row r="2" spans="1:15">
      <c r="A2" s="39" t="s">
        <v>149</v>
      </c>
      <c r="B2" s="37"/>
      <c r="C2" s="38"/>
      <c r="D2" s="2"/>
      <c r="E2" s="39" t="s">
        <v>150</v>
      </c>
      <c r="F2" s="37"/>
      <c r="G2" s="38"/>
    </row>
    <row r="3" spans="1:15" ht="15.6">
      <c r="A3" s="40" t="s">
        <v>146</v>
      </c>
      <c r="B3" s="41"/>
      <c r="C3" s="42"/>
      <c r="D3" s="2"/>
      <c r="E3" s="40" t="s">
        <v>146</v>
      </c>
      <c r="F3" s="41"/>
      <c r="G3" s="42"/>
    </row>
    <row r="4" spans="1:15" ht="27">
      <c r="A4" s="28" t="s">
        <v>2</v>
      </c>
      <c r="B4" s="29" t="s">
        <v>147</v>
      </c>
      <c r="C4" s="36" t="s">
        <v>148</v>
      </c>
      <c r="E4" s="28" t="s">
        <v>2</v>
      </c>
      <c r="F4" s="29" t="s">
        <v>147</v>
      </c>
      <c r="G4" s="36" t="s">
        <v>148</v>
      </c>
      <c r="J4" t="s">
        <v>534</v>
      </c>
      <c r="K4" t="s">
        <v>535</v>
      </c>
    </row>
    <row r="5" spans="1:15">
      <c r="A5" s="30">
        <v>10005</v>
      </c>
      <c r="B5" s="31" t="s">
        <v>7</v>
      </c>
      <c r="C5" s="35">
        <v>0</v>
      </c>
      <c r="E5" s="30">
        <v>10005</v>
      </c>
      <c r="F5" s="31" t="s">
        <v>7</v>
      </c>
      <c r="G5" s="35">
        <v>0</v>
      </c>
      <c r="J5">
        <f>VLOOKUP(A5, TOCA_previous!$A$3:$D$137, 4, FALSE)</f>
        <v>0</v>
      </c>
      <c r="K5">
        <f>VLOOKUP(E5, TOCA_current!A2:D136, 4, FALSE)</f>
        <v>0</v>
      </c>
      <c r="O5" s="86"/>
    </row>
    <row r="6" spans="1:15">
      <c r="A6" s="32">
        <v>10015</v>
      </c>
      <c r="B6" s="31" t="s">
        <v>8</v>
      </c>
      <c r="C6" s="35">
        <v>0</v>
      </c>
      <c r="E6" s="32">
        <v>10015</v>
      </c>
      <c r="F6" s="31" t="s">
        <v>8</v>
      </c>
      <c r="G6" s="35">
        <v>0</v>
      </c>
      <c r="J6" s="71">
        <f>VLOOKUP(A6, TOCA_previous!$A$3:$D$137, 4, FALSE)</f>
        <v>0</v>
      </c>
      <c r="K6" s="71">
        <f>VLOOKUP(E6, TOCA_current!A3:D137, 4, FALSE)</f>
        <v>0</v>
      </c>
      <c r="L6" s="71"/>
      <c r="O6" s="86"/>
    </row>
    <row r="7" spans="1:15">
      <c r="A7" s="32">
        <v>10024</v>
      </c>
      <c r="B7" s="31" t="s">
        <v>9</v>
      </c>
      <c r="C7" s="35">
        <v>312239.2</v>
      </c>
      <c r="E7" s="32">
        <v>10024</v>
      </c>
      <c r="F7" s="31" t="s">
        <v>9</v>
      </c>
      <c r="G7" s="35">
        <v>312239.2</v>
      </c>
      <c r="J7" s="71">
        <f>VLOOKUP(A7, TOCA_previous!$A$3:$D$137, 4, FALSE)</f>
        <v>0</v>
      </c>
      <c r="K7" s="71">
        <f>VLOOKUP(E7, TOCA_current!A4:D138, 4, FALSE)</f>
        <v>0</v>
      </c>
      <c r="L7" s="71"/>
      <c r="O7" s="86"/>
    </row>
    <row r="8" spans="1:15">
      <c r="A8" s="32">
        <v>10025</v>
      </c>
      <c r="B8" s="31" t="s">
        <v>10</v>
      </c>
      <c r="C8" s="35">
        <v>82900.857000000004</v>
      </c>
      <c r="E8" s="32">
        <v>10025</v>
      </c>
      <c r="F8" s="31" t="s">
        <v>10</v>
      </c>
      <c r="G8" s="35">
        <v>82900.857000000004</v>
      </c>
      <c r="J8" s="71">
        <f>VLOOKUP(A8, TOCA_previous!$A$3:$D$137, 4, FALSE)</f>
        <v>0</v>
      </c>
      <c r="K8" s="71">
        <f>VLOOKUP(E8, TOCA_current!A5:D139, 4, FALSE)</f>
        <v>0</v>
      </c>
      <c r="L8" s="71"/>
      <c r="O8" s="86"/>
    </row>
    <row r="9" spans="1:15">
      <c r="A9" s="32">
        <v>10027</v>
      </c>
      <c r="B9" s="31" t="s">
        <v>11</v>
      </c>
      <c r="C9" s="35">
        <v>209669.54</v>
      </c>
      <c r="E9" s="32">
        <v>10027</v>
      </c>
      <c r="F9" s="31" t="s">
        <v>11</v>
      </c>
      <c r="G9" s="35">
        <v>209669.54</v>
      </c>
      <c r="J9" s="71">
        <f>VLOOKUP(A9, TOCA_previous!$A$3:$D$137, 4, FALSE)</f>
        <v>0</v>
      </c>
      <c r="K9" s="71">
        <f>VLOOKUP(E9, TOCA_current!A6:D140, 4, FALSE)</f>
        <v>0</v>
      </c>
      <c r="L9" s="71"/>
      <c r="O9" s="86"/>
    </row>
    <row r="10" spans="1:15">
      <c r="A10" s="32">
        <v>10029</v>
      </c>
      <c r="B10" s="31" t="s">
        <v>12</v>
      </c>
      <c r="C10" s="35">
        <v>0</v>
      </c>
      <c r="E10" s="32">
        <v>10029</v>
      </c>
      <c r="F10" s="31" t="s">
        <v>12</v>
      </c>
      <c r="G10" s="35">
        <v>0</v>
      </c>
      <c r="J10" s="71">
        <f>VLOOKUP(A10, TOCA_previous!$A$3:$D$137, 4, FALSE)</f>
        <v>1</v>
      </c>
      <c r="K10" s="71">
        <f>VLOOKUP(E10, TOCA_current!A7:D141, 4, FALSE)</f>
        <v>1</v>
      </c>
      <c r="L10" s="71"/>
      <c r="O10" s="86"/>
    </row>
    <row r="11" spans="1:15">
      <c r="A11" s="32">
        <v>10044</v>
      </c>
      <c r="B11" s="31" t="s">
        <v>13</v>
      </c>
      <c r="C11" s="35">
        <v>0</v>
      </c>
      <c r="E11" s="32">
        <v>10044</v>
      </c>
      <c r="F11" s="31" t="s">
        <v>13</v>
      </c>
      <c r="G11" s="35">
        <v>0</v>
      </c>
      <c r="J11" s="71">
        <f>VLOOKUP(A11, TOCA_previous!$A$3:$D$137, 4, FALSE)</f>
        <v>0</v>
      </c>
      <c r="K11" s="71">
        <f>VLOOKUP(E11, TOCA_current!A8:D142, 4, FALSE)</f>
        <v>0</v>
      </c>
      <c r="L11" s="71"/>
      <c r="O11" s="86"/>
    </row>
    <row r="12" spans="1:15">
      <c r="A12" s="32">
        <v>10046</v>
      </c>
      <c r="B12" s="31" t="s">
        <v>14</v>
      </c>
      <c r="C12" s="35">
        <v>41085.457000000002</v>
      </c>
      <c r="E12" s="32">
        <v>10046</v>
      </c>
      <c r="F12" s="31" t="s">
        <v>14</v>
      </c>
      <c r="G12" s="35">
        <v>41085.457000000002</v>
      </c>
      <c r="J12" s="71">
        <f>VLOOKUP(A12, TOCA_previous!$A$3:$D$137, 4, FALSE)</f>
        <v>1</v>
      </c>
      <c r="K12" s="71">
        <f>VLOOKUP(E12, TOCA_current!A9:D143, 4, FALSE)</f>
        <v>1</v>
      </c>
      <c r="L12" s="71"/>
      <c r="O12" s="86"/>
    </row>
    <row r="13" spans="1:15">
      <c r="A13" s="32">
        <v>10047</v>
      </c>
      <c r="B13" s="31" t="s">
        <v>15</v>
      </c>
      <c r="C13" s="35">
        <v>0</v>
      </c>
      <c r="E13" s="32">
        <v>10047</v>
      </c>
      <c r="F13" s="31" t="s">
        <v>15</v>
      </c>
      <c r="G13" s="35">
        <v>0</v>
      </c>
      <c r="J13" s="71">
        <f>VLOOKUP(A13, TOCA_previous!$A$3:$D$137, 4, FALSE)</f>
        <v>0</v>
      </c>
      <c r="K13" s="71">
        <f>VLOOKUP(E13, TOCA_current!A10:D144, 4, FALSE)</f>
        <v>0</v>
      </c>
      <c r="L13" s="71"/>
      <c r="O13" s="86"/>
    </row>
    <row r="14" spans="1:15">
      <c r="A14" s="32">
        <v>10055</v>
      </c>
      <c r="B14" s="31" t="s">
        <v>16</v>
      </c>
      <c r="C14" s="35">
        <v>0</v>
      </c>
      <c r="E14" s="32">
        <v>10055</v>
      </c>
      <c r="F14" s="31" t="s">
        <v>16</v>
      </c>
      <c r="G14" s="35">
        <v>0</v>
      </c>
      <c r="J14" s="71">
        <f>VLOOKUP(A14, TOCA_previous!$A$3:$D$137, 4, FALSE)</f>
        <v>0</v>
      </c>
      <c r="K14" s="71">
        <f>VLOOKUP(E14, TOCA_current!A11:D145, 4, FALSE)</f>
        <v>0</v>
      </c>
      <c r="L14" s="71"/>
      <c r="O14" s="86"/>
    </row>
    <row r="15" spans="1:15">
      <c r="A15" s="32">
        <v>10057</v>
      </c>
      <c r="B15" s="31" t="s">
        <v>17</v>
      </c>
      <c r="C15" s="35">
        <v>0</v>
      </c>
      <c r="E15" s="32">
        <v>10057</v>
      </c>
      <c r="F15" s="31" t="s">
        <v>17</v>
      </c>
      <c r="G15" s="35">
        <v>0</v>
      </c>
      <c r="J15" s="71">
        <f>VLOOKUP(A15, TOCA_previous!$A$3:$D$137, 4, FALSE)</f>
        <v>0</v>
      </c>
      <c r="K15" s="71">
        <f>VLOOKUP(E15, TOCA_current!A12:D146, 4, FALSE)</f>
        <v>0</v>
      </c>
      <c r="L15" s="71"/>
      <c r="O15" s="86"/>
    </row>
    <row r="16" spans="1:15">
      <c r="A16" s="32">
        <v>10059</v>
      </c>
      <c r="B16" s="31" t="s">
        <v>18</v>
      </c>
      <c r="C16" s="35">
        <v>0</v>
      </c>
      <c r="E16" s="32">
        <v>10059</v>
      </c>
      <c r="F16" s="31" t="s">
        <v>18</v>
      </c>
      <c r="G16" s="35">
        <v>0</v>
      </c>
      <c r="J16" s="71">
        <f>VLOOKUP(A16, TOCA_previous!$A$3:$D$137, 4, FALSE)</f>
        <v>0</v>
      </c>
      <c r="K16" s="71">
        <f>VLOOKUP(E16, TOCA_current!A13:D147, 4, FALSE)</f>
        <v>0</v>
      </c>
      <c r="L16" s="71"/>
      <c r="O16" s="86"/>
    </row>
    <row r="17" spans="1:15">
      <c r="A17" s="32">
        <v>10061</v>
      </c>
      <c r="B17" s="31" t="s">
        <v>19</v>
      </c>
      <c r="C17" s="35">
        <v>0</v>
      </c>
      <c r="E17" s="32">
        <v>10061</v>
      </c>
      <c r="F17" s="31" t="s">
        <v>19</v>
      </c>
      <c r="G17" s="35">
        <v>0</v>
      </c>
      <c r="J17" s="71">
        <f>VLOOKUP(A17, TOCA_previous!$A$3:$D$137, 4, FALSE)</f>
        <v>0</v>
      </c>
      <c r="K17" s="71">
        <f>VLOOKUP(E17, TOCA_current!A14:D148, 4, FALSE)</f>
        <v>0</v>
      </c>
      <c r="L17" s="71"/>
      <c r="O17" s="86"/>
    </row>
    <row r="18" spans="1:15">
      <c r="A18" s="32">
        <v>10062</v>
      </c>
      <c r="B18" s="31" t="s">
        <v>20</v>
      </c>
      <c r="C18" s="35">
        <v>0</v>
      </c>
      <c r="E18" s="32">
        <v>10062</v>
      </c>
      <c r="F18" s="31" t="s">
        <v>20</v>
      </c>
      <c r="G18" s="35">
        <v>0</v>
      </c>
      <c r="J18" s="71">
        <f>VLOOKUP(A18, TOCA_previous!$A$3:$D$137, 4, FALSE)</f>
        <v>0</v>
      </c>
      <c r="K18" s="71">
        <f>VLOOKUP(E18, TOCA_current!A15:D149, 4, FALSE)</f>
        <v>0</v>
      </c>
      <c r="L18" s="71"/>
      <c r="O18" s="86"/>
    </row>
    <row r="19" spans="1:15">
      <c r="A19" s="32">
        <v>10064</v>
      </c>
      <c r="B19" s="31" t="s">
        <v>21</v>
      </c>
      <c r="C19" s="35">
        <v>0</v>
      </c>
      <c r="E19" s="32">
        <v>10064</v>
      </c>
      <c r="F19" s="31" t="s">
        <v>21</v>
      </c>
      <c r="G19" s="35">
        <v>0</v>
      </c>
      <c r="J19" s="71">
        <f>VLOOKUP(A19, TOCA_previous!$A$3:$D$137, 4, FALSE)</f>
        <v>0</v>
      </c>
      <c r="K19" s="71">
        <f>VLOOKUP(E19, TOCA_current!A16:D150, 4, FALSE)</f>
        <v>0</v>
      </c>
      <c r="L19" s="71"/>
      <c r="O19" s="86"/>
    </row>
    <row r="20" spans="1:15">
      <c r="A20" s="32">
        <v>10065</v>
      </c>
      <c r="B20" s="31" t="s">
        <v>22</v>
      </c>
      <c r="C20" s="35">
        <v>0</v>
      </c>
      <c r="E20" s="32">
        <v>10065</v>
      </c>
      <c r="F20" s="31" t="s">
        <v>22</v>
      </c>
      <c r="G20" s="35">
        <v>0</v>
      </c>
      <c r="J20" s="71">
        <f>VLOOKUP(A20, TOCA_previous!$A$3:$D$137, 4, FALSE)</f>
        <v>0</v>
      </c>
      <c r="K20" s="71">
        <f>VLOOKUP(E20, TOCA_current!A17:D151, 4, FALSE)</f>
        <v>0</v>
      </c>
      <c r="L20" s="71"/>
      <c r="O20" s="86"/>
    </row>
    <row r="21" spans="1:15">
      <c r="A21" s="32">
        <v>10066</v>
      </c>
      <c r="B21" s="31" t="s">
        <v>23</v>
      </c>
      <c r="C21" s="35">
        <v>0</v>
      </c>
      <c r="E21" s="32">
        <v>10066</v>
      </c>
      <c r="F21" s="31" t="s">
        <v>23</v>
      </c>
      <c r="G21" s="35">
        <v>0</v>
      </c>
      <c r="J21" s="71">
        <f>VLOOKUP(A21, TOCA_previous!$A$3:$D$137, 4, FALSE)</f>
        <v>0</v>
      </c>
      <c r="K21" s="71">
        <f>VLOOKUP(E21, TOCA_current!A18:D152, 4, FALSE)</f>
        <v>0</v>
      </c>
      <c r="L21" s="71"/>
      <c r="O21" s="86"/>
    </row>
    <row r="22" spans="1:15">
      <c r="A22" s="32">
        <v>10067</v>
      </c>
      <c r="B22" s="31" t="s">
        <v>24</v>
      </c>
      <c r="C22" s="35">
        <v>0</v>
      </c>
      <c r="E22" s="32">
        <v>10067</v>
      </c>
      <c r="F22" s="31" t="s">
        <v>24</v>
      </c>
      <c r="G22" s="35">
        <v>0</v>
      </c>
      <c r="J22" s="71">
        <f>VLOOKUP(A22, TOCA_previous!$A$3:$D$137, 4, FALSE)</f>
        <v>0</v>
      </c>
      <c r="K22" s="71">
        <f>VLOOKUP(E22, TOCA_current!A19:D153, 4, FALSE)</f>
        <v>0</v>
      </c>
      <c r="L22" s="71"/>
      <c r="O22" s="86"/>
    </row>
    <row r="23" spans="1:15">
      <c r="A23" s="32">
        <v>10068</v>
      </c>
      <c r="B23" s="31" t="s">
        <v>25</v>
      </c>
      <c r="C23" s="35">
        <v>0</v>
      </c>
      <c r="E23" s="32">
        <v>10068</v>
      </c>
      <c r="F23" s="31" t="s">
        <v>25</v>
      </c>
      <c r="G23" s="35">
        <v>0</v>
      </c>
      <c r="J23" s="71">
        <f>VLOOKUP(A23, TOCA_previous!$A$3:$D$137, 4, FALSE)</f>
        <v>0</v>
      </c>
      <c r="K23" s="71">
        <f>VLOOKUP(E23, TOCA_current!A20:D154, 4, FALSE)</f>
        <v>0</v>
      </c>
      <c r="L23" s="71"/>
      <c r="O23" s="86"/>
    </row>
    <row r="24" spans="1:15">
      <c r="A24" s="32">
        <v>10070</v>
      </c>
      <c r="B24" s="31" t="s">
        <v>26</v>
      </c>
      <c r="C24" s="35">
        <v>0</v>
      </c>
      <c r="E24" s="32">
        <v>10070</v>
      </c>
      <c r="F24" s="31" t="s">
        <v>26</v>
      </c>
      <c r="G24" s="35">
        <v>0</v>
      </c>
      <c r="J24" s="71">
        <f>VLOOKUP(A24, TOCA_previous!$A$3:$D$137, 4, FALSE)</f>
        <v>0</v>
      </c>
      <c r="K24" s="71">
        <f>VLOOKUP(E24, TOCA_current!A21:D155, 4, FALSE)</f>
        <v>0</v>
      </c>
      <c r="L24" s="71"/>
      <c r="O24" s="86"/>
    </row>
    <row r="25" spans="1:15">
      <c r="A25" s="32">
        <v>10071</v>
      </c>
      <c r="B25" s="31" t="s">
        <v>27</v>
      </c>
      <c r="C25" s="35">
        <v>0</v>
      </c>
      <c r="E25" s="32">
        <v>10071</v>
      </c>
      <c r="F25" s="31" t="s">
        <v>27</v>
      </c>
      <c r="G25" s="35">
        <v>0</v>
      </c>
      <c r="J25" s="71">
        <f>VLOOKUP(A25, TOCA_previous!$A$3:$D$137, 4, FALSE)</f>
        <v>0</v>
      </c>
      <c r="K25" s="71">
        <f>VLOOKUP(E25, TOCA_current!A22:D156, 4, FALSE)</f>
        <v>0</v>
      </c>
      <c r="L25" s="71"/>
      <c r="O25" s="86"/>
    </row>
    <row r="26" spans="1:15">
      <c r="A26" s="32">
        <v>10072</v>
      </c>
      <c r="B26" s="31" t="s">
        <v>28</v>
      </c>
      <c r="C26" s="35">
        <v>0</v>
      </c>
      <c r="E26" s="32">
        <v>10072</v>
      </c>
      <c r="F26" s="31" t="s">
        <v>28</v>
      </c>
      <c r="G26" s="35">
        <v>0</v>
      </c>
      <c r="J26" s="71">
        <f>VLOOKUP(A26, TOCA_previous!$A$3:$D$137, 4, FALSE)</f>
        <v>0</v>
      </c>
      <c r="K26" s="71">
        <f>VLOOKUP(E26, TOCA_current!A23:D157, 4, FALSE)</f>
        <v>0</v>
      </c>
      <c r="L26" s="71"/>
      <c r="O26" s="86"/>
    </row>
    <row r="27" spans="1:15">
      <c r="A27" s="32">
        <v>10074</v>
      </c>
      <c r="B27" s="31" t="s">
        <v>29</v>
      </c>
      <c r="C27" s="35">
        <v>0</v>
      </c>
      <c r="E27" s="32">
        <v>10074</v>
      </c>
      <c r="F27" s="31" t="s">
        <v>29</v>
      </c>
      <c r="G27" s="35">
        <v>0</v>
      </c>
      <c r="J27" s="71">
        <f>VLOOKUP(A27, TOCA_previous!$A$3:$D$137, 4, FALSE)</f>
        <v>0</v>
      </c>
      <c r="K27" s="71">
        <f>VLOOKUP(E27, TOCA_current!A24:D158, 4, FALSE)</f>
        <v>0</v>
      </c>
      <c r="L27" s="71"/>
      <c r="O27" s="86"/>
    </row>
    <row r="28" spans="1:15">
      <c r="A28" s="32">
        <v>10076</v>
      </c>
      <c r="B28" s="31" t="s">
        <v>30</v>
      </c>
      <c r="C28" s="35">
        <v>0</v>
      </c>
      <c r="E28" s="32">
        <v>10076</v>
      </c>
      <c r="F28" s="31" t="s">
        <v>30</v>
      </c>
      <c r="G28" s="35">
        <v>0</v>
      </c>
      <c r="J28" s="71">
        <f>VLOOKUP(A28, TOCA_previous!$A$3:$D$137, 4, FALSE)</f>
        <v>0</v>
      </c>
      <c r="K28" s="71">
        <f>VLOOKUP(E28, TOCA_current!A25:D159, 4, FALSE)</f>
        <v>0</v>
      </c>
      <c r="L28" s="71"/>
      <c r="O28" s="86"/>
    </row>
    <row r="29" spans="1:15">
      <c r="A29" s="32">
        <v>10078</v>
      </c>
      <c r="B29" s="31" t="s">
        <v>31</v>
      </c>
      <c r="C29" s="35">
        <v>0</v>
      </c>
      <c r="E29" s="32">
        <v>10078</v>
      </c>
      <c r="F29" s="31" t="s">
        <v>31</v>
      </c>
      <c r="G29" s="35">
        <v>0</v>
      </c>
      <c r="J29" s="71">
        <f>VLOOKUP(A29, TOCA_previous!$A$3:$D$137, 4, FALSE)</f>
        <v>0</v>
      </c>
      <c r="K29" s="71">
        <f>VLOOKUP(E29, TOCA_current!A26:D160, 4, FALSE)</f>
        <v>0</v>
      </c>
      <c r="L29" s="71"/>
      <c r="O29" s="86"/>
    </row>
    <row r="30" spans="1:15">
      <c r="A30" s="32">
        <v>10079</v>
      </c>
      <c r="B30" s="31" t="s">
        <v>32</v>
      </c>
      <c r="C30" s="35">
        <v>0</v>
      </c>
      <c r="E30" s="32">
        <v>10079</v>
      </c>
      <c r="F30" s="31" t="s">
        <v>32</v>
      </c>
      <c r="G30" s="35">
        <v>0</v>
      </c>
      <c r="J30" s="71">
        <f>VLOOKUP(A30, TOCA_previous!$A$3:$D$137, 4, FALSE)</f>
        <v>0</v>
      </c>
      <c r="K30" s="71">
        <f>VLOOKUP(E30, TOCA_current!A27:D161, 4, FALSE)</f>
        <v>0</v>
      </c>
      <c r="L30" s="71"/>
      <c r="O30" s="86"/>
    </row>
    <row r="31" spans="1:15">
      <c r="A31" s="32">
        <v>10080</v>
      </c>
      <c r="B31" s="31" t="s">
        <v>33</v>
      </c>
      <c r="C31" s="35">
        <v>0</v>
      </c>
      <c r="E31" s="32">
        <v>10080</v>
      </c>
      <c r="F31" s="31" t="s">
        <v>33</v>
      </c>
      <c r="G31" s="35">
        <v>0</v>
      </c>
      <c r="J31" s="71">
        <f>VLOOKUP(A31, TOCA_previous!$A$3:$D$137, 4, FALSE)</f>
        <v>0</v>
      </c>
      <c r="K31" s="71">
        <f>VLOOKUP(E31, TOCA_current!A28:D162, 4, FALSE)</f>
        <v>0</v>
      </c>
      <c r="L31" s="71"/>
      <c r="O31" s="86"/>
    </row>
    <row r="32" spans="1:15">
      <c r="A32" s="32">
        <v>10081</v>
      </c>
      <c r="B32" s="31" t="s">
        <v>34</v>
      </c>
      <c r="C32" s="35">
        <v>0</v>
      </c>
      <c r="E32" s="32">
        <v>10081</v>
      </c>
      <c r="F32" s="31" t="s">
        <v>34</v>
      </c>
      <c r="G32" s="35">
        <v>0</v>
      </c>
      <c r="J32" s="71">
        <f>VLOOKUP(A32, TOCA_previous!$A$3:$D$137, 4, FALSE)</f>
        <v>0</v>
      </c>
      <c r="K32" s="71">
        <f>VLOOKUP(E32, TOCA_current!A29:D163, 4, FALSE)</f>
        <v>0</v>
      </c>
      <c r="L32" s="71"/>
      <c r="O32" s="86"/>
    </row>
    <row r="33" spans="1:15">
      <c r="A33" s="32">
        <v>10082</v>
      </c>
      <c r="B33" s="31" t="s">
        <v>35</v>
      </c>
      <c r="C33" s="35">
        <v>0</v>
      </c>
      <c r="E33" s="32">
        <v>10082</v>
      </c>
      <c r="F33" s="31" t="s">
        <v>35</v>
      </c>
      <c r="G33" s="35">
        <v>0</v>
      </c>
      <c r="J33" s="71">
        <f>VLOOKUP(A33, TOCA_previous!$A$3:$D$137, 4, FALSE)</f>
        <v>0</v>
      </c>
      <c r="K33" s="71">
        <f>VLOOKUP(E33, TOCA_current!A30:D164, 4, FALSE)</f>
        <v>0</v>
      </c>
      <c r="L33" s="71"/>
      <c r="O33" s="86"/>
    </row>
    <row r="34" spans="1:15">
      <c r="A34" s="32">
        <v>10083</v>
      </c>
      <c r="B34" s="31" t="s">
        <v>36</v>
      </c>
      <c r="C34" s="35">
        <v>0</v>
      </c>
      <c r="E34" s="32">
        <v>10083</v>
      </c>
      <c r="F34" s="31" t="s">
        <v>36</v>
      </c>
      <c r="G34" s="35">
        <v>0</v>
      </c>
      <c r="J34" s="71">
        <f>VLOOKUP(A34, TOCA_previous!$A$3:$D$137, 4, FALSE)</f>
        <v>0</v>
      </c>
      <c r="K34" s="71">
        <f>VLOOKUP(E34, TOCA_current!A31:D165, 4, FALSE)</f>
        <v>0</v>
      </c>
      <c r="L34" s="71"/>
      <c r="O34" s="86"/>
    </row>
    <row r="35" spans="1:15">
      <c r="A35" s="32">
        <v>10086</v>
      </c>
      <c r="B35" s="31" t="s">
        <v>37</v>
      </c>
      <c r="C35" s="35">
        <v>0</v>
      </c>
      <c r="E35" s="32">
        <v>10086</v>
      </c>
      <c r="F35" s="31" t="s">
        <v>37</v>
      </c>
      <c r="G35" s="35">
        <v>0</v>
      </c>
      <c r="J35" s="71">
        <f>VLOOKUP(A35, TOCA_previous!$A$3:$D$137, 4, FALSE)</f>
        <v>0</v>
      </c>
      <c r="K35" s="71">
        <f>VLOOKUP(E35, TOCA_current!A32:D166, 4, FALSE)</f>
        <v>0</v>
      </c>
      <c r="L35" s="71"/>
      <c r="O35" s="86"/>
    </row>
    <row r="36" spans="1:15">
      <c r="A36" s="32">
        <v>10087</v>
      </c>
      <c r="B36" s="31" t="s">
        <v>38</v>
      </c>
      <c r="C36" s="35">
        <v>0</v>
      </c>
      <c r="E36" s="32">
        <v>10087</v>
      </c>
      <c r="F36" s="31" t="s">
        <v>38</v>
      </c>
      <c r="G36" s="35">
        <v>0</v>
      </c>
      <c r="J36" s="71">
        <f>VLOOKUP(A36, TOCA_previous!$A$3:$D$137, 4, FALSE)</f>
        <v>0</v>
      </c>
      <c r="K36" s="71">
        <f>VLOOKUP(E36, TOCA_current!A33:D167, 4, FALSE)</f>
        <v>0</v>
      </c>
      <c r="L36" s="71"/>
      <c r="O36" s="86"/>
    </row>
    <row r="37" spans="1:15">
      <c r="A37" s="32">
        <v>10089</v>
      </c>
      <c r="B37" s="31" t="s">
        <v>39</v>
      </c>
      <c r="C37" s="35">
        <v>0</v>
      </c>
      <c r="E37" s="32">
        <v>10089</v>
      </c>
      <c r="F37" s="31" t="s">
        <v>39</v>
      </c>
      <c r="G37" s="35">
        <v>0</v>
      </c>
      <c r="J37" s="71">
        <f>VLOOKUP(A37, TOCA_previous!$A$3:$D$137, 4, FALSE)</f>
        <v>0</v>
      </c>
      <c r="K37" s="71">
        <f>VLOOKUP(E37, TOCA_current!A34:D168, 4, FALSE)</f>
        <v>0</v>
      </c>
      <c r="L37" s="71"/>
      <c r="O37" s="86"/>
    </row>
    <row r="38" spans="1:15">
      <c r="A38" s="32">
        <v>10091</v>
      </c>
      <c r="B38" s="31" t="s">
        <v>40</v>
      </c>
      <c r="C38" s="35">
        <v>0</v>
      </c>
      <c r="E38" s="32">
        <v>10091</v>
      </c>
      <c r="F38" s="31" t="s">
        <v>40</v>
      </c>
      <c r="G38" s="35">
        <v>0</v>
      </c>
      <c r="J38" s="71">
        <f>VLOOKUP(A38, TOCA_previous!$A$3:$D$137, 4, FALSE)</f>
        <v>0</v>
      </c>
      <c r="K38" s="71">
        <f>VLOOKUP(E38, TOCA_current!A35:D169, 4, FALSE)</f>
        <v>0</v>
      </c>
      <c r="L38" s="71"/>
      <c r="O38" s="86"/>
    </row>
    <row r="39" spans="1:15">
      <c r="A39" s="32">
        <v>10094</v>
      </c>
      <c r="B39" s="31" t="s">
        <v>41</v>
      </c>
      <c r="C39" s="35">
        <v>0</v>
      </c>
      <c r="E39" s="32">
        <v>10094</v>
      </c>
      <c r="F39" s="31" t="s">
        <v>41</v>
      </c>
      <c r="G39" s="35">
        <v>0</v>
      </c>
      <c r="J39" s="71">
        <f>VLOOKUP(A39, TOCA_previous!$A$3:$D$137, 4, FALSE)</f>
        <v>0</v>
      </c>
      <c r="K39" s="71">
        <f>VLOOKUP(E39, TOCA_current!A36:D170, 4, FALSE)</f>
        <v>0</v>
      </c>
      <c r="L39" s="71"/>
      <c r="O39" s="86"/>
    </row>
    <row r="40" spans="1:15">
      <c r="A40" s="32">
        <v>10095</v>
      </c>
      <c r="B40" s="31" t="s">
        <v>42</v>
      </c>
      <c r="C40" s="35">
        <v>0</v>
      </c>
      <c r="E40" s="32">
        <v>10095</v>
      </c>
      <c r="F40" s="31" t="s">
        <v>42</v>
      </c>
      <c r="G40" s="35">
        <v>0</v>
      </c>
      <c r="J40" s="71">
        <f>VLOOKUP(A40, TOCA_previous!$A$3:$D$137, 4, FALSE)</f>
        <v>0</v>
      </c>
      <c r="K40" s="71">
        <f>VLOOKUP(E40, TOCA_current!A37:D171, 4, FALSE)</f>
        <v>0</v>
      </c>
      <c r="L40" s="71"/>
      <c r="O40" s="86"/>
    </row>
    <row r="41" spans="1:15">
      <c r="A41" s="32">
        <v>10097</v>
      </c>
      <c r="B41" s="31" t="s">
        <v>43</v>
      </c>
      <c r="C41" s="35">
        <v>0</v>
      </c>
      <c r="E41" s="32">
        <v>10097</v>
      </c>
      <c r="F41" s="31" t="s">
        <v>43</v>
      </c>
      <c r="G41" s="35">
        <v>0</v>
      </c>
      <c r="J41" s="71">
        <f>VLOOKUP(A41, TOCA_previous!$A$3:$D$137, 4, FALSE)</f>
        <v>0</v>
      </c>
      <c r="K41" s="71">
        <f>VLOOKUP(E41, TOCA_current!A38:D172, 4, FALSE)</f>
        <v>0</v>
      </c>
      <c r="L41" s="71"/>
      <c r="O41" s="86"/>
    </row>
    <row r="42" spans="1:15">
      <c r="A42" s="32">
        <v>10101</v>
      </c>
      <c r="B42" s="31" t="s">
        <v>44</v>
      </c>
      <c r="C42" s="35">
        <v>0</v>
      </c>
      <c r="E42" s="32">
        <v>10101</v>
      </c>
      <c r="F42" s="31" t="s">
        <v>44</v>
      </c>
      <c r="G42" s="35">
        <v>0</v>
      </c>
      <c r="J42" s="71">
        <f>VLOOKUP(A42, TOCA_previous!$A$3:$D$137, 4, FALSE)</f>
        <v>0</v>
      </c>
      <c r="K42" s="71">
        <f>VLOOKUP(E42, TOCA_current!A39:D173, 4, FALSE)</f>
        <v>0</v>
      </c>
      <c r="L42" s="71"/>
      <c r="O42" s="86"/>
    </row>
    <row r="43" spans="1:15">
      <c r="A43" s="32">
        <v>10103</v>
      </c>
      <c r="B43" s="31" t="s">
        <v>45</v>
      </c>
      <c r="C43" s="35">
        <v>0</v>
      </c>
      <c r="E43" s="32">
        <v>10103</v>
      </c>
      <c r="F43" s="31" t="s">
        <v>45</v>
      </c>
      <c r="G43" s="35">
        <v>0</v>
      </c>
      <c r="J43" s="71">
        <f>VLOOKUP(A43, TOCA_previous!$A$3:$D$137, 4, FALSE)</f>
        <v>0</v>
      </c>
      <c r="K43" s="71">
        <f>VLOOKUP(E43, TOCA_current!A40:D174, 4, FALSE)</f>
        <v>0</v>
      </c>
      <c r="L43" s="71"/>
      <c r="O43" s="86"/>
    </row>
    <row r="44" spans="1:15">
      <c r="A44" s="32">
        <v>10105</v>
      </c>
      <c r="B44" s="31" t="s">
        <v>46</v>
      </c>
      <c r="C44" s="35">
        <v>0</v>
      </c>
      <c r="E44" s="32">
        <v>10105</v>
      </c>
      <c r="F44" s="31" t="s">
        <v>46</v>
      </c>
      <c r="G44" s="35">
        <v>0</v>
      </c>
      <c r="J44" s="71">
        <f>VLOOKUP(A44, TOCA_previous!$A$3:$D$137, 4, FALSE)</f>
        <v>0</v>
      </c>
      <c r="K44" s="71">
        <f>VLOOKUP(E44, TOCA_current!A41:D175, 4, FALSE)</f>
        <v>0</v>
      </c>
      <c r="L44" s="71"/>
      <c r="O44" s="86"/>
    </row>
    <row r="45" spans="1:15">
      <c r="A45" s="32">
        <v>10106</v>
      </c>
      <c r="B45" s="31" t="s">
        <v>47</v>
      </c>
      <c r="C45" s="35">
        <v>0</v>
      </c>
      <c r="E45" s="32">
        <v>10106</v>
      </c>
      <c r="F45" s="31" t="s">
        <v>47</v>
      </c>
      <c r="G45" s="35">
        <v>0</v>
      </c>
      <c r="J45" s="71">
        <f>VLOOKUP(A45, TOCA_previous!$A$3:$D$137, 4, FALSE)</f>
        <v>1</v>
      </c>
      <c r="K45" s="71">
        <f>VLOOKUP(E45, TOCA_current!A42:D176, 4, FALSE)</f>
        <v>1</v>
      </c>
      <c r="L45" s="71"/>
      <c r="O45" s="86"/>
    </row>
    <row r="46" spans="1:15">
      <c r="A46" s="32">
        <v>10109</v>
      </c>
      <c r="B46" s="31" t="s">
        <v>48</v>
      </c>
      <c r="C46" s="35">
        <v>21100.335000000003</v>
      </c>
      <c r="E46" s="32">
        <v>10109</v>
      </c>
      <c r="F46" s="31" t="s">
        <v>48</v>
      </c>
      <c r="G46" s="35">
        <v>21100.335000000003</v>
      </c>
      <c r="J46" s="71">
        <f>VLOOKUP(A46, TOCA_previous!$A$3:$D$137, 4, FALSE)</f>
        <v>0</v>
      </c>
      <c r="K46" s="71">
        <f>VLOOKUP(E46, TOCA_current!A43:D177, 4, FALSE)</f>
        <v>0</v>
      </c>
      <c r="L46" s="71"/>
      <c r="O46" s="86"/>
    </row>
    <row r="47" spans="1:15">
      <c r="A47" s="32">
        <v>10111</v>
      </c>
      <c r="B47" s="31" t="s">
        <v>49</v>
      </c>
      <c r="C47" s="35">
        <v>5227.6489999999994</v>
      </c>
      <c r="E47" s="32">
        <v>10111</v>
      </c>
      <c r="F47" s="31" t="s">
        <v>49</v>
      </c>
      <c r="G47" s="35">
        <v>5227.6489999999994</v>
      </c>
      <c r="J47" s="71">
        <f>VLOOKUP(A47, TOCA_previous!$A$3:$D$137, 4, FALSE)</f>
        <v>0</v>
      </c>
      <c r="K47" s="71">
        <f>VLOOKUP(E47, TOCA_current!A44:D178, 4, FALSE)</f>
        <v>0</v>
      </c>
      <c r="L47" s="71"/>
      <c r="O47" s="86"/>
    </row>
    <row r="48" spans="1:15">
      <c r="A48" s="32">
        <v>10112</v>
      </c>
      <c r="B48" s="31" t="s">
        <v>50</v>
      </c>
      <c r="C48" s="35">
        <v>0</v>
      </c>
      <c r="E48" s="32">
        <v>10112</v>
      </c>
      <c r="F48" s="31" t="s">
        <v>50</v>
      </c>
      <c r="G48" s="35">
        <v>0</v>
      </c>
      <c r="J48" s="71">
        <f>VLOOKUP(A48, TOCA_previous!$A$3:$D$137, 4, FALSE)</f>
        <v>0</v>
      </c>
      <c r="K48" s="71">
        <f>VLOOKUP(E48, TOCA_current!A45:D179, 4, FALSE)</f>
        <v>0</v>
      </c>
      <c r="L48" s="71"/>
      <c r="O48" s="86"/>
    </row>
    <row r="49" spans="1:15">
      <c r="A49" s="32">
        <v>10113</v>
      </c>
      <c r="B49" s="31" t="s">
        <v>51</v>
      </c>
      <c r="C49" s="35">
        <v>134655.962</v>
      </c>
      <c r="E49" s="32">
        <v>10113</v>
      </c>
      <c r="F49" s="31" t="s">
        <v>51</v>
      </c>
      <c r="G49" s="35">
        <v>134655.962</v>
      </c>
      <c r="J49" s="71">
        <f>VLOOKUP(A49, TOCA_previous!$A$3:$D$137, 4, FALSE)</f>
        <v>0</v>
      </c>
      <c r="K49" s="71">
        <f>VLOOKUP(E49, TOCA_current!A46:D180, 4, FALSE)</f>
        <v>0</v>
      </c>
      <c r="L49" s="71"/>
      <c r="O49" s="86"/>
    </row>
    <row r="50" spans="1:15">
      <c r="A50" s="32">
        <v>10116</v>
      </c>
      <c r="B50" s="31" t="s">
        <v>52</v>
      </c>
      <c r="C50" s="35">
        <v>0</v>
      </c>
      <c r="E50" s="32">
        <v>10116</v>
      </c>
      <c r="F50" s="31" t="s">
        <v>52</v>
      </c>
      <c r="G50" s="35">
        <v>0</v>
      </c>
      <c r="J50" s="71">
        <f>VLOOKUP(A50, TOCA_previous!$A$3:$D$137, 4, FALSE)</f>
        <v>0</v>
      </c>
      <c r="K50" s="71">
        <f>VLOOKUP(E50, TOCA_current!A47:D181, 4, FALSE)</f>
        <v>0</v>
      </c>
      <c r="L50" s="71"/>
      <c r="O50" s="86"/>
    </row>
    <row r="51" spans="1:15">
      <c r="A51" s="32">
        <v>10118</v>
      </c>
      <c r="B51" s="31" t="s">
        <v>53</v>
      </c>
      <c r="C51" s="35">
        <v>0</v>
      </c>
      <c r="E51" s="32">
        <v>10118</v>
      </c>
      <c r="F51" s="31" t="s">
        <v>53</v>
      </c>
      <c r="G51" s="35">
        <v>0</v>
      </c>
      <c r="J51" s="71">
        <f>VLOOKUP(A51, TOCA_previous!$A$3:$D$137, 4, FALSE)</f>
        <v>1</v>
      </c>
      <c r="K51" s="71">
        <f>VLOOKUP(E51, TOCA_current!A48:D182, 4, FALSE)</f>
        <v>1</v>
      </c>
      <c r="L51" s="71"/>
      <c r="O51" s="86"/>
    </row>
    <row r="52" spans="1:15">
      <c r="A52" s="32">
        <v>10121</v>
      </c>
      <c r="B52" s="31" t="s">
        <v>54</v>
      </c>
      <c r="C52" s="35">
        <v>0</v>
      </c>
      <c r="E52" s="32">
        <v>10121</v>
      </c>
      <c r="F52" s="31" t="s">
        <v>54</v>
      </c>
      <c r="G52" s="35">
        <v>0</v>
      </c>
      <c r="J52" s="71">
        <f>VLOOKUP(A52, TOCA_previous!$A$3:$D$137, 4, FALSE)</f>
        <v>1</v>
      </c>
      <c r="K52" s="71">
        <f>VLOOKUP(E52, TOCA_current!A49:D183, 4, FALSE)</f>
        <v>1</v>
      </c>
      <c r="L52" s="71"/>
      <c r="O52" s="86"/>
    </row>
    <row r="53" spans="1:15">
      <c r="A53" s="32">
        <v>10123</v>
      </c>
      <c r="B53" s="31" t="s">
        <v>55</v>
      </c>
      <c r="C53" s="35">
        <v>0</v>
      </c>
      <c r="E53" s="32">
        <v>10123</v>
      </c>
      <c r="F53" s="31" t="s">
        <v>55</v>
      </c>
      <c r="G53" s="35">
        <v>0</v>
      </c>
      <c r="J53" s="71">
        <f>VLOOKUP(A53, TOCA_previous!$A$3:$D$137, 4, FALSE)</f>
        <v>0</v>
      </c>
      <c r="K53" s="71">
        <f>VLOOKUP(E53, TOCA_current!A50:D184, 4, FALSE)</f>
        <v>0</v>
      </c>
      <c r="L53" s="71"/>
      <c r="O53" s="86"/>
    </row>
    <row r="54" spans="1:15">
      <c r="A54" s="32">
        <v>10136</v>
      </c>
      <c r="B54" s="31" t="s">
        <v>56</v>
      </c>
      <c r="C54" s="35">
        <v>0</v>
      </c>
      <c r="E54" s="32">
        <v>10136</v>
      </c>
      <c r="F54" s="31" t="s">
        <v>56</v>
      </c>
      <c r="G54" s="35">
        <v>0</v>
      </c>
      <c r="J54" s="71">
        <f>VLOOKUP(A54, TOCA_previous!$A$3:$D$137, 4, FALSE)</f>
        <v>1</v>
      </c>
      <c r="K54" s="71">
        <f>VLOOKUP(E54, TOCA_current!A51:D185, 4, FALSE)</f>
        <v>1</v>
      </c>
      <c r="L54" s="71"/>
      <c r="O54" s="86"/>
    </row>
    <row r="55" spans="1:15">
      <c r="A55" s="32">
        <v>10142</v>
      </c>
      <c r="B55" s="31" t="s">
        <v>57</v>
      </c>
      <c r="C55" s="35">
        <v>5769.4840000000004</v>
      </c>
      <c r="E55" s="32">
        <v>10142</v>
      </c>
      <c r="F55" s="31" t="s">
        <v>57</v>
      </c>
      <c r="G55" s="35">
        <v>5769.4840000000004</v>
      </c>
      <c r="J55" s="71">
        <f>VLOOKUP(A55, TOCA_previous!$A$3:$D$137, 4, FALSE)</f>
        <v>0</v>
      </c>
      <c r="K55" s="71">
        <f>VLOOKUP(E55, TOCA_current!A52:D186, 4, FALSE)</f>
        <v>0</v>
      </c>
      <c r="L55" s="71"/>
      <c r="O55" s="86"/>
    </row>
    <row r="56" spans="1:15">
      <c r="A56" s="32">
        <v>10144</v>
      </c>
      <c r="B56" s="31" t="s">
        <v>58</v>
      </c>
      <c r="C56" s="35">
        <v>0</v>
      </c>
      <c r="E56" s="32">
        <v>10144</v>
      </c>
      <c r="F56" s="31" t="s">
        <v>58</v>
      </c>
      <c r="G56" s="35">
        <v>0</v>
      </c>
      <c r="J56" s="71">
        <f>VLOOKUP(A56, TOCA_previous!$A$3:$D$137, 4, FALSE)</f>
        <v>0</v>
      </c>
      <c r="K56" s="71">
        <f>VLOOKUP(E56, TOCA_current!A53:D187, 4, FALSE)</f>
        <v>0</v>
      </c>
      <c r="L56" s="71"/>
      <c r="O56" s="86"/>
    </row>
    <row r="57" spans="1:15">
      <c r="A57" s="32">
        <v>10156</v>
      </c>
      <c r="B57" s="31" t="s">
        <v>59</v>
      </c>
      <c r="C57" s="35">
        <v>0</v>
      </c>
      <c r="E57" s="32">
        <v>10156</v>
      </c>
      <c r="F57" s="31" t="s">
        <v>59</v>
      </c>
      <c r="G57" s="35">
        <v>0</v>
      </c>
      <c r="J57" s="71">
        <f>VLOOKUP(A57, TOCA_previous!$A$3:$D$137, 4, FALSE)</f>
        <v>0</v>
      </c>
      <c r="K57" s="71">
        <f>VLOOKUP(E57, TOCA_current!A54:D188, 4, FALSE)</f>
        <v>0</v>
      </c>
      <c r="L57" s="71"/>
      <c r="O57" s="86"/>
    </row>
    <row r="58" spans="1:15">
      <c r="A58" s="32">
        <v>10157</v>
      </c>
      <c r="B58" s="31" t="s">
        <v>60</v>
      </c>
      <c r="C58" s="35">
        <v>0</v>
      </c>
      <c r="E58" s="32">
        <v>10157</v>
      </c>
      <c r="F58" s="31" t="s">
        <v>60</v>
      </c>
      <c r="G58" s="35">
        <v>0</v>
      </c>
      <c r="J58" s="71">
        <f>VLOOKUP(A58, TOCA_previous!$A$3:$D$137, 4, FALSE)</f>
        <v>0</v>
      </c>
      <c r="K58" s="71">
        <f>VLOOKUP(E58, TOCA_current!A55:D189, 4, FALSE)</f>
        <v>0</v>
      </c>
      <c r="L58" s="71"/>
      <c r="O58" s="86"/>
    </row>
    <row r="59" spans="1:15">
      <c r="A59" s="32">
        <v>10158</v>
      </c>
      <c r="B59" s="31" t="s">
        <v>61</v>
      </c>
      <c r="C59" s="35">
        <v>0</v>
      </c>
      <c r="E59" s="32">
        <v>10158</v>
      </c>
      <c r="F59" s="31" t="s">
        <v>61</v>
      </c>
      <c r="G59" s="35">
        <v>0</v>
      </c>
      <c r="J59" s="71">
        <f>VLOOKUP(A59, TOCA_previous!$A$3:$D$137, 4, FALSE)</f>
        <v>0</v>
      </c>
      <c r="K59" s="71">
        <f>VLOOKUP(E59, TOCA_current!A56:D190, 4, FALSE)</f>
        <v>0</v>
      </c>
      <c r="L59" s="71"/>
      <c r="O59" s="86"/>
    </row>
    <row r="60" spans="1:15">
      <c r="A60" s="32">
        <v>10170</v>
      </c>
      <c r="B60" s="31" t="s">
        <v>62</v>
      </c>
      <c r="C60" s="35">
        <v>0</v>
      </c>
      <c r="E60" s="32">
        <v>10170</v>
      </c>
      <c r="F60" s="31" t="s">
        <v>62</v>
      </c>
      <c r="G60" s="35">
        <v>0</v>
      </c>
      <c r="J60" s="71">
        <f>VLOOKUP(A60, TOCA_previous!$A$3:$D$137, 4, FALSE)</f>
        <v>0</v>
      </c>
      <c r="K60" s="71">
        <f>VLOOKUP(E60, TOCA_current!A57:D191, 4, FALSE)</f>
        <v>0</v>
      </c>
      <c r="L60" s="71"/>
      <c r="O60" s="86"/>
    </row>
    <row r="61" spans="1:15">
      <c r="A61" s="32">
        <v>10172</v>
      </c>
      <c r="B61" s="31" t="s">
        <v>63</v>
      </c>
      <c r="C61" s="35">
        <v>0</v>
      </c>
      <c r="E61" s="32">
        <v>10172</v>
      </c>
      <c r="F61" s="31" t="s">
        <v>63</v>
      </c>
      <c r="G61" s="35">
        <v>0</v>
      </c>
      <c r="J61" s="71">
        <f>VLOOKUP(A61, TOCA_previous!$A$3:$D$137, 4, FALSE)</f>
        <v>0</v>
      </c>
      <c r="K61" s="71">
        <f>VLOOKUP(E61, TOCA_current!A58:D192, 4, FALSE)</f>
        <v>0</v>
      </c>
      <c r="L61" s="71"/>
      <c r="O61" s="86"/>
    </row>
    <row r="62" spans="1:15">
      <c r="A62" s="32">
        <v>10173</v>
      </c>
      <c r="B62" s="31" t="s">
        <v>64</v>
      </c>
      <c r="C62" s="35">
        <v>44309.995999999999</v>
      </c>
      <c r="E62" s="32">
        <v>10173</v>
      </c>
      <c r="F62" s="31" t="s">
        <v>64</v>
      </c>
      <c r="G62" s="35">
        <v>44309.995999999999</v>
      </c>
      <c r="J62" s="71">
        <f>VLOOKUP(A62, TOCA_previous!$A$3:$D$137, 4, FALSE)</f>
        <v>1</v>
      </c>
      <c r="K62" s="71">
        <f>VLOOKUP(E62, TOCA_current!A59:D193, 4, FALSE)</f>
        <v>1</v>
      </c>
      <c r="L62" s="71"/>
      <c r="O62" s="86"/>
    </row>
    <row r="63" spans="1:15">
      <c r="A63" s="32">
        <v>10174</v>
      </c>
      <c r="B63" s="31" t="s">
        <v>65</v>
      </c>
      <c r="C63" s="35">
        <v>0</v>
      </c>
      <c r="E63" s="32">
        <v>10174</v>
      </c>
      <c r="F63" s="31" t="s">
        <v>65</v>
      </c>
      <c r="G63" s="35">
        <v>0</v>
      </c>
      <c r="J63" s="71">
        <f>VLOOKUP(A63, TOCA_previous!$A$3:$D$137, 4, FALSE)</f>
        <v>0</v>
      </c>
      <c r="K63" s="71">
        <f>VLOOKUP(E63, TOCA_current!A60:D194, 4, FALSE)</f>
        <v>0</v>
      </c>
      <c r="L63" s="71"/>
      <c r="O63" s="86"/>
    </row>
    <row r="64" spans="1:15">
      <c r="A64" s="32">
        <v>10177</v>
      </c>
      <c r="B64" s="31" t="s">
        <v>66</v>
      </c>
      <c r="C64" s="35">
        <v>0</v>
      </c>
      <c r="E64" s="32">
        <v>10177</v>
      </c>
      <c r="F64" s="31" t="s">
        <v>66</v>
      </c>
      <c r="G64" s="35">
        <v>0</v>
      </c>
      <c r="J64" s="71">
        <f>VLOOKUP(A64, TOCA_previous!$A$3:$D$137, 4, FALSE)</f>
        <v>0</v>
      </c>
      <c r="K64" s="71">
        <f>VLOOKUP(E64, TOCA_current!A61:D195, 4, FALSE)</f>
        <v>0</v>
      </c>
      <c r="L64" s="71"/>
      <c r="O64" s="86"/>
    </row>
    <row r="65" spans="1:15">
      <c r="A65" s="32">
        <v>10179</v>
      </c>
      <c r="B65" s="31" t="s">
        <v>67</v>
      </c>
      <c r="C65" s="35">
        <v>0</v>
      </c>
      <c r="E65" s="32">
        <v>10179</v>
      </c>
      <c r="F65" s="31" t="s">
        <v>67</v>
      </c>
      <c r="G65" s="35">
        <v>0</v>
      </c>
      <c r="J65" s="71">
        <f>VLOOKUP(A65, TOCA_previous!$A$3:$D$137, 4, FALSE)</f>
        <v>1</v>
      </c>
      <c r="K65" s="71">
        <f>VLOOKUP(E65, TOCA_current!A62:D196, 4, FALSE)</f>
        <v>1</v>
      </c>
      <c r="L65" s="71"/>
      <c r="O65" s="86"/>
    </row>
    <row r="66" spans="1:15">
      <c r="A66" s="32">
        <v>10183</v>
      </c>
      <c r="B66" s="31" t="s">
        <v>68</v>
      </c>
      <c r="C66" s="35">
        <v>94407.247000000003</v>
      </c>
      <c r="E66" s="32">
        <v>10183</v>
      </c>
      <c r="F66" s="31" t="s">
        <v>68</v>
      </c>
      <c r="G66" s="35">
        <v>94407.247000000003</v>
      </c>
      <c r="J66" s="71">
        <f>VLOOKUP(A66, TOCA_previous!$A$3:$D$137, 4, FALSE)</f>
        <v>0</v>
      </c>
      <c r="K66" s="71">
        <f>VLOOKUP(E66, TOCA_current!A63:D197, 4, FALSE)</f>
        <v>0</v>
      </c>
      <c r="L66" s="71"/>
      <c r="O66" s="86"/>
    </row>
    <row r="67" spans="1:15">
      <c r="A67" s="32">
        <v>10186</v>
      </c>
      <c r="B67" s="31" t="s">
        <v>69</v>
      </c>
      <c r="C67" s="35">
        <v>0</v>
      </c>
      <c r="E67" s="32">
        <v>10186</v>
      </c>
      <c r="F67" s="31" t="s">
        <v>69</v>
      </c>
      <c r="G67" s="35">
        <v>0</v>
      </c>
      <c r="J67" s="71">
        <f>VLOOKUP(A67, TOCA_previous!$A$3:$D$137, 4, FALSE)</f>
        <v>0</v>
      </c>
      <c r="K67" s="71">
        <f>VLOOKUP(E67, TOCA_current!A64:D198, 4, FALSE)</f>
        <v>0</v>
      </c>
      <c r="L67" s="71"/>
      <c r="O67" s="86"/>
    </row>
    <row r="68" spans="1:15">
      <c r="A68" s="32">
        <v>10190</v>
      </c>
      <c r="B68" s="31" t="s">
        <v>70</v>
      </c>
      <c r="C68" s="35">
        <v>0</v>
      </c>
      <c r="E68" s="32">
        <v>10190</v>
      </c>
      <c r="F68" s="31" t="s">
        <v>70</v>
      </c>
      <c r="G68" s="35">
        <v>0</v>
      </c>
      <c r="J68" s="71">
        <f>VLOOKUP(A68, TOCA_previous!$A$3:$D$137, 4, FALSE)</f>
        <v>0</v>
      </c>
      <c r="K68" s="71">
        <f>VLOOKUP(E68, TOCA_current!A65:D199, 4, FALSE)</f>
        <v>0</v>
      </c>
      <c r="L68" s="71"/>
      <c r="O68" s="86"/>
    </row>
    <row r="69" spans="1:15">
      <c r="A69" s="32">
        <v>10191</v>
      </c>
      <c r="B69" s="31" t="s">
        <v>71</v>
      </c>
      <c r="C69" s="35">
        <v>0</v>
      </c>
      <c r="E69" s="32">
        <v>10191</v>
      </c>
      <c r="F69" s="31" t="s">
        <v>71</v>
      </c>
      <c r="G69" s="35">
        <v>0</v>
      </c>
      <c r="J69" s="71">
        <f>VLOOKUP(A69, TOCA_previous!$A$3:$D$137, 4, FALSE)</f>
        <v>0</v>
      </c>
      <c r="K69" s="71">
        <f>VLOOKUP(E69, TOCA_current!A66:D200, 4, FALSE)</f>
        <v>0</v>
      </c>
      <c r="L69" s="71"/>
      <c r="O69" s="86"/>
    </row>
    <row r="70" spans="1:15">
      <c r="A70" s="32">
        <v>10197</v>
      </c>
      <c r="B70" s="31" t="s">
        <v>72</v>
      </c>
      <c r="C70" s="35">
        <v>99899.204999999987</v>
      </c>
      <c r="E70" s="32">
        <v>10197</v>
      </c>
      <c r="F70" s="31" t="s">
        <v>72</v>
      </c>
      <c r="G70" s="35">
        <v>99899.204999999987</v>
      </c>
      <c r="J70" s="71">
        <f>VLOOKUP(A70, TOCA_previous!$A$3:$D$137, 4, FALSE)</f>
        <v>0</v>
      </c>
      <c r="K70" s="71">
        <f>VLOOKUP(E70, TOCA_current!A67:D201, 4, FALSE)</f>
        <v>0</v>
      </c>
      <c r="L70" s="71"/>
      <c r="O70" s="86"/>
    </row>
    <row r="71" spans="1:15">
      <c r="A71" s="32">
        <v>10202</v>
      </c>
      <c r="B71" s="31" t="s">
        <v>73</v>
      </c>
      <c r="C71" s="35">
        <v>0</v>
      </c>
      <c r="E71" s="32">
        <v>10202</v>
      </c>
      <c r="F71" s="31" t="s">
        <v>73</v>
      </c>
      <c r="G71" s="35">
        <v>0</v>
      </c>
      <c r="J71" s="71">
        <f>VLOOKUP(A71, TOCA_previous!$A$3:$D$137, 4, FALSE)</f>
        <v>0</v>
      </c>
      <c r="K71" s="71">
        <f>VLOOKUP(E71, TOCA_current!A68:D202, 4, FALSE)</f>
        <v>0</v>
      </c>
      <c r="L71" s="71"/>
      <c r="O71" s="86"/>
    </row>
    <row r="72" spans="1:15">
      <c r="A72" s="32">
        <v>10203</v>
      </c>
      <c r="B72" s="31" t="s">
        <v>74</v>
      </c>
      <c r="C72" s="35">
        <v>0</v>
      </c>
      <c r="E72" s="32">
        <v>10203</v>
      </c>
      <c r="F72" s="31" t="s">
        <v>74</v>
      </c>
      <c r="G72" s="35">
        <v>0</v>
      </c>
      <c r="J72" s="71">
        <f>VLOOKUP(A72, TOCA_previous!$A$3:$D$137, 4, FALSE)</f>
        <v>0</v>
      </c>
      <c r="K72" s="71">
        <f>VLOOKUP(E72, TOCA_current!A69:D203, 4, FALSE)</f>
        <v>0</v>
      </c>
      <c r="L72" s="71"/>
      <c r="O72" s="86"/>
    </row>
    <row r="73" spans="1:15">
      <c r="A73" s="32">
        <v>10204</v>
      </c>
      <c r="B73" s="31" t="s">
        <v>75</v>
      </c>
      <c r="C73" s="35">
        <v>0</v>
      </c>
      <c r="E73" s="32">
        <v>10204</v>
      </c>
      <c r="F73" s="31" t="s">
        <v>75</v>
      </c>
      <c r="G73" s="35">
        <v>0</v>
      </c>
      <c r="J73" s="71">
        <f>VLOOKUP(A73, TOCA_previous!$A$3:$D$137, 4, FALSE)</f>
        <v>0</v>
      </c>
      <c r="K73" s="71">
        <f>VLOOKUP(E73, TOCA_current!A70:D204, 4, FALSE)</f>
        <v>0</v>
      </c>
      <c r="L73" s="71"/>
      <c r="O73" s="86"/>
    </row>
    <row r="74" spans="1:15">
      <c r="A74" s="32">
        <v>10209</v>
      </c>
      <c r="B74" s="31" t="s">
        <v>76</v>
      </c>
      <c r="C74" s="35">
        <v>60112.701000000001</v>
      </c>
      <c r="E74" s="32">
        <v>10209</v>
      </c>
      <c r="F74" s="31" t="s">
        <v>76</v>
      </c>
      <c r="G74" s="35">
        <v>60112.701000000001</v>
      </c>
      <c r="J74" s="71">
        <f>VLOOKUP(A74, TOCA_previous!$A$3:$D$137, 4, FALSE)</f>
        <v>0</v>
      </c>
      <c r="K74" s="71">
        <f>VLOOKUP(E74, TOCA_current!A71:D205, 4, FALSE)</f>
        <v>0</v>
      </c>
      <c r="L74" s="71"/>
      <c r="O74" s="86"/>
    </row>
    <row r="75" spans="1:15">
      <c r="A75" s="32">
        <v>10230</v>
      </c>
      <c r="B75" s="31" t="s">
        <v>77</v>
      </c>
      <c r="C75" s="35">
        <v>0</v>
      </c>
      <c r="E75" s="32">
        <v>10230</v>
      </c>
      <c r="F75" s="31" t="s">
        <v>77</v>
      </c>
      <c r="G75" s="35">
        <v>0</v>
      </c>
      <c r="J75" s="71">
        <f>VLOOKUP(A75, TOCA_previous!$A$3:$D$137, 4, FALSE)</f>
        <v>0</v>
      </c>
      <c r="K75" s="71">
        <f>VLOOKUP(E75, TOCA_current!A72:D206, 4, FALSE)</f>
        <v>0</v>
      </c>
      <c r="L75" s="71"/>
      <c r="O75" s="86"/>
    </row>
    <row r="76" spans="1:15">
      <c r="A76" s="32">
        <v>10231</v>
      </c>
      <c r="B76" s="31" t="s">
        <v>78</v>
      </c>
      <c r="C76" s="35">
        <v>21632.728999999999</v>
      </c>
      <c r="E76" s="32">
        <v>10231</v>
      </c>
      <c r="F76" s="31" t="s">
        <v>78</v>
      </c>
      <c r="G76" s="35">
        <v>21632.728999999999</v>
      </c>
      <c r="J76" s="71">
        <f>VLOOKUP(A76, TOCA_previous!$A$3:$D$137, 4, FALSE)</f>
        <v>0</v>
      </c>
      <c r="K76" s="71">
        <f>VLOOKUP(E76, TOCA_current!A73:D207, 4, FALSE)</f>
        <v>0</v>
      </c>
      <c r="L76" s="71"/>
      <c r="O76" s="86"/>
    </row>
    <row r="77" spans="1:15">
      <c r="A77" s="32">
        <v>10234</v>
      </c>
      <c r="B77" s="31" t="s">
        <v>79</v>
      </c>
      <c r="C77" s="35">
        <v>0</v>
      </c>
      <c r="E77" s="32">
        <v>10234</v>
      </c>
      <c r="F77" s="31" t="s">
        <v>79</v>
      </c>
      <c r="G77" s="35">
        <v>0</v>
      </c>
      <c r="J77" s="71">
        <f>VLOOKUP(A77, TOCA_previous!$A$3:$D$137, 4, FALSE)</f>
        <v>0</v>
      </c>
      <c r="K77" s="71">
        <f>VLOOKUP(E77, TOCA_current!A74:D208, 4, FALSE)</f>
        <v>0</v>
      </c>
      <c r="L77" s="71"/>
      <c r="O77" s="86"/>
    </row>
    <row r="78" spans="1:15">
      <c r="A78" s="32">
        <v>10235</v>
      </c>
      <c r="B78" s="31" t="s">
        <v>80</v>
      </c>
      <c r="C78" s="35">
        <v>0</v>
      </c>
      <c r="E78" s="32">
        <v>10235</v>
      </c>
      <c r="F78" s="31" t="s">
        <v>80</v>
      </c>
      <c r="G78" s="35">
        <v>0</v>
      </c>
      <c r="J78" s="71">
        <f>VLOOKUP(A78, TOCA_previous!$A$3:$D$137, 4, FALSE)</f>
        <v>0</v>
      </c>
      <c r="K78" s="71">
        <f>VLOOKUP(E78, TOCA_current!A75:D209, 4, FALSE)</f>
        <v>0</v>
      </c>
      <c r="L78" s="71"/>
      <c r="O78" s="86"/>
    </row>
    <row r="79" spans="1:15">
      <c r="A79" s="32">
        <v>10236</v>
      </c>
      <c r="B79" s="31" t="s">
        <v>81</v>
      </c>
      <c r="C79" s="35">
        <v>0</v>
      </c>
      <c r="E79" s="32">
        <v>10236</v>
      </c>
      <c r="F79" s="31" t="s">
        <v>81</v>
      </c>
      <c r="G79" s="35">
        <v>0</v>
      </c>
      <c r="J79" s="71">
        <f>VLOOKUP(A79, TOCA_previous!$A$3:$D$137, 4, FALSE)</f>
        <v>1</v>
      </c>
      <c r="K79" s="71">
        <f>VLOOKUP(E79, TOCA_current!A76:D210, 4, FALSE)</f>
        <v>1</v>
      </c>
      <c r="L79" s="71"/>
      <c r="O79" s="86"/>
    </row>
    <row r="80" spans="1:15">
      <c r="A80" s="32">
        <v>10237</v>
      </c>
      <c r="B80" s="31" t="s">
        <v>82</v>
      </c>
      <c r="C80" s="35">
        <v>0</v>
      </c>
      <c r="E80" s="32">
        <v>10237</v>
      </c>
      <c r="F80" s="31" t="s">
        <v>82</v>
      </c>
      <c r="G80" s="35">
        <v>0</v>
      </c>
      <c r="J80" s="71">
        <f>VLOOKUP(A80, TOCA_previous!$A$3:$D$137, 4, FALSE)</f>
        <v>0</v>
      </c>
      <c r="K80" s="71">
        <f>VLOOKUP(E80, TOCA_current!A77:D211, 4, FALSE)</f>
        <v>0</v>
      </c>
      <c r="L80" s="71"/>
      <c r="O80" s="86"/>
    </row>
    <row r="81" spans="1:15">
      <c r="A81" s="32">
        <v>10239</v>
      </c>
      <c r="B81" s="31" t="s">
        <v>83</v>
      </c>
      <c r="C81" s="35">
        <v>0</v>
      </c>
      <c r="E81" s="32">
        <v>10239</v>
      </c>
      <c r="F81" s="31" t="s">
        <v>83</v>
      </c>
      <c r="G81" s="35">
        <v>0</v>
      </c>
      <c r="J81" s="71">
        <f>VLOOKUP(A81, TOCA_previous!$A$3:$D$137, 4, FALSE)</f>
        <v>1</v>
      </c>
      <c r="K81" s="71">
        <f>VLOOKUP(E81, TOCA_current!A78:D212, 4, FALSE)</f>
        <v>1</v>
      </c>
      <c r="L81" s="71"/>
      <c r="O81" s="86"/>
    </row>
    <row r="82" spans="1:15">
      <c r="A82" s="32">
        <v>10242</v>
      </c>
      <c r="B82" s="31" t="s">
        <v>84</v>
      </c>
      <c r="C82" s="35">
        <v>37558.894</v>
      </c>
      <c r="E82" s="32">
        <v>10242</v>
      </c>
      <c r="F82" s="31" t="s">
        <v>84</v>
      </c>
      <c r="G82" s="35">
        <v>37558.894</v>
      </c>
      <c r="J82" s="71">
        <f>VLOOKUP(A82, TOCA_previous!$A$3:$D$137, 4, FALSE)</f>
        <v>0</v>
      </c>
      <c r="K82" s="71">
        <f>VLOOKUP(E82, TOCA_current!A79:D213, 4, FALSE)</f>
        <v>0</v>
      </c>
      <c r="L82" s="71"/>
      <c r="O82" s="86"/>
    </row>
    <row r="83" spans="1:15">
      <c r="A83" s="32">
        <v>10244</v>
      </c>
      <c r="B83" s="31" t="s">
        <v>85</v>
      </c>
      <c r="C83" s="35">
        <v>0</v>
      </c>
      <c r="E83" s="32">
        <v>10244</v>
      </c>
      <c r="F83" s="31" t="s">
        <v>85</v>
      </c>
      <c r="G83" s="35">
        <v>0</v>
      </c>
      <c r="J83" s="71">
        <f>VLOOKUP(A83, TOCA_previous!$A$3:$D$137, 4, FALSE)</f>
        <v>0</v>
      </c>
      <c r="K83" s="71">
        <f>VLOOKUP(E83, TOCA_current!A80:D214, 4, FALSE)</f>
        <v>0</v>
      </c>
      <c r="L83" s="71"/>
      <c r="O83" s="86"/>
    </row>
    <row r="84" spans="1:15">
      <c r="A84" s="32">
        <v>10246</v>
      </c>
      <c r="B84" s="31" t="s">
        <v>86</v>
      </c>
      <c r="C84" s="35">
        <v>0</v>
      </c>
      <c r="E84" s="32">
        <v>10246</v>
      </c>
      <c r="F84" s="31" t="s">
        <v>86</v>
      </c>
      <c r="G84" s="35">
        <v>0</v>
      </c>
      <c r="J84" s="71">
        <f>VLOOKUP(A84, TOCA_previous!$A$3:$D$137, 4, FALSE)</f>
        <v>0</v>
      </c>
      <c r="K84" s="71">
        <f>VLOOKUP(E84, TOCA_current!A81:D215, 4, FALSE)</f>
        <v>0</v>
      </c>
      <c r="L84" s="71"/>
      <c r="O84" s="86"/>
    </row>
    <row r="85" spans="1:15">
      <c r="A85" s="32">
        <v>10247</v>
      </c>
      <c r="B85" s="31" t="s">
        <v>87</v>
      </c>
      <c r="C85" s="35">
        <v>0</v>
      </c>
      <c r="E85" s="32">
        <v>10247</v>
      </c>
      <c r="F85" s="31" t="s">
        <v>87</v>
      </c>
      <c r="G85" s="35">
        <v>0</v>
      </c>
      <c r="J85" s="71">
        <f>VLOOKUP(A85, TOCA_previous!$A$3:$D$137, 4, FALSE)</f>
        <v>0</v>
      </c>
      <c r="K85" s="71">
        <f>VLOOKUP(E85, TOCA_current!A82:D216, 4, FALSE)</f>
        <v>0</v>
      </c>
      <c r="L85" s="71"/>
      <c r="O85" s="86"/>
    </row>
    <row r="86" spans="1:15">
      <c r="A86" s="32">
        <v>10256</v>
      </c>
      <c r="B86" s="31" t="s">
        <v>88</v>
      </c>
      <c r="C86" s="35">
        <v>41489.314000000006</v>
      </c>
      <c r="E86" s="32">
        <v>10256</v>
      </c>
      <c r="F86" s="31" t="s">
        <v>88</v>
      </c>
      <c r="G86" s="35">
        <v>41489.314000000006</v>
      </c>
      <c r="J86" s="71">
        <f>VLOOKUP(A86, TOCA_previous!$A$3:$D$137, 4, FALSE)</f>
        <v>0</v>
      </c>
      <c r="K86" s="71">
        <f>VLOOKUP(E86, TOCA_current!A83:D217, 4, FALSE)</f>
        <v>0</v>
      </c>
      <c r="L86" s="71"/>
      <c r="O86" s="86"/>
    </row>
    <row r="87" spans="1:15">
      <c r="A87" s="32">
        <v>10258</v>
      </c>
      <c r="B87" s="31" t="s">
        <v>89</v>
      </c>
      <c r="C87" s="35">
        <v>18387.022000000001</v>
      </c>
      <c r="E87" s="32">
        <v>10258</v>
      </c>
      <c r="F87" s="31" t="s">
        <v>89</v>
      </c>
      <c r="G87" s="35">
        <v>18387.022000000001</v>
      </c>
      <c r="J87" s="71">
        <f>VLOOKUP(A87, TOCA_previous!$A$3:$D$137, 4, FALSE)</f>
        <v>0</v>
      </c>
      <c r="K87" s="71">
        <f>VLOOKUP(E87, TOCA_current!A84:D218, 4, FALSE)</f>
        <v>0</v>
      </c>
      <c r="L87" s="71"/>
      <c r="O87" s="86"/>
    </row>
    <row r="88" spans="1:15">
      <c r="A88" s="32">
        <v>10259</v>
      </c>
      <c r="B88" s="31" t="s">
        <v>90</v>
      </c>
      <c r="C88" s="35">
        <v>0</v>
      </c>
      <c r="E88" s="32">
        <v>10259</v>
      </c>
      <c r="F88" s="31" t="s">
        <v>90</v>
      </c>
      <c r="G88" s="35">
        <v>0</v>
      </c>
      <c r="J88" s="71">
        <f>VLOOKUP(A88, TOCA_previous!$A$3:$D$137, 4, FALSE)</f>
        <v>0</v>
      </c>
      <c r="K88" s="71">
        <f>VLOOKUP(E88, TOCA_current!A85:D219, 4, FALSE)</f>
        <v>0</v>
      </c>
      <c r="L88" s="71"/>
      <c r="O88" s="86"/>
    </row>
    <row r="89" spans="1:15">
      <c r="A89" s="32">
        <v>10260</v>
      </c>
      <c r="B89" s="31" t="s">
        <v>91</v>
      </c>
      <c r="C89" s="35">
        <v>0</v>
      </c>
      <c r="E89" s="32">
        <v>10260</v>
      </c>
      <c r="F89" s="31" t="s">
        <v>91</v>
      </c>
      <c r="G89" s="35">
        <v>0</v>
      </c>
      <c r="J89" s="71">
        <f>VLOOKUP(A89, TOCA_previous!$A$3:$D$137, 4, FALSE)</f>
        <v>0</v>
      </c>
      <c r="K89" s="71">
        <f>VLOOKUP(E89, TOCA_current!A86:D220, 4, FALSE)</f>
        <v>0</v>
      </c>
      <c r="L89" s="71"/>
      <c r="O89" s="86"/>
    </row>
    <row r="90" spans="1:15">
      <c r="A90" s="32">
        <v>10273</v>
      </c>
      <c r="B90" s="31" t="s">
        <v>92</v>
      </c>
      <c r="C90" s="35">
        <v>9522.0249999999996</v>
      </c>
      <c r="E90" s="32">
        <v>10273</v>
      </c>
      <c r="F90" s="31" t="s">
        <v>92</v>
      </c>
      <c r="G90" s="35">
        <v>9522.0249999999996</v>
      </c>
      <c r="J90" s="71">
        <f>VLOOKUP(A90, TOCA_previous!$A$3:$D$137, 4, FALSE)</f>
        <v>0</v>
      </c>
      <c r="K90" s="71">
        <f>VLOOKUP(E90, TOCA_current!A87:D221, 4, FALSE)</f>
        <v>0</v>
      </c>
      <c r="L90" s="71"/>
      <c r="O90" s="86"/>
    </row>
    <row r="91" spans="1:15">
      <c r="A91" s="32">
        <v>10278</v>
      </c>
      <c r="B91" s="31" t="s">
        <v>93</v>
      </c>
      <c r="C91" s="35">
        <v>0</v>
      </c>
      <c r="E91" s="32">
        <v>10278</v>
      </c>
      <c r="F91" s="31" t="s">
        <v>93</v>
      </c>
      <c r="G91" s="35">
        <v>0</v>
      </c>
      <c r="J91" s="71">
        <f>VLOOKUP(A91, TOCA_previous!$A$3:$D$137, 4, FALSE)</f>
        <v>1</v>
      </c>
      <c r="K91" s="71">
        <f>VLOOKUP(E91, TOCA_current!A88:D222, 4, FALSE)</f>
        <v>1</v>
      </c>
      <c r="L91" s="71"/>
      <c r="O91" s="86"/>
    </row>
    <row r="92" spans="1:15">
      <c r="A92" s="32">
        <v>10279</v>
      </c>
      <c r="B92" s="31" t="s">
        <v>94</v>
      </c>
      <c r="C92" s="35">
        <v>0</v>
      </c>
      <c r="E92" s="32">
        <v>10279</v>
      </c>
      <c r="F92" s="31" t="s">
        <v>94</v>
      </c>
      <c r="G92" s="35">
        <v>0</v>
      </c>
      <c r="J92" s="71">
        <f>VLOOKUP(A92, TOCA_previous!$A$3:$D$137, 4, FALSE)</f>
        <v>0</v>
      </c>
      <c r="K92" s="71">
        <f>VLOOKUP(E92, TOCA_current!A89:D223, 4, FALSE)</f>
        <v>0</v>
      </c>
      <c r="L92" s="71"/>
      <c r="O92" s="86"/>
    </row>
    <row r="93" spans="1:15">
      <c r="A93" s="32">
        <v>10284</v>
      </c>
      <c r="B93" s="31" t="s">
        <v>95</v>
      </c>
      <c r="C93" s="35">
        <v>0</v>
      </c>
      <c r="E93" s="32">
        <v>10284</v>
      </c>
      <c r="F93" s="31" t="s">
        <v>95</v>
      </c>
      <c r="G93" s="35">
        <v>0</v>
      </c>
      <c r="J93" s="71">
        <f>VLOOKUP(A93, TOCA_previous!$A$3:$D$137, 4, FALSE)</f>
        <v>0</v>
      </c>
      <c r="K93" s="71">
        <f>VLOOKUP(E93, TOCA_current!A90:D224, 4, FALSE)</f>
        <v>0</v>
      </c>
      <c r="L93" s="71"/>
      <c r="O93" s="86"/>
    </row>
    <row r="94" spans="1:15">
      <c r="A94" s="32">
        <v>10285</v>
      </c>
      <c r="B94" s="31" t="s">
        <v>96</v>
      </c>
      <c r="C94" s="35">
        <v>0</v>
      </c>
      <c r="E94" s="32">
        <v>10285</v>
      </c>
      <c r="F94" s="31" t="s">
        <v>96</v>
      </c>
      <c r="G94" s="35">
        <v>0</v>
      </c>
      <c r="J94" s="71">
        <f>VLOOKUP(A94, TOCA_previous!$A$3:$D$137, 4, FALSE)</f>
        <v>1</v>
      </c>
      <c r="K94" s="71">
        <f>VLOOKUP(E94, TOCA_current!A91:D225, 4, FALSE)</f>
        <v>1</v>
      </c>
      <c r="L94" s="71"/>
      <c r="O94" s="86"/>
    </row>
    <row r="95" spans="1:15">
      <c r="A95" s="32">
        <v>10286</v>
      </c>
      <c r="B95" s="31" t="s">
        <v>97</v>
      </c>
      <c r="C95" s="35">
        <v>55408.151000000005</v>
      </c>
      <c r="E95" s="32">
        <v>10286</v>
      </c>
      <c r="F95" s="31" t="s">
        <v>97</v>
      </c>
      <c r="G95" s="35">
        <v>55408.151000000005</v>
      </c>
      <c r="J95" s="71">
        <f>VLOOKUP(A95, TOCA_previous!$A$3:$D$137, 4, FALSE)</f>
        <v>0</v>
      </c>
      <c r="K95" s="71">
        <f>VLOOKUP(E95, TOCA_current!A92:D226, 4, FALSE)</f>
        <v>0</v>
      </c>
      <c r="L95" s="71"/>
      <c r="O95" s="86"/>
    </row>
    <row r="96" spans="1:15">
      <c r="A96" s="32">
        <v>10288</v>
      </c>
      <c r="B96" s="31" t="s">
        <v>98</v>
      </c>
      <c r="C96" s="35">
        <v>0</v>
      </c>
      <c r="E96" s="32">
        <v>10288</v>
      </c>
      <c r="F96" s="31" t="s">
        <v>98</v>
      </c>
      <c r="G96" s="35">
        <v>0</v>
      </c>
      <c r="J96" s="71">
        <f>VLOOKUP(A96, TOCA_previous!$A$3:$D$137, 4, FALSE)</f>
        <v>1</v>
      </c>
      <c r="K96" s="71">
        <f>VLOOKUP(E96, TOCA_current!A93:D227, 4, FALSE)</f>
        <v>1</v>
      </c>
      <c r="L96" s="71"/>
      <c r="O96" s="86"/>
    </row>
    <row r="97" spans="1:15">
      <c r="A97" s="32">
        <v>10291</v>
      </c>
      <c r="B97" s="31" t="s">
        <v>99</v>
      </c>
      <c r="C97" s="35">
        <v>36260.600999999995</v>
      </c>
      <c r="E97" s="32">
        <v>10291</v>
      </c>
      <c r="F97" s="31" t="s">
        <v>99</v>
      </c>
      <c r="G97" s="35">
        <v>36260.600999999995</v>
      </c>
      <c r="J97" s="71">
        <f>VLOOKUP(A97, TOCA_previous!$A$3:$D$137, 4, FALSE)</f>
        <v>0</v>
      </c>
      <c r="K97" s="71">
        <f>VLOOKUP(E97, TOCA_current!A94:D228, 4, FALSE)</f>
        <v>0</v>
      </c>
      <c r="L97" s="71"/>
      <c r="O97" s="86"/>
    </row>
    <row r="98" spans="1:15">
      <c r="A98" s="32">
        <v>10294</v>
      </c>
      <c r="B98" s="31" t="s">
        <v>100</v>
      </c>
      <c r="C98" s="35">
        <v>0</v>
      </c>
      <c r="E98" s="32">
        <v>10294</v>
      </c>
      <c r="F98" s="31" t="s">
        <v>100</v>
      </c>
      <c r="G98" s="35">
        <v>0</v>
      </c>
      <c r="J98" s="71">
        <f>VLOOKUP(A98, TOCA_previous!$A$3:$D$137, 4, FALSE)</f>
        <v>0</v>
      </c>
      <c r="K98" s="71">
        <f>VLOOKUP(E98, TOCA_current!A95:D229, 4, FALSE)</f>
        <v>0</v>
      </c>
      <c r="L98" s="71"/>
      <c r="O98" s="86"/>
    </row>
    <row r="99" spans="1:15">
      <c r="A99" s="32">
        <v>10304</v>
      </c>
      <c r="B99" s="31" t="s">
        <v>101</v>
      </c>
      <c r="C99" s="35">
        <v>0</v>
      </c>
      <c r="E99" s="32">
        <v>10304</v>
      </c>
      <c r="F99" s="31" t="s">
        <v>101</v>
      </c>
      <c r="G99" s="35">
        <v>0</v>
      </c>
      <c r="J99" s="71">
        <f>VLOOKUP(A99, TOCA_previous!$A$3:$D$137, 4, FALSE)</f>
        <v>0</v>
      </c>
      <c r="K99" s="71">
        <f>VLOOKUP(E99, TOCA_current!A96:D230, 4, FALSE)</f>
        <v>0</v>
      </c>
      <c r="L99" s="71"/>
      <c r="O99" s="86"/>
    </row>
    <row r="100" spans="1:15">
      <c r="A100" s="32">
        <v>10306</v>
      </c>
      <c r="B100" s="31" t="s">
        <v>102</v>
      </c>
      <c r="C100" s="35">
        <v>0</v>
      </c>
      <c r="E100" s="32">
        <v>10306</v>
      </c>
      <c r="F100" s="31" t="s">
        <v>102</v>
      </c>
      <c r="G100" s="35">
        <v>0</v>
      </c>
      <c r="J100" s="71">
        <f>VLOOKUP(A100, TOCA_previous!$A$3:$D$137, 4, FALSE)</f>
        <v>0</v>
      </c>
      <c r="K100" s="71">
        <f>VLOOKUP(E100, TOCA_current!A97:D231, 4, FALSE)</f>
        <v>0</v>
      </c>
      <c r="L100" s="71"/>
      <c r="O100" s="86"/>
    </row>
    <row r="101" spans="1:15">
      <c r="A101" s="32">
        <v>10307</v>
      </c>
      <c r="B101" s="31" t="s">
        <v>103</v>
      </c>
      <c r="C101" s="35">
        <v>0</v>
      </c>
      <c r="E101" s="32">
        <v>10307</v>
      </c>
      <c r="F101" s="31" t="s">
        <v>103</v>
      </c>
      <c r="G101" s="35">
        <v>0</v>
      </c>
      <c r="J101" s="71">
        <f>VLOOKUP(A101, TOCA_previous!$A$3:$D$137, 4, FALSE)</f>
        <v>0</v>
      </c>
      <c r="K101" s="71">
        <f>VLOOKUP(E101, TOCA_current!A98:D232, 4, FALSE)</f>
        <v>0</v>
      </c>
      <c r="L101" s="71"/>
      <c r="O101" s="86"/>
    </row>
    <row r="102" spans="1:15">
      <c r="A102" s="32">
        <v>10326</v>
      </c>
      <c r="B102" s="31" t="s">
        <v>104</v>
      </c>
      <c r="C102" s="35">
        <v>0</v>
      </c>
      <c r="E102" s="32">
        <v>10326</v>
      </c>
      <c r="F102" s="31" t="s">
        <v>104</v>
      </c>
      <c r="G102" s="35">
        <v>0</v>
      </c>
      <c r="J102" s="71">
        <f>VLOOKUP(A102, TOCA_previous!$A$3:$D$137, 4, FALSE)</f>
        <v>0</v>
      </c>
      <c r="K102" s="71">
        <f>VLOOKUP(E102, TOCA_current!A99:D233, 4, FALSE)</f>
        <v>0</v>
      </c>
      <c r="L102" s="71"/>
      <c r="O102" s="86"/>
    </row>
    <row r="103" spans="1:15">
      <c r="A103" s="32">
        <v>10331</v>
      </c>
      <c r="B103" s="31" t="s">
        <v>105</v>
      </c>
      <c r="C103" s="35">
        <v>133086.85800000001</v>
      </c>
      <c r="E103" s="32">
        <v>10331</v>
      </c>
      <c r="F103" s="31" t="s">
        <v>105</v>
      </c>
      <c r="G103" s="35">
        <v>133086.85800000001</v>
      </c>
      <c r="J103" s="71">
        <f>VLOOKUP(A103, TOCA_previous!$A$3:$D$137, 4, FALSE)</f>
        <v>1</v>
      </c>
      <c r="K103" s="71">
        <f>VLOOKUP(E103, TOCA_current!A100:D234, 4, FALSE)</f>
        <v>1</v>
      </c>
      <c r="L103" s="71"/>
      <c r="O103" s="86"/>
    </row>
    <row r="104" spans="1:15">
      <c r="A104" s="32">
        <v>10333</v>
      </c>
      <c r="B104" s="31" t="s">
        <v>106</v>
      </c>
      <c r="C104" s="35">
        <v>0</v>
      </c>
      <c r="E104" s="32">
        <v>10333</v>
      </c>
      <c r="F104" s="31" t="s">
        <v>106</v>
      </c>
      <c r="G104" s="35">
        <v>0</v>
      </c>
      <c r="J104" s="71">
        <v>1</v>
      </c>
      <c r="K104" s="71">
        <v>1</v>
      </c>
      <c r="L104" s="71"/>
      <c r="O104" s="86"/>
    </row>
    <row r="105" spans="1:15">
      <c r="A105" s="32">
        <v>10338</v>
      </c>
      <c r="B105" s="31" t="s">
        <v>107</v>
      </c>
      <c r="C105" s="35">
        <v>4155.21</v>
      </c>
      <c r="E105" s="32">
        <v>10338</v>
      </c>
      <c r="F105" s="31" t="s">
        <v>107</v>
      </c>
      <c r="G105" s="35">
        <v>4155.21</v>
      </c>
      <c r="J105" s="71">
        <f>VLOOKUP(A105, TOCA_previous!$A$3:$D$137, 4, FALSE)</f>
        <v>0</v>
      </c>
      <c r="K105" s="71">
        <f>VLOOKUP(E105, TOCA_current!A102:D236, 4, FALSE)</f>
        <v>0</v>
      </c>
      <c r="L105" s="71"/>
      <c r="O105" s="86"/>
    </row>
    <row r="106" spans="1:15">
      <c r="A106" s="32">
        <v>10342</v>
      </c>
      <c r="B106" s="31" t="s">
        <v>108</v>
      </c>
      <c r="C106" s="35">
        <v>0</v>
      </c>
      <c r="E106" s="32">
        <v>10342</v>
      </c>
      <c r="F106" s="31" t="s">
        <v>108</v>
      </c>
      <c r="G106" s="35">
        <v>0</v>
      </c>
      <c r="J106" s="71">
        <f>VLOOKUP(A106, TOCA_previous!$A$3:$D$137, 4, FALSE)</f>
        <v>0</v>
      </c>
      <c r="K106" s="71">
        <f>VLOOKUP(E106, TOCA_current!A103:D237, 4, FALSE)</f>
        <v>0</v>
      </c>
      <c r="L106" s="71"/>
      <c r="O106" s="86"/>
    </row>
    <row r="107" spans="1:15">
      <c r="A107" s="32">
        <v>10343</v>
      </c>
      <c r="B107" s="31" t="s">
        <v>109</v>
      </c>
      <c r="C107" s="35">
        <v>10505.661</v>
      </c>
      <c r="E107" s="32">
        <v>10343</v>
      </c>
      <c r="F107" s="31" t="s">
        <v>109</v>
      </c>
      <c r="G107" s="35">
        <v>10505.661</v>
      </c>
      <c r="J107" s="71">
        <f>VLOOKUP(A107, TOCA_previous!$A$3:$D$137, 4, FALSE)</f>
        <v>0</v>
      </c>
      <c r="K107" s="71">
        <f>VLOOKUP(E107, TOCA_current!A104:D238, 4, FALSE)</f>
        <v>0</v>
      </c>
      <c r="L107" s="71"/>
      <c r="O107" s="86"/>
    </row>
    <row r="108" spans="1:15">
      <c r="A108" s="32">
        <v>10349</v>
      </c>
      <c r="B108" s="31" t="s">
        <v>110</v>
      </c>
      <c r="C108" s="35">
        <v>0</v>
      </c>
      <c r="E108" s="32">
        <v>10349</v>
      </c>
      <c r="F108" s="31" t="s">
        <v>110</v>
      </c>
      <c r="G108" s="35">
        <v>0</v>
      </c>
      <c r="J108" s="71">
        <f>VLOOKUP(A108, TOCA_previous!$A$3:$D$137, 4, FALSE)</f>
        <v>0</v>
      </c>
      <c r="K108" s="71">
        <f>VLOOKUP(E108, TOCA_current!A105:D239, 4, FALSE)</f>
        <v>0</v>
      </c>
      <c r="L108" s="71"/>
      <c r="O108" s="86"/>
    </row>
    <row r="109" spans="1:15">
      <c r="A109" s="32">
        <v>10352</v>
      </c>
      <c r="B109" s="31" t="s">
        <v>111</v>
      </c>
      <c r="C109" s="35">
        <v>0</v>
      </c>
      <c r="E109" s="32">
        <v>10352</v>
      </c>
      <c r="F109" s="31" t="s">
        <v>111</v>
      </c>
      <c r="G109" s="35">
        <v>0</v>
      </c>
      <c r="J109" s="71">
        <f>VLOOKUP(A109, TOCA_previous!$A$3:$D$137, 4, FALSE)</f>
        <v>0</v>
      </c>
      <c r="K109" s="71">
        <f>VLOOKUP(E109, TOCA_current!A106:D240, 4, FALSE)</f>
        <v>0</v>
      </c>
      <c r="L109" s="71"/>
      <c r="O109" s="86"/>
    </row>
    <row r="110" spans="1:15">
      <c r="A110" s="32">
        <v>10354</v>
      </c>
      <c r="B110" s="31" t="s">
        <v>112</v>
      </c>
      <c r="C110" s="35">
        <v>0</v>
      </c>
      <c r="E110" s="32">
        <v>10354</v>
      </c>
      <c r="F110" s="31" t="s">
        <v>112</v>
      </c>
      <c r="G110" s="35">
        <v>0</v>
      </c>
      <c r="J110" s="71">
        <f>VLOOKUP(A110, TOCA_previous!$A$3:$D$137, 4, FALSE)</f>
        <v>0</v>
      </c>
      <c r="K110" s="71">
        <f>VLOOKUP(E110, TOCA_current!A107:D241, 4, FALSE)</f>
        <v>0</v>
      </c>
      <c r="L110" s="71"/>
      <c r="O110" s="86"/>
    </row>
    <row r="111" spans="1:15">
      <c r="A111" s="32">
        <v>10360</v>
      </c>
      <c r="B111" s="31" t="s">
        <v>113</v>
      </c>
      <c r="C111" s="35">
        <v>20009.34</v>
      </c>
      <c r="E111" s="32">
        <v>10360</v>
      </c>
      <c r="F111" s="31" t="s">
        <v>113</v>
      </c>
      <c r="G111" s="35">
        <v>20009.34</v>
      </c>
      <c r="J111" s="71">
        <f>VLOOKUP(A111, TOCA_previous!$A$3:$D$137, 4, FALSE)</f>
        <v>0</v>
      </c>
      <c r="K111" s="71">
        <f>VLOOKUP(E111, TOCA_current!A108:D242, 4, FALSE)</f>
        <v>0</v>
      </c>
      <c r="L111" s="71"/>
      <c r="O111" s="86"/>
    </row>
    <row r="112" spans="1:15">
      <c r="A112" s="32">
        <v>10363</v>
      </c>
      <c r="B112" s="31" t="s">
        <v>114</v>
      </c>
      <c r="C112" s="35">
        <v>0</v>
      </c>
      <c r="E112" s="32">
        <v>10363</v>
      </c>
      <c r="F112" s="31" t="s">
        <v>114</v>
      </c>
      <c r="G112" s="35">
        <v>0</v>
      </c>
      <c r="J112" s="71">
        <f>VLOOKUP(A112, TOCA_previous!$A$3:$D$137, 4, FALSE)</f>
        <v>0</v>
      </c>
      <c r="K112" s="71">
        <f>VLOOKUP(E112, TOCA_current!A109:D243, 4, FALSE)</f>
        <v>0</v>
      </c>
      <c r="L112" s="71"/>
      <c r="O112" s="86"/>
    </row>
    <row r="113" spans="1:15">
      <c r="A113" s="32">
        <v>10369</v>
      </c>
      <c r="B113" s="31" t="s">
        <v>115</v>
      </c>
      <c r="C113" s="35">
        <v>46210.901000000005</v>
      </c>
      <c r="E113" s="32">
        <v>10369</v>
      </c>
      <c r="F113" s="31" t="s">
        <v>115</v>
      </c>
      <c r="G113" s="35">
        <v>46210.901000000005</v>
      </c>
      <c r="J113" s="71">
        <f>VLOOKUP(A113, TOCA_previous!$A$3:$D$137, 4, FALSE)</f>
        <v>0</v>
      </c>
      <c r="K113" s="71">
        <f>VLOOKUP(E113, TOCA_current!A110:D244, 4, FALSE)</f>
        <v>0</v>
      </c>
      <c r="L113" s="71"/>
      <c r="O113" s="86"/>
    </row>
    <row r="114" spans="1:15">
      <c r="A114" s="32">
        <v>10370</v>
      </c>
      <c r="B114" s="31" t="s">
        <v>116</v>
      </c>
      <c r="C114" s="35">
        <v>0</v>
      </c>
      <c r="E114" s="32">
        <v>10370</v>
      </c>
      <c r="F114" s="31" t="s">
        <v>116</v>
      </c>
      <c r="G114" s="35">
        <v>0</v>
      </c>
      <c r="J114" s="71">
        <f>VLOOKUP(A114, TOCA_previous!$A$3:$D$137, 4, FALSE)</f>
        <v>0</v>
      </c>
      <c r="K114" s="71">
        <f>VLOOKUP(E114, TOCA_current!A111:D245, 4, FALSE)</f>
        <v>0</v>
      </c>
      <c r="L114" s="71"/>
      <c r="O114" s="86"/>
    </row>
    <row r="115" spans="1:15">
      <c r="A115" s="32">
        <v>10371</v>
      </c>
      <c r="B115" s="31" t="s">
        <v>117</v>
      </c>
      <c r="C115" s="35">
        <v>0</v>
      </c>
      <c r="E115" s="32">
        <v>10371</v>
      </c>
      <c r="F115" s="31" t="s">
        <v>117</v>
      </c>
      <c r="G115" s="35">
        <v>0</v>
      </c>
      <c r="J115" s="71">
        <f>VLOOKUP(A115, TOCA_previous!$A$3:$D$137, 4, FALSE)</f>
        <v>0</v>
      </c>
      <c r="K115" s="71">
        <f>VLOOKUP(E115, TOCA_current!A112:D246, 4, FALSE)</f>
        <v>0</v>
      </c>
      <c r="L115" s="71"/>
      <c r="O115" s="86"/>
    </row>
    <row r="116" spans="1:15">
      <c r="A116" s="32">
        <v>10376</v>
      </c>
      <c r="B116" s="31" t="s">
        <v>118</v>
      </c>
      <c r="C116" s="35">
        <v>0</v>
      </c>
      <c r="E116" s="32">
        <v>10376</v>
      </c>
      <c r="F116" s="31" t="s">
        <v>118</v>
      </c>
      <c r="G116" s="35">
        <v>0</v>
      </c>
      <c r="J116" s="71">
        <f>VLOOKUP(A116, TOCA_previous!$A$3:$D$137, 4, FALSE)</f>
        <v>0</v>
      </c>
      <c r="K116" s="71">
        <f>VLOOKUP(E116, TOCA_current!A113:D247, 4, FALSE)</f>
        <v>0</v>
      </c>
      <c r="L116" s="71"/>
      <c r="O116" s="86"/>
    </row>
    <row r="117" spans="1:15">
      <c r="A117" s="32">
        <v>10378</v>
      </c>
      <c r="B117" s="31" t="s">
        <v>119</v>
      </c>
      <c r="C117" s="35">
        <v>0</v>
      </c>
      <c r="E117" s="32">
        <v>10378</v>
      </c>
      <c r="F117" s="31" t="s">
        <v>119</v>
      </c>
      <c r="G117" s="35">
        <v>0</v>
      </c>
      <c r="J117" s="71">
        <f>VLOOKUP(A117, TOCA_previous!$A$3:$D$137, 4, FALSE)</f>
        <v>0</v>
      </c>
      <c r="K117" s="71">
        <f>VLOOKUP(E117, TOCA_current!A114:D248, 4, FALSE)</f>
        <v>0</v>
      </c>
      <c r="L117" s="71"/>
      <c r="O117" s="86"/>
    </row>
    <row r="118" spans="1:15">
      <c r="A118" s="32">
        <v>10379</v>
      </c>
      <c r="B118" s="31" t="s">
        <v>120</v>
      </c>
      <c r="C118" s="35">
        <v>0</v>
      </c>
      <c r="E118" s="32">
        <v>10379</v>
      </c>
      <c r="F118" s="31" t="s">
        <v>120</v>
      </c>
      <c r="G118" s="35">
        <v>0</v>
      </c>
      <c r="J118" s="71">
        <f>VLOOKUP(A118, TOCA_previous!$A$3:$D$137, 4, FALSE)</f>
        <v>0</v>
      </c>
      <c r="K118" s="71">
        <f>VLOOKUP(E118, TOCA_current!A115:D249, 4, FALSE)</f>
        <v>0</v>
      </c>
      <c r="L118" s="71"/>
      <c r="O118" s="86"/>
    </row>
    <row r="119" spans="1:15">
      <c r="A119" s="32">
        <v>10388</v>
      </c>
      <c r="B119" s="31" t="s">
        <v>121</v>
      </c>
      <c r="C119" s="35">
        <v>228772.42700000003</v>
      </c>
      <c r="E119" s="32">
        <v>10388</v>
      </c>
      <c r="F119" s="31" t="s">
        <v>121</v>
      </c>
      <c r="G119" s="35">
        <v>228772.42700000003</v>
      </c>
      <c r="J119" s="71">
        <f>VLOOKUP(A119, TOCA_previous!$A$3:$D$137, 4, FALSE)</f>
        <v>0</v>
      </c>
      <c r="K119" s="71">
        <f>VLOOKUP(E119, TOCA_current!A116:D250, 4, FALSE)</f>
        <v>0</v>
      </c>
      <c r="L119" s="71"/>
      <c r="O119" s="86"/>
    </row>
    <row r="120" spans="1:15">
      <c r="A120" s="32">
        <v>10391</v>
      </c>
      <c r="B120" s="31" t="s">
        <v>122</v>
      </c>
      <c r="C120" s="35">
        <v>44270.152999999998</v>
      </c>
      <c r="E120" s="32">
        <v>10391</v>
      </c>
      <c r="F120" s="31" t="s">
        <v>122</v>
      </c>
      <c r="G120" s="35">
        <v>44270.152999999998</v>
      </c>
      <c r="J120" s="71">
        <f>VLOOKUP(A120, TOCA_previous!$A$3:$D$137, 4, FALSE)</f>
        <v>0</v>
      </c>
      <c r="K120" s="71">
        <f>VLOOKUP(E120, TOCA_current!A117:D251, 4, FALSE)</f>
        <v>0</v>
      </c>
      <c r="L120" s="71"/>
      <c r="O120" s="86"/>
    </row>
    <row r="121" spans="1:15">
      <c r="A121" s="32">
        <v>10406</v>
      </c>
      <c r="B121" s="31" t="s">
        <v>123</v>
      </c>
      <c r="C121" s="35">
        <v>0</v>
      </c>
      <c r="E121" s="32">
        <v>10406</v>
      </c>
      <c r="F121" s="31" t="s">
        <v>123</v>
      </c>
      <c r="G121" s="35">
        <v>0</v>
      </c>
      <c r="J121" s="71">
        <f>VLOOKUP(A121, TOCA_previous!$A$3:$D$137, 4, FALSE)</f>
        <v>0</v>
      </c>
      <c r="K121" s="71">
        <f>VLOOKUP(E121, TOCA_current!A118:D252, 4, FALSE)</f>
        <v>0</v>
      </c>
      <c r="L121" s="71"/>
      <c r="O121" s="86"/>
    </row>
    <row r="122" spans="1:15">
      <c r="A122" s="32">
        <v>10408</v>
      </c>
      <c r="B122" s="31" t="s">
        <v>124</v>
      </c>
      <c r="C122" s="35">
        <v>0</v>
      </c>
      <c r="E122" s="32">
        <v>10408</v>
      </c>
      <c r="F122" s="31" t="s">
        <v>124</v>
      </c>
      <c r="G122" s="35">
        <v>0</v>
      </c>
      <c r="J122" s="71">
        <f>VLOOKUP(A122, TOCA_previous!$A$3:$D$137, 4, FALSE)</f>
        <v>0</v>
      </c>
      <c r="K122" s="71">
        <f>VLOOKUP(E122, TOCA_current!A119:D253, 4, FALSE)</f>
        <v>0</v>
      </c>
      <c r="L122" s="71"/>
      <c r="O122" s="86"/>
    </row>
    <row r="123" spans="1:15">
      <c r="A123" s="32">
        <v>10409</v>
      </c>
      <c r="B123" s="31" t="s">
        <v>125</v>
      </c>
      <c r="C123" s="35">
        <v>0</v>
      </c>
      <c r="E123" s="32">
        <v>10409</v>
      </c>
      <c r="F123" s="31" t="s">
        <v>125</v>
      </c>
      <c r="G123" s="35">
        <v>0</v>
      </c>
      <c r="J123" s="71">
        <f>VLOOKUP(A123, TOCA_previous!$A$3:$D$137, 4, FALSE)</f>
        <v>0</v>
      </c>
      <c r="K123" s="71">
        <f>VLOOKUP(E123, TOCA_current!A120:D254, 4, FALSE)</f>
        <v>0</v>
      </c>
      <c r="L123" s="71"/>
      <c r="O123" s="86"/>
    </row>
    <row r="124" spans="1:15">
      <c r="A124" s="32">
        <v>10426</v>
      </c>
      <c r="B124" s="31" t="s">
        <v>126</v>
      </c>
      <c r="C124" s="35">
        <v>0</v>
      </c>
      <c r="E124" s="32">
        <v>10426</v>
      </c>
      <c r="F124" s="31" t="s">
        <v>126</v>
      </c>
      <c r="G124" s="35">
        <v>0</v>
      </c>
      <c r="J124" s="71">
        <f>VLOOKUP(A124, TOCA_previous!$A$3:$D$137, 4, FALSE)</f>
        <v>0</v>
      </c>
      <c r="K124" s="71">
        <f>VLOOKUP(E124, TOCA_current!A121:D255, 4, FALSE)</f>
        <v>0</v>
      </c>
      <c r="L124" s="71"/>
      <c r="O124" s="86"/>
    </row>
    <row r="125" spans="1:15">
      <c r="A125" s="32">
        <v>10434</v>
      </c>
      <c r="B125" s="31" t="s">
        <v>127</v>
      </c>
      <c r="C125" s="35">
        <v>0</v>
      </c>
      <c r="E125" s="32">
        <v>10434</v>
      </c>
      <c r="F125" s="31" t="s">
        <v>127</v>
      </c>
      <c r="G125" s="35">
        <v>0</v>
      </c>
      <c r="J125" s="71">
        <f>VLOOKUP(A125, TOCA_previous!$A$3:$D$137, 4, FALSE)</f>
        <v>0</v>
      </c>
      <c r="K125" s="71">
        <f>VLOOKUP(E125, TOCA_current!A122:D256, 4, FALSE)</f>
        <v>0</v>
      </c>
      <c r="L125" s="71"/>
      <c r="O125" s="86"/>
    </row>
    <row r="126" spans="1:15">
      <c r="A126" s="32">
        <v>10436</v>
      </c>
      <c r="B126" s="31" t="s">
        <v>128</v>
      </c>
      <c r="C126" s="35">
        <v>38863.257999999994</v>
      </c>
      <c r="E126" s="32">
        <v>10436</v>
      </c>
      <c r="F126" s="31" t="s">
        <v>128</v>
      </c>
      <c r="G126" s="35">
        <v>38863.257999999994</v>
      </c>
      <c r="J126" s="71">
        <f>VLOOKUP(A126, TOCA_previous!$A$3:$D$137, 4, FALSE)</f>
        <v>0</v>
      </c>
      <c r="K126" s="71">
        <f>VLOOKUP(E126, TOCA_current!A123:D257, 4, FALSE)</f>
        <v>0</v>
      </c>
      <c r="L126" s="71"/>
      <c r="O126" s="86"/>
    </row>
    <row r="127" spans="1:15">
      <c r="A127" s="32">
        <v>10440</v>
      </c>
      <c r="B127" s="31" t="s">
        <v>129</v>
      </c>
      <c r="C127" s="35">
        <v>0</v>
      </c>
      <c r="E127" s="32">
        <v>10440</v>
      </c>
      <c r="F127" s="31" t="s">
        <v>129</v>
      </c>
      <c r="G127" s="35">
        <v>0</v>
      </c>
      <c r="J127" s="71">
        <f>VLOOKUP(A127, TOCA_previous!$A$3:$D$137, 4, FALSE)</f>
        <v>0</v>
      </c>
      <c r="K127" s="71">
        <f>VLOOKUP(E127, TOCA_current!A124:D258, 4, FALSE)</f>
        <v>0</v>
      </c>
      <c r="L127" s="71"/>
      <c r="O127" s="86"/>
    </row>
    <row r="128" spans="1:15">
      <c r="A128" s="32">
        <v>10442</v>
      </c>
      <c r="B128" s="31" t="s">
        <v>130</v>
      </c>
      <c r="C128" s="35">
        <v>9733.33</v>
      </c>
      <c r="E128" s="32">
        <v>10442</v>
      </c>
      <c r="F128" s="31" t="s">
        <v>130</v>
      </c>
      <c r="G128" s="35">
        <v>9733.33</v>
      </c>
      <c r="J128" s="71">
        <f>VLOOKUP(A128, TOCA_previous!$A$3:$D$137, 4, FALSE)</f>
        <v>0</v>
      </c>
      <c r="K128" s="71">
        <f>VLOOKUP(E128, TOCA_current!A125:D259, 4, FALSE)</f>
        <v>0</v>
      </c>
      <c r="L128" s="71"/>
      <c r="O128" s="86"/>
    </row>
    <row r="129" spans="1:15">
      <c r="A129" s="32">
        <v>10446</v>
      </c>
      <c r="B129" s="31" t="s">
        <v>131</v>
      </c>
      <c r="C129" s="35">
        <v>7171.34</v>
      </c>
      <c r="E129" s="32">
        <v>10446</v>
      </c>
      <c r="F129" s="31" t="s">
        <v>131</v>
      </c>
      <c r="G129" s="35">
        <v>7171.34</v>
      </c>
      <c r="J129" s="71">
        <f>VLOOKUP(A129, TOCA_previous!$A$3:$D$137, 4, FALSE)</f>
        <v>0</v>
      </c>
      <c r="K129" s="71">
        <f>VLOOKUP(E129, TOCA_current!A126:D260, 4, FALSE)</f>
        <v>0</v>
      </c>
      <c r="L129" s="71"/>
      <c r="O129" s="86"/>
    </row>
    <row r="130" spans="1:15">
      <c r="A130" s="32">
        <v>10448</v>
      </c>
      <c r="B130" s="31" t="s">
        <v>132</v>
      </c>
      <c r="C130" s="35">
        <v>0</v>
      </c>
      <c r="E130" s="32">
        <v>10448</v>
      </c>
      <c r="F130" s="31" t="s">
        <v>132</v>
      </c>
      <c r="G130" s="35">
        <v>0</v>
      </c>
      <c r="J130" s="71">
        <f>VLOOKUP(A130, TOCA_previous!$A$3:$D$137, 4, FALSE)</f>
        <v>1</v>
      </c>
      <c r="K130" s="71">
        <f>VLOOKUP(E130, TOCA_current!A127:D261, 4, FALSE)</f>
        <v>1</v>
      </c>
      <c r="L130" s="71"/>
      <c r="O130" s="86"/>
    </row>
    <row r="131" spans="1:15">
      <c r="A131" s="32">
        <v>10451</v>
      </c>
      <c r="B131" s="31" t="s">
        <v>133</v>
      </c>
      <c r="C131" s="35">
        <v>0</v>
      </c>
      <c r="E131" s="32">
        <v>10451</v>
      </c>
      <c r="F131" s="31" t="s">
        <v>133</v>
      </c>
      <c r="G131" s="35">
        <v>0</v>
      </c>
      <c r="J131" s="71">
        <f>VLOOKUP(A131, TOCA_previous!$A$3:$D$137, 4, FALSE)</f>
        <v>0</v>
      </c>
      <c r="K131" s="71">
        <f>VLOOKUP(E131, TOCA_current!A128:D262, 4, FALSE)</f>
        <v>0</v>
      </c>
      <c r="L131" s="71"/>
      <c r="O131" s="86"/>
    </row>
    <row r="132" spans="1:15">
      <c r="A132" s="32">
        <v>10482</v>
      </c>
      <c r="B132" s="31" t="s">
        <v>134</v>
      </c>
      <c r="C132" s="35">
        <v>0</v>
      </c>
      <c r="E132" s="32">
        <v>10482</v>
      </c>
      <c r="F132" s="31" t="s">
        <v>134</v>
      </c>
      <c r="G132" s="35">
        <v>0</v>
      </c>
      <c r="J132" s="71">
        <f>VLOOKUP(A132, TOCA_previous!$A$3:$D$137, 4, FALSE)</f>
        <v>0</v>
      </c>
      <c r="K132" s="71">
        <f>VLOOKUP(E132, TOCA_current!A129:D263, 4, FALSE)</f>
        <v>0</v>
      </c>
      <c r="L132" s="71"/>
      <c r="O132" s="86"/>
    </row>
    <row r="133" spans="1:15">
      <c r="A133" s="32">
        <v>10502</v>
      </c>
      <c r="B133" s="31" t="s">
        <v>135</v>
      </c>
      <c r="C133" s="35">
        <v>7189.6969999999992</v>
      </c>
      <c r="E133" s="32">
        <v>10502</v>
      </c>
      <c r="F133" s="31" t="s">
        <v>135</v>
      </c>
      <c r="G133" s="35">
        <v>7189.6969999999992</v>
      </c>
      <c r="J133" s="71">
        <f>VLOOKUP(A133, TOCA_previous!$A$3:$D$137, 4, FALSE)</f>
        <v>0</v>
      </c>
      <c r="K133" s="71">
        <f>VLOOKUP(E133, TOCA_current!A130:D264, 4, FALSE)</f>
        <v>0</v>
      </c>
      <c r="L133" s="71"/>
      <c r="O133" s="86"/>
    </row>
    <row r="134" spans="1:15" s="71" customFormat="1">
      <c r="A134" s="32">
        <v>13927</v>
      </c>
      <c r="B134" s="31" t="s">
        <v>238</v>
      </c>
      <c r="C134" s="35">
        <v>0</v>
      </c>
      <c r="E134" s="32">
        <v>13927</v>
      </c>
      <c r="F134" s="31" t="s">
        <v>238</v>
      </c>
      <c r="G134" s="35">
        <v>0</v>
      </c>
      <c r="J134" s="71">
        <v>0</v>
      </c>
      <c r="K134" s="71">
        <v>0</v>
      </c>
      <c r="O134" s="86"/>
    </row>
    <row r="135" spans="1:15">
      <c r="A135" s="32">
        <v>10597</v>
      </c>
      <c r="B135" s="31" t="s">
        <v>136</v>
      </c>
      <c r="C135" s="35">
        <v>0</v>
      </c>
      <c r="E135" s="32">
        <v>10597</v>
      </c>
      <c r="F135" s="31" t="s">
        <v>136</v>
      </c>
      <c r="G135" s="35">
        <v>0</v>
      </c>
      <c r="J135" s="71">
        <f>VLOOKUP(A135, TOCA_previous!$A$3:$D$137, 4, FALSE)</f>
        <v>0</v>
      </c>
      <c r="K135" s="71">
        <f>VLOOKUP(E135, TOCA_current!A131:D265, 4, FALSE)</f>
        <v>0</v>
      </c>
      <c r="L135" s="71"/>
      <c r="O135" s="86"/>
    </row>
    <row r="136" spans="1:15">
      <c r="A136" s="32">
        <v>10706</v>
      </c>
      <c r="B136" s="31" t="s">
        <v>137</v>
      </c>
      <c r="C136" s="35">
        <v>0</v>
      </c>
      <c r="E136" s="32">
        <v>10706</v>
      </c>
      <c r="F136" s="31" t="s">
        <v>137</v>
      </c>
      <c r="G136" s="35">
        <v>0</v>
      </c>
      <c r="J136" s="71">
        <f>VLOOKUP(A136, TOCA_previous!$A$3:$D$137, 4, FALSE)</f>
        <v>0</v>
      </c>
      <c r="K136" s="71">
        <f>VLOOKUP(E136, TOCA_current!A132:D266, 4, FALSE)</f>
        <v>0</v>
      </c>
      <c r="L136" s="71"/>
      <c r="O136" s="86"/>
    </row>
    <row r="137" spans="1:15">
      <c r="A137" s="32">
        <v>11680</v>
      </c>
      <c r="B137" s="31" t="s">
        <v>138</v>
      </c>
      <c r="C137" s="35">
        <v>0</v>
      </c>
      <c r="E137" s="32">
        <v>11680</v>
      </c>
      <c r="F137" s="31" t="s">
        <v>138</v>
      </c>
      <c r="G137" s="35">
        <v>0</v>
      </c>
      <c r="J137" s="71">
        <f>VLOOKUP(A137, TOCA_previous!$A$3:$D$137, 4, FALSE)</f>
        <v>0</v>
      </c>
      <c r="K137" s="71">
        <f>VLOOKUP(E137, TOCA_current!A133:D267, 4, FALSE)</f>
        <v>0</v>
      </c>
      <c r="L137" s="71"/>
      <c r="O137" s="86"/>
    </row>
    <row r="138" spans="1:15">
      <c r="A138" s="32">
        <v>12026</v>
      </c>
      <c r="B138" s="31" t="s">
        <v>139</v>
      </c>
      <c r="C138" s="35">
        <v>0</v>
      </c>
      <c r="E138" s="32">
        <v>12026</v>
      </c>
      <c r="F138" s="31" t="s">
        <v>139</v>
      </c>
      <c r="G138" s="35">
        <v>0</v>
      </c>
      <c r="J138" s="71">
        <f>VLOOKUP(A138, TOCA_previous!$A$3:$D$137, 4, FALSE)</f>
        <v>0</v>
      </c>
      <c r="K138" s="71">
        <f>VLOOKUP(E138, TOCA_current!A134:D268, 4, FALSE)</f>
        <v>0</v>
      </c>
      <c r="L138" s="71"/>
      <c r="O138" s="86"/>
    </row>
    <row r="139" spans="1:15">
      <c r="A139" s="337">
        <f>+E139</f>
        <v>10298</v>
      </c>
      <c r="B139" s="338" t="s">
        <v>140</v>
      </c>
      <c r="C139" s="339">
        <f>SUMPRODUCT(C5:C138, J5:J138)</f>
        <v>218482.31100000002</v>
      </c>
      <c r="E139" s="340">
        <v>10298</v>
      </c>
      <c r="F139" s="338" t="s">
        <v>140</v>
      </c>
      <c r="G139" s="339">
        <f>SUMPRODUCT(G5:G138, K5:K138)</f>
        <v>218482.31100000002</v>
      </c>
      <c r="J139" s="71">
        <f>VLOOKUP(A139, TOCA_previous!$A$3:$D$137, 4, FALSE)</f>
        <v>0</v>
      </c>
      <c r="K139" s="71">
        <f>VLOOKUP(E139, TOCA_current!A135:D269, 4, FALSE)</f>
        <v>0</v>
      </c>
      <c r="L139" s="71"/>
      <c r="O139" s="86"/>
    </row>
    <row r="140" spans="1:15">
      <c r="A140" s="43" t="s">
        <v>141</v>
      </c>
      <c r="B140" s="31" t="s">
        <v>141</v>
      </c>
      <c r="C140" s="34" t="s">
        <v>141</v>
      </c>
      <c r="E140" s="32" t="s">
        <v>141</v>
      </c>
      <c r="F140" s="31" t="s">
        <v>141</v>
      </c>
      <c r="G140" s="34" t="s">
        <v>141</v>
      </c>
    </row>
    <row r="141" spans="1:15">
      <c r="A141" s="32" t="s">
        <v>141</v>
      </c>
      <c r="B141" s="31" t="s">
        <v>141</v>
      </c>
      <c r="E141" s="32" t="s">
        <v>141</v>
      </c>
      <c r="F141" s="31" t="s">
        <v>141</v>
      </c>
    </row>
    <row r="142" spans="1:15">
      <c r="A142" s="32" t="s">
        <v>141</v>
      </c>
      <c r="B142" s="31" t="s">
        <v>141</v>
      </c>
      <c r="C142" s="34" t="s">
        <v>141</v>
      </c>
      <c r="E142" s="32" t="s">
        <v>141</v>
      </c>
      <c r="F142" s="31" t="s">
        <v>141</v>
      </c>
      <c r="G142" s="34" t="s">
        <v>141</v>
      </c>
    </row>
    <row r="143" spans="1:15">
      <c r="A143" s="32" t="s">
        <v>141</v>
      </c>
      <c r="B143" s="31" t="s">
        <v>141</v>
      </c>
      <c r="C143" s="34" t="s">
        <v>141</v>
      </c>
      <c r="E143" s="32" t="s">
        <v>141</v>
      </c>
      <c r="F143" s="31" t="s">
        <v>141</v>
      </c>
      <c r="G143" s="34" t="s">
        <v>141</v>
      </c>
    </row>
    <row r="144" spans="1:15">
      <c r="A144" s="32" t="s">
        <v>141</v>
      </c>
      <c r="B144" s="31" t="s">
        <v>141</v>
      </c>
      <c r="C144" s="34" t="s">
        <v>141</v>
      </c>
      <c r="E144" s="32" t="s">
        <v>141</v>
      </c>
      <c r="F144" s="31" t="s">
        <v>141</v>
      </c>
      <c r="G144" s="34" t="s">
        <v>141</v>
      </c>
    </row>
    <row r="145" spans="1:7">
      <c r="A145" s="32" t="s">
        <v>141</v>
      </c>
      <c r="B145" s="31" t="s">
        <v>141</v>
      </c>
      <c r="C145" s="34" t="s">
        <v>141</v>
      </c>
      <c r="E145" s="32" t="s">
        <v>141</v>
      </c>
      <c r="F145" s="31" t="s">
        <v>141</v>
      </c>
      <c r="G145" s="34" t="s">
        <v>141</v>
      </c>
    </row>
    <row r="146" spans="1:7">
      <c r="A146" s="32" t="s">
        <v>141</v>
      </c>
      <c r="B146" s="31" t="s">
        <v>141</v>
      </c>
      <c r="C146" s="34" t="s">
        <v>141</v>
      </c>
      <c r="E146" s="32" t="s">
        <v>141</v>
      </c>
      <c r="F146" s="31" t="s">
        <v>141</v>
      </c>
      <c r="G146" s="34" t="s">
        <v>141</v>
      </c>
    </row>
    <row r="147" spans="1:7">
      <c r="A147" s="32" t="s">
        <v>141</v>
      </c>
      <c r="B147" s="31" t="s">
        <v>141</v>
      </c>
      <c r="C147" s="34" t="s">
        <v>141</v>
      </c>
      <c r="E147" s="32" t="s">
        <v>141</v>
      </c>
      <c r="F147" s="31" t="s">
        <v>141</v>
      </c>
      <c r="G147" s="34" t="s">
        <v>141</v>
      </c>
    </row>
    <row r="148" spans="1:7">
      <c r="A148" s="32" t="s">
        <v>141</v>
      </c>
      <c r="B148" s="31" t="s">
        <v>141</v>
      </c>
      <c r="C148" s="34" t="s">
        <v>141</v>
      </c>
      <c r="E148" s="32" t="s">
        <v>141</v>
      </c>
      <c r="F148" s="31" t="s">
        <v>141</v>
      </c>
      <c r="G148" s="34" t="s">
        <v>141</v>
      </c>
    </row>
    <row r="149" spans="1:7">
      <c r="A149" s="32" t="s">
        <v>141</v>
      </c>
      <c r="B149" s="31" t="s">
        <v>141</v>
      </c>
      <c r="C149" s="34" t="s">
        <v>141</v>
      </c>
      <c r="E149" s="32" t="s">
        <v>141</v>
      </c>
      <c r="F149" s="31" t="s">
        <v>141</v>
      </c>
      <c r="G149" s="34" t="s">
        <v>141</v>
      </c>
    </row>
    <row r="150" spans="1:7">
      <c r="A150" s="32" t="s">
        <v>141</v>
      </c>
      <c r="B150" s="31" t="s">
        <v>141</v>
      </c>
      <c r="C150" s="34" t="s">
        <v>141</v>
      </c>
      <c r="E150" s="32" t="s">
        <v>141</v>
      </c>
      <c r="F150" s="31" t="s">
        <v>141</v>
      </c>
      <c r="G150" s="34" t="s">
        <v>141</v>
      </c>
    </row>
    <row r="151" spans="1:7">
      <c r="A151" s="32" t="s">
        <v>141</v>
      </c>
      <c r="B151" s="31" t="s">
        <v>141</v>
      </c>
      <c r="C151" s="34" t="s">
        <v>141</v>
      </c>
      <c r="E151" s="32" t="s">
        <v>141</v>
      </c>
      <c r="F151" s="31" t="s">
        <v>141</v>
      </c>
      <c r="G151" s="34" t="s">
        <v>141</v>
      </c>
    </row>
    <row r="152" spans="1:7">
      <c r="A152" s="32" t="s">
        <v>141</v>
      </c>
      <c r="B152" s="31" t="s">
        <v>141</v>
      </c>
      <c r="C152" s="34" t="s">
        <v>141</v>
      </c>
      <c r="E152" s="32" t="s">
        <v>141</v>
      </c>
      <c r="F152" s="31" t="s">
        <v>141</v>
      </c>
      <c r="G152" s="34" t="s">
        <v>141</v>
      </c>
    </row>
    <row r="153" spans="1:7">
      <c r="A153" s="32" t="s">
        <v>141</v>
      </c>
      <c r="B153" s="31" t="s">
        <v>141</v>
      </c>
      <c r="C153" s="34" t="s">
        <v>141</v>
      </c>
      <c r="E153" s="32" t="s">
        <v>141</v>
      </c>
      <c r="F153" s="31" t="s">
        <v>141</v>
      </c>
      <c r="G153" s="34" t="s">
        <v>141</v>
      </c>
    </row>
    <row r="154" spans="1:7">
      <c r="A154" s="32" t="s">
        <v>141</v>
      </c>
      <c r="B154" s="31" t="s">
        <v>141</v>
      </c>
      <c r="C154" s="34" t="s">
        <v>141</v>
      </c>
      <c r="E154" s="32" t="s">
        <v>141</v>
      </c>
      <c r="F154" s="31" t="s">
        <v>141</v>
      </c>
      <c r="G154" s="34" t="s">
        <v>141</v>
      </c>
    </row>
    <row r="155" spans="1:7">
      <c r="A155" s="32" t="s">
        <v>141</v>
      </c>
      <c r="B155" s="31" t="s">
        <v>141</v>
      </c>
      <c r="C155" s="34" t="s">
        <v>141</v>
      </c>
      <c r="E155" s="32" t="s">
        <v>141</v>
      </c>
      <c r="F155" s="31" t="s">
        <v>141</v>
      </c>
      <c r="G155" s="34" t="s">
        <v>141</v>
      </c>
    </row>
    <row r="156" spans="1:7">
      <c r="A156" s="32" t="s">
        <v>141</v>
      </c>
      <c r="B156" s="31" t="s">
        <v>141</v>
      </c>
      <c r="C156" s="34" t="s">
        <v>141</v>
      </c>
      <c r="E156" s="32" t="s">
        <v>141</v>
      </c>
      <c r="F156" s="31" t="s">
        <v>141</v>
      </c>
      <c r="G156" s="34" t="s">
        <v>141</v>
      </c>
    </row>
    <row r="157" spans="1:7">
      <c r="A157" s="32" t="s">
        <v>141</v>
      </c>
      <c r="B157" s="31" t="s">
        <v>141</v>
      </c>
      <c r="C157" s="34" t="s">
        <v>141</v>
      </c>
      <c r="E157" s="32" t="s">
        <v>141</v>
      </c>
      <c r="F157" s="31" t="s">
        <v>141</v>
      </c>
      <c r="G157" s="34" t="s">
        <v>141</v>
      </c>
    </row>
    <row r="158" spans="1:7">
      <c r="A158" s="32" t="s">
        <v>141</v>
      </c>
      <c r="B158" s="31" t="s">
        <v>141</v>
      </c>
      <c r="C158" s="34" t="s">
        <v>141</v>
      </c>
      <c r="E158" s="32" t="s">
        <v>141</v>
      </c>
      <c r="F158" s="31" t="s">
        <v>141</v>
      </c>
      <c r="G158" s="34" t="s">
        <v>141</v>
      </c>
    </row>
    <row r="159" spans="1:7">
      <c r="A159" s="32" t="s">
        <v>141</v>
      </c>
      <c r="B159" s="31" t="s">
        <v>141</v>
      </c>
      <c r="C159" s="34" t="s">
        <v>141</v>
      </c>
      <c r="E159" s="32" t="s">
        <v>141</v>
      </c>
      <c r="F159" s="31" t="s">
        <v>141</v>
      </c>
      <c r="G159" s="34" t="s">
        <v>141</v>
      </c>
    </row>
    <row r="160" spans="1:7">
      <c r="A160" s="32" t="s">
        <v>141</v>
      </c>
      <c r="B160" s="31" t="s">
        <v>141</v>
      </c>
      <c r="C160" s="34" t="s">
        <v>141</v>
      </c>
      <c r="E160" s="32" t="s">
        <v>141</v>
      </c>
      <c r="F160" s="31" t="s">
        <v>141</v>
      </c>
      <c r="G160" s="34" t="s">
        <v>141</v>
      </c>
    </row>
    <row r="161" spans="1:7">
      <c r="A161" s="32" t="s">
        <v>141</v>
      </c>
      <c r="B161" s="31" t="s">
        <v>141</v>
      </c>
      <c r="C161" s="34" t="s">
        <v>141</v>
      </c>
      <c r="E161" s="32" t="s">
        <v>141</v>
      </c>
      <c r="F161" s="31" t="s">
        <v>141</v>
      </c>
      <c r="G161" s="34" t="s">
        <v>141</v>
      </c>
    </row>
    <row r="162" spans="1:7">
      <c r="A162" s="32" t="s">
        <v>141</v>
      </c>
      <c r="B162" s="31" t="s">
        <v>141</v>
      </c>
      <c r="C162" s="34" t="s">
        <v>141</v>
      </c>
      <c r="E162" s="32" t="s">
        <v>141</v>
      </c>
      <c r="F162" s="31" t="s">
        <v>141</v>
      </c>
      <c r="G162" s="34" t="s">
        <v>141</v>
      </c>
    </row>
    <row r="163" spans="1:7">
      <c r="A163" s="32" t="s">
        <v>141</v>
      </c>
      <c r="B163" s="31" t="s">
        <v>141</v>
      </c>
      <c r="C163" s="34" t="s">
        <v>141</v>
      </c>
      <c r="E163" s="32" t="s">
        <v>141</v>
      </c>
      <c r="F163" s="31" t="s">
        <v>141</v>
      </c>
      <c r="G163" s="34" t="s">
        <v>141</v>
      </c>
    </row>
    <row r="164" spans="1:7">
      <c r="A164" s="32" t="s">
        <v>141</v>
      </c>
      <c r="B164" s="31" t="s">
        <v>141</v>
      </c>
      <c r="C164" s="34" t="s">
        <v>141</v>
      </c>
      <c r="E164" s="32" t="s">
        <v>141</v>
      </c>
      <c r="F164" s="31" t="s">
        <v>141</v>
      </c>
      <c r="G164" s="34" t="s">
        <v>141</v>
      </c>
    </row>
    <row r="165" spans="1:7">
      <c r="A165" s="32" t="s">
        <v>141</v>
      </c>
      <c r="B165" s="31" t="s">
        <v>141</v>
      </c>
      <c r="C165" s="34" t="s">
        <v>141</v>
      </c>
      <c r="E165" s="32" t="s">
        <v>141</v>
      </c>
      <c r="F165" s="31" t="s">
        <v>141</v>
      </c>
      <c r="G165" s="34" t="s">
        <v>141</v>
      </c>
    </row>
    <row r="166" spans="1:7">
      <c r="A166" s="32" t="s">
        <v>141</v>
      </c>
      <c r="B166" s="31" t="s">
        <v>141</v>
      </c>
      <c r="C166" s="34" t="s">
        <v>141</v>
      </c>
      <c r="E166" s="32" t="s">
        <v>141</v>
      </c>
      <c r="F166" s="31" t="s">
        <v>141</v>
      </c>
      <c r="G166" s="34" t="s">
        <v>141</v>
      </c>
    </row>
    <row r="167" spans="1:7">
      <c r="A167" s="32" t="s">
        <v>141</v>
      </c>
      <c r="B167" s="31" t="s">
        <v>141</v>
      </c>
      <c r="C167" s="34" t="s">
        <v>141</v>
      </c>
      <c r="E167" s="32" t="s">
        <v>141</v>
      </c>
      <c r="F167" s="31" t="s">
        <v>141</v>
      </c>
      <c r="G167" s="34" t="s">
        <v>141</v>
      </c>
    </row>
    <row r="168" spans="1:7">
      <c r="A168" s="32" t="s">
        <v>141</v>
      </c>
      <c r="B168" s="31" t="s">
        <v>141</v>
      </c>
      <c r="C168" s="34" t="s">
        <v>141</v>
      </c>
      <c r="E168" s="32" t="s">
        <v>141</v>
      </c>
      <c r="F168" s="31" t="s">
        <v>141</v>
      </c>
      <c r="G168" s="34" t="s">
        <v>141</v>
      </c>
    </row>
    <row r="169" spans="1:7">
      <c r="A169" s="32" t="s">
        <v>141</v>
      </c>
      <c r="B169" s="31" t="s">
        <v>141</v>
      </c>
      <c r="C169" s="34" t="s">
        <v>141</v>
      </c>
      <c r="E169" s="32" t="s">
        <v>141</v>
      </c>
      <c r="F169" s="31" t="s">
        <v>141</v>
      </c>
      <c r="G169" s="34" t="s">
        <v>141</v>
      </c>
    </row>
    <row r="170" spans="1:7">
      <c r="A170" s="32" t="s">
        <v>141</v>
      </c>
      <c r="B170" s="31" t="s">
        <v>141</v>
      </c>
      <c r="C170" s="34" t="s">
        <v>141</v>
      </c>
      <c r="E170" s="32" t="s">
        <v>141</v>
      </c>
      <c r="F170" s="31" t="s">
        <v>141</v>
      </c>
      <c r="G170" s="34" t="s">
        <v>141</v>
      </c>
    </row>
    <row r="171" spans="1:7">
      <c r="A171" s="32" t="s">
        <v>141</v>
      </c>
      <c r="B171" s="31" t="s">
        <v>141</v>
      </c>
      <c r="C171" s="34" t="s">
        <v>141</v>
      </c>
      <c r="E171" s="32" t="s">
        <v>141</v>
      </c>
      <c r="F171" s="31" t="s">
        <v>141</v>
      </c>
      <c r="G171" s="34" t="s">
        <v>141</v>
      </c>
    </row>
    <row r="172" spans="1:7">
      <c r="A172" s="32" t="s">
        <v>141</v>
      </c>
      <c r="B172" s="31" t="s">
        <v>141</v>
      </c>
      <c r="C172" s="34" t="s">
        <v>141</v>
      </c>
      <c r="E172" s="32" t="s">
        <v>141</v>
      </c>
      <c r="F172" s="31" t="s">
        <v>141</v>
      </c>
      <c r="G172" s="34" t="s">
        <v>141</v>
      </c>
    </row>
    <row r="173" spans="1:7">
      <c r="A173" s="32" t="s">
        <v>141</v>
      </c>
      <c r="B173" s="31" t="s">
        <v>141</v>
      </c>
      <c r="C173" s="34" t="s">
        <v>141</v>
      </c>
      <c r="E173" s="32" t="s">
        <v>141</v>
      </c>
      <c r="F173" s="31" t="s">
        <v>141</v>
      </c>
      <c r="G173" s="34" t="s">
        <v>141</v>
      </c>
    </row>
    <row r="174" spans="1:7">
      <c r="A174" s="32" t="s">
        <v>141</v>
      </c>
      <c r="B174" s="31" t="s">
        <v>141</v>
      </c>
      <c r="C174" s="34" t="s">
        <v>141</v>
      </c>
      <c r="E174" s="32" t="s">
        <v>141</v>
      </c>
      <c r="F174" s="31" t="s">
        <v>141</v>
      </c>
      <c r="G174" s="34" t="s">
        <v>141</v>
      </c>
    </row>
    <row r="175" spans="1:7">
      <c r="A175" s="32" t="s">
        <v>141</v>
      </c>
      <c r="B175" s="31" t="s">
        <v>141</v>
      </c>
      <c r="C175" s="34" t="s">
        <v>141</v>
      </c>
      <c r="E175" s="32" t="s">
        <v>141</v>
      </c>
      <c r="F175" s="31" t="s">
        <v>141</v>
      </c>
      <c r="G175" s="34" t="s">
        <v>141</v>
      </c>
    </row>
    <row r="176" spans="1:7">
      <c r="A176" s="32" t="s">
        <v>141</v>
      </c>
      <c r="B176" s="31" t="s">
        <v>141</v>
      </c>
      <c r="C176" s="34" t="s">
        <v>141</v>
      </c>
      <c r="E176" s="32" t="s">
        <v>141</v>
      </c>
      <c r="F176" s="31" t="s">
        <v>141</v>
      </c>
      <c r="G176" s="34" t="s">
        <v>141</v>
      </c>
    </row>
    <row r="177" spans="1:7">
      <c r="A177" s="32" t="s">
        <v>141</v>
      </c>
      <c r="B177" s="31" t="s">
        <v>141</v>
      </c>
      <c r="C177" s="34" t="s">
        <v>141</v>
      </c>
      <c r="E177" s="32" t="s">
        <v>141</v>
      </c>
      <c r="F177" s="31" t="s">
        <v>141</v>
      </c>
      <c r="G177" s="34" t="s">
        <v>141</v>
      </c>
    </row>
    <row r="178" spans="1:7">
      <c r="A178" s="32" t="s">
        <v>141</v>
      </c>
      <c r="B178" s="31" t="s">
        <v>141</v>
      </c>
      <c r="C178" s="34" t="s">
        <v>141</v>
      </c>
      <c r="E178" s="32" t="s">
        <v>141</v>
      </c>
      <c r="F178" s="31" t="s">
        <v>141</v>
      </c>
      <c r="G178" s="34" t="s">
        <v>141</v>
      </c>
    </row>
    <row r="179" spans="1:7">
      <c r="A179" s="32" t="s">
        <v>141</v>
      </c>
      <c r="B179" s="31" t="s">
        <v>141</v>
      </c>
      <c r="C179" s="34" t="s">
        <v>141</v>
      </c>
      <c r="E179" s="32" t="s">
        <v>141</v>
      </c>
      <c r="F179" s="31" t="s">
        <v>141</v>
      </c>
      <c r="G179" s="34" t="s">
        <v>141</v>
      </c>
    </row>
    <row r="180" spans="1:7">
      <c r="A180" s="32" t="s">
        <v>141</v>
      </c>
      <c r="B180" s="31" t="s">
        <v>141</v>
      </c>
      <c r="C180" s="34" t="s">
        <v>141</v>
      </c>
      <c r="E180" s="32" t="s">
        <v>141</v>
      </c>
      <c r="F180" s="31" t="s">
        <v>141</v>
      </c>
      <c r="G180" s="34" t="s">
        <v>141</v>
      </c>
    </row>
    <row r="181" spans="1:7">
      <c r="A181" s="32" t="s">
        <v>141</v>
      </c>
      <c r="B181" s="31" t="s">
        <v>141</v>
      </c>
      <c r="C181" s="34" t="s">
        <v>141</v>
      </c>
      <c r="E181" s="32" t="s">
        <v>141</v>
      </c>
      <c r="F181" s="31" t="s">
        <v>141</v>
      </c>
      <c r="G181" s="34" t="s">
        <v>141</v>
      </c>
    </row>
    <row r="182" spans="1:7">
      <c r="A182" s="32" t="s">
        <v>141</v>
      </c>
      <c r="B182" s="31" t="s">
        <v>141</v>
      </c>
      <c r="C182" s="34" t="s">
        <v>141</v>
      </c>
      <c r="E182" s="32" t="s">
        <v>141</v>
      </c>
      <c r="F182" s="31" t="s">
        <v>141</v>
      </c>
      <c r="G182" s="34" t="s">
        <v>141</v>
      </c>
    </row>
    <row r="183" spans="1:7">
      <c r="A183" s="32" t="s">
        <v>141</v>
      </c>
      <c r="B183" s="31" t="s">
        <v>141</v>
      </c>
      <c r="C183" s="34" t="s">
        <v>141</v>
      </c>
      <c r="E183" s="32" t="s">
        <v>141</v>
      </c>
      <c r="F183" s="31" t="s">
        <v>141</v>
      </c>
      <c r="G183" s="34" t="s">
        <v>141</v>
      </c>
    </row>
    <row r="184" spans="1:7">
      <c r="A184" s="32" t="s">
        <v>141</v>
      </c>
      <c r="B184" s="31" t="s">
        <v>141</v>
      </c>
      <c r="C184" s="34" t="s">
        <v>141</v>
      </c>
      <c r="E184" s="32" t="s">
        <v>141</v>
      </c>
      <c r="F184" s="31" t="s">
        <v>141</v>
      </c>
      <c r="G184" s="34" t="s">
        <v>141</v>
      </c>
    </row>
    <row r="185" spans="1:7">
      <c r="A185" s="32" t="s">
        <v>141</v>
      </c>
      <c r="B185" s="31" t="s">
        <v>141</v>
      </c>
      <c r="C185" s="34" t="s">
        <v>141</v>
      </c>
      <c r="E185" s="32" t="s">
        <v>141</v>
      </c>
      <c r="F185" s="31" t="s">
        <v>141</v>
      </c>
      <c r="G185" s="34" t="s">
        <v>141</v>
      </c>
    </row>
    <row r="186" spans="1:7">
      <c r="A186" s="32" t="s">
        <v>141</v>
      </c>
      <c r="B186" s="31" t="s">
        <v>141</v>
      </c>
      <c r="C186" s="34" t="s">
        <v>141</v>
      </c>
      <c r="E186" s="32" t="s">
        <v>141</v>
      </c>
      <c r="F186" s="31" t="s">
        <v>141</v>
      </c>
      <c r="G186" s="34" t="s">
        <v>141</v>
      </c>
    </row>
    <row r="187" spans="1:7">
      <c r="A187" s="32" t="s">
        <v>141</v>
      </c>
      <c r="B187" s="31" t="s">
        <v>141</v>
      </c>
      <c r="C187" s="34" t="s">
        <v>141</v>
      </c>
      <c r="E187" s="32" t="s">
        <v>141</v>
      </c>
      <c r="F187" s="31" t="s">
        <v>141</v>
      </c>
      <c r="G187" s="34" t="s">
        <v>141</v>
      </c>
    </row>
    <row r="188" spans="1:7">
      <c r="A188" s="32" t="s">
        <v>141</v>
      </c>
      <c r="B188" s="31" t="s">
        <v>141</v>
      </c>
      <c r="C188" s="34" t="s">
        <v>141</v>
      </c>
      <c r="E188" s="32" t="s">
        <v>141</v>
      </c>
      <c r="F188" s="31" t="s">
        <v>141</v>
      </c>
      <c r="G188" s="34" t="s">
        <v>141</v>
      </c>
    </row>
    <row r="189" spans="1:7">
      <c r="A189" s="32" t="s">
        <v>141</v>
      </c>
      <c r="B189" s="31" t="s">
        <v>141</v>
      </c>
      <c r="C189" s="34" t="s">
        <v>141</v>
      </c>
      <c r="E189" s="32" t="s">
        <v>141</v>
      </c>
      <c r="F189" s="31" t="s">
        <v>141</v>
      </c>
      <c r="G189" s="34" t="s">
        <v>141</v>
      </c>
    </row>
    <row r="190" spans="1:7">
      <c r="A190" s="32" t="s">
        <v>141</v>
      </c>
      <c r="B190" s="31" t="s">
        <v>141</v>
      </c>
      <c r="C190" s="34" t="s">
        <v>141</v>
      </c>
      <c r="E190" s="32" t="s">
        <v>141</v>
      </c>
      <c r="F190" s="31" t="s">
        <v>141</v>
      </c>
      <c r="G190" s="34" t="s">
        <v>141</v>
      </c>
    </row>
    <row r="191" spans="1:7">
      <c r="A191" s="32" t="s">
        <v>141</v>
      </c>
      <c r="B191" s="31" t="s">
        <v>141</v>
      </c>
      <c r="C191" s="34" t="s">
        <v>141</v>
      </c>
      <c r="E191" s="32" t="s">
        <v>141</v>
      </c>
      <c r="F191" s="31" t="s">
        <v>141</v>
      </c>
      <c r="G191" s="34" t="s">
        <v>141</v>
      </c>
    </row>
    <row r="192" spans="1:7">
      <c r="A192" s="32" t="s">
        <v>141</v>
      </c>
      <c r="B192" s="31" t="s">
        <v>141</v>
      </c>
      <c r="C192" s="34" t="s">
        <v>141</v>
      </c>
      <c r="E192" s="32" t="s">
        <v>141</v>
      </c>
      <c r="F192" s="31" t="s">
        <v>141</v>
      </c>
      <c r="G192" s="34" t="s">
        <v>141</v>
      </c>
    </row>
    <row r="193" spans="1:7">
      <c r="A193" s="32" t="s">
        <v>141</v>
      </c>
      <c r="B193" s="31" t="s">
        <v>141</v>
      </c>
      <c r="C193" s="34" t="s">
        <v>141</v>
      </c>
      <c r="E193" s="32" t="s">
        <v>141</v>
      </c>
      <c r="F193" s="31" t="s">
        <v>141</v>
      </c>
      <c r="G193" s="34" t="s">
        <v>141</v>
      </c>
    </row>
    <row r="194" spans="1:7">
      <c r="A194" s="32" t="s">
        <v>141</v>
      </c>
      <c r="B194" s="31" t="s">
        <v>141</v>
      </c>
      <c r="C194" s="34" t="s">
        <v>141</v>
      </c>
      <c r="E194" s="32" t="s">
        <v>141</v>
      </c>
      <c r="F194" s="31" t="s">
        <v>141</v>
      </c>
      <c r="G194" s="34" t="s">
        <v>141</v>
      </c>
    </row>
    <row r="195" spans="1:7">
      <c r="A195" s="32" t="s">
        <v>141</v>
      </c>
      <c r="B195" s="31" t="s">
        <v>141</v>
      </c>
      <c r="C195" s="34" t="s">
        <v>141</v>
      </c>
      <c r="E195" s="32" t="s">
        <v>141</v>
      </c>
      <c r="F195" s="31" t="s">
        <v>141</v>
      </c>
      <c r="G195" s="34" t="s">
        <v>141</v>
      </c>
    </row>
    <row r="196" spans="1:7">
      <c r="A196" s="32" t="s">
        <v>141</v>
      </c>
      <c r="B196" s="31" t="s">
        <v>141</v>
      </c>
      <c r="C196" s="34" t="s">
        <v>141</v>
      </c>
      <c r="E196" s="32" t="s">
        <v>141</v>
      </c>
      <c r="F196" s="31" t="s">
        <v>141</v>
      </c>
      <c r="G196" s="34" t="s">
        <v>141</v>
      </c>
    </row>
    <row r="197" spans="1:7">
      <c r="A197" s="32" t="s">
        <v>141</v>
      </c>
      <c r="B197" s="31" t="s">
        <v>141</v>
      </c>
      <c r="C197" s="34" t="s">
        <v>141</v>
      </c>
      <c r="E197" s="32" t="s">
        <v>141</v>
      </c>
      <c r="F197" s="31" t="s">
        <v>141</v>
      </c>
      <c r="G197" s="34" t="s">
        <v>141</v>
      </c>
    </row>
    <row r="198" spans="1:7">
      <c r="A198" s="32" t="s">
        <v>141</v>
      </c>
      <c r="B198" s="31" t="s">
        <v>141</v>
      </c>
      <c r="C198" s="34" t="s">
        <v>141</v>
      </c>
      <c r="E198" s="32" t="s">
        <v>141</v>
      </c>
      <c r="F198" s="31" t="s">
        <v>141</v>
      </c>
      <c r="G198" s="34" t="s">
        <v>141</v>
      </c>
    </row>
    <row r="199" spans="1:7">
      <c r="A199" s="32" t="s">
        <v>141</v>
      </c>
      <c r="B199" s="31" t="s">
        <v>141</v>
      </c>
      <c r="C199" s="34" t="s">
        <v>141</v>
      </c>
      <c r="E199" s="32" t="s">
        <v>141</v>
      </c>
      <c r="F199" s="31" t="s">
        <v>141</v>
      </c>
      <c r="G199" s="34" t="s">
        <v>141</v>
      </c>
    </row>
    <row r="200" spans="1:7">
      <c r="A200" s="32" t="s">
        <v>141</v>
      </c>
      <c r="B200" s="31" t="s">
        <v>141</v>
      </c>
      <c r="C200" s="34" t="s">
        <v>141</v>
      </c>
      <c r="E200" s="32" t="s">
        <v>141</v>
      </c>
      <c r="F200" s="31" t="s">
        <v>141</v>
      </c>
      <c r="G200" s="34" t="s">
        <v>141</v>
      </c>
    </row>
    <row r="201" spans="1:7">
      <c r="A201" s="32" t="s">
        <v>141</v>
      </c>
      <c r="B201" s="31" t="s">
        <v>141</v>
      </c>
      <c r="C201" s="34" t="s">
        <v>141</v>
      </c>
      <c r="E201" s="32" t="s">
        <v>141</v>
      </c>
      <c r="F201" s="31" t="s">
        <v>141</v>
      </c>
      <c r="G201" s="34" t="s">
        <v>141</v>
      </c>
    </row>
    <row r="202" spans="1:7">
      <c r="A202" s="32" t="s">
        <v>141</v>
      </c>
      <c r="B202" s="31" t="s">
        <v>141</v>
      </c>
      <c r="C202" s="34" t="s">
        <v>141</v>
      </c>
      <c r="E202" s="32" t="s">
        <v>141</v>
      </c>
      <c r="F202" s="31" t="s">
        <v>141</v>
      </c>
      <c r="G202" s="34" t="s">
        <v>141</v>
      </c>
    </row>
    <row r="203" spans="1:7">
      <c r="A203" s="32" t="s">
        <v>141</v>
      </c>
      <c r="B203" s="31" t="s">
        <v>141</v>
      </c>
      <c r="C203" s="34" t="s">
        <v>141</v>
      </c>
      <c r="E203" s="32" t="s">
        <v>141</v>
      </c>
      <c r="F203" s="31" t="s">
        <v>141</v>
      </c>
      <c r="G203" s="34" t="s">
        <v>141</v>
      </c>
    </row>
    <row r="204" spans="1:7">
      <c r="A204" s="32" t="s">
        <v>141</v>
      </c>
      <c r="B204" s="31" t="s">
        <v>141</v>
      </c>
      <c r="C204" s="34" t="s">
        <v>141</v>
      </c>
      <c r="E204" s="32" t="s">
        <v>141</v>
      </c>
      <c r="F204" s="31" t="s">
        <v>141</v>
      </c>
      <c r="G204" s="34" t="s">
        <v>141</v>
      </c>
    </row>
    <row r="205" spans="1:7">
      <c r="A205" s="32" t="s">
        <v>141</v>
      </c>
      <c r="B205" s="31" t="s">
        <v>141</v>
      </c>
      <c r="C205" s="34" t="s">
        <v>141</v>
      </c>
      <c r="E205" s="32" t="s">
        <v>141</v>
      </c>
      <c r="F205" s="31" t="s">
        <v>141</v>
      </c>
      <c r="G205" s="34" t="s">
        <v>141</v>
      </c>
    </row>
    <row r="206" spans="1:7">
      <c r="A206" s="32" t="s">
        <v>141</v>
      </c>
      <c r="B206" s="31" t="s">
        <v>141</v>
      </c>
      <c r="C206" s="34" t="s">
        <v>141</v>
      </c>
      <c r="E206" s="32" t="s">
        <v>141</v>
      </c>
      <c r="F206" s="31" t="s">
        <v>141</v>
      </c>
      <c r="G206" s="34" t="s">
        <v>141</v>
      </c>
    </row>
    <row r="207" spans="1:7">
      <c r="A207" s="32" t="s">
        <v>141</v>
      </c>
      <c r="B207" s="31" t="s">
        <v>141</v>
      </c>
      <c r="C207" s="34" t="s">
        <v>141</v>
      </c>
      <c r="E207" s="32" t="s">
        <v>141</v>
      </c>
      <c r="F207" s="31" t="s">
        <v>141</v>
      </c>
      <c r="G207" s="34" t="s">
        <v>141</v>
      </c>
    </row>
    <row r="208" spans="1:7">
      <c r="A208" s="32" t="s">
        <v>141</v>
      </c>
      <c r="B208" s="31" t="s">
        <v>141</v>
      </c>
      <c r="C208" s="34" t="s">
        <v>141</v>
      </c>
      <c r="E208" s="32" t="s">
        <v>141</v>
      </c>
      <c r="F208" s="31" t="s">
        <v>141</v>
      </c>
      <c r="G208" s="34" t="s">
        <v>141</v>
      </c>
    </row>
    <row r="209" spans="1:7">
      <c r="A209" s="32" t="s">
        <v>141</v>
      </c>
      <c r="B209" s="31" t="s">
        <v>141</v>
      </c>
      <c r="C209" s="34" t="s">
        <v>141</v>
      </c>
      <c r="E209" s="32" t="s">
        <v>141</v>
      </c>
      <c r="F209" s="31" t="s">
        <v>141</v>
      </c>
      <c r="G209" s="34" t="s">
        <v>141</v>
      </c>
    </row>
    <row r="210" spans="1:7">
      <c r="A210" s="32" t="s">
        <v>141</v>
      </c>
      <c r="B210" s="31" t="s">
        <v>141</v>
      </c>
      <c r="C210" s="34" t="s">
        <v>141</v>
      </c>
      <c r="E210" s="32" t="s">
        <v>141</v>
      </c>
      <c r="F210" s="31" t="s">
        <v>141</v>
      </c>
      <c r="G210" s="34" t="s">
        <v>141</v>
      </c>
    </row>
    <row r="211" spans="1:7">
      <c r="A211" s="32" t="s">
        <v>141</v>
      </c>
      <c r="B211" s="31" t="s">
        <v>141</v>
      </c>
      <c r="C211" s="34" t="s">
        <v>141</v>
      </c>
      <c r="E211" s="32" t="s">
        <v>141</v>
      </c>
      <c r="F211" s="31" t="s">
        <v>141</v>
      </c>
      <c r="G211" s="34" t="s">
        <v>141</v>
      </c>
    </row>
    <row r="212" spans="1:7">
      <c r="A212" s="32" t="s">
        <v>141</v>
      </c>
      <c r="B212" s="31" t="s">
        <v>141</v>
      </c>
      <c r="C212" s="34" t="s">
        <v>141</v>
      </c>
      <c r="E212" s="32" t="s">
        <v>141</v>
      </c>
      <c r="F212" s="31" t="s">
        <v>141</v>
      </c>
      <c r="G212" s="34" t="s">
        <v>141</v>
      </c>
    </row>
    <row r="213" spans="1:7">
      <c r="A213" s="32" t="s">
        <v>141</v>
      </c>
      <c r="B213" s="31" t="s">
        <v>141</v>
      </c>
      <c r="C213" s="34" t="s">
        <v>141</v>
      </c>
      <c r="E213" s="32" t="s">
        <v>141</v>
      </c>
      <c r="F213" s="31" t="s">
        <v>141</v>
      </c>
      <c r="G213" s="34" t="s">
        <v>141</v>
      </c>
    </row>
    <row r="214" spans="1:7">
      <c r="A214" s="32" t="s">
        <v>141</v>
      </c>
      <c r="B214" s="31" t="s">
        <v>141</v>
      </c>
      <c r="C214" s="34" t="s">
        <v>141</v>
      </c>
      <c r="E214" s="32" t="s">
        <v>141</v>
      </c>
      <c r="F214" s="31" t="s">
        <v>141</v>
      </c>
      <c r="G214" s="34" t="s">
        <v>141</v>
      </c>
    </row>
    <row r="215" spans="1:7">
      <c r="A215" s="32" t="s">
        <v>141</v>
      </c>
      <c r="B215" s="31" t="s">
        <v>141</v>
      </c>
      <c r="C215" s="34" t="s">
        <v>141</v>
      </c>
      <c r="E215" s="32" t="s">
        <v>141</v>
      </c>
      <c r="F215" s="31" t="s">
        <v>141</v>
      </c>
      <c r="G215" s="34" t="s">
        <v>141</v>
      </c>
    </row>
    <row r="216" spans="1:7">
      <c r="A216" s="32" t="s">
        <v>141</v>
      </c>
      <c r="B216" s="31" t="s">
        <v>141</v>
      </c>
      <c r="C216" s="34" t="s">
        <v>141</v>
      </c>
      <c r="E216" s="32" t="s">
        <v>141</v>
      </c>
      <c r="F216" s="31" t="s">
        <v>141</v>
      </c>
      <c r="G216" s="34" t="s">
        <v>141</v>
      </c>
    </row>
    <row r="217" spans="1:7">
      <c r="A217" s="32" t="s">
        <v>141</v>
      </c>
      <c r="B217" s="31" t="s">
        <v>141</v>
      </c>
      <c r="C217" s="34" t="s">
        <v>141</v>
      </c>
      <c r="E217" s="32" t="s">
        <v>141</v>
      </c>
      <c r="F217" s="31" t="s">
        <v>141</v>
      </c>
      <c r="G217" s="34" t="s">
        <v>141</v>
      </c>
    </row>
    <row r="218" spans="1:7">
      <c r="A218" s="32" t="s">
        <v>141</v>
      </c>
      <c r="B218" s="31" t="s">
        <v>141</v>
      </c>
      <c r="C218" s="34" t="s">
        <v>141</v>
      </c>
      <c r="E218" s="32" t="s">
        <v>141</v>
      </c>
      <c r="F218" s="31" t="s">
        <v>141</v>
      </c>
      <c r="G218" s="34" t="s">
        <v>141</v>
      </c>
    </row>
    <row r="219" spans="1:7">
      <c r="A219" s="32" t="s">
        <v>141</v>
      </c>
      <c r="B219" s="31" t="s">
        <v>141</v>
      </c>
      <c r="C219" s="34" t="s">
        <v>141</v>
      </c>
      <c r="E219" s="32" t="s">
        <v>141</v>
      </c>
      <c r="F219" s="31" t="s">
        <v>141</v>
      </c>
      <c r="G219" s="34" t="s">
        <v>141</v>
      </c>
    </row>
    <row r="220" spans="1:7">
      <c r="A220" s="32" t="s">
        <v>141</v>
      </c>
      <c r="B220" s="31" t="s">
        <v>141</v>
      </c>
      <c r="C220" s="34" t="s">
        <v>141</v>
      </c>
      <c r="E220" s="32" t="s">
        <v>141</v>
      </c>
      <c r="F220" s="31" t="s">
        <v>141</v>
      </c>
      <c r="G220" s="34" t="s">
        <v>141</v>
      </c>
    </row>
    <row r="221" spans="1:7">
      <c r="A221" s="32" t="s">
        <v>141</v>
      </c>
      <c r="B221" s="31" t="s">
        <v>141</v>
      </c>
      <c r="C221" s="34" t="s">
        <v>141</v>
      </c>
      <c r="E221" s="32" t="s">
        <v>141</v>
      </c>
      <c r="F221" s="31" t="s">
        <v>141</v>
      </c>
      <c r="G221" s="34" t="s">
        <v>141</v>
      </c>
    </row>
    <row r="222" spans="1:7">
      <c r="A222" s="32" t="s">
        <v>141</v>
      </c>
      <c r="B222" s="31" t="s">
        <v>141</v>
      </c>
      <c r="C222" s="34" t="s">
        <v>141</v>
      </c>
      <c r="E222" s="32" t="s">
        <v>141</v>
      </c>
      <c r="F222" s="31" t="s">
        <v>141</v>
      </c>
      <c r="G222" s="34" t="s">
        <v>141</v>
      </c>
    </row>
    <row r="223" spans="1:7">
      <c r="A223" s="32" t="s">
        <v>141</v>
      </c>
      <c r="B223" s="31" t="s">
        <v>141</v>
      </c>
      <c r="C223" s="34" t="s">
        <v>141</v>
      </c>
      <c r="E223" s="32" t="s">
        <v>141</v>
      </c>
      <c r="F223" s="31" t="s">
        <v>141</v>
      </c>
      <c r="G223" s="34" t="s">
        <v>141</v>
      </c>
    </row>
    <row r="224" spans="1:7">
      <c r="A224" s="32" t="s">
        <v>141</v>
      </c>
      <c r="B224" s="31" t="s">
        <v>141</v>
      </c>
      <c r="C224" s="34" t="s">
        <v>141</v>
      </c>
      <c r="E224" s="32" t="s">
        <v>141</v>
      </c>
      <c r="F224" s="31" t="s">
        <v>141</v>
      </c>
      <c r="G224" s="34" t="s">
        <v>141</v>
      </c>
    </row>
    <row r="225" spans="1:7">
      <c r="A225" s="32" t="s">
        <v>141</v>
      </c>
      <c r="B225" s="31" t="s">
        <v>141</v>
      </c>
      <c r="C225" s="34" t="s">
        <v>141</v>
      </c>
      <c r="E225" s="32" t="s">
        <v>141</v>
      </c>
      <c r="F225" s="31" t="s">
        <v>141</v>
      </c>
      <c r="G225" s="34" t="s">
        <v>141</v>
      </c>
    </row>
    <row r="226" spans="1:7">
      <c r="A226" s="32" t="s">
        <v>141</v>
      </c>
      <c r="B226" s="31" t="s">
        <v>141</v>
      </c>
      <c r="C226" s="34" t="s">
        <v>141</v>
      </c>
      <c r="E226" s="32" t="s">
        <v>141</v>
      </c>
      <c r="F226" s="31" t="s">
        <v>141</v>
      </c>
      <c r="G226" s="34" t="s">
        <v>141</v>
      </c>
    </row>
    <row r="227" spans="1:7">
      <c r="A227" s="32" t="s">
        <v>141</v>
      </c>
      <c r="B227" s="31" t="s">
        <v>141</v>
      </c>
      <c r="C227" s="34" t="s">
        <v>141</v>
      </c>
      <c r="E227" s="32" t="s">
        <v>141</v>
      </c>
      <c r="F227" s="31" t="s">
        <v>141</v>
      </c>
      <c r="G227" s="34" t="s">
        <v>141</v>
      </c>
    </row>
    <row r="228" spans="1:7">
      <c r="A228" s="32" t="s">
        <v>141</v>
      </c>
      <c r="B228" s="31" t="s">
        <v>141</v>
      </c>
      <c r="C228" s="34" t="s">
        <v>141</v>
      </c>
      <c r="E228" s="32" t="s">
        <v>141</v>
      </c>
      <c r="F228" s="31" t="s">
        <v>141</v>
      </c>
      <c r="G228" s="34" t="s">
        <v>141</v>
      </c>
    </row>
    <row r="229" spans="1:7">
      <c r="A229" s="32" t="s">
        <v>141</v>
      </c>
      <c r="B229" s="31" t="s">
        <v>141</v>
      </c>
      <c r="C229" s="34" t="s">
        <v>141</v>
      </c>
      <c r="E229" s="32" t="s">
        <v>141</v>
      </c>
      <c r="F229" s="31" t="s">
        <v>141</v>
      </c>
      <c r="G229" s="34" t="s">
        <v>141</v>
      </c>
    </row>
    <row r="230" spans="1:7">
      <c r="A230" s="32" t="s">
        <v>141</v>
      </c>
      <c r="B230" s="31" t="s">
        <v>141</v>
      </c>
      <c r="C230" s="34" t="s">
        <v>141</v>
      </c>
      <c r="E230" s="32" t="s">
        <v>141</v>
      </c>
      <c r="F230" s="31" t="s">
        <v>141</v>
      </c>
      <c r="G230" s="34" t="s">
        <v>141</v>
      </c>
    </row>
    <row r="231" spans="1:7">
      <c r="A231" s="32" t="s">
        <v>141</v>
      </c>
      <c r="B231" s="31" t="s">
        <v>141</v>
      </c>
      <c r="C231" s="34" t="s">
        <v>141</v>
      </c>
      <c r="E231" s="32" t="s">
        <v>141</v>
      </c>
      <c r="F231" s="31" t="s">
        <v>141</v>
      </c>
      <c r="G231" s="34" t="s">
        <v>141</v>
      </c>
    </row>
    <row r="232" spans="1:7">
      <c r="A232" s="32" t="s">
        <v>141</v>
      </c>
      <c r="B232" s="31" t="s">
        <v>141</v>
      </c>
      <c r="C232" s="34" t="s">
        <v>141</v>
      </c>
      <c r="E232" s="32" t="s">
        <v>141</v>
      </c>
      <c r="F232" s="31" t="s">
        <v>141</v>
      </c>
      <c r="G232" s="34" t="s">
        <v>141</v>
      </c>
    </row>
    <row r="233" spans="1:7">
      <c r="A233" s="32" t="s">
        <v>141</v>
      </c>
      <c r="B233" s="31" t="s">
        <v>141</v>
      </c>
      <c r="C233" s="34" t="s">
        <v>141</v>
      </c>
      <c r="E233" s="32" t="s">
        <v>141</v>
      </c>
      <c r="F233" s="31" t="s">
        <v>141</v>
      </c>
      <c r="G233" s="34" t="s">
        <v>141</v>
      </c>
    </row>
    <row r="234" spans="1:7">
      <c r="A234" s="32" t="s">
        <v>141</v>
      </c>
      <c r="B234" s="31" t="s">
        <v>141</v>
      </c>
      <c r="C234" s="34" t="s">
        <v>141</v>
      </c>
      <c r="E234" s="32" t="s">
        <v>141</v>
      </c>
      <c r="F234" s="31" t="s">
        <v>141</v>
      </c>
      <c r="G234" s="34" t="s">
        <v>141</v>
      </c>
    </row>
    <row r="235" spans="1:7">
      <c r="A235" s="32" t="s">
        <v>141</v>
      </c>
      <c r="B235" s="31" t="s">
        <v>141</v>
      </c>
      <c r="C235" s="34" t="s">
        <v>141</v>
      </c>
      <c r="E235" s="32" t="s">
        <v>141</v>
      </c>
      <c r="F235" s="31" t="s">
        <v>141</v>
      </c>
      <c r="G235" s="34" t="s">
        <v>141</v>
      </c>
    </row>
    <row r="236" spans="1:7">
      <c r="A236" s="32" t="s">
        <v>141</v>
      </c>
      <c r="B236" s="31" t="s">
        <v>141</v>
      </c>
      <c r="C236" s="34" t="s">
        <v>141</v>
      </c>
      <c r="E236" s="32" t="s">
        <v>141</v>
      </c>
      <c r="F236" s="31" t="s">
        <v>141</v>
      </c>
      <c r="G236" s="34" t="s">
        <v>141</v>
      </c>
    </row>
    <row r="237" spans="1:7">
      <c r="A237" s="32" t="s">
        <v>141</v>
      </c>
      <c r="B237" s="31" t="s">
        <v>141</v>
      </c>
      <c r="C237" s="34" t="s">
        <v>141</v>
      </c>
      <c r="E237" s="32" t="s">
        <v>141</v>
      </c>
      <c r="F237" s="31" t="s">
        <v>141</v>
      </c>
      <c r="G237" s="34" t="s">
        <v>141</v>
      </c>
    </row>
    <row r="238" spans="1:7">
      <c r="A238" s="32" t="s">
        <v>141</v>
      </c>
      <c r="B238" s="31" t="s">
        <v>141</v>
      </c>
      <c r="C238" s="34" t="s">
        <v>141</v>
      </c>
      <c r="E238" s="32" t="s">
        <v>141</v>
      </c>
      <c r="F238" s="31" t="s">
        <v>141</v>
      </c>
      <c r="G238" s="34" t="s">
        <v>141</v>
      </c>
    </row>
    <row r="239" spans="1:7">
      <c r="A239" s="32" t="s">
        <v>141</v>
      </c>
      <c r="B239" s="31" t="s">
        <v>141</v>
      </c>
      <c r="C239" s="34" t="s">
        <v>141</v>
      </c>
      <c r="E239" s="32" t="s">
        <v>141</v>
      </c>
      <c r="F239" s="31" t="s">
        <v>141</v>
      </c>
      <c r="G239" s="34" t="s">
        <v>141</v>
      </c>
    </row>
    <row r="240" spans="1:7">
      <c r="A240" s="32" t="s">
        <v>141</v>
      </c>
      <c r="B240" s="31" t="s">
        <v>141</v>
      </c>
      <c r="C240" s="34" t="s">
        <v>141</v>
      </c>
      <c r="E240" s="32" t="s">
        <v>141</v>
      </c>
      <c r="F240" s="31" t="s">
        <v>141</v>
      </c>
      <c r="G240" s="34" t="s">
        <v>141</v>
      </c>
    </row>
    <row r="241" spans="1:7">
      <c r="A241" s="32" t="s">
        <v>141</v>
      </c>
      <c r="B241" s="31" t="s">
        <v>141</v>
      </c>
      <c r="C241" s="34" t="s">
        <v>141</v>
      </c>
      <c r="E241" s="32" t="s">
        <v>141</v>
      </c>
      <c r="F241" s="31" t="s">
        <v>141</v>
      </c>
      <c r="G241" s="34" t="s">
        <v>141</v>
      </c>
    </row>
    <row r="242" spans="1:7">
      <c r="A242" s="32" t="s">
        <v>141</v>
      </c>
      <c r="B242" s="31" t="s">
        <v>141</v>
      </c>
      <c r="C242" s="34" t="s">
        <v>141</v>
      </c>
      <c r="E242" s="32" t="s">
        <v>141</v>
      </c>
      <c r="F242" s="31" t="s">
        <v>141</v>
      </c>
      <c r="G242" s="34" t="s">
        <v>141</v>
      </c>
    </row>
    <row r="243" spans="1:7">
      <c r="A243" s="32" t="s">
        <v>141</v>
      </c>
      <c r="B243" s="31" t="s">
        <v>141</v>
      </c>
      <c r="C243" s="34" t="s">
        <v>141</v>
      </c>
      <c r="E243" s="32" t="s">
        <v>141</v>
      </c>
      <c r="F243" s="31" t="s">
        <v>141</v>
      </c>
      <c r="G243" s="34" t="s">
        <v>141</v>
      </c>
    </row>
    <row r="244" spans="1:7">
      <c r="A244" s="32" t="s">
        <v>141</v>
      </c>
      <c r="B244" s="31" t="s">
        <v>141</v>
      </c>
      <c r="C244" s="34" t="s">
        <v>141</v>
      </c>
      <c r="E244" s="32" t="s">
        <v>141</v>
      </c>
      <c r="F244" s="31" t="s">
        <v>141</v>
      </c>
      <c r="G244" s="34" t="s">
        <v>141</v>
      </c>
    </row>
    <row r="245" spans="1:7">
      <c r="A245" s="32" t="s">
        <v>141</v>
      </c>
      <c r="B245" s="31" t="s">
        <v>141</v>
      </c>
      <c r="C245" s="34" t="s">
        <v>141</v>
      </c>
      <c r="E245" s="32" t="s">
        <v>141</v>
      </c>
      <c r="F245" s="31" t="s">
        <v>141</v>
      </c>
      <c r="G245" s="34" t="s">
        <v>141</v>
      </c>
    </row>
    <row r="246" spans="1:7">
      <c r="A246" s="32" t="s">
        <v>141</v>
      </c>
      <c r="B246" s="31" t="s">
        <v>141</v>
      </c>
      <c r="C246" s="34" t="s">
        <v>141</v>
      </c>
      <c r="E246" s="32" t="s">
        <v>141</v>
      </c>
      <c r="F246" s="31" t="s">
        <v>141</v>
      </c>
      <c r="G246" s="34" t="s">
        <v>141</v>
      </c>
    </row>
    <row r="247" spans="1:7">
      <c r="A247" s="32" t="s">
        <v>141</v>
      </c>
      <c r="B247" s="31" t="s">
        <v>141</v>
      </c>
      <c r="C247" s="34" t="s">
        <v>141</v>
      </c>
      <c r="E247" s="32" t="s">
        <v>141</v>
      </c>
      <c r="F247" s="31" t="s">
        <v>141</v>
      </c>
      <c r="G247" s="34" t="s">
        <v>141</v>
      </c>
    </row>
    <row r="248" spans="1:7">
      <c r="A248" s="32" t="s">
        <v>141</v>
      </c>
      <c r="B248" s="31" t="s">
        <v>141</v>
      </c>
      <c r="C248" s="34" t="s">
        <v>141</v>
      </c>
      <c r="E248" s="32" t="s">
        <v>141</v>
      </c>
      <c r="F248" s="31" t="s">
        <v>141</v>
      </c>
      <c r="G248" s="34" t="s">
        <v>141</v>
      </c>
    </row>
    <row r="249" spans="1:7">
      <c r="A249" s="32" t="s">
        <v>141</v>
      </c>
      <c r="B249" s="31" t="s">
        <v>141</v>
      </c>
      <c r="C249" s="34" t="s">
        <v>141</v>
      </c>
      <c r="E249" s="32" t="s">
        <v>141</v>
      </c>
      <c r="F249" s="31" t="s">
        <v>141</v>
      </c>
      <c r="G249" s="34" t="s">
        <v>141</v>
      </c>
    </row>
    <row r="250" spans="1:7">
      <c r="A250" s="32" t="s">
        <v>141</v>
      </c>
      <c r="B250" s="31" t="s">
        <v>141</v>
      </c>
      <c r="C250" s="34" t="s">
        <v>141</v>
      </c>
      <c r="E250" s="32" t="s">
        <v>141</v>
      </c>
      <c r="F250" s="31" t="s">
        <v>141</v>
      </c>
      <c r="G250" s="34" t="s">
        <v>141</v>
      </c>
    </row>
    <row r="251" spans="1:7">
      <c r="A251" s="32" t="s">
        <v>141</v>
      </c>
      <c r="B251" s="31" t="s">
        <v>141</v>
      </c>
      <c r="C251" s="34" t="s">
        <v>141</v>
      </c>
      <c r="E251" s="32" t="s">
        <v>141</v>
      </c>
      <c r="F251" s="31" t="s">
        <v>141</v>
      </c>
      <c r="G251" s="34" t="s">
        <v>141</v>
      </c>
    </row>
    <row r="252" spans="1:7">
      <c r="A252" s="32" t="s">
        <v>141</v>
      </c>
      <c r="B252" s="31" t="s">
        <v>141</v>
      </c>
      <c r="C252" s="34" t="s">
        <v>141</v>
      </c>
      <c r="E252" s="32" t="s">
        <v>141</v>
      </c>
      <c r="F252" s="31" t="s">
        <v>141</v>
      </c>
      <c r="G252" s="34" t="s">
        <v>141</v>
      </c>
    </row>
    <row r="253" spans="1:7">
      <c r="A253" s="32" t="s">
        <v>141</v>
      </c>
      <c r="B253" s="31" t="s">
        <v>141</v>
      </c>
      <c r="C253" s="34" t="s">
        <v>141</v>
      </c>
      <c r="E253" s="32" t="s">
        <v>141</v>
      </c>
      <c r="F253" s="31" t="s">
        <v>141</v>
      </c>
      <c r="G253" s="34" t="s">
        <v>141</v>
      </c>
    </row>
    <row r="254" spans="1:7">
      <c r="A254" s="32" t="s">
        <v>141</v>
      </c>
      <c r="B254" s="31" t="s">
        <v>141</v>
      </c>
      <c r="C254" s="34" t="s">
        <v>141</v>
      </c>
      <c r="E254" s="32" t="s">
        <v>141</v>
      </c>
      <c r="F254" s="31" t="s">
        <v>141</v>
      </c>
      <c r="G254" s="34" t="s">
        <v>141</v>
      </c>
    </row>
    <row r="255" spans="1:7">
      <c r="A255" s="32" t="s">
        <v>141</v>
      </c>
      <c r="B255" s="31" t="s">
        <v>141</v>
      </c>
      <c r="C255" s="34" t="s">
        <v>141</v>
      </c>
      <c r="E255" s="32" t="s">
        <v>141</v>
      </c>
      <c r="F255" s="31" t="s">
        <v>141</v>
      </c>
      <c r="G255" s="34" t="s">
        <v>141</v>
      </c>
    </row>
    <row r="256" spans="1:7">
      <c r="A256" s="32" t="s">
        <v>141</v>
      </c>
      <c r="B256" s="31" t="s">
        <v>141</v>
      </c>
      <c r="C256" s="34" t="s">
        <v>141</v>
      </c>
      <c r="E256" s="32" t="s">
        <v>141</v>
      </c>
      <c r="F256" s="31" t="s">
        <v>141</v>
      </c>
      <c r="G256" s="34" t="s">
        <v>141</v>
      </c>
    </row>
    <row r="257" spans="1:7">
      <c r="A257" s="32" t="s">
        <v>141</v>
      </c>
      <c r="B257" s="31" t="s">
        <v>141</v>
      </c>
      <c r="C257" s="34" t="s">
        <v>141</v>
      </c>
      <c r="E257" s="32" t="s">
        <v>141</v>
      </c>
      <c r="F257" s="31" t="s">
        <v>141</v>
      </c>
      <c r="G257" s="34" t="s">
        <v>141</v>
      </c>
    </row>
    <row r="258" spans="1:7">
      <c r="A258" s="32" t="s">
        <v>141</v>
      </c>
      <c r="B258" s="31" t="s">
        <v>141</v>
      </c>
      <c r="C258" s="34" t="s">
        <v>141</v>
      </c>
      <c r="E258" s="32" t="s">
        <v>141</v>
      </c>
      <c r="F258" s="31" t="s">
        <v>141</v>
      </c>
      <c r="G258" s="34" t="s">
        <v>141</v>
      </c>
    </row>
    <row r="259" spans="1:7">
      <c r="A259" s="32" t="s">
        <v>141</v>
      </c>
      <c r="B259" s="31" t="s">
        <v>141</v>
      </c>
      <c r="C259" s="34" t="s">
        <v>141</v>
      </c>
      <c r="E259" s="32" t="s">
        <v>141</v>
      </c>
      <c r="F259" s="31" t="s">
        <v>141</v>
      </c>
      <c r="G259" s="34" t="s">
        <v>141</v>
      </c>
    </row>
    <row r="260" spans="1:7">
      <c r="A260" s="32" t="s">
        <v>141</v>
      </c>
      <c r="B260" s="31" t="s">
        <v>141</v>
      </c>
      <c r="C260" s="34" t="s">
        <v>141</v>
      </c>
      <c r="E260" s="32" t="s">
        <v>141</v>
      </c>
      <c r="F260" s="31" t="s">
        <v>141</v>
      </c>
      <c r="G260" s="34" t="s">
        <v>141</v>
      </c>
    </row>
    <row r="261" spans="1:7">
      <c r="A261" s="32" t="s">
        <v>141</v>
      </c>
      <c r="B261" s="31" t="s">
        <v>141</v>
      </c>
      <c r="C261" s="34" t="s">
        <v>141</v>
      </c>
      <c r="E261" s="32" t="s">
        <v>141</v>
      </c>
      <c r="F261" s="31" t="s">
        <v>141</v>
      </c>
      <c r="G261" s="34" t="s">
        <v>141</v>
      </c>
    </row>
    <row r="262" spans="1:7">
      <c r="A262" s="32" t="s">
        <v>141</v>
      </c>
      <c r="B262" s="31" t="s">
        <v>141</v>
      </c>
      <c r="C262" s="34" t="s">
        <v>141</v>
      </c>
      <c r="E262" s="32" t="s">
        <v>141</v>
      </c>
      <c r="F262" s="31" t="s">
        <v>141</v>
      </c>
      <c r="G262" s="34" t="s">
        <v>141</v>
      </c>
    </row>
    <row r="263" spans="1:7">
      <c r="A263" s="32" t="s">
        <v>141</v>
      </c>
      <c r="B263" s="31" t="s">
        <v>141</v>
      </c>
      <c r="C263" s="34" t="s">
        <v>141</v>
      </c>
      <c r="E263" s="32" t="s">
        <v>141</v>
      </c>
      <c r="F263" s="31" t="s">
        <v>141</v>
      </c>
      <c r="G263" s="34" t="s">
        <v>141</v>
      </c>
    </row>
    <row r="264" spans="1:7">
      <c r="A264" s="32" t="s">
        <v>141</v>
      </c>
      <c r="B264" s="31" t="s">
        <v>141</v>
      </c>
      <c r="C264" s="34" t="s">
        <v>141</v>
      </c>
      <c r="E264" s="32" t="s">
        <v>141</v>
      </c>
      <c r="F264" s="31" t="s">
        <v>141</v>
      </c>
      <c r="G264" s="34" t="s">
        <v>141</v>
      </c>
    </row>
    <row r="265" spans="1:7">
      <c r="A265" s="32" t="s">
        <v>141</v>
      </c>
      <c r="B265" s="31" t="s">
        <v>141</v>
      </c>
      <c r="C265" s="34" t="s">
        <v>141</v>
      </c>
      <c r="E265" s="32" t="s">
        <v>141</v>
      </c>
      <c r="F265" s="31" t="s">
        <v>141</v>
      </c>
      <c r="G265" s="34" t="s">
        <v>141</v>
      </c>
    </row>
    <row r="266" spans="1:7">
      <c r="A266" s="32" t="s">
        <v>141</v>
      </c>
      <c r="B266" s="31" t="s">
        <v>141</v>
      </c>
      <c r="C266" s="34" t="s">
        <v>141</v>
      </c>
      <c r="E266" s="32" t="s">
        <v>141</v>
      </c>
      <c r="F266" s="31" t="s">
        <v>141</v>
      </c>
      <c r="G266" s="34" t="s">
        <v>141</v>
      </c>
    </row>
    <row r="267" spans="1:7">
      <c r="A267" s="32" t="s">
        <v>141</v>
      </c>
      <c r="B267" s="31" t="s">
        <v>141</v>
      </c>
      <c r="C267" s="34" t="s">
        <v>141</v>
      </c>
      <c r="E267" s="32" t="s">
        <v>141</v>
      </c>
      <c r="F267" s="31" t="s">
        <v>141</v>
      </c>
      <c r="G267" s="34" t="s">
        <v>141</v>
      </c>
    </row>
    <row r="268" spans="1:7">
      <c r="A268" s="32" t="s">
        <v>141</v>
      </c>
      <c r="B268" s="31" t="s">
        <v>141</v>
      </c>
      <c r="C268" s="34" t="s">
        <v>141</v>
      </c>
      <c r="E268" s="32" t="s">
        <v>141</v>
      </c>
      <c r="F268" s="31" t="s">
        <v>141</v>
      </c>
      <c r="G268" s="34" t="s">
        <v>141</v>
      </c>
    </row>
    <row r="269" spans="1:7">
      <c r="A269" s="32" t="s">
        <v>141</v>
      </c>
      <c r="B269" s="31" t="s">
        <v>141</v>
      </c>
      <c r="C269" s="34" t="s">
        <v>141</v>
      </c>
      <c r="E269" s="32" t="s">
        <v>141</v>
      </c>
      <c r="F269" s="31" t="s">
        <v>141</v>
      </c>
      <c r="G269" s="34" t="s">
        <v>141</v>
      </c>
    </row>
    <row r="270" spans="1:7">
      <c r="A270" s="32" t="s">
        <v>141</v>
      </c>
      <c r="B270" s="31" t="s">
        <v>141</v>
      </c>
      <c r="C270" s="34" t="s">
        <v>141</v>
      </c>
      <c r="E270" s="32" t="s">
        <v>141</v>
      </c>
      <c r="F270" s="31" t="s">
        <v>141</v>
      </c>
      <c r="G270" s="34" t="s">
        <v>141</v>
      </c>
    </row>
    <row r="271" spans="1:7">
      <c r="A271" s="32" t="s">
        <v>141</v>
      </c>
      <c r="B271" s="31" t="s">
        <v>141</v>
      </c>
      <c r="C271" s="34" t="s">
        <v>141</v>
      </c>
      <c r="E271" s="32" t="s">
        <v>141</v>
      </c>
      <c r="F271" s="31" t="s">
        <v>141</v>
      </c>
      <c r="G271" s="34" t="s">
        <v>141</v>
      </c>
    </row>
    <row r="272" spans="1:7">
      <c r="A272" s="32" t="s">
        <v>141</v>
      </c>
      <c r="B272" s="31" t="s">
        <v>141</v>
      </c>
      <c r="C272" s="34" t="s">
        <v>141</v>
      </c>
      <c r="E272" s="32" t="s">
        <v>141</v>
      </c>
      <c r="F272" s="31" t="s">
        <v>141</v>
      </c>
      <c r="G272" s="34" t="s">
        <v>141</v>
      </c>
    </row>
    <row r="273" spans="1:7">
      <c r="A273" s="32" t="s">
        <v>141</v>
      </c>
      <c r="B273" s="31" t="s">
        <v>141</v>
      </c>
      <c r="C273" s="34" t="s">
        <v>141</v>
      </c>
      <c r="E273" s="32" t="s">
        <v>141</v>
      </c>
      <c r="F273" s="31" t="s">
        <v>141</v>
      </c>
      <c r="G273" s="34" t="s">
        <v>141</v>
      </c>
    </row>
    <row r="274" spans="1:7">
      <c r="A274" s="32" t="s">
        <v>141</v>
      </c>
      <c r="B274" s="31" t="s">
        <v>141</v>
      </c>
      <c r="C274" s="34" t="s">
        <v>141</v>
      </c>
      <c r="E274" s="32" t="s">
        <v>141</v>
      </c>
      <c r="F274" s="31" t="s">
        <v>141</v>
      </c>
      <c r="G274" s="34" t="s">
        <v>141</v>
      </c>
    </row>
    <row r="275" spans="1:7">
      <c r="A275" s="32" t="s">
        <v>141</v>
      </c>
      <c r="B275" s="31" t="s">
        <v>141</v>
      </c>
      <c r="C275" s="34" t="s">
        <v>141</v>
      </c>
      <c r="E275" s="32" t="s">
        <v>141</v>
      </c>
      <c r="F275" s="31" t="s">
        <v>141</v>
      </c>
      <c r="G275" s="34" t="s">
        <v>141</v>
      </c>
    </row>
    <row r="276" spans="1:7">
      <c r="A276" s="32" t="s">
        <v>141</v>
      </c>
      <c r="B276" s="31" t="s">
        <v>141</v>
      </c>
      <c r="C276" s="34" t="s">
        <v>141</v>
      </c>
      <c r="E276" s="32" t="s">
        <v>141</v>
      </c>
      <c r="F276" s="31" t="s">
        <v>141</v>
      </c>
      <c r="G276" s="34" t="s">
        <v>141</v>
      </c>
    </row>
    <row r="277" spans="1:7">
      <c r="A277" s="32" t="s">
        <v>141</v>
      </c>
      <c r="B277" s="31" t="s">
        <v>141</v>
      </c>
      <c r="C277" s="34" t="s">
        <v>141</v>
      </c>
      <c r="E277" s="32" t="s">
        <v>141</v>
      </c>
      <c r="F277" s="31" t="s">
        <v>141</v>
      </c>
      <c r="G277" s="34" t="s">
        <v>141</v>
      </c>
    </row>
    <row r="278" spans="1:7">
      <c r="A278" s="32" t="s">
        <v>141</v>
      </c>
      <c r="B278" s="31" t="s">
        <v>141</v>
      </c>
      <c r="C278" s="34" t="s">
        <v>141</v>
      </c>
      <c r="E278" s="32" t="s">
        <v>141</v>
      </c>
      <c r="F278" s="31" t="s">
        <v>141</v>
      </c>
      <c r="G278" s="34" t="s">
        <v>141</v>
      </c>
    </row>
    <row r="279" spans="1:7">
      <c r="A279" s="32" t="s">
        <v>141</v>
      </c>
      <c r="B279" s="31" t="s">
        <v>141</v>
      </c>
      <c r="C279" s="34" t="s">
        <v>141</v>
      </c>
      <c r="E279" s="32" t="s">
        <v>141</v>
      </c>
      <c r="F279" s="31" t="s">
        <v>141</v>
      </c>
      <c r="G279" s="34" t="s">
        <v>141</v>
      </c>
    </row>
    <row r="280" spans="1:7">
      <c r="A280" s="32" t="s">
        <v>141</v>
      </c>
      <c r="B280" s="31" t="s">
        <v>141</v>
      </c>
      <c r="C280" s="34" t="s">
        <v>141</v>
      </c>
      <c r="E280" s="32" t="s">
        <v>141</v>
      </c>
      <c r="F280" s="31" t="s">
        <v>141</v>
      </c>
      <c r="G280" s="34" t="s">
        <v>141</v>
      </c>
    </row>
    <row r="281" spans="1:7">
      <c r="A281" s="32" t="s">
        <v>141</v>
      </c>
      <c r="B281" s="31" t="s">
        <v>141</v>
      </c>
      <c r="C281" s="34" t="s">
        <v>141</v>
      </c>
      <c r="E281" s="32" t="s">
        <v>141</v>
      </c>
      <c r="F281" s="31" t="s">
        <v>141</v>
      </c>
      <c r="G281" s="34" t="s">
        <v>141</v>
      </c>
    </row>
    <row r="282" spans="1:7">
      <c r="A282" s="32" t="s">
        <v>141</v>
      </c>
      <c r="B282" s="31" t="s">
        <v>141</v>
      </c>
      <c r="C282" s="34" t="s">
        <v>141</v>
      </c>
      <c r="E282" s="32" t="s">
        <v>141</v>
      </c>
      <c r="F282" s="31" t="s">
        <v>141</v>
      </c>
      <c r="G282" s="34" t="s">
        <v>141</v>
      </c>
    </row>
    <row r="283" spans="1:7">
      <c r="A283" s="32" t="s">
        <v>141</v>
      </c>
      <c r="B283" s="31" t="s">
        <v>141</v>
      </c>
      <c r="C283" s="34" t="s">
        <v>141</v>
      </c>
      <c r="E283" s="32" t="s">
        <v>141</v>
      </c>
      <c r="F283" s="31" t="s">
        <v>141</v>
      </c>
      <c r="G283" s="34" t="s">
        <v>141</v>
      </c>
    </row>
    <row r="284" spans="1:7">
      <c r="A284" s="32" t="s">
        <v>141</v>
      </c>
      <c r="B284" s="31" t="s">
        <v>141</v>
      </c>
      <c r="C284" s="34" t="s">
        <v>141</v>
      </c>
      <c r="E284" s="32" t="s">
        <v>141</v>
      </c>
      <c r="F284" s="31" t="s">
        <v>141</v>
      </c>
      <c r="G284" s="34" t="s">
        <v>141</v>
      </c>
    </row>
    <row r="285" spans="1:7">
      <c r="A285" s="32" t="s">
        <v>141</v>
      </c>
      <c r="B285" s="31" t="s">
        <v>141</v>
      </c>
      <c r="C285" s="34" t="s">
        <v>141</v>
      </c>
      <c r="E285" s="32" t="s">
        <v>141</v>
      </c>
      <c r="F285" s="31" t="s">
        <v>141</v>
      </c>
      <c r="G285" s="34" t="s">
        <v>141</v>
      </c>
    </row>
    <row r="286" spans="1:7">
      <c r="A286" s="32" t="s">
        <v>141</v>
      </c>
      <c r="B286" s="31" t="s">
        <v>141</v>
      </c>
      <c r="C286" s="34" t="s">
        <v>141</v>
      </c>
      <c r="E286" s="32" t="s">
        <v>141</v>
      </c>
      <c r="F286" s="31" t="s">
        <v>141</v>
      </c>
      <c r="G286" s="34" t="s">
        <v>141</v>
      </c>
    </row>
    <row r="287" spans="1:7">
      <c r="A287" s="32" t="s">
        <v>141</v>
      </c>
      <c r="B287" s="31" t="s">
        <v>141</v>
      </c>
      <c r="C287" s="34" t="s">
        <v>141</v>
      </c>
      <c r="E287" s="32" t="s">
        <v>141</v>
      </c>
      <c r="F287" s="31" t="s">
        <v>141</v>
      </c>
      <c r="G287" s="34" t="s">
        <v>141</v>
      </c>
    </row>
    <row r="288" spans="1:7">
      <c r="A288" s="32" t="s">
        <v>141</v>
      </c>
      <c r="B288" s="31" t="s">
        <v>141</v>
      </c>
      <c r="C288" s="34" t="s">
        <v>141</v>
      </c>
      <c r="E288" s="32" t="s">
        <v>141</v>
      </c>
      <c r="F288" s="31" t="s">
        <v>141</v>
      </c>
      <c r="G288" s="34" t="s">
        <v>141</v>
      </c>
    </row>
    <row r="289" spans="1:7">
      <c r="A289" s="32" t="s">
        <v>141</v>
      </c>
      <c r="B289" s="31" t="s">
        <v>141</v>
      </c>
      <c r="C289" s="34" t="s">
        <v>141</v>
      </c>
      <c r="E289" s="32" t="s">
        <v>141</v>
      </c>
      <c r="F289" s="31" t="s">
        <v>141</v>
      </c>
      <c r="G289" s="34" t="s">
        <v>141</v>
      </c>
    </row>
    <row r="290" spans="1:7">
      <c r="A290" s="32" t="s">
        <v>141</v>
      </c>
      <c r="B290" s="31" t="s">
        <v>141</v>
      </c>
      <c r="C290" s="34" t="s">
        <v>141</v>
      </c>
      <c r="E290" s="32" t="s">
        <v>141</v>
      </c>
      <c r="F290" s="31" t="s">
        <v>141</v>
      </c>
      <c r="G290" s="34" t="s">
        <v>141</v>
      </c>
    </row>
    <row r="291" spans="1:7">
      <c r="A291" s="32" t="s">
        <v>141</v>
      </c>
      <c r="B291" s="31" t="s">
        <v>141</v>
      </c>
      <c r="C291" s="34" t="s">
        <v>141</v>
      </c>
      <c r="E291" s="32" t="s">
        <v>141</v>
      </c>
      <c r="F291" s="31" t="s">
        <v>141</v>
      </c>
      <c r="G291" s="34" t="s">
        <v>141</v>
      </c>
    </row>
    <row r="292" spans="1:7">
      <c r="A292" s="32" t="s">
        <v>141</v>
      </c>
      <c r="B292" s="31" t="s">
        <v>141</v>
      </c>
      <c r="C292" s="34" t="s">
        <v>141</v>
      </c>
      <c r="E292" s="32" t="s">
        <v>141</v>
      </c>
      <c r="F292" s="31" t="s">
        <v>141</v>
      </c>
      <c r="G292" s="34" t="s">
        <v>141</v>
      </c>
    </row>
    <row r="293" spans="1:7">
      <c r="A293" s="32" t="s">
        <v>141</v>
      </c>
      <c r="B293" s="31" t="s">
        <v>141</v>
      </c>
      <c r="C293" s="34" t="s">
        <v>141</v>
      </c>
      <c r="E293" s="32" t="s">
        <v>141</v>
      </c>
      <c r="F293" s="31" t="s">
        <v>141</v>
      </c>
      <c r="G293" s="34" t="s">
        <v>141</v>
      </c>
    </row>
    <row r="294" spans="1:7">
      <c r="A294" s="32" t="s">
        <v>141</v>
      </c>
      <c r="B294" s="31" t="s">
        <v>141</v>
      </c>
      <c r="C294" s="34" t="s">
        <v>141</v>
      </c>
      <c r="E294" s="32" t="s">
        <v>141</v>
      </c>
      <c r="F294" s="31" t="s">
        <v>141</v>
      </c>
      <c r="G294" s="34" t="s">
        <v>141</v>
      </c>
    </row>
    <row r="295" spans="1:7">
      <c r="A295" s="32" t="s">
        <v>141</v>
      </c>
      <c r="B295" s="31" t="s">
        <v>141</v>
      </c>
      <c r="C295" s="34" t="s">
        <v>141</v>
      </c>
      <c r="E295" s="32" t="s">
        <v>141</v>
      </c>
      <c r="F295" s="31" t="s">
        <v>141</v>
      </c>
      <c r="G295" s="34" t="s">
        <v>141</v>
      </c>
    </row>
    <row r="296" spans="1:7">
      <c r="A296" s="32" t="s">
        <v>141</v>
      </c>
      <c r="B296" s="31" t="s">
        <v>141</v>
      </c>
      <c r="C296" s="34" t="s">
        <v>141</v>
      </c>
      <c r="E296" s="32" t="s">
        <v>141</v>
      </c>
      <c r="F296" s="31" t="s">
        <v>141</v>
      </c>
      <c r="G296" s="34" t="s">
        <v>141</v>
      </c>
    </row>
    <row r="297" spans="1:7">
      <c r="A297" s="32" t="s">
        <v>141</v>
      </c>
      <c r="B297" s="31" t="s">
        <v>141</v>
      </c>
      <c r="C297" s="34" t="s">
        <v>141</v>
      </c>
      <c r="E297" s="32" t="s">
        <v>141</v>
      </c>
      <c r="F297" s="31" t="s">
        <v>141</v>
      </c>
      <c r="G297" s="34" t="s">
        <v>141</v>
      </c>
    </row>
    <row r="298" spans="1:7">
      <c r="A298" s="32" t="s">
        <v>141</v>
      </c>
      <c r="B298" s="31" t="s">
        <v>141</v>
      </c>
      <c r="C298" s="34" t="s">
        <v>141</v>
      </c>
      <c r="E298" s="32" t="s">
        <v>141</v>
      </c>
      <c r="F298" s="31" t="s">
        <v>141</v>
      </c>
      <c r="G298" s="34" t="s">
        <v>141</v>
      </c>
    </row>
    <row r="299" spans="1:7">
      <c r="A299" s="32" t="s">
        <v>141</v>
      </c>
      <c r="B299" s="31" t="s">
        <v>141</v>
      </c>
      <c r="C299" s="34" t="s">
        <v>141</v>
      </c>
      <c r="E299" s="32" t="s">
        <v>141</v>
      </c>
      <c r="F299" s="31" t="s">
        <v>141</v>
      </c>
      <c r="G299" s="34" t="s">
        <v>141</v>
      </c>
    </row>
    <row r="300" spans="1:7">
      <c r="A300" s="32" t="s">
        <v>141</v>
      </c>
      <c r="B300" s="31" t="s">
        <v>141</v>
      </c>
      <c r="C300" s="34" t="s">
        <v>141</v>
      </c>
      <c r="E300" s="32" t="s">
        <v>141</v>
      </c>
      <c r="F300" s="31" t="s">
        <v>141</v>
      </c>
      <c r="G300" s="34" t="s">
        <v>141</v>
      </c>
    </row>
    <row r="301" spans="1:7">
      <c r="A301" s="32" t="s">
        <v>141</v>
      </c>
      <c r="B301" s="31" t="s">
        <v>141</v>
      </c>
      <c r="C301" s="34" t="s">
        <v>141</v>
      </c>
      <c r="E301" s="32" t="s">
        <v>141</v>
      </c>
      <c r="F301" s="31" t="s">
        <v>141</v>
      </c>
      <c r="G301" s="34" t="s">
        <v>141</v>
      </c>
    </row>
    <row r="302" spans="1:7">
      <c r="A302" s="32" t="s">
        <v>141</v>
      </c>
      <c r="B302" s="31" t="s">
        <v>141</v>
      </c>
      <c r="C302" s="34" t="s">
        <v>141</v>
      </c>
      <c r="E302" s="32" t="s">
        <v>141</v>
      </c>
      <c r="F302" s="31" t="s">
        <v>141</v>
      </c>
      <c r="G302" s="34" t="s">
        <v>141</v>
      </c>
    </row>
    <row r="303" spans="1:7">
      <c r="A303" s="32" t="s">
        <v>141</v>
      </c>
      <c r="B303" s="31" t="s">
        <v>141</v>
      </c>
      <c r="C303" s="34" t="s">
        <v>141</v>
      </c>
      <c r="E303" s="32" t="s">
        <v>141</v>
      </c>
      <c r="F303" s="31" t="s">
        <v>141</v>
      </c>
      <c r="G303" s="34" t="s">
        <v>141</v>
      </c>
    </row>
    <row r="304" spans="1:7">
      <c r="A304" s="32" t="s">
        <v>141</v>
      </c>
      <c r="B304" s="31" t="s">
        <v>141</v>
      </c>
      <c r="C304" s="34" t="s">
        <v>141</v>
      </c>
      <c r="E304" s="32" t="s">
        <v>141</v>
      </c>
      <c r="F304" s="31" t="s">
        <v>141</v>
      </c>
      <c r="G304" s="34" t="s">
        <v>141</v>
      </c>
    </row>
    <row r="305" spans="1:5">
      <c r="A305" s="33"/>
      <c r="E305" s="33"/>
    </row>
    <row r="306" spans="1:5">
      <c r="A306" s="33"/>
      <c r="E306" s="33"/>
    </row>
    <row r="307" spans="1:5">
      <c r="A307" s="33"/>
      <c r="E307" s="33"/>
    </row>
    <row r="308" spans="1:5">
      <c r="A308" s="33"/>
      <c r="E308" s="33"/>
    </row>
    <row r="309" spans="1:5">
      <c r="A309" s="33"/>
      <c r="E309" s="33"/>
    </row>
    <row r="310" spans="1:5">
      <c r="A310" s="33"/>
      <c r="E310" s="33"/>
    </row>
    <row r="311" spans="1:5">
      <c r="A311" s="33"/>
      <c r="E311" s="33"/>
    </row>
    <row r="312" spans="1:5">
      <c r="A312" s="33"/>
      <c r="E312" s="33"/>
    </row>
    <row r="313" spans="1:5">
      <c r="A313" s="33"/>
      <c r="E313" s="33"/>
    </row>
    <row r="314" spans="1:5">
      <c r="A314" s="33"/>
      <c r="E314" s="33"/>
    </row>
    <row r="315" spans="1:5">
      <c r="A315" s="33"/>
      <c r="E315" s="33"/>
    </row>
    <row r="316" spans="1:5">
      <c r="A316" s="33"/>
      <c r="E316" s="33"/>
    </row>
    <row r="317" spans="1:5">
      <c r="A317" s="33"/>
      <c r="E317" s="33"/>
    </row>
    <row r="318" spans="1:5">
      <c r="A318" s="33"/>
      <c r="E318" s="33"/>
    </row>
    <row r="319" spans="1:5">
      <c r="A319" s="33"/>
      <c r="E319" s="33"/>
    </row>
    <row r="320" spans="1:5">
      <c r="A320" s="33"/>
      <c r="E320" s="33"/>
    </row>
    <row r="321" spans="1:5">
      <c r="A321" s="33"/>
      <c r="E321" s="33"/>
    </row>
    <row r="322" spans="1:5">
      <c r="A322" s="33"/>
      <c r="E322" s="33"/>
    </row>
    <row r="323" spans="1:5">
      <c r="A323" s="33"/>
      <c r="E323" s="33"/>
    </row>
    <row r="324" spans="1:5">
      <c r="A324" s="33"/>
      <c r="E324" s="33"/>
    </row>
    <row r="325" spans="1:5">
      <c r="A325" s="33"/>
      <c r="E325" s="33"/>
    </row>
    <row r="326" spans="1:5">
      <c r="A326" s="33"/>
      <c r="E326" s="33"/>
    </row>
    <row r="327" spans="1:5">
      <c r="A327" s="33"/>
      <c r="E327" s="33"/>
    </row>
    <row r="328" spans="1:5">
      <c r="A328" s="33"/>
      <c r="E328" s="33"/>
    </row>
    <row r="329" spans="1:5">
      <c r="A329" s="33"/>
      <c r="E329" s="33"/>
    </row>
    <row r="330" spans="1:5">
      <c r="A330" s="33"/>
      <c r="E330" s="33"/>
    </row>
    <row r="331" spans="1:5">
      <c r="A331" s="33"/>
      <c r="E331" s="33"/>
    </row>
    <row r="332" spans="1:5">
      <c r="A332" s="33"/>
      <c r="E332" s="33"/>
    </row>
    <row r="333" spans="1:5">
      <c r="A333" s="33"/>
      <c r="E333" s="33"/>
    </row>
    <row r="334" spans="1:5">
      <c r="A334" s="33"/>
      <c r="E334" s="33"/>
    </row>
    <row r="335" spans="1:5">
      <c r="A335" s="33"/>
      <c r="E335" s="33"/>
    </row>
    <row r="336" spans="1:5">
      <c r="A336" s="33"/>
      <c r="E336" s="33"/>
    </row>
    <row r="337" spans="1:5">
      <c r="A337" s="33"/>
      <c r="E337" s="33"/>
    </row>
    <row r="338" spans="1:5">
      <c r="A338" s="33"/>
      <c r="E338" s="33"/>
    </row>
    <row r="339" spans="1:5">
      <c r="A339" s="33"/>
      <c r="E339" s="33"/>
    </row>
    <row r="340" spans="1:5">
      <c r="A340" s="33"/>
      <c r="E340" s="33"/>
    </row>
    <row r="341" spans="1:5">
      <c r="A341" s="33"/>
      <c r="E341" s="33"/>
    </row>
    <row r="342" spans="1:5">
      <c r="A342" s="33"/>
      <c r="E342" s="33"/>
    </row>
    <row r="343" spans="1:5">
      <c r="A343" s="33"/>
      <c r="E343" s="33"/>
    </row>
    <row r="344" spans="1:5">
      <c r="A344" s="33"/>
      <c r="E344" s="33"/>
    </row>
    <row r="345" spans="1:5">
      <c r="A345" s="33"/>
      <c r="E345" s="33"/>
    </row>
    <row r="346" spans="1:5">
      <c r="A346" s="33"/>
      <c r="E346" s="33"/>
    </row>
    <row r="347" spans="1:5">
      <c r="A347" s="33"/>
      <c r="E347" s="33"/>
    </row>
    <row r="348" spans="1:5">
      <c r="A348" s="33"/>
      <c r="E348" s="33"/>
    </row>
    <row r="349" spans="1:5">
      <c r="A349" s="33"/>
      <c r="E349" s="33"/>
    </row>
    <row r="350" spans="1:5">
      <c r="A350" s="33"/>
      <c r="E350" s="33"/>
    </row>
    <row r="351" spans="1:5">
      <c r="A351" s="33"/>
      <c r="E351" s="33"/>
    </row>
    <row r="352" spans="1:5">
      <c r="A352" s="33"/>
      <c r="E352" s="33"/>
    </row>
    <row r="353" spans="1:5">
      <c r="A353" s="33"/>
      <c r="E353" s="33"/>
    </row>
    <row r="354" spans="1:5">
      <c r="A354" s="33"/>
      <c r="E354" s="33"/>
    </row>
    <row r="355" spans="1:5">
      <c r="A355" s="33"/>
      <c r="E355" s="33"/>
    </row>
    <row r="356" spans="1:5">
      <c r="A356" s="33"/>
      <c r="E356" s="33"/>
    </row>
    <row r="357" spans="1:5">
      <c r="A357" s="33"/>
      <c r="E357" s="33"/>
    </row>
    <row r="358" spans="1:5">
      <c r="A358" s="33"/>
      <c r="E358" s="33"/>
    </row>
    <row r="359" spans="1:5">
      <c r="A359" s="33"/>
      <c r="E359" s="33"/>
    </row>
    <row r="360" spans="1:5">
      <c r="A360" s="33"/>
      <c r="E360" s="33"/>
    </row>
    <row r="361" spans="1:5">
      <c r="A361" s="33"/>
      <c r="E361" s="33"/>
    </row>
    <row r="362" spans="1:5">
      <c r="A362" s="33"/>
      <c r="E362" s="33"/>
    </row>
    <row r="363" spans="1:5">
      <c r="A363" s="33"/>
      <c r="E363" s="33"/>
    </row>
    <row r="364" spans="1:5">
      <c r="A364" s="33"/>
      <c r="E364" s="33"/>
    </row>
    <row r="365" spans="1:5">
      <c r="A365" s="33"/>
      <c r="E365" s="33"/>
    </row>
    <row r="366" spans="1:5">
      <c r="A366" s="33"/>
      <c r="E366" s="33"/>
    </row>
    <row r="367" spans="1:5">
      <c r="A367" s="33"/>
      <c r="E367" s="33"/>
    </row>
    <row r="368" spans="1:5">
      <c r="A368" s="33"/>
      <c r="E368" s="33"/>
    </row>
    <row r="369" spans="1:5">
      <c r="A369" s="33"/>
      <c r="E369" s="33"/>
    </row>
    <row r="370" spans="1:5">
      <c r="A370" s="33"/>
      <c r="E370" s="33"/>
    </row>
    <row r="371" spans="1:5">
      <c r="A371" s="33"/>
      <c r="E371" s="33"/>
    </row>
    <row r="372" spans="1:5">
      <c r="A372" s="33"/>
      <c r="E372" s="33"/>
    </row>
    <row r="373" spans="1:5">
      <c r="A373" s="33"/>
      <c r="E373" s="33"/>
    </row>
    <row r="374" spans="1:5">
      <c r="A374" s="33"/>
      <c r="E374" s="33"/>
    </row>
    <row r="375" spans="1:5">
      <c r="A375" s="33"/>
      <c r="E375" s="33"/>
    </row>
    <row r="376" spans="1:5">
      <c r="A376" s="33"/>
      <c r="E376" s="33"/>
    </row>
    <row r="377" spans="1:5">
      <c r="A377" s="33"/>
      <c r="E377" s="33"/>
    </row>
    <row r="378" spans="1:5">
      <c r="A378" s="33"/>
      <c r="E378" s="33"/>
    </row>
    <row r="379" spans="1:5">
      <c r="A379" s="33"/>
      <c r="E379" s="33"/>
    </row>
    <row r="380" spans="1:5">
      <c r="A380" s="33"/>
      <c r="E380" s="33"/>
    </row>
    <row r="381" spans="1:5">
      <c r="A381" s="33"/>
      <c r="E381" s="33"/>
    </row>
    <row r="382" spans="1:5">
      <c r="A382" s="33"/>
      <c r="E382" s="33"/>
    </row>
    <row r="383" spans="1:5">
      <c r="A383" s="33"/>
      <c r="E383" s="33"/>
    </row>
    <row r="384" spans="1:5">
      <c r="A384" s="33"/>
      <c r="E384" s="33"/>
    </row>
    <row r="385" spans="1:5">
      <c r="A385" s="33"/>
      <c r="E385" s="33"/>
    </row>
    <row r="386" spans="1:5">
      <c r="A386" s="33"/>
      <c r="E386" s="33"/>
    </row>
    <row r="387" spans="1:5">
      <c r="A387" s="33"/>
      <c r="E387" s="33"/>
    </row>
    <row r="388" spans="1:5">
      <c r="A388" s="33"/>
      <c r="E388" s="33"/>
    </row>
    <row r="389" spans="1:5">
      <c r="A389" s="33"/>
      <c r="E389" s="33"/>
    </row>
    <row r="390" spans="1:5">
      <c r="A390" s="33"/>
      <c r="E390" s="33"/>
    </row>
    <row r="391" spans="1:5">
      <c r="A391" s="33"/>
      <c r="E391" s="33"/>
    </row>
    <row r="392" spans="1:5">
      <c r="A392" s="33"/>
      <c r="E392" s="33"/>
    </row>
    <row r="393" spans="1:5">
      <c r="A393" s="33"/>
      <c r="E393" s="33"/>
    </row>
    <row r="394" spans="1:5">
      <c r="A394" s="33"/>
      <c r="E394" s="33"/>
    </row>
    <row r="395" spans="1:5">
      <c r="A395" s="33"/>
      <c r="E395" s="33"/>
    </row>
    <row r="396" spans="1:5">
      <c r="A396" s="33"/>
      <c r="E396" s="33"/>
    </row>
    <row r="397" spans="1:5">
      <c r="A397" s="33"/>
      <c r="E397" s="33"/>
    </row>
    <row r="398" spans="1:5">
      <c r="A398" s="33"/>
      <c r="E398" s="33"/>
    </row>
    <row r="399" spans="1:5">
      <c r="A399" s="33"/>
      <c r="E399" s="33"/>
    </row>
    <row r="400" spans="1:5">
      <c r="A400" s="33"/>
      <c r="E400" s="33"/>
    </row>
    <row r="401" spans="1:5">
      <c r="A401" s="33"/>
      <c r="E401" s="33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rgb="FF00B0F0"/>
  </sheetPr>
  <dimension ref="B2:G11"/>
  <sheetViews>
    <sheetView workbookViewId="0">
      <selection activeCell="E4" sqref="E4"/>
    </sheetView>
  </sheetViews>
  <sheetFormatPr defaultRowHeight="14.4"/>
  <cols>
    <col min="3" max="3" width="12.6640625" bestFit="1" customWidth="1"/>
    <col min="5" max="5" width="12" bestFit="1" customWidth="1"/>
  </cols>
  <sheetData>
    <row r="2" spans="2:7">
      <c r="B2" s="46" t="s">
        <v>217</v>
      </c>
    </row>
    <row r="3" spans="2:7">
      <c r="B3" t="s">
        <v>218</v>
      </c>
      <c r="C3" s="210">
        <f>Rates_previous!H35</f>
        <v>6736.3590000000004</v>
      </c>
      <c r="E3" s="209"/>
    </row>
    <row r="4" spans="2:7">
      <c r="B4" t="s">
        <v>219</v>
      </c>
      <c r="C4" s="210">
        <f>Rates_current!H35</f>
        <v>7063.3649999999998</v>
      </c>
    </row>
    <row r="6" spans="2:7">
      <c r="B6" s="148" t="s">
        <v>253</v>
      </c>
    </row>
    <row r="7" spans="2:7">
      <c r="B7" s="161" t="s">
        <v>218</v>
      </c>
      <c r="C7" s="70">
        <f>SUM(TOCA_previous!$S$3:$S$136)</f>
        <v>59010522.360000007</v>
      </c>
    </row>
    <row r="8" spans="2:7">
      <c r="B8" s="161" t="s">
        <v>219</v>
      </c>
      <c r="C8" s="70">
        <f>SUM(TOCA_current!$S$3:$S$136)</f>
        <v>62044615.728000022</v>
      </c>
    </row>
    <row r="11" spans="2:7">
      <c r="G11" s="110"/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rgb="FF00B0F0"/>
  </sheetPr>
  <dimension ref="B1:AX12"/>
  <sheetViews>
    <sheetView workbookViewId="0">
      <selection activeCell="I4" sqref="I4"/>
    </sheetView>
  </sheetViews>
  <sheetFormatPr defaultRowHeight="14.4"/>
  <cols>
    <col min="2" max="2" width="16.6640625" bestFit="1" customWidth="1"/>
    <col min="3" max="3" width="9.6640625" bestFit="1" customWidth="1"/>
  </cols>
  <sheetData>
    <row r="1" spans="2:50">
      <c r="B1" s="46" t="s">
        <v>237</v>
      </c>
    </row>
    <row r="2" spans="2:50">
      <c r="C2" s="235">
        <v>45200</v>
      </c>
      <c r="D2" s="236">
        <v>45200</v>
      </c>
      <c r="E2" s="235">
        <v>45231</v>
      </c>
      <c r="F2" s="236">
        <v>45231</v>
      </c>
      <c r="G2" s="235">
        <v>45261</v>
      </c>
      <c r="H2" s="236">
        <v>45261</v>
      </c>
      <c r="I2" s="235">
        <v>45292</v>
      </c>
      <c r="J2" s="236">
        <v>45292</v>
      </c>
      <c r="K2" s="235">
        <v>45323</v>
      </c>
      <c r="L2" s="236">
        <v>45323</v>
      </c>
      <c r="M2" s="235">
        <v>45352</v>
      </c>
      <c r="N2" s="236">
        <v>45352</v>
      </c>
      <c r="O2" s="235">
        <v>45383</v>
      </c>
      <c r="P2" s="236">
        <v>45383</v>
      </c>
      <c r="Q2" s="235">
        <v>45413</v>
      </c>
      <c r="R2" s="236">
        <v>45413</v>
      </c>
      <c r="S2" s="235">
        <v>45444</v>
      </c>
      <c r="T2" s="236">
        <v>45444</v>
      </c>
      <c r="U2" s="235">
        <v>45474</v>
      </c>
      <c r="V2" s="236">
        <v>45474</v>
      </c>
      <c r="W2" s="235">
        <v>45505</v>
      </c>
      <c r="X2" s="236">
        <v>45505</v>
      </c>
      <c r="Y2" s="235">
        <v>45536</v>
      </c>
      <c r="Z2" s="236">
        <v>45536</v>
      </c>
      <c r="AA2" s="235">
        <v>45566</v>
      </c>
      <c r="AB2" s="236">
        <v>45566</v>
      </c>
      <c r="AC2" s="235">
        <v>45597</v>
      </c>
      <c r="AD2" s="236">
        <v>45597</v>
      </c>
      <c r="AE2" s="235">
        <v>45627</v>
      </c>
      <c r="AF2" s="236">
        <v>45627</v>
      </c>
      <c r="AG2" s="235">
        <v>45658</v>
      </c>
      <c r="AH2" s="236">
        <v>45658</v>
      </c>
      <c r="AI2" s="235">
        <v>45689</v>
      </c>
      <c r="AJ2" s="236">
        <v>45689</v>
      </c>
      <c r="AK2" s="235">
        <v>45717</v>
      </c>
      <c r="AL2" s="236">
        <v>45717</v>
      </c>
      <c r="AM2" s="235">
        <v>45748</v>
      </c>
      <c r="AN2" s="236">
        <v>45748</v>
      </c>
      <c r="AO2" s="235">
        <v>45778</v>
      </c>
      <c r="AP2" s="236">
        <v>45778</v>
      </c>
      <c r="AQ2" s="235">
        <v>45809</v>
      </c>
      <c r="AR2" s="236">
        <v>45809</v>
      </c>
      <c r="AS2" s="235">
        <v>45839</v>
      </c>
      <c r="AT2" s="236">
        <v>45839</v>
      </c>
      <c r="AU2" s="235">
        <v>45870</v>
      </c>
      <c r="AV2" s="236">
        <v>45870</v>
      </c>
      <c r="AW2" s="235">
        <v>45901</v>
      </c>
      <c r="AX2" s="236">
        <v>45901</v>
      </c>
    </row>
    <row r="3" spans="2:50">
      <c r="B3" t="s">
        <v>213</v>
      </c>
      <c r="C3" s="237" t="s">
        <v>143</v>
      </c>
      <c r="D3" s="238" t="s">
        <v>144</v>
      </c>
      <c r="E3" s="237" t="s">
        <v>143</v>
      </c>
      <c r="F3" s="238" t="s">
        <v>144</v>
      </c>
      <c r="G3" s="237" t="s">
        <v>143</v>
      </c>
      <c r="H3" s="238" t="s">
        <v>144</v>
      </c>
      <c r="I3" s="237" t="s">
        <v>143</v>
      </c>
      <c r="J3" s="238" t="s">
        <v>144</v>
      </c>
      <c r="K3" s="237" t="s">
        <v>143</v>
      </c>
      <c r="L3" s="238" t="s">
        <v>144</v>
      </c>
      <c r="M3" s="237" t="s">
        <v>143</v>
      </c>
      <c r="N3" s="238" t="s">
        <v>144</v>
      </c>
      <c r="O3" s="237" t="s">
        <v>143</v>
      </c>
      <c r="P3" s="238" t="s">
        <v>144</v>
      </c>
      <c r="Q3" s="237" t="s">
        <v>143</v>
      </c>
      <c r="R3" s="238" t="s">
        <v>144</v>
      </c>
      <c r="S3" s="237" t="s">
        <v>143</v>
      </c>
      <c r="T3" s="238" t="s">
        <v>144</v>
      </c>
      <c r="U3" s="237" t="s">
        <v>143</v>
      </c>
      <c r="V3" s="238" t="s">
        <v>144</v>
      </c>
      <c r="W3" s="237" t="s">
        <v>143</v>
      </c>
      <c r="X3" s="238" t="s">
        <v>144</v>
      </c>
      <c r="Y3" s="237" t="s">
        <v>143</v>
      </c>
      <c r="Z3" s="238" t="s">
        <v>144</v>
      </c>
      <c r="AA3" s="237" t="s">
        <v>143</v>
      </c>
      <c r="AB3" s="238" t="s">
        <v>144</v>
      </c>
      <c r="AC3" s="237" t="s">
        <v>143</v>
      </c>
      <c r="AD3" s="238" t="s">
        <v>144</v>
      </c>
      <c r="AE3" s="237" t="s">
        <v>143</v>
      </c>
      <c r="AF3" s="238" t="s">
        <v>144</v>
      </c>
      <c r="AG3" s="237" t="s">
        <v>143</v>
      </c>
      <c r="AH3" s="238" t="s">
        <v>144</v>
      </c>
      <c r="AI3" s="237" t="s">
        <v>143</v>
      </c>
      <c r="AJ3" s="238" t="s">
        <v>144</v>
      </c>
      <c r="AK3" s="237" t="s">
        <v>143</v>
      </c>
      <c r="AL3" s="238" t="s">
        <v>144</v>
      </c>
      <c r="AM3" s="237" t="s">
        <v>143</v>
      </c>
      <c r="AN3" s="238" t="s">
        <v>144</v>
      </c>
      <c r="AO3" s="237" t="s">
        <v>143</v>
      </c>
      <c r="AP3" s="238" t="s">
        <v>144</v>
      </c>
      <c r="AQ3" s="237" t="s">
        <v>143</v>
      </c>
      <c r="AR3" s="238" t="s">
        <v>144</v>
      </c>
      <c r="AS3" s="237" t="s">
        <v>143</v>
      </c>
      <c r="AT3" s="238" t="s">
        <v>144</v>
      </c>
      <c r="AU3" s="237" t="s">
        <v>143</v>
      </c>
      <c r="AV3" s="238" t="s">
        <v>144</v>
      </c>
      <c r="AW3" s="237" t="s">
        <v>143</v>
      </c>
      <c r="AX3" s="238" t="s">
        <v>144</v>
      </c>
    </row>
    <row r="4" spans="2:50">
      <c r="B4" t="s">
        <v>209</v>
      </c>
      <c r="C4">
        <f>IF(C$3="HLH",VLOOKUP(DATE(YEAR(C$2)-2,MONTH(C$2),1),Rates_previous!$G$6:$O$29,7,FALSE),VLOOKUP(DATE(YEAR(C$2)-2,MONTH(C$2),1),Rates_previous!$G$6:$O$29,8,FALSE))</f>
        <v>29.92</v>
      </c>
      <c r="D4">
        <f>IF(D$3="HLH",VLOOKUP(DATE(YEAR(D$2)-2,MONTH(D$2),1),Rates_previous!$G$6:$O$29,7,FALSE),VLOOKUP(DATE(YEAR(D$2)-2,MONTH(D$2),1),Rates_previous!$G$6:$O$29,8,FALSE))</f>
        <v>28.27</v>
      </c>
      <c r="E4">
        <f>IF(E$3="HLH",VLOOKUP(DATE(YEAR(E$2)-2,MONTH(E$2),1),Rates_previous!$G$6:$O$29,7,FALSE),VLOOKUP(DATE(YEAR(E$2)-2,MONTH(E$2),1),Rates_previous!$G$6:$O$29,8,FALSE))</f>
        <v>31.71</v>
      </c>
      <c r="F4">
        <f>IF(F$3="HLH",VLOOKUP(DATE(YEAR(F$2)-2,MONTH(F$2),1),Rates_previous!$G$6:$O$29,7,FALSE),VLOOKUP(DATE(YEAR(F$2)-2,MONTH(F$2),1),Rates_previous!$G$6:$O$29,8,FALSE))</f>
        <v>29.14</v>
      </c>
      <c r="G4">
        <f>IF(G$3="HLH",VLOOKUP(DATE(YEAR(G$2)-2,MONTH(G$2),1),Rates_previous!$G$6:$O$29,7,FALSE),VLOOKUP(DATE(YEAR(G$2)-2,MONTH(G$2),1),Rates_previous!$G$6:$O$29,8,FALSE))</f>
        <v>38.76</v>
      </c>
      <c r="H4">
        <f>IF(H$3="HLH",VLOOKUP(DATE(YEAR(H$2)-2,MONTH(H$2),1),Rates_previous!$G$6:$O$29,7,FALSE),VLOOKUP(DATE(YEAR(H$2)-2,MONTH(H$2),1),Rates_previous!$G$6:$O$29,8,FALSE))</f>
        <v>32.049999999999997</v>
      </c>
      <c r="I4">
        <f>IF(I$3="HLH",VLOOKUP(DATE(YEAR(I$2)-2,MONTH(I$2),1),Rates_previous!$G$6:$O$29,7,FALSE),VLOOKUP(DATE(YEAR(I$2)-2,MONTH(I$2),1),Rates_previous!$G$6:$O$29,8,FALSE))</f>
        <v>34.29</v>
      </c>
      <c r="J4">
        <f>IF(J$3="HLH",VLOOKUP(DATE(YEAR(J$2)-2,MONTH(J$2),1),Rates_previous!$G$6:$O$29,7,FALSE),VLOOKUP(DATE(YEAR(J$2)-2,MONTH(J$2),1),Rates_previous!$G$6:$O$29,8,FALSE))</f>
        <v>25.85</v>
      </c>
      <c r="K4">
        <f>IF(K$3="HLH",VLOOKUP(DATE(YEAR(K$2)-2,MONTH(K$2),1),Rates_previous!$G$6:$O$29,7,FALSE),VLOOKUP(DATE(YEAR(K$2)-2,MONTH(K$2),1),Rates_previous!$G$6:$O$29,8,FALSE))</f>
        <v>34.79</v>
      </c>
      <c r="L4">
        <f>IF(L$3="HLH",VLOOKUP(DATE(YEAR(L$2)-2,MONTH(L$2),1),Rates_previous!$G$6:$O$29,7,FALSE),VLOOKUP(DATE(YEAR(L$2)-2,MONTH(L$2),1),Rates_previous!$G$6:$O$29,8,FALSE))</f>
        <v>28.29</v>
      </c>
      <c r="M4">
        <f>IF(M$3="HLH",VLOOKUP(DATE(YEAR(M$2)-2,MONTH(M$2),1),Rates_previous!$G$6:$O$29,7,FALSE),VLOOKUP(DATE(YEAR(M$2)-2,MONTH(M$2),1),Rates_previous!$G$6:$O$29,8,FALSE))</f>
        <v>27.57</v>
      </c>
      <c r="N4">
        <f>IF(N$3="HLH",VLOOKUP(DATE(YEAR(N$2)-2,MONTH(N$2),1),Rates_previous!$G$6:$O$29,7,FALSE),VLOOKUP(DATE(YEAR(N$2)-2,MONTH(N$2),1),Rates_previous!$G$6:$O$29,8,FALSE))</f>
        <v>28.44</v>
      </c>
      <c r="O4">
        <f>IF(O$3="HLH",VLOOKUP(DATE(YEAR(O$2)-2,MONTH(O$2),1),Rates_previous!$G$6:$O$29,7,FALSE),VLOOKUP(DATE(YEAR(O$2)-2,MONTH(O$2),1),Rates_previous!$G$6:$O$29,8,FALSE))</f>
        <v>20.71</v>
      </c>
      <c r="P4">
        <f>IF(P$3="HLH",VLOOKUP(DATE(YEAR(P$2)-2,MONTH(P$2),1),Rates_previous!$G$6:$O$29,7,FALSE),VLOOKUP(DATE(YEAR(P$2)-2,MONTH(P$2),1),Rates_previous!$G$6:$O$29,8,FALSE))</f>
        <v>25.66</v>
      </c>
      <c r="Q4">
        <f>IF(Q$3="HLH",VLOOKUP(DATE(YEAR(Q$2)-2,MONTH(Q$2),1),Rates_previous!$G$6:$O$29,7,FALSE),VLOOKUP(DATE(YEAR(Q$2)-2,MONTH(Q$2),1),Rates_previous!$G$6:$O$29,8,FALSE))</f>
        <v>16.28</v>
      </c>
      <c r="R4">
        <f>IF(R$3="HLH",VLOOKUP(DATE(YEAR(R$2)-2,MONTH(R$2),1),Rates_previous!$G$6:$O$29,7,FALSE),VLOOKUP(DATE(YEAR(R$2)-2,MONTH(R$2),1),Rates_previous!$G$6:$O$29,8,FALSE))</f>
        <v>16.3</v>
      </c>
      <c r="S4">
        <f>IF(S$3="HLH",VLOOKUP(DATE(YEAR(S$2)-2,MONTH(S$2),1),Rates_previous!$G$6:$O$29,7,FALSE),VLOOKUP(DATE(YEAR(S$2)-2,MONTH(S$2),1),Rates_previous!$G$6:$O$29,8,FALSE))</f>
        <v>17.149999999999999</v>
      </c>
      <c r="T4">
        <f>IF(T$3="HLH",VLOOKUP(DATE(YEAR(T$2)-2,MONTH(T$2),1),Rates_previous!$G$6:$O$29,7,FALSE),VLOOKUP(DATE(YEAR(T$2)-2,MONTH(T$2),1),Rates_previous!$G$6:$O$29,8,FALSE))</f>
        <v>10.62</v>
      </c>
      <c r="U4">
        <f>IF(U$3="HLH",VLOOKUP(DATE(YEAR(U$2)-2,MONTH(U$2),1),Rates_previous!$G$6:$O$29,7,FALSE),VLOOKUP(DATE(YEAR(U$2)-2,MONTH(U$2),1),Rates_previous!$G$6:$O$29,8,FALSE))</f>
        <v>36.83</v>
      </c>
      <c r="V4">
        <f>IF(V$3="HLH",VLOOKUP(DATE(YEAR(V$2)-2,MONTH(V$2),1),Rates_previous!$G$6:$O$29,7,FALSE),VLOOKUP(DATE(YEAR(V$2)-2,MONTH(V$2),1),Rates_previous!$G$6:$O$29,8,FALSE))</f>
        <v>21.36</v>
      </c>
      <c r="W4">
        <f>IF(W$3="HLH",VLOOKUP(DATE(YEAR(W$2)-2,MONTH(W$2),1),Rates_previous!$G$6:$O$29,7,FALSE),VLOOKUP(DATE(YEAR(W$2)-2,MONTH(W$2),1),Rates_previous!$G$6:$O$29,8,FALSE))</f>
        <v>35.869999999999997</v>
      </c>
      <c r="X4">
        <f>IF(X$3="HLH",VLOOKUP(DATE(YEAR(X$2)-2,MONTH(X$2),1),Rates_previous!$G$6:$O$29,7,FALSE),VLOOKUP(DATE(YEAR(X$2)-2,MONTH(X$2),1),Rates_previous!$G$6:$O$29,8,FALSE))</f>
        <v>26.85</v>
      </c>
      <c r="Y4">
        <f>IF(Y$3="HLH",VLOOKUP(DATE(YEAR(Y$2)-2,MONTH(Y$2),1),Rates_previous!$G$6:$O$29,7,FALSE),VLOOKUP(DATE(YEAR(Y$2)-2,MONTH(Y$2),1),Rates_previous!$G$6:$O$29,8,FALSE))</f>
        <v>28.15</v>
      </c>
      <c r="Z4">
        <f>IF(Z$3="HLH",VLOOKUP(DATE(YEAR(Z$2)-2,MONTH(Z$2),1),Rates_previous!$G$6:$O$29,7,FALSE),VLOOKUP(DATE(YEAR(Z$2)-2,MONTH(Z$2),1),Rates_previous!$G$6:$O$29,8,FALSE))</f>
        <v>28.95</v>
      </c>
      <c r="AA4">
        <f>IF(AA$3="HLH",VLOOKUP(DATE(YEAR(AA$2)-2,MONTH(AA$2),1),Rates_previous!$G$6:$O$29,7,FALSE),VLOOKUP(DATE(YEAR(AA$2)-2,MONTH(AA$2),1),Rates_previous!$G$6:$O$29,8,FALSE))</f>
        <v>29.92</v>
      </c>
      <c r="AB4">
        <f>IF(AB$3="HLH",VLOOKUP(DATE(YEAR(AB$2)-2,MONTH(AB$2),1),Rates_previous!$G$6:$O$29,7,FALSE),VLOOKUP(DATE(YEAR(AB$2)-2,MONTH(AB$2),1),Rates_previous!$G$6:$O$29,8,FALSE))</f>
        <v>28.27</v>
      </c>
      <c r="AC4">
        <f>IF(AC$3="HLH",VLOOKUP(DATE(YEAR(AC$2)-2,MONTH(AC$2),1),Rates_previous!$G$6:$O$29,7,FALSE),VLOOKUP(DATE(YEAR(AC$2)-2,MONTH(AC$2),1),Rates_previous!$G$6:$O$29,8,FALSE))</f>
        <v>31.71</v>
      </c>
      <c r="AD4">
        <f>IF(AD$3="HLH",VLOOKUP(DATE(YEAR(AD$2)-2,MONTH(AD$2),1),Rates_previous!$G$6:$O$29,7,FALSE),VLOOKUP(DATE(YEAR(AD$2)-2,MONTH(AD$2),1),Rates_previous!$G$6:$O$29,8,FALSE))</f>
        <v>29.14</v>
      </c>
      <c r="AE4">
        <f>IF(AE$3="HLH",VLOOKUP(DATE(YEAR(AE$2)-2,MONTH(AE$2),1),Rates_previous!$G$6:$O$29,7,FALSE),VLOOKUP(DATE(YEAR(AE$2)-2,MONTH(AE$2),1),Rates_previous!$G$6:$O$29,8,FALSE))</f>
        <v>38.76</v>
      </c>
      <c r="AF4">
        <f>IF(AF$3="HLH",VLOOKUP(DATE(YEAR(AF$2)-2,MONTH(AF$2),1),Rates_previous!$G$6:$O$29,7,FALSE),VLOOKUP(DATE(YEAR(AF$2)-2,MONTH(AF$2),1),Rates_previous!$G$6:$O$29,8,FALSE))</f>
        <v>32.049999999999997</v>
      </c>
      <c r="AG4">
        <f>IF(AG$3="HLH",VLOOKUP(DATE(YEAR(AG$2)-2,MONTH(AG$2),1),Rates_previous!$G$6:$O$29,7,FALSE),VLOOKUP(DATE(YEAR(AG$2)-2,MONTH(AG$2),1),Rates_previous!$G$6:$O$29,8,FALSE))</f>
        <v>34.29</v>
      </c>
      <c r="AH4">
        <f>IF(AH$3="HLH",VLOOKUP(DATE(YEAR(AH$2)-2,MONTH(AH$2),1),Rates_previous!$G$6:$O$29,7,FALSE),VLOOKUP(DATE(YEAR(AH$2)-2,MONTH(AH$2),1),Rates_previous!$G$6:$O$29,8,FALSE))</f>
        <v>25.85</v>
      </c>
      <c r="AI4">
        <f>IF(AI$3="HLH",VLOOKUP(DATE(YEAR(AI$2)-2,MONTH(AI$2),1),Rates_previous!$G$6:$O$29,7,FALSE),VLOOKUP(DATE(YEAR(AI$2)-2,MONTH(AI$2),1),Rates_previous!$G$6:$O$29,8,FALSE))</f>
        <v>34.79</v>
      </c>
      <c r="AJ4">
        <f>IF(AJ$3="HLH",VLOOKUP(DATE(YEAR(AJ$2)-2,MONTH(AJ$2),1),Rates_previous!$G$6:$O$29,7,FALSE),VLOOKUP(DATE(YEAR(AJ$2)-2,MONTH(AJ$2),1),Rates_previous!$G$6:$O$29,8,FALSE))</f>
        <v>28.29</v>
      </c>
      <c r="AK4">
        <f>IF(AK$3="HLH",VLOOKUP(DATE(YEAR(AK$2)-2,MONTH(AK$2),1),Rates_previous!$G$6:$O$29,7,FALSE),VLOOKUP(DATE(YEAR(AK$2)-2,MONTH(AK$2),1),Rates_previous!$G$6:$O$29,8,FALSE))</f>
        <v>27.57</v>
      </c>
      <c r="AL4">
        <f>IF(AL$3="HLH",VLOOKUP(DATE(YEAR(AL$2)-2,MONTH(AL$2),1),Rates_previous!$G$6:$O$29,7,FALSE),VLOOKUP(DATE(YEAR(AL$2)-2,MONTH(AL$2),1),Rates_previous!$G$6:$O$29,8,FALSE))</f>
        <v>28.44</v>
      </c>
      <c r="AM4">
        <f>IF(AM$3="HLH",VLOOKUP(DATE(YEAR(AM$2)-2,MONTH(AM$2),1),Rates_previous!$G$6:$O$29,7,FALSE),VLOOKUP(DATE(YEAR(AM$2)-2,MONTH(AM$2),1),Rates_previous!$G$6:$O$29,8,FALSE))</f>
        <v>20.71</v>
      </c>
      <c r="AN4">
        <f>IF(AN$3="HLH",VLOOKUP(DATE(YEAR(AN$2)-2,MONTH(AN$2),1),Rates_previous!$G$6:$O$29,7,FALSE),VLOOKUP(DATE(YEAR(AN$2)-2,MONTH(AN$2),1),Rates_previous!$G$6:$O$29,8,FALSE))</f>
        <v>25.66</v>
      </c>
      <c r="AO4">
        <f>IF(AO$3="HLH",VLOOKUP(DATE(YEAR(AO$2)-2,MONTH(AO$2),1),Rates_previous!$G$6:$O$29,7,FALSE),VLOOKUP(DATE(YEAR(AO$2)-2,MONTH(AO$2),1),Rates_previous!$G$6:$O$29,8,FALSE))</f>
        <v>16.28</v>
      </c>
      <c r="AP4">
        <f>IF(AP$3="HLH",VLOOKUP(DATE(YEAR(AP$2)-2,MONTH(AP$2),1),Rates_previous!$G$6:$O$29,7,FALSE),VLOOKUP(DATE(YEAR(AP$2)-2,MONTH(AP$2),1),Rates_previous!$G$6:$O$29,8,FALSE))</f>
        <v>16.3</v>
      </c>
      <c r="AQ4">
        <f>IF(AQ$3="HLH",VLOOKUP(DATE(YEAR(AQ$2)-2,MONTH(AQ$2),1),Rates_previous!$G$6:$O$29,7,FALSE),VLOOKUP(DATE(YEAR(AQ$2)-2,MONTH(AQ$2),1),Rates_previous!$G$6:$O$29,8,FALSE))</f>
        <v>17.149999999999999</v>
      </c>
      <c r="AR4">
        <f>IF(AR$3="HLH",VLOOKUP(DATE(YEAR(AR$2)-2,MONTH(AR$2),1),Rates_previous!$G$6:$O$29,7,FALSE),VLOOKUP(DATE(YEAR(AR$2)-2,MONTH(AR$2),1),Rates_previous!$G$6:$O$29,8,FALSE))</f>
        <v>10.62</v>
      </c>
      <c r="AS4">
        <f>IF(AS$3="HLH",VLOOKUP(DATE(YEAR(AS$2)-2,MONTH(AS$2),1),Rates_previous!$G$6:$O$29,7,FALSE),VLOOKUP(DATE(YEAR(AS$2)-2,MONTH(AS$2),1),Rates_previous!$G$6:$O$29,8,FALSE))</f>
        <v>36.83</v>
      </c>
      <c r="AT4">
        <f>IF(AT$3="HLH",VLOOKUP(DATE(YEAR(AT$2)-2,MONTH(AT$2),1),Rates_previous!$G$6:$O$29,7,FALSE),VLOOKUP(DATE(YEAR(AT$2)-2,MONTH(AT$2),1),Rates_previous!$G$6:$O$29,8,FALSE))</f>
        <v>21.36</v>
      </c>
      <c r="AU4">
        <f>IF(AU$3="HLH",VLOOKUP(DATE(YEAR(AU$2)-2,MONTH(AU$2),1),Rates_previous!$G$6:$O$29,7,FALSE),VLOOKUP(DATE(YEAR(AU$2)-2,MONTH(AU$2),1),Rates_previous!$G$6:$O$29,8,FALSE))</f>
        <v>35.869999999999997</v>
      </c>
      <c r="AV4">
        <f>IF(AV$3="HLH",VLOOKUP(DATE(YEAR(AV$2)-2,MONTH(AV$2),1),Rates_previous!$G$6:$O$29,7,FALSE),VLOOKUP(DATE(YEAR(AV$2)-2,MONTH(AV$2),1),Rates_previous!$G$6:$O$29,8,FALSE))</f>
        <v>26.85</v>
      </c>
      <c r="AW4">
        <f>IF(AW$3="HLH",VLOOKUP(DATE(YEAR(AW$2)-2,MONTH(AW$2),1),Rates_previous!$G$6:$O$29,7,FALSE),VLOOKUP(DATE(YEAR(AW$2)-2,MONTH(AW$2),1),Rates_previous!$G$6:$O$29,8,FALSE))</f>
        <v>28.15</v>
      </c>
      <c r="AX4">
        <f>IF(AX$3="HLH",VLOOKUP(DATE(YEAR(AX$2)-2,MONTH(AX$2),1),Rates_previous!$G$6:$O$29,7,FALSE),VLOOKUP(DATE(YEAR(AX$2)-2,MONTH(AX$2),1),Rates_previous!$G$6:$O$29,8,FALSE))</f>
        <v>28.95</v>
      </c>
    </row>
    <row r="5" spans="2:50">
      <c r="B5" t="s">
        <v>210</v>
      </c>
      <c r="C5">
        <f>IF(C$3="HLH",VLOOKUP(DATE(YEAR(C$2),MONTH(C$2),1),Rates_current!$G$6:$O$29,7,FALSE),VLOOKUP(DATE(YEAR(C$2),MONTH(C$2),1),Rates_current!$G$6:$O$29,8,FALSE))</f>
        <v>47.71</v>
      </c>
      <c r="D5">
        <f>IF(D$3="HLH",VLOOKUP(DATE(YEAR(D$2),MONTH(D$2),1),Rates_current!$G$6:$O$29,7,FALSE),VLOOKUP(DATE(YEAR(D$2),MONTH(D$2),1),Rates_current!$G$6:$O$29,8,FALSE))</f>
        <v>32.909999999999997</v>
      </c>
      <c r="E5">
        <f>IF(E$3="HLH",VLOOKUP(DATE(YEAR(E$2),MONTH(E$2),1),Rates_current!$G$6:$O$29,7,FALSE),VLOOKUP(DATE(YEAR(E$2),MONTH(E$2),1),Rates_current!$G$6:$O$29,8,FALSE))</f>
        <v>40.299999999999997</v>
      </c>
      <c r="F5">
        <f>IF(F$3="HLH",VLOOKUP(DATE(YEAR(F$2),MONTH(F$2),1),Rates_current!$G$6:$O$29,7,FALSE),VLOOKUP(DATE(YEAR(F$2),MONTH(F$2),1),Rates_current!$G$6:$O$29,8,FALSE))</f>
        <v>31.39</v>
      </c>
      <c r="G5">
        <f>IF(G$3="HLH",VLOOKUP(DATE(YEAR(G$2),MONTH(G$2),1),Rates_current!$G$6:$O$29,7,FALSE),VLOOKUP(DATE(YEAR(G$2),MONTH(G$2),1),Rates_current!$G$6:$O$29,8,FALSE))</f>
        <v>61.63</v>
      </c>
      <c r="H5">
        <f>IF(H$3="HLH",VLOOKUP(DATE(YEAR(H$2),MONTH(H$2),1),Rates_current!$G$6:$O$29,7,FALSE),VLOOKUP(DATE(YEAR(H$2),MONTH(H$2),1),Rates_current!$G$6:$O$29,8,FALSE))</f>
        <v>52.69</v>
      </c>
      <c r="I5">
        <f>IF(I$3="HLH",VLOOKUP(DATE(YEAR(I$2),MONTH(I$2),1),Rates_current!$G$6:$O$29,7,FALSE),VLOOKUP(DATE(YEAR(I$2),MONTH(I$2),1),Rates_current!$G$6:$O$29,8,FALSE))</f>
        <v>49.88</v>
      </c>
      <c r="J5">
        <f>IF(J$3="HLH",VLOOKUP(DATE(YEAR(J$2),MONTH(J$2),1),Rates_current!$G$6:$O$29,7,FALSE),VLOOKUP(DATE(YEAR(J$2),MONTH(J$2),1),Rates_current!$G$6:$O$29,8,FALSE))</f>
        <v>36.729999999999997</v>
      </c>
      <c r="K5">
        <f>IF(K$3="HLH",VLOOKUP(DATE(YEAR(K$2),MONTH(K$2),1),Rates_current!$G$6:$O$29,7,FALSE),VLOOKUP(DATE(YEAR(K$2),MONTH(K$2),1),Rates_current!$G$6:$O$29,8,FALSE))</f>
        <v>50.32</v>
      </c>
      <c r="L5">
        <f>IF(L$3="HLH",VLOOKUP(DATE(YEAR(L$2),MONTH(L$2),1),Rates_current!$G$6:$O$29,7,FALSE),VLOOKUP(DATE(YEAR(L$2),MONTH(L$2),1),Rates_current!$G$6:$O$29,8,FALSE))</f>
        <v>42.01</v>
      </c>
      <c r="M5">
        <f>IF(M$3="HLH",VLOOKUP(DATE(YEAR(M$2),MONTH(M$2),1),Rates_current!$G$6:$O$29,7,FALSE),VLOOKUP(DATE(YEAR(M$2),MONTH(M$2),1),Rates_current!$G$6:$O$29,8,FALSE))</f>
        <v>35.07</v>
      </c>
      <c r="N5">
        <f>IF(N$3="HLH",VLOOKUP(DATE(YEAR(N$2),MONTH(N$2),1),Rates_current!$G$6:$O$29,7,FALSE),VLOOKUP(DATE(YEAR(N$2),MONTH(N$2),1),Rates_current!$G$6:$O$29,8,FALSE))</f>
        <v>35.840000000000003</v>
      </c>
      <c r="O5">
        <f>IF(O$3="HLH",VLOOKUP(DATE(YEAR(O$2),MONTH(O$2),1),Rates_current!$G$6:$O$29,7,FALSE),VLOOKUP(DATE(YEAR(O$2),MONTH(O$2),1),Rates_current!$G$6:$O$29,8,FALSE))</f>
        <v>20.420000000000002</v>
      </c>
      <c r="P5">
        <f>IF(P$3="HLH",VLOOKUP(DATE(YEAR(P$2),MONTH(P$2),1),Rates_current!$G$6:$O$29,7,FALSE),VLOOKUP(DATE(YEAR(P$2),MONTH(P$2),1),Rates_current!$G$6:$O$29,8,FALSE))</f>
        <v>21.67</v>
      </c>
      <c r="Q5">
        <f>IF(Q$3="HLH",VLOOKUP(DATE(YEAR(Q$2),MONTH(Q$2),1),Rates_current!$G$6:$O$29,7,FALSE),VLOOKUP(DATE(YEAR(Q$2),MONTH(Q$2),1),Rates_current!$G$6:$O$29,8,FALSE))</f>
        <v>18.21</v>
      </c>
      <c r="R5">
        <f>IF(R$3="HLH",VLOOKUP(DATE(YEAR(R$2),MONTH(R$2),1),Rates_current!$G$6:$O$29,7,FALSE),VLOOKUP(DATE(YEAR(R$2),MONTH(R$2),1),Rates_current!$G$6:$O$29,8,FALSE))</f>
        <v>16.34</v>
      </c>
      <c r="S5">
        <f>IF(S$3="HLH",VLOOKUP(DATE(YEAR(S$2),MONTH(S$2),1),Rates_current!$G$6:$O$29,7,FALSE),VLOOKUP(DATE(YEAR(S$2),MONTH(S$2),1),Rates_current!$G$6:$O$29,8,FALSE))</f>
        <v>17.87</v>
      </c>
      <c r="T5">
        <f>IF(T$3="HLH",VLOOKUP(DATE(YEAR(T$2),MONTH(T$2),1),Rates_current!$G$6:$O$29,7,FALSE),VLOOKUP(DATE(YEAR(T$2),MONTH(T$2),1),Rates_current!$G$6:$O$29,8,FALSE))</f>
        <v>10.33</v>
      </c>
      <c r="U5">
        <f>IF(U$3="HLH",VLOOKUP(DATE(YEAR(U$2),MONTH(U$2),1),Rates_current!$G$6:$O$29,7,FALSE),VLOOKUP(DATE(YEAR(U$2),MONTH(U$2),1),Rates_current!$G$6:$O$29,8,FALSE))</f>
        <v>55.6</v>
      </c>
      <c r="V5">
        <f>IF(V$3="HLH",VLOOKUP(DATE(YEAR(V$2),MONTH(V$2),1),Rates_current!$G$6:$O$29,7,FALSE),VLOOKUP(DATE(YEAR(V$2),MONTH(V$2),1),Rates_current!$G$6:$O$29,8,FALSE))</f>
        <v>36.92</v>
      </c>
      <c r="W5">
        <f>IF(W$3="HLH",VLOOKUP(DATE(YEAR(W$2),MONTH(W$2),1),Rates_current!$G$6:$O$29,7,FALSE),VLOOKUP(DATE(YEAR(W$2),MONTH(W$2),1),Rates_current!$G$6:$O$29,8,FALSE))</f>
        <v>71.52</v>
      </c>
      <c r="X5">
        <f>IF(X$3="HLH",VLOOKUP(DATE(YEAR(X$2),MONTH(X$2),1),Rates_current!$G$6:$O$29,7,FALSE),VLOOKUP(DATE(YEAR(X$2),MONTH(X$2),1),Rates_current!$G$6:$O$29,8,FALSE))</f>
        <v>48.93</v>
      </c>
      <c r="Y5">
        <f>IF(Y$3="HLH",VLOOKUP(DATE(YEAR(Y$2),MONTH(Y$2),1),Rates_current!$G$6:$O$29,7,FALSE),VLOOKUP(DATE(YEAR(Y$2),MONTH(Y$2),1),Rates_current!$G$6:$O$29,8,FALSE))</f>
        <v>58.7</v>
      </c>
      <c r="Z5">
        <f>IF(Z$3="HLH",VLOOKUP(DATE(YEAR(Z$2),MONTH(Z$2),1),Rates_current!$G$6:$O$29,7,FALSE),VLOOKUP(DATE(YEAR(Z$2),MONTH(Z$2),1),Rates_current!$G$6:$O$29,8,FALSE))</f>
        <v>44.18</v>
      </c>
      <c r="AA5">
        <f>IF(AA$3="HLH",VLOOKUP(DATE(YEAR(AA$2),MONTH(AA$2),1),Rates_current!$G$6:$O$29,7,FALSE),VLOOKUP(DATE(YEAR(AA$2),MONTH(AA$2),1),Rates_current!$G$6:$O$29,8,FALSE))</f>
        <v>47.71</v>
      </c>
      <c r="AB5">
        <f>IF(AB$3="HLH",VLOOKUP(DATE(YEAR(AB$2),MONTH(AB$2),1),Rates_current!$G$6:$O$29,7,FALSE),VLOOKUP(DATE(YEAR(AB$2),MONTH(AB$2),1),Rates_current!$G$6:$O$29,8,FALSE))</f>
        <v>32.909999999999997</v>
      </c>
      <c r="AC5">
        <f>IF(AC$3="HLH",VLOOKUP(DATE(YEAR(AC$2),MONTH(AC$2),1),Rates_current!$G$6:$O$29,7,FALSE),VLOOKUP(DATE(YEAR(AC$2),MONTH(AC$2),1),Rates_current!$G$6:$O$29,8,FALSE))</f>
        <v>40.299999999999997</v>
      </c>
      <c r="AD5">
        <f>IF(AD$3="HLH",VLOOKUP(DATE(YEAR(AD$2),MONTH(AD$2),1),Rates_current!$G$6:$O$29,7,FALSE),VLOOKUP(DATE(YEAR(AD$2),MONTH(AD$2),1),Rates_current!$G$6:$O$29,8,FALSE))</f>
        <v>31.39</v>
      </c>
      <c r="AE5">
        <f>IF(AE$3="HLH",VLOOKUP(DATE(YEAR(AE$2),MONTH(AE$2),1),Rates_current!$G$6:$O$29,7,FALSE),VLOOKUP(DATE(YEAR(AE$2),MONTH(AE$2),1),Rates_current!$G$6:$O$29,8,FALSE))</f>
        <v>61.63</v>
      </c>
      <c r="AF5">
        <f>IF(AF$3="HLH",VLOOKUP(DATE(YEAR(AF$2),MONTH(AF$2),1),Rates_current!$G$6:$O$29,7,FALSE),VLOOKUP(DATE(YEAR(AF$2),MONTH(AF$2),1),Rates_current!$G$6:$O$29,8,FALSE))</f>
        <v>52.69</v>
      </c>
      <c r="AG5">
        <f>IF(AG$3="HLH",VLOOKUP(DATE(YEAR(AG$2),MONTH(AG$2),1),Rates_current!$G$6:$O$29,7,FALSE),VLOOKUP(DATE(YEAR(AG$2),MONTH(AG$2),1),Rates_current!$G$6:$O$29,8,FALSE))</f>
        <v>49.88</v>
      </c>
      <c r="AH5">
        <f>IF(AH$3="HLH",VLOOKUP(DATE(YEAR(AH$2),MONTH(AH$2),1),Rates_current!$G$6:$O$29,7,FALSE),VLOOKUP(DATE(YEAR(AH$2),MONTH(AH$2),1),Rates_current!$G$6:$O$29,8,FALSE))</f>
        <v>36.729999999999997</v>
      </c>
      <c r="AI5">
        <f>IF(AI$3="HLH",VLOOKUP(DATE(YEAR(AI$2),MONTH(AI$2),1),Rates_current!$G$6:$O$29,7,FALSE),VLOOKUP(DATE(YEAR(AI$2),MONTH(AI$2),1),Rates_current!$G$6:$O$29,8,FALSE))</f>
        <v>50.32</v>
      </c>
      <c r="AJ5">
        <f>IF(AJ$3="HLH",VLOOKUP(DATE(YEAR(AJ$2),MONTH(AJ$2),1),Rates_current!$G$6:$O$29,7,FALSE),VLOOKUP(DATE(YEAR(AJ$2),MONTH(AJ$2),1),Rates_current!$G$6:$O$29,8,FALSE))</f>
        <v>42.01</v>
      </c>
      <c r="AK5">
        <f>IF(AK$3="HLH",VLOOKUP(DATE(YEAR(AK$2),MONTH(AK$2),1),Rates_current!$G$6:$O$29,7,FALSE),VLOOKUP(DATE(YEAR(AK$2),MONTH(AK$2),1),Rates_current!$G$6:$O$29,8,FALSE))</f>
        <v>35.07</v>
      </c>
      <c r="AL5">
        <f>IF(AL$3="HLH",VLOOKUP(DATE(YEAR(AL$2),MONTH(AL$2),1),Rates_current!$G$6:$O$29,7,FALSE),VLOOKUP(DATE(YEAR(AL$2),MONTH(AL$2),1),Rates_current!$G$6:$O$29,8,FALSE))</f>
        <v>35.840000000000003</v>
      </c>
      <c r="AM5">
        <f>IF(AM$3="HLH",VLOOKUP(DATE(YEAR(AM$2),MONTH(AM$2),1),Rates_current!$G$6:$O$29,7,FALSE),VLOOKUP(DATE(YEAR(AM$2),MONTH(AM$2),1),Rates_current!$G$6:$O$29,8,FALSE))</f>
        <v>20.420000000000002</v>
      </c>
      <c r="AN5">
        <f>IF(AN$3="HLH",VLOOKUP(DATE(YEAR(AN$2),MONTH(AN$2),1),Rates_current!$G$6:$O$29,7,FALSE),VLOOKUP(DATE(YEAR(AN$2),MONTH(AN$2),1),Rates_current!$G$6:$O$29,8,FALSE))</f>
        <v>21.67</v>
      </c>
      <c r="AO5">
        <f>IF(AO$3="HLH",VLOOKUP(DATE(YEAR(AO$2),MONTH(AO$2),1),Rates_current!$G$6:$O$29,7,FALSE),VLOOKUP(DATE(YEAR(AO$2),MONTH(AO$2),1),Rates_current!$G$6:$O$29,8,FALSE))</f>
        <v>18.21</v>
      </c>
      <c r="AP5">
        <f>IF(AP$3="HLH",VLOOKUP(DATE(YEAR(AP$2),MONTH(AP$2),1),Rates_current!$G$6:$O$29,7,FALSE),VLOOKUP(DATE(YEAR(AP$2),MONTH(AP$2),1),Rates_current!$G$6:$O$29,8,FALSE))</f>
        <v>16.34</v>
      </c>
      <c r="AQ5">
        <f>IF(AQ$3="HLH",VLOOKUP(DATE(YEAR(AQ$2),MONTH(AQ$2),1),Rates_current!$G$6:$O$29,7,FALSE),VLOOKUP(DATE(YEAR(AQ$2),MONTH(AQ$2),1),Rates_current!$G$6:$O$29,8,FALSE))</f>
        <v>17.87</v>
      </c>
      <c r="AR5">
        <f>IF(AR$3="HLH",VLOOKUP(DATE(YEAR(AR$2),MONTH(AR$2),1),Rates_current!$G$6:$O$29,7,FALSE),VLOOKUP(DATE(YEAR(AR$2),MONTH(AR$2),1),Rates_current!$G$6:$O$29,8,FALSE))</f>
        <v>10.33</v>
      </c>
      <c r="AS5">
        <f>IF(AS$3="HLH",VLOOKUP(DATE(YEAR(AS$2),MONTH(AS$2),1),Rates_current!$G$6:$O$29,7,FALSE),VLOOKUP(DATE(YEAR(AS$2),MONTH(AS$2),1),Rates_current!$G$6:$O$29,8,FALSE))</f>
        <v>55.6</v>
      </c>
      <c r="AT5">
        <f>IF(AT$3="HLH",VLOOKUP(DATE(YEAR(AT$2),MONTH(AT$2),1),Rates_current!$G$6:$O$29,7,FALSE),VLOOKUP(DATE(YEAR(AT$2),MONTH(AT$2),1),Rates_current!$G$6:$O$29,8,FALSE))</f>
        <v>36.92</v>
      </c>
      <c r="AU5">
        <f>IF(AU$3="HLH",VLOOKUP(DATE(YEAR(AU$2),MONTH(AU$2),1),Rates_current!$G$6:$O$29,7,FALSE),VLOOKUP(DATE(YEAR(AU$2),MONTH(AU$2),1),Rates_current!$G$6:$O$29,8,FALSE))</f>
        <v>71.52</v>
      </c>
      <c r="AV5">
        <f>IF(AV$3="HLH",VLOOKUP(DATE(YEAR(AV$2),MONTH(AV$2),1),Rates_current!$G$6:$O$29,7,FALSE),VLOOKUP(DATE(YEAR(AV$2),MONTH(AV$2),1),Rates_current!$G$6:$O$29,8,FALSE))</f>
        <v>48.93</v>
      </c>
      <c r="AW5">
        <f>IF(AW$3="HLH",VLOOKUP(DATE(YEAR(AW$2),MONTH(AW$2),1),Rates_current!$G$6:$O$29,7,FALSE),VLOOKUP(DATE(YEAR(AW$2),MONTH(AW$2),1),Rates_current!$G$6:$O$29,8,FALSE))</f>
        <v>58.7</v>
      </c>
      <c r="AX5">
        <f>IF(AX$3="HLH",VLOOKUP(DATE(YEAR(AX$2),MONTH(AX$2),1),Rates_current!$G$6:$O$29,7,FALSE),VLOOKUP(DATE(YEAR(AX$2),MONTH(AX$2),1),Rates_current!$G$6:$O$29,8,FALSE))</f>
        <v>44.18</v>
      </c>
    </row>
    <row r="6" spans="2:50">
      <c r="B6" t="s">
        <v>211</v>
      </c>
      <c r="C6">
        <f>IF(C$3="HLH",VLOOKUP(DATE(YEAR(C$2)-2,MONTH(C$2),1),Rates_previous!$G$6:$O$29,3,FALSE),0)</f>
        <v>9.8699999999999992</v>
      </c>
      <c r="D6">
        <f>IF(D$3="HLH",VLOOKUP(DATE(YEAR(D$2)-2,MONTH(D$2),1),Rates_previous!$G$6:$O$29,3,FALSE),0)</f>
        <v>0</v>
      </c>
      <c r="E6">
        <f>IF(E$3="HLH",VLOOKUP(DATE(YEAR(E$2)-2,MONTH(E$2),1),Rates_previous!$G$6:$O$29,3,FALSE),0)</f>
        <v>10.46</v>
      </c>
      <c r="F6">
        <f>IF(F$3="HLH",VLOOKUP(DATE(YEAR(F$2)-2,MONTH(F$2),1),Rates_previous!$G$6:$O$29,3,FALSE),0)</f>
        <v>0</v>
      </c>
      <c r="G6">
        <f>IF(G$3="HLH",VLOOKUP(DATE(YEAR(G$2)-2,MONTH(G$2),1),Rates_previous!$G$6:$O$29,3,FALSE),0)</f>
        <v>12.78</v>
      </c>
      <c r="H6">
        <f>IF(H$3="HLH",VLOOKUP(DATE(YEAR(H$2)-2,MONTH(H$2),1),Rates_previous!$G$6:$O$29,3,FALSE),0)</f>
        <v>0</v>
      </c>
      <c r="I6">
        <f>IF(I$3="HLH",VLOOKUP(DATE(YEAR(I$2)-2,MONTH(I$2),1),Rates_previous!$G$6:$O$29,3,FALSE),0)</f>
        <v>11.31</v>
      </c>
      <c r="J6">
        <f>IF(J$3="HLH",VLOOKUP(DATE(YEAR(J$2)-2,MONTH(J$2),1),Rates_previous!$G$6:$O$29,3,FALSE),0)</f>
        <v>0</v>
      </c>
      <c r="K6">
        <f>IF(K$3="HLH",VLOOKUP(DATE(YEAR(K$2)-2,MONTH(K$2),1),Rates_previous!$G$6:$O$29,3,FALSE),0)</f>
        <v>11.47</v>
      </c>
      <c r="L6">
        <f>IF(L$3="HLH",VLOOKUP(DATE(YEAR(L$2)-2,MONTH(L$2),1),Rates_previous!$G$6:$O$29,3,FALSE),0)</f>
        <v>0</v>
      </c>
      <c r="M6">
        <f>IF(M$3="HLH",VLOOKUP(DATE(YEAR(M$2)-2,MONTH(M$2),1),Rates_previous!$G$6:$O$29,3,FALSE),0)</f>
        <v>9.09</v>
      </c>
      <c r="N6">
        <f>IF(N$3="HLH",VLOOKUP(DATE(YEAR(N$2)-2,MONTH(N$2),1),Rates_previous!$G$6:$O$29,3,FALSE),0)</f>
        <v>0</v>
      </c>
      <c r="O6">
        <f>IF(O$3="HLH",VLOOKUP(DATE(YEAR(O$2)-2,MONTH(O$2),1),Rates_previous!$G$6:$O$29,3,FALSE),0)</f>
        <v>6.83</v>
      </c>
      <c r="P6">
        <f>IF(P$3="HLH",VLOOKUP(DATE(YEAR(P$2)-2,MONTH(P$2),1),Rates_previous!$G$6:$O$29,3,FALSE),0)</f>
        <v>0</v>
      </c>
      <c r="Q6">
        <f>IF(Q$3="HLH",VLOOKUP(DATE(YEAR(Q$2)-2,MONTH(Q$2),1),Rates_previous!$G$6:$O$29,3,FALSE),0)</f>
        <v>5.36</v>
      </c>
      <c r="R6">
        <f>IF(R$3="HLH",VLOOKUP(DATE(YEAR(R$2)-2,MONTH(R$2),1),Rates_previous!$G$6:$O$29,3,FALSE),0)</f>
        <v>0</v>
      </c>
      <c r="S6">
        <f>IF(S$3="HLH",VLOOKUP(DATE(YEAR(S$2)-2,MONTH(S$2),1),Rates_previous!$G$6:$O$29,3,FALSE),0)</f>
        <v>5.65</v>
      </c>
      <c r="T6">
        <f>IF(T$3="HLH",VLOOKUP(DATE(YEAR(T$2)-2,MONTH(T$2),1),Rates_previous!$G$6:$O$29,3,FALSE),0)</f>
        <v>0</v>
      </c>
      <c r="U6">
        <f>IF(U$3="HLH",VLOOKUP(DATE(YEAR(U$2)-2,MONTH(U$2),1),Rates_previous!$G$6:$O$29,3,FALSE),0)</f>
        <v>12.14</v>
      </c>
      <c r="V6">
        <f>IF(V$3="HLH",VLOOKUP(DATE(YEAR(V$2)-2,MONTH(V$2),1),Rates_previous!$G$6:$O$29,3,FALSE),0)</f>
        <v>0</v>
      </c>
      <c r="W6">
        <f>IF(W$3="HLH",VLOOKUP(DATE(YEAR(W$2)-2,MONTH(W$2),1),Rates_previous!$G$6:$O$29,3,FALSE),0)</f>
        <v>11.83</v>
      </c>
      <c r="X6">
        <f>IF(X$3="HLH",VLOOKUP(DATE(YEAR(X$2)-2,MONTH(X$2),1),Rates_previous!$G$6:$O$29,3,FALSE),0)</f>
        <v>0</v>
      </c>
      <c r="Y6">
        <f>IF(Y$3="HLH",VLOOKUP(DATE(YEAR(Y$2)-2,MONTH(Y$2),1),Rates_previous!$G$6:$O$29,3,FALSE),0)</f>
        <v>9.2899999999999991</v>
      </c>
      <c r="Z6">
        <f>IF(Z$3="HLH",VLOOKUP(DATE(YEAR(Z$2)-2,MONTH(Z$2),1),Rates_previous!$G$6:$O$29,3,FALSE),0)</f>
        <v>0</v>
      </c>
      <c r="AA6">
        <f>IF(AA$3="HLH",VLOOKUP(DATE(YEAR(AA$2)-2,MONTH(AA$2),1),Rates_previous!$G$6:$O$29,3,FALSE),0)</f>
        <v>9.8699999999999992</v>
      </c>
      <c r="AB6">
        <f>IF(AB$3="HLH",VLOOKUP(DATE(YEAR(AB$2)-2,MONTH(AB$2),1),Rates_previous!$G$6:$O$29,3,FALSE),0)</f>
        <v>0</v>
      </c>
      <c r="AC6">
        <f>IF(AC$3="HLH",VLOOKUP(DATE(YEAR(AC$2)-2,MONTH(AC$2),1),Rates_previous!$G$6:$O$29,3,FALSE),0)</f>
        <v>10.46</v>
      </c>
      <c r="AD6">
        <f>IF(AD$3="HLH",VLOOKUP(DATE(YEAR(AD$2)-2,MONTH(AD$2),1),Rates_previous!$G$6:$O$29,3,FALSE),0)</f>
        <v>0</v>
      </c>
      <c r="AE6">
        <f>IF(AE$3="HLH",VLOOKUP(DATE(YEAR(AE$2)-2,MONTH(AE$2),1),Rates_previous!$G$6:$O$29,3,FALSE),0)</f>
        <v>12.78</v>
      </c>
      <c r="AF6">
        <f>IF(AF$3="HLH",VLOOKUP(DATE(YEAR(AF$2)-2,MONTH(AF$2),1),Rates_previous!$G$6:$O$29,3,FALSE),0)</f>
        <v>0</v>
      </c>
      <c r="AG6">
        <f>IF(AG$3="HLH",VLOOKUP(DATE(YEAR(AG$2)-2,MONTH(AG$2),1),Rates_previous!$G$6:$O$29,3,FALSE),0)</f>
        <v>11.31</v>
      </c>
      <c r="AH6">
        <f>IF(AH$3="HLH",VLOOKUP(DATE(YEAR(AH$2)-2,MONTH(AH$2),1),Rates_previous!$G$6:$O$29,3,FALSE),0)</f>
        <v>0</v>
      </c>
      <c r="AI6">
        <f>IF(AI$3="HLH",VLOOKUP(DATE(YEAR(AI$2)-2,MONTH(AI$2),1),Rates_previous!$G$6:$O$29,3,FALSE),0)</f>
        <v>11.47</v>
      </c>
      <c r="AJ6">
        <f>IF(AJ$3="HLH",VLOOKUP(DATE(YEAR(AJ$2)-2,MONTH(AJ$2),1),Rates_previous!$G$6:$O$29,3,FALSE),0)</f>
        <v>0</v>
      </c>
      <c r="AK6">
        <f>IF(AK$3="HLH",VLOOKUP(DATE(YEAR(AK$2)-2,MONTH(AK$2),1),Rates_previous!$G$6:$O$29,3,FALSE),0)</f>
        <v>9.09</v>
      </c>
      <c r="AL6">
        <f>IF(AL$3="HLH",VLOOKUP(DATE(YEAR(AL$2)-2,MONTH(AL$2),1),Rates_previous!$G$6:$O$29,3,FALSE),0)</f>
        <v>0</v>
      </c>
      <c r="AM6">
        <f>IF(AM$3="HLH",VLOOKUP(DATE(YEAR(AM$2)-2,MONTH(AM$2),1),Rates_previous!$G$6:$O$29,3,FALSE),0)</f>
        <v>6.83</v>
      </c>
      <c r="AN6">
        <f>IF(AN$3="HLH",VLOOKUP(DATE(YEAR(AN$2)-2,MONTH(AN$2),1),Rates_previous!$G$6:$O$29,3,FALSE),0)</f>
        <v>0</v>
      </c>
      <c r="AO6">
        <f>IF(AO$3="HLH",VLOOKUP(DATE(YEAR(AO$2)-2,MONTH(AO$2),1),Rates_previous!$G$6:$O$29,3,FALSE),0)</f>
        <v>5.36</v>
      </c>
      <c r="AP6">
        <f>IF(AP$3="HLH",VLOOKUP(DATE(YEAR(AP$2)-2,MONTH(AP$2),1),Rates_previous!$G$6:$O$29,3,FALSE),0)</f>
        <v>0</v>
      </c>
      <c r="AQ6">
        <f>IF(AQ$3="HLH",VLOOKUP(DATE(YEAR(AQ$2)-2,MONTH(AQ$2),1),Rates_previous!$G$6:$O$29,3,FALSE),0)</f>
        <v>5.65</v>
      </c>
      <c r="AR6">
        <f>IF(AR$3="HLH",VLOOKUP(DATE(YEAR(AR$2)-2,MONTH(AR$2),1),Rates_previous!$G$6:$O$29,3,FALSE),0)</f>
        <v>0</v>
      </c>
      <c r="AS6">
        <f>IF(AS$3="HLH",VLOOKUP(DATE(YEAR(AS$2)-2,MONTH(AS$2),1),Rates_previous!$G$6:$O$29,3,FALSE),0)</f>
        <v>12.14</v>
      </c>
      <c r="AT6">
        <f>IF(AT$3="HLH",VLOOKUP(DATE(YEAR(AT$2)-2,MONTH(AT$2),1),Rates_previous!$G$6:$O$29,3,FALSE),0)</f>
        <v>0</v>
      </c>
      <c r="AU6">
        <f>IF(AU$3="HLH",VLOOKUP(DATE(YEAR(AU$2)-2,MONTH(AU$2),1),Rates_previous!$G$6:$O$29,3,FALSE),0)</f>
        <v>11.83</v>
      </c>
      <c r="AV6">
        <f>IF(AV$3="HLH",VLOOKUP(DATE(YEAR(AV$2)-2,MONTH(AV$2),1),Rates_previous!$G$6:$O$29,3,FALSE),0)</f>
        <v>0</v>
      </c>
      <c r="AW6">
        <f>IF(AW$3="HLH",VLOOKUP(DATE(YEAR(AW$2)-2,MONTH(AW$2),1),Rates_previous!$G$6:$O$29,3,FALSE),0)</f>
        <v>9.2899999999999991</v>
      </c>
      <c r="AX6">
        <f>IF(AX$3="HLH",VLOOKUP(DATE(YEAR(AX$2)-2,MONTH(AX$2),1),Rates_previous!$G$6:$O$29,3,FALSE),0)</f>
        <v>0</v>
      </c>
    </row>
    <row r="7" spans="2:50">
      <c r="B7" t="s">
        <v>212</v>
      </c>
      <c r="C7">
        <f>IF(C$3="HLH",VLOOKUP(DATE(YEAR(C$2),MONTH(C$2),1),Rates_current!$G$6:$O$29,3,FALSE),0)</f>
        <v>10.37</v>
      </c>
      <c r="D7">
        <f>IF(D$3="HLH",VLOOKUP(DATE(YEAR(D$2),MONTH(D$2),1),Rates_current!$G$6:$O$29,3,FALSE),0)</f>
        <v>0</v>
      </c>
      <c r="E7">
        <f>IF(E$3="HLH",VLOOKUP(DATE(YEAR(E$2),MONTH(E$2),1),Rates_current!$G$6:$O$29,3,FALSE),0)</f>
        <v>8.75</v>
      </c>
      <c r="F7">
        <f>IF(F$3="HLH",VLOOKUP(DATE(YEAR(F$2),MONTH(F$2),1),Rates_current!$G$6:$O$29,3,FALSE),0)</f>
        <v>0</v>
      </c>
      <c r="G7">
        <f>IF(G$3="HLH",VLOOKUP(DATE(YEAR(G$2),MONTH(G$2),1),Rates_current!$G$6:$O$29,3,FALSE),0)</f>
        <v>13.39</v>
      </c>
      <c r="H7">
        <f>IF(H$3="HLH",VLOOKUP(DATE(YEAR(H$2),MONTH(H$2),1),Rates_current!$G$6:$O$29,3,FALSE),0)</f>
        <v>0</v>
      </c>
      <c r="I7">
        <f>IF(I$3="HLH",VLOOKUP(DATE(YEAR(I$2),MONTH(I$2),1),Rates_current!$G$6:$O$29,3,FALSE),0)</f>
        <v>10.84</v>
      </c>
      <c r="J7">
        <f>IF(J$3="HLH",VLOOKUP(DATE(YEAR(J$2),MONTH(J$2),1),Rates_current!$G$6:$O$29,3,FALSE),0)</f>
        <v>0</v>
      </c>
      <c r="K7">
        <f>IF(K$3="HLH",VLOOKUP(DATE(YEAR(K$2),MONTH(K$2),1),Rates_current!$G$6:$O$29,3,FALSE),0)</f>
        <v>10.93</v>
      </c>
      <c r="L7">
        <f>IF(L$3="HLH",VLOOKUP(DATE(YEAR(L$2),MONTH(L$2),1),Rates_current!$G$6:$O$29,3,FALSE),0)</f>
        <v>0</v>
      </c>
      <c r="M7">
        <f>IF(M$3="HLH",VLOOKUP(DATE(YEAR(M$2),MONTH(M$2),1),Rates_current!$G$6:$O$29,3,FALSE),0)</f>
        <v>7.62</v>
      </c>
      <c r="N7">
        <f>IF(N$3="HLH",VLOOKUP(DATE(YEAR(N$2),MONTH(N$2),1),Rates_current!$G$6:$O$29,3,FALSE),0)</f>
        <v>0</v>
      </c>
      <c r="O7">
        <f>IF(O$3="HLH",VLOOKUP(DATE(YEAR(O$2),MONTH(O$2),1),Rates_current!$G$6:$O$29,3,FALSE),0)</f>
        <v>4.43</v>
      </c>
      <c r="P7">
        <f>IF(P$3="HLH",VLOOKUP(DATE(YEAR(P$2),MONTH(P$2),1),Rates_current!$G$6:$O$29,3,FALSE),0)</f>
        <v>0</v>
      </c>
      <c r="Q7">
        <f>IF(Q$3="HLH",VLOOKUP(DATE(YEAR(Q$2),MONTH(Q$2),1),Rates_current!$G$6:$O$29,3,FALSE),0)</f>
        <v>3.95</v>
      </c>
      <c r="R7">
        <f>IF(R$3="HLH",VLOOKUP(DATE(YEAR(R$2),MONTH(R$2),1),Rates_current!$G$6:$O$29,3,FALSE),0)</f>
        <v>0</v>
      </c>
      <c r="S7">
        <f>IF(S$3="HLH",VLOOKUP(DATE(YEAR(S$2),MONTH(S$2),1),Rates_current!$G$6:$O$29,3,FALSE),0)</f>
        <v>3.88</v>
      </c>
      <c r="T7">
        <f>IF(T$3="HLH",VLOOKUP(DATE(YEAR(T$2),MONTH(T$2),1),Rates_current!$G$6:$O$29,3,FALSE),0)</f>
        <v>0</v>
      </c>
      <c r="U7">
        <f>IF(U$3="HLH",VLOOKUP(DATE(YEAR(U$2),MONTH(U$2),1),Rates_current!$G$6:$O$29,3,FALSE),0)</f>
        <v>12.08</v>
      </c>
      <c r="V7">
        <f>IF(V$3="HLH",VLOOKUP(DATE(YEAR(V$2),MONTH(V$2),1),Rates_current!$G$6:$O$29,3,FALSE),0)</f>
        <v>0</v>
      </c>
      <c r="W7">
        <f>IF(W$3="HLH",VLOOKUP(DATE(YEAR(W$2),MONTH(W$2),1),Rates_current!$G$6:$O$29,3,FALSE),0)</f>
        <v>15.54</v>
      </c>
      <c r="X7">
        <f>IF(X$3="HLH",VLOOKUP(DATE(YEAR(X$2),MONTH(X$2),1),Rates_current!$G$6:$O$29,3,FALSE),0)</f>
        <v>0</v>
      </c>
      <c r="Y7">
        <f>IF(Y$3="HLH",VLOOKUP(DATE(YEAR(Y$2),MONTH(Y$2),1),Rates_current!$G$6:$O$29,3,FALSE),0)</f>
        <v>12.75</v>
      </c>
      <c r="Z7">
        <f>IF(Z$3="HLH",VLOOKUP(DATE(YEAR(Z$2),MONTH(Z$2),1),Rates_current!$G$6:$O$29,3,FALSE),0)</f>
        <v>0</v>
      </c>
      <c r="AA7">
        <f>IF(AA$3="HLH",VLOOKUP(DATE(YEAR(AA$2),MONTH(AA$2),1),Rates_current!$G$6:$O$29,3,FALSE),0)</f>
        <v>10.37</v>
      </c>
      <c r="AB7">
        <f>IF(AB$3="HLH",VLOOKUP(DATE(YEAR(AB$2),MONTH(AB$2),1),Rates_current!$G$6:$O$29,3,FALSE),0)</f>
        <v>0</v>
      </c>
      <c r="AC7">
        <f>IF(AC$3="HLH",VLOOKUP(DATE(YEAR(AC$2),MONTH(AC$2),1),Rates_current!$G$6:$O$29,3,FALSE),0)</f>
        <v>8.75</v>
      </c>
      <c r="AD7">
        <f>IF(AD$3="HLH",VLOOKUP(DATE(YEAR(AD$2),MONTH(AD$2),1),Rates_current!$G$6:$O$29,3,FALSE),0)</f>
        <v>0</v>
      </c>
      <c r="AE7">
        <f>IF(AE$3="HLH",VLOOKUP(DATE(YEAR(AE$2),MONTH(AE$2),1),Rates_current!$G$6:$O$29,3,FALSE),0)</f>
        <v>13.39</v>
      </c>
      <c r="AF7">
        <f>IF(AF$3="HLH",VLOOKUP(DATE(YEAR(AF$2),MONTH(AF$2),1),Rates_current!$G$6:$O$29,3,FALSE),0)</f>
        <v>0</v>
      </c>
      <c r="AG7">
        <f>IF(AG$3="HLH",VLOOKUP(DATE(YEAR(AG$2),MONTH(AG$2),1),Rates_current!$G$6:$O$29,3,FALSE),0)</f>
        <v>10.84</v>
      </c>
      <c r="AH7">
        <f>IF(AH$3="HLH",VLOOKUP(DATE(YEAR(AH$2),MONTH(AH$2),1),Rates_current!$G$6:$O$29,3,FALSE),0)</f>
        <v>0</v>
      </c>
      <c r="AI7">
        <f>IF(AI$3="HLH",VLOOKUP(DATE(YEAR(AI$2),MONTH(AI$2),1),Rates_current!$G$6:$O$29,3,FALSE),0)</f>
        <v>10.93</v>
      </c>
      <c r="AJ7">
        <f>IF(AJ$3="HLH",VLOOKUP(DATE(YEAR(AJ$2),MONTH(AJ$2),1),Rates_current!$G$6:$O$29,3,FALSE),0)</f>
        <v>0</v>
      </c>
      <c r="AK7">
        <f>IF(AK$3="HLH",VLOOKUP(DATE(YEAR(AK$2),MONTH(AK$2),1),Rates_current!$G$6:$O$29,3,FALSE),0)</f>
        <v>7.62</v>
      </c>
      <c r="AL7">
        <f>IF(AL$3="HLH",VLOOKUP(DATE(YEAR(AL$2),MONTH(AL$2),1),Rates_current!$G$6:$O$29,3,FALSE),0)</f>
        <v>0</v>
      </c>
      <c r="AM7">
        <f>IF(AM$3="HLH",VLOOKUP(DATE(YEAR(AM$2),MONTH(AM$2),1),Rates_current!$G$6:$O$29,3,FALSE),0)</f>
        <v>4.43</v>
      </c>
      <c r="AN7">
        <f>IF(AN$3="HLH",VLOOKUP(DATE(YEAR(AN$2),MONTH(AN$2),1),Rates_current!$G$6:$O$29,3,FALSE),0)</f>
        <v>0</v>
      </c>
      <c r="AO7">
        <f>IF(AO$3="HLH",VLOOKUP(DATE(YEAR(AO$2),MONTH(AO$2),1),Rates_current!$G$6:$O$29,3,FALSE),0)</f>
        <v>3.95</v>
      </c>
      <c r="AP7">
        <f>IF(AP$3="HLH",VLOOKUP(DATE(YEAR(AP$2),MONTH(AP$2),1),Rates_current!$G$6:$O$29,3,FALSE),0)</f>
        <v>0</v>
      </c>
      <c r="AQ7">
        <f>IF(AQ$3="HLH",VLOOKUP(DATE(YEAR(AQ$2),MONTH(AQ$2),1),Rates_current!$G$6:$O$29,3,FALSE),0)</f>
        <v>3.88</v>
      </c>
      <c r="AR7">
        <f>IF(AR$3="HLH",VLOOKUP(DATE(YEAR(AR$2),MONTH(AR$2),1),Rates_current!$G$6:$O$29,3,FALSE),0)</f>
        <v>0</v>
      </c>
      <c r="AS7">
        <f>IF(AS$3="HLH",VLOOKUP(DATE(YEAR(AS$2),MONTH(AS$2),1),Rates_current!$G$6:$O$29,3,FALSE),0)</f>
        <v>12.08</v>
      </c>
      <c r="AT7">
        <f>IF(AT$3="HLH",VLOOKUP(DATE(YEAR(AT$2),MONTH(AT$2),1),Rates_current!$G$6:$O$29,3,FALSE),0)</f>
        <v>0</v>
      </c>
      <c r="AU7">
        <f>IF(AU$3="HLH",VLOOKUP(DATE(YEAR(AU$2),MONTH(AU$2),1),Rates_current!$G$6:$O$29,3,FALSE),0)</f>
        <v>15.54</v>
      </c>
      <c r="AV7">
        <f>IF(AV$3="HLH",VLOOKUP(DATE(YEAR(AV$2),MONTH(AV$2),1),Rates_current!$G$6:$O$29,3,FALSE),0)</f>
        <v>0</v>
      </c>
      <c r="AW7">
        <f>IF(AW$3="HLH",VLOOKUP(DATE(YEAR(AW$2),MONTH(AW$2),1),Rates_current!$G$6:$O$29,3,FALSE),0)</f>
        <v>12.75</v>
      </c>
      <c r="AX7">
        <f>IF(AX$3="HLH",VLOOKUP(DATE(YEAR(AX$2),MONTH(AX$2),1),Rates_current!$G$6:$O$29,3,FALSE),0)</f>
        <v>0</v>
      </c>
    </row>
    <row r="9" spans="2:50">
      <c r="C9" s="151">
        <f>INDEX($C$2:$AX$2,1,C12)</f>
        <v>45200</v>
      </c>
      <c r="D9" s="151">
        <f t="shared" ref="D9:Z9" si="0">INDEX($C$2:$AX$2,1,D12)</f>
        <v>45231</v>
      </c>
      <c r="E9" s="151">
        <f t="shared" si="0"/>
        <v>45261</v>
      </c>
      <c r="F9" s="151">
        <f t="shared" si="0"/>
        <v>45292</v>
      </c>
      <c r="G9" s="151">
        <f t="shared" si="0"/>
        <v>45323</v>
      </c>
      <c r="H9" s="151">
        <f t="shared" si="0"/>
        <v>45352</v>
      </c>
      <c r="I9" s="151">
        <f t="shared" si="0"/>
        <v>45383</v>
      </c>
      <c r="J9" s="151">
        <f t="shared" si="0"/>
        <v>45413</v>
      </c>
      <c r="K9" s="151">
        <f t="shared" si="0"/>
        <v>45444</v>
      </c>
      <c r="L9" s="151">
        <f t="shared" si="0"/>
        <v>45474</v>
      </c>
      <c r="M9" s="151">
        <f t="shared" si="0"/>
        <v>45505</v>
      </c>
      <c r="N9" s="151">
        <f t="shared" si="0"/>
        <v>45536</v>
      </c>
      <c r="O9" s="151">
        <f t="shared" si="0"/>
        <v>45566</v>
      </c>
      <c r="P9" s="151">
        <f t="shared" si="0"/>
        <v>45597</v>
      </c>
      <c r="Q9" s="151">
        <f t="shared" si="0"/>
        <v>45627</v>
      </c>
      <c r="R9" s="151">
        <f t="shared" si="0"/>
        <v>45658</v>
      </c>
      <c r="S9" s="151">
        <f t="shared" si="0"/>
        <v>45689</v>
      </c>
      <c r="T9" s="151">
        <f t="shared" si="0"/>
        <v>45717</v>
      </c>
      <c r="U9" s="151">
        <f t="shared" si="0"/>
        <v>45748</v>
      </c>
      <c r="V9" s="151">
        <f t="shared" si="0"/>
        <v>45778</v>
      </c>
      <c r="W9" s="151">
        <f t="shared" si="0"/>
        <v>45809</v>
      </c>
      <c r="X9" s="151">
        <f t="shared" si="0"/>
        <v>45839</v>
      </c>
      <c r="Y9" s="151">
        <f t="shared" si="0"/>
        <v>45870</v>
      </c>
      <c r="Z9" s="151">
        <f t="shared" si="0"/>
        <v>45901</v>
      </c>
    </row>
    <row r="10" spans="2:50">
      <c r="B10" s="191" t="s">
        <v>211</v>
      </c>
      <c r="C10">
        <f>INDEX($C$6:$AX$6,1,C12)</f>
        <v>9.8699999999999992</v>
      </c>
      <c r="D10" s="191">
        <f t="shared" ref="D10:Z10" si="1">INDEX($C$6:$AX$6,1,D12)</f>
        <v>10.46</v>
      </c>
      <c r="E10" s="191">
        <f t="shared" si="1"/>
        <v>12.78</v>
      </c>
      <c r="F10" s="191">
        <f t="shared" si="1"/>
        <v>11.31</v>
      </c>
      <c r="G10" s="191">
        <f t="shared" si="1"/>
        <v>11.47</v>
      </c>
      <c r="H10" s="191">
        <f t="shared" si="1"/>
        <v>9.09</v>
      </c>
      <c r="I10" s="191">
        <f t="shared" si="1"/>
        <v>6.83</v>
      </c>
      <c r="J10" s="191">
        <f t="shared" si="1"/>
        <v>5.36</v>
      </c>
      <c r="K10" s="191">
        <f t="shared" si="1"/>
        <v>5.65</v>
      </c>
      <c r="L10" s="191">
        <f t="shared" si="1"/>
        <v>12.14</v>
      </c>
      <c r="M10" s="191">
        <f t="shared" si="1"/>
        <v>11.83</v>
      </c>
      <c r="N10" s="191">
        <f t="shared" si="1"/>
        <v>9.2899999999999991</v>
      </c>
      <c r="O10" s="191">
        <f t="shared" si="1"/>
        <v>9.8699999999999992</v>
      </c>
      <c r="P10" s="191">
        <f t="shared" si="1"/>
        <v>10.46</v>
      </c>
      <c r="Q10" s="191">
        <f t="shared" si="1"/>
        <v>12.78</v>
      </c>
      <c r="R10" s="191">
        <f>INDEX($C$6:$AX$6,1,R12)</f>
        <v>11.31</v>
      </c>
      <c r="S10" s="191">
        <f t="shared" si="1"/>
        <v>11.47</v>
      </c>
      <c r="T10" s="191">
        <f t="shared" si="1"/>
        <v>9.09</v>
      </c>
      <c r="U10" s="191">
        <f t="shared" si="1"/>
        <v>6.83</v>
      </c>
      <c r="V10" s="191">
        <f t="shared" si="1"/>
        <v>5.36</v>
      </c>
      <c r="W10" s="191">
        <f t="shared" si="1"/>
        <v>5.65</v>
      </c>
      <c r="X10" s="191">
        <f t="shared" si="1"/>
        <v>12.14</v>
      </c>
      <c r="Y10" s="191">
        <f t="shared" si="1"/>
        <v>11.83</v>
      </c>
      <c r="Z10" s="191">
        <f t="shared" si="1"/>
        <v>9.2899999999999991</v>
      </c>
      <c r="AA10" s="191"/>
      <c r="AB10" s="191"/>
    </row>
    <row r="11" spans="2:50">
      <c r="B11" s="191" t="s">
        <v>212</v>
      </c>
      <c r="C11" s="191">
        <f>INDEX($C$7:$AX$7,1,C12)</f>
        <v>10.37</v>
      </c>
      <c r="D11" s="191">
        <f t="shared" ref="D11:Z11" si="2">INDEX($C$7:$AX$7,1,D12)</f>
        <v>8.75</v>
      </c>
      <c r="E11" s="191">
        <f t="shared" si="2"/>
        <v>13.39</v>
      </c>
      <c r="F11" s="191">
        <f t="shared" si="2"/>
        <v>10.84</v>
      </c>
      <c r="G11" s="191">
        <f t="shared" si="2"/>
        <v>10.93</v>
      </c>
      <c r="H11" s="191">
        <f t="shared" si="2"/>
        <v>7.62</v>
      </c>
      <c r="I11" s="191">
        <f t="shared" si="2"/>
        <v>4.43</v>
      </c>
      <c r="J11" s="191">
        <f t="shared" si="2"/>
        <v>3.95</v>
      </c>
      <c r="K11" s="191">
        <f t="shared" si="2"/>
        <v>3.88</v>
      </c>
      <c r="L11" s="191">
        <f t="shared" si="2"/>
        <v>12.08</v>
      </c>
      <c r="M11" s="191">
        <f t="shared" si="2"/>
        <v>15.54</v>
      </c>
      <c r="N11" s="191">
        <f t="shared" si="2"/>
        <v>12.75</v>
      </c>
      <c r="O11" s="191">
        <f t="shared" si="2"/>
        <v>10.37</v>
      </c>
      <c r="P11" s="191">
        <f t="shared" si="2"/>
        <v>8.75</v>
      </c>
      <c r="Q11" s="191">
        <f t="shared" si="2"/>
        <v>13.39</v>
      </c>
      <c r="R11" s="191">
        <f t="shared" si="2"/>
        <v>10.84</v>
      </c>
      <c r="S11" s="191">
        <f t="shared" si="2"/>
        <v>10.93</v>
      </c>
      <c r="T11" s="191">
        <f t="shared" si="2"/>
        <v>7.62</v>
      </c>
      <c r="U11" s="191">
        <f t="shared" si="2"/>
        <v>4.43</v>
      </c>
      <c r="V11" s="191">
        <f t="shared" si="2"/>
        <v>3.95</v>
      </c>
      <c r="W11" s="191">
        <f t="shared" si="2"/>
        <v>3.88</v>
      </c>
      <c r="X11" s="191">
        <f t="shared" si="2"/>
        <v>12.08</v>
      </c>
      <c r="Y11" s="191">
        <f t="shared" si="2"/>
        <v>15.54</v>
      </c>
      <c r="Z11" s="191">
        <f t="shared" si="2"/>
        <v>12.75</v>
      </c>
    </row>
    <row r="12" spans="2:50">
      <c r="C12" s="196">
        <v>1</v>
      </c>
      <c r="D12" s="196">
        <v>3</v>
      </c>
      <c r="E12" s="196">
        <f>D12+2</f>
        <v>5</v>
      </c>
      <c r="F12" s="196">
        <f t="shared" ref="F12:Z12" si="3">E12+2</f>
        <v>7</v>
      </c>
      <c r="G12" s="196">
        <f t="shared" si="3"/>
        <v>9</v>
      </c>
      <c r="H12" s="196">
        <f t="shared" si="3"/>
        <v>11</v>
      </c>
      <c r="I12" s="196">
        <f t="shared" si="3"/>
        <v>13</v>
      </c>
      <c r="J12" s="196">
        <f t="shared" si="3"/>
        <v>15</v>
      </c>
      <c r="K12" s="196">
        <f t="shared" si="3"/>
        <v>17</v>
      </c>
      <c r="L12" s="196">
        <f t="shared" si="3"/>
        <v>19</v>
      </c>
      <c r="M12" s="196">
        <f t="shared" si="3"/>
        <v>21</v>
      </c>
      <c r="N12" s="196">
        <f t="shared" si="3"/>
        <v>23</v>
      </c>
      <c r="O12" s="196">
        <f t="shared" si="3"/>
        <v>25</v>
      </c>
      <c r="P12" s="196">
        <f t="shared" si="3"/>
        <v>27</v>
      </c>
      <c r="Q12" s="196">
        <f t="shared" si="3"/>
        <v>29</v>
      </c>
      <c r="R12" s="196">
        <f t="shared" si="3"/>
        <v>31</v>
      </c>
      <c r="S12" s="196">
        <f t="shared" si="3"/>
        <v>33</v>
      </c>
      <c r="T12" s="196">
        <f t="shared" si="3"/>
        <v>35</v>
      </c>
      <c r="U12" s="196">
        <f t="shared" si="3"/>
        <v>37</v>
      </c>
      <c r="V12" s="196">
        <f t="shared" si="3"/>
        <v>39</v>
      </c>
      <c r="W12" s="196">
        <f t="shared" si="3"/>
        <v>41</v>
      </c>
      <c r="X12" s="196">
        <f t="shared" si="3"/>
        <v>43</v>
      </c>
      <c r="Y12" s="196">
        <f t="shared" si="3"/>
        <v>45</v>
      </c>
      <c r="Z12" s="196">
        <f t="shared" si="3"/>
        <v>47</v>
      </c>
      <c r="AA12" s="191"/>
      <c r="AB12" s="191"/>
    </row>
  </sheetData>
  <conditionalFormatting sqref="C2:L2">
    <cfRule type="expression" dxfId="3" priority="1" stopIfTrue="1">
      <formula>#REF! &gt; 30</formula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B050"/>
    <pageSetUpPr fitToPage="1"/>
  </sheetPr>
  <dimension ref="A1:ED142"/>
  <sheetViews>
    <sheetView zoomScale="85" zoomScaleNormal="85" workbookViewId="0">
      <pane xSplit="4" ySplit="5" topLeftCell="E63" activePane="bottomRight" state="frozen"/>
      <selection pane="topRight" activeCell="D1" sqref="D1"/>
      <selection pane="bottomLeft" activeCell="A6" sqref="A6"/>
      <selection pane="bottomRight" activeCell="H120" sqref="H120"/>
    </sheetView>
  </sheetViews>
  <sheetFormatPr defaultRowHeight="14.4"/>
  <cols>
    <col min="1" max="1" width="14.109375" customWidth="1"/>
    <col min="2" max="2" width="26.5546875" bestFit="1" customWidth="1"/>
    <col min="3" max="3" width="8.5546875" style="191" customWidth="1"/>
    <col min="4" max="4" width="10.6640625" style="191" bestFit="1" customWidth="1"/>
    <col min="5" max="6" width="12.6640625" customWidth="1"/>
    <col min="7" max="8" width="12.6640625" style="161" customWidth="1"/>
    <col min="9" max="10" width="12.6640625" style="191" customWidth="1"/>
    <col min="11" max="11" width="12.6640625" style="161" customWidth="1"/>
    <col min="12" max="47" width="8.6640625" style="161" customWidth="1"/>
    <col min="48" max="48" width="8.6640625" style="232" customWidth="1"/>
    <col min="49" max="49" width="9" style="232" customWidth="1"/>
    <col min="50" max="59" width="8.6640625" style="232" customWidth="1"/>
    <col min="60" max="60" width="18.109375" style="161" bestFit="1" customWidth="1"/>
    <col min="61" max="61" width="13.5546875" style="161" bestFit="1" customWidth="1"/>
    <col min="62" max="62" width="20.33203125" style="161" bestFit="1" customWidth="1"/>
    <col min="63" max="63" width="20.33203125" style="161" customWidth="1"/>
    <col min="64" max="64" width="16.44140625" style="161" bestFit="1" customWidth="1"/>
    <col min="65" max="65" width="15.44140625" style="161" bestFit="1" customWidth="1"/>
    <col min="66" max="66" width="15.6640625" style="161" bestFit="1" customWidth="1"/>
    <col min="67" max="67" width="22" style="161" bestFit="1" customWidth="1"/>
    <col min="68" max="68" width="22" style="161" customWidth="1"/>
    <col min="69" max="69" width="14.6640625" style="161" bestFit="1" customWidth="1"/>
    <col min="70" max="70" width="10.33203125" bestFit="1" customWidth="1"/>
    <col min="71" max="71" width="19.44140625" bestFit="1" customWidth="1"/>
    <col min="72" max="72" width="9.5546875" bestFit="1" customWidth="1"/>
    <col min="73" max="73" width="10.88671875" customWidth="1"/>
    <col min="74" max="75" width="12.6640625" style="191" customWidth="1"/>
    <col min="113" max="113" width="11.6640625" style="232" customWidth="1"/>
    <col min="114" max="124" width="9.109375" style="232"/>
    <col min="125" max="125" width="18.33203125" bestFit="1" customWidth="1"/>
    <col min="126" max="126" width="12.6640625" style="191" customWidth="1"/>
    <col min="127" max="127" width="13.33203125" style="191" customWidth="1"/>
    <col min="128" max="128" width="17.33203125" style="191" bestFit="1" customWidth="1"/>
    <col min="129" max="129" width="14.44140625" style="191" bestFit="1" customWidth="1"/>
    <col min="130" max="130" width="11.33203125" style="191" customWidth="1"/>
    <col min="131" max="131" width="9.33203125" style="191" bestFit="1" customWidth="1"/>
    <col min="132" max="132" width="12.88671875" bestFit="1" customWidth="1"/>
    <col min="133" max="133" width="18.109375" customWidth="1"/>
    <col min="134" max="134" width="10.44140625" customWidth="1"/>
  </cols>
  <sheetData>
    <row r="1" spans="1:134">
      <c r="A1" t="s">
        <v>245</v>
      </c>
      <c r="E1" s="163" t="s">
        <v>246</v>
      </c>
      <c r="F1" s="164">
        <f>Init!R3</f>
        <v>2022</v>
      </c>
      <c r="G1" s="162"/>
      <c r="BJ1" s="232"/>
      <c r="BL1" s="193"/>
      <c r="BR1" s="163" t="s">
        <v>247</v>
      </c>
      <c r="BS1" s="165">
        <f>Init!R6</f>
        <v>2024</v>
      </c>
    </row>
    <row r="2" spans="1:134" s="161" customFormat="1">
      <c r="C2" s="191"/>
      <c r="D2" s="191"/>
      <c r="E2" s="181" t="s">
        <v>256</v>
      </c>
      <c r="F2" s="194">
        <f>VLOOKUP(F1,Init!K4:$M$40,3)</f>
        <v>8760</v>
      </c>
      <c r="G2" s="162"/>
      <c r="I2" s="191"/>
      <c r="J2" s="191"/>
      <c r="AS2" s="193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L2"/>
      <c r="BR2" s="181" t="s">
        <v>256</v>
      </c>
      <c r="BS2" s="195">
        <f>VLOOKUP(BS1,Init!K4:$M$40,3)</f>
        <v>8784</v>
      </c>
      <c r="BV2" s="191"/>
      <c r="BW2" s="191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V2" s="191"/>
      <c r="DW2" s="191"/>
      <c r="DX2" s="191"/>
      <c r="DY2" s="191"/>
      <c r="DZ2" s="191"/>
      <c r="EA2" s="191"/>
    </row>
    <row r="3" spans="1:134" s="161" customFormat="1">
      <c r="C3" s="191"/>
      <c r="D3" s="191"/>
      <c r="E3" s="412" t="s">
        <v>193</v>
      </c>
      <c r="F3" s="412"/>
      <c r="G3" s="87"/>
      <c r="H3" s="87"/>
      <c r="I3" s="188"/>
      <c r="J3" s="188"/>
      <c r="K3" s="87"/>
      <c r="L3" s="172" t="s">
        <v>252</v>
      </c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172" t="s">
        <v>249</v>
      </c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172" t="s">
        <v>268</v>
      </c>
      <c r="AW3" s="188"/>
      <c r="AX3" s="188"/>
      <c r="AY3" s="188"/>
      <c r="AZ3" s="188"/>
      <c r="BA3" s="188"/>
      <c r="BB3" s="188"/>
      <c r="BC3" s="188"/>
      <c r="BD3" s="188"/>
      <c r="BE3" s="188"/>
      <c r="BF3" s="188"/>
      <c r="BG3" s="188"/>
      <c r="BH3" s="172" t="s">
        <v>250</v>
      </c>
      <c r="BI3" s="172" t="s">
        <v>251</v>
      </c>
      <c r="BK3" s="172"/>
      <c r="BL3" s="87"/>
      <c r="BM3" s="87"/>
      <c r="BN3" s="188"/>
      <c r="BO3" s="188"/>
      <c r="BP3" s="188"/>
      <c r="BQ3" s="188"/>
      <c r="BR3" s="412" t="s">
        <v>193</v>
      </c>
      <c r="BS3" s="412"/>
      <c r="BV3" s="188"/>
      <c r="BW3" s="188"/>
      <c r="BY3" s="172" t="s">
        <v>252</v>
      </c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72" t="s">
        <v>249</v>
      </c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72" t="s">
        <v>268</v>
      </c>
      <c r="DJ3" s="188"/>
      <c r="DK3" s="188"/>
      <c r="DL3" s="188"/>
      <c r="DM3" s="188"/>
      <c r="DN3" s="188"/>
      <c r="DO3" s="188"/>
      <c r="DP3" s="188"/>
      <c r="DQ3" s="188"/>
      <c r="DR3" s="188"/>
      <c r="DS3" s="188"/>
      <c r="DT3" s="188"/>
      <c r="DU3" s="172" t="s">
        <v>250</v>
      </c>
      <c r="DV3" s="172" t="s">
        <v>251</v>
      </c>
      <c r="DW3" s="172"/>
      <c r="DX3" s="172"/>
      <c r="DY3" s="172"/>
      <c r="DZ3" s="172"/>
      <c r="EA3" s="172"/>
      <c r="EC3" s="183"/>
      <c r="ED3" s="183"/>
    </row>
    <row r="4" spans="1:134" s="178" customFormat="1" ht="43.2">
      <c r="A4" s="173" t="s">
        <v>2</v>
      </c>
      <c r="B4" s="85" t="s">
        <v>3</v>
      </c>
      <c r="C4" s="85" t="s">
        <v>5</v>
      </c>
      <c r="D4" s="85" t="s">
        <v>261</v>
      </c>
      <c r="E4" s="174" t="str">
        <f>CONCATENATE("TOCA ", $F$1)</f>
        <v>TOCA 2022</v>
      </c>
      <c r="F4" s="175" t="str">
        <f>CONCATENATE("Non-slice TOCA ", $F$1)</f>
        <v>Non-slice TOCA 2022</v>
      </c>
      <c r="G4" s="175" t="str">
        <f>CONCATENATE("Slice % ", $F$1)</f>
        <v>Slice % 2022</v>
      </c>
      <c r="H4" s="175" t="str">
        <f>CONCATENATE("Applicable LDD ", $F$1)</f>
        <v>Applicable LDD 2022</v>
      </c>
      <c r="I4" s="175" t="s">
        <v>263</v>
      </c>
      <c r="J4" s="175" t="s">
        <v>264</v>
      </c>
      <c r="K4" s="175" t="str">
        <f>CONCATENATE("IRD ", F1)</f>
        <v>IRD 2022</v>
      </c>
      <c r="L4" s="176">
        <f>DATE($F$1-1, 10, 1)</f>
        <v>44470</v>
      </c>
      <c r="M4" s="176">
        <f>L4</f>
        <v>44470</v>
      </c>
      <c r="N4" s="176">
        <f>DATE($F$1-1, 11, 1)</f>
        <v>44501</v>
      </c>
      <c r="O4" s="176">
        <f>N4</f>
        <v>44501</v>
      </c>
      <c r="P4" s="176">
        <f>DATE($F$1-1, 12, 1)</f>
        <v>44531</v>
      </c>
      <c r="Q4" s="176">
        <f>P4</f>
        <v>44531</v>
      </c>
      <c r="R4" s="176">
        <f>DATE($F$1, 1, 1)</f>
        <v>44562</v>
      </c>
      <c r="S4" s="176">
        <f>R4</f>
        <v>44562</v>
      </c>
      <c r="T4" s="176">
        <f>DATE($F$1, 2, 1)</f>
        <v>44593</v>
      </c>
      <c r="U4" s="176">
        <f>T4</f>
        <v>44593</v>
      </c>
      <c r="V4" s="176">
        <f>DATE($F$1, 3, 1)</f>
        <v>44621</v>
      </c>
      <c r="W4" s="176">
        <f>V4</f>
        <v>44621</v>
      </c>
      <c r="X4" s="176">
        <f>DATE($F$1, 4, 1)</f>
        <v>44652</v>
      </c>
      <c r="Y4" s="176">
        <f>X4</f>
        <v>44652</v>
      </c>
      <c r="Z4" s="176">
        <f>DATE($F$1, 5, 1)</f>
        <v>44682</v>
      </c>
      <c r="AA4" s="176">
        <f>Z4</f>
        <v>44682</v>
      </c>
      <c r="AB4" s="176">
        <f>DATE($F$1, 6, 1)</f>
        <v>44713</v>
      </c>
      <c r="AC4" s="176">
        <f>AB4</f>
        <v>44713</v>
      </c>
      <c r="AD4" s="176">
        <f>DATE($F$1, 7, 1)</f>
        <v>44743</v>
      </c>
      <c r="AE4" s="176">
        <f>AD4</f>
        <v>44743</v>
      </c>
      <c r="AF4" s="176">
        <f>DATE($F$1, 8, 1)</f>
        <v>44774</v>
      </c>
      <c r="AG4" s="176">
        <f>AF4</f>
        <v>44774</v>
      </c>
      <c r="AH4" s="176">
        <f>DATE($F$1, 9, 1)</f>
        <v>44805</v>
      </c>
      <c r="AI4" s="176">
        <f>AH4</f>
        <v>44805</v>
      </c>
      <c r="AJ4" s="176">
        <f>L4</f>
        <v>44470</v>
      </c>
      <c r="AK4" s="176">
        <f>N4</f>
        <v>44501</v>
      </c>
      <c r="AL4" s="176">
        <f>P4</f>
        <v>44531</v>
      </c>
      <c r="AM4" s="176">
        <f>R4</f>
        <v>44562</v>
      </c>
      <c r="AN4" s="176">
        <f>T4</f>
        <v>44593</v>
      </c>
      <c r="AO4" s="176">
        <f>V4</f>
        <v>44621</v>
      </c>
      <c r="AP4" s="176">
        <f>X4</f>
        <v>44652</v>
      </c>
      <c r="AQ4" s="176">
        <f>Z4</f>
        <v>44682</v>
      </c>
      <c r="AR4" s="176">
        <f>AB4</f>
        <v>44713</v>
      </c>
      <c r="AS4" s="176">
        <f>AD4</f>
        <v>44743</v>
      </c>
      <c r="AT4" s="176">
        <f>AF4</f>
        <v>44774</v>
      </c>
      <c r="AU4" s="176">
        <f>AH4</f>
        <v>44805</v>
      </c>
      <c r="AV4" s="176">
        <f>AJ4</f>
        <v>44470</v>
      </c>
      <c r="AW4" s="176">
        <f t="shared" ref="AW4:BG4" si="0">AK4</f>
        <v>44501</v>
      </c>
      <c r="AX4" s="176">
        <f t="shared" si="0"/>
        <v>44531</v>
      </c>
      <c r="AY4" s="176">
        <f t="shared" si="0"/>
        <v>44562</v>
      </c>
      <c r="AZ4" s="176">
        <f t="shared" si="0"/>
        <v>44593</v>
      </c>
      <c r="BA4" s="176">
        <f t="shared" si="0"/>
        <v>44621</v>
      </c>
      <c r="BB4" s="176">
        <f t="shared" si="0"/>
        <v>44652</v>
      </c>
      <c r="BC4" s="176">
        <f t="shared" si="0"/>
        <v>44682</v>
      </c>
      <c r="BD4" s="176">
        <f t="shared" si="0"/>
        <v>44713</v>
      </c>
      <c r="BE4" s="176">
        <f t="shared" si="0"/>
        <v>44743</v>
      </c>
      <c r="BF4" s="176">
        <f t="shared" si="0"/>
        <v>44774</v>
      </c>
      <c r="BG4" s="176">
        <f t="shared" si="0"/>
        <v>44805</v>
      </c>
      <c r="BH4" s="184" t="str">
        <f>CONCATENATE("T2 LS ", $F$1)</f>
        <v>T2 LS 2022</v>
      </c>
      <c r="BI4" s="184" t="str">
        <f>"TOCA Load "&amp;$F$1</f>
        <v>TOCA Load 2022</v>
      </c>
      <c r="BJ4" s="184" t="str">
        <f>"Annual T1 Load "&amp;$F$1</f>
        <v>Annual T1 Load 2022</v>
      </c>
      <c r="BK4" s="184" t="str">
        <f>"Above RHWM Not Served with LS"&amp;$F$1</f>
        <v>Above RHWM Not Served with LS2022</v>
      </c>
      <c r="BL4" s="184" t="str">
        <f>CONCATENATE("Annual Deviation ", $F$1)</f>
        <v>Annual Deviation 2022</v>
      </c>
      <c r="BM4" s="184" t="str">
        <f>CONCATENATE("Above Forecast ", $F$1)</f>
        <v>Above Forecast 2022</v>
      </c>
      <c r="BN4" s="184" t="s">
        <v>254</v>
      </c>
      <c r="BO4" s="184" t="s">
        <v>255</v>
      </c>
      <c r="BP4" s="184" t="s">
        <v>257</v>
      </c>
      <c r="BQ4" s="184" t="str">
        <f>CONCATENATE("LSTU ", $F$1)</f>
        <v>LSTU 2022</v>
      </c>
      <c r="BR4" s="185" t="str">
        <f>CONCATENATE("TOCA ", $BS$1)</f>
        <v>TOCA 2024</v>
      </c>
      <c r="BS4" s="177" t="str">
        <f>CONCATENATE("Non-slice TOCA ", $BS$1)</f>
        <v>Non-slice TOCA 2024</v>
      </c>
      <c r="BT4" s="177" t="str">
        <f>CONCATENATE("Slice % ", $BS$1)</f>
        <v>Slice % 2024</v>
      </c>
      <c r="BU4" s="177" t="str">
        <f>CONCATENATE("Applicable LDD ", $BS$1)</f>
        <v>Applicable LDD 2024</v>
      </c>
      <c r="BV4" s="177" t="s">
        <v>263</v>
      </c>
      <c r="BW4" s="177" t="s">
        <v>264</v>
      </c>
      <c r="BX4" s="177" t="str">
        <f>CONCATENATE("IRD ", BS1)</f>
        <v>IRD 2024</v>
      </c>
      <c r="BY4" s="186">
        <f>DATE($BS$1-1, 10, 1)</f>
        <v>45200</v>
      </c>
      <c r="BZ4" s="186">
        <f>BY4</f>
        <v>45200</v>
      </c>
      <c r="CA4" s="186">
        <f>DATE($BS$1-1, 11, 1)</f>
        <v>45231</v>
      </c>
      <c r="CB4" s="186">
        <f>CA4</f>
        <v>45231</v>
      </c>
      <c r="CC4" s="186">
        <f>DATE($BS$1-1, 12, 1)</f>
        <v>45261</v>
      </c>
      <c r="CD4" s="186">
        <f>CC4</f>
        <v>45261</v>
      </c>
      <c r="CE4" s="186">
        <f>DATE($BS$1, 1, 1)</f>
        <v>45292</v>
      </c>
      <c r="CF4" s="186">
        <f>CE4</f>
        <v>45292</v>
      </c>
      <c r="CG4" s="186">
        <f>DATE($BS$1, 2, 1)</f>
        <v>45323</v>
      </c>
      <c r="CH4" s="186">
        <f>CG4</f>
        <v>45323</v>
      </c>
      <c r="CI4" s="186">
        <f>DATE($BS$1, 3, 1)</f>
        <v>45352</v>
      </c>
      <c r="CJ4" s="186">
        <f>CI4</f>
        <v>45352</v>
      </c>
      <c r="CK4" s="186">
        <f>DATE($BS$1, 4, 1)</f>
        <v>45383</v>
      </c>
      <c r="CL4" s="186">
        <f>CK4</f>
        <v>45383</v>
      </c>
      <c r="CM4" s="186">
        <f>DATE($BS$1, 5, 1)</f>
        <v>45413</v>
      </c>
      <c r="CN4" s="186">
        <f>CM4</f>
        <v>45413</v>
      </c>
      <c r="CO4" s="186">
        <f>DATE($BS$1, 6, 1)</f>
        <v>45444</v>
      </c>
      <c r="CP4" s="186">
        <f>CO4</f>
        <v>45444</v>
      </c>
      <c r="CQ4" s="186">
        <f>DATE($BS$1, 7, 1)</f>
        <v>45474</v>
      </c>
      <c r="CR4" s="186">
        <f>CQ4</f>
        <v>45474</v>
      </c>
      <c r="CS4" s="186">
        <f>DATE($BS$1, 8, 1)</f>
        <v>45505</v>
      </c>
      <c r="CT4" s="186">
        <f>CS4</f>
        <v>45505</v>
      </c>
      <c r="CU4" s="186">
        <f>DATE($BS$1, 9, 1)</f>
        <v>45536</v>
      </c>
      <c r="CV4" s="186">
        <f>CU4</f>
        <v>45536</v>
      </c>
      <c r="CW4" s="186">
        <f>BY4</f>
        <v>45200</v>
      </c>
      <c r="CX4" s="186">
        <f>CA4</f>
        <v>45231</v>
      </c>
      <c r="CY4" s="186">
        <f>CC4</f>
        <v>45261</v>
      </c>
      <c r="CZ4" s="186">
        <f>CE4</f>
        <v>45292</v>
      </c>
      <c r="DA4" s="186">
        <f>CG4</f>
        <v>45323</v>
      </c>
      <c r="DB4" s="186">
        <f>CI4</f>
        <v>45352</v>
      </c>
      <c r="DC4" s="186">
        <f>CK4</f>
        <v>45383</v>
      </c>
      <c r="DD4" s="186">
        <f>CM4</f>
        <v>45413</v>
      </c>
      <c r="DE4" s="186">
        <f>CO4</f>
        <v>45444</v>
      </c>
      <c r="DF4" s="186">
        <f>CQ4</f>
        <v>45474</v>
      </c>
      <c r="DG4" s="186">
        <f>CS4</f>
        <v>45505</v>
      </c>
      <c r="DH4" s="186">
        <f>CU4</f>
        <v>45536</v>
      </c>
      <c r="DI4" s="186">
        <f>CW4</f>
        <v>45200</v>
      </c>
      <c r="DJ4" s="186">
        <f t="shared" ref="DJ4:DT4" si="1">CX4</f>
        <v>45231</v>
      </c>
      <c r="DK4" s="186">
        <f t="shared" si="1"/>
        <v>45261</v>
      </c>
      <c r="DL4" s="186">
        <f t="shared" si="1"/>
        <v>45292</v>
      </c>
      <c r="DM4" s="186">
        <f t="shared" si="1"/>
        <v>45323</v>
      </c>
      <c r="DN4" s="186">
        <f t="shared" si="1"/>
        <v>45352</v>
      </c>
      <c r="DO4" s="186">
        <f t="shared" si="1"/>
        <v>45383</v>
      </c>
      <c r="DP4" s="186">
        <f t="shared" si="1"/>
        <v>45413</v>
      </c>
      <c r="DQ4" s="186">
        <f t="shared" si="1"/>
        <v>45444</v>
      </c>
      <c r="DR4" s="186">
        <f t="shared" si="1"/>
        <v>45474</v>
      </c>
      <c r="DS4" s="186">
        <f t="shared" si="1"/>
        <v>45505</v>
      </c>
      <c r="DT4" s="186">
        <f t="shared" si="1"/>
        <v>45536</v>
      </c>
      <c r="DU4" s="187" t="str">
        <f>CONCATENATE("T2 LS ", $BS$1)</f>
        <v>T2 LS 2024</v>
      </c>
      <c r="DV4" s="187" t="str">
        <f>"TOCA Load "&amp;$BS$1</f>
        <v>TOCA Load 2024</v>
      </c>
      <c r="DW4" s="187" t="str">
        <f>"Annual T1 Load "&amp;$BS$1</f>
        <v>Annual T1 Load 2024</v>
      </c>
      <c r="DX4" s="187" t="str">
        <f>"Above RHWM Not Served with Load Shaping"&amp;$BS$1</f>
        <v>Above RHWM Not Served with Load Shaping2024</v>
      </c>
      <c r="DY4" s="187" t="str">
        <f>CONCATENATE("Annual Deviation ", $BS$1)</f>
        <v>Annual Deviation 2024</v>
      </c>
      <c r="DZ4" s="187" t="str">
        <f>CONCATENATE("Above Forecast ", $BS$1)</f>
        <v>Above Forecast 2024</v>
      </c>
      <c r="EA4" s="187" t="s">
        <v>254</v>
      </c>
      <c r="EB4" s="187" t="s">
        <v>255</v>
      </c>
      <c r="EC4" s="187" t="s">
        <v>257</v>
      </c>
      <c r="ED4" s="187" t="str">
        <f>CONCATENATE("LSTU ", $BS$1)</f>
        <v>LSTU 2024</v>
      </c>
    </row>
    <row r="5" spans="1:134" s="178" customFormat="1">
      <c r="A5" s="173"/>
      <c r="B5" s="85"/>
      <c r="C5" s="85"/>
      <c r="D5" s="85"/>
      <c r="E5" s="174"/>
      <c r="F5" s="175"/>
      <c r="G5" s="175"/>
      <c r="H5" s="175"/>
      <c r="I5" s="175"/>
      <c r="J5" s="175"/>
      <c r="K5" s="175" t="s">
        <v>248</v>
      </c>
      <c r="L5" s="176" t="s">
        <v>143</v>
      </c>
      <c r="M5" s="176" t="s">
        <v>144</v>
      </c>
      <c r="N5" s="175" t="s">
        <v>143</v>
      </c>
      <c r="O5" s="175" t="s">
        <v>144</v>
      </c>
      <c r="P5" s="175" t="s">
        <v>143</v>
      </c>
      <c r="Q5" s="175" t="s">
        <v>144</v>
      </c>
      <c r="R5" s="175" t="s">
        <v>143</v>
      </c>
      <c r="S5" s="176" t="s">
        <v>144</v>
      </c>
      <c r="T5" s="175" t="s">
        <v>143</v>
      </c>
      <c r="U5" s="175" t="s">
        <v>144</v>
      </c>
      <c r="V5" s="175" t="s">
        <v>143</v>
      </c>
      <c r="W5" s="175" t="s">
        <v>144</v>
      </c>
      <c r="X5" s="175" t="s">
        <v>143</v>
      </c>
      <c r="Y5" s="176" t="s">
        <v>144</v>
      </c>
      <c r="Z5" s="175" t="s">
        <v>143</v>
      </c>
      <c r="AA5" s="175" t="s">
        <v>144</v>
      </c>
      <c r="AB5" s="175" t="s">
        <v>143</v>
      </c>
      <c r="AC5" s="175" t="s">
        <v>144</v>
      </c>
      <c r="AD5" s="175" t="s">
        <v>143</v>
      </c>
      <c r="AE5" s="175" t="s">
        <v>144</v>
      </c>
      <c r="AF5" s="175" t="s">
        <v>143</v>
      </c>
      <c r="AG5" s="175" t="s">
        <v>144</v>
      </c>
      <c r="AH5" s="175" t="s">
        <v>143</v>
      </c>
      <c r="AI5" s="175" t="s">
        <v>144</v>
      </c>
      <c r="AJ5" s="176" t="s">
        <v>143</v>
      </c>
      <c r="AK5" s="176" t="s">
        <v>143</v>
      </c>
      <c r="AL5" s="176" t="s">
        <v>143</v>
      </c>
      <c r="AM5" s="176" t="s">
        <v>143</v>
      </c>
      <c r="AN5" s="176" t="s">
        <v>143</v>
      </c>
      <c r="AO5" s="176" t="s">
        <v>143</v>
      </c>
      <c r="AP5" s="176" t="s">
        <v>143</v>
      </c>
      <c r="AQ5" s="176" t="s">
        <v>143</v>
      </c>
      <c r="AR5" s="176" t="s">
        <v>143</v>
      </c>
      <c r="AS5" s="176" t="s">
        <v>143</v>
      </c>
      <c r="AT5" s="176" t="s">
        <v>143</v>
      </c>
      <c r="AU5" s="176" t="s">
        <v>143</v>
      </c>
      <c r="AV5" s="176" t="s">
        <v>269</v>
      </c>
      <c r="AW5" s="176" t="s">
        <v>269</v>
      </c>
      <c r="AX5" s="176" t="s">
        <v>269</v>
      </c>
      <c r="AY5" s="176" t="s">
        <v>269</v>
      </c>
      <c r="AZ5" s="176" t="s">
        <v>269</v>
      </c>
      <c r="BA5" s="176" t="s">
        <v>269</v>
      </c>
      <c r="BB5" s="176" t="s">
        <v>269</v>
      </c>
      <c r="BC5" s="176" t="s">
        <v>269</v>
      </c>
      <c r="BD5" s="176" t="s">
        <v>269</v>
      </c>
      <c r="BE5" s="176" t="s">
        <v>269</v>
      </c>
      <c r="BF5" s="176" t="s">
        <v>269</v>
      </c>
      <c r="BG5" s="176" t="s">
        <v>269</v>
      </c>
      <c r="BH5" s="176" t="s">
        <v>248</v>
      </c>
      <c r="BI5" s="176" t="s">
        <v>248</v>
      </c>
      <c r="BJ5" s="176" t="s">
        <v>248</v>
      </c>
      <c r="BK5" s="176" t="s">
        <v>248</v>
      </c>
      <c r="BL5" s="176" t="s">
        <v>248</v>
      </c>
      <c r="BM5" s="176" t="s">
        <v>248</v>
      </c>
      <c r="BN5" s="176" t="s">
        <v>248</v>
      </c>
      <c r="BO5" s="176" t="s">
        <v>248</v>
      </c>
      <c r="BP5" s="176" t="s">
        <v>248</v>
      </c>
      <c r="BQ5" s="176" t="s">
        <v>248</v>
      </c>
      <c r="BR5" s="185"/>
      <c r="BS5" s="177"/>
      <c r="BT5" s="177"/>
      <c r="BU5" s="177"/>
      <c r="BV5" s="177"/>
      <c r="BW5" s="177"/>
      <c r="BX5" s="177" t="s">
        <v>248</v>
      </c>
      <c r="BY5" s="186" t="s">
        <v>143</v>
      </c>
      <c r="BZ5" s="186" t="s">
        <v>144</v>
      </c>
      <c r="CA5" s="177" t="s">
        <v>143</v>
      </c>
      <c r="CB5" s="177" t="s">
        <v>144</v>
      </c>
      <c r="CC5" s="177" t="s">
        <v>143</v>
      </c>
      <c r="CD5" s="177" t="s">
        <v>144</v>
      </c>
      <c r="CE5" s="177" t="s">
        <v>143</v>
      </c>
      <c r="CF5" s="186" t="s">
        <v>144</v>
      </c>
      <c r="CG5" s="177" t="s">
        <v>143</v>
      </c>
      <c r="CH5" s="177" t="s">
        <v>144</v>
      </c>
      <c r="CI5" s="177" t="s">
        <v>143</v>
      </c>
      <c r="CJ5" s="177" t="s">
        <v>144</v>
      </c>
      <c r="CK5" s="177" t="s">
        <v>143</v>
      </c>
      <c r="CL5" s="186" t="s">
        <v>144</v>
      </c>
      <c r="CM5" s="177" t="s">
        <v>143</v>
      </c>
      <c r="CN5" s="177" t="s">
        <v>144</v>
      </c>
      <c r="CO5" s="177" t="s">
        <v>143</v>
      </c>
      <c r="CP5" s="177" t="s">
        <v>144</v>
      </c>
      <c r="CQ5" s="177" t="s">
        <v>143</v>
      </c>
      <c r="CR5" s="177" t="s">
        <v>144</v>
      </c>
      <c r="CS5" s="177" t="s">
        <v>143</v>
      </c>
      <c r="CT5" s="177" t="s">
        <v>144</v>
      </c>
      <c r="CU5" s="177" t="s">
        <v>143</v>
      </c>
      <c r="CV5" s="177" t="s">
        <v>144</v>
      </c>
      <c r="CW5" s="186" t="s">
        <v>143</v>
      </c>
      <c r="CX5" s="186" t="s">
        <v>143</v>
      </c>
      <c r="CY5" s="186" t="s">
        <v>143</v>
      </c>
      <c r="CZ5" s="186" t="s">
        <v>143</v>
      </c>
      <c r="DA5" s="186" t="s">
        <v>143</v>
      </c>
      <c r="DB5" s="186" t="s">
        <v>143</v>
      </c>
      <c r="DC5" s="186" t="s">
        <v>143</v>
      </c>
      <c r="DD5" s="186" t="s">
        <v>143</v>
      </c>
      <c r="DE5" s="186" t="s">
        <v>143</v>
      </c>
      <c r="DF5" s="186" t="s">
        <v>143</v>
      </c>
      <c r="DG5" s="186" t="s">
        <v>143</v>
      </c>
      <c r="DH5" s="186" t="s">
        <v>143</v>
      </c>
      <c r="DI5" s="186" t="s">
        <v>179</v>
      </c>
      <c r="DJ5" s="186" t="s">
        <v>179</v>
      </c>
      <c r="DK5" s="186" t="s">
        <v>179</v>
      </c>
      <c r="DL5" s="186" t="s">
        <v>179</v>
      </c>
      <c r="DM5" s="186" t="s">
        <v>179</v>
      </c>
      <c r="DN5" s="186" t="s">
        <v>179</v>
      </c>
      <c r="DO5" s="186" t="s">
        <v>179</v>
      </c>
      <c r="DP5" s="186" t="s">
        <v>179</v>
      </c>
      <c r="DQ5" s="186" t="s">
        <v>179</v>
      </c>
      <c r="DR5" s="186" t="s">
        <v>179</v>
      </c>
      <c r="DS5" s="186" t="s">
        <v>179</v>
      </c>
      <c r="DT5" s="186" t="s">
        <v>179</v>
      </c>
      <c r="DU5" s="186" t="s">
        <v>248</v>
      </c>
      <c r="DV5" s="186" t="s">
        <v>248</v>
      </c>
      <c r="DW5" s="186" t="s">
        <v>248</v>
      </c>
      <c r="DX5" s="186" t="s">
        <v>248</v>
      </c>
      <c r="DY5" s="186" t="s">
        <v>248</v>
      </c>
      <c r="DZ5" s="186" t="s">
        <v>248</v>
      </c>
      <c r="EA5" s="186" t="s">
        <v>248</v>
      </c>
      <c r="EB5" s="186" t="s">
        <v>248</v>
      </c>
      <c r="EC5" s="186" t="s">
        <v>248</v>
      </c>
      <c r="ED5" s="186" t="s">
        <v>248</v>
      </c>
    </row>
    <row r="6" spans="1:134">
      <c r="A6" s="123">
        <v>10005</v>
      </c>
      <c r="B6" s="124" t="s">
        <v>7</v>
      </c>
      <c r="C6" s="191">
        <f>VLOOKUP(A6, TOCA_current!$A$3:$D$137, 4, FALSE)</f>
        <v>0</v>
      </c>
      <c r="D6" s="191">
        <v>0</v>
      </c>
      <c r="E6" s="107">
        <f>VLOOKUP($A6,TOCA_previous!$A$2:$AI$137,MATCH(E$4,TOCA_previous!$A$2:$AI$2,0),FALSE)</f>
        <v>7.7600000000000002E-5</v>
      </c>
      <c r="F6" s="108">
        <f>VLOOKUP($A6,TOCA_previous!$A$2:$AI$137,MATCH(F$4,TOCA_previous!$A$2:$AI$2,0),FALSE)</f>
        <v>7.7600000000000002E-5</v>
      </c>
      <c r="G6" s="108">
        <f>E6-F6</f>
        <v>0</v>
      </c>
      <c r="H6" s="108">
        <f>VLOOKUP($A6,TOCA_previous!$A$2:$AI$137,MATCH(H$4,TOCA_previous!$A$2:$AI$2,0),FALSE)</f>
        <v>2.3820000000000001E-2</v>
      </c>
      <c r="I6" s="108">
        <f>IF(C6=0,0,H6)</f>
        <v>0</v>
      </c>
      <c r="J6" s="108">
        <f>IF(C6=0,0,E6)</f>
        <v>0</v>
      </c>
      <c r="K6" s="179">
        <f>VLOOKUP(A6, IRD!$A$5:$C$139, 3, FALSE)</f>
        <v>0</v>
      </c>
      <c r="L6" s="180">
        <f t="array" ref="L6">IF($G6=0, INDEX(LS_previous!$D$4:$AY$138, MATCH('Staging Table'!$A6, LS_previous!$B$4:$B$138, 0), MATCH(L$4&amp;L$5, LS_previous!$D$2:$AY$2&amp;LS_previous!$D$3:$AY$3, 0)),SUM(VLOOKUP($A6, LS_previous!$B$4:$AY$138, LS_previous!D$149, FALSE), VLOOKUP('Staging Table'!$A6, LS_previous!$B$4:$AY$138,LS_previous!AB$149, FALSE))/2)</f>
        <v>59.288675472045213</v>
      </c>
      <c r="M6" s="180">
        <f t="array" ref="M6">IF($G6=0, INDEX(LS_previous!$D$4:$AY$138, MATCH('Staging Table'!$A6, LS_previous!$B$4:$B$138, 0), MATCH(M$4&amp;M$5, LS_previous!$D$2:$AY$2&amp;LS_previous!$D$3:$AY$3, 0)),SUM(VLOOKUP($A6, LS_previous!$B$4:$AY$138, LS_previous!E$149, FALSE), VLOOKUP('Staging Table'!$A6, LS_previous!$B$4:$AY$138,LS_previous!AC$149, FALSE))/2)</f>
        <v>82.743789476745974</v>
      </c>
      <c r="N6" s="180">
        <f t="array" ref="N6">IF($G6=0, INDEX(LS_previous!$D$4:$AY$138, MATCH('Staging Table'!$A6, LS_previous!$B$4:$B$138, 0), MATCH(N$4&amp;N$5, LS_previous!$D$2:$AY$2&amp;LS_previous!$D$3:$AY$3, 0)),SUM(VLOOKUP($A6, LS_previous!$B$4:$AY$138, LS_previous!F$149, FALSE), VLOOKUP('Staging Table'!$A6, LS_previous!$B$4:$AY$138,LS_previous!AD$149, FALSE))/2)</f>
        <v>47.583454764893133</v>
      </c>
      <c r="O6" s="180">
        <f t="array" ref="O6">IF($G6=0, INDEX(LS_previous!$D$4:$AY$138, MATCH('Staging Table'!$A6, LS_previous!$B$4:$B$138, 0), MATCH(O$4&amp;O$5, LS_previous!$D$2:$AY$2&amp;LS_previous!$D$3:$AY$3, 0)),SUM(VLOOKUP($A6, LS_previous!$B$4:$AY$138, LS_previous!G$149, FALSE), VLOOKUP('Staging Table'!$A6, LS_previous!$B$4:$AY$138,LS_previous!AE$149, FALSE))/2)</f>
        <v>63.89489865293038</v>
      </c>
      <c r="P6" s="180">
        <f t="array" ref="P6">IF($G6=0, INDEX(LS_previous!$D$4:$AY$138, MATCH('Staging Table'!$A6, LS_previous!$B$4:$B$138, 0), MATCH(P$4&amp;P$5, LS_previous!$D$2:$AY$2&amp;LS_previous!$D$3:$AY$3, 0)),SUM(VLOOKUP($A6, LS_previous!$B$4:$AY$138, LS_previous!H$149, FALSE), VLOOKUP('Staging Table'!$A6, LS_previous!$B$4:$AY$138,LS_previous!AF$149, FALSE))/2)</f>
        <v>143.84047571134838</v>
      </c>
      <c r="Q6" s="180">
        <f t="array" ref="Q6">IF($G6=0, INDEX(LS_previous!$D$4:$AY$138, MATCH('Staging Table'!$A6, LS_previous!$B$4:$B$138, 0), MATCH(Q$4&amp;Q$5, LS_previous!$D$2:$AY$2&amp;LS_previous!$D$3:$AY$3, 0)),SUM(VLOOKUP($A6, LS_previous!$B$4:$AY$138, LS_previous!I$149, FALSE), VLOOKUP('Staging Table'!$A6, LS_previous!$B$4:$AY$138,LS_previous!AG$149, FALSE))/2)</f>
        <v>123.08561082526919</v>
      </c>
      <c r="R6" s="180">
        <f t="array" ref="R6">IF($G6=0, INDEX(LS_previous!$D$4:$AY$138, MATCH('Staging Table'!$A6, LS_previous!$B$4:$B$138, 0), MATCH(R$4&amp;R$5, LS_previous!$D$2:$AY$2&amp;LS_previous!$D$3:$AY$3, 0)),SUM(VLOOKUP($A6, LS_previous!$B$4:$AY$138, LS_previous!J$149, FALSE), VLOOKUP('Staging Table'!$A6, LS_previous!$B$4:$AY$138,LS_previous!AH$149, FALSE))/2)</f>
        <v>222.18541332428597</v>
      </c>
      <c r="S6" s="180">
        <f t="array" ref="S6">IF($G6=0, INDEX(LS_previous!$D$4:$AY$138, MATCH('Staging Table'!$A6, LS_previous!$B$4:$B$138, 0), MATCH(S$4&amp;S$5, LS_previous!$D$2:$AY$2&amp;LS_previous!$D$3:$AY$3, 0)),SUM(VLOOKUP($A6, LS_previous!$B$4:$AY$138, LS_previous!K$149, FALSE), VLOOKUP('Staging Table'!$A6, LS_previous!$B$4:$AY$138,LS_previous!AI$149, FALSE))/2)</f>
        <v>153.3001423323708</v>
      </c>
      <c r="T6" s="180">
        <f t="array" ref="T6">IF($G6=0, INDEX(LS_previous!$D$4:$AY$138, MATCH('Staging Table'!$A6, LS_previous!$B$4:$B$138, 0), MATCH(T$4&amp;T$5, LS_previous!$D$2:$AY$2&amp;LS_previous!$D$3:$AY$3, 0)),SUM(VLOOKUP($A6, LS_previous!$B$4:$AY$138, LS_previous!L$149, FALSE), VLOOKUP('Staging Table'!$A6, LS_previous!$B$4:$AY$138,LS_previous!AJ$149, FALSE))/2)</f>
        <v>168.71284655895121</v>
      </c>
      <c r="U6" s="180">
        <f t="array" ref="U6">IF($G6=0, INDEX(LS_previous!$D$4:$AY$138, MATCH('Staging Table'!$A6, LS_previous!$B$4:$B$138, 0), MATCH(U$4&amp;U$5, LS_previous!$D$2:$AY$2&amp;LS_previous!$D$3:$AY$3, 0)),SUM(VLOOKUP($A6, LS_previous!$B$4:$AY$138, LS_previous!M$149, FALSE), VLOOKUP('Staging Table'!$A6, LS_previous!$B$4:$AY$138,LS_previous!AK$149, FALSE))/2)</f>
        <v>112.4510510738684</v>
      </c>
      <c r="V6" s="180">
        <f t="array" ref="V6">IF($G6=0, INDEX(LS_previous!$D$4:$AY$138, MATCH('Staging Table'!$A6, LS_previous!$B$4:$B$138, 0), MATCH(V$4&amp;V$5, LS_previous!$D$2:$AY$2&amp;LS_previous!$D$3:$AY$3, 0)),SUM(VLOOKUP($A6, LS_previous!$B$4:$AY$138, LS_previous!N$149, FALSE), VLOOKUP('Staging Table'!$A6, LS_previous!$B$4:$AY$138,LS_previous!AL$149, FALSE))/2)</f>
        <v>105.2022740982276</v>
      </c>
      <c r="W6" s="180">
        <f t="array" ref="W6">IF($G6=0, INDEX(LS_previous!$D$4:$AY$138, MATCH('Staging Table'!$A6, LS_previous!$B$4:$B$138, 0), MATCH(W$4&amp;W$5, LS_previous!$D$2:$AY$2&amp;LS_previous!$D$3:$AY$3, 0)),SUM(VLOOKUP($A6, LS_previous!$B$4:$AY$138, LS_previous!O$149, FALSE), VLOOKUP('Staging Table'!$A6, LS_previous!$B$4:$AY$138,LS_previous!AM$149, FALSE))/2)</f>
        <v>112.09665583248957</v>
      </c>
      <c r="X6" s="180">
        <f t="array" ref="X6">IF($G6=0, INDEX(LS_previous!$D$4:$AY$138, MATCH('Staging Table'!$A6, LS_previous!$B$4:$B$138, 0), MATCH(X$4&amp;X$5, LS_previous!$D$2:$AY$2&amp;LS_previous!$D$3:$AY$3, 0)),SUM(VLOOKUP($A6, LS_previous!$B$4:$AY$138, LS_previous!P$149, FALSE), VLOOKUP('Staging Table'!$A6, LS_previous!$B$4:$AY$138,LS_previous!AN$149, FALSE))/2)</f>
        <v>124.79746211710764</v>
      </c>
      <c r="Y6" s="180">
        <f t="array" ref="Y6">IF($G6=0, INDEX(LS_previous!$D$4:$AY$138, MATCH('Staging Table'!$A6, LS_previous!$B$4:$B$138, 0), MATCH(Y$4&amp;Y$5, LS_previous!$D$2:$AY$2&amp;LS_previous!$D$3:$AY$3, 0)),SUM(VLOOKUP($A6, LS_previous!$B$4:$AY$138, LS_previous!Q$149, FALSE), VLOOKUP('Staging Table'!$A6, LS_previous!$B$4:$AY$138,LS_previous!AO$149, FALSE))/2)</f>
        <v>101.10706380837277</v>
      </c>
      <c r="Z6" s="180">
        <f t="array" ref="Z6">IF($G6=0, INDEX(LS_previous!$D$4:$AY$138, MATCH('Staging Table'!$A6, LS_previous!$B$4:$B$138, 0), MATCH(Z$4&amp;Z$5, LS_previous!$D$2:$AY$2&amp;LS_previous!$D$3:$AY$3, 0)),SUM(VLOOKUP($A6, LS_previous!$B$4:$AY$138, LS_previous!R$149, FALSE), VLOOKUP('Staging Table'!$A6, LS_previous!$B$4:$AY$138,LS_previous!AP$149, FALSE))/2)</f>
        <v>-48.856070712449196</v>
      </c>
      <c r="AA6" s="180">
        <f t="array" ref="AA6">IF($G6=0, INDEX(LS_previous!$D$4:$AY$138, MATCH('Staging Table'!$A6, LS_previous!$B$4:$B$138, 0), MATCH(AA$4&amp;AA$5, LS_previous!$D$2:$AY$2&amp;LS_previous!$D$3:$AY$3, 0)),SUM(VLOOKUP($A6, LS_previous!$B$4:$AY$138, LS_previous!S$149, FALSE), VLOOKUP('Staging Table'!$A6, LS_previous!$B$4:$AY$138,LS_previous!AQ$149, FALSE))/2)</f>
        <v>29.024865218517192</v>
      </c>
      <c r="AB6" s="180">
        <f t="array" ref="AB6">IF($G6=0, INDEX(LS_previous!$D$4:$AY$138, MATCH('Staging Table'!$A6, LS_previous!$B$4:$B$138, 0), MATCH(AB$4&amp;AB$5, LS_previous!$D$2:$AY$2&amp;LS_previous!$D$3:$AY$3, 0)),SUM(VLOOKUP($A6, LS_previous!$B$4:$AY$138, LS_previous!T$149, FALSE), VLOOKUP('Staging Table'!$A6, LS_previous!$B$4:$AY$138,LS_previous!AR$149, FALSE))/2)</f>
        <v>-96.860594042669618</v>
      </c>
      <c r="AC6" s="180">
        <f t="array" ref="AC6">IF($G6=0, INDEX(LS_previous!$D$4:$AY$138, MATCH('Staging Table'!$A6, LS_previous!$B$4:$B$138, 0), MATCH(AC$4&amp;AC$5, LS_previous!$D$2:$AY$2&amp;LS_previous!$D$3:$AY$3, 0)),SUM(VLOOKUP($A6, LS_previous!$B$4:$AY$138, LS_previous!U$149, FALSE), VLOOKUP('Staging Table'!$A6, LS_previous!$B$4:$AY$138,LS_previous!AS$149, FALSE))/2)</f>
        <v>29.685516682421991</v>
      </c>
      <c r="AD6" s="180">
        <f t="array" ref="AD6">IF($G6=0, INDEX(LS_previous!$D$4:$AY$138, MATCH('Staging Table'!$A6, LS_previous!$B$4:$B$138, 0), MATCH(AD$4&amp;AD$5, LS_previous!$D$2:$AY$2&amp;LS_previous!$D$3:$AY$3, 0)),SUM(VLOOKUP($A6, LS_previous!$B$4:$AY$138, LS_previous!V$149, FALSE), VLOOKUP('Staging Table'!$A6, LS_previous!$B$4:$AY$138,LS_previous!AT$149, FALSE))/2)</f>
        <v>-68.738330462401962</v>
      </c>
      <c r="AE6" s="180">
        <f t="array" ref="AE6">IF($G6=0, INDEX(LS_previous!$D$4:$AY$138, MATCH('Staging Table'!$A6, LS_previous!$B$4:$B$138, 0), MATCH(AE$4&amp;AE$5, LS_previous!$D$2:$AY$2&amp;LS_previous!$D$3:$AY$3, 0)),SUM(VLOOKUP($A6, LS_previous!$B$4:$AY$138, LS_previous!W$149, FALSE), VLOOKUP('Staging Table'!$A6, LS_previous!$B$4:$AY$138,LS_previous!AU$149, FALSE))/2)</f>
        <v>-0.40094283436400247</v>
      </c>
      <c r="AF6" s="180">
        <f t="array" ref="AF6">IF($G6=0, INDEX(LS_previous!$D$4:$AY$138, MATCH('Staging Table'!$A6, LS_previous!$B$4:$B$138, 0), MATCH(AF$4&amp;AF$5, LS_previous!$D$2:$AY$2&amp;LS_previous!$D$3:$AY$3, 0)),SUM(VLOOKUP($A6, LS_previous!$B$4:$AY$138, LS_previous!X$149, FALSE), VLOOKUP('Staging Table'!$A6, LS_previous!$B$4:$AY$138,LS_previous!AV$149, FALSE))/2)</f>
        <v>-51.505110326693199</v>
      </c>
      <c r="AG6" s="180">
        <f t="array" ref="AG6">IF($G6=0, INDEX(LS_previous!$D$4:$AY$138, MATCH('Staging Table'!$A6, LS_previous!$B$4:$B$138, 0), MATCH(AG$4&amp;AG$5, LS_previous!$D$2:$AY$2&amp;LS_previous!$D$3:$AY$3, 0)),SUM(VLOOKUP($A6, LS_previous!$B$4:$AY$138, LS_previous!Y$149, FALSE), VLOOKUP('Staging Table'!$A6, LS_previous!$B$4:$AY$138,LS_previous!AW$149, FALSE))/2)</f>
        <v>-1.8771466413855933</v>
      </c>
      <c r="AH6" s="180">
        <f t="array" ref="AH6">IF($G6=0, INDEX(LS_previous!$D$4:$AY$138, MATCH('Staging Table'!$A6, LS_previous!$B$4:$B$138, 0), MATCH(AH$4&amp;AH$5, LS_previous!$D$2:$AY$2&amp;LS_previous!$D$3:$AY$3, 0)),SUM(VLOOKUP($A6, LS_previous!$B$4:$AY$138, LS_previous!Z$149, FALSE), VLOOKUP('Staging Table'!$A6, LS_previous!$B$4:$AY$138,LS_previous!AX$149, FALSE))/2)</f>
        <v>-36.329555517366828</v>
      </c>
      <c r="AI6" s="180">
        <f t="array" ref="AI6">IF($G6=0, INDEX(LS_previous!$D$4:$AY$138, MATCH('Staging Table'!$A6, LS_previous!$B$4:$B$138, 0), MATCH(AI$4&amp;AI$5, LS_previous!$D$2:$AY$2&amp;LS_previous!$D$3:$AY$3, 0)),SUM(VLOOKUP($A6, LS_previous!$B$4:$AY$138, LS_previous!AA$149, FALSE), VLOOKUP('Staging Table'!$A6, LS_previous!$B$4:$AY$138,LS_previous!AY$149, FALSE))/2)</f>
        <v>22.401613250142788</v>
      </c>
      <c r="AJ6" s="182">
        <f t="array" ref="AJ6">INDEX(Demand_previous!$D$4:$AY$138, MATCH('Staging Table'!$A6, Demand_previous!$B$4:$B$138, 0), MATCH(AJ$4&amp;AJ$5,Demand_previous!$D$2:$AY$2&amp;Demand_previous!$D$3:$AY$3, 0))/1000</f>
        <v>7.7639423076922953E-2</v>
      </c>
      <c r="AK6" s="298">
        <f t="array" ref="AK6">INDEX(Demand_previous!$D$4:$AY$138, MATCH('Staging Table'!$A6, Demand_previous!$B$4:$B$138, 0), MATCH(AK$4&amp;AK$5,Demand_previous!$D$2:$AY$2&amp;Demand_previous!$D$3:$AY$3, 0))/1000</f>
        <v>8.4680000000000033E-2</v>
      </c>
      <c r="AL6" s="298">
        <f t="array" ref="AL6">INDEX(Demand_previous!$D$4:$AY$138, MATCH('Staging Table'!$A6, Demand_previous!$B$4:$B$138, 0), MATCH(AL$4&amp;AL$5,Demand_previous!$D$2:$AY$2&amp;Demand_previous!$D$3:$AY$3, 0))/1000</f>
        <v>7.5853365384615568E-2</v>
      </c>
      <c r="AM6" s="298">
        <f t="array" ref="AM6">INDEX(Demand_previous!$D$4:$AY$138, MATCH('Staging Table'!$A6, Demand_previous!$B$4:$B$138, 0), MATCH(AM$4&amp;AM$5,Demand_previous!$D$2:$AY$2&amp;Demand_previous!$D$3:$AY$3, 0))/1000</f>
        <v>8.613000000000004E-2</v>
      </c>
      <c r="AN6" s="298">
        <f t="array" ref="AN6">INDEX(Demand_previous!$D$4:$AY$138, MATCH('Staging Table'!$A6, Demand_previous!$B$4:$B$138, 0), MATCH(AN$4&amp;AN$5,Demand_previous!$D$2:$AY$2&amp;Demand_previous!$D$3:$AY$3, 0))/1000</f>
        <v>6.3416666666666677E-2</v>
      </c>
      <c r="AO6" s="298">
        <f t="array" ref="AO6">INDEX(Demand_previous!$D$4:$AY$138, MATCH('Staging Table'!$A6, Demand_previous!$B$4:$B$138, 0), MATCH(AO$4&amp;AO$5,Demand_previous!$D$2:$AY$2&amp;Demand_previous!$D$3:$AY$3, 0))/1000</f>
        <v>0.21744212962962972</v>
      </c>
      <c r="AP6" s="298">
        <f t="array" ref="AP6">INDEX(Demand_previous!$D$4:$AY$138, MATCH('Staging Table'!$A6, Demand_previous!$B$4:$B$138, 0), MATCH(AP$4&amp;AP$5,Demand_previous!$D$2:$AY$2&amp;Demand_previous!$D$3:$AY$3, 0))/1000</f>
        <v>4.6603365384615347E-2</v>
      </c>
      <c r="AQ6" s="298">
        <f t="array" ref="AQ6">INDEX(Demand_previous!$D$4:$AY$138, MATCH('Staging Table'!$A6, Demand_previous!$B$4:$B$138, 0), MATCH(AQ$4&amp;AQ$5,Demand_previous!$D$2:$AY$2&amp;Demand_previous!$D$3:$AY$3, 0))/1000</f>
        <v>6.8972499999999992E-2</v>
      </c>
      <c r="AR6" s="298">
        <f t="array" ref="AR6">INDEX(Demand_previous!$D$4:$AY$138, MATCH('Staging Table'!$A6, Demand_previous!$B$4:$B$138, 0), MATCH(AR$4&amp;AR$5,Demand_previous!$D$2:$AY$2&amp;Demand_previous!$D$3:$AY$3, 0))/1000</f>
        <v>0.15746394230769234</v>
      </c>
      <c r="AS6" s="298">
        <f t="array" ref="AS6">INDEX(Demand_previous!$D$4:$AY$138, MATCH('Staging Table'!$A6, Demand_previous!$B$4:$B$138, 0), MATCH(AS$4&amp;AS$5,Demand_previous!$D$2:$AY$2&amp;Demand_previous!$D$3:$AY$3, 0))/1000</f>
        <v>7.981000000000002E-2</v>
      </c>
      <c r="AT6" s="298">
        <f t="array" ref="AT6">INDEX(Demand_previous!$D$4:$AY$138, MATCH('Staging Table'!$A6, Demand_previous!$B$4:$B$138, 0), MATCH(AT$4&amp;AT$5,Demand_previous!$D$2:$AY$2&amp;Demand_previous!$D$3:$AY$3, 0))/1000</f>
        <v>0.14394675925925926</v>
      </c>
      <c r="AU6" s="298">
        <f t="array" ref="AU6">INDEX(Demand_previous!$D$4:$AY$138, MATCH('Staging Table'!$A6, Demand_previous!$B$4:$B$138, 0), MATCH(AU$4&amp;AU$5,Demand_previous!$D$2:$AY$2&amp;Demand_previous!$D$3:$AY$3, 0))/1000</f>
        <v>0.13488499999999998</v>
      </c>
      <c r="AV6" s="180">
        <f>$F6*(VLOOKUP(AV$4, Rates_previous!$G$6:$Q$29, 10, FALSE)+VLOOKUP(AV$4, Rates_previous!$G$6:$Q$29, 11, FALSE))</f>
        <v>353.38453505120879</v>
      </c>
      <c r="AW6" s="180">
        <f>$F6*(VLOOKUP(AW$4, Rates_previous!$G$6:$Q$29, 10, FALSE)+VLOOKUP(AW$4, Rates_previous!$G$6:$Q$29, 11, FALSE))</f>
        <v>447.39764658217649</v>
      </c>
      <c r="AX6" s="180">
        <f>$F6*(VLOOKUP(AX$4, Rates_previous!$G$6:$Q$29, 10, FALSE)+VLOOKUP(AX$4, Rates_previous!$G$6:$Q$29, 11, FALSE))</f>
        <v>437.91291346338249</v>
      </c>
      <c r="AY6" s="180">
        <f>$F6*(VLOOKUP(AY$4, Rates_previous!$G$6:$Q$29, 10, FALSE)+VLOOKUP(AY$4, Rates_previous!$G$6:$Q$29, 11, FALSE))</f>
        <v>361.69744434334319</v>
      </c>
      <c r="AZ6" s="180">
        <f>$F6*(VLOOKUP(AZ$4, Rates_previous!$G$6:$Q$29, 10, FALSE)+VLOOKUP(AZ$4, Rates_previous!$G$6:$Q$29, 11, FALSE))</f>
        <v>313.49110236718036</v>
      </c>
      <c r="BA6" s="180">
        <f>$F6*(VLOOKUP(BA$4, Rates_previous!$G$6:$Q$29, 10, FALSE)+VLOOKUP(BA$4, Rates_previous!$G$6:$Q$29, 11, FALSE))</f>
        <v>374.2450700692828</v>
      </c>
      <c r="BB6" s="180">
        <f>$F6*(VLOOKUP(BB$4, Rates_previous!$G$6:$Q$29, 10, FALSE)+VLOOKUP(BB$4, Rates_previous!$G$6:$Q$29, 11, FALSE))</f>
        <v>290.5514740745196</v>
      </c>
      <c r="BC6" s="180">
        <f>$F6*(VLOOKUP(BC$4, Rates_previous!$G$6:$Q$29, 10, FALSE)+VLOOKUP(BC$4, Rates_previous!$G$6:$Q$29, 11, FALSE))</f>
        <v>402.56120549393199</v>
      </c>
      <c r="BD6" s="180">
        <f>$F6*(VLOOKUP(BD$4, Rates_previous!$G$6:$Q$29, 10, FALSE)+VLOOKUP(BD$4, Rates_previous!$G$6:$Q$29, 11, FALSE))</f>
        <v>430.14507736024763</v>
      </c>
      <c r="BE6" s="180">
        <f>$F6*(VLOOKUP(BE$4, Rates_previous!$G$6:$Q$29, 10, FALSE)+VLOOKUP(BE$4, Rates_previous!$G$6:$Q$29, 11, FALSE))</f>
        <v>408.40327329676603</v>
      </c>
      <c r="BF6" s="180">
        <f>$F6*(VLOOKUP(BF$4, Rates_previous!$G$6:$Q$29, 10, FALSE)+VLOOKUP(BF$4, Rates_previous!$G$6:$Q$29, 11, FALSE))</f>
        <v>394.69025696807876</v>
      </c>
      <c r="BG6" s="180">
        <f>$F6*(VLOOKUP(BG$4, Rates_previous!$G$6:$Q$29, 10, FALSE)+VLOOKUP(BG$4, Rates_previous!$G$6:$Q$29, 11, FALSE))</f>
        <v>364.73494226722403</v>
      </c>
      <c r="BH6" s="182">
        <f>IF($D6=0,IF(C6=0, MAX(BJ6 - (VLOOKUP($A6,TOCA_previous!$A$2:$AI$137,MATCH("RHWM 2022",TOCA_previous!$A$2:$AI$2,0),FALSE)*$F$2*TOCA_previous!C3),0),0), 0)</f>
        <v>1394.5692342466582</v>
      </c>
      <c r="BI6" s="192">
        <f>MIN(VLOOKUP($A6,TOCA_previous!$A$2:$AI$137,MATCH("TRL - NLSL - Existing Resource "&amp;$F$1,TOCA_previous!$A$2:$AI$2,0),FALSE)*$F$2,(VLOOKUP($A6,TOCA_previous!$A$2:$AI$137,MATCH("RHWM 2022",TOCA_previous!$A$2:$AI$2,0),FALSE)*$F$2))</f>
        <v>4581.4800000000005</v>
      </c>
      <c r="BJ6" s="401">
        <f>SUM(L6:AI6)+(F6*RT1SC!$C$3*$F$2)</f>
        <v>5976.0492342466587</v>
      </c>
      <c r="BK6" s="401">
        <f>VLOOKUP($A6,TOCA_previous!$A$2:$AI$137,MATCH("Above RHWM Not Served with LS "&amp;$F$1,TOCA_previous!$A$2:$AI$2,0),FALSE)*$F$2</f>
        <v>0</v>
      </c>
      <c r="BL6" s="401">
        <f>BJ6-BI6</f>
        <v>1394.5692342466582</v>
      </c>
      <c r="BM6" s="401">
        <f>(VLOOKUP($A6,TOCA_previous!$A$2:$AI$137,MATCH("RHWM 2022",TOCA_previous!$A$2:$AI$2,0),FALSE)*$F$2) - $BI6</f>
        <v>0</v>
      </c>
      <c r="BN6" s="401">
        <f>IF(BL6&gt;0,IF(BM6&gt;0,(-1)*MIN(BL6,BM6),0),0)</f>
        <v>0</v>
      </c>
      <c r="BO6" s="401">
        <f>IF(BL6&lt;0,IF(BK6&lt;ABS(BL6),MAX(0,ABS($BL6)-(BK6)),0),0)</f>
        <v>0</v>
      </c>
      <c r="BP6" s="401">
        <f>IF(AND(BK6&gt;0,BM6&gt;0),IF(AND(BL6&lt;=0,ABS(BL6)&lt;BK6),(-1)*MIN(BK6,BK6-ABS(BL6),BM6),IF(AND(BL6&gt;0,BL6&lt;BM6),(-1)*MIN(BK6,BM6-BL6),0)),0)</f>
        <v>0</v>
      </c>
      <c r="BQ6" s="401">
        <f t="shared" ref="BQ6:BQ37" si="2">IF($D6=0,SUM($BN6:$BP6),0)</f>
        <v>0</v>
      </c>
      <c r="BR6" s="108">
        <f>VLOOKUP($A6,TOCA_current!$A$2:$AI$137,MATCH(BR$4,TOCA_current!$A$2:$AI$2,0),FALSE)</f>
        <v>7.7600000000000002E-5</v>
      </c>
      <c r="BS6" s="108">
        <f>VLOOKUP($A6,TOCA_current!$A$2:$AI$137,MATCH(BS$4,TOCA_current!$A$2:$AI$2,0),FALSE)</f>
        <v>7.7600000000000002E-5</v>
      </c>
      <c r="BT6" s="189">
        <f>BR6-BS6</f>
        <v>0</v>
      </c>
      <c r="BU6" s="108">
        <f>VLOOKUP($A6,TOCA_current!A2:BG137,MATCH(BU$4,TOCA_current!$A$2:$BG$2,0),FALSE)</f>
        <v>1.8613138686131386E-2</v>
      </c>
      <c r="BV6" s="108">
        <f t="shared" ref="BV6:BV37" si="3">IF(C6=0,0,BU6)</f>
        <v>0</v>
      </c>
      <c r="BW6" s="108">
        <f t="shared" ref="BW6:BW37" si="4">IF(C6=0,0,BR6)</f>
        <v>0</v>
      </c>
      <c r="BX6" s="179">
        <f>VLOOKUP($A6,IRD!$A$4:$G$139, 7, FALSE)</f>
        <v>0</v>
      </c>
      <c r="BY6" s="180">
        <f t="array" ref="BY6">IF($BT6=0, INDEX(LS_current!$D$4:$AY$138, MATCH('Staging Table'!$A6, LS_current!$B$4:$B$138, 0), MATCH(BY$4&amp;BY$5, LS_current!$D$2:$AY$2&amp;LS_current!$D$3:$AY$3, 0)),SUM(VLOOKUP($A6, LS_current!$B$4:$AY$138, LS_current!D$148, FALSE), VLOOKUP($A6, LS_current!$B$4:$AY$138,LS_current!AB$148, FALSE))/2)</f>
        <v>87.872342806399985</v>
      </c>
      <c r="BZ6" s="180">
        <f t="array" ref="BZ6">IF($BT6=0, INDEX(LS_current!$D$4:$AY$138, MATCH('Staging Table'!$A6, LS_current!$B$4:$B$138, 0), MATCH(BZ$4&amp;BZ$5, LS_current!$D$2:$AY$2&amp;LS_current!$D$3:$AY$3, 0)),SUM(VLOOKUP($A6, LS_current!$B$4:$AY$138, LS_current!E$148, FALSE), VLOOKUP($A6, LS_current!$B$4:$AY$138,LS_current!AC$148, FALSE))/2)</f>
        <v>80.165485301199993</v>
      </c>
      <c r="CA6" s="180">
        <f t="array" ref="CA6">IF($BT6=0, INDEX(LS_current!$D$4:$AY$138, MATCH('Staging Table'!$A6, LS_current!$B$4:$B$138, 0), MATCH(CA$4&amp;CA$5, LS_current!$D$2:$AY$2&amp;LS_current!$D$3:$AY$3, 0)),SUM(VLOOKUP($A6, LS_current!$B$4:$AY$138, LS_current!F$148, FALSE), VLOOKUP($A6, LS_current!$B$4:$AY$138,LS_current!AD$148, FALSE))/2)</f>
        <v>68.803783347199953</v>
      </c>
      <c r="CB6" s="180">
        <f t="array" ref="CB6">IF($BT6=0, INDEX(LS_current!$D$4:$AY$138, MATCH('Staging Table'!$A6, LS_current!$B$4:$B$138, 0), MATCH(CB$4&amp;CB$5, LS_current!$D$2:$AY$2&amp;LS_current!$D$3:$AY$3, 0)),SUM(VLOOKUP($A6, LS_current!$B$4:$AY$138, LS_current!G$148, FALSE), VLOOKUP($A6, LS_current!$B$4:$AY$138,LS_current!AE$148, FALSE))/2)</f>
        <v>72.555818234399993</v>
      </c>
      <c r="CC6" s="180">
        <f t="array" ref="CC6">IF($BT6=0, INDEX(LS_current!$D$4:$AY$138, MATCH('Staging Table'!$A6, LS_current!$B$4:$B$138, 0), MATCH(CC$4&amp;CC$5, LS_current!$D$2:$AY$2&amp;LS_current!$D$3:$AY$3, 0)),SUM(VLOOKUP($A6, LS_current!$B$4:$AY$138, LS_current!H$148, FALSE), VLOOKUP($A6, LS_current!$B$4:$AY$138,LS_current!AF$148, FALSE))/2)</f>
        <v>120.82330665359996</v>
      </c>
      <c r="CD6" s="180">
        <f t="array" ref="CD6">IF($BT6=0, INDEX(LS_current!$D$4:$AY$138, MATCH('Staging Table'!$A6, LS_current!$B$4:$B$138, 0), MATCH(CD$4&amp;CD$5, LS_current!$D$2:$AY$2&amp;LS_current!$D$3:$AY$3, 0)),SUM(VLOOKUP($A6, LS_current!$B$4:$AY$138, LS_current!I$148, FALSE), VLOOKUP($A6, LS_current!$B$4:$AY$138,LS_current!AG$148, FALSE))/2)</f>
        <v>133.4328891904</v>
      </c>
      <c r="CE6" s="180">
        <f t="array" ref="CE6">IF($BT6=0, INDEX(LS_current!$D$4:$AY$138, MATCH('Staging Table'!$A6, LS_current!$B$4:$B$138, 0), MATCH(CE$4&amp;CE$5, LS_current!$D$2:$AY$2&amp;LS_current!$D$3:$AY$3, 0)),SUM(VLOOKUP($A6, LS_current!$B$4:$AY$138, LS_current!J$148, FALSE), VLOOKUP($A6, LS_current!$B$4:$AY$138,LS_current!AH$148, FALSE))/2)</f>
        <v>138.05832291600001</v>
      </c>
      <c r="CF6" s="180">
        <f t="array" ref="CF6">IF($BT6=0, INDEX(LS_current!$D$4:$AY$138, MATCH('Staging Table'!$A6, LS_current!$B$4:$B$138, 0), MATCH(CF$4&amp;CF$5, LS_current!$D$2:$AY$2&amp;LS_current!$D$3:$AY$3, 0)),SUM(VLOOKUP($A6, LS_current!$B$4:$AY$138, LS_current!K$148, FALSE), VLOOKUP($A6, LS_current!$B$4:$AY$138,LS_current!AI$148, FALSE))/2)</f>
        <v>130.8994889496</v>
      </c>
      <c r="CG6" s="180">
        <f t="array" ref="CG6">IF($BT6=0, INDEX(LS_current!$D$4:$AY$138, MATCH('Staging Table'!$A6, LS_current!$B$4:$B$138, 0), MATCH(CG$4&amp;CG$5, LS_current!$D$2:$AY$2&amp;LS_current!$D$3:$AY$3, 0)),SUM(VLOOKUP($A6, LS_current!$B$4:$AY$138, LS_current!L$148, FALSE), VLOOKUP($A6, LS_current!$B$4:$AY$138,LS_current!AJ$148, FALSE))/2)</f>
        <v>94.736319789599975</v>
      </c>
      <c r="CH6" s="180">
        <f t="array" ref="CH6">IF($BT6=0, INDEX(LS_current!$D$4:$AY$138, MATCH('Staging Table'!$A6, LS_current!$B$4:$B$138, 0), MATCH(CH$4&amp;CH$5, LS_current!$D$2:$AY$2&amp;LS_current!$D$3:$AY$3, 0)),SUM(VLOOKUP($A6, LS_current!$B$4:$AY$138, LS_current!M$148, FALSE), VLOOKUP($A6, LS_current!$B$4:$AY$138,LS_current!AK$148, FALSE))/2)</f>
        <v>97.1826079816</v>
      </c>
      <c r="CI6" s="180">
        <f t="array" ref="CI6">IF($BT6=0, INDEX(LS_current!$D$4:$AY$138, MATCH('Staging Table'!$A6, LS_current!$B$4:$B$138, 0), MATCH(CI$4&amp;CI$5, LS_current!$D$2:$AY$2&amp;LS_current!$D$3:$AY$3, 0)),SUM(VLOOKUP($A6, LS_current!$B$4:$AY$138, LS_current!N$148, FALSE), VLOOKUP($A6, LS_current!$B$4:$AY$138,LS_current!AL$148, FALSE))/2)</f>
        <v>67.327276831199981</v>
      </c>
      <c r="CJ6" s="180">
        <f t="array" ref="CJ6">IF($BT6=0, INDEX(LS_current!$D$4:$AY$138, MATCH('Staging Table'!$A6, LS_current!$B$4:$B$138, 0), MATCH(CJ$4&amp;CJ$5, LS_current!$D$2:$AY$2&amp;LS_current!$D$3:$AY$3, 0)),SUM(VLOOKUP($A6, LS_current!$B$4:$AY$138, LS_current!O$148, FALSE), VLOOKUP($A6, LS_current!$B$4:$AY$138,LS_current!AM$148, FALSE))/2)</f>
        <v>84.508670027199997</v>
      </c>
      <c r="CK6" s="180">
        <f t="array" ref="CK6">IF($BT6=0, INDEX(LS_current!$D$4:$AY$138, MATCH('Staging Table'!$A6, LS_current!$B$4:$B$138, 0), MATCH(CK$4&amp;CK$5, LS_current!$D$2:$AY$2&amp;LS_current!$D$3:$AY$3, 0)),SUM(VLOOKUP($A6, LS_current!$B$4:$AY$138, LS_current!P$148, FALSE), VLOOKUP($A6, LS_current!$B$4:$AY$138,LS_current!AN$148, FALSE))/2)</f>
        <v>92.586156466000034</v>
      </c>
      <c r="CL6" s="180">
        <f t="array" ref="CL6">IF($BT6=0, INDEX(LS_current!$D$4:$AY$138, MATCH('Staging Table'!$A6, LS_current!$B$4:$B$138, 0), MATCH(CL$4&amp;CL$5, LS_current!$D$2:$AY$2&amp;LS_current!$D$3:$AY$3, 0)),SUM(VLOOKUP($A6, LS_current!$B$4:$AY$138, LS_current!Q$148, FALSE), VLOOKUP($A6, LS_current!$B$4:$AY$138,LS_current!AO$148, FALSE))/2)</f>
        <v>76.794435368199998</v>
      </c>
      <c r="CM6" s="180">
        <f t="array" ref="CM6">IF($BT6=0, INDEX(LS_current!$D$4:$AY$138, MATCH('Staging Table'!$A6, LS_current!$B$4:$B$138, 0), MATCH(CM$4&amp;CM$5, LS_current!$D$2:$AY$2&amp;LS_current!$D$3:$AY$3, 0)),SUM(VLOOKUP($A6, LS_current!$B$4:$AY$138, LS_current!R$148, FALSE), VLOOKUP($A6, LS_current!$B$4:$AY$138,LS_current!AP$148, FALSE))/2)</f>
        <v>-39.2419874048</v>
      </c>
      <c r="CN6" s="180">
        <f t="array" ref="CN6">IF($BT6=0, INDEX(LS_current!$D$4:$AY$138, MATCH('Staging Table'!$A6, LS_current!$B$4:$B$138, 0), MATCH(CN$4&amp;CN$5, LS_current!$D$2:$AY$2&amp;LS_current!$D$3:$AY$3, 0)),SUM(VLOOKUP($A6, LS_current!$B$4:$AY$138, LS_current!S$148, FALSE), VLOOKUP($A6, LS_current!$B$4:$AY$138,LS_current!AQ$148, FALSE))/2)</f>
        <v>-8.6215666996000095</v>
      </c>
      <c r="CO6" s="180">
        <f t="array" ref="CO6">IF($BT6=0, INDEX(LS_current!$D$4:$AY$138, MATCH('Staging Table'!$A6, LS_current!$B$4:$B$138, 0), MATCH(CO$4&amp;CO$5, LS_current!$D$2:$AY$2&amp;LS_current!$D$3:$AY$3, 0)),SUM(VLOOKUP($A6, LS_current!$B$4:$AY$138, LS_current!T$148, FALSE), VLOOKUP($A6, LS_current!$B$4:$AY$138,LS_current!AR$148, FALSE))/2)</f>
        <v>-66.369615057600015</v>
      </c>
      <c r="CP6" s="180">
        <f t="array" ref="CP6">IF($BT6=0, INDEX(LS_current!$D$4:$AY$138, MATCH('Staging Table'!$A6, LS_current!$B$4:$B$138, 0), MATCH(CP$4&amp;CP$5, LS_current!$D$2:$AY$2&amp;LS_current!$D$3:$AY$3, 0)),SUM(VLOOKUP($A6, LS_current!$B$4:$AY$138, LS_current!U$148, FALSE), VLOOKUP($A6, LS_current!$B$4:$AY$138,LS_current!AS$148, FALSE))/2)</f>
        <v>-10.596744229200027</v>
      </c>
      <c r="CQ6" s="180">
        <f t="array" ref="CQ6">IF($BT6=0, INDEX(LS_current!$D$4:$AY$138, MATCH('Staging Table'!$A6, LS_current!$B$4:$B$138, 0), MATCH(CQ$4&amp;CQ$5, LS_current!$D$2:$AY$2&amp;LS_current!$D$3:$AY$3, 0)),SUM(VLOOKUP($A6, LS_current!$B$4:$AY$138, LS_current!V$148, FALSE), VLOOKUP($A6, LS_current!$B$4:$AY$138,LS_current!AT$148, FALSE))/2)</f>
        <v>-34.725664886399983</v>
      </c>
      <c r="CR6" s="180">
        <f t="array" ref="CR6">IF($BT6=0, INDEX(LS_current!$D$4:$AY$138, MATCH('Staging Table'!$A6, LS_current!$B$4:$B$138, 0), MATCH(CR$4&amp;CR$5, LS_current!$D$2:$AY$2&amp;LS_current!$D$3:$AY$3, 0)),SUM(VLOOKUP($A6, LS_current!$B$4:$AY$138, LS_current!W$148, FALSE), VLOOKUP($A6, LS_current!$B$4:$AY$138,LS_current!AU$148, FALSE))/2)</f>
        <v>-7.9384758939999926</v>
      </c>
      <c r="CS6" s="180">
        <f t="array" ref="CS6">IF($BT6=0, INDEX(LS_current!$D$4:$AY$138, MATCH('Staging Table'!$A6, LS_current!$B$4:$B$138, 0), MATCH(CS$4&amp;CS$5, LS_current!$D$2:$AY$2&amp;LS_current!$D$3:$AY$3, 0)),SUM(VLOOKUP($A6, LS_current!$B$4:$AY$138, LS_current!X$148, FALSE), VLOOKUP($A6, LS_current!$B$4:$AY$138,LS_current!AV$148, FALSE))/2)</f>
        <v>-19.92431730840002</v>
      </c>
      <c r="CT6" s="180">
        <f t="array" ref="CT6">IF($BT6=0, INDEX(LS_current!$D$4:$AY$138, MATCH('Staging Table'!$A6, LS_current!$B$4:$B$138, 0), MATCH(CT$4&amp;CT$5, LS_current!$D$2:$AY$2&amp;LS_current!$D$3:$AY$3, 0)),SUM(VLOOKUP($A6, LS_current!$B$4:$AY$138, LS_current!Y$148, FALSE), VLOOKUP($A6, LS_current!$B$4:$AY$138,LS_current!AW$148, FALSE))/2)</f>
        <v>-7.990674996359985</v>
      </c>
      <c r="CU6" s="180">
        <f t="array" ref="CU6">IF($BT6=0, INDEX(LS_current!$D$4:$AY$138, MATCH('Staging Table'!$A6, LS_current!$B$4:$B$138, 0), MATCH(CU$4&amp;CU$5, LS_current!$D$2:$AY$2&amp;LS_current!$D$3:$AY$3, 0)),SUM(VLOOKUP($A6, LS_current!$B$4:$AY$138, LS_current!Z$148, FALSE), VLOOKUP($A6, LS_current!$B$4:$AY$138,LS_current!AX$148, FALSE))/2)</f>
        <v>-6.4732100624000282</v>
      </c>
      <c r="CV6" s="180">
        <f t="array" ref="CV6">IF($BT6=0, INDEX(LS_current!$D$4:$AY$138, MATCH('Staging Table'!$A6, LS_current!$B$4:$B$138, 0), MATCH(CV$4&amp;CV$5, LS_current!$D$2:$AY$2&amp;LS_current!$D$3:$AY$3, 0)),SUM(VLOOKUP($A6, LS_current!$B$4:$AY$138, LS_current!AA$148, FALSE), VLOOKUP($A6, LS_current!$B$4:$AY$138,LS_current!AY$148, FALSE))/2)</f>
        <v>17.523557529599969</v>
      </c>
      <c r="CW6" s="182">
        <f t="array" ref="CW6">INDEX(Demand_current!$D$4:$AY$138, MATCH($A6, Demand_current!$B$4:$B$138, 0), MATCH(CW$4&amp;CW$5,Demand_current!$D$2:$AY$2&amp;Demand_current!$D$3:$AY$3, 0))/1000</f>
        <v>7.7639423076922953E-2</v>
      </c>
      <c r="CX6" s="182">
        <f t="array" ref="CX6">INDEX(Demand_current!$D$4:$AY$138, MATCH($A6, Demand_current!$B$4:$B$138, 0), MATCH(CX$4&amp;CX$5,Demand_current!$D$2:$AY$2&amp;Demand_current!$D$3:$AY$3, 0))/1000</f>
        <v>8.4680000000000033E-2</v>
      </c>
      <c r="CY6" s="182">
        <f t="array" ref="CY6">INDEX(Demand_current!$D$4:$AY$138, MATCH($A6, Demand_current!$B$4:$B$138, 0), MATCH(CY$4&amp;CY$5,Demand_current!$D$2:$AY$2&amp;Demand_current!$D$3:$AY$3, 0))/1000</f>
        <v>3.7967500000000098E-2</v>
      </c>
      <c r="CZ6" s="182">
        <f t="array" ref="CZ6">INDEX(Demand_current!$D$4:$AY$138, MATCH($A6, Demand_current!$B$4:$B$138, 0), MATCH(CZ$4&amp;CZ$5,Demand_current!$D$2:$AY$2&amp;Demand_current!$D$3:$AY$3, 0))/1000</f>
        <v>0.1272788461538461</v>
      </c>
      <c r="DA6" s="182">
        <f t="array" ref="DA6">INDEX(Demand_current!$D$4:$AY$138, MATCH($A6, Demand_current!$B$4:$B$138, 0), MATCH(DA$4&amp;DA$5,Demand_current!$D$2:$AY$2&amp;Demand_current!$D$3:$AY$3, 0))/1000</f>
        <v>9.9960000000000049E-2</v>
      </c>
      <c r="DB6" s="182">
        <f t="array" ref="DB6">INDEX(Demand_current!$D$4:$AY$138, MATCH($A6, Demand_current!$B$4:$B$138, 0), MATCH(DB$4&amp;DB$5,Demand_current!$D$2:$AY$2&amp;Demand_current!$D$3:$AY$3, 0))/1000</f>
        <v>0.18761298076923083</v>
      </c>
      <c r="DC6" s="182">
        <f t="array" ref="DC6">INDEX(Demand_current!$D$4:$AY$138, MATCH($A6, Demand_current!$B$4:$B$138, 0), MATCH(DC$4&amp;DC$5,Demand_current!$D$2:$AY$2&amp;Demand_current!$D$3:$AY$3, 0))/1000</f>
        <v>4.6603365384615347E-2</v>
      </c>
      <c r="DD6" s="182">
        <f t="array" ref="DD6">INDEX(Demand_current!$D$4:$AY$138, MATCH($A6, Demand_current!$B$4:$B$138, 0), MATCH(DD$4&amp;DD$5,Demand_current!$D$2:$AY$2&amp;Demand_current!$D$3:$AY$3, 0))/1000</f>
        <v>9.0358173076923065E-2</v>
      </c>
      <c r="DE6" s="182">
        <f t="array" ref="DE6">INDEX(Demand_current!$D$4:$AY$138, MATCH($A6, Demand_current!$B$4:$B$138, 0), MATCH(DE$4&amp;DE$5,Demand_current!$D$2:$AY$2&amp;Demand_current!$D$3:$AY$3, 0))/1000</f>
        <v>0.13728250000000009</v>
      </c>
      <c r="DF6" s="182">
        <f t="array" ref="DF6">INDEX(Demand_current!$D$4:$AY$138, MATCH($A6, Demand_current!$B$4:$B$138, 0), MATCH(DF$4&amp;DF$5,Demand_current!$D$2:$AY$2&amp;Demand_current!$D$3:$AY$3, 0))/1000</f>
        <v>9.9355769230769247E-2</v>
      </c>
      <c r="DG6" s="182">
        <f t="array" ref="DG6">INDEX(Demand_current!$D$4:$AY$138, MATCH($A6, Demand_current!$B$4:$B$138, 0), MATCH(DG$4&amp;DG$5,Demand_current!$D$2:$AY$2&amp;Demand_current!$D$3:$AY$3, 0))/1000</f>
        <v>0.14394675925925926</v>
      </c>
      <c r="DH6" s="182">
        <f t="array" ref="DH6">INDEX(Demand_current!$D$4:$AY$138, MATCH($A6, Demand_current!$B$4:$B$138, 0), MATCH(DH$4&amp;DH$5,Demand_current!$D$2:$AY$2&amp;Demand_current!$D$3:$AY$3, 0))/1000</f>
        <v>0.11442187499999995</v>
      </c>
      <c r="DI6" s="180">
        <f>$BS6*(VLOOKUP(DI$4, Rates_current!$G$6:$Q$29, 10, FALSE)+VLOOKUP(DI$4, Rates_current!$G$6:$Q$29, 11, FALSE))</f>
        <v>327.3791718924</v>
      </c>
      <c r="DJ6" s="180">
        <f>$BS6*(VLOOKUP(DJ$4, Rates_current!$G$6:$Q$29, 10, FALSE)+VLOOKUP(DJ$4, Rates_current!$G$6:$Q$29, 11, FALSE))</f>
        <v>417.51639841840006</v>
      </c>
      <c r="DK6" s="180">
        <f>$BS6*(VLOOKUP(DK$4, Rates_current!$G$6:$Q$29, 10, FALSE)+VLOOKUP(DK$4, Rates_current!$G$6:$Q$29, 11, FALSE))</f>
        <v>450.58280415600007</v>
      </c>
      <c r="DL6" s="180">
        <f>$BS6*(VLOOKUP(DL$4, Rates_current!$G$6:$Q$29, 10, FALSE)+VLOOKUP(DL$4, Rates_current!$G$6:$Q$29, 11, FALSE))</f>
        <v>468.22518813440001</v>
      </c>
      <c r="DM6" s="180">
        <f>$BS6*(VLOOKUP(DM$4, Rates_current!$G$6:$Q$29, 10, FALSE)+VLOOKUP(DM$4, Rates_current!$G$6:$Q$29, 11, FALSE))</f>
        <v>402.73607222879997</v>
      </c>
      <c r="DN6" s="180">
        <f>$BS6*(VLOOKUP(DN$4, Rates_current!$G$6:$Q$29, 10, FALSE)+VLOOKUP(DN$4, Rates_current!$G$6:$Q$29, 11, FALSE))</f>
        <v>439.70805314159998</v>
      </c>
      <c r="DO6" s="180">
        <f>$BS6*(VLOOKUP(DO$4, Rates_current!$G$6:$Q$29, 10, FALSE)+VLOOKUP(DO$4, Rates_current!$G$6:$Q$29, 11, FALSE))</f>
        <v>347.07540816579996</v>
      </c>
      <c r="DP6" s="180">
        <f>$BS6*(VLOOKUP(DP$4, Rates_current!$G$6:$Q$29, 10, FALSE)+VLOOKUP(DP$4, Rates_current!$G$6:$Q$29, 11, FALSE))</f>
        <v>430.59355410440003</v>
      </c>
      <c r="DQ6" s="180">
        <f>$BS6*(VLOOKUP(DQ$4, Rates_current!$G$6:$Q$29, 10, FALSE)+VLOOKUP(DQ$4, Rates_current!$G$6:$Q$29, 11, FALSE))</f>
        <v>439.93635928679998</v>
      </c>
      <c r="DR6" s="180">
        <f>$BS6*(VLOOKUP(DR$4, Rates_current!$G$6:$Q$29, 10, FALSE)+VLOOKUP(DR$4, Rates_current!$G$6:$Q$29, 11, FALSE))</f>
        <v>381.92814078039999</v>
      </c>
      <c r="DS6" s="180">
        <f>$BS6*(VLOOKUP(DS$4, Rates_current!$G$6:$Q$29, 10, FALSE)+VLOOKUP(DS$4, Rates_current!$G$6:$Q$29, 11, FALSE))</f>
        <v>369.22299230476006</v>
      </c>
      <c r="DT6" s="180">
        <f>$BS6*(VLOOKUP(DT$4, Rates_current!$G$6:$Q$29, 10, FALSE)+VLOOKUP(DT$4, Rates_current!$G$6:$Q$29, 11, FALSE))</f>
        <v>339.75665253280005</v>
      </c>
      <c r="DU6" s="402">
        <f>IF(D6=0,IF(C6=0,MAX(0,DW6 - (VLOOKUP($A6,TOCA_current!$A$2:$AI$137,MATCH("RHWM 2024",TOCA_current!$A$2:$AI$2,0),FALSE)*$BS$2)), 0),0)</f>
        <v>1162.4170220694396</v>
      </c>
      <c r="DV6" s="403">
        <f>MIN(VLOOKUP($A6,TOCA_current!$A$2:$AI$137,MATCH("TRL - NLSL - Existing Resource "&amp;$BS$1,TOCA_current!$A$2:$AI$2,0),FALSE)*$BS$2, VLOOKUP($A6,TOCA_current!$A$2:$AI$137,MATCH("RHWM 2024",TOCA_current!$A$2:$AI$2,0),FALSE)*$BS$2)</f>
        <v>4813.6320000000005</v>
      </c>
      <c r="DW6" s="403">
        <f>SUM(BY6:CV6)+(BS6*RT1SC!$C$4*$BS$2)</f>
        <v>5976.0490220694401</v>
      </c>
      <c r="DX6" s="403">
        <f>VLOOKUP($A6,TOCA_current!$A$2:$AI$137,MATCH("Above RHWM Not Served with LS "&amp;$BS$1,TOCA_current!$A$2:$AI$2,0),FALSE)*$BS$2</f>
        <v>0</v>
      </c>
      <c r="DY6" s="403">
        <f>DW6-DV6</f>
        <v>1162.4170220694396</v>
      </c>
      <c r="DZ6" s="403">
        <f>(VLOOKUP($A6,TOCA_current!$A$2:$AI$137,MATCH("RHWM 2024",TOCA_current!$A$2:$AI$2,0),FALSE)*$BS$2) - $DV6</f>
        <v>0</v>
      </c>
      <c r="EA6" s="403">
        <f>IF(DY6&gt;0,IF(DZ6&gt;0,(-1)*MIN(DY6,DZ6),0),0)</f>
        <v>0</v>
      </c>
      <c r="EB6" s="403">
        <f>IF(DY6&lt;0,IF(DX6&lt;ABS(DY6),MAX(0,ABS($DY6)-(DX6)),0),0)</f>
        <v>0</v>
      </c>
      <c r="EC6" s="403">
        <f>IF(AND(DX6&gt;0,DZ6&gt;0),IF(AND(DY6&lt;=0,ABS(DY6)&lt;DX6),(-1)*MIN(DX6,DX6-ABS(DY6),DZ6),IF(AND(DY6&gt;0,DY6&lt;DZ6),(-1)*MIN(DX6,DZ6-DY6),0)),0)</f>
        <v>0</v>
      </c>
      <c r="ED6" s="403">
        <f>IF($D6=0,SUM(EA6:EC6),0)</f>
        <v>0</v>
      </c>
    </row>
    <row r="7" spans="1:134">
      <c r="A7" s="123">
        <v>10015</v>
      </c>
      <c r="B7" s="124" t="s">
        <v>8</v>
      </c>
      <c r="C7" s="232">
        <f>VLOOKUP(A7, TOCA_current!$A$3:$D$137, 4, FALSE)</f>
        <v>0</v>
      </c>
      <c r="D7" s="191">
        <v>0</v>
      </c>
      <c r="E7" s="107">
        <f>VLOOKUP($A7,TOCA_previous!$A$2:$AI$137,MATCH(E$4,TOCA_previous!$A$2:$AI$2,0),FALSE)</f>
        <v>8.1199999999999995E-5</v>
      </c>
      <c r="F7" s="108">
        <f>VLOOKUP($A7,TOCA_previous!$A$2:$AI$137,MATCH(F$4,TOCA_previous!$A$2:$AI$2,0),FALSE)</f>
        <v>8.1199999999999995E-5</v>
      </c>
      <c r="G7" s="108">
        <f t="shared" ref="G7:G70" si="5">E7-F7</f>
        <v>0</v>
      </c>
      <c r="H7" s="108">
        <f>VLOOKUP($A7,TOCA_previous!$A$2:$AI$137,MATCH(H$4,TOCA_previous!$A$2:$AI$2,0),FALSE)</f>
        <v>0</v>
      </c>
      <c r="I7" s="108">
        <f t="shared" ref="I7:I70" si="6">IF(C7=0,0,H7)</f>
        <v>0</v>
      </c>
      <c r="J7" s="108">
        <f t="shared" ref="J7:J70" si="7">IF(C7=0,0,E7)</f>
        <v>0</v>
      </c>
      <c r="K7" s="179">
        <f>VLOOKUP(A7, IRD!$A$5:$C$139, 3, FALSE)</f>
        <v>0</v>
      </c>
      <c r="L7" s="180">
        <f t="array" ref="L7">IF($G7=0, INDEX(LS_previous!$D$4:$AY$138, MATCH('Staging Table'!$A7, LS_previous!$B$4:$B$138, 0), MATCH(L$4&amp;L$5, LS_previous!$D$2:$AY$2&amp;LS_previous!$D$3:$AY$3, 0)),SUM(VLOOKUP($A7, LS_previous!$B$4:$AY$138, LS_previous!D$149, FALSE), VLOOKUP('Staging Table'!$A7, LS_previous!$B$4:$AY$138,LS_previous!AB$149, FALSE))/2)</f>
        <v>-83.631169480282551</v>
      </c>
      <c r="M7" s="180">
        <f t="array" ref="M7">IF($G7=0, INDEX(LS_previous!$D$4:$AY$138, MATCH('Staging Table'!$A7, LS_previous!$B$4:$B$138, 0), MATCH(M$4&amp;M$5, LS_previous!$D$2:$AY$2&amp;LS_previous!$D$3:$AY$3, 0)),SUM(VLOOKUP($A7, LS_previous!$B$4:$AY$138, LS_previous!E$149, FALSE), VLOOKUP('Staging Table'!$A7, LS_previous!$B$4:$AY$138,LS_previous!AC$149, FALSE))/2)</f>
        <v>-6.215493485673008</v>
      </c>
      <c r="N7" s="180">
        <f t="array" ref="N7">IF($G7=0, INDEX(LS_previous!$D$4:$AY$138, MATCH('Staging Table'!$A7, LS_previous!$B$4:$B$138, 0), MATCH(N$4&amp;N$5, LS_previous!$D$2:$AY$2&amp;LS_previous!$D$3:$AY$3, 0)),SUM(VLOOKUP($A7, LS_previous!$B$4:$AY$138, LS_previous!F$149, FALSE), VLOOKUP('Staging Table'!$A7, LS_previous!$B$4:$AY$138,LS_previous!AD$149, FALSE))/2)</f>
        <v>-198.38714784910661</v>
      </c>
      <c r="O7" s="180">
        <f t="array" ref="O7">IF($G7=0, INDEX(LS_previous!$D$4:$AY$138, MATCH('Staging Table'!$A7, LS_previous!$B$4:$B$138, 0), MATCH(O$4&amp;O$5, LS_previous!$D$2:$AY$2&amp;LS_previous!$D$3:$AY$3, 0)),SUM(VLOOKUP($A7, LS_previous!$B$4:$AY$138, LS_previous!G$149, FALSE), VLOOKUP('Staging Table'!$A7, LS_previous!$B$4:$AY$138,LS_previous!AE$149, FALSE))/2)</f>
        <v>-115.87705965698518</v>
      </c>
      <c r="P7" s="180">
        <f t="array" ref="P7">IF($G7=0, INDEX(LS_previous!$D$4:$AY$138, MATCH('Staging Table'!$A7, LS_previous!$B$4:$B$138, 0), MATCH(P$4&amp;P$5, LS_previous!$D$2:$AY$2&amp;LS_previous!$D$3:$AY$3, 0)),SUM(VLOOKUP($A7, LS_previous!$B$4:$AY$138, LS_previous!H$149, FALSE), VLOOKUP('Staging Table'!$A7, LS_previous!$B$4:$AY$138,LS_previous!AF$149, FALSE))/2)</f>
        <v>-170.76446613709419</v>
      </c>
      <c r="Q7" s="180">
        <f t="array" ref="Q7">IF($G7=0, INDEX(LS_previous!$D$4:$AY$138, MATCH('Staging Table'!$A7, LS_previous!$B$4:$B$138, 0), MATCH(Q$4&amp;Q$5, LS_previous!$D$2:$AY$2&amp;LS_previous!$D$3:$AY$3, 0)),SUM(VLOOKUP($A7, LS_previous!$B$4:$AY$138, LS_previous!I$149, FALSE), VLOOKUP('Staging Table'!$A7, LS_previous!$B$4:$AY$138,LS_previous!AG$149, FALSE))/2)</f>
        <v>-126.03799485809461</v>
      </c>
      <c r="R7" s="180">
        <f t="array" ref="R7">IF($G7=0, INDEX(LS_previous!$D$4:$AY$138, MATCH('Staging Table'!$A7, LS_previous!$B$4:$B$138, 0), MATCH(R$4&amp;R$5, LS_previous!$D$2:$AY$2&amp;LS_previous!$D$3:$AY$3, 0)),SUM(VLOOKUP($A7, LS_previous!$B$4:$AY$138, LS_previous!J$149, FALSE), VLOOKUP('Staging Table'!$A7, LS_previous!$B$4:$AY$138,LS_previous!AH$149, FALSE))/2)</f>
        <v>-112.65827368644298</v>
      </c>
      <c r="S7" s="180">
        <f t="array" ref="S7">IF($G7=0, INDEX(LS_previous!$D$4:$AY$138, MATCH('Staging Table'!$A7, LS_previous!$B$4:$B$138, 0), MATCH(S$4&amp;S$5, LS_previous!$D$2:$AY$2&amp;LS_previous!$D$3:$AY$3, 0)),SUM(VLOOKUP($A7, LS_previous!$B$4:$AY$138, LS_previous!K$149, FALSE), VLOOKUP('Staging Table'!$A7, LS_previous!$B$4:$AY$138,LS_previous!AI$149, FALSE))/2)</f>
        <v>-99.907949002725388</v>
      </c>
      <c r="T7" s="180">
        <f t="array" ref="T7">IF($G7=0, INDEX(LS_previous!$D$4:$AY$138, MATCH('Staging Table'!$A7, LS_previous!$B$4:$B$138, 0), MATCH(T$4&amp;T$5, LS_previous!$D$2:$AY$2&amp;LS_previous!$D$3:$AY$3, 0)),SUM(VLOOKUP($A7, LS_previous!$B$4:$AY$138, LS_previous!L$149, FALSE), VLOOKUP('Staging Table'!$A7, LS_previous!$B$4:$AY$138,LS_previous!AJ$149, FALSE))/2)</f>
        <v>-108.09623787903554</v>
      </c>
      <c r="U7" s="180">
        <f t="array" ref="U7">IF($G7=0, INDEX(LS_previous!$D$4:$AY$138, MATCH('Staging Table'!$A7, LS_previous!$B$4:$B$138, 0), MATCH(U$4&amp;U$5, LS_previous!$D$2:$AY$2&amp;LS_previous!$D$3:$AY$3, 0)),SUM(VLOOKUP($A7, LS_previous!$B$4:$AY$138, LS_previous!M$149, FALSE), VLOOKUP('Staging Table'!$A7, LS_previous!$B$4:$AY$138,LS_previous!AK$149, FALSE))/2)</f>
        <v>-74.539266144354187</v>
      </c>
      <c r="V7" s="180">
        <f t="array" ref="V7">IF($G7=0, INDEX(LS_previous!$D$4:$AY$138, MATCH('Staging Table'!$A7, LS_previous!$B$4:$B$138, 0), MATCH(V$4&amp;V$5, LS_previous!$D$2:$AY$2&amp;LS_previous!$D$3:$AY$3, 0)),SUM(VLOOKUP($A7, LS_previous!$B$4:$AY$138, LS_previous!N$149, FALSE), VLOOKUP('Staging Table'!$A7, LS_previous!$B$4:$AY$138,LS_previous!AL$149, FALSE))/2)</f>
        <v>-135.48234720649376</v>
      </c>
      <c r="W7" s="180">
        <f t="array" ref="W7">IF($G7=0, INDEX(LS_previous!$D$4:$AY$138, MATCH('Staging Table'!$A7, LS_previous!$B$4:$B$138, 0), MATCH(W$4&amp;W$5, LS_previous!$D$2:$AY$2&amp;LS_previous!$D$3:$AY$3, 0)),SUM(VLOOKUP($A7, LS_previous!$B$4:$AY$138, LS_previous!O$149, FALSE), VLOOKUP('Staging Table'!$A7, LS_previous!$B$4:$AY$138,LS_previous!AM$149, FALSE))/2)</f>
        <v>-88.989607556724778</v>
      </c>
      <c r="X7" s="180">
        <f t="array" ref="X7">IF($G7=0, INDEX(LS_previous!$D$4:$AY$138, MATCH('Staging Table'!$A7, LS_previous!$B$4:$B$138, 0), MATCH(X$4&amp;X$5, LS_previous!$D$2:$AY$2&amp;LS_previous!$D$3:$AY$3, 0)),SUM(VLOOKUP($A7, LS_previous!$B$4:$AY$138, LS_previous!P$149, FALSE), VLOOKUP('Staging Table'!$A7, LS_previous!$B$4:$AY$138,LS_previous!AN$149, FALSE))/2)</f>
        <v>-27.874866959933769</v>
      </c>
      <c r="Y7" s="180">
        <f t="array" ref="Y7">IF($G7=0, INDEX(LS_previous!$D$4:$AY$138, MATCH('Staging Table'!$A7, LS_previous!$B$4:$B$138, 0), MATCH(Y$4&amp;Y$5, LS_previous!$D$2:$AY$2&amp;LS_previous!$D$3:$AY$3, 0)),SUM(VLOOKUP($A7, LS_previous!$B$4:$AY$138, LS_previous!Q$149, FALSE), VLOOKUP('Staging Table'!$A7, LS_previous!$B$4:$AY$138,LS_previous!AO$149, FALSE))/2)</f>
        <v>-15.096799210826404</v>
      </c>
      <c r="Z7" s="180">
        <f t="array" ref="Z7">IF($G7=0, INDEX(LS_previous!$D$4:$AY$138, MATCH('Staging Table'!$A7, LS_previous!$B$4:$B$138, 0), MATCH(Z$4&amp;Z$5, LS_previous!$D$2:$AY$2&amp;LS_previous!$D$3:$AY$3, 0)),SUM(VLOOKUP($A7, LS_previous!$B$4:$AY$138, LS_previous!R$149, FALSE), VLOOKUP('Staging Table'!$A7, LS_previous!$B$4:$AY$138,LS_previous!AP$149, FALSE))/2)</f>
        <v>-20.974625539315355</v>
      </c>
      <c r="AA7" s="180">
        <f t="array" ref="AA7">IF($G7=0, INDEX(LS_previous!$D$4:$AY$138, MATCH('Staging Table'!$A7, LS_previous!$B$4:$B$138, 0), MATCH(AA$4&amp;AA$5, LS_previous!$D$2:$AY$2&amp;LS_previous!$D$3:$AY$3, 0)),SUM(VLOOKUP($A7, LS_previous!$B$4:$AY$138, LS_previous!S$149, FALSE), VLOOKUP('Staging Table'!$A7, LS_previous!$B$4:$AY$138,LS_previous!AQ$149, FALSE))/2)</f>
        <v>110.37890020288143</v>
      </c>
      <c r="AB7" s="180">
        <f t="array" ref="AB7">IF($G7=0, INDEX(LS_previous!$D$4:$AY$138, MATCH('Staging Table'!$A7, LS_previous!$B$4:$B$138, 0), MATCH(AB$4&amp;AB$5, LS_previous!$D$2:$AY$2&amp;LS_previous!$D$3:$AY$3, 0)),SUM(VLOOKUP($A7, LS_previous!$B$4:$AY$138, LS_previous!T$149, FALSE), VLOOKUP('Staging Table'!$A7, LS_previous!$B$4:$AY$138,LS_previous!AR$149, FALSE))/2)</f>
        <v>67.959847470814793</v>
      </c>
      <c r="AC7" s="180">
        <f t="array" ref="AC7">IF($G7=0, INDEX(LS_previous!$D$4:$AY$138, MATCH('Staging Table'!$A7, LS_previous!$B$4:$B$138, 0), MATCH(AC$4&amp;AC$5, LS_previous!$D$2:$AY$2&amp;LS_previous!$D$3:$AY$3, 0)),SUM(VLOOKUP($A7, LS_previous!$B$4:$AY$138, LS_previous!U$149, FALSE), VLOOKUP('Staging Table'!$A7, LS_previous!$B$4:$AY$138,LS_previous!AS$149, FALSE))/2)</f>
        <v>208.78689116768899</v>
      </c>
      <c r="AD7" s="180">
        <f t="array" ref="AD7">IF($G7=0, INDEX(LS_previous!$D$4:$AY$138, MATCH('Staging Table'!$A7, LS_previous!$B$4:$B$138, 0), MATCH(AD$4&amp;AD$5, LS_previous!$D$2:$AY$2&amp;LS_previous!$D$3:$AY$3, 0)),SUM(VLOOKUP($A7, LS_previous!$B$4:$AY$138, LS_previous!V$149, FALSE), VLOOKUP('Staging Table'!$A7, LS_previous!$B$4:$AY$138,LS_previous!AT$149, FALSE))/2)</f>
        <v>248.46644802130106</v>
      </c>
      <c r="AE7" s="180">
        <f t="array" ref="AE7">IF($G7=0, INDEX(LS_previous!$D$4:$AY$138, MATCH('Staging Table'!$A7, LS_previous!$B$4:$B$138, 0), MATCH(AE$4&amp;AE$5, LS_previous!$D$2:$AY$2&amp;LS_previous!$D$3:$AY$3, 0)),SUM(VLOOKUP($A7, LS_previous!$B$4:$AY$138, LS_previous!W$149, FALSE), VLOOKUP('Staging Table'!$A7, LS_previous!$B$4:$AY$138,LS_previous!AU$149, FALSE))/2)</f>
        <v>336.47673507538195</v>
      </c>
      <c r="AF7" s="180">
        <f t="array" ref="AF7">IF($G7=0, INDEX(LS_previous!$D$4:$AY$138, MATCH('Staging Table'!$A7, LS_previous!$B$4:$B$138, 0), MATCH(AF$4&amp;AF$5, LS_previous!$D$2:$AY$2&amp;LS_previous!$D$3:$AY$3, 0)),SUM(VLOOKUP($A7, LS_previous!$B$4:$AY$138, LS_previous!X$149, FALSE), VLOOKUP('Staging Table'!$A7, LS_previous!$B$4:$AY$138,LS_previous!AV$149, FALSE))/2)</f>
        <v>232.2569567200066</v>
      </c>
      <c r="AG7" s="180">
        <f t="array" ref="AG7">IF($G7=0, INDEX(LS_previous!$D$4:$AY$138, MATCH('Staging Table'!$A7, LS_previous!$B$4:$B$138, 0), MATCH(AG$4&amp;AG$5, LS_previous!$D$2:$AY$2&amp;LS_previous!$D$3:$AY$3, 0)),SUM(VLOOKUP($A7, LS_previous!$B$4:$AY$138, LS_previous!Y$149, FALSE), VLOOKUP('Staging Table'!$A7, LS_previous!$B$4:$AY$138,LS_previous!AW$149, FALSE))/2)</f>
        <v>295.70141356597287</v>
      </c>
      <c r="AH7" s="180">
        <f t="array" ref="AH7">IF($G7=0, INDEX(LS_previous!$D$4:$AY$138, MATCH('Staging Table'!$A7, LS_previous!$B$4:$B$138, 0), MATCH(AH$4&amp;AH$5, LS_previous!$D$2:$AY$2&amp;LS_previous!$D$3:$AY$3, 0)),SUM(VLOOKUP($A7, LS_previous!$B$4:$AY$138, LS_previous!Z$149, FALSE), VLOOKUP('Staging Table'!$A7, LS_previous!$B$4:$AY$138,LS_previous!AX$149, FALSE))/2)</f>
        <v>39.445578505023377</v>
      </c>
      <c r="AI7" s="180">
        <f t="array" ref="AI7">IF($G7=0, INDEX(LS_previous!$D$4:$AY$138, MATCH('Staging Table'!$A7, LS_previous!$B$4:$B$138, 0), MATCH(AI$4&amp;AI$5, LS_previous!$D$2:$AY$2&amp;LS_previous!$D$3:$AY$3, 0)),SUM(VLOOKUP($A7, LS_previous!$B$4:$AY$138, LS_previous!AA$149, FALSE), VLOOKUP('Staging Table'!$A7, LS_previous!$B$4:$AY$138,LS_previous!AY$149, FALSE))/2)</f>
        <v>168.54878602978863</v>
      </c>
      <c r="AJ7" s="298">
        <f t="array" ref="AJ7">INDEX(Demand_previous!$D$4:$AY$138, MATCH('Staging Table'!$A7, Demand_previous!$B$4:$B$138, 0), MATCH(AJ$4&amp;AJ$5,Demand_previous!$D$2:$AY$2&amp;Demand_previous!$D$3:$AY$3, 0))/1000</f>
        <v>0.242920673076923</v>
      </c>
      <c r="AK7" s="298">
        <f t="array" ref="AK7">INDEX(Demand_previous!$D$4:$AY$138, MATCH('Staging Table'!$A7, Demand_previous!$B$4:$B$138, 0), MATCH(AK$4&amp;AK$5,Demand_previous!$D$2:$AY$2&amp;Demand_previous!$D$3:$AY$3, 0))/1000</f>
        <v>0</v>
      </c>
      <c r="AL7" s="298">
        <f t="array" ref="AL7">INDEX(Demand_previous!$D$4:$AY$138, MATCH('Staging Table'!$A7, Demand_previous!$B$4:$B$138, 0), MATCH(AL$4&amp;AL$5,Demand_previous!$D$2:$AY$2&amp;Demand_previous!$D$3:$AY$3, 0))/1000</f>
        <v>0</v>
      </c>
      <c r="AM7" s="298">
        <f t="array" ref="AM7">INDEX(Demand_previous!$D$4:$AY$138, MATCH('Staging Table'!$A7, Demand_previous!$B$4:$B$138, 0), MATCH(AM$4&amp;AM$5,Demand_previous!$D$2:$AY$2&amp;Demand_previous!$D$3:$AY$3, 0))/1000</f>
        <v>9.2374999999999985E-2</v>
      </c>
      <c r="AN7" s="298">
        <f t="array" ref="AN7">INDEX(Demand_previous!$D$4:$AY$138, MATCH('Staging Table'!$A7, Demand_previous!$B$4:$B$138, 0), MATCH(AN$4&amp;AN$5,Demand_previous!$D$2:$AY$2&amp;Demand_previous!$D$3:$AY$3, 0))/1000</f>
        <v>0.1732734374999999</v>
      </c>
      <c r="AO7" s="298">
        <f t="array" ref="AO7">INDEX(Demand_previous!$D$4:$AY$138, MATCH('Staging Table'!$A7, Demand_previous!$B$4:$B$138, 0), MATCH(AO$4&amp;AO$5,Demand_previous!$D$2:$AY$2&amp;Demand_previous!$D$3:$AY$3, 0))/1000</f>
        <v>0.17390046296296291</v>
      </c>
      <c r="AP7" s="298">
        <f t="array" ref="AP7">INDEX(Demand_previous!$D$4:$AY$138, MATCH('Staging Table'!$A7, Demand_previous!$B$4:$B$138, 0), MATCH(AP$4&amp;AP$5,Demand_previous!$D$2:$AY$2&amp;Demand_previous!$D$3:$AY$3, 0))/1000</f>
        <v>0.50963701923076909</v>
      </c>
      <c r="AQ7" s="298">
        <f t="array" ref="AQ7">INDEX(Demand_previous!$D$4:$AY$138, MATCH('Staging Table'!$A7, Demand_previous!$B$4:$B$138, 0), MATCH(AQ$4&amp;AQ$5,Demand_previous!$D$2:$AY$2&amp;Demand_previous!$D$3:$AY$3, 0))/1000</f>
        <v>0.40480749999999999</v>
      </c>
      <c r="AR7" s="298">
        <f t="array" ref="AR7">INDEX(Demand_previous!$D$4:$AY$138, MATCH('Staging Table'!$A7, Demand_previous!$B$4:$B$138, 0), MATCH(AR$4&amp;AR$5,Demand_previous!$D$2:$AY$2&amp;Demand_previous!$D$3:$AY$3, 0))/1000</f>
        <v>0.43305288461538449</v>
      </c>
      <c r="AS7" s="298">
        <f t="array" ref="AS7">INDEX(Demand_previous!$D$4:$AY$138, MATCH('Staging Table'!$A7, Demand_previous!$B$4:$B$138, 0), MATCH(AS$4&amp;AS$5,Demand_previous!$D$2:$AY$2&amp;Demand_previous!$D$3:$AY$3, 0))/1000</f>
        <v>0.5402499999999999</v>
      </c>
      <c r="AT7" s="298">
        <f t="array" ref="AT7">INDEX(Demand_previous!$D$4:$AY$138, MATCH('Staging Table'!$A7, Demand_previous!$B$4:$B$138, 0), MATCH(AT$4&amp;AT$5,Demand_previous!$D$2:$AY$2&amp;Demand_previous!$D$3:$AY$3, 0))/1000</f>
        <v>0.31854629629629638</v>
      </c>
      <c r="AU7" s="298">
        <f t="array" ref="AU7">INDEX(Demand_previous!$D$4:$AY$138, MATCH('Staging Table'!$A7, Demand_previous!$B$4:$B$138, 0), MATCH(AU$4&amp;AU$5,Demand_previous!$D$2:$AY$2&amp;Demand_previous!$D$3:$AY$3, 0))/1000</f>
        <v>0.47045000000000003</v>
      </c>
      <c r="AV7" s="180">
        <f>$F7*(VLOOKUP(AV$4, Rates_previous!$G$6:$Q$29, 10, FALSE)+VLOOKUP(AV$4, Rates_previous!$G$6:$Q$29, 11, FALSE))</f>
        <v>369.77866296595556</v>
      </c>
      <c r="AW7" s="180">
        <f>$F7*(VLOOKUP(AW$4, Rates_previous!$G$6:$Q$29, 10, FALSE)+VLOOKUP(AW$4, Rates_previous!$G$6:$Q$29, 11, FALSE))</f>
        <v>468.1532075060918</v>
      </c>
      <c r="AX7" s="180">
        <f>$F7*(VLOOKUP(AX$4, Rates_previous!$G$6:$Q$29, 10, FALSE)+VLOOKUP(AX$4, Rates_previous!$G$6:$Q$29, 11, FALSE))</f>
        <v>458.22846099518881</v>
      </c>
      <c r="AY7" s="180">
        <f>$F7*(VLOOKUP(AY$4, Rates_previous!$G$6:$Q$29, 10, FALSE)+VLOOKUP(AY$4, Rates_previous!$G$6:$Q$29, 11, FALSE))</f>
        <v>378.4772226891684</v>
      </c>
      <c r="AZ7" s="180">
        <f>$F7*(VLOOKUP(AZ$4, Rates_previous!$G$6:$Q$29, 10, FALSE)+VLOOKUP(AZ$4, Rates_previous!$G$6:$Q$29, 11, FALSE))</f>
        <v>328.03450402338973</v>
      </c>
      <c r="BA7" s="180">
        <f>$F7*(VLOOKUP(BA$4, Rates_previous!$G$6:$Q$29, 10, FALSE)+VLOOKUP(BA$4, Rates_previous!$G$6:$Q$29, 11, FALSE))</f>
        <v>391.6069547632186</v>
      </c>
      <c r="BB7" s="180">
        <f>$F7*(VLOOKUP(BB$4, Rates_previous!$G$6:$Q$29, 10, FALSE)+VLOOKUP(BB$4, Rates_previous!$G$6:$Q$29, 11, FALSE))</f>
        <v>304.03066617076018</v>
      </c>
      <c r="BC7" s="180">
        <f>$F7*(VLOOKUP(BC$4, Rates_previous!$G$6:$Q$29, 10, FALSE)+VLOOKUP(BC$4, Rates_previous!$G$6:$Q$29, 11, FALSE))</f>
        <v>421.23672533643395</v>
      </c>
      <c r="BD7" s="180">
        <f>$F7*(VLOOKUP(BD$4, Rates_previous!$G$6:$Q$29, 10, FALSE)+VLOOKUP(BD$4, Rates_previous!$G$6:$Q$29, 11, FALSE))</f>
        <v>450.10026136149617</v>
      </c>
      <c r="BE7" s="180">
        <f>$F7*(VLOOKUP(BE$4, Rates_previous!$G$6:$Q$29, 10, FALSE)+VLOOKUP(BE$4, Rates_previous!$G$6:$Q$29, 11, FALSE))</f>
        <v>427.34981690331699</v>
      </c>
      <c r="BF7" s="180">
        <f>$F7*(VLOOKUP(BF$4, Rates_previous!$G$6:$Q$29, 10, FALSE)+VLOOKUP(BF$4, Rates_previous!$G$6:$Q$29, 11, FALSE))</f>
        <v>413.00062971402053</v>
      </c>
      <c r="BG7" s="180">
        <f>$F7*(VLOOKUP(BG$4, Rates_previous!$G$6:$Q$29, 10, FALSE)+VLOOKUP(BG$4, Rates_previous!$G$6:$Q$29, 11, FALSE))</f>
        <v>381.65563546518797</v>
      </c>
      <c r="BH7" s="298">
        <f>IF($D7=0,IF(C7=0, MAX(BJ7 - (VLOOKUP($A7,TOCA_previous!$A$2:$AI$137,MATCH("RHWM 2022",TOCA_previous!$A$2:$AI$2,0),FALSE)*$F$2*TOCA_previous!C4),0),0), 0)</f>
        <v>323.42124511377006</v>
      </c>
      <c r="BI7" s="192">
        <f>MIN(VLOOKUP($A7,TOCA_previous!$A$2:$AI$137,MATCH("TRL - NLSL - Existing Resource "&amp;$F$1,TOCA_previous!$A$2:$AI$2,0),FALSE)*$F$2,(VLOOKUP($A7,TOCA_previous!$A$2:$AI$137,MATCH("RHWM 2022",TOCA_previous!$A$2:$AI$2,0),FALSE)*$F$2))</f>
        <v>4791.72</v>
      </c>
      <c r="BJ7" s="402">
        <f>SUM(L7:AI7)+(F7*RT1SC!$C$3*$F$2)</f>
        <v>5115.1412451137703</v>
      </c>
      <c r="BK7" s="401">
        <f>VLOOKUP($A7,TOCA_previous!$A$2:$AI$137,MATCH("Above RHWM Not Served with LS "&amp;$F$1,TOCA_previous!$A$2:$AI$2,0),FALSE)*$F$2</f>
        <v>0</v>
      </c>
      <c r="BL7" s="402">
        <f t="shared" ref="BL7:BL70" si="8">BJ7-BI7</f>
        <v>323.42124511377006</v>
      </c>
      <c r="BM7" s="401">
        <f>(VLOOKUP($A7,TOCA_previous!$A$2:$AI$137,MATCH("RHWM 2022",TOCA_previous!$A$2:$AI$2,0),FALSE)*$F$2) - $BI7</f>
        <v>0</v>
      </c>
      <c r="BN7" s="402">
        <f t="shared" ref="BN7:BN70" si="9">IF(BL7&gt;0,IF(BM7&gt;0,(-1)*MIN(BL7,BM7),0),0)</f>
        <v>0</v>
      </c>
      <c r="BO7" s="401">
        <f t="shared" ref="BO7:BO70" si="10">IF(BL7&lt;0,IF(BK7&lt;ABS(BL7),MAX(0,ABS($BL7)-(BK7)),0),0)</f>
        <v>0</v>
      </c>
      <c r="BP7" s="402">
        <f t="shared" ref="BP7:BP70" si="11">IF(AND(BK7&gt;0,BM7&gt;0),IF(AND(BL7&lt;=0,ABS(BL7)&lt;BK7),(-1)*MIN(BK7,BK7-ABS(BL7),BM7),IF(AND(BL7&gt;0,BL7&lt;BM7),(-1)*MIN(BK7,BM7-BL7),0)),0)</f>
        <v>0</v>
      </c>
      <c r="BQ7" s="401">
        <f t="shared" si="2"/>
        <v>0</v>
      </c>
      <c r="BR7" s="108">
        <f>VLOOKUP($A7,TOCA_current!$A$2:$AI$137,MATCH(BR$4,TOCA_current!$A$2:$AI$2,0),FALSE)</f>
        <v>8.1100000000000006E-5</v>
      </c>
      <c r="BS7" s="108">
        <f>VLOOKUP($A7,TOCA_current!$A$2:$AI$137,MATCH(BS$4,TOCA_current!$A$2:$AI$2,0),FALSE)</f>
        <v>8.1100000000000006E-5</v>
      </c>
      <c r="BT7" s="189">
        <f t="shared" ref="BT7:BT70" si="12">BR7-BS7</f>
        <v>0</v>
      </c>
      <c r="BU7" s="108">
        <f>VLOOKUP($A7,TOCA_current!A3:BG138,MATCH(BU$4,TOCA_current!$A$2:$BG$2,0),FALSE)</f>
        <v>0</v>
      </c>
      <c r="BV7" s="108">
        <f t="shared" si="3"/>
        <v>0</v>
      </c>
      <c r="BW7" s="108">
        <f t="shared" si="4"/>
        <v>0</v>
      </c>
      <c r="BX7" s="179">
        <f>VLOOKUP($A7,IRD!$A$4:$G$139, 7, FALSE)</f>
        <v>0</v>
      </c>
      <c r="BY7" s="180">
        <f t="array" ref="BY7">IF($BT7=0, INDEX(LS_current!$D$4:$AY$138, MATCH('Staging Table'!$A7, LS_current!$B$4:$B$138, 0), MATCH(BY$4&amp;BY$5, LS_current!$D$2:$AY$2&amp;LS_current!$D$3:$AY$3, 0)),SUM(VLOOKUP($A7, LS_current!$B$4:$AY$138, LS_current!D$148, FALSE), VLOOKUP($A7, LS_current!$B$4:$AY$138,LS_current!AB$148, FALSE))/2)</f>
        <v>-53.466211319600035</v>
      </c>
      <c r="BZ7" s="180">
        <f t="array" ref="BZ7">IF($BT7=0, INDEX(LS_current!$D$4:$AY$138, MATCH('Staging Table'!$A7, LS_current!$B$4:$B$138, 0), MATCH(BZ$4&amp;BZ$5, LS_current!$D$2:$AY$2&amp;LS_current!$D$3:$AY$3, 0)),SUM(VLOOKUP($A7, LS_current!$B$4:$AY$138, LS_current!E$148, FALSE), VLOOKUP($A7, LS_current!$B$4:$AY$138,LS_current!AC$148, FALSE))/2)</f>
        <v>-8.7467737380500097</v>
      </c>
      <c r="CA7" s="180">
        <f t="array" ref="CA7">IF($BT7=0, INDEX(LS_current!$D$4:$AY$138, MATCH('Staging Table'!$A7, LS_current!$B$4:$B$138, 0), MATCH(CA$4&amp;CA$5, LS_current!$D$2:$AY$2&amp;LS_current!$D$3:$AY$3, 0)),SUM(VLOOKUP($A7, LS_current!$B$4:$AY$138, LS_current!F$148, FALSE), VLOOKUP($A7, LS_current!$B$4:$AY$138,LS_current!AD$148, FALSE))/2)</f>
        <v>-175.85592230080005</v>
      </c>
      <c r="CB7" s="180">
        <f t="array" ref="CB7">IF($BT7=0, INDEX(LS_current!$D$4:$AY$138, MATCH('Staging Table'!$A7, LS_current!$B$4:$B$138, 0), MATCH(CB$4&amp;CB$5, LS_current!$D$2:$AY$2&amp;LS_current!$D$3:$AY$3, 0)),SUM(VLOOKUP($A7, LS_current!$B$4:$AY$138, LS_current!G$148, FALSE), VLOOKUP($A7, LS_current!$B$4:$AY$138,LS_current!AE$148, FALSE))/2)</f>
        <v>-106.6027569741</v>
      </c>
      <c r="CC7" s="180">
        <f t="array" ref="CC7">IF($BT7=0, INDEX(LS_current!$D$4:$AY$138, MATCH('Staging Table'!$A7, LS_current!$B$4:$B$138, 0), MATCH(CC$4&amp;CC$5, LS_current!$D$2:$AY$2&amp;LS_current!$D$3:$AY$3, 0)),SUM(VLOOKUP($A7, LS_current!$B$4:$AY$138, LS_current!H$148, FALSE), VLOOKUP($A7, LS_current!$B$4:$AY$138,LS_current!AF$148, FALSE))/2)</f>
        <v>-194.49739343290003</v>
      </c>
      <c r="CD7" s="180">
        <f t="array" ref="CD7">IF($BT7=0, INDEX(LS_current!$D$4:$AY$138, MATCH('Staging Table'!$A7, LS_current!$B$4:$B$138, 0), MATCH(CD$4&amp;CD$5, LS_current!$D$2:$AY$2&amp;LS_current!$D$3:$AY$3, 0)),SUM(VLOOKUP($A7, LS_current!$B$4:$AY$138, LS_current!I$148, FALSE), VLOOKUP($A7, LS_current!$B$4:$AY$138,LS_current!AG$148, FALSE))/2)</f>
        <v>-114.98208874560001</v>
      </c>
      <c r="CE7" s="180">
        <f t="array" ref="CE7">IF($BT7=0, INDEX(LS_current!$D$4:$AY$138, MATCH('Staging Table'!$A7, LS_current!$B$4:$B$138, 0), MATCH(CE$4&amp;CE$5, LS_current!$D$2:$AY$2&amp;LS_current!$D$3:$AY$3, 0)),SUM(VLOOKUP($A7, LS_current!$B$4:$AY$138, LS_current!J$148, FALSE), VLOOKUP($A7, LS_current!$B$4:$AY$138,LS_current!AH$148, FALSE))/2)</f>
        <v>-200.31459808650001</v>
      </c>
      <c r="CF7" s="180">
        <f t="array" ref="CF7">IF($BT7=0, INDEX(LS_current!$D$4:$AY$138, MATCH('Staging Table'!$A7, LS_current!$B$4:$B$138, 0), MATCH(CF$4&amp;CF$5, LS_current!$D$2:$AY$2&amp;LS_current!$D$3:$AY$3, 0)),SUM(VLOOKUP($A7, LS_current!$B$4:$AY$138, LS_current!K$148, FALSE), VLOOKUP($A7, LS_current!$B$4:$AY$138,LS_current!AI$148, FALSE))/2)</f>
        <v>-123.11799415190004</v>
      </c>
      <c r="CG7" s="180">
        <f t="array" ref="CG7">IF($BT7=0, INDEX(LS_current!$D$4:$AY$138, MATCH('Staging Table'!$A7, LS_current!$B$4:$B$138, 0), MATCH(CG$4&amp;CG$5, LS_current!$D$2:$AY$2&amp;LS_current!$D$3:$AY$3, 0)),SUM(VLOOKUP($A7, LS_current!$B$4:$AY$138, LS_current!L$148, FALSE), VLOOKUP($A7, LS_current!$B$4:$AY$138,LS_current!AJ$148, FALSE))/2)</f>
        <v>-185.17466578689999</v>
      </c>
      <c r="CH7" s="180">
        <f t="array" ref="CH7">IF($BT7=0, INDEX(LS_current!$D$4:$AY$138, MATCH('Staging Table'!$A7, LS_current!$B$4:$B$138, 0), MATCH(CH$4&amp;CH$5, LS_current!$D$2:$AY$2&amp;LS_current!$D$3:$AY$3, 0)),SUM(VLOOKUP($A7, LS_current!$B$4:$AY$138, LS_current!M$148, FALSE), VLOOKUP($A7, LS_current!$B$4:$AY$138,LS_current!AK$148, FALSE))/2)</f>
        <v>-90.327048874900001</v>
      </c>
      <c r="CI7" s="180">
        <f t="array" ref="CI7">IF($BT7=0, INDEX(LS_current!$D$4:$AY$138, MATCH('Staging Table'!$A7, LS_current!$B$4:$B$138, 0), MATCH(CI$4&amp;CI$5, LS_current!$D$2:$AY$2&amp;LS_current!$D$3:$AY$3, 0)),SUM(VLOOKUP($A7, LS_current!$B$4:$AY$138, LS_current!N$148, FALSE), VLOOKUP($A7, LS_current!$B$4:$AY$138,LS_current!AL$148, FALSE))/2)</f>
        <v>-174.7694400643</v>
      </c>
      <c r="CJ7" s="180">
        <f t="array" ref="CJ7">IF($BT7=0, INDEX(LS_current!$D$4:$AY$138, MATCH('Staging Table'!$A7, LS_current!$B$4:$B$138, 0), MATCH(CJ$4&amp;CJ$5, LS_current!$D$2:$AY$2&amp;LS_current!$D$3:$AY$3, 0)),SUM(VLOOKUP($A7, LS_current!$B$4:$AY$138, LS_current!O$148, FALSE), VLOOKUP($A7, LS_current!$B$4:$AY$138,LS_current!AM$148, FALSE))/2)</f>
        <v>-117.63580619580001</v>
      </c>
      <c r="CK7" s="180">
        <f t="array" ref="CK7">IF($BT7=0, INDEX(LS_current!$D$4:$AY$138, MATCH('Staging Table'!$A7, LS_current!$B$4:$B$138, 0), MATCH(CK$4&amp;CK$5, LS_current!$D$2:$AY$2&amp;LS_current!$D$3:$AY$3, 0)),SUM(VLOOKUP($A7, LS_current!$B$4:$AY$138, LS_current!P$148, FALSE), VLOOKUP($A7, LS_current!$B$4:$AY$138,LS_current!AN$148, FALSE))/2)</f>
        <v>-61.308270755249993</v>
      </c>
      <c r="CL7" s="180">
        <f t="array" ref="CL7">IF($BT7=0, INDEX(LS_current!$D$4:$AY$138, MATCH('Staging Table'!$A7, LS_current!$B$4:$B$138, 0), MATCH(CL$4&amp;CL$5, LS_current!$D$2:$AY$2&amp;LS_current!$D$3:$AY$3, 0)),SUM(VLOOKUP($A7, LS_current!$B$4:$AY$138, LS_current!Q$148, FALSE), VLOOKUP($A7, LS_current!$B$4:$AY$138,LS_current!AO$148, FALSE))/2)</f>
        <v>-40.362311747925006</v>
      </c>
      <c r="CM7" s="180">
        <f t="array" ref="CM7">IF($BT7=0, INDEX(LS_current!$D$4:$AY$138, MATCH('Staging Table'!$A7, LS_current!$B$4:$B$138, 0), MATCH(CM$4&amp;CM$5, LS_current!$D$2:$AY$2&amp;LS_current!$D$3:$AY$3, 0)),SUM(VLOOKUP($A7, LS_current!$B$4:$AY$138, LS_current!R$148, FALSE), VLOOKUP($A7, LS_current!$B$4:$AY$138,LS_current!AP$148, FALSE))/2)</f>
        <v>-10.577346372800037</v>
      </c>
      <c r="CN7" s="180">
        <f t="array" ref="CN7">IF($BT7=0, INDEX(LS_current!$D$4:$AY$138, MATCH('Staging Table'!$A7, LS_current!$B$4:$B$138, 0), MATCH(CN$4&amp;CN$5, LS_current!$D$2:$AY$2&amp;LS_current!$D$3:$AY$3, 0)),SUM(VLOOKUP($A7, LS_current!$B$4:$AY$138, LS_current!S$148, FALSE), VLOOKUP($A7, LS_current!$B$4:$AY$138,LS_current!AQ$148, FALSE))/2)</f>
        <v>71.203691245649992</v>
      </c>
      <c r="CO7" s="180">
        <f t="array" ref="CO7">IF($BT7=0, INDEX(LS_current!$D$4:$AY$138, MATCH('Staging Table'!$A7, LS_current!$B$4:$B$138, 0), MATCH(CO$4&amp;CO$5, LS_current!$D$2:$AY$2&amp;LS_current!$D$3:$AY$3, 0)),SUM(VLOOKUP($A7, LS_current!$B$4:$AY$138, LS_current!T$148, FALSE), VLOOKUP($A7, LS_current!$B$4:$AY$138,LS_current!AR$148, FALSE))/2)</f>
        <v>100.22135720139994</v>
      </c>
      <c r="CP7" s="180">
        <f t="array" ref="CP7">IF($BT7=0, INDEX(LS_current!$D$4:$AY$138, MATCH('Staging Table'!$A7, LS_current!$B$4:$B$138, 0), MATCH(CP$4&amp;CP$5, LS_current!$D$2:$AY$2&amp;LS_current!$D$3:$AY$3, 0)),SUM(VLOOKUP($A7, LS_current!$B$4:$AY$138, LS_current!U$148, FALSE), VLOOKUP($A7, LS_current!$B$4:$AY$138,LS_current!AS$148, FALSE))/2)</f>
        <v>166.84679308004996</v>
      </c>
      <c r="CQ7" s="180">
        <f t="array" ref="CQ7">IF($BT7=0, INDEX(LS_current!$D$4:$AY$138, MATCH('Staging Table'!$A7, LS_current!$B$4:$B$138, 0), MATCH(CQ$4&amp;CQ$5, LS_current!$D$2:$AY$2&amp;LS_current!$D$3:$AY$3, 0)),SUM(VLOOKUP($A7, LS_current!$B$4:$AY$138, LS_current!V$148, FALSE), VLOOKUP($A7, LS_current!$B$4:$AY$138,LS_current!AT$148, FALSE))/2)</f>
        <v>284.36372393959999</v>
      </c>
      <c r="CR7" s="180">
        <f t="array" ref="CR7">IF($BT7=0, INDEX(LS_current!$D$4:$AY$138, MATCH('Staging Table'!$A7, LS_current!$B$4:$B$138, 0), MATCH(CR$4&amp;CR$5, LS_current!$D$2:$AY$2&amp;LS_current!$D$3:$AY$3, 0)),SUM(VLOOKUP($A7, LS_current!$B$4:$AY$138, LS_current!W$148, FALSE), VLOOKUP($A7, LS_current!$B$4:$AY$138,LS_current!AU$148, FALSE))/2)</f>
        <v>328.77499490974998</v>
      </c>
      <c r="CS7" s="180">
        <f t="array" ref="CS7">IF($BT7=0, INDEX(LS_current!$D$4:$AY$138, MATCH('Staging Table'!$A7, LS_current!$B$4:$B$138, 0), MATCH(CS$4&amp;CS$5, LS_current!$D$2:$AY$2&amp;LS_current!$D$3:$AY$3, 0)),SUM(VLOOKUP($A7, LS_current!$B$4:$AY$138, LS_current!X$148, FALSE), VLOOKUP($A7, LS_current!$B$4:$AY$138,LS_current!AV$148, FALSE))/2)</f>
        <v>265.60466709134994</v>
      </c>
      <c r="CT7" s="180">
        <f t="array" ref="CT7">IF($BT7=0, INDEX(LS_current!$D$4:$AY$138, MATCH('Staging Table'!$A7, LS_current!$B$4:$B$138, 0), MATCH(CT$4&amp;CT$5, LS_current!$D$2:$AY$2&amp;LS_current!$D$3:$AY$3, 0)),SUM(VLOOKUP($A7, LS_current!$B$4:$AY$138, LS_current!Y$148, FALSE), VLOOKUP($A7, LS_current!$B$4:$AY$138,LS_current!AW$148, FALSE))/2)</f>
        <v>289.47824172416506</v>
      </c>
      <c r="CU7" s="180">
        <f t="array" ref="CU7">IF($BT7=0, INDEX(LS_current!$D$4:$AY$138, MATCH('Staging Table'!$A7, LS_current!$B$4:$B$138, 0), MATCH(CU$4&amp;CU$5, LS_current!$D$2:$AY$2&amp;LS_current!$D$3:$AY$3, 0)),SUM(VLOOKUP($A7, LS_current!$B$4:$AY$138, LS_current!Z$148, FALSE), VLOOKUP($A7, LS_current!$B$4:$AY$138,LS_current!AX$148, FALSE))/2)</f>
        <v>70.94850597859994</v>
      </c>
      <c r="CV7" s="180">
        <f t="array" ref="CV7">IF($BT7=0, INDEX(LS_current!$D$4:$AY$138, MATCH('Staging Table'!$A7, LS_current!$B$4:$B$138, 0), MATCH(CV$4&amp;CV$5, LS_current!$D$2:$AY$2&amp;LS_current!$D$3:$AY$3, 0)),SUM(VLOOKUP($A7, LS_current!$B$4:$AY$138, LS_current!AA$148, FALSE), VLOOKUP($A7, LS_current!$B$4:$AY$138,LS_current!AY$148, FALSE))/2)</f>
        <v>163.62076566559998</v>
      </c>
      <c r="CW7" s="182">
        <f t="array" ref="CW7">INDEX(Demand_current!$D$4:$AY$138, MATCH($A7, Demand_current!$B$4:$B$138, 0), MATCH(CW$4&amp;CW$5,Demand_current!$D$2:$AY$2&amp;Demand_current!$D$3:$AY$3, 0))/1000</f>
        <v>0.242920673076923</v>
      </c>
      <c r="CX7" s="182">
        <f t="array" ref="CX7">INDEX(Demand_current!$D$4:$AY$138, MATCH($A7, Demand_current!$B$4:$B$138, 0), MATCH(CX$4&amp;CX$5,Demand_current!$D$2:$AY$2&amp;Demand_current!$D$3:$AY$3, 0))/1000</f>
        <v>0</v>
      </c>
      <c r="CY7" s="182">
        <f t="array" ref="CY7">INDEX(Demand_current!$D$4:$AY$138, MATCH($A7, Demand_current!$B$4:$B$138, 0), MATCH(CY$4&amp;CY$5,Demand_current!$D$2:$AY$2&amp;Demand_current!$D$3:$AY$3, 0))/1000</f>
        <v>0</v>
      </c>
      <c r="CZ7" s="182">
        <f t="array" ref="CZ7">INDEX(Demand_current!$D$4:$AY$138, MATCH($A7, Demand_current!$B$4:$B$138, 0), MATCH(CZ$4&amp;CZ$5,Demand_current!$D$2:$AY$2&amp;Demand_current!$D$3:$AY$3, 0))/1000</f>
        <v>0.10224519230769225</v>
      </c>
      <c r="DA7" s="182">
        <f t="array" ref="DA7">INDEX(Demand_current!$D$4:$AY$138, MATCH($A7, Demand_current!$B$4:$B$138, 0), MATCH(DA$4&amp;DA$5,Demand_current!$D$2:$AY$2&amp;Demand_current!$D$3:$AY$3, 0))/1000</f>
        <v>0.18186249999999993</v>
      </c>
      <c r="DB7" s="182">
        <f t="array" ref="DB7">INDEX(Demand_current!$D$4:$AY$138, MATCH($A7, Demand_current!$B$4:$B$138, 0), MATCH(DB$4&amp;DB$5,Demand_current!$D$2:$AY$2&amp;Demand_current!$D$3:$AY$3, 0))/1000</f>
        <v>0.16455048076923073</v>
      </c>
      <c r="DC7" s="182">
        <f t="array" ref="DC7">INDEX(Demand_current!$D$4:$AY$138, MATCH($A7, Demand_current!$B$4:$B$138, 0), MATCH(DC$4&amp;DC$5,Demand_current!$D$2:$AY$2&amp;Demand_current!$D$3:$AY$3, 0))/1000</f>
        <v>0.50963701923076909</v>
      </c>
      <c r="DD7" s="182">
        <f t="array" ref="DD7">INDEX(Demand_current!$D$4:$AY$138, MATCH($A7, Demand_current!$B$4:$B$138, 0), MATCH(DD$4&amp;DD$5,Demand_current!$D$2:$AY$2&amp;Demand_current!$D$3:$AY$3, 0))/1000</f>
        <v>0.43008413461538475</v>
      </c>
      <c r="DE7" s="182">
        <f t="array" ref="DE7">INDEX(Demand_current!$D$4:$AY$138, MATCH($A7, Demand_current!$B$4:$B$138, 0), MATCH(DE$4&amp;DE$5,Demand_current!$D$2:$AY$2&amp;Demand_current!$D$3:$AY$3, 0))/1000</f>
        <v>0.39565499999999987</v>
      </c>
      <c r="DF7" s="182">
        <f t="array" ref="DF7">INDEX(Demand_current!$D$4:$AY$138, MATCH($A7, Demand_current!$B$4:$B$138, 0), MATCH(DF$4&amp;DF$5,Demand_current!$D$2:$AY$2&amp;Demand_current!$D$3:$AY$3, 0))/1000</f>
        <v>0.59150961538461533</v>
      </c>
      <c r="DG7" s="182">
        <f t="array" ref="DG7">INDEX(Demand_current!$D$4:$AY$138, MATCH($A7, Demand_current!$B$4:$B$138, 0), MATCH(DG$4&amp;DG$5,Demand_current!$D$2:$AY$2&amp;Demand_current!$D$3:$AY$3, 0))/1000</f>
        <v>0.31854629629629638</v>
      </c>
      <c r="DH7" s="182">
        <f t="array" ref="DH7">INDEX(Demand_current!$D$4:$AY$138, MATCH($A7, Demand_current!$B$4:$B$138, 0), MATCH(DH$4&amp;DH$5,Demand_current!$D$2:$AY$2&amp;Demand_current!$D$3:$AY$3, 0))/1000</f>
        <v>0.44096875000000013</v>
      </c>
      <c r="DI7" s="180">
        <f>$BS7*(VLOOKUP(DI$4, Rates_current!$G$6:$Q$29, 10, FALSE)+VLOOKUP(DI$4, Rates_current!$G$6:$Q$29, 11, FALSE))</f>
        <v>342.14498505765005</v>
      </c>
      <c r="DJ7" s="180">
        <f>$BS7*(VLOOKUP(DJ$4, Rates_current!$G$6:$Q$29, 10, FALSE)+VLOOKUP(DJ$4, Rates_current!$G$6:$Q$29, 11, FALSE))</f>
        <v>436.34767927490009</v>
      </c>
      <c r="DK7" s="180">
        <f>$BS7*(VLOOKUP(DK$4, Rates_current!$G$6:$Q$29, 10, FALSE)+VLOOKUP(DK$4, Rates_current!$G$6:$Q$29, 11, FALSE))</f>
        <v>470.90548217850005</v>
      </c>
      <c r="DL7" s="180">
        <f>$BS7*(VLOOKUP(DL$4, Rates_current!$G$6:$Q$29, 10, FALSE)+VLOOKUP(DL$4, Rates_current!$G$6:$Q$29, 11, FALSE))</f>
        <v>489.34359223840005</v>
      </c>
      <c r="DM7" s="180">
        <f>$BS7*(VLOOKUP(DM$4, Rates_current!$G$6:$Q$29, 10, FALSE)+VLOOKUP(DM$4, Rates_current!$G$6:$Q$29, 11, FALSE))</f>
        <v>420.90071466180001</v>
      </c>
      <c r="DN7" s="180">
        <f>$BS7*(VLOOKUP(DN$4, Rates_current!$G$6:$Q$29, 10, FALSE)+VLOOKUP(DN$4, Rates_current!$G$6:$Q$29, 11, FALSE))</f>
        <v>459.54024626010005</v>
      </c>
      <c r="DO7" s="180">
        <f>$BS7*(VLOOKUP(DO$4, Rates_current!$G$6:$Q$29, 10, FALSE)+VLOOKUP(DO$4, Rates_current!$G$6:$Q$29, 11, FALSE))</f>
        <v>362.72958250317498</v>
      </c>
      <c r="DP7" s="180">
        <f>$BS7*(VLOOKUP(DP$4, Rates_current!$G$6:$Q$29, 10, FALSE)+VLOOKUP(DP$4, Rates_current!$G$6:$Q$29, 11, FALSE))</f>
        <v>450.01465512715004</v>
      </c>
      <c r="DQ7" s="180">
        <f>$BS7*(VLOOKUP(DQ$4, Rates_current!$G$6:$Q$29, 10, FALSE)+VLOOKUP(DQ$4, Rates_current!$G$6:$Q$29, 11, FALSE))</f>
        <v>459.77884971855002</v>
      </c>
      <c r="DR7" s="180">
        <f>$BS7*(VLOOKUP(DR$4, Rates_current!$G$6:$Q$29, 10, FALSE)+VLOOKUP(DR$4, Rates_current!$G$6:$Q$29, 11, FALSE))</f>
        <v>399.15428115065004</v>
      </c>
      <c r="DS7" s="180">
        <f>$BS7*(VLOOKUP(DS$4, Rates_current!$G$6:$Q$29, 10, FALSE)+VLOOKUP(DS$4, Rates_current!$G$6:$Q$29, 11, FALSE))</f>
        <v>385.87609118448506</v>
      </c>
      <c r="DT7" s="180">
        <f>$BS7*(VLOOKUP(DT$4, Rates_current!$G$6:$Q$29, 10, FALSE)+VLOOKUP(DT$4, Rates_current!$G$6:$Q$29, 11, FALSE))</f>
        <v>355.08072835580009</v>
      </c>
      <c r="DU7" s="402">
        <f>IF(D7=0,IF(C7=0,MAX(0,DW7 - (VLOOKUP($A7,TOCA_current!$A$2:$AI$137,MATCH("RHWM 2024",TOCA_current!$A$2:$AI$2,0),FALSE)*$BS$2)), 0),0)</f>
        <v>81.909023064839857</v>
      </c>
      <c r="DV7" s="403">
        <f>MIN(VLOOKUP($A7,TOCA_current!$A$2:$AI$137,MATCH("TRL - NLSL - Existing Resource "&amp;$BS$1,TOCA_current!$A$2:$AI$2,0),FALSE)*$BS$2, VLOOKUP($A7,TOCA_current!$A$2:$AI$137,MATCH("RHWM 2024",TOCA_current!$A$2:$AI$2,0),FALSE)*$BS$2)</f>
        <v>5033.232</v>
      </c>
      <c r="DW7" s="403">
        <f>SUM(BY7:CV7)+(BS7*RT1SC!$C$4*$BS$2)</f>
        <v>5115.1410230648398</v>
      </c>
      <c r="DX7" s="403">
        <f>VLOOKUP($A7,TOCA_current!$A$2:$AI$137,MATCH("Above RHWM Not Served with LS "&amp;$BS$1,TOCA_current!$A$2:$AI$2,0),FALSE)*$BS$2</f>
        <v>0</v>
      </c>
      <c r="DY7" s="403">
        <f t="shared" ref="DY7:DY70" si="13">DW7-DV7</f>
        <v>81.909023064839857</v>
      </c>
      <c r="DZ7" s="403">
        <f>(VLOOKUP($A7,TOCA_current!$A$2:$AI$137,MATCH("RHWM 2024",TOCA_current!$A$2:$AI$2,0),FALSE)*$BS$2) - $DV7</f>
        <v>0</v>
      </c>
      <c r="EA7" s="403">
        <f t="shared" ref="EA7:EA70" si="14">IF(DY7&gt;0,IF(DZ7&gt;0,(-1)*MIN(DY7,DZ7),0),0)</f>
        <v>0</v>
      </c>
      <c r="EB7" s="403">
        <f t="shared" ref="EB7:EB70" si="15">IF(DY7&lt;0,IF(DX7&lt;ABS(DY7),MAX(0,ABS($DY7)-(DX7)),0),0)</f>
        <v>0</v>
      </c>
      <c r="EC7" s="403">
        <f t="shared" ref="EC7:EC70" si="16">IF(AND(DX7&gt;0,DZ7&gt;0),IF(AND(DY7&lt;=0,ABS(DY7)&lt;DX7),(-1)*MIN(DX7,DX7-ABS(DY7),DZ7),IF(AND(DY7&gt;0,DY7&lt;DZ7),(-1)*MIN(DX7,DZ7-DY7),0)),0)</f>
        <v>0</v>
      </c>
      <c r="ED7" s="403">
        <f t="shared" ref="ED7:ED70" si="17">IF($D7=0,SUM(EA7:EC7),0)</f>
        <v>0</v>
      </c>
    </row>
    <row r="8" spans="1:134">
      <c r="A8" s="123">
        <v>10024</v>
      </c>
      <c r="B8" s="124" t="s">
        <v>9</v>
      </c>
      <c r="C8" s="232">
        <f>VLOOKUP(A8, TOCA_current!$A$3:$D$137, 4, FALSE)</f>
        <v>0</v>
      </c>
      <c r="D8" s="191">
        <v>0</v>
      </c>
      <c r="E8" s="107">
        <f>VLOOKUP($A8,TOCA_previous!$A$2:$AI$137,MATCH(E$4,TOCA_previous!$A$2:$AI$2,0),FALSE)</f>
        <v>2.8502199999999998E-2</v>
      </c>
      <c r="F8" s="108">
        <f>VLOOKUP($A8,TOCA_previous!$A$2:$AI$137,MATCH(F$4,TOCA_previous!$A$2:$AI$2,0),FALSE)</f>
        <v>2.8502199999999998E-2</v>
      </c>
      <c r="G8" s="108">
        <f t="shared" si="5"/>
        <v>0</v>
      </c>
      <c r="H8" s="108">
        <f>VLOOKUP($A8,TOCA_previous!$A$2:$AI$137,MATCH(H$4,TOCA_previous!$A$2:$AI$2,0),FALSE)</f>
        <v>0</v>
      </c>
      <c r="I8" s="108">
        <f t="shared" si="6"/>
        <v>0</v>
      </c>
      <c r="J8" s="108">
        <f t="shared" si="7"/>
        <v>0</v>
      </c>
      <c r="K8" s="179">
        <f>VLOOKUP(A8, IRD!$A$5:$C$139, 3, FALSE)</f>
        <v>312239.2</v>
      </c>
      <c r="L8" s="180">
        <f t="array" ref="L8">IF($G8=0, INDEX(LS_previous!$D$4:$AY$138, MATCH('Staging Table'!$A8, LS_previous!$B$4:$B$138, 0), MATCH(L$4&amp;L$5, LS_previous!$D$2:$AY$2&amp;LS_previous!$D$3:$AY$3, 0)),SUM(VLOOKUP($A8, LS_previous!$B$4:$AY$138, LS_previous!D$149, FALSE), VLOOKUP('Staging Table'!$A8, LS_previous!$B$4:$AY$138,LS_previous!AB$149, FALSE))/2)</f>
        <v>-15641.773277843706</v>
      </c>
      <c r="M8" s="180">
        <f t="array" ref="M8">IF($G8=0, INDEX(LS_previous!$D$4:$AY$138, MATCH('Staging Table'!$A8, LS_previous!$B$4:$B$138, 0), MATCH(M$4&amp;M$5, LS_previous!$D$2:$AY$2&amp;LS_previous!$D$3:$AY$3, 0)),SUM(VLOOKUP($A8, LS_previous!$B$4:$AY$138, LS_previous!E$149, FALSE), VLOOKUP('Staging Table'!$A8, LS_previous!$B$4:$AY$138,LS_previous!AC$149, FALSE))/2)</f>
        <v>-6919.8163476274494</v>
      </c>
      <c r="N8" s="180">
        <f t="array" ref="N8">IF($G8=0, INDEX(LS_previous!$D$4:$AY$138, MATCH('Staging Table'!$A8, LS_previous!$B$4:$B$138, 0), MATCH(N$4&amp;N$5, LS_previous!$D$2:$AY$2&amp;LS_previous!$D$3:$AY$3, 0)),SUM(VLOOKUP($A8, LS_previous!$B$4:$AY$138, LS_previous!F$149, FALSE), VLOOKUP('Staging Table'!$A8, LS_previous!$B$4:$AY$138,LS_previous!AD$149, FALSE))/2)</f>
        <v>-38199.051840206987</v>
      </c>
      <c r="O8" s="180">
        <f t="array" ref="O8">IF($G8=0, INDEX(LS_previous!$D$4:$AY$138, MATCH('Staging Table'!$A8, LS_previous!$B$4:$B$138, 0), MATCH(O$4&amp;O$5, LS_previous!$D$2:$AY$2&amp;LS_previous!$D$3:$AY$3, 0)),SUM(VLOOKUP($A8, LS_previous!$B$4:$AY$138, LS_previous!G$149, FALSE), VLOOKUP('Staging Table'!$A8, LS_previous!$B$4:$AY$138,LS_previous!AE$149, FALSE))/2)</f>
        <v>-19542.962428021223</v>
      </c>
      <c r="P8" s="180">
        <f t="array" ref="P8">IF($G8=0, INDEX(LS_previous!$D$4:$AY$138, MATCH('Staging Table'!$A8, LS_previous!$B$4:$B$138, 0), MATCH(P$4&amp;P$5, LS_previous!$D$2:$AY$2&amp;LS_previous!$D$3:$AY$3, 0)),SUM(VLOOKUP($A8, LS_previous!$B$4:$AY$138, LS_previous!H$149, FALSE), VLOOKUP('Staging Table'!$A8, LS_previous!$B$4:$AY$138,LS_previous!AF$149, FALSE))/2)</f>
        <v>-6660.8764868557337</v>
      </c>
      <c r="Q8" s="180">
        <f t="array" ref="Q8">IF($G8=0, INDEX(LS_previous!$D$4:$AY$138, MATCH('Staging Table'!$A8, LS_previous!$B$4:$B$138, 0), MATCH(Q$4&amp;Q$5, LS_previous!$D$2:$AY$2&amp;LS_previous!$D$3:$AY$3, 0)),SUM(VLOOKUP($A8, LS_previous!$B$4:$AY$138, LS_previous!I$149, FALSE), VLOOKUP('Staging Table'!$A8, LS_previous!$B$4:$AY$138,LS_previous!AG$149, FALSE))/2)</f>
        <v>-8118.6275301032438</v>
      </c>
      <c r="R8" s="180">
        <f t="array" ref="R8">IF($G8=0, INDEX(LS_previous!$D$4:$AY$138, MATCH('Staging Table'!$A8, LS_previous!$B$4:$B$138, 0), MATCH(R$4&amp;R$5, LS_previous!$D$2:$AY$2&amp;LS_previous!$D$3:$AY$3, 0)),SUM(VLOOKUP($A8, LS_previous!$B$4:$AY$138, LS_previous!J$149, FALSE), VLOOKUP('Staging Table'!$A8, LS_previous!$B$4:$AY$138,LS_previous!AH$149, FALSE))/2)</f>
        <v>7538.2423563333141</v>
      </c>
      <c r="S8" s="180">
        <f t="array" ref="S8">IF($G8=0, INDEX(LS_previous!$D$4:$AY$138, MATCH('Staging Table'!$A8, LS_previous!$B$4:$B$138, 0), MATCH(S$4&amp;S$5, LS_previous!$D$2:$AY$2&amp;LS_previous!$D$3:$AY$3, 0)),SUM(VLOOKUP($A8, LS_previous!$B$4:$AY$138, LS_previous!K$149, FALSE), VLOOKUP('Staging Table'!$A8, LS_previous!$B$4:$AY$138,LS_previous!AI$149, FALSE))/2)</f>
        <v>1997.1384302280858</v>
      </c>
      <c r="T8" s="180">
        <f t="array" ref="T8">IF($G8=0, INDEX(LS_previous!$D$4:$AY$138, MATCH('Staging Table'!$A8, LS_previous!$B$4:$B$138, 0), MATCH(T$4&amp;T$5, LS_previous!$D$2:$AY$2&amp;LS_previous!$D$3:$AY$3, 0)),SUM(VLOOKUP($A8, LS_previous!$B$4:$AY$138, LS_previous!L$149, FALSE), VLOOKUP('Staging Table'!$A8, LS_previous!$B$4:$AY$138,LS_previous!AJ$149, FALSE))/2)</f>
        <v>-2601.176185663142</v>
      </c>
      <c r="U8" s="180">
        <f t="array" ref="U8">IF($G8=0, INDEX(LS_previous!$D$4:$AY$138, MATCH('Staging Table'!$A8, LS_previous!$B$4:$B$138, 0), MATCH(U$4&amp;U$5, LS_previous!$D$2:$AY$2&amp;LS_previous!$D$3:$AY$3, 0)),SUM(VLOOKUP($A8, LS_previous!$B$4:$AY$138, LS_previous!M$149, FALSE), VLOOKUP('Staging Table'!$A8, LS_previous!$B$4:$AY$138,LS_previous!AK$149, FALSE))/2)</f>
        <v>-5347.7855603400458</v>
      </c>
      <c r="V8" s="180">
        <f t="array" ref="V8">IF($G8=0, INDEX(LS_previous!$D$4:$AY$138, MATCH('Staging Table'!$A8, LS_previous!$B$4:$B$138, 0), MATCH(V$4&amp;V$5, LS_previous!$D$2:$AY$2&amp;LS_previous!$D$3:$AY$3, 0)),SUM(VLOOKUP($A8, LS_previous!$B$4:$AY$138, LS_previous!N$149, FALSE), VLOOKUP('Staging Table'!$A8, LS_previous!$B$4:$AY$138,LS_previous!AL$149, FALSE))/2)</f>
        <v>-17113.332708730624</v>
      </c>
      <c r="W8" s="180">
        <f t="array" ref="W8">IF($G8=0, INDEX(LS_previous!$D$4:$AY$138, MATCH('Staging Table'!$A8, LS_previous!$B$4:$B$138, 0), MATCH(W$4&amp;W$5, LS_previous!$D$2:$AY$2&amp;LS_previous!$D$3:$AY$3, 0)),SUM(VLOOKUP($A8, LS_previous!$B$4:$AY$138, LS_previous!O$149, FALSE), VLOOKUP('Staging Table'!$A8, LS_previous!$B$4:$AY$138,LS_previous!AM$149, FALSE))/2)</f>
        <v>-9767.3041589074055</v>
      </c>
      <c r="X8" s="180">
        <f t="array" ref="X8">IF($G8=0, INDEX(LS_previous!$D$4:$AY$138, MATCH('Staging Table'!$A8, LS_previous!$B$4:$B$138, 0), MATCH(X$4&amp;X$5, LS_previous!$D$2:$AY$2&amp;LS_previous!$D$3:$AY$3, 0)),SUM(VLOOKUP($A8, LS_previous!$B$4:$AY$138, LS_previous!P$149, FALSE), VLOOKUP('Staging Table'!$A8, LS_previous!$B$4:$AY$138,LS_previous!AN$149, FALSE))/2)</f>
        <v>1806.6283834307396</v>
      </c>
      <c r="Y8" s="180">
        <f t="array" ref="Y8">IF($G8=0, INDEX(LS_previous!$D$4:$AY$138, MATCH('Staging Table'!$A8, LS_previous!$B$4:$B$138, 0), MATCH(Y$4&amp;Y$5, LS_previous!$D$2:$AY$2&amp;LS_previous!$D$3:$AY$3, 0)),SUM(VLOOKUP($A8, LS_previous!$B$4:$AY$138, LS_previous!Q$149, FALSE), VLOOKUP('Staging Table'!$A8, LS_previous!$B$4:$AY$138,LS_previous!AO$149, FALSE))/2)</f>
        <v>-542.05442939429486</v>
      </c>
      <c r="Z8" s="180">
        <f t="array" ref="Z8">IF($G8=0, INDEX(LS_previous!$D$4:$AY$138, MATCH('Staging Table'!$A8, LS_previous!$B$4:$B$138, 0), MATCH(Z$4&amp;Z$5, LS_previous!$D$2:$AY$2&amp;LS_previous!$D$3:$AY$3, 0)),SUM(VLOOKUP($A8, LS_previous!$B$4:$AY$138, LS_previous!R$149, FALSE), VLOOKUP('Staging Table'!$A8, LS_previous!$B$4:$AY$138,LS_previous!AP$149, FALSE))/2)</f>
        <v>-13583.278273973832</v>
      </c>
      <c r="AA8" s="180">
        <f t="array" ref="AA8">IF($G8=0, INDEX(LS_previous!$D$4:$AY$138, MATCH('Staging Table'!$A8, LS_previous!$B$4:$B$138, 0), MATCH(AA$4&amp;AA$5, LS_previous!$D$2:$AY$2&amp;LS_previous!$D$3:$AY$3, 0)),SUM(VLOOKUP($A8, LS_previous!$B$4:$AY$138, LS_previous!S$149, FALSE), VLOOKUP('Staging Table'!$A8, LS_previous!$B$4:$AY$138,LS_previous!AQ$149, FALSE))/2)</f>
        <v>9500.2200364848104</v>
      </c>
      <c r="AB8" s="180">
        <f t="array" ref="AB8">IF($G8=0, INDEX(LS_previous!$D$4:$AY$138, MATCH('Staging Table'!$A8, LS_previous!$B$4:$B$138, 0), MATCH(AB$4&amp;AB$5, LS_previous!$D$2:$AY$2&amp;LS_previous!$D$3:$AY$3, 0)),SUM(VLOOKUP($A8, LS_previous!$B$4:$AY$138, LS_previous!T$149, FALSE), VLOOKUP('Staging Table'!$A8, LS_previous!$B$4:$AY$138,LS_previous!AR$149, FALSE))/2)</f>
        <v>-3959.8674706569291</v>
      </c>
      <c r="AC8" s="180">
        <f t="array" ref="AC8">IF($G8=0, INDEX(LS_previous!$D$4:$AY$138, MATCH('Staging Table'!$A8, LS_previous!$B$4:$B$138, 0), MATCH(AC$4&amp;AC$5, LS_previous!$D$2:$AY$2&amp;LS_previous!$D$3:$AY$3, 0)),SUM(VLOOKUP($A8, LS_previous!$B$4:$AY$138, LS_previous!U$149, FALSE), VLOOKUP('Staging Table'!$A8, LS_previous!$B$4:$AY$138,LS_previous!AS$149, FALSE))/2)</f>
        <v>23176.042626104747</v>
      </c>
      <c r="AD8" s="180">
        <f t="array" ref="AD8">IF($G8=0, INDEX(LS_previous!$D$4:$AY$138, MATCH('Staging Table'!$A8, LS_previous!$B$4:$B$138, 0), MATCH(AD$4&amp;AD$5, LS_previous!$D$2:$AY$2&amp;LS_previous!$D$3:$AY$3, 0)),SUM(VLOOKUP($A8, LS_previous!$B$4:$AY$138, LS_previous!V$149, FALSE), VLOOKUP('Staging Table'!$A8, LS_previous!$B$4:$AY$138,LS_previous!AT$149, FALSE))/2)</f>
        <v>26763.192916166576</v>
      </c>
      <c r="AE8" s="180">
        <f t="array" ref="AE8">IF($G8=0, INDEX(LS_previous!$D$4:$AY$138, MATCH('Staging Table'!$A8, LS_previous!$B$4:$B$138, 0), MATCH(AE$4&amp;AE$5, LS_previous!$D$2:$AY$2&amp;LS_previous!$D$3:$AY$3, 0)),SUM(VLOOKUP($A8, LS_previous!$B$4:$AY$138, LS_previous!W$149, FALSE), VLOOKUP('Staging Table'!$A8, LS_previous!$B$4:$AY$138,LS_previous!AU$149, FALSE))/2)</f>
        <v>34018.493421989559</v>
      </c>
      <c r="AF8" s="180">
        <f t="array" ref="AF8">IF($G8=0, INDEX(LS_previous!$D$4:$AY$138, MATCH('Staging Table'!$A8, LS_previous!$B$4:$B$138, 0), MATCH(AF$4&amp;AF$5, LS_previous!$D$2:$AY$2&amp;LS_previous!$D$3:$AY$3, 0)),SUM(VLOOKUP($A8, LS_previous!$B$4:$AY$138, LS_previous!X$149, FALSE), VLOOKUP('Staging Table'!$A8, LS_previous!$B$4:$AY$138,LS_previous!AV$149, FALSE))/2)</f>
        <v>14636.922549568626</v>
      </c>
      <c r="AG8" s="180">
        <f t="array" ref="AG8">IF($G8=0, INDEX(LS_previous!$D$4:$AY$138, MATCH('Staging Table'!$A8, LS_previous!$B$4:$B$138, 0), MATCH(AG$4&amp;AG$5, LS_previous!$D$2:$AY$2&amp;LS_previous!$D$3:$AY$3, 0)),SUM(VLOOKUP($A8, LS_previous!$B$4:$AY$138, LS_previous!Y$149, FALSE), VLOOKUP('Staging Table'!$A8, LS_previous!$B$4:$AY$138,LS_previous!AW$149, FALSE))/2)</f>
        <v>19880.286206158496</v>
      </c>
      <c r="AH8" s="180">
        <f t="array" ref="AH8">IF($G8=0, INDEX(LS_previous!$D$4:$AY$138, MATCH('Staging Table'!$A8, LS_previous!$B$4:$B$138, 0), MATCH(AH$4&amp;AH$5, LS_previous!$D$2:$AY$2&amp;LS_previous!$D$3:$AY$3, 0)),SUM(VLOOKUP($A8, LS_previous!$B$4:$AY$138, LS_previous!Z$149, FALSE), VLOOKUP('Staging Table'!$A8, LS_previous!$B$4:$AY$138,LS_previous!AX$149, FALSE))/2)</f>
        <v>-15972.140629730566</v>
      </c>
      <c r="AI8" s="180">
        <f t="array" ref="AI8">IF($G8=0, INDEX(LS_previous!$D$4:$AY$138, MATCH('Staging Table'!$A8, LS_previous!$B$4:$B$138, 0), MATCH(AI$4&amp;AI$5, LS_previous!$D$2:$AY$2&amp;LS_previous!$D$3:$AY$3, 0)),SUM(VLOOKUP($A8, LS_previous!$B$4:$AY$138, LS_previous!AA$149, FALSE), VLOOKUP('Staging Table'!$A8, LS_previous!$B$4:$AY$138,LS_previous!AY$149, FALSE))/2)</f>
        <v>-4716.7856111053989</v>
      </c>
      <c r="AJ8" s="298">
        <f t="array" ref="AJ8">INDEX(Demand_previous!$D$4:$AY$138, MATCH('Staging Table'!$A8, Demand_previous!$B$4:$B$138, 0), MATCH(AJ$4&amp;AJ$5,Demand_previous!$D$2:$AY$2&amp;Demand_previous!$D$3:$AY$3, 0))/1000</f>
        <v>11.437810096153868</v>
      </c>
      <c r="AK8" s="298">
        <f t="array" ref="AK8">INDEX(Demand_previous!$D$4:$AY$138, MATCH('Staging Table'!$A8, Demand_previous!$B$4:$B$138, 0), MATCH(AK$4&amp;AK$5,Demand_previous!$D$2:$AY$2&amp;Demand_previous!$D$3:$AY$3, 0))/1000</f>
        <v>21.388077499999994</v>
      </c>
      <c r="AL8" s="298">
        <f t="array" ref="AL8">INDEX(Demand_previous!$D$4:$AY$138, MATCH('Staging Table'!$A8, Demand_previous!$B$4:$B$138, 0), MATCH(AL$4&amp;AL$5,Demand_previous!$D$2:$AY$2&amp;Demand_previous!$D$3:$AY$3, 0))/1000</f>
        <v>34.734161057692297</v>
      </c>
      <c r="AM8" s="298">
        <f t="array" ref="AM8">INDEX(Demand_previous!$D$4:$AY$138, MATCH('Staging Table'!$A8, Demand_previous!$B$4:$B$138, 0), MATCH(AM$4&amp;AM$5,Demand_previous!$D$2:$AY$2&amp;Demand_previous!$D$3:$AY$3, 0))/1000</f>
        <v>24.299255000000002</v>
      </c>
      <c r="AN8" s="298">
        <f t="array" ref="AN8">INDEX(Demand_previous!$D$4:$AY$138, MATCH('Staging Table'!$A8, Demand_previous!$B$4:$B$138, 0), MATCH(AN$4&amp;AN$5,Demand_previous!$D$2:$AY$2&amp;Demand_previous!$D$3:$AY$3, 0))/1000</f>
        <v>1.1915026041666863</v>
      </c>
      <c r="AO8" s="298">
        <f t="array" ref="AO8">INDEX(Demand_previous!$D$4:$AY$138, MATCH('Staging Table'!$A8, Demand_previous!$B$4:$B$138, 0), MATCH(AO$4&amp;AO$5,Demand_previous!$D$2:$AY$2&amp;Demand_previous!$D$3:$AY$3, 0))/1000</f>
        <v>27.873291666666653</v>
      </c>
      <c r="AP8" s="298">
        <f t="array" ref="AP8">INDEX(Demand_previous!$D$4:$AY$138, MATCH('Staging Table'!$A8, Demand_previous!$B$4:$B$138, 0), MATCH(AP$4&amp;AP$5,Demand_previous!$D$2:$AY$2&amp;Demand_previous!$D$3:$AY$3, 0))/1000</f>
        <v>53.656271634615365</v>
      </c>
      <c r="AQ8" s="298">
        <f t="array" ref="AQ8">INDEX(Demand_previous!$D$4:$AY$138, MATCH('Staging Table'!$A8, Demand_previous!$B$4:$B$138, 0), MATCH(AQ$4&amp;AQ$5,Demand_previous!$D$2:$AY$2&amp;Demand_previous!$D$3:$AY$3, 0))/1000</f>
        <v>0</v>
      </c>
      <c r="AR8" s="298">
        <f t="array" ref="AR8">INDEX(Demand_previous!$D$4:$AY$138, MATCH('Staging Table'!$A8, Demand_previous!$B$4:$B$138, 0), MATCH(AR$4&amp;AR$5,Demand_previous!$D$2:$AY$2&amp;Demand_previous!$D$3:$AY$3, 0))/1000</f>
        <v>47.383439903846153</v>
      </c>
      <c r="AS8" s="298">
        <f t="array" ref="AS8">INDEX(Demand_previous!$D$4:$AY$138, MATCH('Staging Table'!$A8, Demand_previous!$B$4:$B$138, 0), MATCH(AS$4&amp;AS$5,Demand_previous!$D$2:$AY$2&amp;Demand_previous!$D$3:$AY$3, 0))/1000</f>
        <v>46.907812500000027</v>
      </c>
      <c r="AT8" s="298">
        <f t="array" ref="AT8">INDEX(Demand_previous!$D$4:$AY$138, MATCH('Staging Table'!$A8, Demand_previous!$B$4:$B$138, 0), MATCH(AT$4&amp;AT$5,Demand_previous!$D$2:$AY$2&amp;Demand_previous!$D$3:$AY$3, 0))/1000</f>
        <v>64.714777777777755</v>
      </c>
      <c r="AU8" s="298">
        <f t="array" ref="AU8">INDEX(Demand_previous!$D$4:$AY$138, MATCH('Staging Table'!$A8, Demand_previous!$B$4:$B$138, 0), MATCH(AU$4&amp;AU$5,Demand_previous!$D$2:$AY$2&amp;Demand_previous!$D$3:$AY$3, 0))/1000</f>
        <v>9.4372974999999926</v>
      </c>
      <c r="AV8" s="180">
        <f>$F8*(VLOOKUP(AV$4, Rates_previous!$G$6:$Q$29, 10, FALSE)+VLOOKUP(AV$4, Rates_previous!$G$6:$Q$29, 11, FALSE))</f>
        <v>129796.86462547116</v>
      </c>
      <c r="AW8" s="180">
        <f>$F8*(VLOOKUP(AW$4, Rates_previous!$G$6:$Q$29, 10, FALSE)+VLOOKUP(AW$4, Rates_previous!$G$6:$Q$29, 11, FALSE))</f>
        <v>164327.5412682282</v>
      </c>
      <c r="AX8" s="180">
        <f>$F8*(VLOOKUP(AX$4, Rates_previous!$G$6:$Q$29, 10, FALSE)+VLOOKUP(AX$4, Rates_previous!$G$6:$Q$29, 11, FALSE))</f>
        <v>160843.83301695902</v>
      </c>
      <c r="AY8" s="180">
        <f>$F8*(VLOOKUP(AY$4, Rates_previous!$G$6:$Q$29, 10, FALSE)+VLOOKUP(AY$4, Rates_previous!$G$6:$Q$29, 11, FALSE))</f>
        <v>132850.16621343861</v>
      </c>
      <c r="AZ8" s="180">
        <f>$F8*(VLOOKUP(AZ$4, Rates_previous!$G$6:$Q$29, 10, FALSE)+VLOOKUP(AZ$4, Rates_previous!$G$6:$Q$29, 11, FALSE))</f>
        <v>115144.1507460032</v>
      </c>
      <c r="BA8" s="180">
        <f>$F8*(VLOOKUP(BA$4, Rates_previous!$G$6:$Q$29, 10, FALSE)+VLOOKUP(BA$4, Rates_previous!$G$6:$Q$29, 11, FALSE))</f>
        <v>137458.86386763805</v>
      </c>
      <c r="BB8" s="180">
        <f>$F8*(VLOOKUP(BB$4, Rates_previous!$G$6:$Q$29, 10, FALSE)+VLOOKUP(BB$4, Rates_previous!$G$6:$Q$29, 11, FALSE))</f>
        <v>106718.50804596355</v>
      </c>
      <c r="BC8" s="180">
        <f>$F8*(VLOOKUP(BC$4, Rates_previous!$G$6:$Q$29, 10, FALSE)+VLOOKUP(BC$4, Rates_previous!$G$6:$Q$29, 11, FALSE))</f>
        <v>147859.27823748902</v>
      </c>
      <c r="BD8" s="180">
        <f>$F8*(VLOOKUP(BD$4, Rates_previous!$G$6:$Q$29, 10, FALSE)+VLOOKUP(BD$4, Rates_previous!$G$6:$Q$29, 11, FALSE))</f>
        <v>157990.73484455218</v>
      </c>
      <c r="BE8" s="180">
        <f>$F8*(VLOOKUP(BE$4, Rates_previous!$G$6:$Q$29, 10, FALSE)+VLOOKUP(BE$4, Rates_previous!$G$6:$Q$29, 11, FALSE))</f>
        <v>150005.04866184387</v>
      </c>
      <c r="BF8" s="180">
        <f>$F8*(VLOOKUP(BF$4, Rates_previous!$G$6:$Q$29, 10, FALSE)+VLOOKUP(BF$4, Rates_previous!$G$6:$Q$29, 11, FALSE))</f>
        <v>144968.30724427287</v>
      </c>
      <c r="BG8" s="180">
        <f>$F8*(VLOOKUP(BG$4, Rates_previous!$G$6:$Q$29, 10, FALSE)+VLOOKUP(BG$4, Rates_previous!$G$6:$Q$29, 11, FALSE))</f>
        <v>133965.82824083598</v>
      </c>
      <c r="BH8" s="298">
        <f>IF($D8=0,IF(C8=0, MAX(BJ8 - (VLOOKUP($A8,TOCA_previous!$A$2:$AI$137,MATCH("RHWM 2022",TOCA_previous!$A$2:$AI$2,0),FALSE)*$F$2*TOCA_previous!C5),0),0), 0)</f>
        <v>0</v>
      </c>
      <c r="BI8" s="192">
        <f>MIN(VLOOKUP($A8,TOCA_previous!$A$2:$AI$137,MATCH("TRL - NLSL - Existing Resource "&amp;$F$1,TOCA_previous!$A$2:$AI$2,0),FALSE)*$F$2,(VLOOKUP($A8,TOCA_previous!$A$2:$AI$137,MATCH("RHWM 2022",TOCA_previous!$A$2:$AI$2,0),FALSE)*$F$2))</f>
        <v>1681928.76</v>
      </c>
      <c r="BJ8" s="402">
        <f>SUM(L8:AI8)+(F8*RT1SC!$C$3*$F$2)</f>
        <v>1652559.5450379523</v>
      </c>
      <c r="BK8" s="401">
        <f>VLOOKUP($A8,TOCA_previous!$A$2:$AI$137,MATCH("Above RHWM Not Served with LS "&amp;$F$1,TOCA_previous!$A$2:$AI$2,0),FALSE)*$F$2</f>
        <v>149331.72</v>
      </c>
      <c r="BL8" s="402">
        <f t="shared" si="8"/>
        <v>-29369.214962047758</v>
      </c>
      <c r="BM8" s="401">
        <f>(VLOOKUP($A8,TOCA_previous!$A$2:$AI$137,MATCH("RHWM 2022",TOCA_previous!$A$2:$AI$2,0),FALSE)*$F$2) - $BI8</f>
        <v>0</v>
      </c>
      <c r="BN8" s="402">
        <f t="shared" si="9"/>
        <v>0</v>
      </c>
      <c r="BO8" s="401">
        <f t="shared" si="10"/>
        <v>0</v>
      </c>
      <c r="BP8" s="402">
        <f t="shared" si="11"/>
        <v>0</v>
      </c>
      <c r="BQ8" s="401">
        <f t="shared" si="2"/>
        <v>0</v>
      </c>
      <c r="BR8" s="108">
        <f>VLOOKUP($A8,TOCA_current!$A$2:$AI$137,MATCH(BR$4,TOCA_current!$A$2:$AI$2,0),FALSE)</f>
        <v>2.84458E-2</v>
      </c>
      <c r="BS8" s="108">
        <f>VLOOKUP($A8,TOCA_current!$A$2:$AI$137,MATCH(BS$4,TOCA_current!$A$2:$AI$2,0),FALSE)</f>
        <v>2.84458E-2</v>
      </c>
      <c r="BT8" s="189">
        <f t="shared" si="12"/>
        <v>0</v>
      </c>
      <c r="BU8" s="108">
        <f>VLOOKUP($A8,TOCA_current!A4:BG139,MATCH(BU$4,TOCA_current!$A$2:$BG$2,0),FALSE)</f>
        <v>0</v>
      </c>
      <c r="BV8" s="108">
        <f t="shared" si="3"/>
        <v>0</v>
      </c>
      <c r="BW8" s="108">
        <f t="shared" si="4"/>
        <v>0</v>
      </c>
      <c r="BX8" s="179">
        <f>VLOOKUP($A8,IRD!$A$4:$G$139, 7, FALSE)</f>
        <v>312239.2</v>
      </c>
      <c r="BY8" s="180">
        <f t="array" ref="BY8">IF($BT8=0, INDEX(LS_current!$D$4:$AY$138, MATCH('Staging Table'!$A8, LS_current!$B$4:$B$138, 0), MATCH(BY$4&amp;BY$5, LS_current!$D$2:$AY$2&amp;LS_current!$D$3:$AY$3, 0)),SUM(VLOOKUP($A8, LS_current!$B$4:$AY$138, LS_current!D$148, FALSE), VLOOKUP($A8, LS_current!$B$4:$AY$138,LS_current!AB$148, FALSE))/2)</f>
        <v>-2169.0895592488087</v>
      </c>
      <c r="BZ8" s="180">
        <f t="array" ref="BZ8">IF($BT8=0, INDEX(LS_current!$D$4:$AY$138, MATCH('Staging Table'!$A8, LS_current!$B$4:$B$138, 0), MATCH(BZ$4&amp;BZ$5, LS_current!$D$2:$AY$2&amp;LS_current!$D$3:$AY$3, 0)),SUM(VLOOKUP($A8, LS_current!$B$4:$AY$138, LS_current!E$148, FALSE), VLOOKUP($A8, LS_current!$B$4:$AY$138,LS_current!AC$148, FALSE))/2)</f>
        <v>-5541.4514796278963</v>
      </c>
      <c r="CA8" s="180">
        <f t="array" ref="CA8">IF($BT8=0, INDEX(LS_current!$D$4:$AY$138, MATCH('Staging Table'!$A8, LS_current!$B$4:$B$138, 0), MATCH(CA$4&amp;CA$5, LS_current!$D$2:$AY$2&amp;LS_current!$D$3:$AY$3, 0)),SUM(VLOOKUP($A8, LS_current!$B$4:$AY$138, LS_current!F$148, FALSE), VLOOKUP($A8, LS_current!$B$4:$AY$138,LS_current!AD$148, FALSE))/2)</f>
        <v>-27499.584634822415</v>
      </c>
      <c r="CB8" s="180">
        <f t="array" ref="CB8">IF($BT8=0, INDEX(LS_current!$D$4:$AY$138, MATCH('Staging Table'!$A8, LS_current!$B$4:$B$138, 0), MATCH(CB$4&amp;CB$5, LS_current!$D$2:$AY$2&amp;LS_current!$D$3:$AY$3, 0)),SUM(VLOOKUP($A8, LS_current!$B$4:$AY$138, LS_current!G$148, FALSE), VLOOKUP($A8, LS_current!$B$4:$AY$138,LS_current!AE$148, FALSE))/2)</f>
        <v>-14058.739361699802</v>
      </c>
      <c r="CC8" s="180">
        <f t="array" ref="CC8">IF($BT8=0, INDEX(LS_current!$D$4:$AY$138, MATCH('Staging Table'!$A8, LS_current!$B$4:$B$138, 0), MATCH(CC$4&amp;CC$5, LS_current!$D$2:$AY$2&amp;LS_current!$D$3:$AY$3, 0)),SUM(VLOOKUP($A8, LS_current!$B$4:$AY$138, LS_current!H$148, FALSE), VLOOKUP($A8, LS_current!$B$4:$AY$138,LS_current!AF$148, FALSE))/2)</f>
        <v>-11922.49223444621</v>
      </c>
      <c r="CD8" s="180">
        <f t="array" ref="CD8">IF($BT8=0, INDEX(LS_current!$D$4:$AY$138, MATCH('Staging Table'!$A8, LS_current!$B$4:$B$138, 0), MATCH(CD$4&amp;CD$5, LS_current!$D$2:$AY$2&amp;LS_current!$D$3:$AY$3, 0)),SUM(VLOOKUP($A8, LS_current!$B$4:$AY$138, LS_current!I$148, FALSE), VLOOKUP($A8, LS_current!$B$4:$AY$138,LS_current!AG$148, FALSE))/2)</f>
        <v>-2121.699477676797</v>
      </c>
      <c r="CE8" s="180">
        <f t="array" ref="CE8">IF($BT8=0, INDEX(LS_current!$D$4:$AY$138, MATCH('Staging Table'!$A8, LS_current!$B$4:$B$138, 0), MATCH(CE$4&amp;CE$5, LS_current!$D$2:$AY$2&amp;LS_current!$D$3:$AY$3, 0)),SUM(VLOOKUP($A8, LS_current!$B$4:$AY$138, LS_current!J$148, FALSE), VLOOKUP($A8, LS_current!$B$4:$AY$138,LS_current!AH$148, FALSE))/2)</f>
        <v>-20593.345386546993</v>
      </c>
      <c r="CF8" s="180">
        <f t="array" ref="CF8">IF($BT8=0, INDEX(LS_current!$D$4:$AY$138, MATCH('Staging Table'!$A8, LS_current!$B$4:$B$138, 0), MATCH(CF$4&amp;CF$5, LS_current!$D$2:$AY$2&amp;LS_current!$D$3:$AY$3, 0)),SUM(VLOOKUP($A8, LS_current!$B$4:$AY$138, LS_current!K$148, FALSE), VLOOKUP($A8, LS_current!$B$4:$AY$138,LS_current!AI$148, FALSE))/2)</f>
        <v>-3596.7897453282058</v>
      </c>
      <c r="CG8" s="180">
        <f t="array" ref="CG8">IF($BT8=0, INDEX(LS_current!$D$4:$AY$138, MATCH('Staging Table'!$A8, LS_current!$B$4:$B$138, 0), MATCH(CG$4&amp;CG$5, LS_current!$D$2:$AY$2&amp;LS_current!$D$3:$AY$3, 0)),SUM(VLOOKUP($A8, LS_current!$B$4:$AY$138, LS_current!L$148, FALSE), VLOOKUP($A8, LS_current!$B$4:$AY$138,LS_current!AJ$148, FALSE))/2)</f>
        <v>-27137.919774858208</v>
      </c>
      <c r="CH8" s="180">
        <f t="array" ref="CH8">IF($BT8=0, INDEX(LS_current!$D$4:$AY$138, MATCH('Staging Table'!$A8, LS_current!$B$4:$B$138, 0), MATCH(CH$4&amp;CH$5, LS_current!$D$2:$AY$2&amp;LS_current!$D$3:$AY$3, 0)),SUM(VLOOKUP($A8, LS_current!$B$4:$AY$138, LS_current!M$148, FALSE), VLOOKUP($A8, LS_current!$B$4:$AY$138,LS_current!AK$148, FALSE))/2)</f>
        <v>-8971.9271453222027</v>
      </c>
      <c r="CI8" s="180">
        <f t="array" ref="CI8">IF($BT8=0, INDEX(LS_current!$D$4:$AY$138, MATCH('Staging Table'!$A8, LS_current!$B$4:$B$138, 0), MATCH(CI$4&amp;CI$5, LS_current!$D$2:$AY$2&amp;LS_current!$D$3:$AY$3, 0)),SUM(VLOOKUP($A8, LS_current!$B$4:$AY$138, LS_current!N$148, FALSE), VLOOKUP($A8, LS_current!$B$4:$AY$138,LS_current!AL$148, FALSE))/2)</f>
        <v>-27727.30710457539</v>
      </c>
      <c r="CJ8" s="180">
        <f t="array" ref="CJ8">IF($BT8=0, INDEX(LS_current!$D$4:$AY$138, MATCH('Staging Table'!$A8, LS_current!$B$4:$B$138, 0), MATCH(CJ$4&amp;CJ$5, LS_current!$D$2:$AY$2&amp;LS_current!$D$3:$AY$3, 0)),SUM(VLOOKUP($A8, LS_current!$B$4:$AY$138, LS_current!O$148, FALSE), VLOOKUP($A8, LS_current!$B$4:$AY$138,LS_current!AM$148, FALSE))/2)</f>
        <v>-17823.436612632402</v>
      </c>
      <c r="CK8" s="180">
        <f t="array" ref="CK8">IF($BT8=0, INDEX(LS_current!$D$4:$AY$138, MATCH('Staging Table'!$A8, LS_current!$B$4:$B$138, 0), MATCH(CK$4&amp;CK$5, LS_current!$D$2:$AY$2&amp;LS_current!$D$3:$AY$3, 0)),SUM(VLOOKUP($A8, LS_current!$B$4:$AY$138, LS_current!P$148, FALSE), VLOOKUP($A8, LS_current!$B$4:$AY$138,LS_current!AN$148, FALSE))/2)</f>
        <v>-7040.8761572094954</v>
      </c>
      <c r="CL8" s="180">
        <f t="array" ref="CL8">IF($BT8=0, INDEX(LS_current!$D$4:$AY$138, MATCH('Staging Table'!$A8, LS_current!$B$4:$B$138, 0), MATCH(CL$4&amp;CL$5, LS_current!$D$2:$AY$2&amp;LS_current!$D$3:$AY$3, 0)),SUM(VLOOKUP($A8, LS_current!$B$4:$AY$138, LS_current!Q$148, FALSE), VLOOKUP($A8, LS_current!$B$4:$AY$138,LS_current!AO$148, FALSE))/2)</f>
        <v>-7305.1710902481427</v>
      </c>
      <c r="CM8" s="180">
        <f t="array" ref="CM8">IF($BT8=0, INDEX(LS_current!$D$4:$AY$138, MATCH('Staging Table'!$A8, LS_current!$B$4:$B$138, 0), MATCH(CM$4&amp;CM$5, LS_current!$D$2:$AY$2&amp;LS_current!$D$3:$AY$3, 0)),SUM(VLOOKUP($A8, LS_current!$B$4:$AY$138, LS_current!R$148, FALSE), VLOOKUP($A8, LS_current!$B$4:$AY$138,LS_current!AP$148, FALSE))/2)</f>
        <v>-7304.5936948384187</v>
      </c>
      <c r="CN8" s="180">
        <f t="array" ref="CN8">IF($BT8=0, INDEX(LS_current!$D$4:$AY$138, MATCH('Staging Table'!$A8, LS_current!$B$4:$B$138, 0), MATCH(CN$4&amp;CN$5, LS_current!$D$2:$AY$2&amp;LS_current!$D$3:$AY$3, 0)),SUM(VLOOKUP($A8, LS_current!$B$4:$AY$138, LS_current!S$148, FALSE), VLOOKUP($A8, LS_current!$B$4:$AY$138,LS_current!AQ$148, FALSE))/2)</f>
        <v>-1700.2558688592981</v>
      </c>
      <c r="CO8" s="180">
        <f t="array" ref="CO8">IF($BT8=0, INDEX(LS_current!$D$4:$AY$138, MATCH('Staging Table'!$A8, LS_current!$B$4:$B$138, 0), MATCH(CO$4&amp;CO$5, LS_current!$D$2:$AY$2&amp;LS_current!$D$3:$AY$3, 0)),SUM(VLOOKUP($A8, LS_current!$B$4:$AY$138, LS_current!T$148, FALSE), VLOOKUP($A8, LS_current!$B$4:$AY$138,LS_current!AR$148, FALSE))/2)</f>
        <v>10434.095538589187</v>
      </c>
      <c r="CP8" s="180">
        <f t="array" ref="CP8">IF($BT8=0, INDEX(LS_current!$D$4:$AY$138, MATCH('Staging Table'!$A8, LS_current!$B$4:$B$138, 0), MATCH(CP$4&amp;CP$5, LS_current!$D$2:$AY$2&amp;LS_current!$D$3:$AY$3, 0)),SUM(VLOOKUP($A8, LS_current!$B$4:$AY$138, LS_current!U$148, FALSE), VLOOKUP($A8, LS_current!$B$4:$AY$138,LS_current!AS$148, FALSE))/2)</f>
        <v>10403.684654703895</v>
      </c>
      <c r="CQ8" s="180">
        <f t="array" ref="CQ8">IF($BT8=0, INDEX(LS_current!$D$4:$AY$138, MATCH('Staging Table'!$A8, LS_current!$B$4:$B$138, 0), MATCH(CQ$4&amp;CQ$5, LS_current!$D$2:$AY$2&amp;LS_current!$D$3:$AY$3, 0)),SUM(VLOOKUP($A8, LS_current!$B$4:$AY$138, LS_current!V$148, FALSE), VLOOKUP($A8, LS_current!$B$4:$AY$138,LS_current!AT$148, FALSE))/2)</f>
        <v>41986.198847608801</v>
      </c>
      <c r="CR8" s="180">
        <f t="array" ref="CR8">IF($BT8=0, INDEX(LS_current!$D$4:$AY$138, MATCH('Staging Table'!$A8, LS_current!$B$4:$B$138, 0), MATCH(CR$4&amp;CR$5, LS_current!$D$2:$AY$2&amp;LS_current!$D$3:$AY$3, 0)),SUM(VLOOKUP($A8, LS_current!$B$4:$AY$138, LS_current!W$148, FALSE), VLOOKUP($A8, LS_current!$B$4:$AY$138,LS_current!AU$148, FALSE))/2)</f>
        <v>33858.727082660487</v>
      </c>
      <c r="CS8" s="180">
        <f t="array" ref="CS8">IF($BT8=0, INDEX(LS_current!$D$4:$AY$138, MATCH('Staging Table'!$A8, LS_current!$B$4:$B$138, 0), MATCH(CS$4&amp;CS$5, LS_current!$D$2:$AY$2&amp;LS_current!$D$3:$AY$3, 0)),SUM(VLOOKUP($A8, LS_current!$B$4:$AY$138, LS_current!X$148, FALSE), VLOOKUP($A8, LS_current!$B$4:$AY$138,LS_current!AV$148, FALSE))/2)</f>
        <v>29345.561439545301</v>
      </c>
      <c r="CT8" s="180">
        <f t="array" ref="CT8">IF($BT8=0, INDEX(LS_current!$D$4:$AY$138, MATCH('Staging Table'!$A8, LS_current!$B$4:$B$138, 0), MATCH(CT$4&amp;CT$5, LS_current!$D$2:$AY$2&amp;LS_current!$D$3:$AY$3, 0)),SUM(VLOOKUP($A8, LS_current!$B$4:$AY$138, LS_current!Y$148, FALSE), VLOOKUP($A8, LS_current!$B$4:$AY$138,LS_current!AW$148, FALSE))/2)</f>
        <v>19855.466528202873</v>
      </c>
      <c r="CU8" s="180">
        <f t="array" ref="CU8">IF($BT8=0, INDEX(LS_current!$D$4:$AY$138, MATCH('Staging Table'!$A8, LS_current!$B$4:$B$138, 0), MATCH(CU$4&amp;CU$5, LS_current!$D$2:$AY$2&amp;LS_current!$D$3:$AY$3, 0)),SUM(VLOOKUP($A8, LS_current!$B$4:$AY$138, LS_current!Z$148, FALSE), VLOOKUP($A8, LS_current!$B$4:$AY$138,LS_current!AX$148, FALSE))/2)</f>
        <v>-1973.4261545492045</v>
      </c>
      <c r="CV8" s="180">
        <f t="array" ref="CV8">IF($BT8=0, INDEX(LS_current!$D$4:$AY$138, MATCH('Staging Table'!$A8, LS_current!$B$4:$B$138, 0), MATCH(CV$4&amp;CV$5, LS_current!$D$2:$AY$2&amp;LS_current!$D$3:$AY$3, 0)),SUM(VLOOKUP($A8, LS_current!$B$4:$AY$138, LS_current!AA$148, FALSE), VLOOKUP($A8, LS_current!$B$4:$AY$138,LS_current!AY$148, FALSE))/2)</f>
        <v>-4395.9678585631991</v>
      </c>
      <c r="CW8" s="182">
        <f t="array" ref="CW8">INDEX(Demand_current!$D$4:$AY$138, MATCH($A8, Demand_current!$B$4:$B$138, 0), MATCH(CW$4&amp;CW$5,Demand_current!$D$2:$AY$2&amp;Demand_current!$D$3:$AY$3, 0))/1000</f>
        <v>11.437810096153868</v>
      </c>
      <c r="CX8" s="182">
        <f t="array" ref="CX8">INDEX(Demand_current!$D$4:$AY$138, MATCH($A8, Demand_current!$B$4:$B$138, 0), MATCH(CX$4&amp;CX$5,Demand_current!$D$2:$AY$2&amp;Demand_current!$D$3:$AY$3, 0))/1000</f>
        <v>21.388077499999994</v>
      </c>
      <c r="CY8" s="182">
        <f t="array" ref="CY8">INDEX(Demand_current!$D$4:$AY$138, MATCH($A8, Demand_current!$B$4:$B$138, 0), MATCH(CY$4&amp;CY$5,Demand_current!$D$2:$AY$2&amp;Demand_current!$D$3:$AY$3, 0))/1000</f>
        <v>25.811647499999999</v>
      </c>
      <c r="CZ8" s="182">
        <f t="array" ref="CZ8">INDEX(Demand_current!$D$4:$AY$138, MATCH($A8, Demand_current!$B$4:$B$138, 0), MATCH(CZ$4&amp;CZ$5,Demand_current!$D$2:$AY$2&amp;Demand_current!$D$3:$AY$3, 0))/1000</f>
        <v>32.98136057692308</v>
      </c>
      <c r="DA8" s="182">
        <f t="array" ref="DA8">INDEX(Demand_current!$D$4:$AY$138, MATCH($A8, Demand_current!$B$4:$B$138, 0), MATCH(DA$4&amp;DA$5,Demand_current!$D$2:$AY$2&amp;Demand_current!$D$3:$AY$3, 0))/1000</f>
        <v>8.5982425000000262</v>
      </c>
      <c r="DB8" s="182">
        <f t="array" ref="DB8">INDEX(Demand_current!$D$4:$AY$138, MATCH($A8, Demand_current!$B$4:$B$138, 0), MATCH(DB$4&amp;DB$5,Demand_current!$D$2:$AY$2&amp;Demand_current!$D$3:$AY$3, 0))/1000</f>
        <v>21.203072115384622</v>
      </c>
      <c r="DC8" s="182">
        <f t="array" ref="DC8">INDEX(Demand_current!$D$4:$AY$138, MATCH($A8, Demand_current!$B$4:$B$138, 0), MATCH(DC$4&amp;DC$5,Demand_current!$D$2:$AY$2&amp;Demand_current!$D$3:$AY$3, 0))/1000</f>
        <v>53.656271634615365</v>
      </c>
      <c r="DD8" s="182">
        <f t="array" ref="DD8">INDEX(Demand_current!$D$4:$AY$138, MATCH($A8, Demand_current!$B$4:$B$138, 0), MATCH(DD$4&amp;DD$5,Demand_current!$D$2:$AY$2&amp;Demand_current!$D$3:$AY$3, 0))/1000</f>
        <v>0</v>
      </c>
      <c r="DE8" s="182">
        <f t="array" ref="DE8">INDEX(Demand_current!$D$4:$AY$138, MATCH($A8, Demand_current!$B$4:$B$138, 0), MATCH(DE$4&amp;DE$5,Demand_current!$D$2:$AY$2&amp;Demand_current!$D$3:$AY$3, 0))/1000</f>
        <v>36.187577500000003</v>
      </c>
      <c r="DF8" s="182">
        <f t="array" ref="DF8">INDEX(Demand_current!$D$4:$AY$138, MATCH($A8, Demand_current!$B$4:$B$138, 0), MATCH(DF$4&amp;DF$5,Demand_current!$D$2:$AY$2&amp;Demand_current!$D$3:$AY$3, 0))/1000</f>
        <v>59.785012019230798</v>
      </c>
      <c r="DG8" s="182">
        <f t="array" ref="DG8">INDEX(Demand_current!$D$4:$AY$138, MATCH($A8, Demand_current!$B$4:$B$138, 0), MATCH(DG$4&amp;DG$5,Demand_current!$D$2:$AY$2&amp;Demand_current!$D$3:$AY$3, 0))/1000</f>
        <v>64.714777777777755</v>
      </c>
      <c r="DH8" s="182">
        <f t="array" ref="DH8">INDEX(Demand_current!$D$4:$AY$138, MATCH($A8, Demand_current!$B$4:$B$138, 0), MATCH(DH$4&amp;DH$5,Demand_current!$D$2:$AY$2&amp;Demand_current!$D$3:$AY$3, 0))/1000</f>
        <v>1.4618515625000086</v>
      </c>
      <c r="DI8" s="180">
        <f>$BS8*(VLOOKUP(DI$4, Rates_current!$G$6:$Q$29, 10, FALSE)+VLOOKUP(DI$4, Rates_current!$G$6:$Q$29, 11, FALSE))</f>
        <v>120007.2480388767</v>
      </c>
      <c r="DJ8" s="180">
        <f>$BS8*(VLOOKUP(DJ$4, Rates_current!$G$6:$Q$29, 10, FALSE)+VLOOKUP(DJ$4, Rates_current!$G$6:$Q$29, 11, FALSE))</f>
        <v>153048.81399652222</v>
      </c>
      <c r="DK8" s="180">
        <f>$BS8*(VLOOKUP(DK$4, Rates_current!$G$6:$Q$29, 10, FALSE)+VLOOKUP(DK$4, Rates_current!$G$6:$Q$29, 11, FALSE))</f>
        <v>165169.95271212302</v>
      </c>
      <c r="DL8" s="180">
        <f>$BS8*(VLOOKUP(DL$4, Rates_current!$G$6:$Q$29, 10, FALSE)+VLOOKUP(DL$4, Rates_current!$G$6:$Q$29, 11, FALSE))</f>
        <v>171637.11413187519</v>
      </c>
      <c r="DM8" s="180">
        <f>$BS8*(VLOOKUP(DM$4, Rates_current!$G$6:$Q$29, 10, FALSE)+VLOOKUP(DM$4, Rates_current!$G$6:$Q$29, 11, FALSE))</f>
        <v>147630.79592018039</v>
      </c>
      <c r="DN8" s="180">
        <f>$BS8*(VLOOKUP(DN$4, Rates_current!$G$6:$Q$29, 10, FALSE)+VLOOKUP(DN$4, Rates_current!$G$6:$Q$29, 11, FALSE))</f>
        <v>161183.59971720781</v>
      </c>
      <c r="DO8" s="180">
        <f>$BS8*(VLOOKUP(DO$4, Rates_current!$G$6:$Q$29, 10, FALSE)+VLOOKUP(DO$4, Rates_current!$G$6:$Q$29, 11, FALSE))</f>
        <v>127227.28924745764</v>
      </c>
      <c r="DP8" s="180">
        <f>$BS8*(VLOOKUP(DP$4, Rates_current!$G$6:$Q$29, 10, FALSE)+VLOOKUP(DP$4, Rates_current!$G$6:$Q$29, 11, FALSE))</f>
        <v>157842.5015636977</v>
      </c>
      <c r="DQ8" s="180">
        <f>$BS8*(VLOOKUP(DQ$4, Rates_current!$G$6:$Q$29, 10, FALSE)+VLOOKUP(DQ$4, Rates_current!$G$6:$Q$29, 11, FALSE))</f>
        <v>161267.28980670689</v>
      </c>
      <c r="DR8" s="180">
        <f>$BS8*(VLOOKUP(DR$4, Rates_current!$G$6:$Q$29, 10, FALSE)+VLOOKUP(DR$4, Rates_current!$G$6:$Q$29, 11, FALSE))</f>
        <v>140003.24106973069</v>
      </c>
      <c r="DS8" s="180">
        <f>$BS8*(VLOOKUP(DS$4, Rates_current!$G$6:$Q$29, 10, FALSE)+VLOOKUP(DS$4, Rates_current!$G$6:$Q$29, 11, FALSE))</f>
        <v>135345.92003225186</v>
      </c>
      <c r="DT8" s="180">
        <f>$BS8*(VLOOKUP(DT$4, Rates_current!$G$6:$Q$29, 10, FALSE)+VLOOKUP(DT$4, Rates_current!$G$6:$Q$29, 11, FALSE))</f>
        <v>124544.45601311242</v>
      </c>
      <c r="DU8" s="402">
        <f>IF(D8=0,IF(C8=0,MAX(0,DW8 - (VLOOKUP($A8,TOCA_current!$A$2:$AI$137,MATCH("RHWM 2024",TOCA_current!$A$2:$AI$2,0),FALSE)*$BS$2)), 0),0)</f>
        <v>0</v>
      </c>
      <c r="DV8" s="403">
        <f>MIN(VLOOKUP($A8,TOCA_current!$A$2:$AI$137,MATCH("TRL - NLSL - Existing Resource "&amp;$BS$1,TOCA_current!$A$2:$AI$2,0),FALSE)*$BS$2, VLOOKUP($A8,TOCA_current!$A$2:$AI$137,MATCH("RHWM 2024",TOCA_current!$A$2:$AI$2,0),FALSE)*$BS$2)</f>
        <v>1764907.632</v>
      </c>
      <c r="DW8" s="403">
        <f>SUM(BY8:CV8)+(BS8*RT1SC!$C$4*$BS$2)</f>
        <v>1711907.8910899854</v>
      </c>
      <c r="DX8" s="403">
        <f>VLOOKUP($A8,TOCA_current!$A$2:$AI$137,MATCH("Above RHWM Not Served with LS "&amp;$BS$1,TOCA_current!$A$2:$AI$2,0),FALSE)*$BS$2</f>
        <v>89983.296000000002</v>
      </c>
      <c r="DY8" s="403">
        <f t="shared" si="13"/>
        <v>-52999.740910014603</v>
      </c>
      <c r="DZ8" s="403">
        <f>(VLOOKUP($A8,TOCA_current!$A$2:$AI$137,MATCH("RHWM 2024",TOCA_current!$A$2:$AI$2,0),FALSE)*$BS$2) - $DV8</f>
        <v>0</v>
      </c>
      <c r="EA8" s="403">
        <f t="shared" si="14"/>
        <v>0</v>
      </c>
      <c r="EB8" s="403">
        <f t="shared" si="15"/>
        <v>0</v>
      </c>
      <c r="EC8" s="403">
        <f t="shared" si="16"/>
        <v>0</v>
      </c>
      <c r="ED8" s="403">
        <f t="shared" si="17"/>
        <v>0</v>
      </c>
    </row>
    <row r="9" spans="1:134">
      <c r="A9" s="123">
        <v>10025</v>
      </c>
      <c r="B9" s="124" t="s">
        <v>10</v>
      </c>
      <c r="C9" s="232">
        <f>VLOOKUP(A9, TOCA_current!$A$3:$D$137, 4, FALSE)</f>
        <v>0</v>
      </c>
      <c r="D9" s="191">
        <v>0</v>
      </c>
      <c r="E9" s="107">
        <f>VLOOKUP($A9,TOCA_previous!$A$2:$AI$137,MATCH(E$4,TOCA_previous!$A$2:$AI$2,0),FALSE)</f>
        <v>8.4480000000000006E-3</v>
      </c>
      <c r="F9" s="108">
        <f>VLOOKUP($A9,TOCA_previous!$A$2:$AI$137,MATCH(F$4,TOCA_previous!$A$2:$AI$2,0),FALSE)</f>
        <v>8.4480000000000006E-3</v>
      </c>
      <c r="G9" s="108">
        <f t="shared" si="5"/>
        <v>0</v>
      </c>
      <c r="H9" s="108">
        <f>VLOOKUP($A9,TOCA_previous!$A$2:$AI$137,MATCH(H$4,TOCA_previous!$A$2:$AI$2,0),FALSE)</f>
        <v>6.4430000000000001E-2</v>
      </c>
      <c r="I9" s="108">
        <f t="shared" si="6"/>
        <v>0</v>
      </c>
      <c r="J9" s="108">
        <f t="shared" si="7"/>
        <v>0</v>
      </c>
      <c r="K9" s="179">
        <f>VLOOKUP(A9, IRD!$A$5:$C$139, 3, FALSE)</f>
        <v>82900.857000000004</v>
      </c>
      <c r="L9" s="180">
        <f t="array" ref="L9">IF($G9=0, INDEX(LS_previous!$D$4:$AY$138, MATCH('Staging Table'!$A9, LS_previous!$B$4:$B$138, 0), MATCH(L$4&amp;L$5, LS_previous!$D$2:$AY$2&amp;LS_previous!$D$3:$AY$3, 0)),SUM(VLOOKUP($A9, LS_previous!$B$4:$AY$138, LS_previous!D$149, FALSE), VLOOKUP('Staging Table'!$A9, LS_previous!$B$4:$AY$138,LS_previous!AB$149, FALSE))/2)</f>
        <v>-2236.5661547959025</v>
      </c>
      <c r="M9" s="180">
        <f t="array" ref="M9">IF($G9=0, INDEX(LS_previous!$D$4:$AY$138, MATCH('Staging Table'!$A9, LS_previous!$B$4:$B$138, 0), MATCH(M$4&amp;M$5, LS_previous!$D$2:$AY$2&amp;LS_previous!$D$3:$AY$3, 0)),SUM(VLOOKUP($A9, LS_previous!$B$4:$AY$138, LS_previous!E$149, FALSE), VLOOKUP('Staging Table'!$A9, LS_previous!$B$4:$AY$138,LS_previous!AC$149, FALSE))/2)</f>
        <v>707.62164819007558</v>
      </c>
      <c r="N9" s="180">
        <f t="array" ref="N9">IF($G9=0, INDEX(LS_previous!$D$4:$AY$138, MATCH('Staging Table'!$A9, LS_previous!$B$4:$B$138, 0), MATCH(N$4&amp;N$5, LS_previous!$D$2:$AY$2&amp;LS_previous!$D$3:$AY$3, 0)),SUM(VLOOKUP($A9, LS_previous!$B$4:$AY$138, LS_previous!F$149, FALSE), VLOOKUP('Staging Table'!$A9, LS_previous!$B$4:$AY$138,LS_previous!AD$149, FALSE))/2)</f>
        <v>-11146.04680085287</v>
      </c>
      <c r="O9" s="180">
        <f t="array" ref="O9">IF($G9=0, INDEX(LS_previous!$D$4:$AY$138, MATCH('Staging Table'!$A9, LS_previous!$B$4:$B$138, 0), MATCH(O$4&amp;O$5, LS_previous!$D$2:$AY$2&amp;LS_previous!$D$3:$AY$3, 0)),SUM(VLOOKUP($A9, LS_previous!$B$4:$AY$138, LS_previous!G$149, FALSE), VLOOKUP('Staging Table'!$A9, LS_previous!$B$4:$AY$138,LS_previous!AE$149, FALSE))/2)</f>
        <v>-4677.8401672686086</v>
      </c>
      <c r="P9" s="180">
        <f t="array" ref="P9">IF($G9=0, INDEX(LS_previous!$D$4:$AY$138, MATCH('Staging Table'!$A9, LS_previous!$B$4:$B$138, 0), MATCH(P$4&amp;P$5, LS_previous!$D$2:$AY$2&amp;LS_previous!$D$3:$AY$3, 0)),SUM(VLOOKUP($A9, LS_previous!$B$4:$AY$138, LS_previous!H$149, FALSE), VLOOKUP('Staging Table'!$A9, LS_previous!$B$4:$AY$138,LS_previous!AF$149, FALSE))/2)</f>
        <v>-4256.4838710119693</v>
      </c>
      <c r="Q9" s="180">
        <f t="array" ref="Q9">IF($G9=0, INDEX(LS_previous!$D$4:$AY$138, MATCH('Staging Table'!$A9, LS_previous!$B$4:$B$138, 0), MATCH(Q$4&amp;Q$5, LS_previous!$D$2:$AY$2&amp;LS_previous!$D$3:$AY$3, 0)),SUM(VLOOKUP($A9, LS_previous!$B$4:$AY$138, LS_previous!I$149, FALSE), VLOOKUP('Staging Table'!$A9, LS_previous!$B$4:$AY$138,LS_previous!AG$149, FALSE))/2)</f>
        <v>-2727.8043369603874</v>
      </c>
      <c r="R9" s="180">
        <f t="array" ref="R9">IF($G9=0, INDEX(LS_previous!$D$4:$AY$138, MATCH('Staging Table'!$A9, LS_previous!$B$4:$B$138, 0), MATCH(R$4&amp;R$5, LS_previous!$D$2:$AY$2&amp;LS_previous!$D$3:$AY$3, 0)),SUM(VLOOKUP($A9, LS_previous!$B$4:$AY$138, LS_previous!J$149, FALSE), VLOOKUP('Staging Table'!$A9, LS_previous!$B$4:$AY$138,LS_previous!AH$149, FALSE))/2)</f>
        <v>365.91048148928166</v>
      </c>
      <c r="S9" s="180">
        <f t="array" ref="S9">IF($G9=0, INDEX(LS_previous!$D$4:$AY$138, MATCH('Staging Table'!$A9, LS_previous!$B$4:$B$138, 0), MATCH(S$4&amp;S$5, LS_previous!$D$2:$AY$2&amp;LS_previous!$D$3:$AY$3, 0)),SUM(VLOOKUP($A9, LS_previous!$B$4:$AY$138, LS_previous!K$149, FALSE), VLOOKUP('Staging Table'!$A9, LS_previous!$B$4:$AY$138,LS_previous!AI$149, FALSE))/2)</f>
        <v>-42.929999692416459</v>
      </c>
      <c r="T9" s="180">
        <f t="array" ref="T9">IF($G9=0, INDEX(LS_previous!$D$4:$AY$138, MATCH('Staging Table'!$A9, LS_previous!$B$4:$B$138, 0), MATCH(T$4&amp;T$5, LS_previous!$D$2:$AY$2&amp;LS_previous!$D$3:$AY$3, 0)),SUM(VLOOKUP($A9, LS_previous!$B$4:$AY$138, LS_previous!L$149, FALSE), VLOOKUP('Staging Table'!$A9, LS_previous!$B$4:$AY$138,LS_previous!AJ$149, FALSE))/2)</f>
        <v>-2817.3541478090228</v>
      </c>
      <c r="U9" s="180">
        <f t="array" ref="U9">IF($G9=0, INDEX(LS_previous!$D$4:$AY$138, MATCH('Staging Table'!$A9, LS_previous!$B$4:$B$138, 0), MATCH(U$4&amp;U$5, LS_previous!$D$2:$AY$2&amp;LS_previous!$D$3:$AY$3, 0)),SUM(VLOOKUP($A9, LS_previous!$B$4:$AY$138, LS_previous!M$149, FALSE), VLOOKUP('Staging Table'!$A9, LS_previous!$B$4:$AY$138,LS_previous!AK$149, FALSE))/2)</f>
        <v>-1910.9207387623683</v>
      </c>
      <c r="V9" s="180">
        <f t="array" ref="V9">IF($G9=0, INDEX(LS_previous!$D$4:$AY$138, MATCH('Staging Table'!$A9, LS_previous!$B$4:$B$138, 0), MATCH(V$4&amp;V$5, LS_previous!$D$2:$AY$2&amp;LS_previous!$D$3:$AY$3, 0)),SUM(VLOOKUP($A9, LS_previous!$B$4:$AY$138, LS_previous!N$149, FALSE), VLOOKUP('Staging Table'!$A9, LS_previous!$B$4:$AY$138,LS_previous!AL$149, FALSE))/2)</f>
        <v>-7006.7299950795532</v>
      </c>
      <c r="W9" s="180">
        <f t="array" ref="W9">IF($G9=0, INDEX(LS_previous!$D$4:$AY$138, MATCH('Staging Table'!$A9, LS_previous!$B$4:$B$138, 0), MATCH(W$4&amp;W$5, LS_previous!$D$2:$AY$2&amp;LS_previous!$D$3:$AY$3, 0)),SUM(VLOOKUP($A9, LS_previous!$B$4:$AY$138, LS_previous!O$149, FALSE), VLOOKUP('Staging Table'!$A9, LS_previous!$B$4:$AY$138,LS_previous!AM$149, FALSE))/2)</f>
        <v>-3202.5270866897936</v>
      </c>
      <c r="X9" s="180">
        <f t="array" ref="X9">IF($G9=0, INDEX(LS_previous!$D$4:$AY$138, MATCH('Staging Table'!$A9, LS_previous!$B$4:$B$138, 0), MATCH(X$4&amp;X$5, LS_previous!$D$2:$AY$2&amp;LS_previous!$D$3:$AY$3, 0)),SUM(VLOOKUP($A9, LS_previous!$B$4:$AY$138, LS_previous!P$149, FALSE), VLOOKUP('Staging Table'!$A9, LS_previous!$B$4:$AY$138,LS_previous!AN$149, FALSE))/2)</f>
        <v>-1449.642567457151</v>
      </c>
      <c r="Y9" s="180">
        <f t="array" ref="Y9">IF($G9=0, INDEX(LS_previous!$D$4:$AY$138, MATCH('Staging Table'!$A9, LS_previous!$B$4:$B$138, 0), MATCH(Y$4&amp;Y$5, LS_previous!$D$2:$AY$2&amp;LS_previous!$D$3:$AY$3, 0)),SUM(VLOOKUP($A9, LS_previous!$B$4:$AY$138, LS_previous!Q$149, FALSE), VLOOKUP('Staging Table'!$A9, LS_previous!$B$4:$AY$138,LS_previous!AO$149, FALSE))/2)</f>
        <v>-82.392218387456523</v>
      </c>
      <c r="Z9" s="180">
        <f t="array" ref="Z9">IF($G9=0, INDEX(LS_previous!$D$4:$AY$138, MATCH('Staging Table'!$A9, LS_previous!$B$4:$B$138, 0), MATCH(Z$4&amp;Z$5, LS_previous!$D$2:$AY$2&amp;LS_previous!$D$3:$AY$3, 0)),SUM(VLOOKUP($A9, LS_previous!$B$4:$AY$138, LS_previous!R$149, FALSE), VLOOKUP('Staging Table'!$A9, LS_previous!$B$4:$AY$138,LS_previous!AP$149, FALSE))/2)</f>
        <v>-5130.815327046017</v>
      </c>
      <c r="AA9" s="180">
        <f t="array" ref="AA9">IF($G9=0, INDEX(LS_previous!$D$4:$AY$138, MATCH('Staging Table'!$A9, LS_previous!$B$4:$B$138, 0), MATCH(AA$4&amp;AA$5, LS_previous!$D$2:$AY$2&amp;LS_previous!$D$3:$AY$3, 0)),SUM(VLOOKUP($A9, LS_previous!$B$4:$AY$138, LS_previous!S$149, FALSE), VLOOKUP('Staging Table'!$A9, LS_previous!$B$4:$AY$138,LS_previous!AQ$149, FALSE))/2)</f>
        <v>2693.3714299746534</v>
      </c>
      <c r="AB9" s="180">
        <f t="array" ref="AB9">IF($G9=0, INDEX(LS_previous!$D$4:$AY$138, MATCH('Staging Table'!$A9, LS_previous!$B$4:$B$138, 0), MATCH(AB$4&amp;AB$5, LS_previous!$D$2:$AY$2&amp;LS_previous!$D$3:$AY$3, 0)),SUM(VLOOKUP($A9, LS_previous!$B$4:$AY$138, LS_previous!T$149, FALSE), VLOOKUP('Staging Table'!$A9, LS_previous!$B$4:$AY$138,LS_previous!AR$149, FALSE))/2)</f>
        <v>-3596.4182483566146</v>
      </c>
      <c r="AC9" s="180">
        <f t="array" ref="AC9">IF($G9=0, INDEX(LS_previous!$D$4:$AY$138, MATCH('Staging Table'!$A9, LS_previous!$B$4:$B$138, 0), MATCH(AC$4&amp;AC$5, LS_previous!$D$2:$AY$2&amp;LS_previous!$D$3:$AY$3, 0)),SUM(VLOOKUP($A9, LS_previous!$B$4:$AY$138, LS_previous!U$149, FALSE), VLOOKUP('Staging Table'!$A9, LS_previous!$B$4:$AY$138,LS_previous!AS$149, FALSE))/2)</f>
        <v>5414.7481254265585</v>
      </c>
      <c r="AD9" s="180">
        <f t="array" ref="AD9">IF($G9=0, INDEX(LS_previous!$D$4:$AY$138, MATCH('Staging Table'!$A9, LS_previous!$B$4:$B$138, 0), MATCH(AD$4&amp;AD$5, LS_previous!$D$2:$AY$2&amp;LS_previous!$D$3:$AY$3, 0)),SUM(VLOOKUP($A9, LS_previous!$B$4:$AY$138, LS_previous!V$149, FALSE), VLOOKUP('Staging Table'!$A9, LS_previous!$B$4:$AY$138,LS_previous!AT$149, FALSE))/2)</f>
        <v>3722.2105084230352</v>
      </c>
      <c r="AE9" s="180">
        <f t="array" ref="AE9">IF($G9=0, INDEX(LS_previous!$D$4:$AY$138, MATCH('Staging Table'!$A9, LS_previous!$B$4:$B$138, 0), MATCH(AE$4&amp;AE$5, LS_previous!$D$2:$AY$2&amp;LS_previous!$D$3:$AY$3, 0)),SUM(VLOOKUP($A9, LS_previous!$B$4:$AY$138, LS_previous!W$149, FALSE), VLOOKUP('Staging Table'!$A9, LS_previous!$B$4:$AY$138,LS_previous!AU$149, FALSE))/2)</f>
        <v>8188.6481615372777</v>
      </c>
      <c r="AF9" s="180">
        <f t="array" ref="AF9">IF($G9=0, INDEX(LS_previous!$D$4:$AY$138, MATCH('Staging Table'!$A9, LS_previous!$B$4:$B$138, 0), MATCH(AF$4&amp;AF$5, LS_previous!$D$2:$AY$2&amp;LS_previous!$D$3:$AY$3, 0)),SUM(VLOOKUP($A9, LS_previous!$B$4:$AY$138, LS_previous!X$149, FALSE), VLOOKUP('Staging Table'!$A9, LS_previous!$B$4:$AY$138,LS_previous!AV$149, FALSE))/2)</f>
        <v>3180.6526695888679</v>
      </c>
      <c r="AG9" s="180">
        <f t="array" ref="AG9">IF($G9=0, INDEX(LS_previous!$D$4:$AY$138, MATCH('Staging Table'!$A9, LS_previous!$B$4:$B$138, 0), MATCH(AG$4&amp;AG$5, LS_previous!$D$2:$AY$2&amp;LS_previous!$D$3:$AY$3, 0)),SUM(VLOOKUP($A9, LS_previous!$B$4:$AY$138, LS_previous!Y$149, FALSE), VLOOKUP('Staging Table'!$A9, LS_previous!$B$4:$AY$138,LS_previous!AW$149, FALSE))/2)</f>
        <v>5442.7439532677126</v>
      </c>
      <c r="AH9" s="180">
        <f t="array" ref="AH9">IF($G9=0, INDEX(LS_previous!$D$4:$AY$138, MATCH('Staging Table'!$A9, LS_previous!$B$4:$B$138, 0), MATCH(AH$4&amp;AH$5, LS_previous!$D$2:$AY$2&amp;LS_previous!$D$3:$AY$3, 0)),SUM(VLOOKUP($A9, LS_previous!$B$4:$AY$138, LS_previous!Z$149, FALSE), VLOOKUP('Staging Table'!$A9, LS_previous!$B$4:$AY$138,LS_previous!AX$149, FALSE))/2)</f>
        <v>-1330.0488274576674</v>
      </c>
      <c r="AI9" s="180">
        <f t="array" ref="AI9">IF($G9=0, INDEX(LS_previous!$D$4:$AY$138, MATCH('Staging Table'!$A9, LS_previous!$B$4:$B$138, 0), MATCH(AI$4&amp;AI$5, LS_previous!$D$2:$AY$2&amp;LS_previous!$D$3:$AY$3, 0)),SUM(VLOOKUP($A9, LS_previous!$B$4:$AY$138, LS_previous!AA$149, FALSE), VLOOKUP('Staging Table'!$A9, LS_previous!$B$4:$AY$138,LS_previous!AY$149, FALSE))/2)</f>
        <v>2928.1771229021469</v>
      </c>
      <c r="AJ9" s="298">
        <f t="array" ref="AJ9">INDEX(Demand_previous!$D$4:$AY$138, MATCH('Staging Table'!$A9, Demand_previous!$B$4:$B$138, 0), MATCH(AJ$4&amp;AJ$5,Demand_previous!$D$2:$AY$2&amp;Demand_previous!$D$3:$AY$3, 0))/1000</f>
        <v>0</v>
      </c>
      <c r="AK9" s="298">
        <f t="array" ref="AK9">INDEX(Demand_previous!$D$4:$AY$138, MATCH('Staging Table'!$A9, Demand_previous!$B$4:$B$138, 0), MATCH(AK$4&amp;AK$5,Demand_previous!$D$2:$AY$2&amp;Demand_previous!$D$3:$AY$3, 0))/1000</f>
        <v>0.37071500000000762</v>
      </c>
      <c r="AL9" s="298">
        <f t="array" ref="AL9">INDEX(Demand_previous!$D$4:$AY$138, MATCH('Staging Table'!$A9, Demand_previous!$B$4:$B$138, 0), MATCH(AL$4&amp;AL$5,Demand_previous!$D$2:$AY$2&amp;Demand_previous!$D$3:$AY$3, 0))/1000</f>
        <v>18.440516826923073</v>
      </c>
      <c r="AM9" s="298">
        <f t="array" ref="AM9">INDEX(Demand_previous!$D$4:$AY$138, MATCH('Staging Table'!$A9, Demand_previous!$B$4:$B$138, 0), MATCH(AM$4&amp;AM$5,Demand_previous!$D$2:$AY$2&amp;Demand_previous!$D$3:$AY$3, 0))/1000</f>
        <v>7.1598599999999948</v>
      </c>
      <c r="AN9" s="298">
        <f t="array" ref="AN9">INDEX(Demand_previous!$D$4:$AY$138, MATCH('Staging Table'!$A9, Demand_previous!$B$4:$B$138, 0), MATCH(AN$4&amp;AN$5,Demand_previous!$D$2:$AY$2&amp;Demand_previous!$D$3:$AY$3, 0))/1000</f>
        <v>0.10667708333333792</v>
      </c>
      <c r="AO9" s="298">
        <f t="array" ref="AO9">INDEX(Demand_previous!$D$4:$AY$138, MATCH('Staging Table'!$A9, Demand_previous!$B$4:$B$138, 0), MATCH(AO$4&amp;AO$5,Demand_previous!$D$2:$AY$2&amp;Demand_previous!$D$3:$AY$3, 0))/1000</f>
        <v>3.3888703703703733</v>
      </c>
      <c r="AP9" s="298">
        <f t="array" ref="AP9">INDEX(Demand_previous!$D$4:$AY$138, MATCH('Staging Table'!$A9, Demand_previous!$B$4:$B$138, 0), MATCH(AP$4&amp;AP$5,Demand_previous!$D$2:$AY$2&amp;Demand_previous!$D$3:$AY$3, 0))/1000</f>
        <v>0</v>
      </c>
      <c r="AQ9" s="298">
        <f t="array" ref="AQ9">INDEX(Demand_previous!$D$4:$AY$138, MATCH('Staging Table'!$A9, Demand_previous!$B$4:$B$138, 0), MATCH(AQ$4&amp;AQ$5,Demand_previous!$D$2:$AY$2&amp;Demand_previous!$D$3:$AY$3, 0))/1000</f>
        <v>1.0036500000000004</v>
      </c>
      <c r="AR9" s="298">
        <f t="array" ref="AR9">INDEX(Demand_previous!$D$4:$AY$138, MATCH('Staging Table'!$A9, Demand_previous!$B$4:$B$138, 0), MATCH(AR$4&amp;AR$5,Demand_previous!$D$2:$AY$2&amp;Demand_previous!$D$3:$AY$3, 0))/1000</f>
        <v>9.3062908653846144</v>
      </c>
      <c r="AS9" s="298">
        <f t="array" ref="AS9">INDEX(Demand_previous!$D$4:$AY$138, MATCH('Staging Table'!$A9, Demand_previous!$B$4:$B$138, 0), MATCH(AS$4&amp;AS$5,Demand_previous!$D$2:$AY$2&amp;Demand_previous!$D$3:$AY$3, 0))/1000</f>
        <v>14.186707500000006</v>
      </c>
      <c r="AT9" s="298">
        <f t="array" ref="AT9">INDEX(Demand_previous!$D$4:$AY$138, MATCH('Staging Table'!$A9, Demand_previous!$B$4:$B$138, 0), MATCH(AT$4&amp;AT$5,Demand_previous!$D$2:$AY$2&amp;Demand_previous!$D$3:$AY$3, 0))/1000</f>
        <v>18.338532407407399</v>
      </c>
      <c r="AU9" s="298">
        <f t="array" ref="AU9">INDEX(Demand_previous!$D$4:$AY$138, MATCH('Staging Table'!$A9, Demand_previous!$B$4:$B$138, 0), MATCH(AU$4&amp;AU$5,Demand_previous!$D$2:$AY$2&amp;Demand_previous!$D$3:$AY$3, 0))/1000</f>
        <v>8.1207750000000001</v>
      </c>
      <c r="AV9" s="180">
        <f>$F9*(VLOOKUP(AV$4, Rates_previous!$G$6:$Q$29, 10, FALSE)+VLOOKUP(AV$4, Rates_previous!$G$6:$Q$29, 11, FALSE))</f>
        <v>38471.553506605829</v>
      </c>
      <c r="AW9" s="180">
        <f>$F9*(VLOOKUP(AW$4, Rates_previous!$G$6:$Q$29, 10, FALSE)+VLOOKUP(AW$4, Rates_previous!$G$6:$Q$29, 11, FALSE))</f>
        <v>48706.382968121485</v>
      </c>
      <c r="AX9" s="180">
        <f>$F9*(VLOOKUP(AX$4, Rates_previous!$G$6:$Q$29, 10, FALSE)+VLOOKUP(AX$4, Rates_previous!$G$6:$Q$29, 11, FALSE))</f>
        <v>47673.818207972363</v>
      </c>
      <c r="AY9" s="180">
        <f>$F9*(VLOOKUP(AY$4, Rates_previous!$G$6:$Q$29, 10, FALSE)+VLOOKUP(AY$4, Rates_previous!$G$6:$Q$29, 11, FALSE))</f>
        <v>39376.54651820314</v>
      </c>
      <c r="AZ9" s="180">
        <f>$F9*(VLOOKUP(AZ$4, Rates_previous!$G$6:$Q$29, 10, FALSE)+VLOOKUP(AZ$4, Rates_previous!$G$6:$Q$29, 11, FALSE))</f>
        <v>34128.515886571389</v>
      </c>
      <c r="BA9" s="180">
        <f>$F9*(VLOOKUP(BA$4, Rates_previous!$G$6:$Q$29, 10, FALSE)+VLOOKUP(BA$4, Rates_previous!$G$6:$Q$29, 11, FALSE))</f>
        <v>40742.556081769348</v>
      </c>
      <c r="BB9" s="180">
        <f>$F9*(VLOOKUP(BB$4, Rates_previous!$G$6:$Q$29, 10, FALSE)+VLOOKUP(BB$4, Rates_previous!$G$6:$Q$29, 11, FALSE))</f>
        <v>31631.17078584461</v>
      </c>
      <c r="BC9" s="180">
        <f>$F9*(VLOOKUP(BC$4, Rates_previous!$G$6:$Q$29, 10, FALSE)+VLOOKUP(BC$4, Rates_previous!$G$6:$Q$29, 11, FALSE))</f>
        <v>43825.219897071365</v>
      </c>
      <c r="BD9" s="180">
        <f>$F9*(VLOOKUP(BD$4, Rates_previous!$G$6:$Q$29, 10, FALSE)+VLOOKUP(BD$4, Rates_previous!$G$6:$Q$29, 11, FALSE))</f>
        <v>46828.165122930048</v>
      </c>
      <c r="BE9" s="180">
        <f>$F9*(VLOOKUP(BE$4, Rates_previous!$G$6:$Q$29, 10, FALSE)+VLOOKUP(BE$4, Rates_previous!$G$6:$Q$29, 11, FALSE))</f>
        <v>44461.222330039687</v>
      </c>
      <c r="BF9" s="180">
        <f>$F9*(VLOOKUP(BF$4, Rates_previous!$G$6:$Q$29, 10, FALSE)+VLOOKUP(BF$4, Rates_previous!$G$6:$Q$29, 11, FALSE))</f>
        <v>42968.341377143421</v>
      </c>
      <c r="BG9" s="180">
        <f>$F9*(VLOOKUP(BG$4, Rates_previous!$G$6:$Q$29, 10, FALSE)+VLOOKUP(BG$4, Rates_previous!$G$6:$Q$29, 11, FALSE))</f>
        <v>39707.226704555527</v>
      </c>
      <c r="BH9" s="298">
        <f>IF($D9=0,IF(C9=0, MAX(BJ9 - (VLOOKUP($A9,TOCA_previous!$A$2:$AI$137,MATCH("RHWM 2022",TOCA_previous!$A$2:$AI$2,0),FALSE)*$F$2*TOCA_previous!C6),0),0), 0)</f>
        <v>0</v>
      </c>
      <c r="BI9" s="192">
        <f>MIN(VLOOKUP($A9,TOCA_previous!$A$2:$AI$137,MATCH("TRL - NLSL - Existing Resource "&amp;$F$1,TOCA_previous!$A$2:$AI$2,0),FALSE)*$F$2,(VLOOKUP($A9,TOCA_previous!$A$2:$AI$137,MATCH("RHWM 2022",TOCA_previous!$A$2:$AI$2,0),FALSE)*$F$2))</f>
        <v>498522.83999999997</v>
      </c>
      <c r="BJ9" s="402">
        <f>SUM(L9:AI9)+(F9*RT1SC!$C$3*$F$2)</f>
        <v>479550.30850149185</v>
      </c>
      <c r="BK9" s="401">
        <f>VLOOKUP($A9,TOCA_previous!$A$2:$AI$137,MATCH("Above RHWM Not Served with LS "&amp;$F$1,TOCA_previous!$A$2:$AI$2,0),FALSE)*$F$2</f>
        <v>85471.319999999992</v>
      </c>
      <c r="BL9" s="402">
        <f t="shared" si="8"/>
        <v>-18972.53149850812</v>
      </c>
      <c r="BM9" s="401">
        <f>(VLOOKUP($A9,TOCA_previous!$A$2:$AI$137,MATCH("RHWM 2022",TOCA_previous!$A$2:$AI$2,0),FALSE)*$F$2) - $BI9</f>
        <v>0</v>
      </c>
      <c r="BN9" s="402">
        <f t="shared" si="9"/>
        <v>0</v>
      </c>
      <c r="BO9" s="401">
        <f t="shared" si="10"/>
        <v>0</v>
      </c>
      <c r="BP9" s="402">
        <f t="shared" si="11"/>
        <v>0</v>
      </c>
      <c r="BQ9" s="401">
        <f t="shared" si="2"/>
        <v>0</v>
      </c>
      <c r="BR9" s="108">
        <f>VLOOKUP($A9,TOCA_current!$A$2:$AI$137,MATCH(BR$4,TOCA_current!$A$2:$AI$2,0),FALSE)</f>
        <v>8.4463000000000003E-3</v>
      </c>
      <c r="BS9" s="108">
        <f>VLOOKUP($A9,TOCA_current!$A$2:$AI$137,MATCH(BS$4,TOCA_current!$A$2:$AI$2,0),FALSE)</f>
        <v>8.4463000000000003E-3</v>
      </c>
      <c r="BT9" s="189">
        <f t="shared" si="12"/>
        <v>0</v>
      </c>
      <c r="BU9" s="108">
        <f>VLOOKUP($A9,TOCA_current!A5:BG140,MATCH(BU$4,TOCA_current!$A$2:$BG$2,0),FALSE)</f>
        <v>5.9761645351078641E-2</v>
      </c>
      <c r="BV9" s="108">
        <f t="shared" si="3"/>
        <v>0</v>
      </c>
      <c r="BW9" s="108">
        <f t="shared" si="4"/>
        <v>0</v>
      </c>
      <c r="BX9" s="179">
        <f>VLOOKUP($A9,IRD!$A$4:$G$139, 7, FALSE)</f>
        <v>82900.857000000004</v>
      </c>
      <c r="BY9" s="180">
        <f t="array" ref="BY9">IF($BT9=0, INDEX(LS_current!$D$4:$AY$138, MATCH('Staging Table'!$A9, LS_current!$B$4:$B$138, 0), MATCH(BY$4&amp;BY$5, LS_current!$D$2:$AY$2&amp;LS_current!$D$3:$AY$3, 0)),SUM(VLOOKUP($A9, LS_current!$B$4:$AY$138, LS_current!D$148, FALSE), VLOOKUP($A9, LS_current!$B$4:$AY$138,LS_current!AB$148, FALSE))/2)</f>
        <v>2789.833938733198</v>
      </c>
      <c r="BZ9" s="180">
        <f t="array" ref="BZ9">IF($BT9=0, INDEX(LS_current!$D$4:$AY$138, MATCH('Staging Table'!$A9, LS_current!$B$4:$B$138, 0), MATCH(BZ$4&amp;BZ$5, LS_current!$D$2:$AY$2&amp;LS_current!$D$3:$AY$3, 0)),SUM(VLOOKUP($A9, LS_current!$B$4:$AY$138, LS_current!E$148, FALSE), VLOOKUP($A9, LS_current!$B$4:$AY$138,LS_current!AC$148, FALSE))/2)</f>
        <v>1935.940850509347</v>
      </c>
      <c r="CA9" s="180">
        <f t="array" ref="CA9">IF($BT9=0, INDEX(LS_current!$D$4:$AY$138, MATCH('Staging Table'!$A9, LS_current!$B$4:$B$138, 0), MATCH(CA$4&amp;CA$5, LS_current!$D$2:$AY$2&amp;LS_current!$D$3:$AY$3, 0)),SUM(VLOOKUP($A9, LS_current!$B$4:$AY$138, LS_current!F$148, FALSE), VLOOKUP($A9, LS_current!$B$4:$AY$138,LS_current!AD$148, FALSE))/2)</f>
        <v>-6993.525318486405</v>
      </c>
      <c r="CB9" s="180">
        <f t="array" ref="CB9">IF($BT9=0, INDEX(LS_current!$D$4:$AY$138, MATCH('Staging Table'!$A9, LS_current!$B$4:$B$138, 0), MATCH(CB$4&amp;CB$5, LS_current!$D$2:$AY$2&amp;LS_current!$D$3:$AY$3, 0)),SUM(VLOOKUP($A9, LS_current!$B$4:$AY$138, LS_current!G$148, FALSE), VLOOKUP($A9, LS_current!$B$4:$AY$138,LS_current!AE$148, FALSE))/2)</f>
        <v>-2257.331681015301</v>
      </c>
      <c r="CC9" s="180">
        <f t="array" ref="CC9">IF($BT9=0, INDEX(LS_current!$D$4:$AY$138, MATCH('Staging Table'!$A9, LS_current!$B$4:$B$138, 0), MATCH(CC$4&amp;CC$5, LS_current!$D$2:$AY$2&amp;LS_current!$D$3:$AY$3, 0)),SUM(VLOOKUP($A9, LS_current!$B$4:$AY$138, LS_current!H$148, FALSE), VLOOKUP($A9, LS_current!$B$4:$AY$138,LS_current!AF$148, FALSE))/2)</f>
        <v>-4763.3736973156992</v>
      </c>
      <c r="CD9" s="180">
        <f t="array" ref="CD9">IF($BT9=0, INDEX(LS_current!$D$4:$AY$138, MATCH('Staging Table'!$A9, LS_current!$B$4:$B$138, 0), MATCH(CD$4&amp;CD$5, LS_current!$D$2:$AY$2&amp;LS_current!$D$3:$AY$3, 0)),SUM(VLOOKUP($A9, LS_current!$B$4:$AY$138, LS_current!I$148, FALSE), VLOOKUP($A9, LS_current!$B$4:$AY$138,LS_current!AG$148, FALSE))/2)</f>
        <v>-173.91555452479952</v>
      </c>
      <c r="CE9" s="180">
        <f t="array" ref="CE9">IF($BT9=0, INDEX(LS_current!$D$4:$AY$138, MATCH('Staging Table'!$A9, LS_current!$B$4:$B$138, 0), MATCH(CE$4&amp;CE$5, LS_current!$D$2:$AY$2&amp;LS_current!$D$3:$AY$3, 0)),SUM(VLOOKUP($A9, LS_current!$B$4:$AY$138, LS_current!J$148, FALSE), VLOOKUP($A9, LS_current!$B$4:$AY$138,LS_current!AH$148, FALSE))/2)</f>
        <v>-7032.1569324044976</v>
      </c>
      <c r="CF9" s="180">
        <f t="array" ref="CF9">IF($BT9=0, INDEX(LS_current!$D$4:$AY$138, MATCH('Staging Table'!$A9, LS_current!$B$4:$B$138, 0), MATCH(CF$4&amp;CF$5, LS_current!$D$2:$AY$2&amp;LS_current!$D$3:$AY$3, 0)),SUM(VLOOKUP($A9, LS_current!$B$4:$AY$138, LS_current!K$148, FALSE), VLOOKUP($A9, LS_current!$B$4:$AY$138,LS_current!AI$148, FALSE))/2)</f>
        <v>-815.40423434270269</v>
      </c>
      <c r="CG9" s="180">
        <f t="array" ref="CG9">IF($BT9=0, INDEX(LS_current!$D$4:$AY$138, MATCH('Staging Table'!$A9, LS_current!$B$4:$B$138, 0), MATCH(CG$4&amp;CG$5, LS_current!$D$2:$AY$2&amp;LS_current!$D$3:$AY$3, 0)),SUM(VLOOKUP($A9, LS_current!$B$4:$AY$138, LS_current!L$148, FALSE), VLOOKUP($A9, LS_current!$B$4:$AY$138,LS_current!AJ$148, FALSE))/2)</f>
        <v>-9184.5831927977015</v>
      </c>
      <c r="CH9" s="180">
        <f t="array" ref="CH9">IF($BT9=0, INDEX(LS_current!$D$4:$AY$138, MATCH('Staging Table'!$A9, LS_current!$B$4:$B$138, 0), MATCH(CH$4&amp;CH$5, LS_current!$D$2:$AY$2&amp;LS_current!$D$3:$AY$3, 0)),SUM(VLOOKUP($A9, LS_current!$B$4:$AY$138, LS_current!M$148, FALSE), VLOOKUP($A9, LS_current!$B$4:$AY$138,LS_current!AK$148, FALSE))/2)</f>
        <v>-2288.7459163017011</v>
      </c>
      <c r="CI9" s="180">
        <f t="array" ref="CI9">IF($BT9=0, INDEX(LS_current!$D$4:$AY$138, MATCH('Staging Table'!$A9, LS_current!$B$4:$B$138, 0), MATCH(CI$4&amp;CI$5, LS_current!$D$2:$AY$2&amp;LS_current!$D$3:$AY$3, 0)),SUM(VLOOKUP($A9, LS_current!$B$4:$AY$138, LS_current!N$148, FALSE), VLOOKUP($A9, LS_current!$B$4:$AY$138,LS_current!AL$148, FALSE))/2)</f>
        <v>-9057.7798041319002</v>
      </c>
      <c r="CJ9" s="180">
        <f t="array" ref="CJ9">IF($BT9=0, INDEX(LS_current!$D$4:$AY$138, MATCH('Staging Table'!$A9, LS_current!$B$4:$B$138, 0), MATCH(CJ$4&amp;CJ$5, LS_current!$D$2:$AY$2&amp;LS_current!$D$3:$AY$3, 0)),SUM(VLOOKUP($A9, LS_current!$B$4:$AY$138, LS_current!O$148, FALSE), VLOOKUP($A9, LS_current!$B$4:$AY$138,LS_current!AM$148, FALSE))/2)</f>
        <v>-4856.680263521399</v>
      </c>
      <c r="CK9" s="180">
        <f t="array" ref="CK9">IF($BT9=0, INDEX(LS_current!$D$4:$AY$138, MATCH('Staging Table'!$A9, LS_current!$B$4:$B$138, 0), MATCH(CK$4&amp;CK$5, LS_current!$D$2:$AY$2&amp;LS_current!$D$3:$AY$3, 0)),SUM(VLOOKUP($A9, LS_current!$B$4:$AY$138, LS_current!P$148, FALSE), VLOOKUP($A9, LS_current!$B$4:$AY$138,LS_current!AN$148, FALSE))/2)</f>
        <v>-3041.4578110982475</v>
      </c>
      <c r="CL9" s="180">
        <f t="array" ref="CL9">IF($BT9=0, INDEX(LS_current!$D$4:$AY$138, MATCH('Staging Table'!$A9, LS_current!$B$4:$B$138, 0), MATCH(CL$4&amp;CL$5, LS_current!$D$2:$AY$2&amp;LS_current!$D$3:$AY$3, 0)),SUM(VLOOKUP($A9, LS_current!$B$4:$AY$138, LS_current!Q$148, FALSE), VLOOKUP($A9, LS_current!$B$4:$AY$138,LS_current!AO$148, FALSE))/2)</f>
        <v>-1330.2669619790249</v>
      </c>
      <c r="CM9" s="180">
        <f t="array" ref="CM9">IF($BT9=0, INDEX(LS_current!$D$4:$AY$138, MATCH('Staging Table'!$A9, LS_current!$B$4:$B$138, 0), MATCH(CM$4&amp;CM$5, LS_current!$D$2:$AY$2&amp;LS_current!$D$3:$AY$3, 0)),SUM(VLOOKUP($A9, LS_current!$B$4:$AY$138, LS_current!R$148, FALSE), VLOOKUP($A9, LS_current!$B$4:$AY$138,LS_current!AP$148, FALSE))/2)</f>
        <v>-2324.2766432624012</v>
      </c>
      <c r="CN9" s="180">
        <f t="array" ref="CN9">IF($BT9=0, INDEX(LS_current!$D$4:$AY$138, MATCH('Staging Table'!$A9, LS_current!$B$4:$B$138, 0), MATCH(CN$4&amp;CN$5, LS_current!$D$2:$AY$2&amp;LS_current!$D$3:$AY$3, 0)),SUM(VLOOKUP($A9, LS_current!$B$4:$AY$138, LS_current!S$148, FALSE), VLOOKUP($A9, LS_current!$B$4:$AY$138,LS_current!AQ$148, FALSE))/2)</f>
        <v>260.9447665614498</v>
      </c>
      <c r="CO9" s="180">
        <f t="array" ref="CO9">IF($BT9=0, INDEX(LS_current!$D$4:$AY$138, MATCH('Staging Table'!$A9, LS_current!$B$4:$B$138, 0), MATCH(CO$4&amp;CO$5, LS_current!$D$2:$AY$2&amp;LS_current!$D$3:$AY$3, 0)),SUM(VLOOKUP($A9, LS_current!$B$4:$AY$138, LS_current!T$148, FALSE), VLOOKUP($A9, LS_current!$B$4:$AY$138,LS_current!AR$148, FALSE))/2)</f>
        <v>1721.9760546261969</v>
      </c>
      <c r="CP9" s="180">
        <f t="array" ref="CP9">IF($BT9=0, INDEX(LS_current!$D$4:$AY$138, MATCH('Staging Table'!$A9, LS_current!$B$4:$B$138, 0), MATCH(CP$4&amp;CP$5, LS_current!$D$2:$AY$2&amp;LS_current!$D$3:$AY$3, 0)),SUM(VLOOKUP($A9, LS_current!$B$4:$AY$138, LS_current!U$148, FALSE), VLOOKUP($A9, LS_current!$B$4:$AY$138,LS_current!AS$148, FALSE))/2)</f>
        <v>2346.2941071766509</v>
      </c>
      <c r="CQ9" s="180">
        <f t="array" ref="CQ9">IF($BT9=0, INDEX(LS_current!$D$4:$AY$138, MATCH('Staging Table'!$A9, LS_current!$B$4:$B$138, 0), MATCH(CQ$4&amp;CQ$5, LS_current!$D$2:$AY$2&amp;LS_current!$D$3:$AY$3, 0)),SUM(VLOOKUP($A9, LS_current!$B$4:$AY$138, LS_current!V$148, FALSE), VLOOKUP($A9, LS_current!$B$4:$AY$138,LS_current!AT$148, FALSE))/2)</f>
        <v>9184.4066117267976</v>
      </c>
      <c r="CR9" s="180">
        <f t="array" ref="CR9">IF($BT9=0, INDEX(LS_current!$D$4:$AY$138, MATCH('Staging Table'!$A9, LS_current!$B$4:$B$138, 0), MATCH(CR$4&amp;CR$5, LS_current!$D$2:$AY$2&amp;LS_current!$D$3:$AY$3, 0)),SUM(VLOOKUP($A9, LS_current!$B$4:$AY$138, LS_current!W$148, FALSE), VLOOKUP($A9, LS_current!$B$4:$AY$138,LS_current!AU$148, FALSE))/2)</f>
        <v>9033.5082713467491</v>
      </c>
      <c r="CS9" s="180">
        <f t="array" ref="CS9">IF($BT9=0, INDEX(LS_current!$D$4:$AY$138, MATCH('Staging Table'!$A9, LS_current!$B$4:$B$138, 0), MATCH(CS$4&amp;CS$5, LS_current!$D$2:$AY$2&amp;LS_current!$D$3:$AY$3, 0)),SUM(VLOOKUP($A9, LS_current!$B$4:$AY$138, LS_current!X$148, FALSE), VLOOKUP($A9, LS_current!$B$4:$AY$138,LS_current!AV$148, FALSE))/2)</f>
        <v>8607.6017244595532</v>
      </c>
      <c r="CT9" s="180">
        <f t="array" ref="CT9">IF($BT9=0, INDEX(LS_current!$D$4:$AY$138, MATCH('Staging Table'!$A9, LS_current!$B$4:$B$138, 0), MATCH(CT$4&amp;CT$5, LS_current!$D$2:$AY$2&amp;LS_current!$D$3:$AY$3, 0)),SUM(VLOOKUP($A9, LS_current!$B$4:$AY$138, LS_current!Y$148, FALSE), VLOOKUP($A9, LS_current!$B$4:$AY$138,LS_current!AW$148, FALSE))/2)</f>
        <v>6212.8502561629466</v>
      </c>
      <c r="CU9" s="180">
        <f t="array" ref="CU9">IF($BT9=0, INDEX(LS_current!$D$4:$AY$138, MATCH('Staging Table'!$A9, LS_current!$B$4:$B$138, 0), MATCH(CU$4&amp;CU$5, LS_current!$D$2:$AY$2&amp;LS_current!$D$3:$AY$3, 0)),SUM(VLOOKUP($A9, LS_current!$B$4:$AY$138, LS_current!Z$148, FALSE), VLOOKUP($A9, LS_current!$B$4:$AY$138,LS_current!AX$148, FALSE))/2)</f>
        <v>3844.1768563137957</v>
      </c>
      <c r="CV9" s="180">
        <f t="array" ref="CV9">IF($BT9=0, INDEX(LS_current!$D$4:$AY$138, MATCH('Staging Table'!$A9, LS_current!$B$4:$B$138, 0), MATCH(CV$4&amp;CV$5, LS_current!$D$2:$AY$2&amp;LS_current!$D$3:$AY$3, 0)),SUM(VLOOKUP($A9, LS_current!$B$4:$AY$138, LS_current!AA$148, FALSE), VLOOKUP($A9, LS_current!$B$4:$AY$138,LS_current!AY$148, FALSE))/2)</f>
        <v>3786.9205368847997</v>
      </c>
      <c r="CW9" s="182">
        <f t="array" ref="CW9">INDEX(Demand_current!$D$4:$AY$138, MATCH($A9, Demand_current!$B$4:$B$138, 0), MATCH(CW$4&amp;CW$5,Demand_current!$D$2:$AY$2&amp;Demand_current!$D$3:$AY$3, 0))/1000</f>
        <v>0</v>
      </c>
      <c r="CX9" s="182">
        <f t="array" ref="CX9">INDEX(Demand_current!$D$4:$AY$138, MATCH($A9, Demand_current!$B$4:$B$138, 0), MATCH(CX$4&amp;CX$5,Demand_current!$D$2:$AY$2&amp;Demand_current!$D$3:$AY$3, 0))/1000</f>
        <v>0.37071500000000762</v>
      </c>
      <c r="CY9" s="182">
        <f t="array" ref="CY9">INDEX(Demand_current!$D$4:$AY$138, MATCH($A9, Demand_current!$B$4:$B$138, 0), MATCH(CY$4&amp;CY$5,Demand_current!$D$2:$AY$2&amp;Demand_current!$D$3:$AY$3, 0))/1000</f>
        <v>15.840737500000001</v>
      </c>
      <c r="CZ9" s="182">
        <f t="array" ref="CZ9">INDEX(Demand_current!$D$4:$AY$138, MATCH($A9, Demand_current!$B$4:$B$138, 0), MATCH(CZ$4&amp;CZ$5,Demand_current!$D$2:$AY$2&amp;Demand_current!$D$3:$AY$3, 0))/1000</f>
        <v>9.7242115384615317</v>
      </c>
      <c r="DA9" s="182">
        <f t="array" ref="DA9">INDEX(Demand_current!$D$4:$AY$138, MATCH($A9, Demand_current!$B$4:$B$138, 0), MATCH(DA$4&amp;DA$5,Demand_current!$D$2:$AY$2&amp;Demand_current!$D$3:$AY$3, 0))/1000</f>
        <v>2.268570000000004</v>
      </c>
      <c r="DB9" s="182">
        <f t="array" ref="DB9">INDEX(Demand_current!$D$4:$AY$138, MATCH($A9, Demand_current!$B$4:$B$138, 0), MATCH(DB$4&amp;DB$5,Demand_current!$D$2:$AY$2&amp;Demand_current!$D$3:$AY$3, 0))/1000</f>
        <v>1.4097115384615329</v>
      </c>
      <c r="DC9" s="182">
        <f t="array" ref="DC9">INDEX(Demand_current!$D$4:$AY$138, MATCH($A9, Demand_current!$B$4:$B$138, 0), MATCH(DC$4&amp;DC$5,Demand_current!$D$2:$AY$2&amp;Demand_current!$D$3:$AY$3, 0))/1000</f>
        <v>0</v>
      </c>
      <c r="DD9" s="182">
        <f t="array" ref="DD9">INDEX(Demand_current!$D$4:$AY$138, MATCH($A9, Demand_current!$B$4:$B$138, 0), MATCH(DD$4&amp;DD$5,Demand_current!$D$2:$AY$2&amp;Demand_current!$D$3:$AY$3, 0))/1000</f>
        <v>3.7251634615384503</v>
      </c>
      <c r="DE9" s="182">
        <f t="array" ref="DE9">INDEX(Demand_current!$D$4:$AY$138, MATCH($A9, Demand_current!$B$4:$B$138, 0), MATCH(DE$4&amp;DE$5,Demand_current!$D$2:$AY$2&amp;Demand_current!$D$3:$AY$3, 0))/1000</f>
        <v>6.0508225000000007</v>
      </c>
      <c r="DF9" s="182">
        <f t="array" ref="DF9">INDEX(Demand_current!$D$4:$AY$138, MATCH($A9, Demand_current!$B$4:$B$138, 0), MATCH(DF$4&amp;DF$5,Demand_current!$D$2:$AY$2&amp;Demand_current!$D$3:$AY$3, 0))/1000</f>
        <v>17.767295673076937</v>
      </c>
      <c r="DG9" s="182">
        <f t="array" ref="DG9">INDEX(Demand_current!$D$4:$AY$138, MATCH($A9, Demand_current!$B$4:$B$138, 0), MATCH(DG$4&amp;DG$5,Demand_current!$D$2:$AY$2&amp;Demand_current!$D$3:$AY$3, 0))/1000</f>
        <v>18.338532407407399</v>
      </c>
      <c r="DH9" s="182">
        <f t="array" ref="DH9">INDEX(Demand_current!$D$4:$AY$138, MATCH($A9, Demand_current!$B$4:$B$138, 0), MATCH(DH$4&amp;DH$5,Demand_current!$D$2:$AY$2&amp;Demand_current!$D$3:$AY$3, 0))/1000</f>
        <v>5.2130572916666633</v>
      </c>
      <c r="DI9" s="180">
        <f>$BS9*(VLOOKUP(DI$4, Rates_current!$G$6:$Q$29, 10, FALSE)+VLOOKUP(DI$4, Rates_current!$G$6:$Q$29, 11, FALSE))</f>
        <v>35633.282210757454</v>
      </c>
      <c r="DJ9" s="180">
        <f>$BS9*(VLOOKUP(DJ$4, Rates_current!$G$6:$Q$29, 10, FALSE)+VLOOKUP(DJ$4, Rates_current!$G$6:$Q$29, 11, FALSE))</f>
        <v>45444.184999501711</v>
      </c>
      <c r="DK9" s="180">
        <f>$BS9*(VLOOKUP(DK$4, Rates_current!$G$6:$Q$29, 10, FALSE)+VLOOKUP(DK$4, Rates_current!$G$6:$Q$29, 11, FALSE))</f>
        <v>49043.267251840509</v>
      </c>
      <c r="DL9" s="180">
        <f>$BS9*(VLOOKUP(DL$4, Rates_current!$G$6:$Q$29, 10, FALSE)+VLOOKUP(DL$4, Rates_current!$G$6:$Q$29, 11, FALSE))</f>
        <v>50963.536166747203</v>
      </c>
      <c r="DM9" s="180">
        <f>$BS9*(VLOOKUP(DM$4, Rates_current!$G$6:$Q$29, 10, FALSE)+VLOOKUP(DM$4, Rates_current!$G$6:$Q$29, 11, FALSE))</f>
        <v>43835.434109099398</v>
      </c>
      <c r="DN9" s="180">
        <f>$BS9*(VLOOKUP(DN$4, Rates_current!$G$6:$Q$29, 10, FALSE)+VLOOKUP(DN$4, Rates_current!$G$6:$Q$29, 11, FALSE))</f>
        <v>47859.6150676533</v>
      </c>
      <c r="DO9" s="180">
        <f>$BS9*(VLOOKUP(DO$4, Rates_current!$G$6:$Q$29, 10, FALSE)+VLOOKUP(DO$4, Rates_current!$G$6:$Q$29, 11, FALSE))</f>
        <v>37777.100773077276</v>
      </c>
      <c r="DP9" s="180">
        <f>$BS9*(VLOOKUP(DP$4, Rates_current!$G$6:$Q$29, 10, FALSE)+VLOOKUP(DP$4, Rates_current!$G$6:$Q$29, 11, FALSE))</f>
        <v>46867.55587670095</v>
      </c>
      <c r="DQ9" s="180">
        <f>$BS9*(VLOOKUP(DQ$4, Rates_current!$G$6:$Q$29, 10, FALSE)+VLOOKUP(DQ$4, Rates_current!$G$6:$Q$29, 11, FALSE))</f>
        <v>47884.464838197149</v>
      </c>
      <c r="DR9" s="180">
        <f>$BS9*(VLOOKUP(DR$4, Rates_current!$G$6:$Q$29, 10, FALSE)+VLOOKUP(DR$4, Rates_current!$G$6:$Q$29, 11, FALSE))</f>
        <v>41570.614116926452</v>
      </c>
      <c r="DS9" s="180">
        <f>$BS9*(VLOOKUP(DS$4, Rates_current!$G$6:$Q$29, 10, FALSE)+VLOOKUP(DS$4, Rates_current!$G$6:$Q$29, 11, FALSE))</f>
        <v>40187.734019377509</v>
      </c>
      <c r="DT9" s="180">
        <f>$BS9*(VLOOKUP(DT$4, Rates_current!$G$6:$Q$29, 10, FALSE)+VLOOKUP(DT$4, Rates_current!$G$6:$Q$29, 11, FALSE))</f>
        <v>36980.497606801408</v>
      </c>
      <c r="DU9" s="402">
        <f>IF(D9=0,IF(C9=0,MAX(0,DW9 - (VLOOKUP($A9,TOCA_current!$A$2:$AI$137,MATCH("RHWM 2024",TOCA_current!$A$2:$AI$2,0),FALSE)*$BS$2)), 0),0)</f>
        <v>0</v>
      </c>
      <c r="DV9" s="403">
        <f>MIN(VLOOKUP($A9,TOCA_current!$A$2:$AI$137,MATCH("TRL - NLSL - Existing Resource "&amp;$BS$1,TOCA_current!$A$2:$AI$2,0),FALSE)*$BS$2, VLOOKUP($A9,TOCA_current!$A$2:$AI$137,MATCH("RHWM 2024",TOCA_current!$A$2:$AI$2,0),FALSE)*$BS$2)</f>
        <v>524044.65600000002</v>
      </c>
      <c r="DW9" s="403">
        <f>SUM(BY9:CV9)+(BS9*RT1SC!$C$4*$BS$2)</f>
        <v>519652.24540212768</v>
      </c>
      <c r="DX9" s="403">
        <f>VLOOKUP($A9,TOCA_current!$A$2:$AI$137,MATCH("Above RHWM Not Served with LS "&amp;$BS$1,TOCA_current!$A$2:$AI$2,0),FALSE)*$BS$2</f>
        <v>45369.36</v>
      </c>
      <c r="DY9" s="403">
        <f t="shared" si="13"/>
        <v>-4392.4105978723383</v>
      </c>
      <c r="DZ9" s="403">
        <f>(VLOOKUP($A9,TOCA_current!$A$2:$AI$137,MATCH("RHWM 2024",TOCA_current!$A$2:$AI$2,0),FALSE)*$BS$2) - $DV9</f>
        <v>0</v>
      </c>
      <c r="EA9" s="403">
        <f t="shared" si="14"/>
        <v>0</v>
      </c>
      <c r="EB9" s="403">
        <f t="shared" si="15"/>
        <v>0</v>
      </c>
      <c r="EC9" s="403">
        <f t="shared" si="16"/>
        <v>0</v>
      </c>
      <c r="ED9" s="403">
        <f t="shared" si="17"/>
        <v>0</v>
      </c>
    </row>
    <row r="10" spans="1:134">
      <c r="A10" s="123">
        <v>10027</v>
      </c>
      <c r="B10" s="124" t="s">
        <v>11</v>
      </c>
      <c r="C10" s="232">
        <f>VLOOKUP(A10, TOCA_current!$A$3:$D$137, 4, FALSE)</f>
        <v>0</v>
      </c>
      <c r="D10" s="191">
        <v>0</v>
      </c>
      <c r="E10" s="107">
        <f>VLOOKUP($A10,TOCA_previous!$A$2:$AI$137,MATCH(E$4,TOCA_previous!$A$2:$AI$2,0),FALSE)</f>
        <v>8.6654000000000002E-3</v>
      </c>
      <c r="F10" s="108">
        <f>VLOOKUP($A10,TOCA_previous!$A$2:$AI$137,MATCH(F$4,TOCA_previous!$A$2:$AI$2,0),FALSE)</f>
        <v>8.6654000000000002E-3</v>
      </c>
      <c r="G10" s="108">
        <f t="shared" si="5"/>
        <v>0</v>
      </c>
      <c r="H10" s="108">
        <f>VLOOKUP($A10,TOCA_previous!$A$2:$AI$137,MATCH(H$4,TOCA_previous!$A$2:$AI$2,0),FALSE)</f>
        <v>7.9469999999999999E-2</v>
      </c>
      <c r="I10" s="108">
        <f t="shared" si="6"/>
        <v>0</v>
      </c>
      <c r="J10" s="108">
        <f t="shared" si="7"/>
        <v>0</v>
      </c>
      <c r="K10" s="179">
        <f>VLOOKUP(A10, IRD!$A$5:$C$139, 3, FALSE)</f>
        <v>209669.54</v>
      </c>
      <c r="L10" s="180">
        <f t="array" ref="L10">IF($G10=0, INDEX(LS_previous!$D$4:$AY$138, MATCH('Staging Table'!$A10, LS_previous!$B$4:$B$138, 0), MATCH(L$4&amp;L$5, LS_previous!$D$2:$AY$2&amp;LS_previous!$D$3:$AY$3, 0)),SUM(VLOOKUP($A10, LS_previous!$B$4:$AY$138, LS_previous!D$149, FALSE), VLOOKUP('Staging Table'!$A10, LS_previous!$B$4:$AY$138,LS_previous!AB$149, FALSE))/2)</f>
        <v>-4312.5579583059189</v>
      </c>
      <c r="M10" s="180">
        <f t="array" ref="M10">IF($G10=0, INDEX(LS_previous!$D$4:$AY$138, MATCH('Staging Table'!$A10, LS_previous!$B$4:$B$138, 0), MATCH(M$4&amp;M$5, LS_previous!$D$2:$AY$2&amp;LS_previous!$D$3:$AY$3, 0)),SUM(VLOOKUP($A10, LS_previous!$B$4:$AY$138, LS_previous!E$149, FALSE), VLOOKUP('Staging Table'!$A10, LS_previous!$B$4:$AY$138,LS_previous!AC$149, FALSE))/2)</f>
        <v>-199.32071737378101</v>
      </c>
      <c r="N10" s="180">
        <f t="array" ref="N10">IF($G10=0, INDEX(LS_previous!$D$4:$AY$138, MATCH('Staging Table'!$A10, LS_previous!$B$4:$B$138, 0), MATCH(N$4&amp;N$5, LS_previous!$D$2:$AY$2&amp;LS_previous!$D$3:$AY$3, 0)),SUM(VLOOKUP($A10, LS_previous!$B$4:$AY$138, LS_previous!F$149, FALSE), VLOOKUP('Staging Table'!$A10, LS_previous!$B$4:$AY$138,LS_previous!AD$149, FALSE))/2)</f>
        <v>-17555.404080931632</v>
      </c>
      <c r="O10" s="180">
        <f t="array" ref="O10">IF($G10=0, INDEX(LS_previous!$D$4:$AY$138, MATCH('Staging Table'!$A10, LS_previous!$B$4:$B$138, 0), MATCH(O$4&amp;O$5, LS_previous!$D$2:$AY$2&amp;LS_previous!$D$3:$AY$3, 0)),SUM(VLOOKUP($A10, LS_previous!$B$4:$AY$138, LS_previous!G$149, FALSE), VLOOKUP('Staging Table'!$A10, LS_previous!$B$4:$AY$138,LS_previous!AE$149, FALSE))/2)</f>
        <v>-9830.3011496507334</v>
      </c>
      <c r="P10" s="180">
        <f t="array" ref="P10">IF($G10=0, INDEX(LS_previous!$D$4:$AY$138, MATCH('Staging Table'!$A10, LS_previous!$B$4:$B$138, 0), MATCH(P$4&amp;P$5, LS_previous!$D$2:$AY$2&amp;LS_previous!$D$3:$AY$3, 0)),SUM(VLOOKUP($A10, LS_previous!$B$4:$AY$138, LS_previous!H$149, FALSE), VLOOKUP('Staging Table'!$A10, LS_previous!$B$4:$AY$138,LS_previous!AF$149, FALSE))/2)</f>
        <v>-11950.417803748473</v>
      </c>
      <c r="Q10" s="180">
        <f t="array" ref="Q10">IF($G10=0, INDEX(LS_previous!$D$4:$AY$138, MATCH('Staging Table'!$A10, LS_previous!$B$4:$B$138, 0), MATCH(Q$4&amp;Q$5, LS_previous!$D$2:$AY$2&amp;LS_previous!$D$3:$AY$3, 0)),SUM(VLOOKUP($A10, LS_previous!$B$4:$AY$138, LS_previous!I$149, FALSE), VLOOKUP('Staging Table'!$A10, LS_previous!$B$4:$AY$138,LS_previous!AG$149, FALSE))/2)</f>
        <v>-9289.952746839077</v>
      </c>
      <c r="R10" s="180">
        <f t="array" ref="R10">IF($G10=0, INDEX(LS_previous!$D$4:$AY$138, MATCH('Staging Table'!$A10, LS_previous!$B$4:$B$138, 0), MATCH(R$4&amp;R$5, LS_previous!$D$2:$AY$2&amp;LS_previous!$D$3:$AY$3, 0)),SUM(VLOOKUP($A10, LS_previous!$B$4:$AY$138, LS_previous!J$149, FALSE), VLOOKUP('Staging Table'!$A10, LS_previous!$B$4:$AY$138,LS_previous!AH$149, FALSE))/2)</f>
        <v>-6991.2989507697421</v>
      </c>
      <c r="S10" s="180">
        <f t="array" ref="S10">IF($G10=0, INDEX(LS_previous!$D$4:$AY$138, MATCH('Staging Table'!$A10, LS_previous!$B$4:$B$138, 0), MATCH(S$4&amp;S$5, LS_previous!$D$2:$AY$2&amp;LS_previous!$D$3:$AY$3, 0)),SUM(VLOOKUP($A10, LS_previous!$B$4:$AY$138, LS_previous!K$149, FALSE), VLOOKUP('Staging Table'!$A10, LS_previous!$B$4:$AY$138,LS_previous!AI$149, FALSE))/2)</f>
        <v>-6013.1467375396169</v>
      </c>
      <c r="T10" s="180">
        <f t="array" ref="T10">IF($G10=0, INDEX(LS_previous!$D$4:$AY$138, MATCH('Staging Table'!$A10, LS_previous!$B$4:$B$138, 0), MATCH(T$4&amp;T$5, LS_previous!$D$2:$AY$2&amp;LS_previous!$D$3:$AY$3, 0)),SUM(VLOOKUP($A10, LS_previous!$B$4:$AY$138, LS_previous!L$149, FALSE), VLOOKUP('Staging Table'!$A10, LS_previous!$B$4:$AY$138,LS_previous!AJ$149, FALSE))/2)</f>
        <v>-6793.2535802585553</v>
      </c>
      <c r="U10" s="180">
        <f t="array" ref="U10">IF($G10=0, INDEX(LS_previous!$D$4:$AY$138, MATCH('Staging Table'!$A10, LS_previous!$B$4:$B$138, 0), MATCH(U$4&amp;U$5, LS_previous!$D$2:$AY$2&amp;LS_previous!$D$3:$AY$3, 0)),SUM(VLOOKUP($A10, LS_previous!$B$4:$AY$138, LS_previous!M$149, FALSE), VLOOKUP('Staging Table'!$A10, LS_previous!$B$4:$AY$138,LS_previous!AK$149, FALSE))/2)</f>
        <v>-5379.5821729961426</v>
      </c>
      <c r="V10" s="180">
        <f t="array" ref="V10">IF($G10=0, INDEX(LS_previous!$D$4:$AY$138, MATCH('Staging Table'!$A10, LS_previous!$B$4:$B$138, 0), MATCH(V$4&amp;V$5, LS_previous!$D$2:$AY$2&amp;LS_previous!$D$3:$AY$3, 0)),SUM(VLOOKUP($A10, LS_previous!$B$4:$AY$138, LS_previous!N$149, FALSE), VLOOKUP('Staging Table'!$A10, LS_previous!$B$4:$AY$138,LS_previous!AL$149, FALSE))/2)</f>
        <v>-13829.51584831467</v>
      </c>
      <c r="W10" s="180">
        <f t="array" ref="W10">IF($G10=0, INDEX(LS_previous!$D$4:$AY$138, MATCH('Staging Table'!$A10, LS_previous!$B$4:$B$138, 0), MATCH(W$4&amp;W$5, LS_previous!$D$2:$AY$2&amp;LS_previous!$D$3:$AY$3, 0)),SUM(VLOOKUP($A10, LS_previous!$B$4:$AY$138, LS_previous!O$149, FALSE), VLOOKUP('Staging Table'!$A10, LS_previous!$B$4:$AY$138,LS_previous!AM$149, FALSE))/2)</f>
        <v>-8372.2371591384635</v>
      </c>
      <c r="X10" s="180">
        <f t="array" ref="X10">IF($G10=0, INDEX(LS_previous!$D$4:$AY$138, MATCH('Staging Table'!$A10, LS_previous!$B$4:$B$138, 0), MATCH(X$4&amp;X$5, LS_previous!$D$2:$AY$2&amp;LS_previous!$D$3:$AY$3, 0)),SUM(VLOOKUP($A10, LS_previous!$B$4:$AY$138, LS_previous!P$149, FALSE), VLOOKUP('Staging Table'!$A10, LS_previous!$B$4:$AY$138,LS_previous!AN$149, FALSE))/2)</f>
        <v>-2662.9105511651505</v>
      </c>
      <c r="Y10" s="180">
        <f t="array" ref="Y10">IF($G10=0, INDEX(LS_previous!$D$4:$AY$138, MATCH('Staging Table'!$A10, LS_previous!$B$4:$B$138, 0), MATCH(Y$4&amp;Y$5, LS_previous!$D$2:$AY$2&amp;LS_previous!$D$3:$AY$3, 0)),SUM(VLOOKUP($A10, LS_previous!$B$4:$AY$138, LS_previous!Q$149, FALSE), VLOOKUP('Staging Table'!$A10, LS_previous!$B$4:$AY$138,LS_previous!AO$149, FALSE))/2)</f>
        <v>-1123.3256684913213</v>
      </c>
      <c r="Z10" s="180">
        <f t="array" ref="Z10">IF($G10=0, INDEX(LS_previous!$D$4:$AY$138, MATCH('Staging Table'!$A10, LS_previous!$B$4:$B$138, 0), MATCH(Z$4&amp;Z$5, LS_previous!$D$2:$AY$2&amp;LS_previous!$D$3:$AY$3, 0)),SUM(VLOOKUP($A10, LS_previous!$B$4:$AY$138, LS_previous!R$149, FALSE), VLOOKUP('Staging Table'!$A10, LS_previous!$B$4:$AY$138,LS_previous!AP$149, FALSE))/2)</f>
        <v>4635.6023897982268</v>
      </c>
      <c r="AA10" s="180">
        <f t="array" ref="AA10">IF($G10=0, INDEX(LS_previous!$D$4:$AY$138, MATCH('Staging Table'!$A10, LS_previous!$B$4:$B$138, 0), MATCH(AA$4&amp;AA$5, LS_previous!$D$2:$AY$2&amp;LS_previous!$D$3:$AY$3, 0)),SUM(VLOOKUP($A10, LS_previous!$B$4:$AY$138, LS_previous!S$149, FALSE), VLOOKUP('Staging Table'!$A10, LS_previous!$B$4:$AY$138,LS_previous!AQ$149, FALSE))/2)</f>
        <v>11355.826820419317</v>
      </c>
      <c r="AB10" s="180">
        <f t="array" ref="AB10">IF($G10=0, INDEX(LS_previous!$D$4:$AY$138, MATCH('Staging Table'!$A10, LS_previous!$B$4:$B$138, 0), MATCH(AB$4&amp;AB$5, LS_previous!$D$2:$AY$2&amp;LS_previous!$D$3:$AY$3, 0)),SUM(VLOOKUP($A10, LS_previous!$B$4:$AY$138, LS_previous!T$149, FALSE), VLOOKUP('Staging Table'!$A10, LS_previous!$B$4:$AY$138,LS_previous!AR$149, FALSE))/2)</f>
        <v>12719.365136374363</v>
      </c>
      <c r="AC10" s="180">
        <f t="array" ref="AC10">IF($G10=0, INDEX(LS_previous!$D$4:$AY$138, MATCH('Staging Table'!$A10, LS_previous!$B$4:$B$138, 0), MATCH(AC$4&amp;AC$5, LS_previous!$D$2:$AY$2&amp;LS_previous!$D$3:$AY$3, 0)),SUM(VLOOKUP($A10, LS_previous!$B$4:$AY$138, LS_previous!U$149, FALSE), VLOOKUP('Staging Table'!$A10, LS_previous!$B$4:$AY$138,LS_previous!AS$149, FALSE))/2)</f>
        <v>18531.621351286849</v>
      </c>
      <c r="AD10" s="180">
        <f t="array" ref="AD10">IF($G10=0, INDEX(LS_previous!$D$4:$AY$138, MATCH('Staging Table'!$A10, LS_previous!$B$4:$B$138, 0), MATCH(AD$4&amp;AD$5, LS_previous!$D$2:$AY$2&amp;LS_previous!$D$3:$AY$3, 0)),SUM(VLOOKUP($A10, LS_previous!$B$4:$AY$138, LS_previous!V$149, FALSE), VLOOKUP('Staging Table'!$A10, LS_previous!$B$4:$AY$138,LS_previous!AT$149, FALSE))/2)</f>
        <v>15842.036742411103</v>
      </c>
      <c r="AE10" s="180">
        <f t="array" ref="AE10">IF($G10=0, INDEX(LS_previous!$D$4:$AY$138, MATCH('Staging Table'!$A10, LS_previous!$B$4:$B$138, 0), MATCH(AE$4&amp;AE$5, LS_previous!$D$2:$AY$2&amp;LS_previous!$D$3:$AY$3, 0)),SUM(VLOOKUP($A10, LS_previous!$B$4:$AY$138, LS_previous!W$149, FALSE), VLOOKUP('Staging Table'!$A10, LS_previous!$B$4:$AY$138,LS_previous!AU$149, FALSE))/2)</f>
        <v>19190.060210864714</v>
      </c>
      <c r="AF10" s="180">
        <f t="array" ref="AF10">IF($G10=0, INDEX(LS_previous!$D$4:$AY$138, MATCH('Staging Table'!$A10, LS_previous!$B$4:$B$138, 0), MATCH(AF$4&amp;AF$5, LS_previous!$D$2:$AY$2&amp;LS_previous!$D$3:$AY$3, 0)),SUM(VLOOKUP($A10, LS_previous!$B$4:$AY$138, LS_previous!X$149, FALSE), VLOOKUP('Staging Table'!$A10, LS_previous!$B$4:$AY$138,LS_previous!AV$149, FALSE))/2)</f>
        <v>11835.880329575681</v>
      </c>
      <c r="AG10" s="180">
        <f t="array" ref="AG10">IF($G10=0, INDEX(LS_previous!$D$4:$AY$138, MATCH('Staging Table'!$A10, LS_previous!$B$4:$B$138, 0), MATCH(AG$4&amp;AG$5, LS_previous!$D$2:$AY$2&amp;LS_previous!$D$3:$AY$3, 0)),SUM(VLOOKUP($A10, LS_previous!$B$4:$AY$138, LS_previous!Y$149, FALSE), VLOOKUP('Staging Table'!$A10, LS_previous!$B$4:$AY$138,LS_previous!AW$149, FALSE))/2)</f>
        <v>13559.993228012079</v>
      </c>
      <c r="AH10" s="180">
        <f t="array" ref="AH10">IF($G10=0, INDEX(LS_previous!$D$4:$AY$138, MATCH('Staging Table'!$A10, LS_previous!$B$4:$B$138, 0), MATCH(AH$4&amp;AH$5, LS_previous!$D$2:$AY$2&amp;LS_previous!$D$3:$AY$3, 0)),SUM(VLOOKUP($A10, LS_previous!$B$4:$AY$138, LS_previous!Z$149, FALSE), VLOOKUP('Staging Table'!$A10, LS_previous!$B$4:$AY$138,LS_previous!AX$149, FALSE))/2)</f>
        <v>3916.5106548944568</v>
      </c>
      <c r="AI10" s="180">
        <f t="array" ref="AI10">IF($G10=0, INDEX(LS_previous!$D$4:$AY$138, MATCH('Staging Table'!$A10, LS_previous!$B$4:$B$138, 0), MATCH(AI$4&amp;AI$5, LS_previous!$D$2:$AY$2&amp;LS_previous!$D$3:$AY$3, 0)),SUM(VLOOKUP($A10, LS_previous!$B$4:$AY$138, LS_previous!AA$149, FALSE), VLOOKUP('Staging Table'!$A10, LS_previous!$B$4:$AY$138,LS_previous!AY$149, FALSE))/2)</f>
        <v>7669.3657790952002</v>
      </c>
      <c r="AJ10" s="298">
        <f t="array" ref="AJ10">INDEX(Demand_previous!$D$4:$AY$138, MATCH('Staging Table'!$A10, Demand_previous!$B$4:$B$138, 0), MATCH(AJ$4&amp;AJ$5,Demand_previous!$D$2:$AY$2&amp;Demand_previous!$D$3:$AY$3, 0))/1000</f>
        <v>11.454822115384601</v>
      </c>
      <c r="AK10" s="298">
        <f t="array" ref="AK10">INDEX(Demand_previous!$D$4:$AY$138, MATCH('Staging Table'!$A10, Demand_previous!$B$4:$B$138, 0), MATCH(AK$4&amp;AK$5,Demand_previous!$D$2:$AY$2&amp;Demand_previous!$D$3:$AY$3, 0))/1000</f>
        <v>5.3642349999999972</v>
      </c>
      <c r="AL10" s="298">
        <f t="array" ref="AL10">INDEX(Demand_previous!$D$4:$AY$138, MATCH('Staging Table'!$A10, Demand_previous!$B$4:$B$138, 0), MATCH(AL$4&amp;AL$5,Demand_previous!$D$2:$AY$2&amp;Demand_previous!$D$3:$AY$3, 0))/1000</f>
        <v>10.355766826923077</v>
      </c>
      <c r="AM10" s="298">
        <f t="array" ref="AM10">INDEX(Demand_previous!$D$4:$AY$138, MATCH('Staging Table'!$A10, Demand_previous!$B$4:$B$138, 0), MATCH(AM$4&amp;AM$5,Demand_previous!$D$2:$AY$2&amp;Demand_previous!$D$3:$AY$3, 0))/1000</f>
        <v>4.193750000000005</v>
      </c>
      <c r="AN10" s="298">
        <f t="array" ref="AN10">INDEX(Demand_previous!$D$4:$AY$138, MATCH('Staging Table'!$A10, Demand_previous!$B$4:$B$138, 0), MATCH(AN$4&amp;AN$5,Demand_previous!$D$2:$AY$2&amp;Demand_previous!$D$3:$AY$3, 0))/1000</f>
        <v>1.3840130208333292</v>
      </c>
      <c r="AO10" s="298">
        <f t="array" ref="AO10">INDEX(Demand_previous!$D$4:$AY$138, MATCH('Staging Table'!$A10, Demand_previous!$B$4:$B$138, 0), MATCH(AO$4&amp;AO$5,Demand_previous!$D$2:$AY$2&amp;Demand_previous!$D$3:$AY$3, 0))/1000</f>
        <v>8.9358379629629567</v>
      </c>
      <c r="AP10" s="298">
        <f t="array" ref="AP10">INDEX(Demand_previous!$D$4:$AY$138, MATCH('Staging Table'!$A10, Demand_previous!$B$4:$B$138, 0), MATCH(AP$4&amp;AP$5,Demand_previous!$D$2:$AY$2&amp;Demand_previous!$D$3:$AY$3, 0))/1000</f>
        <v>27.858218749999995</v>
      </c>
      <c r="AQ10" s="298">
        <f t="array" ref="AQ10">INDEX(Demand_previous!$D$4:$AY$138, MATCH('Staging Table'!$A10, Demand_previous!$B$4:$B$138, 0), MATCH(AQ$4&amp;AQ$5,Demand_previous!$D$2:$AY$2&amp;Demand_previous!$D$3:$AY$3, 0))/1000</f>
        <v>8.8026874999999976</v>
      </c>
      <c r="AR10" s="298">
        <f t="array" ref="AR10">INDEX(Demand_previous!$D$4:$AY$138, MATCH('Staging Table'!$A10, Demand_previous!$B$4:$B$138, 0), MATCH(AR$4&amp;AR$5,Demand_previous!$D$2:$AY$2&amp;Demand_previous!$D$3:$AY$3, 0))/1000</f>
        <v>6.8758701923076764</v>
      </c>
      <c r="AS10" s="298">
        <f t="array" ref="AS10">INDEX(Demand_previous!$D$4:$AY$138, MATCH('Staging Table'!$A10, Demand_previous!$B$4:$B$138, 0), MATCH(AS$4&amp;AS$5,Demand_previous!$D$2:$AY$2&amp;Demand_previous!$D$3:$AY$3, 0))/1000</f>
        <v>10.107990000000008</v>
      </c>
      <c r="AT10" s="298">
        <f t="array" ref="AT10">INDEX(Demand_previous!$D$4:$AY$138, MATCH('Staging Table'!$A10, Demand_previous!$B$4:$B$138, 0), MATCH(AT$4&amp;AT$5,Demand_previous!$D$2:$AY$2&amp;Demand_previous!$D$3:$AY$3, 0))/1000</f>
        <v>23.605553240740743</v>
      </c>
      <c r="AU10" s="298">
        <f t="array" ref="AU10">INDEX(Demand_previous!$D$4:$AY$138, MATCH('Staging Table'!$A10, Demand_previous!$B$4:$B$138, 0), MATCH(AU$4&amp;AU$5,Demand_previous!$D$2:$AY$2&amp;Demand_previous!$D$3:$AY$3, 0))/1000</f>
        <v>13.691047499999994</v>
      </c>
      <c r="AV10" s="180">
        <f>$F10*(VLOOKUP(AV$4, Rates_previous!$G$6:$Q$29, 10, FALSE)+VLOOKUP(AV$4, Rates_previous!$G$6:$Q$29, 11, FALSE))</f>
        <v>39461.576675679702</v>
      </c>
      <c r="AW10" s="180">
        <f>$F10*(VLOOKUP(AW$4, Rates_previous!$G$6:$Q$29, 10, FALSE)+VLOOKUP(AW$4, Rates_previous!$G$6:$Q$29, 11, FALSE))</f>
        <v>49959.788230582373</v>
      </c>
      <c r="AX10" s="180">
        <f>$F10*(VLOOKUP(AX$4, Rates_previous!$G$6:$Q$29, 10, FALSE)+VLOOKUP(AX$4, Rates_previous!$G$6:$Q$29, 11, FALSE))</f>
        <v>48900.651550587558</v>
      </c>
      <c r="AY10" s="180">
        <f>$F10*(VLOOKUP(AY$4, Rates_previous!$G$6:$Q$29, 10, FALSE)+VLOOKUP(AY$4, Rates_previous!$G$6:$Q$29, 11, FALSE))</f>
        <v>40389.858688309359</v>
      </c>
      <c r="AZ10" s="180">
        <f>$F10*(VLOOKUP(AZ$4, Rates_previous!$G$6:$Q$29, 10, FALSE)+VLOOKUP(AZ$4, Rates_previous!$G$6:$Q$29, 11, FALSE))</f>
        <v>35006.775753254704</v>
      </c>
      <c r="BA10" s="180">
        <f>$F10*(VLOOKUP(BA$4, Rates_previous!$G$6:$Q$29, 10, FALSE)+VLOOKUP(BA$4, Rates_previous!$G$6:$Q$29, 11, FALSE))</f>
        <v>41791.021007453135</v>
      </c>
      <c r="BB10" s="180">
        <f>$F10*(VLOOKUP(BB$4, Rates_previous!$G$6:$Q$29, 10, FALSE)+VLOOKUP(BB$4, Rates_previous!$G$6:$Q$29, 11, FALSE))</f>
        <v>32445.164219656472</v>
      </c>
      <c r="BC10" s="180">
        <f>$F10*(VLOOKUP(BC$4, Rates_previous!$G$6:$Q$29, 10, FALSE)+VLOOKUP(BC$4, Rates_previous!$G$6:$Q$29, 11, FALSE))</f>
        <v>44953.013789782453</v>
      </c>
      <c r="BD10" s="180">
        <f>$F10*(VLOOKUP(BD$4, Rates_previous!$G$6:$Q$29, 10, FALSE)+VLOOKUP(BD$4, Rates_previous!$G$6:$Q$29, 11, FALSE))</f>
        <v>48033.236512338786</v>
      </c>
      <c r="BE10" s="180">
        <f>$F10*(VLOOKUP(BE$4, Rates_previous!$G$6:$Q$29, 10, FALSE)+VLOOKUP(BE$4, Rates_previous!$G$6:$Q$29, 11, FALSE))</f>
        <v>45605.383046724179</v>
      </c>
      <c r="BF10" s="180">
        <f>$F10*(VLOOKUP(BF$4, Rates_previous!$G$6:$Q$29, 10, FALSE)+VLOOKUP(BF$4, Rates_previous!$G$6:$Q$29, 11, FALSE))</f>
        <v>44074.084442412241</v>
      </c>
      <c r="BG10" s="180">
        <f>$F10*(VLOOKUP(BG$4, Rates_previous!$G$6:$Q$29, 10, FALSE)+VLOOKUP(BG$4, Rates_previous!$G$6:$Q$29, 11, FALSE))</f>
        <v>40729.048566010344</v>
      </c>
      <c r="BH10" s="298">
        <f>IF($D10=0,IF(C10=0, MAX(BJ10 - (VLOOKUP($A10,TOCA_previous!$A$2:$AI$137,MATCH("RHWM 2022",TOCA_previous!$A$2:$AI$2,0),FALSE)*$F$2*TOCA_previous!C7),0),0), 0)</f>
        <v>14955.186157744844</v>
      </c>
      <c r="BI10" s="192">
        <f>MIN(VLOOKUP($A10,TOCA_previous!$A$2:$AI$137,MATCH("TRL - NLSL - Existing Resource "&amp;$F$1,TOCA_previous!$A$2:$AI$2,0),FALSE)*$F$2,(VLOOKUP($A10,TOCA_previous!$A$2:$AI$137,MATCH("RHWM 2022",TOCA_previous!$A$2:$AI$2,0),FALSE)*$F$2))</f>
        <v>511347.48</v>
      </c>
      <c r="BJ10" s="402">
        <f>SUM(L10:AI10)+(F10*RT1SC!$C$3*$F$2)</f>
        <v>526302.66615774482</v>
      </c>
      <c r="BK10" s="401">
        <f>VLOOKUP($A10,TOCA_previous!$A$2:$AI$137,MATCH("Above RHWM Not Served with LS "&amp;$F$1,TOCA_previous!$A$2:$AI$2,0),FALSE)*$F$2</f>
        <v>69177.72</v>
      </c>
      <c r="BL10" s="402">
        <f t="shared" si="8"/>
        <v>14955.186157744844</v>
      </c>
      <c r="BM10" s="401">
        <f>(VLOOKUP($A10,TOCA_previous!$A$2:$AI$137,MATCH("RHWM 2022",TOCA_previous!$A$2:$AI$2,0),FALSE)*$F$2) - $BI10</f>
        <v>0</v>
      </c>
      <c r="BN10" s="402">
        <f t="shared" si="9"/>
        <v>0</v>
      </c>
      <c r="BO10" s="401">
        <f t="shared" si="10"/>
        <v>0</v>
      </c>
      <c r="BP10" s="402">
        <f t="shared" si="11"/>
        <v>0</v>
      </c>
      <c r="BQ10" s="401">
        <f t="shared" si="2"/>
        <v>0</v>
      </c>
      <c r="BR10" s="108">
        <f>VLOOKUP($A10,TOCA_current!$A$2:$AI$137,MATCH(BR$4,TOCA_current!$A$2:$AI$2,0),FALSE)</f>
        <v>8.6636000000000005E-3</v>
      </c>
      <c r="BS10" s="108">
        <f>VLOOKUP($A10,TOCA_current!$A$2:$AI$137,MATCH(BS$4,TOCA_current!$A$2:$AI$2,0),FALSE)</f>
        <v>8.6636000000000005E-3</v>
      </c>
      <c r="BT10" s="189">
        <f t="shared" si="12"/>
        <v>0</v>
      </c>
      <c r="BU10" s="108">
        <f>VLOOKUP($A10,TOCA_current!A6:BG141,MATCH(BU$4,TOCA_current!$A$2:$BG$2,0),FALSE)</f>
        <v>7.7546328071379553E-2</v>
      </c>
      <c r="BV10" s="108">
        <f t="shared" si="3"/>
        <v>0</v>
      </c>
      <c r="BW10" s="108">
        <f t="shared" si="4"/>
        <v>0</v>
      </c>
      <c r="BX10" s="179">
        <f>VLOOKUP($A10,IRD!$A$4:$G$139, 7, FALSE)</f>
        <v>209669.54</v>
      </c>
      <c r="BY10" s="180">
        <f t="array" ref="BY10">IF($BT10=0, INDEX(LS_current!$D$4:$AY$138, MATCH('Staging Table'!$A10, LS_current!$B$4:$B$138, 0), MATCH(BY$4&amp;BY$5, LS_current!$D$2:$AY$2&amp;LS_current!$D$3:$AY$3, 0)),SUM(VLOOKUP($A10, LS_current!$B$4:$AY$138, LS_current!D$148, FALSE), VLOOKUP($A10, LS_current!$B$4:$AY$138,LS_current!AB$148, FALSE))/2)</f>
        <v>-575.29615028960325</v>
      </c>
      <c r="BZ10" s="180">
        <f t="array" ref="BZ10">IF($BT10=0, INDEX(LS_current!$D$4:$AY$138, MATCH('Staging Table'!$A10, LS_current!$B$4:$B$138, 0), MATCH(BZ$4&amp;BZ$5, LS_current!$D$2:$AY$2&amp;LS_current!$D$3:$AY$3, 0)),SUM(VLOOKUP($A10, LS_current!$B$4:$AY$138, LS_current!E$148, FALSE), VLOOKUP($A10, LS_current!$B$4:$AY$138,LS_current!AC$148, FALSE))/2)</f>
        <v>-57.834117841801344</v>
      </c>
      <c r="CA10" s="180">
        <f t="array" ref="CA10">IF($BT10=0, INDEX(LS_current!$D$4:$AY$138, MATCH('Staging Table'!$A10, LS_current!$B$4:$B$138, 0), MATCH(CA$4&amp;CA$5, LS_current!$D$2:$AY$2&amp;LS_current!$D$3:$AY$3, 0)),SUM(VLOOKUP($A10, LS_current!$B$4:$AY$138, LS_current!F$148, FALSE), VLOOKUP($A10, LS_current!$B$4:$AY$138,LS_current!AD$148, FALSE))/2)</f>
        <v>-14659.906414860801</v>
      </c>
      <c r="CB10" s="180">
        <f t="array" ref="CB10">IF($BT10=0, INDEX(LS_current!$D$4:$AY$138, MATCH('Staging Table'!$A10, LS_current!$B$4:$B$138, 0), MATCH(CB$4&amp;CB$5, LS_current!$D$2:$AY$2&amp;LS_current!$D$3:$AY$3, 0)),SUM(VLOOKUP($A10, LS_current!$B$4:$AY$138, LS_current!G$148, FALSE), VLOOKUP($A10, LS_current!$B$4:$AY$138,LS_current!AE$148, FALSE))/2)</f>
        <v>-8442.0491075316004</v>
      </c>
      <c r="CC10" s="180">
        <f t="array" ref="CC10">IF($BT10=0, INDEX(LS_current!$D$4:$AY$138, MATCH('Staging Table'!$A10, LS_current!$B$4:$B$138, 0), MATCH(CC$4&amp;CC$5, LS_current!$D$2:$AY$2&amp;LS_current!$D$3:$AY$3, 0)),SUM(VLOOKUP($A10, LS_current!$B$4:$AY$138, LS_current!H$148, FALSE), VLOOKUP($A10, LS_current!$B$4:$AY$138,LS_current!AF$148, FALSE))/2)</f>
        <v>-13867.9992484004</v>
      </c>
      <c r="CD10" s="180">
        <f t="array" ref="CD10">IF($BT10=0, INDEX(LS_current!$D$4:$AY$138, MATCH('Staging Table'!$A10, LS_current!$B$4:$B$138, 0), MATCH(CD$4&amp;CD$5, LS_current!$D$2:$AY$2&amp;LS_current!$D$3:$AY$3, 0)),SUM(VLOOKUP($A10, LS_current!$B$4:$AY$138, LS_current!I$148, FALSE), VLOOKUP($A10, LS_current!$B$4:$AY$138,LS_current!AG$148, FALSE))/2)</f>
        <v>-7809.5349846656009</v>
      </c>
      <c r="CE10" s="180">
        <f t="array" ref="CE10">IF($BT10=0, INDEX(LS_current!$D$4:$AY$138, MATCH('Staging Table'!$A10, LS_current!$B$4:$B$138, 0), MATCH(CE$4&amp;CE$5, LS_current!$D$2:$AY$2&amp;LS_current!$D$3:$AY$3, 0)),SUM(VLOOKUP($A10, LS_current!$B$4:$AY$138, LS_current!J$148, FALSE), VLOOKUP($A10, LS_current!$B$4:$AY$138,LS_current!AH$148, FALSE))/2)</f>
        <v>-15964.390742074</v>
      </c>
      <c r="CF10" s="180">
        <f t="array" ref="CF10">IF($BT10=0, INDEX(LS_current!$D$4:$AY$138, MATCH('Staging Table'!$A10, LS_current!$B$4:$B$138, 0), MATCH(CF$4&amp;CF$5, LS_current!$D$2:$AY$2&amp;LS_current!$D$3:$AY$3, 0)),SUM(VLOOKUP($A10, LS_current!$B$4:$AY$138, LS_current!K$148, FALSE), VLOOKUP($A10, LS_current!$B$4:$AY$138,LS_current!AI$148, FALSE))/2)</f>
        <v>-7957.6836280444004</v>
      </c>
      <c r="CG10" s="180">
        <f t="array" ref="CG10">IF($BT10=0, INDEX(LS_current!$D$4:$AY$138, MATCH('Staging Table'!$A10, LS_current!$B$4:$B$138, 0), MATCH(CG$4&amp;CG$5, LS_current!$D$2:$AY$2&amp;LS_current!$D$3:$AY$3, 0)),SUM(VLOOKUP($A10, LS_current!$B$4:$AY$138, LS_current!L$148, FALSE), VLOOKUP($A10, LS_current!$B$4:$AY$138,LS_current!AJ$148, FALSE))/2)</f>
        <v>-14654.441297304398</v>
      </c>
      <c r="CH10" s="180">
        <f t="array" ref="CH10">IF($BT10=0, INDEX(LS_current!$D$4:$AY$138, MATCH('Staging Table'!$A10, LS_current!$B$4:$B$138, 0), MATCH(CH$4&amp;CH$5, LS_current!$D$2:$AY$2&amp;LS_current!$D$3:$AY$3, 0)),SUM(VLOOKUP($A10, LS_current!$B$4:$AY$138, LS_current!M$148, FALSE), VLOOKUP($A10, LS_current!$B$4:$AY$138,LS_current!AK$148, FALSE))/2)</f>
        <v>-6759.5456119924002</v>
      </c>
      <c r="CI10" s="180">
        <f t="array" ref="CI10">IF($BT10=0, INDEX(LS_current!$D$4:$AY$138, MATCH('Staging Table'!$A10, LS_current!$B$4:$B$138, 0), MATCH(CI$4&amp;CI$5, LS_current!$D$2:$AY$2&amp;LS_current!$D$3:$AY$3, 0)),SUM(VLOOKUP($A10, LS_current!$B$4:$AY$138, LS_current!N$148, FALSE), VLOOKUP($A10, LS_current!$B$4:$AY$138,LS_current!AL$148, FALSE))/2)</f>
        <v>-17385.561227386803</v>
      </c>
      <c r="CJ10" s="180">
        <f t="array" ref="CJ10">IF($BT10=0, INDEX(LS_current!$D$4:$AY$138, MATCH('Staging Table'!$A10, LS_current!$B$4:$B$138, 0), MATCH(CJ$4&amp;CJ$5, LS_current!$D$2:$AY$2&amp;LS_current!$D$3:$AY$3, 0)),SUM(VLOOKUP($A10, LS_current!$B$4:$AY$138, LS_current!O$148, FALSE), VLOOKUP($A10, LS_current!$B$4:$AY$138,LS_current!AM$148, FALSE))/2)</f>
        <v>-11150.181715880801</v>
      </c>
      <c r="CK10" s="180">
        <f t="array" ref="CK10">IF($BT10=0, INDEX(LS_current!$D$4:$AY$138, MATCH('Staging Table'!$A10, LS_current!$B$4:$B$138, 0), MATCH(CK$4&amp;CK$5, LS_current!$D$2:$AY$2&amp;LS_current!$D$3:$AY$3, 0)),SUM(VLOOKUP($A10, LS_current!$B$4:$AY$138, LS_current!P$148, FALSE), VLOOKUP($A10, LS_current!$B$4:$AY$138,LS_current!AN$148, FALSE))/2)</f>
        <v>-5714.1670211489982</v>
      </c>
      <c r="CL10" s="180">
        <f t="array" ref="CL10">IF($BT10=0, INDEX(LS_current!$D$4:$AY$138, MATCH('Staging Table'!$A10, LS_current!$B$4:$B$138, 0), MATCH(CL$4&amp;CL$5, LS_current!$D$2:$AY$2&amp;LS_current!$D$3:$AY$3, 0)),SUM(VLOOKUP($A10, LS_current!$B$4:$AY$138, LS_current!Q$148, FALSE), VLOOKUP($A10, LS_current!$B$4:$AY$138,LS_current!AO$148, FALSE))/2)</f>
        <v>-3439.9063472172984</v>
      </c>
      <c r="CM10" s="180">
        <f t="array" ref="CM10">IF($BT10=0, INDEX(LS_current!$D$4:$AY$138, MATCH('Staging Table'!$A10, LS_current!$B$4:$B$138, 0), MATCH(CM$4&amp;CM$5, LS_current!$D$2:$AY$2&amp;LS_current!$D$3:$AY$3, 0)),SUM(VLOOKUP($A10, LS_current!$B$4:$AY$138, LS_current!R$148, FALSE), VLOOKUP($A10, LS_current!$B$4:$AY$138,LS_current!AP$148, FALSE))/2)</f>
        <v>6129.7005556671975</v>
      </c>
      <c r="CN10" s="180">
        <f t="array" ref="CN10">IF($BT10=0, INDEX(LS_current!$D$4:$AY$138, MATCH('Staging Table'!$A10, LS_current!$B$4:$B$138, 0), MATCH(CN$4&amp;CN$5, LS_current!$D$2:$AY$2&amp;LS_current!$D$3:$AY$3, 0)),SUM(VLOOKUP($A10, LS_current!$B$4:$AY$138, LS_current!S$148, FALSE), VLOOKUP($A10, LS_current!$B$4:$AY$138,LS_current!AQ$148, FALSE))/2)</f>
        <v>7708.6136384194033</v>
      </c>
      <c r="CO10" s="180">
        <f t="array" ref="CO10">IF($BT10=0, INDEX(LS_current!$D$4:$AY$138, MATCH('Staging Table'!$A10, LS_current!$B$4:$B$138, 0), MATCH(CO$4&amp;CO$5, LS_current!$D$2:$AY$2&amp;LS_current!$D$3:$AY$3, 0)),SUM(VLOOKUP($A10, LS_current!$B$4:$AY$138, LS_current!T$148, FALSE), VLOOKUP($A10, LS_current!$B$4:$AY$138,LS_current!AR$148, FALSE))/2)</f>
        <v>16776.977332306396</v>
      </c>
      <c r="CP10" s="180">
        <f t="array" ref="CP10">IF($BT10=0, INDEX(LS_current!$D$4:$AY$138, MATCH('Staging Table'!$A10, LS_current!$B$4:$B$138, 0), MATCH(CP$4&amp;CP$5, LS_current!$D$2:$AY$2&amp;LS_current!$D$3:$AY$3, 0)),SUM(VLOOKUP($A10, LS_current!$B$4:$AY$138, LS_current!U$148, FALSE), VLOOKUP($A10, LS_current!$B$4:$AY$138,LS_current!AS$148, FALSE))/2)</f>
        <v>14326.845637833798</v>
      </c>
      <c r="CQ10" s="180">
        <f t="array" ref="CQ10">IF($BT10=0, INDEX(LS_current!$D$4:$AY$138, MATCH('Staging Table'!$A10, LS_current!$B$4:$B$138, 0), MATCH(CQ$4&amp;CQ$5, LS_current!$D$2:$AY$2&amp;LS_current!$D$3:$AY$3, 0)),SUM(VLOOKUP($A10, LS_current!$B$4:$AY$138, LS_current!V$148, FALSE), VLOOKUP($A10, LS_current!$B$4:$AY$138,LS_current!AT$148, FALSE))/2)</f>
        <v>20060.1156094096</v>
      </c>
      <c r="CR10" s="180">
        <f t="array" ref="CR10">IF($BT10=0, INDEX(LS_current!$D$4:$AY$138, MATCH('Staging Table'!$A10, LS_current!$B$4:$B$138, 0), MATCH(CR$4&amp;CR$5, LS_current!$D$2:$AY$2&amp;LS_current!$D$3:$AY$3, 0)),SUM(VLOOKUP($A10, LS_current!$B$4:$AY$138, LS_current!W$148, FALSE), VLOOKUP($A10, LS_current!$B$4:$AY$138,LS_current!AU$148, FALSE))/2)</f>
        <v>18904.453044390997</v>
      </c>
      <c r="CS10" s="180">
        <f t="array" ref="CS10">IF($BT10=0, INDEX(LS_current!$D$4:$AY$138, MATCH('Staging Table'!$A10, LS_current!$B$4:$B$138, 0), MATCH(CS$4&amp;CS$5, LS_current!$D$2:$AY$2&amp;LS_current!$D$3:$AY$3, 0)),SUM(VLOOKUP($A10, LS_current!$B$4:$AY$138, LS_current!X$148, FALSE), VLOOKUP($A10, LS_current!$B$4:$AY$138,LS_current!AV$148, FALSE))/2)</f>
        <v>15929.462270192595</v>
      </c>
      <c r="CT10" s="180">
        <f t="array" ref="CT10">IF($BT10=0, INDEX(LS_current!$D$4:$AY$138, MATCH('Staging Table'!$A10, LS_current!$B$4:$B$138, 0), MATCH(CT$4&amp;CT$5, LS_current!$D$2:$AY$2&amp;LS_current!$D$3:$AY$3, 0)),SUM(VLOOKUP($A10, LS_current!$B$4:$AY$138, LS_current!Y$148, FALSE), VLOOKUP($A10, LS_current!$B$4:$AY$138,LS_current!AW$148, FALSE))/2)</f>
        <v>13286.042171411542</v>
      </c>
      <c r="CU10" s="180">
        <f t="array" ref="CU10">IF($BT10=0, INDEX(LS_current!$D$4:$AY$138, MATCH('Staging Table'!$A10, LS_current!$B$4:$B$138, 0), MATCH(CU$4&amp;CU$5, LS_current!$D$2:$AY$2&amp;LS_current!$D$3:$AY$3, 0)),SUM(VLOOKUP($A10, LS_current!$B$4:$AY$138, LS_current!Z$148, FALSE), VLOOKUP($A10, LS_current!$B$4:$AY$138,LS_current!AX$148, FALSE))/2)</f>
        <v>7880.7537693736012</v>
      </c>
      <c r="CV10" s="180">
        <f t="array" ref="CV10">IF($BT10=0, INDEX(LS_current!$D$4:$AY$138, MATCH('Staging Table'!$A10, LS_current!$B$4:$B$138, 0), MATCH(CV$4&amp;CV$5, LS_current!$D$2:$AY$2&amp;LS_current!$D$3:$AY$3, 0)),SUM(VLOOKUP($A10, LS_current!$B$4:$AY$138, LS_current!AA$148, FALSE), VLOOKUP($A10, LS_current!$B$4:$AY$138,LS_current!AY$148, FALSE))/2)</f>
        <v>7438.267430585598</v>
      </c>
      <c r="CW10" s="182">
        <f t="array" ref="CW10">INDEX(Demand_current!$D$4:$AY$138, MATCH($A10, Demand_current!$B$4:$B$138, 0), MATCH(CW$4&amp;CW$5,Demand_current!$D$2:$AY$2&amp;Demand_current!$D$3:$AY$3, 0))/1000</f>
        <v>11.454822115384609</v>
      </c>
      <c r="CX10" s="182">
        <f t="array" ref="CX10">INDEX(Demand_current!$D$4:$AY$138, MATCH($A10, Demand_current!$B$4:$B$138, 0), MATCH(CX$4&amp;CX$5,Demand_current!$D$2:$AY$2&amp;Demand_current!$D$3:$AY$3, 0))/1000</f>
        <v>5.3642349999999972</v>
      </c>
      <c r="CY10" s="182">
        <f t="array" ref="CY10">INDEX(Demand_current!$D$4:$AY$138, MATCH($A10, Demand_current!$B$4:$B$138, 0), MATCH(CY$4&amp;CY$5,Demand_current!$D$2:$AY$2&amp;Demand_current!$D$3:$AY$3, 0))/1000</f>
        <v>8.5027975000000033</v>
      </c>
      <c r="CZ10" s="182">
        <f t="array" ref="CZ10">INDEX(Demand_current!$D$4:$AY$138, MATCH($A10, Demand_current!$B$4:$B$138, 0), MATCH(CZ$4&amp;CZ$5,Demand_current!$D$2:$AY$2&amp;Demand_current!$D$3:$AY$3, 0))/1000</f>
        <v>6.0345673076923099</v>
      </c>
      <c r="DA10" s="182">
        <f t="array" ref="DA10">INDEX(Demand_current!$D$4:$AY$138, MATCH($A10, Demand_current!$B$4:$B$138, 0), MATCH(DA$4&amp;DA$5,Demand_current!$D$2:$AY$2&amp;Demand_current!$D$3:$AY$3, 0))/1000</f>
        <v>3.1104924999999994</v>
      </c>
      <c r="DB10" s="182">
        <f t="array" ref="DB10">INDEX(Demand_current!$D$4:$AY$138, MATCH($A10, Demand_current!$B$4:$B$138, 0), MATCH(DB$4&amp;DB$5,Demand_current!$D$2:$AY$2&amp;Demand_current!$D$3:$AY$3, 0))/1000</f>
        <v>7.5783317307692286</v>
      </c>
      <c r="DC10" s="182">
        <f t="array" ref="DC10">INDEX(Demand_current!$D$4:$AY$138, MATCH($A10, Demand_current!$B$4:$B$138, 0), MATCH(DC$4&amp;DC$5,Demand_current!$D$2:$AY$2&amp;Demand_current!$D$3:$AY$3, 0))/1000</f>
        <v>27.85821875000001</v>
      </c>
      <c r="DD10" s="182">
        <f t="array" ref="DD10">INDEX(Demand_current!$D$4:$AY$138, MATCH($A10, Demand_current!$B$4:$B$138, 0), MATCH(DD$4&amp;DD$5,Demand_current!$D$2:$AY$2&amp;Demand_current!$D$3:$AY$3, 0))/1000</f>
        <v>12.464814903846154</v>
      </c>
      <c r="DE10" s="182">
        <f t="array" ref="DE10">INDEX(Demand_current!$D$4:$AY$138, MATCH($A10, Demand_current!$B$4:$B$138, 0), MATCH(DE$4&amp;DE$5,Demand_current!$D$2:$AY$2&amp;Demand_current!$D$3:$AY$3, 0))/1000</f>
        <v>2.0433449999999915</v>
      </c>
      <c r="DF10" s="182">
        <f t="array" ref="DF10">INDEX(Demand_current!$D$4:$AY$138, MATCH($A10, Demand_current!$B$4:$B$138, 0), MATCH(DF$4&amp;DF$5,Demand_current!$D$2:$AY$2&amp;Demand_current!$D$3:$AY$3, 0))/1000</f>
        <v>14.855682692307703</v>
      </c>
      <c r="DG10" s="182">
        <f t="array" ref="DG10">INDEX(Demand_current!$D$4:$AY$138, MATCH($A10, Demand_current!$B$4:$B$138, 0), MATCH(DG$4&amp;DG$5,Demand_current!$D$2:$AY$2&amp;Demand_current!$D$3:$AY$3, 0))/1000</f>
        <v>23.605553240740743</v>
      </c>
      <c r="DH10" s="182">
        <f t="array" ref="DH10">INDEX(Demand_current!$D$4:$AY$138, MATCH($A10, Demand_current!$B$4:$B$138, 0), MATCH(DH$4&amp;DH$5,Demand_current!$D$2:$AY$2&amp;Demand_current!$D$3:$AY$3, 0))/1000</f>
        <v>10.246382812499986</v>
      </c>
      <c r="DI10" s="180">
        <f>$BS10*(VLOOKUP(DI$4, Rates_current!$G$6:$Q$29, 10, FALSE)+VLOOKUP(DI$4, Rates_current!$G$6:$Q$29, 11, FALSE))</f>
        <v>36550.028268131406</v>
      </c>
      <c r="DJ10" s="180">
        <f>$BS10*(VLOOKUP(DJ$4, Rates_current!$G$6:$Q$29, 10, FALSE)+VLOOKUP(DJ$4, Rates_current!$G$6:$Q$29, 11, FALSE))</f>
        <v>46613.338522392412</v>
      </c>
      <c r="DK10" s="180">
        <f>$BS10*(VLOOKUP(DK$4, Rates_current!$G$6:$Q$29, 10, FALSE)+VLOOKUP(DK$4, Rates_current!$G$6:$Q$29, 11, FALSE))</f>
        <v>50305.015233066006</v>
      </c>
      <c r="DL10" s="180">
        <f>$BS10*(VLOOKUP(DL$4, Rates_current!$G$6:$Q$29, 10, FALSE)+VLOOKUP(DL$4, Rates_current!$G$6:$Q$29, 11, FALSE))</f>
        <v>52274.687370118401</v>
      </c>
      <c r="DM10" s="180">
        <f>$BS10*(VLOOKUP(DM$4, Rates_current!$G$6:$Q$29, 10, FALSE)+VLOOKUP(DM$4, Rates_current!$G$6:$Q$29, 11, FALSE))</f>
        <v>44963.1989092968</v>
      </c>
      <c r="DN10" s="180">
        <f>$BS10*(VLOOKUP(DN$4, Rates_current!$G$6:$Q$29, 10, FALSE)+VLOOKUP(DN$4, Rates_current!$G$6:$Q$29, 11, FALSE))</f>
        <v>49090.910943267598</v>
      </c>
      <c r="DO10" s="180">
        <f>$BS10*(VLOOKUP(DO$4, Rates_current!$G$6:$Q$29, 10, FALSE)+VLOOKUP(DO$4, Rates_current!$G$6:$Q$29, 11, FALSE))</f>
        <v>38749.001368366298</v>
      </c>
      <c r="DP10" s="180">
        <f>$BS10*(VLOOKUP(DP$4, Rates_current!$G$6:$Q$29, 10, FALSE)+VLOOKUP(DP$4, Rates_current!$G$6:$Q$29, 11, FALSE))</f>
        <v>48073.328805913407</v>
      </c>
      <c r="DQ10" s="180">
        <f>$BS10*(VLOOKUP(DQ$4, Rates_current!$G$6:$Q$29, 10, FALSE)+VLOOKUP(DQ$4, Rates_current!$G$6:$Q$29, 11, FALSE))</f>
        <v>49116.400029859797</v>
      </c>
      <c r="DR10" s="180">
        <f>$BS10*(VLOOKUP(DR$4, Rates_current!$G$6:$Q$29, 10, FALSE)+VLOOKUP(DR$4, Rates_current!$G$6:$Q$29, 11, FALSE))</f>
        <v>42640.111346199403</v>
      </c>
      <c r="DS10" s="180">
        <f>$BS10*(VLOOKUP(DS$4, Rates_current!$G$6:$Q$29, 10, FALSE)+VLOOKUP(DS$4, Rates_current!$G$6:$Q$29, 11, FALSE))</f>
        <v>41221.653558395868</v>
      </c>
      <c r="DT10" s="180">
        <f>$BS10*(VLOOKUP(DT$4, Rates_current!$G$6:$Q$29, 10, FALSE)+VLOOKUP(DT$4, Rates_current!$G$6:$Q$29, 11, FALSE))</f>
        <v>37931.903800040804</v>
      </c>
      <c r="DU10" s="402">
        <f>IF(D10=0,IF(C10=0,MAX(0,DW10 - (VLOOKUP($A10,TOCA_current!$A$2:$AI$137,MATCH("RHWM 2024",TOCA_current!$A$2:$AI$2,0),FALSE)*$BS$2)), 0),0)</f>
        <v>4.2184639278566465</v>
      </c>
      <c r="DV10" s="403">
        <f>MIN(VLOOKUP($A10,TOCA_current!$A$2:$AI$137,MATCH("TRL - NLSL - Existing Resource "&amp;$BS$1,TOCA_current!$A$2:$AI$2,0),FALSE)*$BS$2, VLOOKUP($A10,TOCA_current!$A$2:$AI$137,MATCH("RHWM 2024",TOCA_current!$A$2:$AI$2,0),FALSE)*$BS$2)</f>
        <v>537528.09600000002</v>
      </c>
      <c r="DW10" s="403">
        <f>SUM(BY10:CV10)+(BS10*RT1SC!$C$4*$BS$2)</f>
        <v>537532.31446392788</v>
      </c>
      <c r="DX10" s="403">
        <f>VLOOKUP($A10,TOCA_current!$A$2:$AI$137,MATCH("Above RHWM Not Served with LS "&amp;$BS$1,TOCA_current!$A$2:$AI$2,0),FALSE)*$BS$2</f>
        <v>57948.048000000003</v>
      </c>
      <c r="DY10" s="403">
        <f t="shared" si="13"/>
        <v>4.2184639278566465</v>
      </c>
      <c r="DZ10" s="403">
        <f>(VLOOKUP($A10,TOCA_current!$A$2:$AI$137,MATCH("RHWM 2024",TOCA_current!$A$2:$AI$2,0),FALSE)*$BS$2) - $DV10</f>
        <v>0</v>
      </c>
      <c r="EA10" s="403">
        <f t="shared" si="14"/>
        <v>0</v>
      </c>
      <c r="EB10" s="403">
        <f t="shared" si="15"/>
        <v>0</v>
      </c>
      <c r="EC10" s="403">
        <f t="shared" si="16"/>
        <v>0</v>
      </c>
      <c r="ED10" s="403">
        <f t="shared" si="17"/>
        <v>0</v>
      </c>
    </row>
    <row r="11" spans="1:134">
      <c r="A11" s="123">
        <v>10029</v>
      </c>
      <c r="B11" s="124" t="s">
        <v>12</v>
      </c>
      <c r="C11" s="232">
        <f>VLOOKUP(A11, TOCA_current!$A$3:$D$137, 4, FALSE)</f>
        <v>1</v>
      </c>
      <c r="D11" s="191">
        <v>0</v>
      </c>
      <c r="E11" s="107">
        <f>VLOOKUP($A11,TOCA_previous!$A$2:$AI$137,MATCH(E$4,TOCA_previous!$A$2:$AI$2,0),FALSE)</f>
        <v>2.4945000000000002E-3</v>
      </c>
      <c r="F11" s="108">
        <f>VLOOKUP($A11,TOCA_previous!$A$2:$AI$137,MATCH(F$4,TOCA_previous!$A$2:$AI$2,0),FALSE)</f>
        <v>2.4945000000000002E-3</v>
      </c>
      <c r="G11" s="108">
        <f t="shared" si="5"/>
        <v>0</v>
      </c>
      <c r="H11" s="108">
        <f>VLOOKUP($A11,TOCA_previous!$A$2:$AI$137,MATCH(H$4,TOCA_previous!$A$2:$AI$2,0),FALSE)</f>
        <v>8.4769999999999998E-2</v>
      </c>
      <c r="I11" s="108">
        <f t="shared" si="6"/>
        <v>8.4769999999999998E-2</v>
      </c>
      <c r="J11" s="108">
        <f t="shared" si="7"/>
        <v>2.4945000000000002E-3</v>
      </c>
      <c r="K11" s="179">
        <f>VLOOKUP(A11, IRD!$A$5:$C$139, 3, FALSE)</f>
        <v>0</v>
      </c>
      <c r="L11" s="180">
        <f t="array" ref="L11">IF($G11=0, INDEX(LS_previous!$D$4:$AY$138, MATCH('Staging Table'!$A11, LS_previous!$B$4:$B$138, 0), MATCH(L$4&amp;L$5, LS_previous!$D$2:$AY$2&amp;LS_previous!$D$3:$AY$3, 0)),SUM(VLOOKUP($A11, LS_previous!$B$4:$AY$138, LS_previous!D$149, FALSE), VLOOKUP('Staging Table'!$A11, LS_previous!$B$4:$AY$138,LS_previous!AB$149, FALSE))/2)</f>
        <v>0</v>
      </c>
      <c r="M11" s="180">
        <f t="array" ref="M11">IF($G11=0, INDEX(LS_previous!$D$4:$AY$138, MATCH('Staging Table'!$A11, LS_previous!$B$4:$B$138, 0), MATCH(M$4&amp;M$5, LS_previous!$D$2:$AY$2&amp;LS_previous!$D$3:$AY$3, 0)),SUM(VLOOKUP($A11, LS_previous!$B$4:$AY$138, LS_previous!E$149, FALSE), VLOOKUP('Staging Table'!$A11, LS_previous!$B$4:$AY$138,LS_previous!AC$149, FALSE))/2)</f>
        <v>0</v>
      </c>
      <c r="N11" s="180">
        <f t="array" ref="N11">IF($G11=0, INDEX(LS_previous!$D$4:$AY$138, MATCH('Staging Table'!$A11, LS_previous!$B$4:$B$138, 0), MATCH(N$4&amp;N$5, LS_previous!$D$2:$AY$2&amp;LS_previous!$D$3:$AY$3, 0)),SUM(VLOOKUP($A11, LS_previous!$B$4:$AY$138, LS_previous!F$149, FALSE), VLOOKUP('Staging Table'!$A11, LS_previous!$B$4:$AY$138,LS_previous!AD$149, FALSE))/2)</f>
        <v>0</v>
      </c>
      <c r="O11" s="180">
        <f t="array" ref="O11">IF($G11=0, INDEX(LS_previous!$D$4:$AY$138, MATCH('Staging Table'!$A11, LS_previous!$B$4:$B$138, 0), MATCH(O$4&amp;O$5, LS_previous!$D$2:$AY$2&amp;LS_previous!$D$3:$AY$3, 0)),SUM(VLOOKUP($A11, LS_previous!$B$4:$AY$138, LS_previous!G$149, FALSE), VLOOKUP('Staging Table'!$A11, LS_previous!$B$4:$AY$138,LS_previous!AE$149, FALSE))/2)</f>
        <v>0</v>
      </c>
      <c r="P11" s="180">
        <f t="array" ref="P11">IF($G11=0, INDEX(LS_previous!$D$4:$AY$138, MATCH('Staging Table'!$A11, LS_previous!$B$4:$B$138, 0), MATCH(P$4&amp;P$5, LS_previous!$D$2:$AY$2&amp;LS_previous!$D$3:$AY$3, 0)),SUM(VLOOKUP($A11, LS_previous!$B$4:$AY$138, LS_previous!H$149, FALSE), VLOOKUP('Staging Table'!$A11, LS_previous!$B$4:$AY$138,LS_previous!AF$149, FALSE))/2)</f>
        <v>0</v>
      </c>
      <c r="Q11" s="180">
        <f t="array" ref="Q11">IF($G11=0, INDEX(LS_previous!$D$4:$AY$138, MATCH('Staging Table'!$A11, LS_previous!$B$4:$B$138, 0), MATCH(Q$4&amp;Q$5, LS_previous!$D$2:$AY$2&amp;LS_previous!$D$3:$AY$3, 0)),SUM(VLOOKUP($A11, LS_previous!$B$4:$AY$138, LS_previous!I$149, FALSE), VLOOKUP('Staging Table'!$A11, LS_previous!$B$4:$AY$138,LS_previous!AG$149, FALSE))/2)</f>
        <v>0</v>
      </c>
      <c r="R11" s="180">
        <f t="array" ref="R11">IF($G11=0, INDEX(LS_previous!$D$4:$AY$138, MATCH('Staging Table'!$A11, LS_previous!$B$4:$B$138, 0), MATCH(R$4&amp;R$5, LS_previous!$D$2:$AY$2&amp;LS_previous!$D$3:$AY$3, 0)),SUM(VLOOKUP($A11, LS_previous!$B$4:$AY$138, LS_previous!J$149, FALSE), VLOOKUP('Staging Table'!$A11, LS_previous!$B$4:$AY$138,LS_previous!AH$149, FALSE))/2)</f>
        <v>0</v>
      </c>
      <c r="S11" s="180">
        <f t="array" ref="S11">IF($G11=0, INDEX(LS_previous!$D$4:$AY$138, MATCH('Staging Table'!$A11, LS_previous!$B$4:$B$138, 0), MATCH(S$4&amp;S$5, LS_previous!$D$2:$AY$2&amp;LS_previous!$D$3:$AY$3, 0)),SUM(VLOOKUP($A11, LS_previous!$B$4:$AY$138, LS_previous!K$149, FALSE), VLOOKUP('Staging Table'!$A11, LS_previous!$B$4:$AY$138,LS_previous!AI$149, FALSE))/2)</f>
        <v>0</v>
      </c>
      <c r="T11" s="180">
        <f t="array" ref="T11">IF($G11=0, INDEX(LS_previous!$D$4:$AY$138, MATCH('Staging Table'!$A11, LS_previous!$B$4:$B$138, 0), MATCH(T$4&amp;T$5, LS_previous!$D$2:$AY$2&amp;LS_previous!$D$3:$AY$3, 0)),SUM(VLOOKUP($A11, LS_previous!$B$4:$AY$138, LS_previous!L$149, FALSE), VLOOKUP('Staging Table'!$A11, LS_previous!$B$4:$AY$138,LS_previous!AJ$149, FALSE))/2)</f>
        <v>0</v>
      </c>
      <c r="U11" s="180">
        <f t="array" ref="U11">IF($G11=0, INDEX(LS_previous!$D$4:$AY$138, MATCH('Staging Table'!$A11, LS_previous!$B$4:$B$138, 0), MATCH(U$4&amp;U$5, LS_previous!$D$2:$AY$2&amp;LS_previous!$D$3:$AY$3, 0)),SUM(VLOOKUP($A11, LS_previous!$B$4:$AY$138, LS_previous!M$149, FALSE), VLOOKUP('Staging Table'!$A11, LS_previous!$B$4:$AY$138,LS_previous!AK$149, FALSE))/2)</f>
        <v>0</v>
      </c>
      <c r="V11" s="180">
        <f t="array" ref="V11">IF($G11=0, INDEX(LS_previous!$D$4:$AY$138, MATCH('Staging Table'!$A11, LS_previous!$B$4:$B$138, 0), MATCH(V$4&amp;V$5, LS_previous!$D$2:$AY$2&amp;LS_previous!$D$3:$AY$3, 0)),SUM(VLOOKUP($A11, LS_previous!$B$4:$AY$138, LS_previous!N$149, FALSE), VLOOKUP('Staging Table'!$A11, LS_previous!$B$4:$AY$138,LS_previous!AL$149, FALSE))/2)</f>
        <v>0</v>
      </c>
      <c r="W11" s="180">
        <f t="array" ref="W11">IF($G11=0, INDEX(LS_previous!$D$4:$AY$138, MATCH('Staging Table'!$A11, LS_previous!$B$4:$B$138, 0), MATCH(W$4&amp;W$5, LS_previous!$D$2:$AY$2&amp;LS_previous!$D$3:$AY$3, 0)),SUM(VLOOKUP($A11, LS_previous!$B$4:$AY$138, LS_previous!O$149, FALSE), VLOOKUP('Staging Table'!$A11, LS_previous!$B$4:$AY$138,LS_previous!AM$149, FALSE))/2)</f>
        <v>0</v>
      </c>
      <c r="X11" s="180">
        <f t="array" ref="X11">IF($G11=0, INDEX(LS_previous!$D$4:$AY$138, MATCH('Staging Table'!$A11, LS_previous!$B$4:$B$138, 0), MATCH(X$4&amp;X$5, LS_previous!$D$2:$AY$2&amp;LS_previous!$D$3:$AY$3, 0)),SUM(VLOOKUP($A11, LS_previous!$B$4:$AY$138, LS_previous!P$149, FALSE), VLOOKUP('Staging Table'!$A11, LS_previous!$B$4:$AY$138,LS_previous!AN$149, FALSE))/2)</f>
        <v>0</v>
      </c>
      <c r="Y11" s="180">
        <f t="array" ref="Y11">IF($G11=0, INDEX(LS_previous!$D$4:$AY$138, MATCH('Staging Table'!$A11, LS_previous!$B$4:$B$138, 0), MATCH(Y$4&amp;Y$5, LS_previous!$D$2:$AY$2&amp;LS_previous!$D$3:$AY$3, 0)),SUM(VLOOKUP($A11, LS_previous!$B$4:$AY$138, LS_previous!Q$149, FALSE), VLOOKUP('Staging Table'!$A11, LS_previous!$B$4:$AY$138,LS_previous!AO$149, FALSE))/2)</f>
        <v>0</v>
      </c>
      <c r="Z11" s="180">
        <f t="array" ref="Z11">IF($G11=0, INDEX(LS_previous!$D$4:$AY$138, MATCH('Staging Table'!$A11, LS_previous!$B$4:$B$138, 0), MATCH(Z$4&amp;Z$5, LS_previous!$D$2:$AY$2&amp;LS_previous!$D$3:$AY$3, 0)),SUM(VLOOKUP($A11, LS_previous!$B$4:$AY$138, LS_previous!R$149, FALSE), VLOOKUP('Staging Table'!$A11, LS_previous!$B$4:$AY$138,LS_previous!AP$149, FALSE))/2)</f>
        <v>0</v>
      </c>
      <c r="AA11" s="180">
        <f t="array" ref="AA11">IF($G11=0, INDEX(LS_previous!$D$4:$AY$138, MATCH('Staging Table'!$A11, LS_previous!$B$4:$B$138, 0), MATCH(AA$4&amp;AA$5, LS_previous!$D$2:$AY$2&amp;LS_previous!$D$3:$AY$3, 0)),SUM(VLOOKUP($A11, LS_previous!$B$4:$AY$138, LS_previous!S$149, FALSE), VLOOKUP('Staging Table'!$A11, LS_previous!$B$4:$AY$138,LS_previous!AQ$149, FALSE))/2)</f>
        <v>0</v>
      </c>
      <c r="AB11" s="180">
        <f t="array" ref="AB11">IF($G11=0, INDEX(LS_previous!$D$4:$AY$138, MATCH('Staging Table'!$A11, LS_previous!$B$4:$B$138, 0), MATCH(AB$4&amp;AB$5, LS_previous!$D$2:$AY$2&amp;LS_previous!$D$3:$AY$3, 0)),SUM(VLOOKUP($A11, LS_previous!$B$4:$AY$138, LS_previous!T$149, FALSE), VLOOKUP('Staging Table'!$A11, LS_previous!$B$4:$AY$138,LS_previous!AR$149, FALSE))/2)</f>
        <v>0</v>
      </c>
      <c r="AC11" s="180">
        <f t="array" ref="AC11">IF($G11=0, INDEX(LS_previous!$D$4:$AY$138, MATCH('Staging Table'!$A11, LS_previous!$B$4:$B$138, 0), MATCH(AC$4&amp;AC$5, LS_previous!$D$2:$AY$2&amp;LS_previous!$D$3:$AY$3, 0)),SUM(VLOOKUP($A11, LS_previous!$B$4:$AY$138, LS_previous!U$149, FALSE), VLOOKUP('Staging Table'!$A11, LS_previous!$B$4:$AY$138,LS_previous!AS$149, FALSE))/2)</f>
        <v>0</v>
      </c>
      <c r="AD11" s="180">
        <f t="array" ref="AD11">IF($G11=0, INDEX(LS_previous!$D$4:$AY$138, MATCH('Staging Table'!$A11, LS_previous!$B$4:$B$138, 0), MATCH(AD$4&amp;AD$5, LS_previous!$D$2:$AY$2&amp;LS_previous!$D$3:$AY$3, 0)),SUM(VLOOKUP($A11, LS_previous!$B$4:$AY$138, LS_previous!V$149, FALSE), VLOOKUP('Staging Table'!$A11, LS_previous!$B$4:$AY$138,LS_previous!AT$149, FALSE))/2)</f>
        <v>0</v>
      </c>
      <c r="AE11" s="180">
        <f t="array" ref="AE11">IF($G11=0, INDEX(LS_previous!$D$4:$AY$138, MATCH('Staging Table'!$A11, LS_previous!$B$4:$B$138, 0), MATCH(AE$4&amp;AE$5, LS_previous!$D$2:$AY$2&amp;LS_previous!$D$3:$AY$3, 0)),SUM(VLOOKUP($A11, LS_previous!$B$4:$AY$138, LS_previous!W$149, FALSE), VLOOKUP('Staging Table'!$A11, LS_previous!$B$4:$AY$138,LS_previous!AU$149, FALSE))/2)</f>
        <v>0</v>
      </c>
      <c r="AF11" s="180">
        <f t="array" ref="AF11">IF($G11=0, INDEX(LS_previous!$D$4:$AY$138, MATCH('Staging Table'!$A11, LS_previous!$B$4:$B$138, 0), MATCH(AF$4&amp;AF$5, LS_previous!$D$2:$AY$2&amp;LS_previous!$D$3:$AY$3, 0)),SUM(VLOOKUP($A11, LS_previous!$B$4:$AY$138, LS_previous!X$149, FALSE), VLOOKUP('Staging Table'!$A11, LS_previous!$B$4:$AY$138,LS_previous!AV$149, FALSE))/2)</f>
        <v>0</v>
      </c>
      <c r="AG11" s="180">
        <f t="array" ref="AG11">IF($G11=0, INDEX(LS_previous!$D$4:$AY$138, MATCH('Staging Table'!$A11, LS_previous!$B$4:$B$138, 0), MATCH(AG$4&amp;AG$5, LS_previous!$D$2:$AY$2&amp;LS_previous!$D$3:$AY$3, 0)),SUM(VLOOKUP($A11, LS_previous!$B$4:$AY$138, LS_previous!Y$149, FALSE), VLOOKUP('Staging Table'!$A11, LS_previous!$B$4:$AY$138,LS_previous!AW$149, FALSE))/2)</f>
        <v>0</v>
      </c>
      <c r="AH11" s="180">
        <f t="array" ref="AH11">IF($G11=0, INDEX(LS_previous!$D$4:$AY$138, MATCH('Staging Table'!$A11, LS_previous!$B$4:$B$138, 0), MATCH(AH$4&amp;AH$5, LS_previous!$D$2:$AY$2&amp;LS_previous!$D$3:$AY$3, 0)),SUM(VLOOKUP($A11, LS_previous!$B$4:$AY$138, LS_previous!Z$149, FALSE), VLOOKUP('Staging Table'!$A11, LS_previous!$B$4:$AY$138,LS_previous!AX$149, FALSE))/2)</f>
        <v>0</v>
      </c>
      <c r="AI11" s="180">
        <f t="array" ref="AI11">IF($G11=0, INDEX(LS_previous!$D$4:$AY$138, MATCH('Staging Table'!$A11, LS_previous!$B$4:$B$138, 0), MATCH(AI$4&amp;AI$5, LS_previous!$D$2:$AY$2&amp;LS_previous!$D$3:$AY$3, 0)),SUM(VLOOKUP($A11, LS_previous!$B$4:$AY$138, LS_previous!AA$149, FALSE), VLOOKUP('Staging Table'!$A11, LS_previous!$B$4:$AY$138,LS_previous!AY$149, FALSE))/2)</f>
        <v>0</v>
      </c>
      <c r="AJ11" s="298">
        <f t="array" ref="AJ11">INDEX(Demand_previous!$D$4:$AY$138, MATCH('Staging Table'!$A11, Demand_previous!$B$4:$B$138, 0), MATCH(AJ$4&amp;AJ$5,Demand_previous!$D$2:$AY$2&amp;Demand_previous!$D$3:$AY$3, 0))/1000</f>
        <v>0</v>
      </c>
      <c r="AK11" s="298">
        <f t="array" ref="AK11">INDEX(Demand_previous!$D$4:$AY$138, MATCH('Staging Table'!$A11, Demand_previous!$B$4:$B$138, 0), MATCH(AK$4&amp;AK$5,Demand_previous!$D$2:$AY$2&amp;Demand_previous!$D$3:$AY$3, 0))/1000</f>
        <v>0</v>
      </c>
      <c r="AL11" s="298">
        <f t="array" ref="AL11">INDEX(Demand_previous!$D$4:$AY$138, MATCH('Staging Table'!$A11, Demand_previous!$B$4:$B$138, 0), MATCH(AL$4&amp;AL$5,Demand_previous!$D$2:$AY$2&amp;Demand_previous!$D$3:$AY$3, 0))/1000</f>
        <v>0</v>
      </c>
      <c r="AM11" s="298">
        <f t="array" ref="AM11">INDEX(Demand_previous!$D$4:$AY$138, MATCH('Staging Table'!$A11, Demand_previous!$B$4:$B$138, 0), MATCH(AM$4&amp;AM$5,Demand_previous!$D$2:$AY$2&amp;Demand_previous!$D$3:$AY$3, 0))/1000</f>
        <v>0</v>
      </c>
      <c r="AN11" s="298">
        <f t="array" ref="AN11">INDEX(Demand_previous!$D$4:$AY$138, MATCH('Staging Table'!$A11, Demand_previous!$B$4:$B$138, 0), MATCH(AN$4&amp;AN$5,Demand_previous!$D$2:$AY$2&amp;Demand_previous!$D$3:$AY$3, 0))/1000</f>
        <v>0</v>
      </c>
      <c r="AO11" s="298">
        <f t="array" ref="AO11">INDEX(Demand_previous!$D$4:$AY$138, MATCH('Staging Table'!$A11, Demand_previous!$B$4:$B$138, 0), MATCH(AO$4&amp;AO$5,Demand_previous!$D$2:$AY$2&amp;Demand_previous!$D$3:$AY$3, 0))/1000</f>
        <v>0</v>
      </c>
      <c r="AP11" s="298">
        <f t="array" ref="AP11">INDEX(Demand_previous!$D$4:$AY$138, MATCH('Staging Table'!$A11, Demand_previous!$B$4:$B$138, 0), MATCH(AP$4&amp;AP$5,Demand_previous!$D$2:$AY$2&amp;Demand_previous!$D$3:$AY$3, 0))/1000</f>
        <v>0</v>
      </c>
      <c r="AQ11" s="298">
        <f t="array" ref="AQ11">INDEX(Demand_previous!$D$4:$AY$138, MATCH('Staging Table'!$A11, Demand_previous!$B$4:$B$138, 0), MATCH(AQ$4&amp;AQ$5,Demand_previous!$D$2:$AY$2&amp;Demand_previous!$D$3:$AY$3, 0))/1000</f>
        <v>0</v>
      </c>
      <c r="AR11" s="298">
        <f t="array" ref="AR11">INDEX(Demand_previous!$D$4:$AY$138, MATCH('Staging Table'!$A11, Demand_previous!$B$4:$B$138, 0), MATCH(AR$4&amp;AR$5,Demand_previous!$D$2:$AY$2&amp;Demand_previous!$D$3:$AY$3, 0))/1000</f>
        <v>0</v>
      </c>
      <c r="AS11" s="298">
        <f t="array" ref="AS11">INDEX(Demand_previous!$D$4:$AY$138, MATCH('Staging Table'!$A11, Demand_previous!$B$4:$B$138, 0), MATCH(AS$4&amp;AS$5,Demand_previous!$D$2:$AY$2&amp;Demand_previous!$D$3:$AY$3, 0))/1000</f>
        <v>0</v>
      </c>
      <c r="AT11" s="298">
        <f t="array" ref="AT11">INDEX(Demand_previous!$D$4:$AY$138, MATCH('Staging Table'!$A11, Demand_previous!$B$4:$B$138, 0), MATCH(AT$4&amp;AT$5,Demand_previous!$D$2:$AY$2&amp;Demand_previous!$D$3:$AY$3, 0))/1000</f>
        <v>0</v>
      </c>
      <c r="AU11" s="298">
        <f t="array" ref="AU11">INDEX(Demand_previous!$D$4:$AY$138, MATCH('Staging Table'!$A11, Demand_previous!$B$4:$B$138, 0), MATCH(AU$4&amp;AU$5,Demand_previous!$D$2:$AY$2&amp;Demand_previous!$D$3:$AY$3, 0))/1000</f>
        <v>0</v>
      </c>
      <c r="AV11" s="180">
        <f>$F11*(VLOOKUP(AV$4, Rates_previous!$G$6:$Q$29, 10, FALSE)+VLOOKUP(AV$4, Rates_previous!$G$6:$Q$29, 11, FALSE))</f>
        <v>11359.764467593304</v>
      </c>
      <c r="AW11" s="180">
        <f>$F11*(VLOOKUP(AW$4, Rates_previous!$G$6:$Q$29, 10, FALSE)+VLOOKUP(AW$4, Rates_previous!$G$6:$Q$29, 11, FALSE))</f>
        <v>14381.874090196383</v>
      </c>
      <c r="AX11" s="180">
        <f>$F11*(VLOOKUP(AX$4, Rates_previous!$G$6:$Q$29, 10, FALSE)+VLOOKUP(AX$4, Rates_previous!$G$6:$Q$29, 11, FALSE))</f>
        <v>14076.98147724752</v>
      </c>
      <c r="AY11" s="180">
        <f>$F11*(VLOOKUP(AY$4, Rates_previous!$G$6:$Q$29, 10, FALSE)+VLOOKUP(AY$4, Rates_previous!$G$6:$Q$29, 11, FALSE))</f>
        <v>11626.988078794711</v>
      </c>
      <c r="AZ11" s="180">
        <f>$F11*(VLOOKUP(AZ$4, Rates_previous!$G$6:$Q$29, 10, FALSE)+VLOOKUP(AZ$4, Rates_previous!$G$6:$Q$29, 11, FALSE))</f>
        <v>10077.365397615096</v>
      </c>
      <c r="BA11" s="180">
        <f>$F11*(VLOOKUP(BA$4, Rates_previous!$G$6:$Q$29, 10, FALSE)+VLOOKUP(BA$4, Rates_previous!$G$6:$Q$29, 11, FALSE))</f>
        <v>12030.339269173015</v>
      </c>
      <c r="BB11" s="180">
        <f>$F11*(VLOOKUP(BB$4, Rates_previous!$G$6:$Q$29, 10, FALSE)+VLOOKUP(BB$4, Rates_previous!$G$6:$Q$29, 11, FALSE))</f>
        <v>9339.9568566867165</v>
      </c>
      <c r="BC11" s="180">
        <f>$F11*(VLOOKUP(BC$4, Rates_previous!$G$6:$Q$29, 10, FALSE)+VLOOKUP(BC$4, Rates_previous!$G$6:$Q$29, 11, FALSE))</f>
        <v>12940.578957533678</v>
      </c>
      <c r="BD11" s="180">
        <f>$F11*(VLOOKUP(BD$4, Rates_previous!$G$6:$Q$29, 10, FALSE)+VLOOKUP(BD$4, Rates_previous!$G$6:$Q$29, 11, FALSE))</f>
        <v>13827.279580865177</v>
      </c>
      <c r="BE11" s="180">
        <f>$F11*(VLOOKUP(BE$4, Rates_previous!$G$6:$Q$29, 10, FALSE)+VLOOKUP(BE$4, Rates_previous!$G$6:$Q$29, 11, FALSE))</f>
        <v>13128.375840705965</v>
      </c>
      <c r="BF11" s="180">
        <f>$F11*(VLOOKUP(BF$4, Rates_previous!$G$6:$Q$29, 10, FALSE)+VLOOKUP(BF$4, Rates_previous!$G$6:$Q$29, 11, FALSE))</f>
        <v>12687.562448542172</v>
      </c>
      <c r="BG11" s="180">
        <f>$F11*(VLOOKUP(BG$4, Rates_previous!$G$6:$Q$29, 10, FALSE)+VLOOKUP(BG$4, Rates_previous!$G$6:$Q$29, 11, FALSE))</f>
        <v>11724.630328422556</v>
      </c>
      <c r="BH11" s="298">
        <f>IF($D11=0,IF(C11=0, MAX(BJ11 - (VLOOKUP($A11,TOCA_previous!$A$2:$AI$137,MATCH("RHWM 2022",TOCA_previous!$A$2:$AI$2,0),FALSE)*$F$2*TOCA_previous!C8),0),0), 0)</f>
        <v>0</v>
      </c>
      <c r="BI11" s="192">
        <f>MIN(VLOOKUP($A11,TOCA_previous!$A$2:$AI$137,MATCH("TRL - NLSL - Existing Resource "&amp;$F$1,TOCA_previous!$A$2:$AI$2,0),FALSE)*$F$2,(VLOOKUP($A11,TOCA_previous!$A$2:$AI$137,MATCH("RHWM 2022",TOCA_previous!$A$2:$AI$2,0),FALSE)*$F$2))</f>
        <v>147203.03999999998</v>
      </c>
      <c r="BJ11" s="402">
        <f>SUM(L11:AI11)+(F11*RT1SC!$C$3*$F$2)</f>
        <v>147201.70432338002</v>
      </c>
      <c r="BK11" s="401">
        <f>VLOOKUP($A11,TOCA_previous!$A$2:$AI$137,MATCH("Above RHWM Not Served with LS "&amp;$F$1,TOCA_previous!$A$2:$AI$2,0),FALSE)*$F$2</f>
        <v>44763.600000000006</v>
      </c>
      <c r="BL11" s="402">
        <f t="shared" si="8"/>
        <v>-1.3356766199576668</v>
      </c>
      <c r="BM11" s="401">
        <f>(VLOOKUP($A11,TOCA_previous!$A$2:$AI$137,MATCH("RHWM 2022",TOCA_previous!$A$2:$AI$2,0),FALSE)*$F$2) - $BI11</f>
        <v>0</v>
      </c>
      <c r="BN11" s="402">
        <f t="shared" si="9"/>
        <v>0</v>
      </c>
      <c r="BO11" s="401">
        <f t="shared" si="10"/>
        <v>0</v>
      </c>
      <c r="BP11" s="402">
        <f t="shared" si="11"/>
        <v>0</v>
      </c>
      <c r="BQ11" s="401">
        <f t="shared" si="2"/>
        <v>0</v>
      </c>
      <c r="BR11" s="108">
        <f>VLOOKUP($A11,TOCA_current!$A$2:$AI$137,MATCH(BR$4,TOCA_current!$A$2:$AI$2,0),FALSE)</f>
        <v>2.4940000000000001E-3</v>
      </c>
      <c r="BS11" s="108">
        <f>VLOOKUP($A11,TOCA_current!$A$2:$AI$137,MATCH(BS$4,TOCA_current!$A$2:$AI$2,0),FALSE)</f>
        <v>2.4940000000000001E-3</v>
      </c>
      <c r="BT11" s="189">
        <f t="shared" si="12"/>
        <v>0</v>
      </c>
      <c r="BU11" s="108">
        <f>VLOOKUP($A11,TOCA_current!A7:BG142,MATCH(BU$4,TOCA_current!$A$2:$BG$2,0),FALSE)</f>
        <v>7.9991768846503178E-2</v>
      </c>
      <c r="BV11" s="108">
        <f t="shared" si="3"/>
        <v>7.9991768846503178E-2</v>
      </c>
      <c r="BW11" s="108">
        <f t="shared" si="4"/>
        <v>2.4940000000000001E-3</v>
      </c>
      <c r="BX11" s="179">
        <f>VLOOKUP($A11,IRD!$A$4:$G$139, 7, FALSE)</f>
        <v>0</v>
      </c>
      <c r="BY11" s="180">
        <f t="array" ref="BY11">IF($BT11=0, INDEX(LS_current!$D$4:$AY$138, MATCH('Staging Table'!$A11, LS_current!$B$4:$B$138, 0), MATCH(BY$4&amp;BY$5, LS_current!$D$2:$AY$2&amp;LS_current!$D$3:$AY$3, 0)),SUM(VLOOKUP($A11, LS_current!$B$4:$AY$138, LS_current!D$148, FALSE), VLOOKUP($A11, LS_current!$B$4:$AY$138,LS_current!AB$148, FALSE))/2)</f>
        <v>0</v>
      </c>
      <c r="BZ11" s="180">
        <f t="array" ref="BZ11">IF($BT11=0, INDEX(LS_current!$D$4:$AY$138, MATCH('Staging Table'!$A11, LS_current!$B$4:$B$138, 0), MATCH(BZ$4&amp;BZ$5, LS_current!$D$2:$AY$2&amp;LS_current!$D$3:$AY$3, 0)),SUM(VLOOKUP($A11, LS_current!$B$4:$AY$138, LS_current!E$148, FALSE), VLOOKUP($A11, LS_current!$B$4:$AY$138,LS_current!AC$148, FALSE))/2)</f>
        <v>0</v>
      </c>
      <c r="CA11" s="180">
        <f t="array" ref="CA11">IF($BT11=0, INDEX(LS_current!$D$4:$AY$138, MATCH('Staging Table'!$A11, LS_current!$B$4:$B$138, 0), MATCH(CA$4&amp;CA$5, LS_current!$D$2:$AY$2&amp;LS_current!$D$3:$AY$3, 0)),SUM(VLOOKUP($A11, LS_current!$B$4:$AY$138, LS_current!F$148, FALSE), VLOOKUP($A11, LS_current!$B$4:$AY$138,LS_current!AD$148, FALSE))/2)</f>
        <v>0</v>
      </c>
      <c r="CB11" s="180">
        <f t="array" ref="CB11">IF($BT11=0, INDEX(LS_current!$D$4:$AY$138, MATCH('Staging Table'!$A11, LS_current!$B$4:$B$138, 0), MATCH(CB$4&amp;CB$5, LS_current!$D$2:$AY$2&amp;LS_current!$D$3:$AY$3, 0)),SUM(VLOOKUP($A11, LS_current!$B$4:$AY$138, LS_current!G$148, FALSE), VLOOKUP($A11, LS_current!$B$4:$AY$138,LS_current!AE$148, FALSE))/2)</f>
        <v>0</v>
      </c>
      <c r="CC11" s="180">
        <f t="array" ref="CC11">IF($BT11=0, INDEX(LS_current!$D$4:$AY$138, MATCH('Staging Table'!$A11, LS_current!$B$4:$B$138, 0), MATCH(CC$4&amp;CC$5, LS_current!$D$2:$AY$2&amp;LS_current!$D$3:$AY$3, 0)),SUM(VLOOKUP($A11, LS_current!$B$4:$AY$138, LS_current!H$148, FALSE), VLOOKUP($A11, LS_current!$B$4:$AY$138,LS_current!AF$148, FALSE))/2)</f>
        <v>0</v>
      </c>
      <c r="CD11" s="180">
        <f t="array" ref="CD11">IF($BT11=0, INDEX(LS_current!$D$4:$AY$138, MATCH('Staging Table'!$A11, LS_current!$B$4:$B$138, 0), MATCH(CD$4&amp;CD$5, LS_current!$D$2:$AY$2&amp;LS_current!$D$3:$AY$3, 0)),SUM(VLOOKUP($A11, LS_current!$B$4:$AY$138, LS_current!I$148, FALSE), VLOOKUP($A11, LS_current!$B$4:$AY$138,LS_current!AG$148, FALSE))/2)</f>
        <v>0</v>
      </c>
      <c r="CE11" s="180">
        <f t="array" ref="CE11">IF($BT11=0, INDEX(LS_current!$D$4:$AY$138, MATCH('Staging Table'!$A11, LS_current!$B$4:$B$138, 0), MATCH(CE$4&amp;CE$5, LS_current!$D$2:$AY$2&amp;LS_current!$D$3:$AY$3, 0)),SUM(VLOOKUP($A11, LS_current!$B$4:$AY$138, LS_current!J$148, FALSE), VLOOKUP($A11, LS_current!$B$4:$AY$138,LS_current!AH$148, FALSE))/2)</f>
        <v>0</v>
      </c>
      <c r="CF11" s="180">
        <f t="array" ref="CF11">IF($BT11=0, INDEX(LS_current!$D$4:$AY$138, MATCH('Staging Table'!$A11, LS_current!$B$4:$B$138, 0), MATCH(CF$4&amp;CF$5, LS_current!$D$2:$AY$2&amp;LS_current!$D$3:$AY$3, 0)),SUM(VLOOKUP($A11, LS_current!$B$4:$AY$138, LS_current!K$148, FALSE), VLOOKUP($A11, LS_current!$B$4:$AY$138,LS_current!AI$148, FALSE))/2)</f>
        <v>0</v>
      </c>
      <c r="CG11" s="180">
        <f t="array" ref="CG11">IF($BT11=0, INDEX(LS_current!$D$4:$AY$138, MATCH('Staging Table'!$A11, LS_current!$B$4:$B$138, 0), MATCH(CG$4&amp;CG$5, LS_current!$D$2:$AY$2&amp;LS_current!$D$3:$AY$3, 0)),SUM(VLOOKUP($A11, LS_current!$B$4:$AY$138, LS_current!L$148, FALSE), VLOOKUP($A11, LS_current!$B$4:$AY$138,LS_current!AJ$148, FALSE))/2)</f>
        <v>0</v>
      </c>
      <c r="CH11" s="180">
        <f t="array" ref="CH11">IF($BT11=0, INDEX(LS_current!$D$4:$AY$138, MATCH('Staging Table'!$A11, LS_current!$B$4:$B$138, 0), MATCH(CH$4&amp;CH$5, LS_current!$D$2:$AY$2&amp;LS_current!$D$3:$AY$3, 0)),SUM(VLOOKUP($A11, LS_current!$B$4:$AY$138, LS_current!M$148, FALSE), VLOOKUP($A11, LS_current!$B$4:$AY$138,LS_current!AK$148, FALSE))/2)</f>
        <v>0</v>
      </c>
      <c r="CI11" s="180">
        <f t="array" ref="CI11">IF($BT11=0, INDEX(LS_current!$D$4:$AY$138, MATCH('Staging Table'!$A11, LS_current!$B$4:$B$138, 0), MATCH(CI$4&amp;CI$5, LS_current!$D$2:$AY$2&amp;LS_current!$D$3:$AY$3, 0)),SUM(VLOOKUP($A11, LS_current!$B$4:$AY$138, LS_current!N$148, FALSE), VLOOKUP($A11, LS_current!$B$4:$AY$138,LS_current!AL$148, FALSE))/2)</f>
        <v>0</v>
      </c>
      <c r="CJ11" s="180">
        <f t="array" ref="CJ11">IF($BT11=0, INDEX(LS_current!$D$4:$AY$138, MATCH('Staging Table'!$A11, LS_current!$B$4:$B$138, 0), MATCH(CJ$4&amp;CJ$5, LS_current!$D$2:$AY$2&amp;LS_current!$D$3:$AY$3, 0)),SUM(VLOOKUP($A11, LS_current!$B$4:$AY$138, LS_current!O$148, FALSE), VLOOKUP($A11, LS_current!$B$4:$AY$138,LS_current!AM$148, FALSE))/2)</f>
        <v>0</v>
      </c>
      <c r="CK11" s="180">
        <f t="array" ref="CK11">IF($BT11=0, INDEX(LS_current!$D$4:$AY$138, MATCH('Staging Table'!$A11, LS_current!$B$4:$B$138, 0), MATCH(CK$4&amp;CK$5, LS_current!$D$2:$AY$2&amp;LS_current!$D$3:$AY$3, 0)),SUM(VLOOKUP($A11, LS_current!$B$4:$AY$138, LS_current!P$148, FALSE), VLOOKUP($A11, LS_current!$B$4:$AY$138,LS_current!AN$148, FALSE))/2)</f>
        <v>0</v>
      </c>
      <c r="CL11" s="180">
        <f t="array" ref="CL11">IF($BT11=0, INDEX(LS_current!$D$4:$AY$138, MATCH('Staging Table'!$A11, LS_current!$B$4:$B$138, 0), MATCH(CL$4&amp;CL$5, LS_current!$D$2:$AY$2&amp;LS_current!$D$3:$AY$3, 0)),SUM(VLOOKUP($A11, LS_current!$B$4:$AY$138, LS_current!Q$148, FALSE), VLOOKUP($A11, LS_current!$B$4:$AY$138,LS_current!AO$148, FALSE))/2)</f>
        <v>0</v>
      </c>
      <c r="CM11" s="180">
        <f t="array" ref="CM11">IF($BT11=0, INDEX(LS_current!$D$4:$AY$138, MATCH('Staging Table'!$A11, LS_current!$B$4:$B$138, 0), MATCH(CM$4&amp;CM$5, LS_current!$D$2:$AY$2&amp;LS_current!$D$3:$AY$3, 0)),SUM(VLOOKUP($A11, LS_current!$B$4:$AY$138, LS_current!R$148, FALSE), VLOOKUP($A11, LS_current!$B$4:$AY$138,LS_current!AP$148, FALSE))/2)</f>
        <v>0</v>
      </c>
      <c r="CN11" s="180">
        <f t="array" ref="CN11">IF($BT11=0, INDEX(LS_current!$D$4:$AY$138, MATCH('Staging Table'!$A11, LS_current!$B$4:$B$138, 0), MATCH(CN$4&amp;CN$5, LS_current!$D$2:$AY$2&amp;LS_current!$D$3:$AY$3, 0)),SUM(VLOOKUP($A11, LS_current!$B$4:$AY$138, LS_current!S$148, FALSE), VLOOKUP($A11, LS_current!$B$4:$AY$138,LS_current!AQ$148, FALSE))/2)</f>
        <v>0</v>
      </c>
      <c r="CO11" s="180">
        <f t="array" ref="CO11">IF($BT11=0, INDEX(LS_current!$D$4:$AY$138, MATCH('Staging Table'!$A11, LS_current!$B$4:$B$138, 0), MATCH(CO$4&amp;CO$5, LS_current!$D$2:$AY$2&amp;LS_current!$D$3:$AY$3, 0)),SUM(VLOOKUP($A11, LS_current!$B$4:$AY$138, LS_current!T$148, FALSE), VLOOKUP($A11, LS_current!$B$4:$AY$138,LS_current!AR$148, FALSE))/2)</f>
        <v>0</v>
      </c>
      <c r="CP11" s="180">
        <f t="array" ref="CP11">IF($BT11=0, INDEX(LS_current!$D$4:$AY$138, MATCH('Staging Table'!$A11, LS_current!$B$4:$B$138, 0), MATCH(CP$4&amp;CP$5, LS_current!$D$2:$AY$2&amp;LS_current!$D$3:$AY$3, 0)),SUM(VLOOKUP($A11, LS_current!$B$4:$AY$138, LS_current!U$148, FALSE), VLOOKUP($A11, LS_current!$B$4:$AY$138,LS_current!AS$148, FALSE))/2)</f>
        <v>0</v>
      </c>
      <c r="CQ11" s="180">
        <f t="array" ref="CQ11">IF($BT11=0, INDEX(LS_current!$D$4:$AY$138, MATCH('Staging Table'!$A11, LS_current!$B$4:$B$138, 0), MATCH(CQ$4&amp;CQ$5, LS_current!$D$2:$AY$2&amp;LS_current!$D$3:$AY$3, 0)),SUM(VLOOKUP($A11, LS_current!$B$4:$AY$138, LS_current!V$148, FALSE), VLOOKUP($A11, LS_current!$B$4:$AY$138,LS_current!AT$148, FALSE))/2)</f>
        <v>0</v>
      </c>
      <c r="CR11" s="180">
        <f t="array" ref="CR11">IF($BT11=0, INDEX(LS_current!$D$4:$AY$138, MATCH('Staging Table'!$A11, LS_current!$B$4:$B$138, 0), MATCH(CR$4&amp;CR$5, LS_current!$D$2:$AY$2&amp;LS_current!$D$3:$AY$3, 0)),SUM(VLOOKUP($A11, LS_current!$B$4:$AY$138, LS_current!W$148, FALSE), VLOOKUP($A11, LS_current!$B$4:$AY$138,LS_current!AU$148, FALSE))/2)</f>
        <v>0</v>
      </c>
      <c r="CS11" s="180">
        <f t="array" ref="CS11">IF($BT11=0, INDEX(LS_current!$D$4:$AY$138, MATCH('Staging Table'!$A11, LS_current!$B$4:$B$138, 0), MATCH(CS$4&amp;CS$5, LS_current!$D$2:$AY$2&amp;LS_current!$D$3:$AY$3, 0)),SUM(VLOOKUP($A11, LS_current!$B$4:$AY$138, LS_current!X$148, FALSE), VLOOKUP($A11, LS_current!$B$4:$AY$138,LS_current!AV$148, FALSE))/2)</f>
        <v>0</v>
      </c>
      <c r="CT11" s="180">
        <f t="array" ref="CT11">IF($BT11=0, INDEX(LS_current!$D$4:$AY$138, MATCH('Staging Table'!$A11, LS_current!$B$4:$B$138, 0), MATCH(CT$4&amp;CT$5, LS_current!$D$2:$AY$2&amp;LS_current!$D$3:$AY$3, 0)),SUM(VLOOKUP($A11, LS_current!$B$4:$AY$138, LS_current!Y$148, FALSE), VLOOKUP($A11, LS_current!$B$4:$AY$138,LS_current!AW$148, FALSE))/2)</f>
        <v>0</v>
      </c>
      <c r="CU11" s="180">
        <f t="array" ref="CU11">IF($BT11=0, INDEX(LS_current!$D$4:$AY$138, MATCH('Staging Table'!$A11, LS_current!$B$4:$B$138, 0), MATCH(CU$4&amp;CU$5, LS_current!$D$2:$AY$2&amp;LS_current!$D$3:$AY$3, 0)),SUM(VLOOKUP($A11, LS_current!$B$4:$AY$138, LS_current!Z$148, FALSE), VLOOKUP($A11, LS_current!$B$4:$AY$138,LS_current!AX$148, FALSE))/2)</f>
        <v>0</v>
      </c>
      <c r="CV11" s="180">
        <f t="array" ref="CV11">IF($BT11=0, INDEX(LS_current!$D$4:$AY$138, MATCH('Staging Table'!$A11, LS_current!$B$4:$B$138, 0), MATCH(CV$4&amp;CV$5, LS_current!$D$2:$AY$2&amp;LS_current!$D$3:$AY$3, 0)),SUM(VLOOKUP($A11, LS_current!$B$4:$AY$138, LS_current!AA$148, FALSE), VLOOKUP($A11, LS_current!$B$4:$AY$138,LS_current!AY$148, FALSE))/2)</f>
        <v>0</v>
      </c>
      <c r="CW11" s="182">
        <f t="array" ref="CW11">INDEX(Demand_current!$D$4:$AY$138, MATCH($A11, Demand_current!$B$4:$B$138, 0), MATCH(CW$4&amp;CW$5,Demand_current!$D$2:$AY$2&amp;Demand_current!$D$3:$AY$3, 0))/1000</f>
        <v>0</v>
      </c>
      <c r="CX11" s="182">
        <f t="array" ref="CX11">INDEX(Demand_current!$D$4:$AY$138, MATCH($A11, Demand_current!$B$4:$B$138, 0), MATCH(CX$4&amp;CX$5,Demand_current!$D$2:$AY$2&amp;Demand_current!$D$3:$AY$3, 0))/1000</f>
        <v>0</v>
      </c>
      <c r="CY11" s="182">
        <f t="array" ref="CY11">INDEX(Demand_current!$D$4:$AY$138, MATCH($A11, Demand_current!$B$4:$B$138, 0), MATCH(CY$4&amp;CY$5,Demand_current!$D$2:$AY$2&amp;Demand_current!$D$3:$AY$3, 0))/1000</f>
        <v>0</v>
      </c>
      <c r="CZ11" s="182">
        <f t="array" ref="CZ11">INDEX(Demand_current!$D$4:$AY$138, MATCH($A11, Demand_current!$B$4:$B$138, 0), MATCH(CZ$4&amp;CZ$5,Demand_current!$D$2:$AY$2&amp;Demand_current!$D$3:$AY$3, 0))/1000</f>
        <v>0</v>
      </c>
      <c r="DA11" s="182">
        <f t="array" ref="DA11">INDEX(Demand_current!$D$4:$AY$138, MATCH($A11, Demand_current!$B$4:$B$138, 0), MATCH(DA$4&amp;DA$5,Demand_current!$D$2:$AY$2&amp;Demand_current!$D$3:$AY$3, 0))/1000</f>
        <v>0</v>
      </c>
      <c r="DB11" s="182">
        <f t="array" ref="DB11">INDEX(Demand_current!$D$4:$AY$138, MATCH($A11, Demand_current!$B$4:$B$138, 0), MATCH(DB$4&amp;DB$5,Demand_current!$D$2:$AY$2&amp;Demand_current!$D$3:$AY$3, 0))/1000</f>
        <v>0</v>
      </c>
      <c r="DC11" s="182">
        <f t="array" ref="DC11">INDEX(Demand_current!$D$4:$AY$138, MATCH($A11, Demand_current!$B$4:$B$138, 0), MATCH(DC$4&amp;DC$5,Demand_current!$D$2:$AY$2&amp;Demand_current!$D$3:$AY$3, 0))/1000</f>
        <v>0</v>
      </c>
      <c r="DD11" s="182">
        <f t="array" ref="DD11">INDEX(Demand_current!$D$4:$AY$138, MATCH($A11, Demand_current!$B$4:$B$138, 0), MATCH(DD$4&amp;DD$5,Demand_current!$D$2:$AY$2&amp;Demand_current!$D$3:$AY$3, 0))/1000</f>
        <v>0</v>
      </c>
      <c r="DE11" s="182">
        <f t="array" ref="DE11">INDEX(Demand_current!$D$4:$AY$138, MATCH($A11, Demand_current!$B$4:$B$138, 0), MATCH(DE$4&amp;DE$5,Demand_current!$D$2:$AY$2&amp;Demand_current!$D$3:$AY$3, 0))/1000</f>
        <v>0</v>
      </c>
      <c r="DF11" s="182">
        <f t="array" ref="DF11">INDEX(Demand_current!$D$4:$AY$138, MATCH($A11, Demand_current!$B$4:$B$138, 0), MATCH(DF$4&amp;DF$5,Demand_current!$D$2:$AY$2&amp;Demand_current!$D$3:$AY$3, 0))/1000</f>
        <v>0</v>
      </c>
      <c r="DG11" s="182">
        <f t="array" ref="DG11">INDEX(Demand_current!$D$4:$AY$138, MATCH($A11, Demand_current!$B$4:$B$138, 0), MATCH(DG$4&amp;DG$5,Demand_current!$D$2:$AY$2&amp;Demand_current!$D$3:$AY$3, 0))/1000</f>
        <v>0</v>
      </c>
      <c r="DH11" s="182">
        <f t="array" ref="DH11">INDEX(Demand_current!$D$4:$AY$138, MATCH($A11, Demand_current!$B$4:$B$138, 0), MATCH(DH$4&amp;DH$5,Demand_current!$D$2:$AY$2&amp;Demand_current!$D$3:$AY$3, 0))/1000</f>
        <v>0</v>
      </c>
      <c r="DI11" s="180">
        <f>$BS11*(VLOOKUP(DI$4, Rates_current!$G$6:$Q$29, 10, FALSE)+VLOOKUP(DI$4, Rates_current!$G$6:$Q$29, 11, FALSE))</f>
        <v>10521.696581181001</v>
      </c>
      <c r="DJ11" s="180">
        <f>$BS11*(VLOOKUP(DJ$4, Rates_current!$G$6:$Q$29, 10, FALSE)+VLOOKUP(DJ$4, Rates_current!$G$6:$Q$29, 11, FALSE))</f>
        <v>13418.632701746003</v>
      </c>
      <c r="DK11" s="180">
        <f>$BS11*(VLOOKUP(DK$4, Rates_current!$G$6:$Q$29, 10, FALSE)+VLOOKUP(DK$4, Rates_current!$G$6:$Q$29, 11, FALSE))</f>
        <v>14481.359710890001</v>
      </c>
      <c r="DL11" s="180">
        <f>$BS11*(VLOOKUP(DL$4, Rates_current!$G$6:$Q$29, 10, FALSE)+VLOOKUP(DL$4, Rates_current!$G$6:$Q$29, 11, FALSE))</f>
        <v>15048.371381536001</v>
      </c>
      <c r="DM11" s="180">
        <f>$BS11*(VLOOKUP(DM$4, Rates_current!$G$6:$Q$29, 10, FALSE)+VLOOKUP(DM$4, Rates_current!$G$6:$Q$29, 11, FALSE))</f>
        <v>12943.605207971999</v>
      </c>
      <c r="DN11" s="180">
        <f>$BS11*(VLOOKUP(DN$4, Rates_current!$G$6:$Q$29, 10, FALSE)+VLOOKUP(DN$4, Rates_current!$G$6:$Q$29, 11, FALSE))</f>
        <v>14131.854182154</v>
      </c>
      <c r="DO11" s="180">
        <f>$BS11*(VLOOKUP(DO$4, Rates_current!$G$6:$Q$29, 10, FALSE)+VLOOKUP(DO$4, Rates_current!$G$6:$Q$29, 11, FALSE))</f>
        <v>11154.717370689499</v>
      </c>
      <c r="DP11" s="180">
        <f>$BS11*(VLOOKUP(DP$4, Rates_current!$G$6:$Q$29, 10, FALSE)+VLOOKUP(DP$4, Rates_current!$G$6:$Q$29, 11, FALSE))</f>
        <v>13838.921700211002</v>
      </c>
      <c r="DQ11" s="180">
        <f>$BS11*(VLOOKUP(DQ$4, Rates_current!$G$6:$Q$29, 10, FALSE)+VLOOKUP(DQ$4, Rates_current!$G$6:$Q$29, 11, FALSE))</f>
        <v>14139.191753367</v>
      </c>
      <c r="DR11" s="180">
        <f>$BS11*(VLOOKUP(DR$4, Rates_current!$G$6:$Q$29, 10, FALSE)+VLOOKUP(DR$4, Rates_current!$G$6:$Q$29, 11, FALSE))</f>
        <v>12274.855452401</v>
      </c>
      <c r="DS11" s="180">
        <f>$BS11*(VLOOKUP(DS$4, Rates_current!$G$6:$Q$29, 10, FALSE)+VLOOKUP(DS$4, Rates_current!$G$6:$Q$29, 11, FALSE))</f>
        <v>11866.522458866903</v>
      </c>
      <c r="DT11" s="180">
        <f>$BS11*(VLOOKUP(DT$4, Rates_current!$G$6:$Q$29, 10, FALSE)+VLOOKUP(DT$4, Rates_current!$G$6:$Q$29, 11, FALSE))</f>
        <v>10919.498600732002</v>
      </c>
      <c r="DU11" s="402">
        <f>IF(D11=0,IF(C11=0,MAX(0,DW11 - (VLOOKUP($A11,TOCA_current!$A$2:$AI$137,MATCH("RHWM 2024",TOCA_current!$A$2:$AI$2,0),FALSE)*$BS$2)), 0),0)</f>
        <v>0</v>
      </c>
      <c r="DV11" s="403">
        <f>MIN(VLOOKUP($A11,TOCA_current!$A$2:$AI$137,MATCH("TRL - NLSL - Existing Resource "&amp;$BS$1,TOCA_current!$A$2:$AI$2,0),FALSE)*$BS$2, VLOOKUP($A11,TOCA_current!$A$2:$AI$137,MATCH("RHWM 2024",TOCA_current!$A$2:$AI$2,0),FALSE)*$BS$2)</f>
        <v>154738.94399999999</v>
      </c>
      <c r="DW11" s="403">
        <f>SUM(BY11:CV11)+(BS11*RT1SC!$C$4*$BS$2)</f>
        <v>154739.22781104001</v>
      </c>
      <c r="DX11" s="403">
        <f>VLOOKUP($A11,TOCA_current!$A$2:$AI$137,MATCH("Above RHWM Not Served with LS "&amp;$BS$1,TOCA_current!$A$2:$AI$2,0),FALSE)*$BS$2</f>
        <v>35689.392</v>
      </c>
      <c r="DY11" s="403">
        <f t="shared" si="13"/>
        <v>0.28381104001891799</v>
      </c>
      <c r="DZ11" s="403">
        <f>(VLOOKUP($A11,TOCA_current!$A$2:$AI$137,MATCH("RHWM 2024",TOCA_current!$A$2:$AI$2,0),FALSE)*$BS$2) - $DV11</f>
        <v>0</v>
      </c>
      <c r="EA11" s="403">
        <f t="shared" si="14"/>
        <v>0</v>
      </c>
      <c r="EB11" s="403">
        <f t="shared" si="15"/>
        <v>0</v>
      </c>
      <c r="EC11" s="403">
        <f t="shared" si="16"/>
        <v>0</v>
      </c>
      <c r="ED11" s="403">
        <f t="shared" si="17"/>
        <v>0</v>
      </c>
    </row>
    <row r="12" spans="1:134">
      <c r="A12" s="123">
        <v>10044</v>
      </c>
      <c r="B12" s="124" t="s">
        <v>13</v>
      </c>
      <c r="C12" s="232">
        <f>VLOOKUP(A12, TOCA_current!$A$3:$D$137, 4, FALSE)</f>
        <v>0</v>
      </c>
      <c r="D12" s="191">
        <v>0</v>
      </c>
      <c r="E12" s="107">
        <f>VLOOKUP($A12,TOCA_previous!$A$2:$AI$137,MATCH(E$4,TOCA_previous!$A$2:$AI$2,0),FALSE)</f>
        <v>2.8758999999999998E-3</v>
      </c>
      <c r="F12" s="108">
        <f>VLOOKUP($A12,TOCA_previous!$A$2:$AI$137,MATCH(F$4,TOCA_previous!$A$2:$AI$2,0),FALSE)</f>
        <v>2.8758999999999998E-3</v>
      </c>
      <c r="G12" s="108">
        <f t="shared" si="5"/>
        <v>0</v>
      </c>
      <c r="H12" s="108">
        <f>VLOOKUP($A12,TOCA_previous!$A$2:$AI$137,MATCH(H$4,TOCA_previous!$A$2:$AI$2,0),FALSE)</f>
        <v>0</v>
      </c>
      <c r="I12" s="108">
        <f t="shared" si="6"/>
        <v>0</v>
      </c>
      <c r="J12" s="108">
        <f t="shared" si="7"/>
        <v>0</v>
      </c>
      <c r="K12" s="179">
        <f>VLOOKUP(A12, IRD!$A$5:$C$139, 3, FALSE)</f>
        <v>0</v>
      </c>
      <c r="L12" s="180">
        <f t="array" ref="L12">IF($G12=0, INDEX(LS_previous!$D$4:$AY$138, MATCH('Staging Table'!$A12, LS_previous!$B$4:$B$138, 0), MATCH(L$4&amp;L$5, LS_previous!$D$2:$AY$2&amp;LS_previous!$D$3:$AY$3, 0)),SUM(VLOOKUP($A12, LS_previous!$B$4:$AY$138, LS_previous!D$149, FALSE), VLOOKUP('Staging Table'!$A12, LS_previous!$B$4:$AY$138,LS_previous!AB$149, FALSE))/2)</f>
        <v>964.96127822235576</v>
      </c>
      <c r="M12" s="180">
        <f t="array" ref="M12">IF($G12=0, INDEX(LS_previous!$D$4:$AY$138, MATCH('Staging Table'!$A12, LS_previous!$B$4:$B$138, 0), MATCH(M$4&amp;M$5, LS_previous!$D$2:$AY$2&amp;LS_previous!$D$3:$AY$3, 0)),SUM(VLOOKUP($A12, LS_previous!$B$4:$AY$138, LS_previous!E$149, FALSE), VLOOKUP('Staging Table'!$A12, LS_previous!$B$4:$AY$138,LS_previous!AC$149, FALSE))/2)</f>
        <v>566.56048010533232</v>
      </c>
      <c r="N12" s="180">
        <f t="array" ref="N12">IF($G12=0, INDEX(LS_previous!$D$4:$AY$138, MATCH('Staging Table'!$A12, LS_previous!$B$4:$B$138, 0), MATCH(N$4&amp;N$5, LS_previous!$D$2:$AY$2&amp;LS_previous!$D$3:$AY$3, 0)),SUM(VLOOKUP($A12, LS_previous!$B$4:$AY$138, LS_previous!F$149, FALSE), VLOOKUP('Staging Table'!$A12, LS_previous!$B$4:$AY$138,LS_previous!AD$149, FALSE))/2)</f>
        <v>-547.95751600056246</v>
      </c>
      <c r="O12" s="180">
        <f t="array" ref="O12">IF($G12=0, INDEX(LS_previous!$D$4:$AY$138, MATCH('Staging Table'!$A12, LS_previous!$B$4:$B$138, 0), MATCH(O$4&amp;O$5, LS_previous!$D$2:$AY$2&amp;LS_previous!$D$3:$AY$3, 0)),SUM(VLOOKUP($A12, LS_previous!$B$4:$AY$138, LS_previous!G$149, FALSE), VLOOKUP('Staging Table'!$A12, LS_previous!$B$4:$AY$138,LS_previous!AE$149, FALSE))/2)</f>
        <v>-711.65194541285382</v>
      </c>
      <c r="P12" s="180">
        <f t="array" ref="P12">IF($G12=0, INDEX(LS_previous!$D$4:$AY$138, MATCH('Staging Table'!$A12, LS_previous!$B$4:$B$138, 0), MATCH(P$4&amp;P$5, LS_previous!$D$2:$AY$2&amp;LS_previous!$D$3:$AY$3, 0)),SUM(VLOOKUP($A12, LS_previous!$B$4:$AY$138, LS_previous!H$149, FALSE), VLOOKUP('Staging Table'!$A12, LS_previous!$B$4:$AY$138,LS_previous!AF$149, FALSE))/2)</f>
        <v>2099.2463994622012</v>
      </c>
      <c r="Q12" s="180">
        <f t="array" ref="Q12">IF($G12=0, INDEX(LS_previous!$D$4:$AY$138, MATCH('Staging Table'!$A12, LS_previous!$B$4:$B$138, 0), MATCH(Q$4&amp;Q$5, LS_previous!$D$2:$AY$2&amp;LS_previous!$D$3:$AY$3, 0)),SUM(VLOOKUP($A12, LS_previous!$B$4:$AY$138, LS_previous!I$149, FALSE), VLOOKUP('Staging Table'!$A12, LS_previous!$B$4:$AY$138,LS_previous!AG$149, FALSE))/2)</f>
        <v>371.9207264483457</v>
      </c>
      <c r="R12" s="180">
        <f t="array" ref="R12">IF($G12=0, INDEX(LS_previous!$D$4:$AY$138, MATCH('Staging Table'!$A12, LS_previous!$B$4:$B$138, 0), MATCH(R$4&amp;R$5, LS_previous!$D$2:$AY$2&amp;LS_previous!$D$3:$AY$3, 0)),SUM(VLOOKUP($A12, LS_previous!$B$4:$AY$138, LS_previous!J$149, FALSE), VLOOKUP('Staging Table'!$A12, LS_previous!$B$4:$AY$138,LS_previous!AH$149, FALSE))/2)</f>
        <v>4191.5918682901311</v>
      </c>
      <c r="S12" s="180">
        <f t="array" ref="S12">IF($G12=0, INDEX(LS_previous!$D$4:$AY$138, MATCH('Staging Table'!$A12, LS_previous!$B$4:$B$138, 0), MATCH(S$4&amp;S$5, LS_previous!$D$2:$AY$2&amp;LS_previous!$D$3:$AY$3, 0)),SUM(VLOOKUP($A12, LS_previous!$B$4:$AY$138, LS_previous!K$149, FALSE), VLOOKUP('Staging Table'!$A12, LS_previous!$B$4:$AY$138,LS_previous!AI$149, FALSE))/2)</f>
        <v>1112.7057581657882</v>
      </c>
      <c r="T12" s="180">
        <f t="array" ref="T12">IF($G12=0, INDEX(LS_previous!$D$4:$AY$138, MATCH('Staging Table'!$A12, LS_previous!$B$4:$B$138, 0), MATCH(T$4&amp;T$5, LS_previous!$D$2:$AY$2&amp;LS_previous!$D$3:$AY$3, 0)),SUM(VLOOKUP($A12, LS_previous!$B$4:$AY$138, LS_previous!L$149, FALSE), VLOOKUP('Staging Table'!$A12, LS_previous!$B$4:$AY$138,LS_previous!AJ$149, FALSE))/2)</f>
        <v>3481.8708791093804</v>
      </c>
      <c r="U12" s="180">
        <f t="array" ref="U12">IF($G12=0, INDEX(LS_previous!$D$4:$AY$138, MATCH('Staging Table'!$A12, LS_previous!$B$4:$B$138, 0), MATCH(U$4&amp;U$5, LS_previous!$D$2:$AY$2&amp;LS_previous!$D$3:$AY$3, 0)),SUM(VLOOKUP($A12, LS_previous!$B$4:$AY$138, LS_previous!M$149, FALSE), VLOOKUP('Staging Table'!$A12, LS_previous!$B$4:$AY$138,LS_previous!AK$149, FALSE))/2)</f>
        <v>679.82611447600721</v>
      </c>
      <c r="V12" s="180">
        <f t="array" ref="V12">IF($G12=0, INDEX(LS_previous!$D$4:$AY$138, MATCH('Staging Table'!$A12, LS_previous!$B$4:$B$138, 0), MATCH(V$4&amp;V$5, LS_previous!$D$2:$AY$2&amp;LS_previous!$D$3:$AY$3, 0)),SUM(VLOOKUP($A12, LS_previous!$B$4:$AY$138, LS_previous!N$149, FALSE), VLOOKUP('Staging Table'!$A12, LS_previous!$B$4:$AY$138,LS_previous!AL$149, FALSE))/2)</f>
        <v>1463.6314971532574</v>
      </c>
      <c r="W12" s="180">
        <f t="array" ref="W12">IF($G12=0, INDEX(LS_previous!$D$4:$AY$138, MATCH('Staging Table'!$A12, LS_previous!$B$4:$B$138, 0), MATCH(W$4&amp;W$5, LS_previous!$D$2:$AY$2&amp;LS_previous!$D$3:$AY$3, 0)),SUM(VLOOKUP($A12, LS_previous!$B$4:$AY$138, LS_previous!O$149, FALSE), VLOOKUP('Staging Table'!$A12, LS_previous!$B$4:$AY$138,LS_previous!AM$149, FALSE))/2)</f>
        <v>482.05800526619623</v>
      </c>
      <c r="X12" s="180">
        <f t="array" ref="X12">IF($G12=0, INDEX(LS_previous!$D$4:$AY$138, MATCH('Staging Table'!$A12, LS_previous!$B$4:$B$138, 0), MATCH(X$4&amp;X$5, LS_previous!$D$2:$AY$2&amp;LS_previous!$D$3:$AY$3, 0)),SUM(VLOOKUP($A12, LS_previous!$B$4:$AY$138, LS_previous!P$149, FALSE), VLOOKUP('Staging Table'!$A12, LS_previous!$B$4:$AY$138,LS_previous!AN$149, FALSE))/2)</f>
        <v>2876.1367242601782</v>
      </c>
      <c r="Y12" s="180">
        <f t="array" ref="Y12">IF($G12=0, INDEX(LS_previous!$D$4:$AY$138, MATCH('Staging Table'!$A12, LS_previous!$B$4:$B$138, 0), MATCH(Y$4&amp;Y$5, LS_previous!$D$2:$AY$2&amp;LS_previous!$D$3:$AY$3, 0)),SUM(VLOOKUP($A12, LS_previous!$B$4:$AY$138, LS_previous!Q$149, FALSE), VLOOKUP('Staging Table'!$A12, LS_previous!$B$4:$AY$138,LS_previous!AO$149, FALSE))/2)</f>
        <v>826.98790085694964</v>
      </c>
      <c r="Z12" s="180">
        <f t="array" ref="Z12">IF($G12=0, INDEX(LS_previous!$D$4:$AY$138, MATCH('Staging Table'!$A12, LS_previous!$B$4:$B$138, 0), MATCH(Z$4&amp;Z$5, LS_previous!$D$2:$AY$2&amp;LS_previous!$D$3:$AY$3, 0)),SUM(VLOOKUP($A12, LS_previous!$B$4:$AY$138, LS_previous!R$149, FALSE), VLOOKUP('Staging Table'!$A12, LS_previous!$B$4:$AY$138,LS_previous!AP$149, FALSE))/2)</f>
        <v>-1308.0834518290285</v>
      </c>
      <c r="AA12" s="180">
        <f t="array" ref="AA12">IF($G12=0, INDEX(LS_previous!$D$4:$AY$138, MATCH('Staging Table'!$A12, LS_previous!$B$4:$B$138, 0), MATCH(AA$4&amp;AA$5, LS_previous!$D$2:$AY$2&amp;LS_previous!$D$3:$AY$3, 0)),SUM(VLOOKUP($A12, LS_previous!$B$4:$AY$138, LS_previous!S$149, FALSE), VLOOKUP('Staging Table'!$A12, LS_previous!$B$4:$AY$138,LS_previous!AQ$149, FALSE))/2)</f>
        <v>-144.31508012972063</v>
      </c>
      <c r="AB12" s="180">
        <f t="array" ref="AB12">IF($G12=0, INDEX(LS_previous!$D$4:$AY$138, MATCH('Staging Table'!$A12, LS_previous!$B$4:$B$138, 0), MATCH(AB$4&amp;AB$5, LS_previous!$D$2:$AY$2&amp;LS_previous!$D$3:$AY$3, 0)),SUM(VLOOKUP($A12, LS_previous!$B$4:$AY$138, LS_previous!T$149, FALSE), VLOOKUP('Staging Table'!$A12, LS_previous!$B$4:$AY$138,LS_previous!AR$149, FALSE))/2)</f>
        <v>-2420.8337642695024</v>
      </c>
      <c r="AC12" s="180">
        <f t="array" ref="AC12">IF($G12=0, INDEX(LS_previous!$D$4:$AY$138, MATCH('Staging Table'!$A12, LS_previous!$B$4:$B$138, 0), MATCH(AC$4&amp;AC$5, LS_previous!$D$2:$AY$2&amp;LS_previous!$D$3:$AY$3, 0)),SUM(VLOOKUP($A12, LS_previous!$B$4:$AY$138, LS_previous!U$149, FALSE), VLOOKUP('Staging Table'!$A12, LS_previous!$B$4:$AY$138,LS_previous!AS$149, FALSE))/2)</f>
        <v>559.95130060537849</v>
      </c>
      <c r="AD12" s="180">
        <f t="array" ref="AD12">IF($G12=0, INDEX(LS_previous!$D$4:$AY$138, MATCH('Staging Table'!$A12, LS_previous!$B$4:$B$138, 0), MATCH(AD$4&amp;AD$5, LS_previous!$D$2:$AY$2&amp;LS_previous!$D$3:$AY$3, 0)),SUM(VLOOKUP($A12, LS_previous!$B$4:$AY$138, LS_previous!V$149, FALSE), VLOOKUP('Staging Table'!$A12, LS_previous!$B$4:$AY$138,LS_previous!AT$149, FALSE))/2)</f>
        <v>236.79867813373858</v>
      </c>
      <c r="AE12" s="180">
        <f t="array" ref="AE12">IF($G12=0, INDEX(LS_previous!$D$4:$AY$138, MATCH('Staging Table'!$A12, LS_previous!$B$4:$B$138, 0), MATCH(AE$4&amp;AE$5, LS_previous!$D$2:$AY$2&amp;LS_previous!$D$3:$AY$3, 0)),SUM(VLOOKUP($A12, LS_previous!$B$4:$AY$138, LS_previous!W$149, FALSE), VLOOKUP('Staging Table'!$A12, LS_previous!$B$4:$AY$138,LS_previous!AU$149, FALSE))/2)</f>
        <v>498.61944462181145</v>
      </c>
      <c r="AF12" s="180">
        <f t="array" ref="AF12">IF($G12=0, INDEX(LS_previous!$D$4:$AY$138, MATCH('Staging Table'!$A12, LS_previous!$B$4:$B$138, 0), MATCH(AF$4&amp;AF$5, LS_previous!$D$2:$AY$2&amp;LS_previous!$D$3:$AY$3, 0)),SUM(VLOOKUP($A12, LS_previous!$B$4:$AY$138, LS_previous!X$149, FALSE), VLOOKUP('Staging Table'!$A12, LS_previous!$B$4:$AY$138,LS_previous!AV$149, FALSE))/2)</f>
        <v>765.73719988998891</v>
      </c>
      <c r="AG12" s="180">
        <f t="array" ref="AG12">IF($G12=0, INDEX(LS_previous!$D$4:$AY$138, MATCH('Staging Table'!$A12, LS_previous!$B$4:$B$138, 0), MATCH(AG$4&amp;AG$5, LS_previous!$D$2:$AY$2&amp;LS_previous!$D$3:$AY$3, 0)),SUM(VLOOKUP($A12, LS_previous!$B$4:$AY$138, LS_previous!Y$149, FALSE), VLOOKUP('Staging Table'!$A12, LS_previous!$B$4:$AY$138,LS_previous!AW$149, FALSE))/2)</f>
        <v>626.58308342834061</v>
      </c>
      <c r="AH12" s="180">
        <f t="array" ref="AH12">IF($G12=0, INDEX(LS_previous!$D$4:$AY$138, MATCH('Staging Table'!$A12, LS_previous!$B$4:$B$138, 0), MATCH(AH$4&amp;AH$5, LS_previous!$D$2:$AY$2&amp;LS_previous!$D$3:$AY$3, 0)),SUM(VLOOKUP($A12, LS_previous!$B$4:$AY$138, LS_previous!Z$149, FALSE), VLOOKUP('Staging Table'!$A12, LS_previous!$B$4:$AY$138,LS_previous!AX$149, FALSE))/2)</f>
        <v>-197.80907361333993</v>
      </c>
      <c r="AI12" s="180">
        <f t="array" ref="AI12">IF($G12=0, INDEX(LS_previous!$D$4:$AY$138, MATCH('Staging Table'!$A12, LS_previous!$B$4:$B$138, 0), MATCH(AI$4&amp;AI$5, LS_previous!$D$2:$AY$2&amp;LS_previous!$D$3:$AY$3, 0)),SUM(VLOOKUP($A12, LS_previous!$B$4:$AY$138, LS_previous!AA$149, FALSE), VLOOKUP('Staging Table'!$A12, LS_previous!$B$4:$AY$138,LS_previous!AY$149, FALSE))/2)</f>
        <v>327.30930471759984</v>
      </c>
      <c r="AJ12" s="298">
        <f t="array" ref="AJ12">INDEX(Demand_previous!$D$4:$AY$138, MATCH('Staging Table'!$A12, Demand_previous!$B$4:$B$138, 0), MATCH(AJ$4&amp;AJ$5,Demand_previous!$D$2:$AY$2&amp;Demand_previous!$D$3:$AY$3, 0))/1000</f>
        <v>0</v>
      </c>
      <c r="AK12" s="298">
        <f t="array" ref="AK12">INDEX(Demand_previous!$D$4:$AY$138, MATCH('Staging Table'!$A12, Demand_previous!$B$4:$B$138, 0), MATCH(AK$4&amp;AK$5,Demand_previous!$D$2:$AY$2&amp;Demand_previous!$D$3:$AY$3, 0))/1000</f>
        <v>1.0829525000000055</v>
      </c>
      <c r="AL12" s="298">
        <f t="array" ref="AL12">INDEX(Demand_previous!$D$4:$AY$138, MATCH('Staging Table'!$A12, Demand_previous!$B$4:$B$138, 0), MATCH(AL$4&amp;AL$5,Demand_previous!$D$2:$AY$2&amp;Demand_previous!$D$3:$AY$3, 0))/1000</f>
        <v>2.5243894230769248</v>
      </c>
      <c r="AM12" s="298">
        <f t="array" ref="AM12">INDEX(Demand_previous!$D$4:$AY$138, MATCH('Staging Table'!$A12, Demand_previous!$B$4:$B$138, 0), MATCH(AM$4&amp;AM$5,Demand_previous!$D$2:$AY$2&amp;Demand_previous!$D$3:$AY$3, 0))/1000</f>
        <v>0</v>
      </c>
      <c r="AN12" s="298">
        <f t="array" ref="AN12">INDEX(Demand_previous!$D$4:$AY$138, MATCH('Staging Table'!$A12, Demand_previous!$B$4:$B$138, 0), MATCH(AN$4&amp;AN$5,Demand_previous!$D$2:$AY$2&amp;Demand_previous!$D$3:$AY$3, 0))/1000</f>
        <v>2.7265078124999986</v>
      </c>
      <c r="AO12" s="298">
        <f t="array" ref="AO12">INDEX(Demand_previous!$D$4:$AY$138, MATCH('Staging Table'!$A12, Demand_previous!$B$4:$B$138, 0), MATCH(AO$4&amp;AO$5,Demand_previous!$D$2:$AY$2&amp;Demand_previous!$D$3:$AY$3, 0))/1000</f>
        <v>2.7064791666666732</v>
      </c>
      <c r="AP12" s="298">
        <f t="array" ref="AP12">INDEX(Demand_previous!$D$4:$AY$138, MATCH('Staging Table'!$A12, Demand_previous!$B$4:$B$138, 0), MATCH(AP$4&amp;AP$5,Demand_previous!$D$2:$AY$2&amp;Demand_previous!$D$3:$AY$3, 0))/1000</f>
        <v>0</v>
      </c>
      <c r="AQ12" s="298">
        <f t="array" ref="AQ12">INDEX(Demand_previous!$D$4:$AY$138, MATCH('Staging Table'!$A12, Demand_previous!$B$4:$B$138, 0), MATCH(AQ$4&amp;AQ$5,Demand_previous!$D$2:$AY$2&amp;Demand_previous!$D$3:$AY$3, 0))/1000</f>
        <v>0.7999300000000038</v>
      </c>
      <c r="AR12" s="298">
        <f t="array" ref="AR12">INDEX(Demand_previous!$D$4:$AY$138, MATCH('Staging Table'!$A12, Demand_previous!$B$4:$B$138, 0), MATCH(AR$4&amp;AR$5,Demand_previous!$D$2:$AY$2&amp;Demand_previous!$D$3:$AY$3, 0))/1000</f>
        <v>6.0698124999999967</v>
      </c>
      <c r="AS12" s="298">
        <f t="array" ref="AS12">INDEX(Demand_previous!$D$4:$AY$138, MATCH('Staging Table'!$A12, Demand_previous!$B$4:$B$138, 0), MATCH(AS$4&amp;AS$5,Demand_previous!$D$2:$AY$2&amp;Demand_previous!$D$3:$AY$3, 0))/1000</f>
        <v>1.7594899999999996</v>
      </c>
      <c r="AT12" s="298">
        <f t="array" ref="AT12">INDEX(Demand_previous!$D$4:$AY$138, MATCH('Staging Table'!$A12, Demand_previous!$B$4:$B$138, 0), MATCH(AT$4&amp;AT$5,Demand_previous!$D$2:$AY$2&amp;Demand_previous!$D$3:$AY$3, 0))/1000</f>
        <v>5.5289074074074085</v>
      </c>
      <c r="AU12" s="298">
        <f t="array" ref="AU12">INDEX(Demand_previous!$D$4:$AY$138, MATCH('Staging Table'!$A12, Demand_previous!$B$4:$B$138, 0), MATCH(AU$4&amp;AU$5,Demand_previous!$D$2:$AY$2&amp;Demand_previous!$D$3:$AY$3, 0))/1000</f>
        <v>6.1325375000000024</v>
      </c>
      <c r="AV12" s="180">
        <f>$F12*(VLOOKUP(AV$4, Rates_previous!$G$6:$Q$29, 10, FALSE)+VLOOKUP(AV$4, Rates_previous!$G$6:$Q$29, 11, FALSE))</f>
        <v>13096.63124167231</v>
      </c>
      <c r="AW12" s="180">
        <f>$F12*(VLOOKUP(AW$4, Rates_previous!$G$6:$Q$29, 10, FALSE)+VLOOKUP(AW$4, Rates_previous!$G$6:$Q$29, 11, FALSE))</f>
        <v>16580.810461413417</v>
      </c>
      <c r="AX12" s="180">
        <f>$F12*(VLOOKUP(AX$4, Rates_previous!$G$6:$Q$29, 10, FALSE)+VLOOKUP(AX$4, Rates_previous!$G$6:$Q$29, 11, FALSE))</f>
        <v>16229.300874089453</v>
      </c>
      <c r="AY12" s="180">
        <f>$F12*(VLOOKUP(AY$4, Rates_previous!$G$6:$Q$29, 10, FALSE)+VLOOKUP(AY$4, Rates_previous!$G$6:$Q$29, 11, FALSE))</f>
        <v>13404.71237354408</v>
      </c>
      <c r="AZ12" s="180">
        <f>$F12*(VLOOKUP(AZ$4, Rates_previous!$G$6:$Q$29, 10, FALSE)+VLOOKUP(AZ$4, Rates_previous!$G$6:$Q$29, 11, FALSE))</f>
        <v>11618.158006414613</v>
      </c>
      <c r="BA12" s="180">
        <f>$F12*(VLOOKUP(BA$4, Rates_previous!$G$6:$Q$29, 10, FALSE)+VLOOKUP(BA$4, Rates_previous!$G$6:$Q$29, 11, FALSE))</f>
        <v>13869.734497580546</v>
      </c>
      <c r="BB12" s="180">
        <f>$F12*(VLOOKUP(BB$4, Rates_previous!$G$6:$Q$29, 10, FALSE)+VLOOKUP(BB$4, Rates_previous!$G$6:$Q$29, 11, FALSE))</f>
        <v>10768.002374882872</v>
      </c>
      <c r="BC12" s="180">
        <f>$F12*(VLOOKUP(BC$4, Rates_previous!$G$6:$Q$29, 10, FALSE)+VLOOKUP(BC$4, Rates_previous!$G$6:$Q$29, 11, FALSE))</f>
        <v>14919.14653195875</v>
      </c>
      <c r="BD12" s="180">
        <f>$F12*(VLOOKUP(BD$4, Rates_previous!$G$6:$Q$29, 10, FALSE)+VLOOKUP(BD$4, Rates_previous!$G$6:$Q$29, 11, FALSE))</f>
        <v>15941.420463664123</v>
      </c>
      <c r="BE12" s="180">
        <f>$F12*(VLOOKUP(BE$4, Rates_previous!$G$6:$Q$29, 10, FALSE)+VLOOKUP(BE$4, Rates_previous!$G$6:$Q$29, 11, FALSE))</f>
        <v>15135.65687724445</v>
      </c>
      <c r="BF12" s="180">
        <f>$F12*(VLOOKUP(BF$4, Rates_previous!$G$6:$Q$29, 10, FALSE)+VLOOKUP(BF$4, Rates_previous!$G$6:$Q$29, 11, FALSE))</f>
        <v>14627.44471668167</v>
      </c>
      <c r="BG12" s="180">
        <f>$F12*(VLOOKUP(BG$4, Rates_previous!$G$6:$Q$29, 10, FALSE)+VLOOKUP(BG$4, Rates_previous!$G$6:$Q$29, 11, FALSE))</f>
        <v>13517.283768895741</v>
      </c>
      <c r="BH12" s="298">
        <f>IF($D12=0,IF(C12=0, MAX(BJ12 - (VLOOKUP($A12,TOCA_previous!$A$2:$AI$137,MATCH("RHWM 2022",TOCA_previous!$A$2:$AI$2,0),FALSE)*$F$2*TOCA_previous!C9),0),0), 0)</f>
        <v>16802.676681313984</v>
      </c>
      <c r="BI12" s="192">
        <f>MIN(VLOOKUP($A12,TOCA_previous!$A$2:$AI$137,MATCH("TRL - NLSL - Existing Resource "&amp;$F$1,TOCA_previous!$A$2:$AI$2,0),FALSE)*$F$2,(VLOOKUP($A12,TOCA_previous!$A$2:$AI$137,MATCH("RHWM 2022",TOCA_previous!$A$2:$AI$2,0),FALSE)*$F$2))</f>
        <v>169707.48</v>
      </c>
      <c r="BJ12" s="402">
        <f>SUM(L12:AI12)+(F12*RT1SC!$C$3*$F$2)</f>
        <v>186510.15668131399</v>
      </c>
      <c r="BK12" s="401">
        <f>VLOOKUP($A12,TOCA_previous!$A$2:$AI$137,MATCH("Above RHWM Not Served with LS "&amp;$F$1,TOCA_previous!$A$2:$AI$2,0),FALSE)*$F$2</f>
        <v>22995</v>
      </c>
      <c r="BL12" s="402">
        <f t="shared" si="8"/>
        <v>16802.676681313984</v>
      </c>
      <c r="BM12" s="401">
        <f>(VLOOKUP($A12,TOCA_previous!$A$2:$AI$137,MATCH("RHWM 2022",TOCA_previous!$A$2:$AI$2,0),FALSE)*$F$2) - $BI12</f>
        <v>0</v>
      </c>
      <c r="BN12" s="402">
        <f t="shared" si="9"/>
        <v>0</v>
      </c>
      <c r="BO12" s="401">
        <f t="shared" si="10"/>
        <v>0</v>
      </c>
      <c r="BP12" s="402">
        <f t="shared" si="11"/>
        <v>0</v>
      </c>
      <c r="BQ12" s="401">
        <f t="shared" si="2"/>
        <v>0</v>
      </c>
      <c r="BR12" s="108">
        <f>VLOOKUP($A12,TOCA_current!$A$2:$AI$137,MATCH(BR$4,TOCA_current!$A$2:$AI$2,0),FALSE)</f>
        <v>2.8752999999999999E-3</v>
      </c>
      <c r="BS12" s="108">
        <f>VLOOKUP($A12,TOCA_current!$A$2:$AI$137,MATCH(BS$4,TOCA_current!$A$2:$AI$2,0),FALSE)</f>
        <v>2.8752999999999999E-3</v>
      </c>
      <c r="BT12" s="189">
        <f t="shared" si="12"/>
        <v>0</v>
      </c>
      <c r="BU12" s="108">
        <f>VLOOKUP($A12,TOCA_current!A8:BG143,MATCH(BU$4,TOCA_current!$A$2:$BG$2,0),FALSE)</f>
        <v>0</v>
      </c>
      <c r="BV12" s="108">
        <f t="shared" si="3"/>
        <v>0</v>
      </c>
      <c r="BW12" s="108">
        <f t="shared" si="4"/>
        <v>0</v>
      </c>
      <c r="BX12" s="179">
        <f>VLOOKUP($A12,IRD!$A$4:$G$139, 7, FALSE)</f>
        <v>0</v>
      </c>
      <c r="BY12" s="180">
        <f t="array" ref="BY12">IF($BT12=0, INDEX(LS_current!$D$4:$AY$138, MATCH('Staging Table'!$A12, LS_current!$B$4:$B$138, 0), MATCH(BY$4&amp;BY$5, LS_current!$D$2:$AY$2&amp;LS_current!$D$3:$AY$3, 0)),SUM(VLOOKUP($A12, LS_current!$B$4:$AY$138, LS_current!D$148, FALSE), VLOOKUP($A12, LS_current!$B$4:$AY$138,LS_current!AB$148, FALSE))/2)</f>
        <v>1644.3476632891989</v>
      </c>
      <c r="BZ12" s="180">
        <f t="array" ref="BZ12">IF($BT12=0, INDEX(LS_current!$D$4:$AY$138, MATCH('Staging Table'!$A12, LS_current!$B$4:$B$138, 0), MATCH(BZ$4&amp;BZ$5, LS_current!$D$2:$AY$2&amp;LS_current!$D$3:$AY$3, 0)),SUM(VLOOKUP($A12, LS_current!$B$4:$AY$138, LS_current!E$148, FALSE), VLOOKUP($A12, LS_current!$B$4:$AY$138,LS_current!AC$148, FALSE))/2)</f>
        <v>171.23088126985022</v>
      </c>
      <c r="CA12" s="180">
        <f t="array" ref="CA12">IF($BT12=0, INDEX(LS_current!$D$4:$AY$138, MATCH('Staging Table'!$A12, LS_current!$B$4:$B$138, 0), MATCH(CA$4&amp;CA$5, LS_current!$D$2:$AY$2&amp;LS_current!$D$3:$AY$3, 0)),SUM(VLOOKUP($A12, LS_current!$B$4:$AY$138, LS_current!F$148, FALSE), VLOOKUP($A12, LS_current!$B$4:$AY$138,LS_current!AD$148, FALSE))/2)</f>
        <v>-126.36141419839987</v>
      </c>
      <c r="CB12" s="180">
        <f t="array" ref="CB12">IF($BT12=0, INDEX(LS_current!$D$4:$AY$138, MATCH('Staging Table'!$A12, LS_current!$B$4:$B$138, 0), MATCH(CB$4&amp;CB$5, LS_current!$D$2:$AY$2&amp;LS_current!$D$3:$AY$3, 0)),SUM(VLOOKUP($A12, LS_current!$B$4:$AY$138, LS_current!G$148, FALSE), VLOOKUP($A12, LS_current!$B$4:$AY$138,LS_current!AE$148, FALSE))/2)</f>
        <v>-683.76082771429992</v>
      </c>
      <c r="CC12" s="180">
        <f t="array" ref="CC12">IF($BT12=0, INDEX(LS_current!$D$4:$AY$138, MATCH('Staging Table'!$A12, LS_current!$B$4:$B$138, 0), MATCH(CC$4&amp;CC$5, LS_current!$D$2:$AY$2&amp;LS_current!$D$3:$AY$3, 0)),SUM(VLOOKUP($A12, LS_current!$B$4:$AY$138, LS_current!H$148, FALSE), VLOOKUP($A12, LS_current!$B$4:$AY$138,LS_current!AF$148, FALSE))/2)</f>
        <v>923.52935465329938</v>
      </c>
      <c r="CD12" s="180">
        <f t="array" ref="CD12">IF($BT12=0, INDEX(LS_current!$D$4:$AY$138, MATCH('Staging Table'!$A12, LS_current!$B$4:$B$138, 0), MATCH(CD$4&amp;CD$5, LS_current!$D$2:$AY$2&amp;LS_current!$D$3:$AY$3, 0)),SUM(VLOOKUP($A12, LS_current!$B$4:$AY$138, LS_current!I$148, FALSE), VLOOKUP($A12, LS_current!$B$4:$AY$138,LS_current!AG$148, FALSE))/2)</f>
        <v>399.3203258911999</v>
      </c>
      <c r="CE12" s="180">
        <f t="array" ref="CE12">IF($BT12=0, INDEX(LS_current!$D$4:$AY$138, MATCH('Staging Table'!$A12, LS_current!$B$4:$B$138, 0), MATCH(CE$4&amp;CE$5, LS_current!$D$2:$AY$2&amp;LS_current!$D$3:$AY$3, 0)),SUM(VLOOKUP($A12, LS_current!$B$4:$AY$138, LS_current!J$148, FALSE), VLOOKUP($A12, LS_current!$B$4:$AY$138,LS_current!AH$148, FALSE))/2)</f>
        <v>652.56361186050162</v>
      </c>
      <c r="CF12" s="180">
        <f t="array" ref="CF12">IF($BT12=0, INDEX(LS_current!$D$4:$AY$138, MATCH('Staging Table'!$A12, LS_current!$B$4:$B$138, 0), MATCH(CF$4&amp;CF$5, LS_current!$D$2:$AY$2&amp;LS_current!$D$3:$AY$3, 0)),SUM(VLOOKUP($A12, LS_current!$B$4:$AY$138, LS_current!K$148, FALSE), VLOOKUP($A12, LS_current!$B$4:$AY$138,LS_current!AI$148, FALSE))/2)</f>
        <v>25.12772521629995</v>
      </c>
      <c r="CG12" s="180">
        <f t="array" ref="CG12">IF($BT12=0, INDEX(LS_current!$D$4:$AY$138, MATCH('Staging Table'!$A12, LS_current!$B$4:$B$138, 0), MATCH(CG$4&amp;CG$5, LS_current!$D$2:$AY$2&amp;LS_current!$D$3:$AY$3, 0)),SUM(VLOOKUP($A12, LS_current!$B$4:$AY$138, LS_current!L$148, FALSE), VLOOKUP($A12, LS_current!$B$4:$AY$138,LS_current!AJ$148, FALSE))/2)</f>
        <v>333.43884911130226</v>
      </c>
      <c r="CH12" s="180">
        <f t="array" ref="CH12">IF($BT12=0, INDEX(LS_current!$D$4:$AY$138, MATCH('Staging Table'!$A12, LS_current!$B$4:$B$138, 0), MATCH(CH$4&amp;CH$5, LS_current!$D$2:$AY$2&amp;LS_current!$D$3:$AY$3, 0)),SUM(VLOOKUP($A12, LS_current!$B$4:$AY$138, LS_current!M$148, FALSE), VLOOKUP($A12, LS_current!$B$4:$AY$138,LS_current!AK$148, FALSE))/2)</f>
        <v>-177.32910271269975</v>
      </c>
      <c r="CI12" s="180">
        <f t="array" ref="CI12">IF($BT12=0, INDEX(LS_current!$D$4:$AY$138, MATCH('Staging Table'!$A12, LS_current!$B$4:$B$138, 0), MATCH(CI$4&amp;CI$5, LS_current!$D$2:$AY$2&amp;LS_current!$D$3:$AY$3, 0)),SUM(VLOOKUP($A12, LS_current!$B$4:$AY$138, LS_current!N$148, FALSE), VLOOKUP($A12, LS_current!$B$4:$AY$138,LS_current!AL$148, FALSE))/2)</f>
        <v>-277.43942560889991</v>
      </c>
      <c r="CJ12" s="180">
        <f t="array" ref="CJ12">IF($BT12=0, INDEX(LS_current!$D$4:$AY$138, MATCH('Staging Table'!$A12, LS_current!$B$4:$B$138, 0), MATCH(CJ$4&amp;CJ$5, LS_current!$D$2:$AY$2&amp;LS_current!$D$3:$AY$3, 0)),SUM(VLOOKUP($A12, LS_current!$B$4:$AY$138, LS_current!O$148, FALSE), VLOOKUP($A12, LS_current!$B$4:$AY$138,LS_current!AM$148, FALSE))/2)</f>
        <v>-880.89753828339963</v>
      </c>
      <c r="CK12" s="180">
        <f t="array" ref="CK12">IF($BT12=0, INDEX(LS_current!$D$4:$AY$138, MATCH('Staging Table'!$A12, LS_current!$B$4:$B$138, 0), MATCH(CK$4&amp;CK$5, LS_current!$D$2:$AY$2&amp;LS_current!$D$3:$AY$3, 0)),SUM(VLOOKUP($A12, LS_current!$B$4:$AY$138, LS_current!P$148, FALSE), VLOOKUP($A12, LS_current!$B$4:$AY$138,LS_current!AN$148, FALSE))/2)</f>
        <v>1302.5289173542506</v>
      </c>
      <c r="CL12" s="180">
        <f t="array" ref="CL12">IF($BT12=0, INDEX(LS_current!$D$4:$AY$138, MATCH('Staging Table'!$A12, LS_current!$B$4:$B$138, 0), MATCH(CL$4&amp;CL$5, LS_current!$D$2:$AY$2&amp;LS_current!$D$3:$AY$3, 0)),SUM(VLOOKUP($A12, LS_current!$B$4:$AY$138, LS_current!Q$148, FALSE), VLOOKUP($A12, LS_current!$B$4:$AY$138,LS_current!AO$148, FALSE))/2)</f>
        <v>-351.76976656977422</v>
      </c>
      <c r="CM12" s="180">
        <f t="array" ref="CM12">IF($BT12=0, INDEX(LS_current!$D$4:$AY$138, MATCH('Staging Table'!$A12, LS_current!$B$4:$B$138, 0), MATCH(CM$4&amp;CM$5, LS_current!$D$2:$AY$2&amp;LS_current!$D$3:$AY$3, 0)),SUM(VLOOKUP($A12, LS_current!$B$4:$AY$138, LS_current!R$148, FALSE), VLOOKUP($A12, LS_current!$B$4:$AY$138,LS_current!AP$148, FALSE))/2)</f>
        <v>-1373.2289830544014</v>
      </c>
      <c r="CN12" s="180">
        <f t="array" ref="CN12">IF($BT12=0, INDEX(LS_current!$D$4:$AY$138, MATCH('Staging Table'!$A12, LS_current!$B$4:$B$138, 0), MATCH(CN$4&amp;CN$5, LS_current!$D$2:$AY$2&amp;LS_current!$D$3:$AY$3, 0)),SUM(VLOOKUP($A12, LS_current!$B$4:$AY$138, LS_current!S$148, FALSE), VLOOKUP($A12, LS_current!$B$4:$AY$138,LS_current!AQ$148, FALSE))/2)</f>
        <v>-1796.9829514350486</v>
      </c>
      <c r="CO12" s="180">
        <f t="array" ref="CO12">IF($BT12=0, INDEX(LS_current!$D$4:$AY$138, MATCH('Staging Table'!$A12, LS_current!$B$4:$B$138, 0), MATCH(CO$4&amp;CO$5, LS_current!$D$2:$AY$2&amp;LS_current!$D$3:$AY$3, 0)),SUM(VLOOKUP($A12, LS_current!$B$4:$AY$138, LS_current!T$148, FALSE), VLOOKUP($A12, LS_current!$B$4:$AY$138,LS_current!AR$148, FALSE))/2)</f>
        <v>-1613.4847896277988</v>
      </c>
      <c r="CP12" s="180">
        <f t="array" ref="CP12">IF($BT12=0, INDEX(LS_current!$D$4:$AY$138, MATCH('Staging Table'!$A12, LS_current!$B$4:$B$138, 0), MATCH(CP$4&amp;CP$5, LS_current!$D$2:$AY$2&amp;LS_current!$D$3:$AY$3, 0)),SUM(VLOOKUP($A12, LS_current!$B$4:$AY$138, LS_current!U$148, FALSE), VLOOKUP($A12, LS_current!$B$4:$AY$138,LS_current!AS$148, FALSE))/2)</f>
        <v>-1267.1065642038511</v>
      </c>
      <c r="CQ12" s="180">
        <f t="array" ref="CQ12">IF($BT12=0, INDEX(LS_current!$D$4:$AY$138, MATCH('Staging Table'!$A12, LS_current!$B$4:$B$138, 0), MATCH(CQ$4&amp;CQ$5, LS_current!$D$2:$AY$2&amp;LS_current!$D$3:$AY$3, 0)),SUM(VLOOKUP($A12, LS_current!$B$4:$AY$138, LS_current!V$148, FALSE), VLOOKUP($A12, LS_current!$B$4:$AY$138,LS_current!AT$148, FALSE))/2)</f>
        <v>1075.6955689708011</v>
      </c>
      <c r="CR12" s="180">
        <f t="array" ref="CR12">IF($BT12=0, INDEX(LS_current!$D$4:$AY$138, MATCH('Staging Table'!$A12, LS_current!$B$4:$B$138, 0), MATCH(CR$4&amp;CR$5, LS_current!$D$2:$AY$2&amp;LS_current!$D$3:$AY$3, 0)),SUM(VLOOKUP($A12, LS_current!$B$4:$AY$138, LS_current!W$148, FALSE), VLOOKUP($A12, LS_current!$B$4:$AY$138,LS_current!AU$148, FALSE))/2)</f>
        <v>-38.388970850749502</v>
      </c>
      <c r="CS12" s="180">
        <f t="array" ref="CS12">IF($BT12=0, INDEX(LS_current!$D$4:$AY$138, MATCH('Staging Table'!$A12, LS_current!$B$4:$B$138, 0), MATCH(CS$4&amp;CS$5, LS_current!$D$2:$AY$2&amp;LS_current!$D$3:$AY$3, 0)),SUM(VLOOKUP($A12, LS_current!$B$4:$AY$138, LS_current!X$148, FALSE), VLOOKUP($A12, LS_current!$B$4:$AY$138,LS_current!AV$148, FALSE))/2)</f>
        <v>1541.8062698860504</v>
      </c>
      <c r="CT12" s="180">
        <f t="array" ref="CT12">IF($BT12=0, INDEX(LS_current!$D$4:$AY$138, MATCH('Staging Table'!$A12, LS_current!$B$4:$B$138, 0), MATCH(CT$4&amp;CT$5, LS_current!$D$2:$AY$2&amp;LS_current!$D$3:$AY$3, 0)),SUM(VLOOKUP($A12, LS_current!$B$4:$AY$138, LS_current!Y$148, FALSE), VLOOKUP($A12, LS_current!$B$4:$AY$138,LS_current!AW$148, FALSE))/2)</f>
        <v>114.95209900729515</v>
      </c>
      <c r="CU12" s="180">
        <f t="array" ref="CU12">IF($BT12=0, INDEX(LS_current!$D$4:$AY$138, MATCH('Staging Table'!$A12, LS_current!$B$4:$B$138, 0), MATCH(CU$4&amp;CU$5, LS_current!$D$2:$AY$2&amp;LS_current!$D$3:$AY$3, 0)),SUM(VLOOKUP($A12, LS_current!$B$4:$AY$138, LS_current!Z$148, FALSE), VLOOKUP($A12, LS_current!$B$4:$AY$138,LS_current!AX$148, FALSE))/2)</f>
        <v>600.12498076780048</v>
      </c>
      <c r="CV12" s="180">
        <f t="array" ref="CV12">IF($BT12=0, INDEX(LS_current!$D$4:$AY$138, MATCH('Staging Table'!$A12, LS_current!$B$4:$B$138, 0), MATCH(CV$4&amp;CV$5, LS_current!$D$2:$AY$2&amp;LS_current!$D$3:$AY$3, 0)),SUM(VLOOKUP($A12, LS_current!$B$4:$AY$138, LS_current!AA$148, FALSE), VLOOKUP($A12, LS_current!$B$4:$AY$138,LS_current!AY$148, FALSE))/2)</f>
        <v>-202.52818473119987</v>
      </c>
      <c r="CW12" s="182">
        <f t="array" ref="CW12">INDEX(Demand_current!$D$4:$AY$138, MATCH($A12, Demand_current!$B$4:$B$138, 0), MATCH(CW$4&amp;CW$5,Demand_current!$D$2:$AY$2&amp;Demand_current!$D$3:$AY$3, 0))/1000</f>
        <v>0</v>
      </c>
      <c r="CX12" s="182">
        <f t="array" ref="CX12">INDEX(Demand_current!$D$4:$AY$138, MATCH($A12, Demand_current!$B$4:$B$138, 0), MATCH(CX$4&amp;CX$5,Demand_current!$D$2:$AY$2&amp;Demand_current!$D$3:$AY$3, 0))/1000</f>
        <v>1.0829525000000055</v>
      </c>
      <c r="CY12" s="182">
        <f t="array" ref="CY12">INDEX(Demand_current!$D$4:$AY$138, MATCH($A12, Demand_current!$B$4:$B$138, 0), MATCH(CY$4&amp;CY$5,Demand_current!$D$2:$AY$2&amp;Demand_current!$D$3:$AY$3, 0))/1000</f>
        <v>1.3260450000000032</v>
      </c>
      <c r="CZ12" s="182">
        <f t="array" ref="CZ12">INDEX(Demand_current!$D$4:$AY$138, MATCH($A12, Demand_current!$B$4:$B$138, 0), MATCH(CZ$4&amp;CZ$5,Demand_current!$D$2:$AY$2&amp;Demand_current!$D$3:$AY$3, 0))/1000</f>
        <v>0</v>
      </c>
      <c r="DA12" s="182">
        <f t="array" ref="DA12">INDEX(Demand_current!$D$4:$AY$138, MATCH($A12, Demand_current!$B$4:$B$138, 0), MATCH(DA$4&amp;DA$5,Demand_current!$D$2:$AY$2&amp;Demand_current!$D$3:$AY$3, 0))/1000</f>
        <v>3.8972074999999959</v>
      </c>
      <c r="DB12" s="182">
        <f t="array" ref="DB12">INDEX(Demand_current!$D$4:$AY$138, MATCH($A12, Demand_current!$B$4:$B$138, 0), MATCH(DB$4&amp;DB$5,Demand_current!$D$2:$AY$2&amp;Demand_current!$D$3:$AY$3, 0))/1000</f>
        <v>1.7168437500000042</v>
      </c>
      <c r="DC12" s="182">
        <f t="array" ref="DC12">INDEX(Demand_current!$D$4:$AY$138, MATCH($A12, Demand_current!$B$4:$B$138, 0), MATCH(DC$4&amp;DC$5,Demand_current!$D$2:$AY$2&amp;Demand_current!$D$3:$AY$3, 0))/1000</f>
        <v>0</v>
      </c>
      <c r="DD12" s="182">
        <f t="array" ref="DD12">INDEX(Demand_current!$D$4:$AY$138, MATCH($A12, Demand_current!$B$4:$B$138, 0), MATCH(DD$4&amp;DD$5,Demand_current!$D$2:$AY$2&amp;Demand_current!$D$3:$AY$3, 0))/1000</f>
        <v>1.7417788461538497</v>
      </c>
      <c r="DE12" s="182">
        <f t="array" ref="DE12">INDEX(Demand_current!$D$4:$AY$138, MATCH($A12, Demand_current!$B$4:$B$138, 0), MATCH(DE$4&amp;DE$5,Demand_current!$D$2:$AY$2&amp;Demand_current!$D$3:$AY$3, 0))/1000</f>
        <v>5.1044849999999959</v>
      </c>
      <c r="DF12" s="182">
        <f t="array" ref="DF12">INDEX(Demand_current!$D$4:$AY$138, MATCH($A12, Demand_current!$B$4:$B$138, 0), MATCH(DF$4&amp;DF$5,Demand_current!$D$2:$AY$2&amp;Demand_current!$D$3:$AY$3, 0))/1000</f>
        <v>2.8525480769230747</v>
      </c>
      <c r="DG12" s="182">
        <f t="array" ref="DG12">INDEX(Demand_current!$D$4:$AY$138, MATCH($A12, Demand_current!$B$4:$B$138, 0), MATCH(DG$4&amp;DG$5,Demand_current!$D$2:$AY$2&amp;Demand_current!$D$3:$AY$3, 0))/1000</f>
        <v>5.5289074074074085</v>
      </c>
      <c r="DH12" s="182">
        <f t="array" ref="DH12">INDEX(Demand_current!$D$4:$AY$138, MATCH($A12, Demand_current!$B$4:$B$138, 0), MATCH(DH$4&amp;DH$5,Demand_current!$D$2:$AY$2&amp;Demand_current!$D$3:$AY$3, 0))/1000</f>
        <v>5.1451432291666679</v>
      </c>
      <c r="DI12" s="180">
        <f>$BS12*(VLOOKUP(DI$4, Rates_current!$G$6:$Q$29, 10, FALSE)+VLOOKUP(DI$4, Rates_current!$G$6:$Q$29, 11, FALSE))</f>
        <v>12130.326455440949</v>
      </c>
      <c r="DJ12" s="180">
        <f>$BS12*(VLOOKUP(DJ$4, Rates_current!$G$6:$Q$29, 10, FALSE)+VLOOKUP(DJ$4, Rates_current!$G$6:$Q$29, 11, FALSE))</f>
        <v>15470.166241912702</v>
      </c>
      <c r="DK12" s="180">
        <f>$BS12*(VLOOKUP(DK$4, Rates_current!$G$6:$Q$29, 10, FALSE)+VLOOKUP(DK$4, Rates_current!$G$6:$Q$29, 11, FALSE))</f>
        <v>16695.370319455502</v>
      </c>
      <c r="DL12" s="180">
        <f>$BS12*(VLOOKUP(DL$4, Rates_current!$G$6:$Q$29, 10, FALSE)+VLOOKUP(DL$4, Rates_current!$G$6:$Q$29, 11, FALSE))</f>
        <v>17349.070662923201</v>
      </c>
      <c r="DM12" s="180">
        <f>$BS12*(VLOOKUP(DM$4, Rates_current!$G$6:$Q$29, 10, FALSE)+VLOOKUP(DM$4, Rates_current!$G$6:$Q$29, 11, FALSE))</f>
        <v>14922.513253601399</v>
      </c>
      <c r="DN12" s="180">
        <f>$BS12*(VLOOKUP(DN$4, Rates_current!$G$6:$Q$29, 10, FALSE)+VLOOKUP(DN$4, Rates_current!$G$6:$Q$29, 11, FALSE))</f>
        <v>16292.429963892298</v>
      </c>
      <c r="DO12" s="180">
        <f>$BS12*(VLOOKUP(DO$4, Rates_current!$G$6:$Q$29, 10, FALSE)+VLOOKUP(DO$4, Rates_current!$G$6:$Q$29, 11, FALSE))</f>
        <v>12860.127849215523</v>
      </c>
      <c r="DP12" s="180">
        <f>$BS12*(VLOOKUP(DP$4, Rates_current!$G$6:$Q$29, 10, FALSE)+VLOOKUP(DP$4, Rates_current!$G$6:$Q$29, 11, FALSE))</f>
        <v>15954.711934489449</v>
      </c>
      <c r="DQ12" s="180">
        <f>$BS12*(VLOOKUP(DQ$4, Rates_current!$G$6:$Q$29, 10, FALSE)+VLOOKUP(DQ$4, Rates_current!$G$6:$Q$29, 11, FALSE))</f>
        <v>16300.889353831648</v>
      </c>
      <c r="DR12" s="180">
        <f>$BS12*(VLOOKUP(DR$4, Rates_current!$G$6:$Q$29, 10, FALSE)+VLOOKUP(DR$4, Rates_current!$G$6:$Q$29, 11, FALSE))</f>
        <v>14151.520401879949</v>
      </c>
      <c r="DS12" s="180">
        <f>$BS12*(VLOOKUP(DS$4, Rates_current!$G$6:$Q$29, 10, FALSE)+VLOOKUP(DS$4, Rates_current!$G$6:$Q$29, 11, FALSE))</f>
        <v>13680.758631106655</v>
      </c>
      <c r="DT12" s="180">
        <f>$BS12*(VLOOKUP(DT$4, Rates_current!$G$6:$Q$29, 10, FALSE)+VLOOKUP(DT$4, Rates_current!$G$6:$Q$29, 11, FALSE))</f>
        <v>12588.9472039634</v>
      </c>
      <c r="DU12" s="402">
        <f>IF(D12=0,IF(C12=0,MAX(0,DW12 - (VLOOKUP($A12,TOCA_current!$A$2:$AI$137,MATCH("RHWM 2024",TOCA_current!$A$2:$AI$2,0),FALSE)*$BS$2)), 0),0)</f>
        <v>0</v>
      </c>
      <c r="DV12" s="403">
        <f>MIN(VLOOKUP($A12,TOCA_current!$A$2:$AI$137,MATCH("TRL - NLSL - Existing Resource "&amp;$BS$1,TOCA_current!$A$2:$AI$2,0),FALSE)*$BS$2, VLOOKUP($A12,TOCA_current!$A$2:$AI$137,MATCH("RHWM 2024",TOCA_current!$A$2:$AI$2,0),FALSE)*$BS$2)</f>
        <v>178394.25600000002</v>
      </c>
      <c r="DW12" s="403">
        <f>SUM(BY12:CV12)+(BS12*RT1SC!$C$4*$BS$2)</f>
        <v>178392.2208177353</v>
      </c>
      <c r="DX12" s="403">
        <f>VLOOKUP($A12,TOCA_current!$A$2:$AI$137,MATCH("Above RHWM Not Served with LS "&amp;$BS$1,TOCA_current!$A$2:$AI$2,0),FALSE)*$BS$2</f>
        <v>31112.928</v>
      </c>
      <c r="DY12" s="403">
        <f t="shared" si="13"/>
        <v>-2.0351822647207882</v>
      </c>
      <c r="DZ12" s="403">
        <f>(VLOOKUP($A12,TOCA_current!$A$2:$AI$137,MATCH("RHWM 2024",TOCA_current!$A$2:$AI$2,0),FALSE)*$BS$2) - $DV12</f>
        <v>0</v>
      </c>
      <c r="EA12" s="403">
        <f t="shared" si="14"/>
        <v>0</v>
      </c>
      <c r="EB12" s="403">
        <f t="shared" si="15"/>
        <v>0</v>
      </c>
      <c r="EC12" s="403">
        <f t="shared" si="16"/>
        <v>0</v>
      </c>
      <c r="ED12" s="403">
        <f t="shared" si="17"/>
        <v>0</v>
      </c>
    </row>
    <row r="13" spans="1:134">
      <c r="A13" s="123">
        <v>10046</v>
      </c>
      <c r="B13" s="124" t="s">
        <v>14</v>
      </c>
      <c r="C13" s="232">
        <f>VLOOKUP(A13, TOCA_current!$A$3:$D$137, 4, FALSE)</f>
        <v>1</v>
      </c>
      <c r="D13" s="191">
        <v>0</v>
      </c>
      <c r="E13" s="107">
        <f>VLOOKUP($A13,TOCA_previous!$A$2:$AI$137,MATCH(E$4,TOCA_previous!$A$2:$AI$2,0),FALSE)</f>
        <v>1.15905E-2</v>
      </c>
      <c r="F13" s="108">
        <f>VLOOKUP($A13,TOCA_previous!$A$2:$AI$137,MATCH(F$4,TOCA_previous!$A$2:$AI$2,0),FALSE)</f>
        <v>1.15905E-2</v>
      </c>
      <c r="G13" s="108">
        <f t="shared" si="5"/>
        <v>0</v>
      </c>
      <c r="H13" s="108">
        <f>VLOOKUP($A13,TOCA_previous!$A$2:$AI$137,MATCH(H$4,TOCA_previous!$A$2:$AI$2,0),FALSE)</f>
        <v>7.9780000000000004E-2</v>
      </c>
      <c r="I13" s="108">
        <f t="shared" si="6"/>
        <v>7.9780000000000004E-2</v>
      </c>
      <c r="J13" s="108">
        <f t="shared" si="7"/>
        <v>1.15905E-2</v>
      </c>
      <c r="K13" s="179">
        <f>VLOOKUP(A13, IRD!$A$5:$C$139, 3, FALSE)</f>
        <v>41085.457000000002</v>
      </c>
      <c r="L13" s="180">
        <f t="array" ref="L13">IF($G13=0, INDEX(LS_previous!$D$4:$AY$138, MATCH('Staging Table'!$A13, LS_previous!$B$4:$B$138, 0), MATCH(L$4&amp;L$5, LS_previous!$D$2:$AY$2&amp;LS_previous!$D$3:$AY$3, 0)),SUM(VLOOKUP($A13, LS_previous!$B$4:$AY$138, LS_previous!D$149, FALSE), VLOOKUP('Staging Table'!$A13, LS_previous!$B$4:$AY$138,LS_previous!AB$149, FALSE))/2)</f>
        <v>0</v>
      </c>
      <c r="M13" s="180">
        <f t="array" ref="M13">IF($G13=0, INDEX(LS_previous!$D$4:$AY$138, MATCH('Staging Table'!$A13, LS_previous!$B$4:$B$138, 0), MATCH(M$4&amp;M$5, LS_previous!$D$2:$AY$2&amp;LS_previous!$D$3:$AY$3, 0)),SUM(VLOOKUP($A13, LS_previous!$B$4:$AY$138, LS_previous!E$149, FALSE), VLOOKUP('Staging Table'!$A13, LS_previous!$B$4:$AY$138,LS_previous!AC$149, FALSE))/2)</f>
        <v>0</v>
      </c>
      <c r="N13" s="180">
        <f t="array" ref="N13">IF($G13=0, INDEX(LS_previous!$D$4:$AY$138, MATCH('Staging Table'!$A13, LS_previous!$B$4:$B$138, 0), MATCH(N$4&amp;N$5, LS_previous!$D$2:$AY$2&amp;LS_previous!$D$3:$AY$3, 0)),SUM(VLOOKUP($A13, LS_previous!$B$4:$AY$138, LS_previous!F$149, FALSE), VLOOKUP('Staging Table'!$A13, LS_previous!$B$4:$AY$138,LS_previous!AD$149, FALSE))/2)</f>
        <v>0</v>
      </c>
      <c r="O13" s="180">
        <f t="array" ref="O13">IF($G13=0, INDEX(LS_previous!$D$4:$AY$138, MATCH('Staging Table'!$A13, LS_previous!$B$4:$B$138, 0), MATCH(O$4&amp;O$5, LS_previous!$D$2:$AY$2&amp;LS_previous!$D$3:$AY$3, 0)),SUM(VLOOKUP($A13, LS_previous!$B$4:$AY$138, LS_previous!G$149, FALSE), VLOOKUP('Staging Table'!$A13, LS_previous!$B$4:$AY$138,LS_previous!AE$149, FALSE))/2)</f>
        <v>0</v>
      </c>
      <c r="P13" s="180">
        <f t="array" ref="P13">IF($G13=0, INDEX(LS_previous!$D$4:$AY$138, MATCH('Staging Table'!$A13, LS_previous!$B$4:$B$138, 0), MATCH(P$4&amp;P$5, LS_previous!$D$2:$AY$2&amp;LS_previous!$D$3:$AY$3, 0)),SUM(VLOOKUP($A13, LS_previous!$B$4:$AY$138, LS_previous!H$149, FALSE), VLOOKUP('Staging Table'!$A13, LS_previous!$B$4:$AY$138,LS_previous!AF$149, FALSE))/2)</f>
        <v>0</v>
      </c>
      <c r="Q13" s="180">
        <f t="array" ref="Q13">IF($G13=0, INDEX(LS_previous!$D$4:$AY$138, MATCH('Staging Table'!$A13, LS_previous!$B$4:$B$138, 0), MATCH(Q$4&amp;Q$5, LS_previous!$D$2:$AY$2&amp;LS_previous!$D$3:$AY$3, 0)),SUM(VLOOKUP($A13, LS_previous!$B$4:$AY$138, LS_previous!I$149, FALSE), VLOOKUP('Staging Table'!$A13, LS_previous!$B$4:$AY$138,LS_previous!AG$149, FALSE))/2)</f>
        <v>0</v>
      </c>
      <c r="R13" s="180">
        <f t="array" ref="R13">IF($G13=0, INDEX(LS_previous!$D$4:$AY$138, MATCH('Staging Table'!$A13, LS_previous!$B$4:$B$138, 0), MATCH(R$4&amp;R$5, LS_previous!$D$2:$AY$2&amp;LS_previous!$D$3:$AY$3, 0)),SUM(VLOOKUP($A13, LS_previous!$B$4:$AY$138, LS_previous!J$149, FALSE), VLOOKUP('Staging Table'!$A13, LS_previous!$B$4:$AY$138,LS_previous!AH$149, FALSE))/2)</f>
        <v>0</v>
      </c>
      <c r="S13" s="180">
        <f t="array" ref="S13">IF($G13=0, INDEX(LS_previous!$D$4:$AY$138, MATCH('Staging Table'!$A13, LS_previous!$B$4:$B$138, 0), MATCH(S$4&amp;S$5, LS_previous!$D$2:$AY$2&amp;LS_previous!$D$3:$AY$3, 0)),SUM(VLOOKUP($A13, LS_previous!$B$4:$AY$138, LS_previous!K$149, FALSE), VLOOKUP('Staging Table'!$A13, LS_previous!$B$4:$AY$138,LS_previous!AI$149, FALSE))/2)</f>
        <v>0</v>
      </c>
      <c r="T13" s="180">
        <f t="array" ref="T13">IF($G13=0, INDEX(LS_previous!$D$4:$AY$138, MATCH('Staging Table'!$A13, LS_previous!$B$4:$B$138, 0), MATCH(T$4&amp;T$5, LS_previous!$D$2:$AY$2&amp;LS_previous!$D$3:$AY$3, 0)),SUM(VLOOKUP($A13, LS_previous!$B$4:$AY$138, LS_previous!L$149, FALSE), VLOOKUP('Staging Table'!$A13, LS_previous!$B$4:$AY$138,LS_previous!AJ$149, FALSE))/2)</f>
        <v>0</v>
      </c>
      <c r="U13" s="180">
        <f t="array" ref="U13">IF($G13=0, INDEX(LS_previous!$D$4:$AY$138, MATCH('Staging Table'!$A13, LS_previous!$B$4:$B$138, 0), MATCH(U$4&amp;U$5, LS_previous!$D$2:$AY$2&amp;LS_previous!$D$3:$AY$3, 0)),SUM(VLOOKUP($A13, LS_previous!$B$4:$AY$138, LS_previous!M$149, FALSE), VLOOKUP('Staging Table'!$A13, LS_previous!$B$4:$AY$138,LS_previous!AK$149, FALSE))/2)</f>
        <v>0</v>
      </c>
      <c r="V13" s="180">
        <f t="array" ref="V13">IF($G13=0, INDEX(LS_previous!$D$4:$AY$138, MATCH('Staging Table'!$A13, LS_previous!$B$4:$B$138, 0), MATCH(V$4&amp;V$5, LS_previous!$D$2:$AY$2&amp;LS_previous!$D$3:$AY$3, 0)),SUM(VLOOKUP($A13, LS_previous!$B$4:$AY$138, LS_previous!N$149, FALSE), VLOOKUP('Staging Table'!$A13, LS_previous!$B$4:$AY$138,LS_previous!AL$149, FALSE))/2)</f>
        <v>0</v>
      </c>
      <c r="W13" s="180">
        <f t="array" ref="W13">IF($G13=0, INDEX(LS_previous!$D$4:$AY$138, MATCH('Staging Table'!$A13, LS_previous!$B$4:$B$138, 0), MATCH(W$4&amp;W$5, LS_previous!$D$2:$AY$2&amp;LS_previous!$D$3:$AY$3, 0)),SUM(VLOOKUP($A13, LS_previous!$B$4:$AY$138, LS_previous!O$149, FALSE), VLOOKUP('Staging Table'!$A13, LS_previous!$B$4:$AY$138,LS_previous!AM$149, FALSE))/2)</f>
        <v>0</v>
      </c>
      <c r="X13" s="180">
        <f t="array" ref="X13">IF($G13=0, INDEX(LS_previous!$D$4:$AY$138, MATCH('Staging Table'!$A13, LS_previous!$B$4:$B$138, 0), MATCH(X$4&amp;X$5, LS_previous!$D$2:$AY$2&amp;LS_previous!$D$3:$AY$3, 0)),SUM(VLOOKUP($A13, LS_previous!$B$4:$AY$138, LS_previous!P$149, FALSE), VLOOKUP('Staging Table'!$A13, LS_previous!$B$4:$AY$138,LS_previous!AN$149, FALSE))/2)</f>
        <v>0</v>
      </c>
      <c r="Y13" s="180">
        <f t="array" ref="Y13">IF($G13=0, INDEX(LS_previous!$D$4:$AY$138, MATCH('Staging Table'!$A13, LS_previous!$B$4:$B$138, 0), MATCH(Y$4&amp;Y$5, LS_previous!$D$2:$AY$2&amp;LS_previous!$D$3:$AY$3, 0)),SUM(VLOOKUP($A13, LS_previous!$B$4:$AY$138, LS_previous!Q$149, FALSE), VLOOKUP('Staging Table'!$A13, LS_previous!$B$4:$AY$138,LS_previous!AO$149, FALSE))/2)</f>
        <v>0</v>
      </c>
      <c r="Z13" s="180">
        <f t="array" ref="Z13">IF($G13=0, INDEX(LS_previous!$D$4:$AY$138, MATCH('Staging Table'!$A13, LS_previous!$B$4:$B$138, 0), MATCH(Z$4&amp;Z$5, LS_previous!$D$2:$AY$2&amp;LS_previous!$D$3:$AY$3, 0)),SUM(VLOOKUP($A13, LS_previous!$B$4:$AY$138, LS_previous!R$149, FALSE), VLOOKUP('Staging Table'!$A13, LS_previous!$B$4:$AY$138,LS_previous!AP$149, FALSE))/2)</f>
        <v>0</v>
      </c>
      <c r="AA13" s="180">
        <f t="array" ref="AA13">IF($G13=0, INDEX(LS_previous!$D$4:$AY$138, MATCH('Staging Table'!$A13, LS_previous!$B$4:$B$138, 0), MATCH(AA$4&amp;AA$5, LS_previous!$D$2:$AY$2&amp;LS_previous!$D$3:$AY$3, 0)),SUM(VLOOKUP($A13, LS_previous!$B$4:$AY$138, LS_previous!S$149, FALSE), VLOOKUP('Staging Table'!$A13, LS_previous!$B$4:$AY$138,LS_previous!AQ$149, FALSE))/2)</f>
        <v>0</v>
      </c>
      <c r="AB13" s="180">
        <f t="array" ref="AB13">IF($G13=0, INDEX(LS_previous!$D$4:$AY$138, MATCH('Staging Table'!$A13, LS_previous!$B$4:$B$138, 0), MATCH(AB$4&amp;AB$5, LS_previous!$D$2:$AY$2&amp;LS_previous!$D$3:$AY$3, 0)),SUM(VLOOKUP($A13, LS_previous!$B$4:$AY$138, LS_previous!T$149, FALSE), VLOOKUP('Staging Table'!$A13, LS_previous!$B$4:$AY$138,LS_previous!AR$149, FALSE))/2)</f>
        <v>0</v>
      </c>
      <c r="AC13" s="180">
        <f t="array" ref="AC13">IF($G13=0, INDEX(LS_previous!$D$4:$AY$138, MATCH('Staging Table'!$A13, LS_previous!$B$4:$B$138, 0), MATCH(AC$4&amp;AC$5, LS_previous!$D$2:$AY$2&amp;LS_previous!$D$3:$AY$3, 0)),SUM(VLOOKUP($A13, LS_previous!$B$4:$AY$138, LS_previous!U$149, FALSE), VLOOKUP('Staging Table'!$A13, LS_previous!$B$4:$AY$138,LS_previous!AS$149, FALSE))/2)</f>
        <v>0</v>
      </c>
      <c r="AD13" s="180">
        <f t="array" ref="AD13">IF($G13=0, INDEX(LS_previous!$D$4:$AY$138, MATCH('Staging Table'!$A13, LS_previous!$B$4:$B$138, 0), MATCH(AD$4&amp;AD$5, LS_previous!$D$2:$AY$2&amp;LS_previous!$D$3:$AY$3, 0)),SUM(VLOOKUP($A13, LS_previous!$B$4:$AY$138, LS_previous!V$149, FALSE), VLOOKUP('Staging Table'!$A13, LS_previous!$B$4:$AY$138,LS_previous!AT$149, FALSE))/2)</f>
        <v>0</v>
      </c>
      <c r="AE13" s="180">
        <f t="array" ref="AE13">IF($G13=0, INDEX(LS_previous!$D$4:$AY$138, MATCH('Staging Table'!$A13, LS_previous!$B$4:$B$138, 0), MATCH(AE$4&amp;AE$5, LS_previous!$D$2:$AY$2&amp;LS_previous!$D$3:$AY$3, 0)),SUM(VLOOKUP($A13, LS_previous!$B$4:$AY$138, LS_previous!W$149, FALSE), VLOOKUP('Staging Table'!$A13, LS_previous!$B$4:$AY$138,LS_previous!AU$149, FALSE))/2)</f>
        <v>0</v>
      </c>
      <c r="AF13" s="180">
        <f t="array" ref="AF13">IF($G13=0, INDEX(LS_previous!$D$4:$AY$138, MATCH('Staging Table'!$A13, LS_previous!$B$4:$B$138, 0), MATCH(AF$4&amp;AF$5, LS_previous!$D$2:$AY$2&amp;LS_previous!$D$3:$AY$3, 0)),SUM(VLOOKUP($A13, LS_previous!$B$4:$AY$138, LS_previous!X$149, FALSE), VLOOKUP('Staging Table'!$A13, LS_previous!$B$4:$AY$138,LS_previous!AV$149, FALSE))/2)</f>
        <v>0</v>
      </c>
      <c r="AG13" s="180">
        <f t="array" ref="AG13">IF($G13=0, INDEX(LS_previous!$D$4:$AY$138, MATCH('Staging Table'!$A13, LS_previous!$B$4:$B$138, 0), MATCH(AG$4&amp;AG$5, LS_previous!$D$2:$AY$2&amp;LS_previous!$D$3:$AY$3, 0)),SUM(VLOOKUP($A13, LS_previous!$B$4:$AY$138, LS_previous!Y$149, FALSE), VLOOKUP('Staging Table'!$A13, LS_previous!$B$4:$AY$138,LS_previous!AW$149, FALSE))/2)</f>
        <v>0</v>
      </c>
      <c r="AH13" s="180">
        <f t="array" ref="AH13">IF($G13=0, INDEX(LS_previous!$D$4:$AY$138, MATCH('Staging Table'!$A13, LS_previous!$B$4:$B$138, 0), MATCH(AH$4&amp;AH$5, LS_previous!$D$2:$AY$2&amp;LS_previous!$D$3:$AY$3, 0)),SUM(VLOOKUP($A13, LS_previous!$B$4:$AY$138, LS_previous!Z$149, FALSE), VLOOKUP('Staging Table'!$A13, LS_previous!$B$4:$AY$138,LS_previous!AX$149, FALSE))/2)</f>
        <v>0</v>
      </c>
      <c r="AI13" s="180">
        <f t="array" ref="AI13">IF($G13=0, INDEX(LS_previous!$D$4:$AY$138, MATCH('Staging Table'!$A13, LS_previous!$B$4:$B$138, 0), MATCH(AI$4&amp;AI$5, LS_previous!$D$2:$AY$2&amp;LS_previous!$D$3:$AY$3, 0)),SUM(VLOOKUP($A13, LS_previous!$B$4:$AY$138, LS_previous!AA$149, FALSE), VLOOKUP('Staging Table'!$A13, LS_previous!$B$4:$AY$138,LS_previous!AY$149, FALSE))/2)</f>
        <v>0</v>
      </c>
      <c r="AJ13" s="298">
        <f t="array" ref="AJ13">INDEX(Demand_previous!$D$4:$AY$138, MATCH('Staging Table'!$A13, Demand_previous!$B$4:$B$138, 0), MATCH(AJ$4&amp;AJ$5,Demand_previous!$D$2:$AY$2&amp;Demand_previous!$D$3:$AY$3, 0))/1000</f>
        <v>0</v>
      </c>
      <c r="AK13" s="298">
        <f t="array" ref="AK13">INDEX(Demand_previous!$D$4:$AY$138, MATCH('Staging Table'!$A13, Demand_previous!$B$4:$B$138, 0), MATCH(AK$4&amp;AK$5,Demand_previous!$D$2:$AY$2&amp;Demand_previous!$D$3:$AY$3, 0))/1000</f>
        <v>0</v>
      </c>
      <c r="AL13" s="298">
        <f t="array" ref="AL13">INDEX(Demand_previous!$D$4:$AY$138, MATCH('Staging Table'!$A13, Demand_previous!$B$4:$B$138, 0), MATCH(AL$4&amp;AL$5,Demand_previous!$D$2:$AY$2&amp;Demand_previous!$D$3:$AY$3, 0))/1000</f>
        <v>0</v>
      </c>
      <c r="AM13" s="298">
        <f t="array" ref="AM13">INDEX(Demand_previous!$D$4:$AY$138, MATCH('Staging Table'!$A13, Demand_previous!$B$4:$B$138, 0), MATCH(AM$4&amp;AM$5,Demand_previous!$D$2:$AY$2&amp;Demand_previous!$D$3:$AY$3, 0))/1000</f>
        <v>0</v>
      </c>
      <c r="AN13" s="298">
        <f t="array" ref="AN13">INDEX(Demand_previous!$D$4:$AY$138, MATCH('Staging Table'!$A13, Demand_previous!$B$4:$B$138, 0), MATCH(AN$4&amp;AN$5,Demand_previous!$D$2:$AY$2&amp;Demand_previous!$D$3:$AY$3, 0))/1000</f>
        <v>0</v>
      </c>
      <c r="AO13" s="298">
        <f t="array" ref="AO13">INDEX(Demand_previous!$D$4:$AY$138, MATCH('Staging Table'!$A13, Demand_previous!$B$4:$B$138, 0), MATCH(AO$4&amp;AO$5,Demand_previous!$D$2:$AY$2&amp;Demand_previous!$D$3:$AY$3, 0))/1000</f>
        <v>0</v>
      </c>
      <c r="AP13" s="298">
        <f t="array" ref="AP13">INDEX(Demand_previous!$D$4:$AY$138, MATCH('Staging Table'!$A13, Demand_previous!$B$4:$B$138, 0), MATCH(AP$4&amp;AP$5,Demand_previous!$D$2:$AY$2&amp;Demand_previous!$D$3:$AY$3, 0))/1000</f>
        <v>0</v>
      </c>
      <c r="AQ13" s="298">
        <f t="array" ref="AQ13">INDEX(Demand_previous!$D$4:$AY$138, MATCH('Staging Table'!$A13, Demand_previous!$B$4:$B$138, 0), MATCH(AQ$4&amp;AQ$5,Demand_previous!$D$2:$AY$2&amp;Demand_previous!$D$3:$AY$3, 0))/1000</f>
        <v>0</v>
      </c>
      <c r="AR13" s="298">
        <f t="array" ref="AR13">INDEX(Demand_previous!$D$4:$AY$138, MATCH('Staging Table'!$A13, Demand_previous!$B$4:$B$138, 0), MATCH(AR$4&amp;AR$5,Demand_previous!$D$2:$AY$2&amp;Demand_previous!$D$3:$AY$3, 0))/1000</f>
        <v>0</v>
      </c>
      <c r="AS13" s="298">
        <f t="array" ref="AS13">INDEX(Demand_previous!$D$4:$AY$138, MATCH('Staging Table'!$A13, Demand_previous!$B$4:$B$138, 0), MATCH(AS$4&amp;AS$5,Demand_previous!$D$2:$AY$2&amp;Demand_previous!$D$3:$AY$3, 0))/1000</f>
        <v>0</v>
      </c>
      <c r="AT13" s="298">
        <f t="array" ref="AT13">INDEX(Demand_previous!$D$4:$AY$138, MATCH('Staging Table'!$A13, Demand_previous!$B$4:$B$138, 0), MATCH(AT$4&amp;AT$5,Demand_previous!$D$2:$AY$2&amp;Demand_previous!$D$3:$AY$3, 0))/1000</f>
        <v>0</v>
      </c>
      <c r="AU13" s="298">
        <f t="array" ref="AU13">INDEX(Demand_previous!$D$4:$AY$138, MATCH('Staging Table'!$A13, Demand_previous!$B$4:$B$138, 0), MATCH(AU$4&amp;AU$5,Demand_previous!$D$2:$AY$2&amp;Demand_previous!$D$3:$AY$3, 0))/1000</f>
        <v>0</v>
      </c>
      <c r="AV13" s="180">
        <f>$F13*(VLOOKUP(AV$4, Rates_previous!$G$6:$Q$29, 10, FALSE)+VLOOKUP(AV$4, Rates_previous!$G$6:$Q$29, 11, FALSE))</f>
        <v>52782.260998853548</v>
      </c>
      <c r="AW13" s="180">
        <f>$F13*(VLOOKUP(AW$4, Rates_previous!$G$6:$Q$29, 10, FALSE)+VLOOKUP(AW$4, Rates_previous!$G$6:$Q$29, 11, FALSE))</f>
        <v>66824.258024622628</v>
      </c>
      <c r="AX13" s="180">
        <f>$F13*(VLOOKUP(AX$4, Rates_previous!$G$6:$Q$29, 10, FALSE)+VLOOKUP(AX$4, Rates_previous!$G$6:$Q$29, 11, FALSE))</f>
        <v>65407.59824094503</v>
      </c>
      <c r="AY13" s="180">
        <f>$F13*(VLOOKUP(AY$4, Rates_previous!$G$6:$Q$29, 10, FALSE)+VLOOKUP(AY$4, Rates_previous!$G$6:$Q$29, 11, FALSE))</f>
        <v>54023.894699246383</v>
      </c>
      <c r="AZ13" s="180">
        <f>$F13*(VLOOKUP(AZ$4, Rates_previous!$G$6:$Q$29, 10, FALSE)+VLOOKUP(AZ$4, Rates_previous!$G$6:$Q$29, 11, FALSE))</f>
        <v>46823.693582304179</v>
      </c>
      <c r="BA13" s="180">
        <f>$F13*(VLOOKUP(BA$4, Rates_previous!$G$6:$Q$29, 10, FALSE)+VLOOKUP(BA$4, Rates_previous!$G$6:$Q$29, 11, FALSE))</f>
        <v>55898.034595850804</v>
      </c>
      <c r="BB13" s="180">
        <f>$F13*(VLOOKUP(BB$4, Rates_previous!$G$6:$Q$29, 10, FALSE)+VLOOKUP(BB$4, Rates_previous!$G$6:$Q$29, 11, FALSE))</f>
        <v>43397.382219854633</v>
      </c>
      <c r="BC13" s="180">
        <f>$F13*(VLOOKUP(BC$4, Rates_previous!$G$6:$Q$29, 10, FALSE)+VLOOKUP(BC$4, Rates_previous!$G$6:$Q$29, 11, FALSE))</f>
        <v>60127.392426255399</v>
      </c>
      <c r="BD13" s="180">
        <f>$F13*(VLOOKUP(BD$4, Rates_previous!$G$6:$Q$29, 10, FALSE)+VLOOKUP(BD$4, Rates_previous!$G$6:$Q$29, 11, FALSE))</f>
        <v>64247.377824019968</v>
      </c>
      <c r="BE13" s="180">
        <f>$F13*(VLOOKUP(BE$4, Rates_previous!$G$6:$Q$29, 10, FALSE)+VLOOKUP(BE$4, Rates_previous!$G$6:$Q$29, 11, FALSE))</f>
        <v>60999.976019924827</v>
      </c>
      <c r="BF13" s="180">
        <f>$F13*(VLOOKUP(BF$4, Rates_previous!$G$6:$Q$29, 10, FALSE)+VLOOKUP(BF$4, Rates_previous!$G$6:$Q$29, 11, FALSE))</f>
        <v>58951.770919955117</v>
      </c>
      <c r="BG13" s="180">
        <f>$F13*(VLOOKUP(BG$4, Rates_previous!$G$6:$Q$29, 10, FALSE)+VLOOKUP(BG$4, Rates_previous!$G$6:$Q$29, 11, FALSE))</f>
        <v>54477.581808611598</v>
      </c>
      <c r="BH13" s="298">
        <f>IF($D13=0,IF(C13=0, MAX(BJ13 - (VLOOKUP($A13,TOCA_previous!$A$2:$AI$137,MATCH("RHWM 2022",TOCA_previous!$A$2:$AI$2,0),FALSE)*$F$2*TOCA_previous!C10),0),0), 0)</f>
        <v>0</v>
      </c>
      <c r="BI13" s="192">
        <f>MIN(VLOOKUP($A13,TOCA_previous!$A$2:$AI$137,MATCH("TRL - NLSL - Existing Resource "&amp;$F$1,TOCA_previous!$A$2:$AI$2,0),FALSE)*$F$2,(VLOOKUP($A13,TOCA_previous!$A$2:$AI$137,MATCH("RHWM 2022",TOCA_previous!$A$2:$AI$2,0),FALSE)*$F$2))</f>
        <v>683963.28</v>
      </c>
      <c r="BJ13" s="402">
        <f>SUM(L13:AI13)+(F13*RT1SC!$C$3*$F$2)</f>
        <v>683961.25634802005</v>
      </c>
      <c r="BK13" s="401">
        <f>VLOOKUP($A13,TOCA_previous!$A$2:$AI$137,MATCH("Above RHWM Not Served with LS "&amp;$F$1,TOCA_previous!$A$2:$AI$2,0),FALSE)*$F$2</f>
        <v>155525.04</v>
      </c>
      <c r="BL13" s="402">
        <f t="shared" si="8"/>
        <v>-2.023651979980059</v>
      </c>
      <c r="BM13" s="401">
        <f>(VLOOKUP($A13,TOCA_previous!$A$2:$AI$137,MATCH("RHWM 2022",TOCA_previous!$A$2:$AI$2,0),FALSE)*$F$2) - $BI13</f>
        <v>0</v>
      </c>
      <c r="BN13" s="402">
        <f t="shared" si="9"/>
        <v>0</v>
      </c>
      <c r="BO13" s="401">
        <f t="shared" si="10"/>
        <v>0</v>
      </c>
      <c r="BP13" s="402">
        <f t="shared" si="11"/>
        <v>0</v>
      </c>
      <c r="BQ13" s="401">
        <f t="shared" si="2"/>
        <v>0</v>
      </c>
      <c r="BR13" s="108">
        <f>VLOOKUP($A13,TOCA_current!$A$2:$AI$137,MATCH(BR$4,TOCA_current!$A$2:$AI$2,0),FALSE)</f>
        <v>1.15881E-2</v>
      </c>
      <c r="BS13" s="108">
        <f>VLOOKUP($A13,TOCA_current!$A$2:$AI$137,MATCH(BS$4,TOCA_current!$A$2:$AI$2,0),FALSE)</f>
        <v>1.15881E-2</v>
      </c>
      <c r="BT13" s="189">
        <f t="shared" si="12"/>
        <v>0</v>
      </c>
      <c r="BU13" s="108">
        <f>VLOOKUP($A13,TOCA_current!A9:BG144,MATCH(BU$4,TOCA_current!$A$2:$BG$2,0),FALSE)</f>
        <v>7.8522376024727863E-2</v>
      </c>
      <c r="BV13" s="108">
        <f t="shared" si="3"/>
        <v>7.8522376024727863E-2</v>
      </c>
      <c r="BW13" s="108">
        <f t="shared" si="4"/>
        <v>1.15881E-2</v>
      </c>
      <c r="BX13" s="179">
        <f>VLOOKUP($A13,IRD!$A$4:$G$139, 7, FALSE)</f>
        <v>41085.457000000002</v>
      </c>
      <c r="BY13" s="180">
        <f t="array" ref="BY13">IF($BT13=0, INDEX(LS_current!$D$4:$AY$138, MATCH('Staging Table'!$A13, LS_current!$B$4:$B$138, 0), MATCH(BY$4&amp;BY$5, LS_current!$D$2:$AY$2&amp;LS_current!$D$3:$AY$3, 0)),SUM(VLOOKUP($A13, LS_current!$B$4:$AY$138, LS_current!D$148, FALSE), VLOOKUP($A13, LS_current!$B$4:$AY$138,LS_current!AB$148, FALSE))/2)</f>
        <v>0</v>
      </c>
      <c r="BZ13" s="180">
        <f t="array" ref="BZ13">IF($BT13=0, INDEX(LS_current!$D$4:$AY$138, MATCH('Staging Table'!$A13, LS_current!$B$4:$B$138, 0), MATCH(BZ$4&amp;BZ$5, LS_current!$D$2:$AY$2&amp;LS_current!$D$3:$AY$3, 0)),SUM(VLOOKUP($A13, LS_current!$B$4:$AY$138, LS_current!E$148, FALSE), VLOOKUP($A13, LS_current!$B$4:$AY$138,LS_current!AC$148, FALSE))/2)</f>
        <v>0</v>
      </c>
      <c r="CA13" s="180">
        <f t="array" ref="CA13">IF($BT13=0, INDEX(LS_current!$D$4:$AY$138, MATCH('Staging Table'!$A13, LS_current!$B$4:$B$138, 0), MATCH(CA$4&amp;CA$5, LS_current!$D$2:$AY$2&amp;LS_current!$D$3:$AY$3, 0)),SUM(VLOOKUP($A13, LS_current!$B$4:$AY$138, LS_current!F$148, FALSE), VLOOKUP($A13, LS_current!$B$4:$AY$138,LS_current!AD$148, FALSE))/2)</f>
        <v>0</v>
      </c>
      <c r="CB13" s="180">
        <f t="array" ref="CB13">IF($BT13=0, INDEX(LS_current!$D$4:$AY$138, MATCH('Staging Table'!$A13, LS_current!$B$4:$B$138, 0), MATCH(CB$4&amp;CB$5, LS_current!$D$2:$AY$2&amp;LS_current!$D$3:$AY$3, 0)),SUM(VLOOKUP($A13, LS_current!$B$4:$AY$138, LS_current!G$148, FALSE), VLOOKUP($A13, LS_current!$B$4:$AY$138,LS_current!AE$148, FALSE))/2)</f>
        <v>0</v>
      </c>
      <c r="CC13" s="180">
        <f t="array" ref="CC13">IF($BT13=0, INDEX(LS_current!$D$4:$AY$138, MATCH('Staging Table'!$A13, LS_current!$B$4:$B$138, 0), MATCH(CC$4&amp;CC$5, LS_current!$D$2:$AY$2&amp;LS_current!$D$3:$AY$3, 0)),SUM(VLOOKUP($A13, LS_current!$B$4:$AY$138, LS_current!H$148, FALSE), VLOOKUP($A13, LS_current!$B$4:$AY$138,LS_current!AF$148, FALSE))/2)</f>
        <v>0</v>
      </c>
      <c r="CD13" s="180">
        <f t="array" ref="CD13">IF($BT13=0, INDEX(LS_current!$D$4:$AY$138, MATCH('Staging Table'!$A13, LS_current!$B$4:$B$138, 0), MATCH(CD$4&amp;CD$5, LS_current!$D$2:$AY$2&amp;LS_current!$D$3:$AY$3, 0)),SUM(VLOOKUP($A13, LS_current!$B$4:$AY$138, LS_current!I$148, FALSE), VLOOKUP($A13, LS_current!$B$4:$AY$138,LS_current!AG$148, FALSE))/2)</f>
        <v>0</v>
      </c>
      <c r="CE13" s="180">
        <f t="array" ref="CE13">IF($BT13=0, INDEX(LS_current!$D$4:$AY$138, MATCH('Staging Table'!$A13, LS_current!$B$4:$B$138, 0), MATCH(CE$4&amp;CE$5, LS_current!$D$2:$AY$2&amp;LS_current!$D$3:$AY$3, 0)),SUM(VLOOKUP($A13, LS_current!$B$4:$AY$138, LS_current!J$148, FALSE), VLOOKUP($A13, LS_current!$B$4:$AY$138,LS_current!AH$148, FALSE))/2)</f>
        <v>0</v>
      </c>
      <c r="CF13" s="180">
        <f t="array" ref="CF13">IF($BT13=0, INDEX(LS_current!$D$4:$AY$138, MATCH('Staging Table'!$A13, LS_current!$B$4:$B$138, 0), MATCH(CF$4&amp;CF$5, LS_current!$D$2:$AY$2&amp;LS_current!$D$3:$AY$3, 0)),SUM(VLOOKUP($A13, LS_current!$B$4:$AY$138, LS_current!K$148, FALSE), VLOOKUP($A13, LS_current!$B$4:$AY$138,LS_current!AI$148, FALSE))/2)</f>
        <v>0</v>
      </c>
      <c r="CG13" s="180">
        <f t="array" ref="CG13">IF($BT13=0, INDEX(LS_current!$D$4:$AY$138, MATCH('Staging Table'!$A13, LS_current!$B$4:$B$138, 0), MATCH(CG$4&amp;CG$5, LS_current!$D$2:$AY$2&amp;LS_current!$D$3:$AY$3, 0)),SUM(VLOOKUP($A13, LS_current!$B$4:$AY$138, LS_current!L$148, FALSE), VLOOKUP($A13, LS_current!$B$4:$AY$138,LS_current!AJ$148, FALSE))/2)</f>
        <v>0</v>
      </c>
      <c r="CH13" s="180">
        <f t="array" ref="CH13">IF($BT13=0, INDEX(LS_current!$D$4:$AY$138, MATCH('Staging Table'!$A13, LS_current!$B$4:$B$138, 0), MATCH(CH$4&amp;CH$5, LS_current!$D$2:$AY$2&amp;LS_current!$D$3:$AY$3, 0)),SUM(VLOOKUP($A13, LS_current!$B$4:$AY$138, LS_current!M$148, FALSE), VLOOKUP($A13, LS_current!$B$4:$AY$138,LS_current!AK$148, FALSE))/2)</f>
        <v>0</v>
      </c>
      <c r="CI13" s="180">
        <f t="array" ref="CI13">IF($BT13=0, INDEX(LS_current!$D$4:$AY$138, MATCH('Staging Table'!$A13, LS_current!$B$4:$B$138, 0), MATCH(CI$4&amp;CI$5, LS_current!$D$2:$AY$2&amp;LS_current!$D$3:$AY$3, 0)),SUM(VLOOKUP($A13, LS_current!$B$4:$AY$138, LS_current!N$148, FALSE), VLOOKUP($A13, LS_current!$B$4:$AY$138,LS_current!AL$148, FALSE))/2)</f>
        <v>0</v>
      </c>
      <c r="CJ13" s="180">
        <f t="array" ref="CJ13">IF($BT13=0, INDEX(LS_current!$D$4:$AY$138, MATCH('Staging Table'!$A13, LS_current!$B$4:$B$138, 0), MATCH(CJ$4&amp;CJ$5, LS_current!$D$2:$AY$2&amp;LS_current!$D$3:$AY$3, 0)),SUM(VLOOKUP($A13, LS_current!$B$4:$AY$138, LS_current!O$148, FALSE), VLOOKUP($A13, LS_current!$B$4:$AY$138,LS_current!AM$148, FALSE))/2)</f>
        <v>0</v>
      </c>
      <c r="CK13" s="180">
        <f t="array" ref="CK13">IF($BT13=0, INDEX(LS_current!$D$4:$AY$138, MATCH('Staging Table'!$A13, LS_current!$B$4:$B$138, 0), MATCH(CK$4&amp;CK$5, LS_current!$D$2:$AY$2&amp;LS_current!$D$3:$AY$3, 0)),SUM(VLOOKUP($A13, LS_current!$B$4:$AY$138, LS_current!P$148, FALSE), VLOOKUP($A13, LS_current!$B$4:$AY$138,LS_current!AN$148, FALSE))/2)</f>
        <v>0</v>
      </c>
      <c r="CL13" s="180">
        <f t="array" ref="CL13">IF($BT13=0, INDEX(LS_current!$D$4:$AY$138, MATCH('Staging Table'!$A13, LS_current!$B$4:$B$138, 0), MATCH(CL$4&amp;CL$5, LS_current!$D$2:$AY$2&amp;LS_current!$D$3:$AY$3, 0)),SUM(VLOOKUP($A13, LS_current!$B$4:$AY$138, LS_current!Q$148, FALSE), VLOOKUP($A13, LS_current!$B$4:$AY$138,LS_current!AO$148, FALSE))/2)</f>
        <v>0</v>
      </c>
      <c r="CM13" s="180">
        <f t="array" ref="CM13">IF($BT13=0, INDEX(LS_current!$D$4:$AY$138, MATCH('Staging Table'!$A13, LS_current!$B$4:$B$138, 0), MATCH(CM$4&amp;CM$5, LS_current!$D$2:$AY$2&amp;LS_current!$D$3:$AY$3, 0)),SUM(VLOOKUP($A13, LS_current!$B$4:$AY$138, LS_current!R$148, FALSE), VLOOKUP($A13, LS_current!$B$4:$AY$138,LS_current!AP$148, FALSE))/2)</f>
        <v>0</v>
      </c>
      <c r="CN13" s="180">
        <f t="array" ref="CN13">IF($BT13=0, INDEX(LS_current!$D$4:$AY$138, MATCH('Staging Table'!$A13, LS_current!$B$4:$B$138, 0), MATCH(CN$4&amp;CN$5, LS_current!$D$2:$AY$2&amp;LS_current!$D$3:$AY$3, 0)),SUM(VLOOKUP($A13, LS_current!$B$4:$AY$138, LS_current!S$148, FALSE), VLOOKUP($A13, LS_current!$B$4:$AY$138,LS_current!AQ$148, FALSE))/2)</f>
        <v>0</v>
      </c>
      <c r="CO13" s="180">
        <f t="array" ref="CO13">IF($BT13=0, INDEX(LS_current!$D$4:$AY$138, MATCH('Staging Table'!$A13, LS_current!$B$4:$B$138, 0), MATCH(CO$4&amp;CO$5, LS_current!$D$2:$AY$2&amp;LS_current!$D$3:$AY$3, 0)),SUM(VLOOKUP($A13, LS_current!$B$4:$AY$138, LS_current!T$148, FALSE), VLOOKUP($A13, LS_current!$B$4:$AY$138,LS_current!AR$148, FALSE))/2)</f>
        <v>0</v>
      </c>
      <c r="CP13" s="180">
        <f t="array" ref="CP13">IF($BT13=0, INDEX(LS_current!$D$4:$AY$138, MATCH('Staging Table'!$A13, LS_current!$B$4:$B$138, 0), MATCH(CP$4&amp;CP$5, LS_current!$D$2:$AY$2&amp;LS_current!$D$3:$AY$3, 0)),SUM(VLOOKUP($A13, LS_current!$B$4:$AY$138, LS_current!U$148, FALSE), VLOOKUP($A13, LS_current!$B$4:$AY$138,LS_current!AS$148, FALSE))/2)</f>
        <v>0</v>
      </c>
      <c r="CQ13" s="180">
        <f t="array" ref="CQ13">IF($BT13=0, INDEX(LS_current!$D$4:$AY$138, MATCH('Staging Table'!$A13, LS_current!$B$4:$B$138, 0), MATCH(CQ$4&amp;CQ$5, LS_current!$D$2:$AY$2&amp;LS_current!$D$3:$AY$3, 0)),SUM(VLOOKUP($A13, LS_current!$B$4:$AY$138, LS_current!V$148, FALSE), VLOOKUP($A13, LS_current!$B$4:$AY$138,LS_current!AT$148, FALSE))/2)</f>
        <v>0</v>
      </c>
      <c r="CR13" s="180">
        <f t="array" ref="CR13">IF($BT13=0, INDEX(LS_current!$D$4:$AY$138, MATCH('Staging Table'!$A13, LS_current!$B$4:$B$138, 0), MATCH(CR$4&amp;CR$5, LS_current!$D$2:$AY$2&amp;LS_current!$D$3:$AY$3, 0)),SUM(VLOOKUP($A13, LS_current!$B$4:$AY$138, LS_current!W$148, FALSE), VLOOKUP($A13, LS_current!$B$4:$AY$138,LS_current!AU$148, FALSE))/2)</f>
        <v>0</v>
      </c>
      <c r="CS13" s="180">
        <f t="array" ref="CS13">IF($BT13=0, INDEX(LS_current!$D$4:$AY$138, MATCH('Staging Table'!$A13, LS_current!$B$4:$B$138, 0), MATCH(CS$4&amp;CS$5, LS_current!$D$2:$AY$2&amp;LS_current!$D$3:$AY$3, 0)),SUM(VLOOKUP($A13, LS_current!$B$4:$AY$138, LS_current!X$148, FALSE), VLOOKUP($A13, LS_current!$B$4:$AY$138,LS_current!AV$148, FALSE))/2)</f>
        <v>0</v>
      </c>
      <c r="CT13" s="180">
        <f t="array" ref="CT13">IF($BT13=0, INDEX(LS_current!$D$4:$AY$138, MATCH('Staging Table'!$A13, LS_current!$B$4:$B$138, 0), MATCH(CT$4&amp;CT$5, LS_current!$D$2:$AY$2&amp;LS_current!$D$3:$AY$3, 0)),SUM(VLOOKUP($A13, LS_current!$B$4:$AY$138, LS_current!Y$148, FALSE), VLOOKUP($A13, LS_current!$B$4:$AY$138,LS_current!AW$148, FALSE))/2)</f>
        <v>0</v>
      </c>
      <c r="CU13" s="180">
        <f t="array" ref="CU13">IF($BT13=0, INDEX(LS_current!$D$4:$AY$138, MATCH('Staging Table'!$A13, LS_current!$B$4:$B$138, 0), MATCH(CU$4&amp;CU$5, LS_current!$D$2:$AY$2&amp;LS_current!$D$3:$AY$3, 0)),SUM(VLOOKUP($A13, LS_current!$B$4:$AY$138, LS_current!Z$148, FALSE), VLOOKUP($A13, LS_current!$B$4:$AY$138,LS_current!AX$148, FALSE))/2)</f>
        <v>0</v>
      </c>
      <c r="CV13" s="180">
        <f t="array" ref="CV13">IF($BT13=0, INDEX(LS_current!$D$4:$AY$138, MATCH('Staging Table'!$A13, LS_current!$B$4:$B$138, 0), MATCH(CV$4&amp;CV$5, LS_current!$D$2:$AY$2&amp;LS_current!$D$3:$AY$3, 0)),SUM(VLOOKUP($A13, LS_current!$B$4:$AY$138, LS_current!AA$148, FALSE), VLOOKUP($A13, LS_current!$B$4:$AY$138,LS_current!AY$148, FALSE))/2)</f>
        <v>0</v>
      </c>
      <c r="CW13" s="182">
        <f t="array" ref="CW13">INDEX(Demand_current!$D$4:$AY$138, MATCH($A13, Demand_current!$B$4:$B$138, 0), MATCH(CW$4&amp;CW$5,Demand_current!$D$2:$AY$2&amp;Demand_current!$D$3:$AY$3, 0))/1000</f>
        <v>0</v>
      </c>
      <c r="CX13" s="182">
        <f t="array" ref="CX13">INDEX(Demand_current!$D$4:$AY$138, MATCH($A13, Demand_current!$B$4:$B$138, 0), MATCH(CX$4&amp;CX$5,Demand_current!$D$2:$AY$2&amp;Demand_current!$D$3:$AY$3, 0))/1000</f>
        <v>0</v>
      </c>
      <c r="CY13" s="182">
        <f t="array" ref="CY13">INDEX(Demand_current!$D$4:$AY$138, MATCH($A13, Demand_current!$B$4:$B$138, 0), MATCH(CY$4&amp;CY$5,Demand_current!$D$2:$AY$2&amp;Demand_current!$D$3:$AY$3, 0))/1000</f>
        <v>0</v>
      </c>
      <c r="CZ13" s="182">
        <f t="array" ref="CZ13">INDEX(Demand_current!$D$4:$AY$138, MATCH($A13, Demand_current!$B$4:$B$138, 0), MATCH(CZ$4&amp;CZ$5,Demand_current!$D$2:$AY$2&amp;Demand_current!$D$3:$AY$3, 0))/1000</f>
        <v>0</v>
      </c>
      <c r="DA13" s="182">
        <f t="array" ref="DA13">INDEX(Demand_current!$D$4:$AY$138, MATCH($A13, Demand_current!$B$4:$B$138, 0), MATCH(DA$4&amp;DA$5,Demand_current!$D$2:$AY$2&amp;Demand_current!$D$3:$AY$3, 0))/1000</f>
        <v>0</v>
      </c>
      <c r="DB13" s="182">
        <f t="array" ref="DB13">INDEX(Demand_current!$D$4:$AY$138, MATCH($A13, Demand_current!$B$4:$B$138, 0), MATCH(DB$4&amp;DB$5,Demand_current!$D$2:$AY$2&amp;Demand_current!$D$3:$AY$3, 0))/1000</f>
        <v>0</v>
      </c>
      <c r="DC13" s="182">
        <f t="array" ref="DC13">INDEX(Demand_current!$D$4:$AY$138, MATCH($A13, Demand_current!$B$4:$B$138, 0), MATCH(DC$4&amp;DC$5,Demand_current!$D$2:$AY$2&amp;Demand_current!$D$3:$AY$3, 0))/1000</f>
        <v>0</v>
      </c>
      <c r="DD13" s="182">
        <f t="array" ref="DD13">INDEX(Demand_current!$D$4:$AY$138, MATCH($A13, Demand_current!$B$4:$B$138, 0), MATCH(DD$4&amp;DD$5,Demand_current!$D$2:$AY$2&amp;Demand_current!$D$3:$AY$3, 0))/1000</f>
        <v>0</v>
      </c>
      <c r="DE13" s="182">
        <f t="array" ref="DE13">INDEX(Demand_current!$D$4:$AY$138, MATCH($A13, Demand_current!$B$4:$B$138, 0), MATCH(DE$4&amp;DE$5,Demand_current!$D$2:$AY$2&amp;Demand_current!$D$3:$AY$3, 0))/1000</f>
        <v>0</v>
      </c>
      <c r="DF13" s="182">
        <f t="array" ref="DF13">INDEX(Demand_current!$D$4:$AY$138, MATCH($A13, Demand_current!$B$4:$B$138, 0), MATCH(DF$4&amp;DF$5,Demand_current!$D$2:$AY$2&amp;Demand_current!$D$3:$AY$3, 0))/1000</f>
        <v>0</v>
      </c>
      <c r="DG13" s="182">
        <f t="array" ref="DG13">INDEX(Demand_current!$D$4:$AY$138, MATCH($A13, Demand_current!$B$4:$B$138, 0), MATCH(DG$4&amp;DG$5,Demand_current!$D$2:$AY$2&amp;Demand_current!$D$3:$AY$3, 0))/1000</f>
        <v>0</v>
      </c>
      <c r="DH13" s="182">
        <f t="array" ref="DH13">INDEX(Demand_current!$D$4:$AY$138, MATCH($A13, Demand_current!$B$4:$B$138, 0), MATCH(DH$4&amp;DH$5,Demand_current!$D$2:$AY$2&amp;Demand_current!$D$3:$AY$3, 0))/1000</f>
        <v>0</v>
      </c>
      <c r="DI13" s="180">
        <f>$BS13*(VLOOKUP(DI$4, Rates_current!$G$6:$Q$29, 10, FALSE)+VLOOKUP(DI$4, Rates_current!$G$6:$Q$29, 11, FALSE))</f>
        <v>48887.91986863815</v>
      </c>
      <c r="DJ13" s="180">
        <f>$BS13*(VLOOKUP(DJ$4, Rates_current!$G$6:$Q$29, 10, FALSE)+VLOOKUP(DJ$4, Rates_current!$G$6:$Q$29, 11, FALSE))</f>
        <v>62348.21876948791</v>
      </c>
      <c r="DK13" s="180">
        <f>$BS13*(VLOOKUP(DK$4, Rates_current!$G$6:$Q$29, 10, FALSE)+VLOOKUP(DK$4, Rates_current!$G$6:$Q$29, 11, FALSE))</f>
        <v>67286.064340723504</v>
      </c>
      <c r="DL13" s="180">
        <f>$BS13*(VLOOKUP(DL$4, Rates_current!$G$6:$Q$29, 10, FALSE)+VLOOKUP(DL$4, Rates_current!$G$6:$Q$29, 11, FALSE))</f>
        <v>69920.622456446406</v>
      </c>
      <c r="DM13" s="180">
        <f>$BS13*(VLOOKUP(DM$4, Rates_current!$G$6:$Q$29, 10, FALSE)+VLOOKUP(DM$4, Rates_current!$G$6:$Q$29, 11, FALSE))</f>
        <v>60141.055136527793</v>
      </c>
      <c r="DN13" s="180">
        <f>$BS13*(VLOOKUP(DN$4, Rates_current!$G$6:$Q$29, 10, FALSE)+VLOOKUP(DN$4, Rates_current!$G$6:$Q$29, 11, FALSE))</f>
        <v>65662.1248789971</v>
      </c>
      <c r="DO13" s="180">
        <f>$BS13*(VLOOKUP(DO$4, Rates_current!$G$6:$Q$29, 10, FALSE)+VLOOKUP(DO$4, Rates_current!$G$6:$Q$29, 11, FALSE))</f>
        <v>51829.182182552926</v>
      </c>
      <c r="DP13" s="180">
        <f>$BS13*(VLOOKUP(DP$4, Rates_current!$G$6:$Q$29, 10, FALSE)+VLOOKUP(DP$4, Rates_current!$G$6:$Q$29, 11, FALSE))</f>
        <v>64301.045931922657</v>
      </c>
      <c r="DQ13" s="180">
        <f>$BS13*(VLOOKUP(DQ$4, Rates_current!$G$6:$Q$29, 10, FALSE)+VLOOKUP(DQ$4, Rates_current!$G$6:$Q$29, 11, FALSE))</f>
        <v>65696.218106332046</v>
      </c>
      <c r="DR13" s="180">
        <f>$BS13*(VLOOKUP(DR$4, Rates_current!$G$6:$Q$29, 10, FALSE)+VLOOKUP(DR$4, Rates_current!$G$6:$Q$29, 11, FALSE))</f>
        <v>57033.782064141153</v>
      </c>
      <c r="DS13" s="180">
        <f>$BS13*(VLOOKUP(DS$4, Rates_current!$G$6:$Q$29, 10, FALSE)+VLOOKUP(DS$4, Rates_current!$G$6:$Q$29, 11, FALSE))</f>
        <v>55136.507179468943</v>
      </c>
      <c r="DT13" s="180">
        <f>$BS13*(VLOOKUP(DT$4, Rates_current!$G$6:$Q$29, 10, FALSE)+VLOOKUP(DT$4, Rates_current!$G$6:$Q$29, 11, FALSE))</f>
        <v>50736.263727001809</v>
      </c>
      <c r="DU13" s="402">
        <f>IF(D13=0,IF(C13=0,MAX(0,DW13 - (VLOOKUP($A13,TOCA_current!$A$2:$AI$137,MATCH("RHWM 2024",TOCA_current!$A$2:$AI$2,0),FALSE)*$BS$2)), 0),0)</f>
        <v>0</v>
      </c>
      <c r="DV13" s="403">
        <f>MIN(VLOOKUP($A13,TOCA_current!$A$2:$AI$137,MATCH("TRL - NLSL - Existing Resource "&amp;$BS$1,TOCA_current!$A$2:$AI$2,0),FALSE)*$BS$2, VLOOKUP($A13,TOCA_current!$A$2:$AI$137,MATCH("RHWM 2024",TOCA_current!$A$2:$AI$2,0),FALSE)*$BS$2)</f>
        <v>718979.18400000001</v>
      </c>
      <c r="DW13" s="403">
        <f>SUM(BY13:CV13)+(BS13*RT1SC!$C$4*$BS$2)</f>
        <v>718979.00793789595</v>
      </c>
      <c r="DX13" s="403">
        <f>VLOOKUP($A13,TOCA_current!$A$2:$AI$137,MATCH("Above RHWM Not Served with LS "&amp;$BS$1,TOCA_current!$A$2:$AI$2,0),FALSE)*$BS$2</f>
        <v>149573.95199999999</v>
      </c>
      <c r="DY13" s="403">
        <f t="shared" si="13"/>
        <v>-0.17606210405938327</v>
      </c>
      <c r="DZ13" s="403">
        <f>(VLOOKUP($A13,TOCA_current!$A$2:$AI$137,MATCH("RHWM 2024",TOCA_current!$A$2:$AI$2,0),FALSE)*$BS$2) - $DV13</f>
        <v>0</v>
      </c>
      <c r="EA13" s="403">
        <f t="shared" si="14"/>
        <v>0</v>
      </c>
      <c r="EB13" s="403">
        <f t="shared" si="15"/>
        <v>0</v>
      </c>
      <c r="EC13" s="403">
        <f t="shared" si="16"/>
        <v>0</v>
      </c>
      <c r="ED13" s="403">
        <f t="shared" si="17"/>
        <v>0</v>
      </c>
    </row>
    <row r="14" spans="1:134">
      <c r="A14" s="123">
        <v>10047</v>
      </c>
      <c r="B14" s="124" t="s">
        <v>15</v>
      </c>
      <c r="C14" s="232">
        <f>VLOOKUP(A14, TOCA_current!$A$3:$D$137, 4, FALSE)</f>
        <v>0</v>
      </c>
      <c r="D14" s="191">
        <v>0</v>
      </c>
      <c r="E14" s="107">
        <f>VLOOKUP($A14,TOCA_previous!$A$2:$AI$137,MATCH(E$4,TOCA_previous!$A$2:$AI$2,0),FALSE)</f>
        <v>2.21856E-2</v>
      </c>
      <c r="F14" s="108">
        <f>VLOOKUP($A14,TOCA_previous!$A$2:$AI$137,MATCH(F$4,TOCA_previous!$A$2:$AI$2,0),FALSE)</f>
        <v>2.21856E-2</v>
      </c>
      <c r="G14" s="108">
        <f t="shared" si="5"/>
        <v>0</v>
      </c>
      <c r="H14" s="108">
        <f>VLOOKUP($A14,TOCA_previous!$A$2:$AI$137,MATCH(H$4,TOCA_previous!$A$2:$AI$2,0),FALSE)</f>
        <v>0</v>
      </c>
      <c r="I14" s="108">
        <f t="shared" si="6"/>
        <v>0</v>
      </c>
      <c r="J14" s="108">
        <f t="shared" si="7"/>
        <v>0</v>
      </c>
      <c r="K14" s="179">
        <f>VLOOKUP(A14, IRD!$A$5:$C$139, 3, FALSE)</f>
        <v>0</v>
      </c>
      <c r="L14" s="180">
        <f t="array" ref="L14">IF($G14=0, INDEX(LS_previous!$D$4:$AY$138, MATCH('Staging Table'!$A14, LS_previous!$B$4:$B$138, 0), MATCH(L$4&amp;L$5, LS_previous!$D$2:$AY$2&amp;LS_previous!$D$3:$AY$3, 0)),SUM(VLOOKUP($A14, LS_previous!$B$4:$AY$138, LS_previous!D$149, FALSE), VLOOKUP('Staging Table'!$A14, LS_previous!$B$4:$AY$138,LS_previous!AB$149, FALSE))/2)</f>
        <v>-1202.8794928787829</v>
      </c>
      <c r="M14" s="180">
        <f t="array" ref="M14">IF($G14=0, INDEX(LS_previous!$D$4:$AY$138, MATCH('Staging Table'!$A14, LS_previous!$B$4:$B$138, 0), MATCH(M$4&amp;M$5, LS_previous!$D$2:$AY$2&amp;LS_previous!$D$3:$AY$3, 0)),SUM(VLOOKUP($A14, LS_previous!$B$4:$AY$138, LS_previous!E$149, FALSE), VLOOKUP('Staging Table'!$A14, LS_previous!$B$4:$AY$138,LS_previous!AC$149, FALSE))/2)</f>
        <v>8515.9098635991686</v>
      </c>
      <c r="N14" s="180">
        <f t="array" ref="N14">IF($G14=0, INDEX(LS_previous!$D$4:$AY$138, MATCH('Staging Table'!$A14, LS_previous!$B$4:$B$138, 0), MATCH(N$4&amp;N$5, LS_previous!$D$2:$AY$2&amp;LS_previous!$D$3:$AY$3, 0)),SUM(VLOOKUP($A14, LS_previous!$B$4:$AY$138, LS_previous!F$149, FALSE), VLOOKUP('Staging Table'!$A14, LS_previous!$B$4:$AY$138,LS_previous!AD$149, FALSE))/2)</f>
        <v>-13988.281375876111</v>
      </c>
      <c r="O14" s="180">
        <f t="array" ref="O14">IF($G14=0, INDEX(LS_previous!$D$4:$AY$138, MATCH('Staging Table'!$A14, LS_previous!$B$4:$B$138, 0), MATCH(O$4&amp;O$5, LS_previous!$D$2:$AY$2&amp;LS_previous!$D$3:$AY$3, 0)),SUM(VLOOKUP($A14, LS_previous!$B$4:$AY$138, LS_previous!G$149, FALSE), VLOOKUP('Staging Table'!$A14, LS_previous!$B$4:$AY$138,LS_previous!AE$149, FALSE))/2)</f>
        <v>-2669.0820779065325</v>
      </c>
      <c r="P14" s="180">
        <f t="array" ref="P14">IF($G14=0, INDEX(LS_previous!$D$4:$AY$138, MATCH('Staging Table'!$A14, LS_previous!$B$4:$B$138, 0), MATCH(P$4&amp;P$5, LS_previous!$D$2:$AY$2&amp;LS_previous!$D$3:$AY$3, 0)),SUM(VLOOKUP($A14, LS_previous!$B$4:$AY$138, LS_previous!H$149, FALSE), VLOOKUP('Staging Table'!$A14, LS_previous!$B$4:$AY$138,LS_previous!AF$149, FALSE))/2)</f>
        <v>5503.7840353310748</v>
      </c>
      <c r="Q14" s="180">
        <f t="array" ref="Q14">IF($G14=0, INDEX(LS_previous!$D$4:$AY$138, MATCH('Staging Table'!$A14, LS_previous!$B$4:$B$138, 0), MATCH(Q$4&amp;Q$5, LS_previous!$D$2:$AY$2&amp;LS_previous!$D$3:$AY$3, 0)),SUM(VLOOKUP($A14, LS_previous!$B$4:$AY$138, LS_previous!I$149, FALSE), VLOOKUP('Staging Table'!$A14, LS_previous!$B$4:$AY$138,LS_previous!AG$149, FALSE))/2)</f>
        <v>5673.4103753233503</v>
      </c>
      <c r="R14" s="180">
        <f t="array" ref="R14">IF($G14=0, INDEX(LS_previous!$D$4:$AY$138, MATCH('Staging Table'!$A14, LS_previous!$B$4:$B$138, 0), MATCH(R$4&amp;R$5, LS_previous!$D$2:$AY$2&amp;LS_previous!$D$3:$AY$3, 0)),SUM(VLOOKUP($A14, LS_previous!$B$4:$AY$138, LS_previous!J$149, FALSE), VLOOKUP('Staging Table'!$A14, LS_previous!$B$4:$AY$138,LS_previous!AH$149, FALSE))/2)</f>
        <v>17245.782848547431</v>
      </c>
      <c r="S14" s="180">
        <f t="array" ref="S14">IF($G14=0, INDEX(LS_previous!$D$4:$AY$138, MATCH('Staging Table'!$A14, LS_previous!$B$4:$B$138, 0), MATCH(S$4&amp;S$5, LS_previous!$D$2:$AY$2&amp;LS_previous!$D$3:$AY$3, 0)),SUM(VLOOKUP($A14, LS_previous!$B$4:$AY$138, LS_previous!K$149, FALSE), VLOOKUP('Staging Table'!$A14, LS_previous!$B$4:$AY$138,LS_previous!AI$149, FALSE))/2)</f>
        <v>9129.5374655804844</v>
      </c>
      <c r="T14" s="180">
        <f t="array" ref="T14">IF($G14=0, INDEX(LS_previous!$D$4:$AY$138, MATCH('Staging Table'!$A14, LS_previous!$B$4:$B$138, 0), MATCH(T$4&amp;T$5, LS_previous!$D$2:$AY$2&amp;LS_previous!$D$3:$AY$3, 0)),SUM(VLOOKUP($A14, LS_previous!$B$4:$AY$138, LS_previous!L$149, FALSE), VLOOKUP('Staging Table'!$A14, LS_previous!$B$4:$AY$138,LS_previous!AJ$149, FALSE))/2)</f>
        <v>15896.206636833354</v>
      </c>
      <c r="U14" s="180">
        <f t="array" ref="U14">IF($G14=0, INDEX(LS_previous!$D$4:$AY$138, MATCH('Staging Table'!$A14, LS_previous!$B$4:$B$138, 0), MATCH(U$4&amp;U$5, LS_previous!$D$2:$AY$2&amp;LS_previous!$D$3:$AY$3, 0)),SUM(VLOOKUP($A14, LS_previous!$B$4:$AY$138, LS_previous!M$149, FALSE), VLOOKUP('Staging Table'!$A14, LS_previous!$B$4:$AY$138,LS_previous!AK$149, FALSE))/2)</f>
        <v>7443.6977565001944</v>
      </c>
      <c r="V14" s="180">
        <f t="array" ref="V14">IF($G14=0, INDEX(LS_previous!$D$4:$AY$138, MATCH('Staging Table'!$A14, LS_previous!$B$4:$B$138, 0), MATCH(V$4&amp;V$5, LS_previous!$D$2:$AY$2&amp;LS_previous!$D$3:$AY$3, 0)),SUM(VLOOKUP($A14, LS_previous!$B$4:$AY$138, LS_previous!N$149, FALSE), VLOOKUP('Staging Table'!$A14, LS_previous!$B$4:$AY$138,LS_previous!AL$149, FALSE))/2)</f>
        <v>4294.4911061035964</v>
      </c>
      <c r="W14" s="180">
        <f t="array" ref="W14">IF($G14=0, INDEX(LS_previous!$D$4:$AY$138, MATCH('Staging Table'!$A14, LS_previous!$B$4:$B$138, 0), MATCH(W$4&amp;W$5, LS_previous!$D$2:$AY$2&amp;LS_previous!$D$3:$AY$3, 0)),SUM(VLOOKUP($A14, LS_previous!$B$4:$AY$138, LS_previous!O$149, FALSE), VLOOKUP('Staging Table'!$A14, LS_previous!$B$4:$AY$138,LS_previous!AM$149, FALSE))/2)</f>
        <v>8615.1538200680588</v>
      </c>
      <c r="X14" s="180">
        <f t="array" ref="X14">IF($G14=0, INDEX(LS_previous!$D$4:$AY$138, MATCH('Staging Table'!$A14, LS_previous!$B$4:$B$138, 0), MATCH(X$4&amp;X$5, LS_previous!$D$2:$AY$2&amp;LS_previous!$D$3:$AY$3, 0)),SUM(VLOOKUP($A14, LS_previous!$B$4:$AY$138, LS_previous!P$149, FALSE), VLOOKUP('Staging Table'!$A14, LS_previous!$B$4:$AY$138,LS_previous!AN$149, FALSE))/2)</f>
        <v>14161.424674552865</v>
      </c>
      <c r="Y14" s="180">
        <f t="array" ref="Y14">IF($G14=0, INDEX(LS_previous!$D$4:$AY$138, MATCH('Staging Table'!$A14, LS_previous!$B$4:$B$138, 0), MATCH(Y$4&amp;Y$5, LS_previous!$D$2:$AY$2&amp;LS_previous!$D$3:$AY$3, 0)),SUM(VLOOKUP($A14, LS_previous!$B$4:$AY$138, LS_previous!Q$149, FALSE), VLOOKUP('Staging Table'!$A14, LS_previous!$B$4:$AY$138,LS_previous!AO$149, FALSE))/2)</f>
        <v>11675.655500348395</v>
      </c>
      <c r="Z14" s="180">
        <f t="array" ref="Z14">IF($G14=0, INDEX(LS_previous!$D$4:$AY$138, MATCH('Staging Table'!$A14, LS_previous!$B$4:$B$138, 0), MATCH(Z$4&amp;Z$5, LS_previous!$D$2:$AY$2&amp;LS_previous!$D$3:$AY$3, 0)),SUM(VLOOKUP($A14, LS_previous!$B$4:$AY$138, LS_previous!R$149, FALSE), VLOOKUP('Staging Table'!$A14, LS_previous!$B$4:$AY$138,LS_previous!AP$149, FALSE))/2)</f>
        <v>-22205.449546367432</v>
      </c>
      <c r="AA14" s="180">
        <f t="array" ref="AA14">IF($G14=0, INDEX(LS_previous!$D$4:$AY$138, MATCH('Staging Table'!$A14, LS_previous!$B$4:$B$138, 0), MATCH(AA$4&amp;AA$5, LS_previous!$D$2:$AY$2&amp;LS_previous!$D$3:$AY$3, 0)),SUM(VLOOKUP($A14, LS_previous!$B$4:$AY$138, LS_previous!S$149, FALSE), VLOOKUP('Staging Table'!$A14, LS_previous!$B$4:$AY$138,LS_previous!AQ$149, FALSE))/2)</f>
        <v>1750.6189303084393</v>
      </c>
      <c r="AB14" s="180">
        <f t="array" ref="AB14">IF($G14=0, INDEX(LS_previous!$D$4:$AY$138, MATCH('Staging Table'!$A14, LS_previous!$B$4:$B$138, 0), MATCH(AB$4&amp;AB$5, LS_previous!$D$2:$AY$2&amp;LS_previous!$D$3:$AY$3, 0)),SUM(VLOOKUP($A14, LS_previous!$B$4:$AY$138, LS_previous!T$149, FALSE), VLOOKUP('Staging Table'!$A14, LS_previous!$B$4:$AY$138,LS_previous!AR$149, FALSE))/2)</f>
        <v>-35175.298432900148</v>
      </c>
      <c r="AC14" s="180">
        <f t="array" ref="AC14">IF($G14=0, INDEX(LS_previous!$D$4:$AY$138, MATCH('Staging Table'!$A14, LS_previous!$B$4:$B$138, 0), MATCH(AC$4&amp;AC$5, LS_previous!$D$2:$AY$2&amp;LS_previous!$D$3:$AY$3, 0)),SUM(VLOOKUP($A14, LS_previous!$B$4:$AY$138, LS_previous!U$149, FALSE), VLOOKUP('Staging Table'!$A14, LS_previous!$B$4:$AY$138,LS_previous!AS$149, FALSE))/2)</f>
        <v>2958.3391612054256</v>
      </c>
      <c r="AD14" s="180">
        <f t="array" ref="AD14">IF($G14=0, INDEX(LS_previous!$D$4:$AY$138, MATCH('Staging Table'!$A14, LS_previous!$B$4:$B$138, 0), MATCH(AD$4&amp;AD$5, LS_previous!$D$2:$AY$2&amp;LS_previous!$D$3:$AY$3, 0)),SUM(VLOOKUP($A14, LS_previous!$B$4:$AY$138, LS_previous!V$149, FALSE), VLOOKUP('Staging Table'!$A14, LS_previous!$B$4:$AY$138,LS_previous!AT$149, FALSE))/2)</f>
        <v>-21433.744797766311</v>
      </c>
      <c r="AE14" s="180">
        <f t="array" ref="AE14">IF($G14=0, INDEX(LS_previous!$D$4:$AY$138, MATCH('Staging Table'!$A14, LS_previous!$B$4:$B$138, 0), MATCH(AE$4&amp;AE$5, LS_previous!$D$2:$AY$2&amp;LS_previous!$D$3:$AY$3, 0)),SUM(VLOOKUP($A14, LS_previous!$B$4:$AY$138, LS_previous!W$149, FALSE), VLOOKUP('Staging Table'!$A14, LS_previous!$B$4:$AY$138,LS_previous!AU$149, FALSE))/2)</f>
        <v>1125.6150651280186</v>
      </c>
      <c r="AF14" s="180">
        <f t="array" ref="AF14">IF($G14=0, INDEX(LS_previous!$D$4:$AY$138, MATCH('Staging Table'!$A14, LS_previous!$B$4:$B$138, 0), MATCH(AF$4&amp;AF$5, LS_previous!$D$2:$AY$2&amp;LS_previous!$D$3:$AY$3, 0)),SUM(VLOOKUP($A14, LS_previous!$B$4:$AY$138, LS_previous!X$149, FALSE), VLOOKUP('Staging Table'!$A14, LS_previous!$B$4:$AY$138,LS_previous!AV$149, FALSE))/2)</f>
        <v>-16586.312480204695</v>
      </c>
      <c r="AG14" s="180">
        <f t="array" ref="AG14">IF($G14=0, INDEX(LS_previous!$D$4:$AY$138, MATCH('Staging Table'!$A14, LS_previous!$B$4:$B$138, 0), MATCH(AG$4&amp;AG$5, LS_previous!$D$2:$AY$2&amp;LS_previous!$D$3:$AY$3, 0)),SUM(VLOOKUP($A14, LS_previous!$B$4:$AY$138, LS_previous!Y$149, FALSE), VLOOKUP('Staging Table'!$A14, LS_previous!$B$4:$AY$138,LS_previous!AW$149, FALSE))/2)</f>
        <v>1565.1717045473706</v>
      </c>
      <c r="AH14" s="180">
        <f t="array" ref="AH14">IF($G14=0, INDEX(LS_previous!$D$4:$AY$138, MATCH('Staging Table'!$A14, LS_previous!$B$4:$B$138, 0), MATCH(AH$4&amp;AH$5, LS_previous!$D$2:$AY$2&amp;LS_previous!$D$3:$AY$3, 0)),SUM(VLOOKUP($A14, LS_previous!$B$4:$AY$138, LS_previous!Z$149, FALSE), VLOOKUP('Staging Table'!$A14, LS_previous!$B$4:$AY$138,LS_previous!AX$149, FALSE))/2)</f>
        <v>-14283.930398016666</v>
      </c>
      <c r="AI14" s="180">
        <f t="array" ref="AI14">IF($G14=0, INDEX(LS_previous!$D$4:$AY$138, MATCH('Staging Table'!$A14, LS_previous!$B$4:$B$138, 0), MATCH(AI$4&amp;AI$5, LS_previous!$D$2:$AY$2&amp;LS_previous!$D$3:$AY$3, 0)),SUM(VLOOKUP($A14, LS_previous!$B$4:$AY$138, LS_previous!AA$149, FALSE), VLOOKUP('Staging Table'!$A14, LS_previous!$B$4:$AY$138,LS_previous!AY$149, FALSE))/2)</f>
        <v>3875.3264500305231</v>
      </c>
      <c r="AJ14" s="298">
        <f t="array" ref="AJ14">INDEX(Demand_previous!$D$4:$AY$138, MATCH('Staging Table'!$A14, Demand_previous!$B$4:$B$138, 0), MATCH(AJ$4&amp;AJ$5,Demand_previous!$D$2:$AY$2&amp;Demand_previous!$D$3:$AY$3, 0))/1000</f>
        <v>0</v>
      </c>
      <c r="AK14" s="298">
        <f t="array" ref="AK14">INDEX(Demand_previous!$D$4:$AY$138, MATCH('Staging Table'!$A14, Demand_previous!$B$4:$B$138, 0), MATCH(AK$4&amp;AK$5,Demand_previous!$D$2:$AY$2&amp;Demand_previous!$D$3:$AY$3, 0))/1000</f>
        <v>7.8461125000000251</v>
      </c>
      <c r="AL14" s="298">
        <f t="array" ref="AL14">INDEX(Demand_previous!$D$4:$AY$138, MATCH('Staging Table'!$A14, Demand_previous!$B$4:$B$138, 0), MATCH(AL$4&amp;AL$5,Demand_previous!$D$2:$AY$2&amp;Demand_previous!$D$3:$AY$3, 0))/1000</f>
        <v>19.062137019230761</v>
      </c>
      <c r="AM14" s="298">
        <f t="array" ref="AM14">INDEX(Demand_previous!$D$4:$AY$138, MATCH('Staging Table'!$A14, Demand_previous!$B$4:$B$138, 0), MATCH(AM$4&amp;AM$5,Demand_previous!$D$2:$AY$2&amp;Demand_previous!$D$3:$AY$3, 0))/1000</f>
        <v>0</v>
      </c>
      <c r="AN14" s="298">
        <f t="array" ref="AN14">INDEX(Demand_previous!$D$4:$AY$138, MATCH('Staging Table'!$A14, Demand_previous!$B$4:$B$138, 0), MATCH(AN$4&amp;AN$5,Demand_previous!$D$2:$AY$2&amp;Demand_previous!$D$3:$AY$3, 0))/1000</f>
        <v>6.6446067708333203</v>
      </c>
      <c r="AO14" s="298">
        <f t="array" ref="AO14">INDEX(Demand_previous!$D$4:$AY$138, MATCH('Staging Table'!$A14, Demand_previous!$B$4:$B$138, 0), MATCH(AO$4&amp;AO$5,Demand_previous!$D$2:$AY$2&amp;Demand_previous!$D$3:$AY$3, 0))/1000</f>
        <v>29.710148148148136</v>
      </c>
      <c r="AP14" s="298">
        <f t="array" ref="AP14">INDEX(Demand_previous!$D$4:$AY$138, MATCH('Staging Table'!$A14, Demand_previous!$B$4:$B$138, 0), MATCH(AP$4&amp;AP$5,Demand_previous!$D$2:$AY$2&amp;Demand_previous!$D$3:$AY$3, 0))/1000</f>
        <v>22.165302884615379</v>
      </c>
      <c r="AQ14" s="298">
        <f t="array" ref="AQ14">INDEX(Demand_previous!$D$4:$AY$138, MATCH('Staging Table'!$A14, Demand_previous!$B$4:$B$138, 0), MATCH(AQ$4&amp;AQ$5,Demand_previous!$D$2:$AY$2&amp;Demand_previous!$D$3:$AY$3, 0))/1000</f>
        <v>5.029582499999993</v>
      </c>
      <c r="AR14" s="298">
        <f t="array" ref="AR14">INDEX(Demand_previous!$D$4:$AY$138, MATCH('Staging Table'!$A14, Demand_previous!$B$4:$B$138, 0), MATCH(AR$4&amp;AR$5,Demand_previous!$D$2:$AY$2&amp;Demand_previous!$D$3:$AY$3, 0))/1000</f>
        <v>18.52205288461537</v>
      </c>
      <c r="AS14" s="298">
        <f t="array" ref="AS14">INDEX(Demand_previous!$D$4:$AY$138, MATCH('Staging Table'!$A14, Demand_previous!$B$4:$B$138, 0), MATCH(AS$4&amp;AS$5,Demand_previous!$D$2:$AY$2&amp;Demand_previous!$D$3:$AY$3, 0))/1000</f>
        <v>0</v>
      </c>
      <c r="AT14" s="298">
        <f t="array" ref="AT14">INDEX(Demand_previous!$D$4:$AY$138, MATCH('Staging Table'!$A14, Demand_previous!$B$4:$B$138, 0), MATCH(AT$4&amp;AT$5,Demand_previous!$D$2:$AY$2&amp;Demand_previous!$D$3:$AY$3, 0))/1000</f>
        <v>8.5471550925925897</v>
      </c>
      <c r="AU14" s="298">
        <f t="array" ref="AU14">INDEX(Demand_previous!$D$4:$AY$138, MATCH('Staging Table'!$A14, Demand_previous!$B$4:$B$138, 0), MATCH(AU$4&amp;AU$5,Demand_previous!$D$2:$AY$2&amp;Demand_previous!$D$3:$AY$3, 0))/1000</f>
        <v>13.180297499999998</v>
      </c>
      <c r="AV14" s="180">
        <f>$F14*(VLOOKUP(AV$4, Rates_previous!$G$6:$Q$29, 10, FALSE)+VLOOKUP(AV$4, Rates_previous!$G$6:$Q$29, 11, FALSE))</f>
        <v>101031.54562927962</v>
      </c>
      <c r="AW14" s="180">
        <f>$F14*(VLOOKUP(AW$4, Rates_previous!$G$6:$Q$29, 10, FALSE)+VLOOKUP(AW$4, Rates_previous!$G$6:$Q$29, 11, FALSE))</f>
        <v>127909.60345378265</v>
      </c>
      <c r="AX14" s="180">
        <f>$F14*(VLOOKUP(AX$4, Rates_previous!$G$6:$Q$29, 10, FALSE)+VLOOKUP(AX$4, Rates_previous!$G$6:$Q$29, 11, FALSE))</f>
        <v>125197.9475893456</v>
      </c>
      <c r="AY14" s="180">
        <f>$F14*(VLOOKUP(AY$4, Rates_previous!$G$6:$Q$29, 10, FALSE)+VLOOKUP(AY$4, Rates_previous!$G$6:$Q$29, 11, FALSE))</f>
        <v>103408.1806858721</v>
      </c>
      <c r="AZ14" s="180">
        <f>$F14*(VLOOKUP(AZ$4, Rates_previous!$G$6:$Q$29, 10, FALSE)+VLOOKUP(AZ$4, Rates_previous!$G$6:$Q$29, 11, FALSE))</f>
        <v>89626.136606666449</v>
      </c>
      <c r="BA14" s="180">
        <f>$F14*(VLOOKUP(BA$4, Rates_previous!$G$6:$Q$29, 10, FALSE)+VLOOKUP(BA$4, Rates_previous!$G$6:$Q$29, 11, FALSE))</f>
        <v>106995.50807382836</v>
      </c>
      <c r="BB14" s="180">
        <f>$F14*(VLOOKUP(BB$4, Rates_previous!$G$6:$Q$29, 10, FALSE)+VLOOKUP(BB$4, Rates_previous!$G$6:$Q$29, 11, FALSE))</f>
        <v>83067.767825098737</v>
      </c>
      <c r="BC14" s="180">
        <f>$F14*(VLOOKUP(BC$4, Rates_previous!$G$6:$Q$29, 10, FALSE)+VLOOKUP(BC$4, Rates_previous!$G$6:$Q$29, 11, FALSE))</f>
        <v>115091.00361605898</v>
      </c>
      <c r="BD14" s="180">
        <f>$F14*(VLOOKUP(BD$4, Rates_previous!$G$6:$Q$29, 10, FALSE)+VLOOKUP(BD$4, Rates_previous!$G$6:$Q$29, 11, FALSE))</f>
        <v>122977.1472716947</v>
      </c>
      <c r="BE14" s="180">
        <f>$F14*(VLOOKUP(BE$4, Rates_previous!$G$6:$Q$29, 10, FALSE)+VLOOKUP(BE$4, Rates_previous!$G$6:$Q$29, 11, FALSE))</f>
        <v>116761.23273263831</v>
      </c>
      <c r="BF14" s="180">
        <f>$F14*(VLOOKUP(BF$4, Rates_previous!$G$6:$Q$29, 10, FALSE)+VLOOKUP(BF$4, Rates_previous!$G$6:$Q$29, 11, FALSE))</f>
        <v>112840.72377565732</v>
      </c>
      <c r="BG14" s="180">
        <f>$F14*(VLOOKUP(BG$4, Rates_previous!$G$6:$Q$29, 10, FALSE)+VLOOKUP(BG$4, Rates_previous!$G$6:$Q$29, 11, FALSE))</f>
        <v>104276.59194798615</v>
      </c>
      <c r="BH14" s="298">
        <f>IF($D14=0,IF(C14=0, MAX(BJ14 - (VLOOKUP($A14,TOCA_previous!$A$2:$AI$137,MATCH("RHWM 2022",TOCA_previous!$A$2:$AI$2,0),FALSE)*$F$2*TOCA_previous!C11),0),0), 0)</f>
        <v>0</v>
      </c>
      <c r="BI14" s="192">
        <f>MIN(VLOOKUP($A14,TOCA_previous!$A$2:$AI$137,MATCH("TRL - NLSL - Existing Resource "&amp;$F$1,TOCA_previous!$A$2:$AI$2,0),FALSE)*$F$2,(VLOOKUP($A14,TOCA_previous!$A$2:$AI$137,MATCH("RHWM 2022",TOCA_previous!$A$2:$AI$2,0),FALSE)*$F$2))</f>
        <v>1309182</v>
      </c>
      <c r="BJ14" s="402">
        <f>SUM(L14:AI14)+(F14*RT1SC!$C$3*$F$2)</f>
        <v>1301068.6029703952</v>
      </c>
      <c r="BK14" s="401">
        <f>VLOOKUP($A14,TOCA_previous!$A$2:$AI$137,MATCH("Above RHWM Not Served with LS "&amp;$F$1,TOCA_previous!$A$2:$AI$2,0),FALSE)*$F$2</f>
        <v>36844.560000000005</v>
      </c>
      <c r="BL14" s="402">
        <f t="shared" si="8"/>
        <v>-8113.3970296047628</v>
      </c>
      <c r="BM14" s="401">
        <f>(VLOOKUP($A14,TOCA_previous!$A$2:$AI$137,MATCH("RHWM 2022",TOCA_previous!$A$2:$AI$2,0),FALSE)*$F$2) - $BI14</f>
        <v>0</v>
      </c>
      <c r="BN14" s="402">
        <f t="shared" si="9"/>
        <v>0</v>
      </c>
      <c r="BO14" s="401">
        <f t="shared" si="10"/>
        <v>0</v>
      </c>
      <c r="BP14" s="402">
        <f t="shared" si="11"/>
        <v>0</v>
      </c>
      <c r="BQ14" s="401">
        <f t="shared" si="2"/>
        <v>0</v>
      </c>
      <c r="BR14" s="108">
        <f>VLOOKUP($A14,TOCA_current!$A$2:$AI$137,MATCH(BR$4,TOCA_current!$A$2:$AI$2,0),FALSE)</f>
        <v>2.1563800000000001E-2</v>
      </c>
      <c r="BS14" s="108">
        <f>VLOOKUP($A14,TOCA_current!$A$2:$AI$137,MATCH(BS$4,TOCA_current!$A$2:$AI$2,0),FALSE)</f>
        <v>2.1563800000000001E-2</v>
      </c>
      <c r="BT14" s="189">
        <f t="shared" si="12"/>
        <v>0</v>
      </c>
      <c r="BU14" s="108">
        <f>VLOOKUP($A14,TOCA_current!A10:BG145,MATCH(BU$4,TOCA_current!$A$2:$BG$2,0),FALSE)</f>
        <v>0</v>
      </c>
      <c r="BV14" s="108">
        <f t="shared" si="3"/>
        <v>0</v>
      </c>
      <c r="BW14" s="108">
        <f t="shared" si="4"/>
        <v>0</v>
      </c>
      <c r="BX14" s="179">
        <f>VLOOKUP($A14,IRD!$A$4:$G$139, 7, FALSE)</f>
        <v>0</v>
      </c>
      <c r="BY14" s="180">
        <f t="array" ref="BY14">IF($BT14=0, INDEX(LS_current!$D$4:$AY$138, MATCH('Staging Table'!$A14, LS_current!$B$4:$B$138, 0), MATCH(BY$4&amp;BY$5, LS_current!$D$2:$AY$2&amp;LS_current!$D$3:$AY$3, 0)),SUM(VLOOKUP($A14, LS_current!$B$4:$AY$138, LS_current!D$148, FALSE), VLOOKUP($A14, LS_current!$B$4:$AY$138,LS_current!AB$148, FALSE))/2)</f>
        <v>10305.908296503192</v>
      </c>
      <c r="BZ14" s="180">
        <f t="array" ref="BZ14">IF($BT14=0, INDEX(LS_current!$D$4:$AY$138, MATCH('Staging Table'!$A14, LS_current!$B$4:$B$138, 0), MATCH(BZ$4&amp;BZ$5, LS_current!$D$2:$AY$2&amp;LS_current!$D$3:$AY$3, 0)),SUM(VLOOKUP($A14, LS_current!$B$4:$AY$138, LS_current!E$148, FALSE), VLOOKUP($A14, LS_current!$B$4:$AY$138,LS_current!AC$148, FALSE))/2)</f>
        <v>10194.491151263093</v>
      </c>
      <c r="CA14" s="180">
        <f t="array" ref="CA14">IF($BT14=0, INDEX(LS_current!$D$4:$AY$138, MATCH('Staging Table'!$A14, LS_current!$B$4:$B$138, 0), MATCH(CA$4&amp;CA$5, LS_current!$D$2:$AY$2&amp;LS_current!$D$3:$AY$3, 0)),SUM(VLOOKUP($A14, LS_current!$B$4:$AY$138, LS_current!F$148, FALSE), VLOOKUP($A14, LS_current!$B$4:$AY$138,LS_current!AD$148, FALSE))/2)</f>
        <v>-4209.1968435264134</v>
      </c>
      <c r="CB14" s="180">
        <f t="array" ref="CB14">IF($BT14=0, INDEX(LS_current!$D$4:$AY$138, MATCH('Staging Table'!$A14, LS_current!$B$4:$B$138, 0), MATCH(CB$4&amp;CB$5, LS_current!$D$2:$AY$2&amp;LS_current!$D$3:$AY$3, 0)),SUM(VLOOKUP($A14, LS_current!$B$4:$AY$138, LS_current!G$148, FALSE), VLOOKUP($A14, LS_current!$B$4:$AY$138,LS_current!AE$148, FALSE))/2)</f>
        <v>2472.8273768422005</v>
      </c>
      <c r="CC14" s="180">
        <f t="array" ref="CC14">IF($BT14=0, INDEX(LS_current!$D$4:$AY$138, MATCH('Staging Table'!$A14, LS_current!$B$4:$B$138, 0), MATCH(CC$4&amp;CC$5, LS_current!$D$2:$AY$2&amp;LS_current!$D$3:$AY$3, 0)),SUM(VLOOKUP($A14, LS_current!$B$4:$AY$138, LS_current!H$148, FALSE), VLOOKUP($A14, LS_current!$B$4:$AY$138,LS_current!AF$148, FALSE))/2)</f>
        <v>2861.9806213518023</v>
      </c>
      <c r="CD14" s="180">
        <f t="array" ref="CD14">IF($BT14=0, INDEX(LS_current!$D$4:$AY$138, MATCH('Staging Table'!$A14, LS_current!$B$4:$B$138, 0), MATCH(CD$4&amp;CD$5, LS_current!$D$2:$AY$2&amp;LS_current!$D$3:$AY$3, 0)),SUM(VLOOKUP($A14, LS_current!$B$4:$AY$138, LS_current!I$148, FALSE), VLOOKUP($A14, LS_current!$B$4:$AY$138,LS_current!AG$148, FALSE))/2)</f>
        <v>11432.664138195199</v>
      </c>
      <c r="CE14" s="180">
        <f t="array" ref="CE14">IF($BT14=0, INDEX(LS_current!$D$4:$AY$138, MATCH('Staging Table'!$A14, LS_current!$B$4:$B$138, 0), MATCH(CE$4&amp;CE$5, LS_current!$D$2:$AY$2&amp;LS_current!$D$3:$AY$3, 0)),SUM(VLOOKUP($A14, LS_current!$B$4:$AY$138, LS_current!J$148, FALSE), VLOOKUP($A14, LS_current!$B$4:$AY$138,LS_current!AH$148, FALSE))/2)</f>
        <v>-2800.6390039169928</v>
      </c>
      <c r="CF14" s="180">
        <f t="array" ref="CF14">IF($BT14=0, INDEX(LS_current!$D$4:$AY$138, MATCH('Staging Table'!$A14, LS_current!$B$4:$B$138, 0), MATCH(CF$4&amp;CF$5, LS_current!$D$2:$AY$2&amp;LS_current!$D$3:$AY$3, 0)),SUM(VLOOKUP($A14, LS_current!$B$4:$AY$138, LS_current!K$148, FALSE), VLOOKUP($A14, LS_current!$B$4:$AY$138,LS_current!AI$148, FALSE))/2)</f>
        <v>5601.1061702497973</v>
      </c>
      <c r="CG14" s="180">
        <f t="array" ref="CG14">IF($BT14=0, INDEX(LS_current!$D$4:$AY$138, MATCH('Staging Table'!$A14, LS_current!$B$4:$B$138, 0), MATCH(CG$4&amp;CG$5, LS_current!$D$2:$AY$2&amp;LS_current!$D$3:$AY$3, 0)),SUM(VLOOKUP($A14, LS_current!$B$4:$AY$138, LS_current!L$148, FALSE), VLOOKUP($A14, LS_current!$B$4:$AY$138,LS_current!AJ$148, FALSE))/2)</f>
        <v>-1586.4121355801908</v>
      </c>
      <c r="CH14" s="180">
        <f t="array" ref="CH14">IF($BT14=0, INDEX(LS_current!$D$4:$AY$138, MATCH('Staging Table'!$A14, LS_current!$B$4:$B$138, 0), MATCH(CH$4&amp;CH$5, LS_current!$D$2:$AY$2&amp;LS_current!$D$3:$AY$3, 0)),SUM(VLOOKUP($A14, LS_current!$B$4:$AY$138, LS_current!M$148, FALSE), VLOOKUP($A14, LS_current!$B$4:$AY$138,LS_current!AK$148, FALSE))/2)</f>
        <v>5464.9661365157954</v>
      </c>
      <c r="CI14" s="180">
        <f t="array" ref="CI14">IF($BT14=0, INDEX(LS_current!$D$4:$AY$138, MATCH('Staging Table'!$A14, LS_current!$B$4:$B$138, 0), MATCH(CI$4&amp;CI$5, LS_current!$D$2:$AY$2&amp;LS_current!$D$3:$AY$3, 0)),SUM(VLOOKUP($A14, LS_current!$B$4:$AY$138, LS_current!N$148, FALSE), VLOOKUP($A14, LS_current!$B$4:$AY$138,LS_current!AL$148, FALSE))/2)</f>
        <v>-2571.7017689093918</v>
      </c>
      <c r="CJ14" s="180">
        <f t="array" ref="CJ14">IF($BT14=0, INDEX(LS_current!$D$4:$AY$138, MATCH('Staging Table'!$A14, LS_current!$B$4:$B$138, 0), MATCH(CJ$4&amp;CJ$5, LS_current!$D$2:$AY$2&amp;LS_current!$D$3:$AY$3, 0)),SUM(VLOOKUP($A14, LS_current!$B$4:$AY$138, LS_current!O$148, FALSE), VLOOKUP($A14, LS_current!$B$4:$AY$138,LS_current!AM$148, FALSE))/2)</f>
        <v>3414.0710635635987</v>
      </c>
      <c r="CK14" s="180">
        <f t="array" ref="CK14">IF($BT14=0, INDEX(LS_current!$D$4:$AY$138, MATCH('Staging Table'!$A14, LS_current!$B$4:$B$138, 0), MATCH(CK$4&amp;CK$5, LS_current!$D$2:$AY$2&amp;LS_current!$D$3:$AY$3, 0)),SUM(VLOOKUP($A14, LS_current!$B$4:$AY$138, LS_current!P$148, FALSE), VLOOKUP($A14, LS_current!$B$4:$AY$138,LS_current!AN$148, FALSE))/2)</f>
        <v>8394.8011675455055</v>
      </c>
      <c r="CL14" s="180">
        <f t="array" ref="CL14">IF($BT14=0, INDEX(LS_current!$D$4:$AY$138, MATCH('Staging Table'!$A14, LS_current!$B$4:$B$138, 0), MATCH(CL$4&amp;CL$5, LS_current!$D$2:$AY$2&amp;LS_current!$D$3:$AY$3, 0)),SUM(VLOOKUP($A14, LS_current!$B$4:$AY$138, LS_current!Q$148, FALSE), VLOOKUP($A14, LS_current!$B$4:$AY$138,LS_current!AO$148, FALSE))/2)</f>
        <v>7091.656953515354</v>
      </c>
      <c r="CM14" s="180">
        <f t="array" ref="CM14">IF($BT14=0, INDEX(LS_current!$D$4:$AY$138, MATCH('Staging Table'!$A14, LS_current!$B$4:$B$138, 0), MATCH(CM$4&amp;CM$5, LS_current!$D$2:$AY$2&amp;LS_current!$D$3:$AY$3, 0)),SUM(VLOOKUP($A14, LS_current!$B$4:$AY$138, LS_current!R$148, FALSE), VLOOKUP($A14, LS_current!$B$4:$AY$138,LS_current!AP$148, FALSE))/2)</f>
        <v>-15677.817146902409</v>
      </c>
      <c r="CN14" s="180">
        <f t="array" ref="CN14">IF($BT14=0, INDEX(LS_current!$D$4:$AY$138, MATCH('Staging Table'!$A14, LS_current!$B$4:$B$138, 0), MATCH(CN$4&amp;CN$5, LS_current!$D$2:$AY$2&amp;LS_current!$D$3:$AY$3, 0)),SUM(VLOOKUP($A14, LS_current!$B$4:$AY$138, LS_current!S$148, FALSE), VLOOKUP($A14, LS_current!$B$4:$AY$138,LS_current!AQ$148, FALSE))/2)</f>
        <v>-6211.8139200622973</v>
      </c>
      <c r="CO14" s="180">
        <f t="array" ref="CO14">IF($BT14=0, INDEX(LS_current!$D$4:$AY$138, MATCH('Staging Table'!$A14, LS_current!$B$4:$B$138, 0), MATCH(CO$4&amp;CO$5, LS_current!$D$2:$AY$2&amp;LS_current!$D$3:$AY$3, 0)),SUM(VLOOKUP($A14, LS_current!$B$4:$AY$138, LS_current!T$148, FALSE), VLOOKUP($A14, LS_current!$B$4:$AY$138,LS_current!AR$148, FALSE))/2)</f>
        <v>-22494.712914678799</v>
      </c>
      <c r="CP14" s="180">
        <f t="array" ref="CP14">IF($BT14=0, INDEX(LS_current!$D$4:$AY$138, MATCH('Staging Table'!$A14, LS_current!$B$4:$B$138, 0), MATCH(CP$4&amp;CP$5, LS_current!$D$2:$AY$2&amp;LS_current!$D$3:$AY$3, 0)),SUM(VLOOKUP($A14, LS_current!$B$4:$AY$138, LS_current!U$148, FALSE), VLOOKUP($A14, LS_current!$B$4:$AY$138,LS_current!AS$148, FALSE))/2)</f>
        <v>-5968.0634202271031</v>
      </c>
      <c r="CQ14" s="180">
        <f t="array" ref="CQ14">IF($BT14=0, INDEX(LS_current!$D$4:$AY$138, MATCH('Staging Table'!$A14, LS_current!$B$4:$B$138, 0), MATCH(CQ$4&amp;CQ$5, LS_current!$D$2:$AY$2&amp;LS_current!$D$3:$AY$3, 0)),SUM(VLOOKUP($A14, LS_current!$B$4:$AY$138, LS_current!V$148, FALSE), VLOOKUP($A14, LS_current!$B$4:$AY$138,LS_current!AT$148, FALSE))/2)</f>
        <v>-8120.1485525431999</v>
      </c>
      <c r="CR14" s="180">
        <f t="array" ref="CR14">IF($BT14=0, INDEX(LS_current!$D$4:$AY$138, MATCH('Staging Table'!$A14, LS_current!$B$4:$B$138, 0), MATCH(CR$4&amp;CR$5, LS_current!$D$2:$AY$2&amp;LS_current!$D$3:$AY$3, 0)),SUM(VLOOKUP($A14, LS_current!$B$4:$AY$138, LS_current!W$148, FALSE), VLOOKUP($A14, LS_current!$B$4:$AY$138,LS_current!AU$148, FALSE))/2)</f>
        <v>1570.7882051155029</v>
      </c>
      <c r="CS14" s="180">
        <f t="array" ref="CS14">IF($BT14=0, INDEX(LS_current!$D$4:$AY$138, MATCH('Staging Table'!$A14, LS_current!$B$4:$B$138, 0), MATCH(CS$4&amp;CS$5, LS_current!$D$2:$AY$2&amp;LS_current!$D$3:$AY$3, 0)),SUM(VLOOKUP($A14, LS_current!$B$4:$AY$138, LS_current!X$148, FALSE), VLOOKUP($A14, LS_current!$B$4:$AY$138,LS_current!AV$148, FALSE))/2)</f>
        <v>-3863.6966001917099</v>
      </c>
      <c r="CT14" s="180">
        <f t="array" ref="CT14">IF($BT14=0, INDEX(LS_current!$D$4:$AY$138, MATCH('Staging Table'!$A14, LS_current!$B$4:$B$138, 0), MATCH(CT$4&amp;CT$5, LS_current!$D$2:$AY$2&amp;LS_current!$D$3:$AY$3, 0)),SUM(VLOOKUP($A14, LS_current!$B$4:$AY$138, LS_current!Y$148, FALSE), VLOOKUP($A14, LS_current!$B$4:$AY$138,LS_current!AW$148, FALSE))/2)</f>
        <v>2211.3739937305654</v>
      </c>
      <c r="CU14" s="180">
        <f t="array" ref="CU14">IF($BT14=0, INDEX(LS_current!$D$4:$AY$138, MATCH('Staging Table'!$A14, LS_current!$B$4:$B$138, 0), MATCH(CU$4&amp;CU$5, LS_current!$D$2:$AY$2&amp;LS_current!$D$3:$AY$3, 0)),SUM(VLOOKUP($A14, LS_current!$B$4:$AY$138, LS_current!Z$148, FALSE), VLOOKUP($A14, LS_current!$B$4:$AY$138,LS_current!AX$148, FALSE))/2)</f>
        <v>-2439.7249528812026</v>
      </c>
      <c r="CV14" s="180">
        <f t="array" ref="CV14">IF($BT14=0, INDEX(LS_current!$D$4:$AY$138, MATCH('Staging Table'!$A14, LS_current!$B$4:$B$138, 0), MATCH(CV$4&amp;CV$5, LS_current!$D$2:$AY$2&amp;LS_current!$D$3:$AY$3, 0)),SUM(VLOOKUP($A14, LS_current!$B$4:$AY$138, LS_current!AA$148, FALSE), VLOOKUP($A14, LS_current!$B$4:$AY$138,LS_current!AY$148, FALSE))/2)</f>
        <v>4923.0883151648013</v>
      </c>
      <c r="CW14" s="182">
        <f t="array" ref="CW14">INDEX(Demand_current!$D$4:$AY$138, MATCH($A14, Demand_current!$B$4:$B$138, 0), MATCH(CW$4&amp;CW$5,Demand_current!$D$2:$AY$2&amp;Demand_current!$D$3:$AY$3, 0))/1000</f>
        <v>0</v>
      </c>
      <c r="CX14" s="182">
        <f t="array" ref="CX14">INDEX(Demand_current!$D$4:$AY$138, MATCH($A14, Demand_current!$B$4:$B$138, 0), MATCH(CX$4&amp;CX$5,Demand_current!$D$2:$AY$2&amp;Demand_current!$D$3:$AY$3, 0))/1000</f>
        <v>7.8461125000000251</v>
      </c>
      <c r="CY14" s="182">
        <f t="array" ref="CY14">INDEX(Demand_current!$D$4:$AY$138, MATCH($A14, Demand_current!$B$4:$B$138, 0), MATCH(CY$4&amp;CY$5,Demand_current!$D$2:$AY$2&amp;Demand_current!$D$3:$AY$3, 0))/1000</f>
        <v>11.487422500000008</v>
      </c>
      <c r="CZ14" s="182">
        <f t="array" ref="CZ14">INDEX(Demand_current!$D$4:$AY$138, MATCH($A14, Demand_current!$B$4:$B$138, 0), MATCH(CZ$4&amp;CZ$5,Demand_current!$D$2:$AY$2&amp;Demand_current!$D$3:$AY$3, 0))/1000</f>
        <v>6.1577740384615112</v>
      </c>
      <c r="DA14" s="182">
        <f t="array" ref="DA14">INDEX(Demand_current!$D$4:$AY$138, MATCH($A14, Demand_current!$B$4:$B$138, 0), MATCH(DA$4&amp;DA$5,Demand_current!$D$2:$AY$2&amp;Demand_current!$D$3:$AY$3, 0))/1000</f>
        <v>13.891902499999986</v>
      </c>
      <c r="DB14" s="182">
        <f t="array" ref="DB14">INDEX(Demand_current!$D$4:$AY$138, MATCH($A14, Demand_current!$B$4:$B$138, 0), MATCH(DB$4&amp;DB$5,Demand_current!$D$2:$AY$2&amp;Demand_current!$D$3:$AY$3, 0))/1000</f>
        <v>23.315769230769206</v>
      </c>
      <c r="DC14" s="182">
        <f t="array" ref="DC14">INDEX(Demand_current!$D$4:$AY$138, MATCH($A14, Demand_current!$B$4:$B$138, 0), MATCH(DC$4&amp;DC$5,Demand_current!$D$2:$AY$2&amp;Demand_current!$D$3:$AY$3, 0))/1000</f>
        <v>22.165302884615379</v>
      </c>
      <c r="DD14" s="182">
        <f t="array" ref="DD14">INDEX(Demand_current!$D$4:$AY$138, MATCH($A14, Demand_current!$B$4:$B$138, 0), MATCH(DD$4&amp;DD$5,Demand_current!$D$2:$AY$2&amp;Demand_current!$D$3:$AY$3, 0))/1000</f>
        <v>10.51336778846154</v>
      </c>
      <c r="DE14" s="182">
        <f t="array" ref="DE14">INDEX(Demand_current!$D$4:$AY$138, MATCH($A14, Demand_current!$B$4:$B$138, 0), MATCH(DE$4&amp;DE$5,Demand_current!$D$2:$AY$2&amp;Demand_current!$D$3:$AY$3, 0))/1000</f>
        <v>13.303534999999989</v>
      </c>
      <c r="DF14" s="182">
        <f t="array" ref="DF14">INDEX(Demand_current!$D$4:$AY$138, MATCH($A14, Demand_current!$B$4:$B$138, 0), MATCH(DF$4&amp;DF$5,Demand_current!$D$2:$AY$2&amp;Demand_current!$D$3:$AY$3, 0))/1000</f>
        <v>3.0317524038461485</v>
      </c>
      <c r="DG14" s="182">
        <f t="array" ref="DG14">INDEX(Demand_current!$D$4:$AY$138, MATCH($A14, Demand_current!$B$4:$B$138, 0), MATCH(DG$4&amp;DG$5,Demand_current!$D$2:$AY$2&amp;Demand_current!$D$3:$AY$3, 0))/1000</f>
        <v>8.5471550925925897</v>
      </c>
      <c r="DH14" s="182">
        <f t="array" ref="DH14">INDEX(Demand_current!$D$4:$AY$138, MATCH($A14, Demand_current!$B$4:$B$138, 0), MATCH(DH$4&amp;DH$5,Demand_current!$D$2:$AY$2&amp;Demand_current!$D$3:$AY$3, 0))/1000</f>
        <v>7.5606848958333082</v>
      </c>
      <c r="DI14" s="180">
        <f>$BS14*(VLOOKUP(DI$4, Rates_current!$G$6:$Q$29, 10, FALSE)+VLOOKUP(DI$4, Rates_current!$G$6:$Q$29, 11, FALSE))</f>
        <v>90973.440552233704</v>
      </c>
      <c r="DJ14" s="180">
        <f>$BS14*(VLOOKUP(DJ$4, Rates_current!$G$6:$Q$29, 10, FALSE)+VLOOKUP(DJ$4, Rates_current!$G$6:$Q$29, 11, FALSE))</f>
        <v>116021.13546668422</v>
      </c>
      <c r="DK14" s="180">
        <f>$BS14*(VLOOKUP(DK$4, Rates_current!$G$6:$Q$29, 10, FALSE)+VLOOKUP(DK$4, Rates_current!$G$6:$Q$29, 11, FALSE))</f>
        <v>125209.76124045302</v>
      </c>
      <c r="DL14" s="180">
        <f>$BS14*(VLOOKUP(DL$4, Rates_current!$G$6:$Q$29, 10, FALSE)+VLOOKUP(DL$4, Rates_current!$G$6:$Q$29, 11, FALSE))</f>
        <v>130112.29783366721</v>
      </c>
      <c r="DM14" s="180">
        <f>$BS14*(VLOOKUP(DM$4, Rates_current!$G$6:$Q$29, 10, FALSE)+VLOOKUP(DM$4, Rates_current!$G$6:$Q$29, 11, FALSE))</f>
        <v>111913.91899906439</v>
      </c>
      <c r="DN14" s="180">
        <f>$BS14*(VLOOKUP(DN$4, Rates_current!$G$6:$Q$29, 10, FALSE)+VLOOKUP(DN$4, Rates_current!$G$6:$Q$29, 11, FALSE))</f>
        <v>122187.8417053458</v>
      </c>
      <c r="DO14" s="180">
        <f>$BS14*(VLOOKUP(DO$4, Rates_current!$G$6:$Q$29, 10, FALSE)+VLOOKUP(DO$4, Rates_current!$G$6:$Q$29, 11, FALSE))</f>
        <v>96446.709878939146</v>
      </c>
      <c r="DP14" s="180">
        <f>$BS14*(VLOOKUP(DP$4, Rates_current!$G$6:$Q$29, 10, FALSE)+VLOOKUP(DP$4, Rates_current!$G$6:$Q$29, 11, FALSE))</f>
        <v>119655.06806696471</v>
      </c>
      <c r="DQ14" s="180">
        <f>$BS14*(VLOOKUP(DQ$4, Rates_current!$G$6:$Q$29, 10, FALSE)+VLOOKUP(DQ$4, Rates_current!$G$6:$Q$29, 11, FALSE))</f>
        <v>122251.2843349059</v>
      </c>
      <c r="DR14" s="180">
        <f>$BS14*(VLOOKUP(DR$4, Rates_current!$G$6:$Q$29, 10, FALSE)+VLOOKUP(DR$4, Rates_current!$G$6:$Q$29, 11, FALSE))</f>
        <v>106131.7273474277</v>
      </c>
      <c r="DS14" s="180">
        <f>$BS14*(VLOOKUP(DS$4, Rates_current!$G$6:$Q$29, 10, FALSE)+VLOOKUP(DS$4, Rates_current!$G$6:$Q$29, 11, FALSE))</f>
        <v>102601.16960646115</v>
      </c>
      <c r="DT14" s="180">
        <f>$BS14*(VLOOKUP(DT$4, Rates_current!$G$6:$Q$29, 10, FALSE)+VLOOKUP(DT$4, Rates_current!$G$6:$Q$29, 11, FALSE))</f>
        <v>94412.944637716413</v>
      </c>
      <c r="DU14" s="402">
        <f>IF(D14=0,IF(C14=0,MAX(0,DW14 - (VLOOKUP($A14,TOCA_current!$A$2:$AI$137,MATCH("RHWM 2024",TOCA_current!$A$2:$AI$2,0),FALSE)*$BS$2)), 0),0)</f>
        <v>0</v>
      </c>
      <c r="DV14" s="403">
        <f>MIN(VLOOKUP($A14,TOCA_current!$A$2:$AI$137,MATCH("TRL - NLSL - Existing Resource "&amp;$BS$1,TOCA_current!$A$2:$AI$2,0),FALSE)*$BS$2, VLOOKUP($A14,TOCA_current!$A$2:$AI$137,MATCH("RHWM 2024",TOCA_current!$A$2:$AI$2,0),FALSE)*$BS$2)</f>
        <v>1337917.392</v>
      </c>
      <c r="DW14" s="403">
        <f>SUM(BY14:CV14)+(BS14*RT1SC!$C$4*$BS$2)</f>
        <v>1337913.1021327446</v>
      </c>
      <c r="DX14" s="403">
        <f>VLOOKUP($A14,TOCA_current!$A$2:$AI$137,MATCH("Above RHWM Not Served with LS "&amp;$BS$1,TOCA_current!$A$2:$AI$2,0),FALSE)*$BS$2</f>
        <v>0</v>
      </c>
      <c r="DY14" s="403">
        <f t="shared" si="13"/>
        <v>-4.2898672553710639</v>
      </c>
      <c r="DZ14" s="403">
        <f>(VLOOKUP($A14,TOCA_current!$A$2:$AI$137,MATCH("RHWM 2024",TOCA_current!$A$2:$AI$2,0),FALSE)*$BS$2) - $DV14</f>
        <v>38298.239999999991</v>
      </c>
      <c r="EA14" s="403">
        <f t="shared" si="14"/>
        <v>0</v>
      </c>
      <c r="EB14" s="403">
        <f t="shared" si="15"/>
        <v>4.2898672553710639</v>
      </c>
      <c r="EC14" s="403">
        <f t="shared" si="16"/>
        <v>0</v>
      </c>
      <c r="ED14" s="403">
        <f t="shared" si="17"/>
        <v>4.2898672553710639</v>
      </c>
    </row>
    <row r="15" spans="1:134">
      <c r="A15" s="123">
        <v>10055</v>
      </c>
      <c r="B15" s="124" t="s">
        <v>16</v>
      </c>
      <c r="C15" s="232">
        <f>VLOOKUP(A15, TOCA_current!$A$3:$D$137, 4, FALSE)</f>
        <v>0</v>
      </c>
      <c r="D15" s="191">
        <v>0</v>
      </c>
      <c r="E15" s="107">
        <f>VLOOKUP($A15,TOCA_previous!$A$2:$AI$137,MATCH(E$4,TOCA_previous!$A$2:$AI$2,0),FALSE)</f>
        <v>5.6400000000000002E-5</v>
      </c>
      <c r="F15" s="108">
        <f>VLOOKUP($A15,TOCA_previous!$A$2:$AI$137,MATCH(F$4,TOCA_previous!$A$2:$AI$2,0),FALSE)</f>
        <v>5.6400000000000002E-5</v>
      </c>
      <c r="G15" s="108">
        <f t="shared" si="5"/>
        <v>0</v>
      </c>
      <c r="H15" s="108">
        <f>VLOOKUP($A15,TOCA_previous!$A$2:$AI$137,MATCH(H$4,TOCA_previous!$A$2:$AI$2,0),FALSE)</f>
        <v>0</v>
      </c>
      <c r="I15" s="108">
        <f t="shared" si="6"/>
        <v>0</v>
      </c>
      <c r="J15" s="108">
        <f t="shared" si="7"/>
        <v>0</v>
      </c>
      <c r="K15" s="179">
        <f>VLOOKUP(A15, IRD!$A$5:$C$139, 3, FALSE)</f>
        <v>0</v>
      </c>
      <c r="L15" s="180">
        <f t="array" ref="L15">IF($G15=0, INDEX(LS_previous!$D$4:$AY$138, MATCH('Staging Table'!$A15, LS_previous!$B$4:$B$138, 0), MATCH(L$4&amp;L$5, LS_previous!$D$2:$AY$2&amp;LS_previous!$D$3:$AY$3, 0)),SUM(VLOOKUP($A15, LS_previous!$B$4:$AY$138, LS_previous!D$149, FALSE), VLOOKUP('Staging Table'!$A15, LS_previous!$B$4:$AY$138,LS_previous!AB$149, FALSE))/2)</f>
        <v>-12.438570919802174</v>
      </c>
      <c r="M15" s="180">
        <f t="array" ref="M15">IF($G15=0, INDEX(LS_previous!$D$4:$AY$138, MATCH('Staging Table'!$A15, LS_previous!$B$4:$B$138, 0), MATCH(M$4&amp;M$5, LS_previous!$D$2:$AY$2&amp;LS_previous!$D$3:$AY$3, 0)),SUM(VLOOKUP($A15, LS_previous!$B$4:$AY$138, LS_previous!E$149, FALSE), VLOOKUP('Staging Table'!$A15, LS_previous!$B$4:$AY$138,LS_previous!AC$149, FALSE))/2)</f>
        <v>16.000233588768978</v>
      </c>
      <c r="N15" s="180">
        <f t="array" ref="N15">IF($G15=0, INDEX(LS_previous!$D$4:$AY$138, MATCH('Staging Table'!$A15, LS_previous!$B$4:$B$138, 0), MATCH(N$4&amp;N$5, LS_previous!$D$2:$AY$2&amp;LS_previous!$D$3:$AY$3, 0)),SUM(VLOOKUP($A15, LS_previous!$B$4:$AY$138, LS_previous!F$149, FALSE), VLOOKUP('Staging Table'!$A15, LS_previous!$B$4:$AY$138,LS_previous!AD$149, FALSE))/2)</f>
        <v>-31.705107619330221</v>
      </c>
      <c r="O15" s="180">
        <f t="array" ref="O15">IF($G15=0, INDEX(LS_previous!$D$4:$AY$138, MATCH('Staging Table'!$A15, LS_previous!$B$4:$B$138, 0), MATCH(O$4&amp;O$5, LS_previous!$D$2:$AY$2&amp;LS_previous!$D$3:$AY$3, 0)),SUM(VLOOKUP($A15, LS_previous!$B$4:$AY$138, LS_previous!G$149, FALSE), VLOOKUP('Staging Table'!$A15, LS_previous!$B$4:$AY$138,LS_previous!AE$149, FALSE))/2)</f>
        <v>3.9636531446555949</v>
      </c>
      <c r="P15" s="180">
        <f t="array" ref="P15">IF($G15=0, INDEX(LS_previous!$D$4:$AY$138, MATCH('Staging Table'!$A15, LS_previous!$B$4:$B$138, 0), MATCH(P$4&amp;P$5, LS_previous!$D$2:$AY$2&amp;LS_previous!$D$3:$AY$3, 0)),SUM(VLOOKUP($A15, LS_previous!$B$4:$AY$138, LS_previous!H$149, FALSE), VLOOKUP('Staging Table'!$A15, LS_previous!$B$4:$AY$138,LS_previous!AF$149, FALSE))/2)</f>
        <v>68.421577707732581</v>
      </c>
      <c r="Q15" s="180">
        <f t="array" ref="Q15">IF($G15=0, INDEX(LS_previous!$D$4:$AY$138, MATCH('Staging Table'!$A15, LS_previous!$B$4:$B$138, 0), MATCH(Q$4&amp;Q$5, LS_previous!$D$2:$AY$2&amp;LS_previous!$D$3:$AY$3, 0)),SUM(VLOOKUP($A15, LS_previous!$B$4:$AY$138, LS_previous!I$149, FALSE), VLOOKUP('Staging Table'!$A15, LS_previous!$B$4:$AY$138,LS_previous!AG$149, FALSE))/2)</f>
        <v>70.355510960633779</v>
      </c>
      <c r="R15" s="180">
        <f t="array" ref="R15">IF($G15=0, INDEX(LS_previous!$D$4:$AY$138, MATCH('Staging Table'!$A15, LS_previous!$B$4:$B$138, 0), MATCH(R$4&amp;R$5, LS_previous!$D$2:$AY$2&amp;LS_previous!$D$3:$AY$3, 0)),SUM(VLOOKUP($A15, LS_previous!$B$4:$AY$138, LS_previous!J$149, FALSE), VLOOKUP('Staging Table'!$A15, LS_previous!$B$4:$AY$138,LS_previous!AH$149, FALSE))/2)</f>
        <v>98.918903498578999</v>
      </c>
      <c r="S15" s="180">
        <f t="array" ref="S15">IF($G15=0, INDEX(LS_previous!$D$4:$AY$138, MATCH('Staging Table'!$A15, LS_previous!$B$4:$B$138, 0), MATCH(S$4&amp;S$5, LS_previous!$D$2:$AY$2&amp;LS_previous!$D$3:$AY$3, 0)),SUM(VLOOKUP($A15, LS_previous!$B$4:$AY$138, LS_previous!K$149, FALSE), VLOOKUP('Staging Table'!$A15, LS_previous!$B$4:$AY$138,LS_previous!AI$149, FALSE))/2)</f>
        <v>80.696902416826205</v>
      </c>
      <c r="T15" s="180">
        <f t="array" ref="T15">IF($G15=0, INDEX(LS_previous!$D$4:$AY$138, MATCH('Staging Table'!$A15, LS_previous!$B$4:$B$138, 0), MATCH(T$4&amp;T$5, LS_previous!$D$2:$AY$2&amp;LS_previous!$D$3:$AY$3, 0)),SUM(VLOOKUP($A15, LS_previous!$B$4:$AY$138, LS_previous!L$149, FALSE), VLOOKUP('Staging Table'!$A15, LS_previous!$B$4:$AY$138,LS_previous!AJ$149, FALSE))/2)</f>
        <v>74.096677138206815</v>
      </c>
      <c r="U15" s="180">
        <f t="array" ref="U15">IF($G15=0, INDEX(LS_previous!$D$4:$AY$138, MATCH('Staging Table'!$A15, LS_previous!$B$4:$B$138, 0), MATCH(U$4&amp;U$5, LS_previous!$D$2:$AY$2&amp;LS_previous!$D$3:$AY$3, 0)),SUM(VLOOKUP($A15, LS_previous!$B$4:$AY$138, LS_previous!M$149, FALSE), VLOOKUP('Staging Table'!$A15, LS_previous!$B$4:$AY$138,LS_previous!AK$149, FALSE))/2)</f>
        <v>54.061696914512609</v>
      </c>
      <c r="V15" s="180">
        <f t="array" ref="V15">IF($G15=0, INDEX(LS_previous!$D$4:$AY$138, MATCH('Staging Table'!$A15, LS_previous!$B$4:$B$138, 0), MATCH(V$4&amp;V$5, LS_previous!$D$2:$AY$2&amp;LS_previous!$D$3:$AY$3, 0)),SUM(VLOOKUP($A15, LS_previous!$B$4:$AY$138, LS_previous!N$149, FALSE), VLOOKUP('Staging Table'!$A15, LS_previous!$B$4:$AY$138,LS_previous!AL$149, FALSE))/2)</f>
        <v>11.851266226031413</v>
      </c>
      <c r="W15" s="180">
        <f t="array" ref="W15">IF($G15=0, INDEX(LS_previous!$D$4:$AY$138, MATCH('Staging Table'!$A15, LS_previous!$B$4:$B$138, 0), MATCH(W$4&amp;W$5, LS_previous!$D$2:$AY$2&amp;LS_previous!$D$3:$AY$3, 0)),SUM(VLOOKUP($A15, LS_previous!$B$4:$AY$138, LS_previous!O$149, FALSE), VLOOKUP('Staging Table'!$A15, LS_previous!$B$4:$AY$138,LS_previous!AM$149, FALSE))/2)</f>
        <v>32.556873568974396</v>
      </c>
      <c r="X15" s="180">
        <f t="array" ref="X15">IF($G15=0, INDEX(LS_previous!$D$4:$AY$138, MATCH('Staging Table'!$A15, LS_previous!$B$4:$B$138, 0), MATCH(X$4&amp;X$5, LS_previous!$D$2:$AY$2&amp;LS_previous!$D$3:$AY$3, 0)),SUM(VLOOKUP($A15, LS_previous!$B$4:$AY$138, LS_previous!P$149, FALSE), VLOOKUP('Staging Table'!$A15, LS_previous!$B$4:$AY$138,LS_previous!AN$149, FALSE))/2)</f>
        <v>23.044511126351409</v>
      </c>
      <c r="Y15" s="180">
        <f t="array" ref="Y15">IF($G15=0, INDEX(LS_previous!$D$4:$AY$138, MATCH('Staging Table'!$A15, LS_previous!$B$4:$B$138, 0), MATCH(Y$4&amp;Y$5, LS_previous!$D$2:$AY$2&amp;LS_previous!$D$3:$AY$3, 0)),SUM(VLOOKUP($A15, LS_previous!$B$4:$AY$138, LS_previous!Q$149, FALSE), VLOOKUP('Staging Table'!$A15, LS_previous!$B$4:$AY$138,LS_previous!AO$149, FALSE))/2)</f>
        <v>24.407479365879183</v>
      </c>
      <c r="Z15" s="180">
        <f t="array" ref="Z15">IF($G15=0, INDEX(LS_previous!$D$4:$AY$138, MATCH('Staging Table'!$A15, LS_previous!$B$4:$B$138, 0), MATCH(Z$4&amp;Z$5, LS_previous!$D$2:$AY$2&amp;LS_previous!$D$3:$AY$3, 0)),SUM(VLOOKUP($A15, LS_previous!$B$4:$AY$138, LS_previous!R$149, FALSE), VLOOKUP('Staging Table'!$A15, LS_previous!$B$4:$AY$138,LS_previous!AP$149, FALSE))/2)</f>
        <v>-71.943025620903796</v>
      </c>
      <c r="AA15" s="180">
        <f t="array" ref="AA15">IF($G15=0, INDEX(LS_previous!$D$4:$AY$138, MATCH('Staging Table'!$A15, LS_previous!$B$4:$B$138, 0), MATCH(AA$4&amp;AA$5, LS_previous!$D$2:$AY$2&amp;LS_previous!$D$3:$AY$3, 0)),SUM(VLOOKUP($A15, LS_previous!$B$4:$AY$138, LS_previous!S$149, FALSE), VLOOKUP('Staging Table'!$A15, LS_previous!$B$4:$AY$138,LS_previous!AQ$149, FALSE))/2)</f>
        <v>-7.6861185782941988</v>
      </c>
      <c r="AB15" s="180">
        <f t="array" ref="AB15">IF($G15=0, INDEX(LS_previous!$D$4:$AY$138, MATCH('Staging Table'!$A15, LS_previous!$B$4:$B$138, 0), MATCH(AB$4&amp;AB$5, LS_previous!$D$2:$AY$2&amp;LS_previous!$D$3:$AY$3, 0)),SUM(VLOOKUP($A15, LS_previous!$B$4:$AY$138, LS_previous!T$149, FALSE), VLOOKUP('Staging Table'!$A15, LS_previous!$B$4:$AY$138,LS_previous!AR$149, FALSE))/2)</f>
        <v>-100.46441628874442</v>
      </c>
      <c r="AC15" s="180">
        <f t="array" ref="AC15">IF($G15=0, INDEX(LS_previous!$D$4:$AY$138, MATCH('Staging Table'!$A15, LS_previous!$B$4:$B$138, 0), MATCH(AC$4&amp;AC$5, LS_previous!$D$2:$AY$2&amp;LS_previous!$D$3:$AY$3, 0)),SUM(VLOOKUP($A15, LS_previous!$B$4:$AY$138, LS_previous!U$149, FALSE), VLOOKUP('Staging Table'!$A15, LS_previous!$B$4:$AY$138,LS_previous!AS$149, FALSE))/2)</f>
        <v>-12.211799730817006</v>
      </c>
      <c r="AD15" s="180">
        <f t="array" ref="AD15">IF($G15=0, INDEX(LS_previous!$D$4:$AY$138, MATCH('Staging Table'!$A15, LS_previous!$B$4:$B$138, 0), MATCH(AD$4&amp;AD$5, LS_previous!$D$2:$AY$2&amp;LS_previous!$D$3:$AY$3, 0)),SUM(VLOOKUP($A15, LS_previous!$B$4:$AY$138, LS_previous!V$149, FALSE), VLOOKUP('Staging Table'!$A15, LS_previous!$B$4:$AY$138,LS_previous!AT$149, FALSE))/2)</f>
        <v>-54.420137088653007</v>
      </c>
      <c r="AE15" s="180">
        <f t="array" ref="AE15">IF($G15=0, INDEX(LS_previous!$D$4:$AY$138, MATCH('Staging Table'!$A15, LS_previous!$B$4:$B$138, 0), MATCH(AE$4&amp;AE$5, LS_previous!$D$2:$AY$2&amp;LS_previous!$D$3:$AY$3, 0)),SUM(VLOOKUP($A15, LS_previous!$B$4:$AY$138, LS_previous!W$149, FALSE), VLOOKUP('Staging Table'!$A15, LS_previous!$B$4:$AY$138,LS_previous!AU$149, FALSE))/2)</f>
        <v>-14.749046080645996</v>
      </c>
      <c r="AF15" s="180">
        <f t="array" ref="AF15">IF($G15=0, INDEX(LS_previous!$D$4:$AY$138, MATCH('Staging Table'!$A15, LS_previous!$B$4:$B$138, 0), MATCH(AF$4&amp;AF$5, LS_previous!$D$2:$AY$2&amp;LS_previous!$D$3:$AY$3, 0)),SUM(VLOOKUP($A15, LS_previous!$B$4:$AY$138, LS_previous!X$149, FALSE), VLOOKUP('Staging Table'!$A15, LS_previous!$B$4:$AY$138,LS_previous!AV$149, FALSE))/2)</f>
        <v>-55.346616268369786</v>
      </c>
      <c r="AG15" s="180">
        <f t="array" ref="AG15">IF($G15=0, INDEX(LS_previous!$D$4:$AY$138, MATCH('Staging Table'!$A15, LS_previous!$B$4:$B$138, 0), MATCH(AG$4&amp;AG$5, LS_previous!$D$2:$AY$2&amp;LS_previous!$D$3:$AY$3, 0)),SUM(VLOOKUP($A15, LS_previous!$B$4:$AY$138, LS_previous!Y$149, FALSE), VLOOKUP('Staging Table'!$A15, LS_previous!$B$4:$AY$138,LS_previous!AW$149, FALSE))/2)</f>
        <v>-20.225890084718401</v>
      </c>
      <c r="AH15" s="180">
        <f t="array" ref="AH15">IF($G15=0, INDEX(LS_previous!$D$4:$AY$138, MATCH('Staging Table'!$A15, LS_previous!$B$4:$B$138, 0), MATCH(AH$4&amp;AH$5, LS_previous!$D$2:$AY$2&amp;LS_previous!$D$3:$AY$3, 0)),SUM(VLOOKUP($A15, LS_previous!$B$4:$AY$138, LS_previous!Z$149, FALSE), VLOOKUP('Staging Table'!$A15, LS_previous!$B$4:$AY$138,LS_previous!AX$149, FALSE))/2)</f>
        <v>-57.806233649220218</v>
      </c>
      <c r="AI15" s="180">
        <f t="array" ref="AI15">IF($G15=0, INDEX(LS_previous!$D$4:$AY$138, MATCH('Staging Table'!$A15, LS_previous!$B$4:$B$138, 0), MATCH(AI$4&amp;AI$5, LS_previous!$D$2:$AY$2&amp;LS_previous!$D$3:$AY$3, 0)),SUM(VLOOKUP($A15, LS_previous!$B$4:$AY$138, LS_previous!AA$149, FALSE), VLOOKUP('Staging Table'!$A15, LS_previous!$B$4:$AY$138,LS_previous!AY$149, FALSE))/2)</f>
        <v>-16.6826264522158</v>
      </c>
      <c r="AJ15" s="298">
        <f t="array" ref="AJ15">INDEX(Demand_previous!$D$4:$AY$138, MATCH('Staging Table'!$A15, Demand_previous!$B$4:$B$138, 0), MATCH(AJ$4&amp;AJ$5,Demand_previous!$D$2:$AY$2&amp;Demand_previous!$D$3:$AY$3, 0))/1000</f>
        <v>8.6908653846153816E-2</v>
      </c>
      <c r="AK15" s="298">
        <f t="array" ref="AK15">INDEX(Demand_previous!$D$4:$AY$138, MATCH('Staging Table'!$A15, Demand_previous!$B$4:$B$138, 0), MATCH(AK$4&amp;AK$5,Demand_previous!$D$2:$AY$2&amp;Demand_previous!$D$3:$AY$3, 0))/1000</f>
        <v>0</v>
      </c>
      <c r="AL15" s="298">
        <f t="array" ref="AL15">INDEX(Demand_previous!$D$4:$AY$138, MATCH('Staging Table'!$A15, Demand_previous!$B$4:$B$138, 0), MATCH(AL$4&amp;AL$5,Demand_previous!$D$2:$AY$2&amp;Demand_previous!$D$3:$AY$3, 0))/1000</f>
        <v>0.24344230769230771</v>
      </c>
      <c r="AM15" s="298">
        <f t="array" ref="AM15">INDEX(Demand_previous!$D$4:$AY$138, MATCH('Staging Table'!$A15, Demand_previous!$B$4:$B$138, 0), MATCH(AM$4&amp;AM$5,Demand_previous!$D$2:$AY$2&amp;Demand_previous!$D$3:$AY$3, 0))/1000</f>
        <v>0.14982999999999996</v>
      </c>
      <c r="AN15" s="298">
        <f t="array" ref="AN15">INDEX(Demand_previous!$D$4:$AY$138, MATCH('Staging Table'!$A15, Demand_previous!$B$4:$B$138, 0), MATCH(AN$4&amp;AN$5,Demand_previous!$D$2:$AY$2&amp;Demand_previous!$D$3:$AY$3, 0))/1000</f>
        <v>3.7369791666666735E-2</v>
      </c>
      <c r="AO15" s="298">
        <f t="array" ref="AO15">INDEX(Demand_previous!$D$4:$AY$138, MATCH('Staging Table'!$A15, Demand_previous!$B$4:$B$138, 0), MATCH(AO$4&amp;AO$5,Demand_previous!$D$2:$AY$2&amp;Demand_previous!$D$3:$AY$3, 0))/1000</f>
        <v>8.6881944444444525E-2</v>
      </c>
      <c r="AP15" s="298">
        <f t="array" ref="AP15">INDEX(Demand_previous!$D$4:$AY$138, MATCH('Staging Table'!$A15, Demand_previous!$B$4:$B$138, 0), MATCH(AP$4&amp;AP$5,Demand_previous!$D$2:$AY$2&amp;Demand_previous!$D$3:$AY$3, 0))/1000</f>
        <v>0</v>
      </c>
      <c r="AQ15" s="298">
        <f t="array" ref="AQ15">INDEX(Demand_previous!$D$4:$AY$138, MATCH('Staging Table'!$A15, Demand_previous!$B$4:$B$138, 0), MATCH(AQ$4&amp;AQ$5,Demand_previous!$D$2:$AY$2&amp;Demand_previous!$D$3:$AY$3, 0))/1000</f>
        <v>0</v>
      </c>
      <c r="AR15" s="298">
        <f t="array" ref="AR15">INDEX(Demand_previous!$D$4:$AY$138, MATCH('Staging Table'!$A15, Demand_previous!$B$4:$B$138, 0), MATCH(AR$4&amp;AR$5,Demand_previous!$D$2:$AY$2&amp;Demand_previous!$D$3:$AY$3, 0))/1000</f>
        <v>1.0574519230769269E-2</v>
      </c>
      <c r="AS15" s="298">
        <f t="array" ref="AS15">INDEX(Demand_previous!$D$4:$AY$138, MATCH('Staging Table'!$A15, Demand_previous!$B$4:$B$138, 0), MATCH(AS$4&amp;AS$5,Demand_previous!$D$2:$AY$2&amp;Demand_previous!$D$3:$AY$3, 0))/1000</f>
        <v>1.2797499999999955E-2</v>
      </c>
      <c r="AT15" s="298">
        <f t="array" ref="AT15">INDEX(Demand_previous!$D$4:$AY$138, MATCH('Staging Table'!$A15, Demand_previous!$B$4:$B$138, 0), MATCH(AT$4&amp;AT$5,Demand_previous!$D$2:$AY$2&amp;Demand_previous!$D$3:$AY$3, 0))/1000</f>
        <v>3.7930555555555578E-2</v>
      </c>
      <c r="AU15" s="298">
        <f t="array" ref="AU15">INDEX(Demand_previous!$D$4:$AY$138, MATCH('Staging Table'!$A15, Demand_previous!$B$4:$B$138, 0), MATCH(AU$4&amp;AU$5,Demand_previous!$D$2:$AY$2&amp;Demand_previous!$D$3:$AY$3, 0))/1000</f>
        <v>0</v>
      </c>
      <c r="AV15" s="180">
        <f>$F15*(VLOOKUP(AV$4, Rates_previous!$G$6:$Q$29, 10, FALSE)+VLOOKUP(AV$4, Rates_previous!$G$6:$Q$29, 11, FALSE))</f>
        <v>256.84133733103323</v>
      </c>
      <c r="AW15" s="180">
        <f>$F15*(VLOOKUP(AW$4, Rates_previous!$G$6:$Q$29, 10, FALSE)+VLOOKUP(AW$4, Rates_previous!$G$6:$Q$29, 11, FALSE))</f>
        <v>325.17045447467467</v>
      </c>
      <c r="AX15" s="180">
        <f>$F15*(VLOOKUP(AX$4, Rates_previous!$G$6:$Q$29, 10, FALSE)+VLOOKUP(AX$4, Rates_previous!$G$6:$Q$29, 11, FALSE))</f>
        <v>318.27691133163364</v>
      </c>
      <c r="AY15" s="180">
        <f>$F15*(VLOOKUP(AY$4, Rates_previous!$G$6:$Q$29, 10, FALSE)+VLOOKUP(AY$4, Rates_previous!$G$6:$Q$29, 11, FALSE))</f>
        <v>262.88319408459483</v>
      </c>
      <c r="AZ15" s="180">
        <f>$F15*(VLOOKUP(AZ$4, Rates_previous!$G$6:$Q$29, 10, FALSE)+VLOOKUP(AZ$4, Rates_previous!$G$6:$Q$29, 11, FALSE))</f>
        <v>227.84662594728059</v>
      </c>
      <c r="BA15" s="180">
        <f>$F15*(VLOOKUP(BA$4, Rates_previous!$G$6:$Q$29, 10, FALSE)+VLOOKUP(BA$4, Rates_previous!$G$6:$Q$29, 11, FALSE))</f>
        <v>272.00286020499419</v>
      </c>
      <c r="BB15" s="180">
        <f>$F15*(VLOOKUP(BB$4, Rates_previous!$G$6:$Q$29, 10, FALSE)+VLOOKUP(BB$4, Rates_previous!$G$6:$Q$29, 11, FALSE))</f>
        <v>211.1740095077694</v>
      </c>
      <c r="BC15" s="180">
        <f>$F15*(VLOOKUP(BC$4, Rates_previous!$G$6:$Q$29, 10, FALSE)+VLOOKUP(BC$4, Rates_previous!$G$6:$Q$29, 11, FALSE))</f>
        <v>292.58314419919799</v>
      </c>
      <c r="BD15" s="180">
        <f>$F15*(VLOOKUP(BD$4, Rates_previous!$G$6:$Q$29, 10, FALSE)+VLOOKUP(BD$4, Rates_previous!$G$6:$Q$29, 11, FALSE))</f>
        <v>312.63121601956141</v>
      </c>
      <c r="BE15" s="180">
        <f>$F15*(VLOOKUP(BE$4, Rates_previous!$G$6:$Q$29, 10, FALSE)+VLOOKUP(BE$4, Rates_previous!$G$6:$Q$29, 11, FALSE))</f>
        <v>296.82918316929903</v>
      </c>
      <c r="BF15" s="180">
        <f>$F15*(VLOOKUP(BF$4, Rates_previous!$G$6:$Q$29, 10, FALSE)+VLOOKUP(BF$4, Rates_previous!$G$6:$Q$29, 11, FALSE))</f>
        <v>286.86250635308818</v>
      </c>
      <c r="BG15" s="180">
        <f>$F15*(VLOOKUP(BG$4, Rates_previous!$G$6:$Q$29, 10, FALSE)+VLOOKUP(BG$4, Rates_previous!$G$6:$Q$29, 11, FALSE))</f>
        <v>265.09086010143602</v>
      </c>
      <c r="BH15" s="298">
        <f>IF($D15=0,IF(C15=0, MAX(BJ15 - (VLOOKUP($A15,TOCA_previous!$A$2:$AI$137,MATCH("RHWM 2022",TOCA_previous!$A$2:$AI$2,0),FALSE)*$F$2*TOCA_previous!C12),0),0), 0)</f>
        <v>102.08817025143708</v>
      </c>
      <c r="BI15" s="192">
        <f>MIN(VLOOKUP($A15,TOCA_previous!$A$2:$AI$137,MATCH("TRL - NLSL - Existing Resource "&amp;$F$1,TOCA_previous!$A$2:$AI$2,0),FALSE)*$F$2,(VLOOKUP($A15,TOCA_previous!$A$2:$AI$137,MATCH("RHWM 2022",TOCA_previous!$A$2:$AI$2,0),FALSE)*$F$2))</f>
        <v>3328.8</v>
      </c>
      <c r="BJ15" s="402">
        <f>SUM(L15:AI15)+(F15*RT1SC!$C$3*$F$2)</f>
        <v>3430.8881702514373</v>
      </c>
      <c r="BK15" s="401">
        <f>VLOOKUP($A15,TOCA_previous!$A$2:$AI$137,MATCH("Above RHWM Not Served with LS "&amp;$F$1,TOCA_previous!$A$2:$AI$2,0),FALSE)*$F$2</f>
        <v>0</v>
      </c>
      <c r="BL15" s="402">
        <f t="shared" si="8"/>
        <v>102.08817025143708</v>
      </c>
      <c r="BM15" s="401">
        <f>(VLOOKUP($A15,TOCA_previous!$A$2:$AI$137,MATCH("RHWM 2022",TOCA_previous!$A$2:$AI$2,0),FALSE)*$F$2) - $BI15</f>
        <v>0</v>
      </c>
      <c r="BN15" s="402">
        <f t="shared" si="9"/>
        <v>0</v>
      </c>
      <c r="BO15" s="401">
        <f>IF(BL15&lt;0,IF(BK15&lt;ABS(BL15),MAX(0,ABS($BL15)-(BK15)),0),0)</f>
        <v>0</v>
      </c>
      <c r="BP15" s="402">
        <f t="shared" si="11"/>
        <v>0</v>
      </c>
      <c r="BQ15" s="401">
        <f t="shared" si="2"/>
        <v>0</v>
      </c>
      <c r="BR15" s="108">
        <f>VLOOKUP($A15,TOCA_current!$A$2:$AI$137,MATCH(BR$4,TOCA_current!$A$2:$AI$2,0),FALSE)</f>
        <v>5.5399999999999998E-5</v>
      </c>
      <c r="BS15" s="108">
        <f>VLOOKUP($A15,TOCA_current!$A$2:$AI$137,MATCH(BS$4,TOCA_current!$A$2:$AI$2,0),FALSE)</f>
        <v>5.5399999999999998E-5</v>
      </c>
      <c r="BT15" s="189">
        <f t="shared" si="12"/>
        <v>0</v>
      </c>
      <c r="BU15" s="108">
        <f>VLOOKUP($A15,TOCA_current!A11:BG146,MATCH(BU$4,TOCA_current!$A$2:$BG$2,0),FALSE)</f>
        <v>0</v>
      </c>
      <c r="BV15" s="108">
        <f t="shared" si="3"/>
        <v>0</v>
      </c>
      <c r="BW15" s="108">
        <f t="shared" si="4"/>
        <v>0</v>
      </c>
      <c r="BX15" s="179">
        <f>VLOOKUP($A15,IRD!$A$4:$G$139, 7, FALSE)</f>
        <v>0</v>
      </c>
      <c r="BY15" s="180">
        <f t="array" ref="BY15">IF($BT15=0, INDEX(LS_current!$D$4:$AY$138, MATCH('Staging Table'!$A15, LS_current!$B$4:$B$138, 0), MATCH(BY$4&amp;BY$5, LS_current!$D$2:$AY$2&amp;LS_current!$D$3:$AY$3, 0)),SUM(VLOOKUP($A15, LS_current!$B$4:$AY$138, LS_current!D$148, FALSE), VLOOKUP($A15, LS_current!$B$4:$AY$138,LS_current!AB$148, FALSE))/2)</f>
        <v>10.888600405599988</v>
      </c>
      <c r="BZ15" s="180">
        <f t="array" ref="BZ15">IF($BT15=0, INDEX(LS_current!$D$4:$AY$138, MATCH('Staging Table'!$A15, LS_current!$B$4:$B$138, 0), MATCH(BZ$4&amp;BZ$5, LS_current!$D$2:$AY$2&amp;LS_current!$D$3:$AY$3, 0)),SUM(VLOOKUP($A15, LS_current!$B$4:$AY$138, LS_current!E$148, FALSE), VLOOKUP($A15, LS_current!$B$4:$AY$138,LS_current!AC$148, FALSE))/2)</f>
        <v>15.792671207300003</v>
      </c>
      <c r="CA15" s="180">
        <f t="array" ref="CA15">IF($BT15=0, INDEX(LS_current!$D$4:$AY$138, MATCH('Staging Table'!$A15, LS_current!$B$4:$B$138, 0), MATCH(CA$4&amp;CA$5, LS_current!$D$2:$AY$2&amp;LS_current!$D$3:$AY$3, 0)),SUM(VLOOKUP($A15, LS_current!$B$4:$AY$138, LS_current!F$148, FALSE), VLOOKUP($A15, LS_current!$B$4:$AY$138,LS_current!AD$148, FALSE))/2)</f>
        <v>-13.01759797119999</v>
      </c>
      <c r="CB15" s="180">
        <f t="array" ref="CB15">IF($BT15=0, INDEX(LS_current!$D$4:$AY$138, MATCH('Staging Table'!$A15, LS_current!$B$4:$B$138, 0), MATCH(CB$4&amp;CB$5, LS_current!$D$2:$AY$2&amp;LS_current!$D$3:$AY$3, 0)),SUM(VLOOKUP($A15, LS_current!$B$4:$AY$138, LS_current!G$148, FALSE), VLOOKUP($A15, LS_current!$B$4:$AY$138,LS_current!AE$148, FALSE))/2)</f>
        <v>12.374323842599992</v>
      </c>
      <c r="CC15" s="180">
        <f t="array" ref="CC15">IF($BT15=0, INDEX(LS_current!$D$4:$AY$138, MATCH('Staging Table'!$A15, LS_current!$B$4:$B$138, 0), MATCH(CC$4&amp;CC$5, LS_current!$D$2:$AY$2&amp;LS_current!$D$3:$AY$3, 0)),SUM(VLOOKUP($A15, LS_current!$B$4:$AY$138, LS_current!H$148, FALSE), VLOOKUP($A15, LS_current!$B$4:$AY$138,LS_current!AF$148, FALSE))/2)</f>
        <v>55.213090059400002</v>
      </c>
      <c r="CD15" s="180">
        <f t="array" ref="CD15">IF($BT15=0, INDEX(LS_current!$D$4:$AY$138, MATCH('Staging Table'!$A15, LS_current!$B$4:$B$138, 0), MATCH(CD$4&amp;CD$5, LS_current!$D$2:$AY$2&amp;LS_current!$D$3:$AY$3, 0)),SUM(VLOOKUP($A15, LS_current!$B$4:$AY$138, LS_current!I$148, FALSE), VLOOKUP($A15, LS_current!$B$4:$AY$138,LS_current!AG$148, FALSE))/2)</f>
        <v>80.161949241600013</v>
      </c>
      <c r="CE15" s="180">
        <f t="array" ref="CE15">IF($BT15=0, INDEX(LS_current!$D$4:$AY$138, MATCH('Staging Table'!$A15, LS_current!$B$4:$B$138, 0), MATCH(CE$4&amp;CE$5, LS_current!$D$2:$AY$2&amp;LS_current!$D$3:$AY$3, 0)),SUM(VLOOKUP($A15, LS_current!$B$4:$AY$138, LS_current!J$148, FALSE), VLOOKUP($A15, LS_current!$B$4:$AY$138,LS_current!AH$148, FALSE))/2)</f>
        <v>41.510678989000013</v>
      </c>
      <c r="CF15" s="180">
        <f t="array" ref="CF15">IF($BT15=0, INDEX(LS_current!$D$4:$AY$138, MATCH('Staging Table'!$A15, LS_current!$B$4:$B$138, 0), MATCH(CF$4&amp;CF$5, LS_current!$D$2:$AY$2&amp;LS_current!$D$3:$AY$3, 0)),SUM(VLOOKUP($A15, LS_current!$B$4:$AY$138, LS_current!K$148, FALSE), VLOOKUP($A15, LS_current!$B$4:$AY$138,LS_current!AI$148, FALSE))/2)</f>
        <v>66.714153193400008</v>
      </c>
      <c r="CG15" s="180">
        <f t="array" ref="CG15">IF($BT15=0, INDEX(LS_current!$D$4:$AY$138, MATCH('Staging Table'!$A15, LS_current!$B$4:$B$138, 0), MATCH(CG$4&amp;CG$5, LS_current!$D$2:$AY$2&amp;LS_current!$D$3:$AY$3, 0)),SUM(VLOOKUP($A15, LS_current!$B$4:$AY$138, LS_current!L$148, FALSE), VLOOKUP($A15, LS_current!$B$4:$AY$138,LS_current!AJ$148, FALSE))/2)</f>
        <v>23.630228303400003</v>
      </c>
      <c r="CH15" s="180">
        <f t="array" ref="CH15">IF($BT15=0, INDEX(LS_current!$D$4:$AY$138, MATCH('Staging Table'!$A15, LS_current!$B$4:$B$138, 0), MATCH(CH$4&amp;CH$5, LS_current!$D$2:$AY$2&amp;LS_current!$D$3:$AY$3, 0)),SUM(VLOOKUP($A15, LS_current!$B$4:$AY$138, LS_current!M$148, FALSE), VLOOKUP($A15, LS_current!$B$4:$AY$138,LS_current!AK$148, FALSE))/2)</f>
        <v>44.854431471400005</v>
      </c>
      <c r="CI15" s="180">
        <f t="array" ref="CI15">IF($BT15=0, INDEX(LS_current!$D$4:$AY$138, MATCH('Staging Table'!$A15, LS_current!$B$4:$B$138, 0), MATCH(CI$4&amp;CI$5, LS_current!$D$2:$AY$2&amp;LS_current!$D$3:$AY$3, 0)),SUM(VLOOKUP($A15, LS_current!$B$4:$AY$138, LS_current!N$148, FALSE), VLOOKUP($A15, LS_current!$B$4:$AY$138,LS_current!AL$148, FALSE))/2)</f>
        <v>-12.226518860199974</v>
      </c>
      <c r="CJ15" s="180">
        <f t="array" ref="CJ15">IF($BT15=0, INDEX(LS_current!$D$4:$AY$138, MATCH('Staging Table'!$A15, LS_current!$B$4:$B$138, 0), MATCH(CJ$4&amp;CJ$5, LS_current!$D$2:$AY$2&amp;LS_current!$D$3:$AY$3, 0)),SUM(VLOOKUP($A15, LS_current!$B$4:$AY$138, LS_current!O$148, FALSE), VLOOKUP($A15, LS_current!$B$4:$AY$138,LS_current!AM$148, FALSE))/2)</f>
        <v>14.722233498800009</v>
      </c>
      <c r="CK15" s="180">
        <f t="array" ref="CK15">IF($BT15=0, INDEX(LS_current!$D$4:$AY$138, MATCH('Staging Table'!$A15, LS_current!$B$4:$B$138, 0), MATCH(CK$4&amp;CK$5, LS_current!$D$2:$AY$2&amp;LS_current!$D$3:$AY$3, 0)),SUM(VLOOKUP($A15, LS_current!$B$4:$AY$138, LS_current!P$148, FALSE), VLOOKUP($A15, LS_current!$B$4:$AY$138,LS_current!AN$148, FALSE))/2)</f>
        <v>2.3556091265000134</v>
      </c>
      <c r="CL15" s="180">
        <f t="array" ref="CL15">IF($BT15=0, INDEX(LS_current!$D$4:$AY$138, MATCH('Staging Table'!$A15, LS_current!$B$4:$B$138, 0), MATCH(CL$4&amp;CL$5, LS_current!$D$2:$AY$2&amp;LS_current!$D$3:$AY$3, 0)),SUM(VLOOKUP($A15, LS_current!$B$4:$AY$138, LS_current!Q$148, FALSE), VLOOKUP($A15, LS_current!$B$4:$AY$138,LS_current!AO$148, FALSE))/2)</f>
        <v>8.4871742190500186</v>
      </c>
      <c r="CM15" s="180">
        <f t="array" ref="CM15">IF($BT15=0, INDEX(LS_current!$D$4:$AY$138, MATCH('Staging Table'!$A15, LS_current!$B$4:$B$138, 0), MATCH(CM$4&amp;CM$5, LS_current!$D$2:$AY$2&amp;LS_current!$D$3:$AY$3, 0)),SUM(VLOOKUP($A15, LS_current!$B$4:$AY$138, LS_current!R$148, FALSE), VLOOKUP($A15, LS_current!$B$4:$AY$138,LS_current!AP$148, FALSE))/2)</f>
        <v>-61.583653379200001</v>
      </c>
      <c r="CN15" s="180">
        <f t="array" ref="CN15">IF($BT15=0, INDEX(LS_current!$D$4:$AY$138, MATCH('Staging Table'!$A15, LS_current!$B$4:$B$138, 0), MATCH(CN$4&amp;CN$5, LS_current!$D$2:$AY$2&amp;LS_current!$D$3:$AY$3, 0)),SUM(VLOOKUP($A15, LS_current!$B$4:$AY$138, LS_current!S$148, FALSE), VLOOKUP($A15, LS_current!$B$4:$AY$138,LS_current!AQ$148, FALSE))/2)</f>
        <v>-32.870631380899979</v>
      </c>
      <c r="CO15" s="180">
        <f t="array" ref="CO15">IF($BT15=0, INDEX(LS_current!$D$4:$AY$138, MATCH('Staging Table'!$A15, LS_current!$B$4:$B$138, 0), MATCH(CO$4&amp;CO$5, LS_current!$D$2:$AY$2&amp;LS_current!$D$3:$AY$3, 0)),SUM(VLOOKUP($A15, LS_current!$B$4:$AY$138, LS_current!T$148, FALSE), VLOOKUP($A15, LS_current!$B$4:$AY$138,LS_current!AR$148, FALSE))/2)</f>
        <v>-74.743439100399996</v>
      </c>
      <c r="CP15" s="180">
        <f t="array" ref="CP15">IF($BT15=0, INDEX(LS_current!$D$4:$AY$138, MATCH('Staging Table'!$A15, LS_current!$B$4:$B$138, 0), MATCH(CP$4&amp;CP$5, LS_current!$D$2:$AY$2&amp;LS_current!$D$3:$AY$3, 0)),SUM(VLOOKUP($A15, LS_current!$B$4:$AY$138, LS_current!U$148, FALSE), VLOOKUP($A15, LS_current!$B$4:$AY$138,LS_current!AS$148, FALSE))/2)</f>
        <v>-39.379838019299996</v>
      </c>
      <c r="CQ15" s="180">
        <f t="array" ref="CQ15">IF($BT15=0, INDEX(LS_current!$D$4:$AY$138, MATCH('Staging Table'!$A15, LS_current!$B$4:$B$138, 0), MATCH(CQ$4&amp;CQ$5, LS_current!$D$2:$AY$2&amp;LS_current!$D$3:$AY$3, 0)),SUM(VLOOKUP($A15, LS_current!$B$4:$AY$138, LS_current!V$148, FALSE), VLOOKUP($A15, LS_current!$B$4:$AY$138,LS_current!AT$148, FALSE))/2)</f>
        <v>-26.632559725599975</v>
      </c>
      <c r="CR15" s="180">
        <f t="array" ref="CR15">IF($BT15=0, INDEX(LS_current!$D$4:$AY$138, MATCH('Staging Table'!$A15, LS_current!$B$4:$B$138, 0), MATCH(CR$4&amp;CR$5, LS_current!$D$2:$AY$2&amp;LS_current!$D$3:$AY$3, 0)),SUM(VLOOKUP($A15, LS_current!$B$4:$AY$138, LS_current!W$148, FALSE), VLOOKUP($A15, LS_current!$B$4:$AY$138,LS_current!AU$148, FALSE))/2)</f>
        <v>-18.372633563499988</v>
      </c>
      <c r="CS15" s="180">
        <f t="array" ref="CS15">IF($BT15=0, INDEX(LS_current!$D$4:$AY$138, MATCH('Staging Table'!$A15, LS_current!$B$4:$B$138, 0), MATCH(CS$4&amp;CS$5, LS_current!$D$2:$AY$2&amp;LS_current!$D$3:$AY$3, 0)),SUM(VLOOKUP($A15, LS_current!$B$4:$AY$138, LS_current!X$148, FALSE), VLOOKUP($A15, LS_current!$B$4:$AY$138,LS_current!AV$148, FALSE))/2)</f>
        <v>-29.37527550110002</v>
      </c>
      <c r="CT15" s="180">
        <f t="array" ref="CT15">IF($BT15=0, INDEX(LS_current!$D$4:$AY$138, MATCH('Staging Table'!$A15, LS_current!$B$4:$B$138, 0), MATCH(CT$4&amp;CT$5, LS_current!$D$2:$AY$2&amp;LS_current!$D$3:$AY$3, 0)),SUM(VLOOKUP($A15, LS_current!$B$4:$AY$138, LS_current!Y$148, FALSE), VLOOKUP($A15, LS_current!$B$4:$AY$138,LS_current!AW$148, FALSE))/2)</f>
        <v>-22.929489623689989</v>
      </c>
      <c r="CU15" s="180">
        <f t="array" ref="CU15">IF($BT15=0, INDEX(LS_current!$D$4:$AY$138, MATCH('Staging Table'!$A15, LS_current!$B$4:$B$138, 0), MATCH(CU$4&amp;CU$5, LS_current!$D$2:$AY$2&amp;LS_current!$D$3:$AY$3, 0)),SUM(VLOOKUP($A15, LS_current!$B$4:$AY$138, LS_current!Z$148, FALSE), VLOOKUP($A15, LS_current!$B$4:$AY$138,LS_current!AX$148, FALSE))/2)</f>
        <v>-33.491580379600009</v>
      </c>
      <c r="CV15" s="180">
        <f t="array" ref="CV15">IF($BT15=0, INDEX(LS_current!$D$4:$AY$138, MATCH('Staging Table'!$A15, LS_current!$B$4:$B$138, 0), MATCH(CV$4&amp;CV$5, LS_current!$D$2:$AY$2&amp;LS_current!$D$3:$AY$3, 0)),SUM(VLOOKUP($A15, LS_current!$B$4:$AY$138, LS_current!AA$148, FALSE), VLOOKUP($A15, LS_current!$B$4:$AY$138,LS_current!AY$148, FALSE))/2)</f>
        <v>-18.464648361599998</v>
      </c>
      <c r="CW15" s="182">
        <f t="array" ref="CW15">INDEX(Demand_current!$D$4:$AY$138, MATCH($A15, Demand_current!$B$4:$B$138, 0), MATCH(CW$4&amp;CW$5,Demand_current!$D$2:$AY$2&amp;Demand_current!$D$3:$AY$3, 0))/1000</f>
        <v>8.6908653846153816E-2</v>
      </c>
      <c r="CX15" s="182">
        <f t="array" ref="CX15">INDEX(Demand_current!$D$4:$AY$138, MATCH($A15, Demand_current!$B$4:$B$138, 0), MATCH(CX$4&amp;CX$5,Demand_current!$D$2:$AY$2&amp;Demand_current!$D$3:$AY$3, 0))/1000</f>
        <v>0</v>
      </c>
      <c r="CY15" s="182">
        <f t="array" ref="CY15">INDEX(Demand_current!$D$4:$AY$138, MATCH($A15, Demand_current!$B$4:$B$138, 0), MATCH(CY$4&amp;CY$5,Demand_current!$D$2:$AY$2&amp;Demand_current!$D$3:$AY$3, 0))/1000</f>
        <v>0.21938000000000005</v>
      </c>
      <c r="CZ15" s="182">
        <f t="array" ref="CZ15">INDEX(Demand_current!$D$4:$AY$138, MATCH($A15, Demand_current!$B$4:$B$138, 0), MATCH(CZ$4&amp;CZ$5,Demand_current!$D$2:$AY$2&amp;Demand_current!$D$3:$AY$3, 0))/1000</f>
        <v>0.17372115384615389</v>
      </c>
      <c r="DA15" s="182">
        <f t="array" ref="DA15">INDEX(Demand_current!$D$4:$AY$138, MATCH($A15, Demand_current!$B$4:$B$138, 0), MATCH(DA$4&amp;DA$5,Demand_current!$D$2:$AY$2&amp;Demand_current!$D$3:$AY$3, 0))/1000</f>
        <v>5.8875000000000094E-2</v>
      </c>
      <c r="DB15" s="182">
        <f t="array" ref="DB15">INDEX(Demand_current!$D$4:$AY$138, MATCH($A15, Demand_current!$B$4:$B$138, 0), MATCH(DB$4&amp;DB$5,Demand_current!$D$2:$AY$2&amp;Demand_current!$D$3:$AY$3, 0))/1000</f>
        <v>7.095432692307696E-2</v>
      </c>
      <c r="DC15" s="182">
        <f t="array" ref="DC15">INDEX(Demand_current!$D$4:$AY$138, MATCH($A15, Demand_current!$B$4:$B$138, 0), MATCH(DC$4&amp;DC$5,Demand_current!$D$2:$AY$2&amp;Demand_current!$D$3:$AY$3, 0))/1000</f>
        <v>0</v>
      </c>
      <c r="DD15" s="182">
        <f t="array" ref="DD15">INDEX(Demand_current!$D$4:$AY$138, MATCH($A15, Demand_current!$B$4:$B$138, 0), MATCH(DD$4&amp;DD$5,Demand_current!$D$2:$AY$2&amp;Demand_current!$D$3:$AY$3, 0))/1000</f>
        <v>0</v>
      </c>
      <c r="DE15" s="182">
        <f t="array" ref="DE15">INDEX(Demand_current!$D$4:$AY$138, MATCH($A15, Demand_current!$B$4:$B$138, 0), MATCH(DE$4&amp;DE$5,Demand_current!$D$2:$AY$2&amp;Demand_current!$D$3:$AY$3, 0))/1000</f>
        <v>0</v>
      </c>
      <c r="DF15" s="182">
        <f t="array" ref="DF15">INDEX(Demand_current!$D$4:$AY$138, MATCH($A15, Demand_current!$B$4:$B$138, 0), MATCH(DF$4&amp;DF$5,Demand_current!$D$2:$AY$2&amp;Demand_current!$D$3:$AY$3, 0))/1000</f>
        <v>2.6574519230769193E-2</v>
      </c>
      <c r="DG15" s="182">
        <f t="array" ref="DG15">INDEX(Demand_current!$D$4:$AY$138, MATCH($A15, Demand_current!$B$4:$B$138, 0), MATCH(DG$4&amp;DG$5,Demand_current!$D$2:$AY$2&amp;Demand_current!$D$3:$AY$3, 0))/1000</f>
        <v>3.7930555555555578E-2</v>
      </c>
      <c r="DH15" s="182">
        <f t="array" ref="DH15">INDEX(Demand_current!$D$4:$AY$138, MATCH($A15, Demand_current!$B$4:$B$138, 0), MATCH(DH$4&amp;DH$5,Demand_current!$D$2:$AY$2&amp;Demand_current!$D$3:$AY$3, 0))/1000</f>
        <v>0</v>
      </c>
      <c r="DI15" s="180">
        <f>$BS15*(VLOOKUP(DI$4, Rates_current!$G$6:$Q$29, 10, FALSE)+VLOOKUP(DI$4, Rates_current!$G$6:$Q$29, 11, FALSE))</f>
        <v>233.7217283871</v>
      </c>
      <c r="DJ15" s="180">
        <f>$BS15*(VLOOKUP(DJ$4, Rates_current!$G$6:$Q$29, 10, FALSE)+VLOOKUP(DJ$4, Rates_current!$G$6:$Q$29, 11, FALSE))</f>
        <v>298.07227412860004</v>
      </c>
      <c r="DK15" s="180">
        <f>$BS15*(VLOOKUP(DK$4, Rates_current!$G$6:$Q$29, 10, FALSE)+VLOOKUP(DK$4, Rates_current!$G$6:$Q$29, 11, FALSE))</f>
        <v>321.67896069900002</v>
      </c>
      <c r="DL15" s="180">
        <f>$BS15*(VLOOKUP(DL$4, Rates_current!$G$6:$Q$29, 10, FALSE)+VLOOKUP(DL$4, Rates_current!$G$6:$Q$29, 11, FALSE))</f>
        <v>334.27416781759996</v>
      </c>
      <c r="DM15" s="180">
        <f>$BS15*(VLOOKUP(DM$4, Rates_current!$G$6:$Q$29, 10, FALSE)+VLOOKUP(DM$4, Rates_current!$G$6:$Q$29, 11, FALSE))</f>
        <v>287.52034022519996</v>
      </c>
      <c r="DN15" s="180">
        <f>$BS15*(VLOOKUP(DN$4, Rates_current!$G$6:$Q$29, 10, FALSE)+VLOOKUP(DN$4, Rates_current!$G$6:$Q$29, 11, FALSE))</f>
        <v>313.91528536139998</v>
      </c>
      <c r="DO15" s="180">
        <f>$BS15*(VLOOKUP(DO$4, Rates_current!$G$6:$Q$29, 10, FALSE)+VLOOKUP(DO$4, Rates_current!$G$6:$Q$29, 11, FALSE))</f>
        <v>247.78321665444997</v>
      </c>
      <c r="DP15" s="180">
        <f>$BS15*(VLOOKUP(DP$4, Rates_current!$G$6:$Q$29, 10, FALSE)+VLOOKUP(DP$4, Rates_current!$G$6:$Q$29, 11, FALSE))</f>
        <v>307.4082847601</v>
      </c>
      <c r="DQ15" s="180">
        <f>$BS15*(VLOOKUP(DQ$4, Rates_current!$G$6:$Q$29, 10, FALSE)+VLOOKUP(DQ$4, Rates_current!$G$6:$Q$29, 11, FALSE))</f>
        <v>314.07827711969998</v>
      </c>
      <c r="DR15" s="180">
        <f>$BS15*(VLOOKUP(DR$4, Rates_current!$G$6:$Q$29, 10, FALSE)+VLOOKUP(DR$4, Rates_current!$G$6:$Q$29, 11, FALSE))</f>
        <v>272.66519328909999</v>
      </c>
      <c r="DS15" s="180">
        <f>$BS15*(VLOOKUP(DS$4, Rates_current!$G$6:$Q$29, 10, FALSE)+VLOOKUP(DS$4, Rates_current!$G$6:$Q$29, 11, FALSE))</f>
        <v>263.59476512479</v>
      </c>
      <c r="DT15" s="180">
        <f>$BS15*(VLOOKUP(DT$4, Rates_current!$G$6:$Q$29, 10, FALSE)+VLOOKUP(DT$4, Rates_current!$G$6:$Q$29, 11, FALSE))</f>
        <v>242.55822874120003</v>
      </c>
      <c r="DU15" s="402">
        <f>IF(D15=0,IF(C15=0,MAX(0,DW15 - (VLOOKUP($A15,TOCA_current!$A$2:$AI$137,MATCH("RHWM 2024",TOCA_current!$A$2:$AI$2,0),FALSE)*$BS$2)), 0),0)</f>
        <v>0</v>
      </c>
      <c r="DV15" s="403">
        <f>MIN(VLOOKUP($A15,TOCA_current!$A$2:$AI$137,MATCH("TRL - NLSL - Existing Resource "&amp;$BS$1,TOCA_current!$A$2:$AI$2,0),FALSE)*$BS$2, VLOOKUP($A15,TOCA_current!$A$2:$AI$137,MATCH("RHWM 2024",TOCA_current!$A$2:$AI$2,0),FALSE)*$BS$2)</f>
        <v>3434.5440000000003</v>
      </c>
      <c r="DW15" s="403">
        <f>SUM(BY15:CV15)+(BS15*RT1SC!$C$4*$BS$2)</f>
        <v>3430.8880157557596</v>
      </c>
      <c r="DX15" s="403">
        <f>VLOOKUP($A15,TOCA_current!$A$2:$AI$137,MATCH("Above RHWM Not Served with LS "&amp;$BS$1,TOCA_current!$A$2:$AI$2,0),FALSE)*$BS$2</f>
        <v>0</v>
      </c>
      <c r="DY15" s="403">
        <f t="shared" si="13"/>
        <v>-3.6559842442406989</v>
      </c>
      <c r="DZ15" s="403">
        <f>(VLOOKUP($A15,TOCA_current!$A$2:$AI$137,MATCH("RHWM 2024",TOCA_current!$A$2:$AI$2,0),FALSE)*$BS$2) - $DV15</f>
        <v>61.487999999999829</v>
      </c>
      <c r="EA15" s="403">
        <f t="shared" si="14"/>
        <v>0</v>
      </c>
      <c r="EB15" s="403">
        <f t="shared" si="15"/>
        <v>3.6559842442406989</v>
      </c>
      <c r="EC15" s="403">
        <f t="shared" si="16"/>
        <v>0</v>
      </c>
      <c r="ED15" s="403">
        <f t="shared" si="17"/>
        <v>3.6559842442406989</v>
      </c>
    </row>
    <row r="16" spans="1:134">
      <c r="A16" s="123">
        <v>10057</v>
      </c>
      <c r="B16" s="124" t="s">
        <v>17</v>
      </c>
      <c r="C16" s="232">
        <f>VLOOKUP(A16, TOCA_current!$A$3:$D$137, 4, FALSE)</f>
        <v>0</v>
      </c>
      <c r="D16" s="191">
        <v>0</v>
      </c>
      <c r="E16" s="107">
        <f>VLOOKUP($A16,TOCA_previous!$A$2:$AI$137,MATCH(E$4,TOCA_previous!$A$2:$AI$2,0),FALSE)</f>
        <v>2.9654E-3</v>
      </c>
      <c r="F16" s="108">
        <f>VLOOKUP($A16,TOCA_previous!$A$2:$AI$137,MATCH(F$4,TOCA_previous!$A$2:$AI$2,0),FALSE)</f>
        <v>2.9654E-3</v>
      </c>
      <c r="G16" s="108">
        <f t="shared" si="5"/>
        <v>0</v>
      </c>
      <c r="H16" s="108">
        <f>VLOOKUP($A16,TOCA_previous!$A$2:$AI$137,MATCH(H$4,TOCA_previous!$A$2:$AI$2,0),FALSE)</f>
        <v>0</v>
      </c>
      <c r="I16" s="108">
        <f t="shared" si="6"/>
        <v>0</v>
      </c>
      <c r="J16" s="108">
        <f t="shared" si="7"/>
        <v>0</v>
      </c>
      <c r="K16" s="179">
        <f>VLOOKUP(A16, IRD!$A$5:$C$139, 3, FALSE)</f>
        <v>0</v>
      </c>
      <c r="L16" s="180">
        <f t="array" ref="L16">IF($G16=0, INDEX(LS_previous!$D$4:$AY$138, MATCH('Staging Table'!$A16, LS_previous!$B$4:$B$138, 0), MATCH(L$4&amp;L$5, LS_previous!$D$2:$AY$2&amp;LS_previous!$D$3:$AY$3, 0)),SUM(VLOOKUP($A16, LS_previous!$B$4:$AY$138, LS_previous!D$149, FALSE), VLOOKUP('Staging Table'!$A16, LS_previous!$B$4:$AY$138,LS_previous!AB$149, FALSE))/2)</f>
        <v>-434.33445045357075</v>
      </c>
      <c r="M16" s="180">
        <f t="array" ref="M16">IF($G16=0, INDEX(LS_previous!$D$4:$AY$138, MATCH('Staging Table'!$A16, LS_previous!$B$4:$B$138, 0), MATCH(M$4&amp;M$5, LS_previous!$D$2:$AY$2&amp;LS_previous!$D$3:$AY$3, 0)),SUM(VLOOKUP($A16, LS_previous!$B$4:$AY$138, LS_previous!E$149, FALSE), VLOOKUP('Staging Table'!$A16, LS_previous!$B$4:$AY$138,LS_previous!AC$149, FALSE))/2)</f>
        <v>-100.08302687702871</v>
      </c>
      <c r="N16" s="180">
        <f t="array" ref="N16">IF($G16=0, INDEX(LS_previous!$D$4:$AY$138, MATCH('Staging Table'!$A16, LS_previous!$B$4:$B$138, 0), MATCH(N$4&amp;N$5, LS_previous!$D$2:$AY$2&amp;LS_previous!$D$3:$AY$3, 0)),SUM(VLOOKUP($A16, LS_previous!$B$4:$AY$138, LS_previous!F$149, FALSE), VLOOKUP('Staging Table'!$A16, LS_previous!$B$4:$AY$138,LS_previous!AD$149, FALSE))/2)</f>
        <v>-1275.0916087652804</v>
      </c>
      <c r="O16" s="180">
        <f t="array" ref="O16">IF($G16=0, INDEX(LS_previous!$D$4:$AY$138, MATCH('Staging Table'!$A16, LS_previous!$B$4:$B$138, 0), MATCH(O$4&amp;O$5, LS_previous!$D$2:$AY$2&amp;LS_previous!$D$3:$AY$3, 0)),SUM(VLOOKUP($A16, LS_previous!$B$4:$AY$138, LS_previous!G$149, FALSE), VLOOKUP('Staging Table'!$A16, LS_previous!$B$4:$AY$138,LS_previous!AE$149, FALSE))/2)</f>
        <v>-1013.500158951033</v>
      </c>
      <c r="P16" s="180">
        <f t="array" ref="P16">IF($G16=0, INDEX(LS_previous!$D$4:$AY$138, MATCH('Staging Table'!$A16, LS_previous!$B$4:$B$138, 0), MATCH(P$4&amp;P$5, LS_previous!$D$2:$AY$2&amp;LS_previous!$D$3:$AY$3, 0)),SUM(VLOOKUP($A16, LS_previous!$B$4:$AY$138, LS_previous!H$149, FALSE), VLOOKUP('Staging Table'!$A16, LS_previous!$B$4:$AY$138,LS_previous!AF$149, FALSE))/2)</f>
        <v>1634.1457896189768</v>
      </c>
      <c r="Q16" s="180">
        <f t="array" ref="Q16">IF($G16=0, INDEX(LS_previous!$D$4:$AY$138, MATCH('Staging Table'!$A16, LS_previous!$B$4:$B$138, 0), MATCH(Q$4&amp;Q$5, LS_previous!$D$2:$AY$2&amp;LS_previous!$D$3:$AY$3, 0)),SUM(VLOOKUP($A16, LS_previous!$B$4:$AY$138, LS_previous!I$149, FALSE), VLOOKUP('Staging Table'!$A16, LS_previous!$B$4:$AY$138,LS_previous!AG$149, FALSE))/2)</f>
        <v>267.8982518202738</v>
      </c>
      <c r="R16" s="180">
        <f t="array" ref="R16">IF($G16=0, INDEX(LS_previous!$D$4:$AY$138, MATCH('Staging Table'!$A16, LS_previous!$B$4:$B$138, 0), MATCH(R$4&amp;R$5, LS_previous!$D$2:$AY$2&amp;LS_previous!$D$3:$AY$3, 0)),SUM(VLOOKUP($A16, LS_previous!$B$4:$AY$138, LS_previous!J$149, FALSE), VLOOKUP('Staging Table'!$A16, LS_previous!$B$4:$AY$138,LS_previous!AH$149, FALSE))/2)</f>
        <v>3299.0864828845069</v>
      </c>
      <c r="S16" s="180">
        <f t="array" ref="S16">IF($G16=0, INDEX(LS_previous!$D$4:$AY$138, MATCH('Staging Table'!$A16, LS_previous!$B$4:$B$138, 0), MATCH(S$4&amp;S$5, LS_previous!$D$2:$AY$2&amp;LS_previous!$D$3:$AY$3, 0)),SUM(VLOOKUP($A16, LS_previous!$B$4:$AY$138, LS_previous!K$149, FALSE), VLOOKUP('Staging Table'!$A16, LS_previous!$B$4:$AY$138,LS_previous!AI$149, FALSE))/2)</f>
        <v>762.96320969603585</v>
      </c>
      <c r="T16" s="180">
        <f t="array" ref="T16">IF($G16=0, INDEX(LS_previous!$D$4:$AY$138, MATCH('Staging Table'!$A16, LS_previous!$B$4:$B$138, 0), MATCH(T$4&amp;T$5, LS_previous!$D$2:$AY$2&amp;LS_previous!$D$3:$AY$3, 0)),SUM(VLOOKUP($A16, LS_previous!$B$4:$AY$138, LS_previous!L$149, FALSE), VLOOKUP('Staging Table'!$A16, LS_previous!$B$4:$AY$138,LS_previous!AJ$149, FALSE))/2)</f>
        <v>2766.265113220541</v>
      </c>
      <c r="U16" s="180">
        <f t="array" ref="U16">IF($G16=0, INDEX(LS_previous!$D$4:$AY$138, MATCH('Staging Table'!$A16, LS_previous!$B$4:$B$138, 0), MATCH(U$4&amp;U$5, LS_previous!$D$2:$AY$2&amp;LS_previous!$D$3:$AY$3, 0)),SUM(VLOOKUP($A16, LS_previous!$B$4:$AY$138, LS_previous!M$149, FALSE), VLOOKUP('Staging Table'!$A16, LS_previous!$B$4:$AY$138,LS_previous!AK$149, FALSE))/2)</f>
        <v>461.59375585630642</v>
      </c>
      <c r="V16" s="180">
        <f t="array" ref="V16">IF($G16=0, INDEX(LS_previous!$D$4:$AY$138, MATCH('Staging Table'!$A16, LS_previous!$B$4:$B$138, 0), MATCH(V$4&amp;V$5, LS_previous!$D$2:$AY$2&amp;LS_previous!$D$3:$AY$3, 0)),SUM(VLOOKUP($A16, LS_previous!$B$4:$AY$138, LS_previous!N$149, FALSE), VLOOKUP('Staging Table'!$A16, LS_previous!$B$4:$AY$138,LS_previous!AL$149, FALSE))/2)</f>
        <v>617.25388416087844</v>
      </c>
      <c r="W16" s="180">
        <f t="array" ref="W16">IF($G16=0, INDEX(LS_previous!$D$4:$AY$138, MATCH('Staging Table'!$A16, LS_previous!$B$4:$B$138, 0), MATCH(W$4&amp;W$5, LS_previous!$D$2:$AY$2&amp;LS_previous!$D$3:$AY$3, 0)),SUM(VLOOKUP($A16, LS_previous!$B$4:$AY$138, LS_previous!O$149, FALSE), VLOOKUP('Staging Table'!$A16, LS_previous!$B$4:$AY$138,LS_previous!AM$149, FALSE))/2)</f>
        <v>147.42187378433846</v>
      </c>
      <c r="X16" s="180">
        <f t="array" ref="X16">IF($G16=0, INDEX(LS_previous!$D$4:$AY$138, MATCH('Staging Table'!$A16, LS_previous!$B$4:$B$138, 0), MATCH(X$4&amp;X$5, LS_previous!$D$2:$AY$2&amp;LS_previous!$D$3:$AY$3, 0)),SUM(VLOOKUP($A16, LS_previous!$B$4:$AY$138, LS_previous!P$149, FALSE), VLOOKUP('Staging Table'!$A16, LS_previous!$B$4:$AY$138,LS_previous!AN$149, FALSE))/2)</f>
        <v>1589.6391541503981</v>
      </c>
      <c r="Y16" s="180">
        <f t="array" ref="Y16">IF($G16=0, INDEX(LS_previous!$D$4:$AY$138, MATCH('Staging Table'!$A16, LS_previous!$B$4:$B$138, 0), MATCH(Y$4&amp;Y$5, LS_previous!$D$2:$AY$2&amp;LS_previous!$D$3:$AY$3, 0)),SUM(VLOOKUP($A16, LS_previous!$B$4:$AY$138, LS_previous!Q$149, FALSE), VLOOKUP('Staging Table'!$A16, LS_previous!$B$4:$AY$138,LS_previous!AO$149, FALSE))/2)</f>
        <v>284.93977857408117</v>
      </c>
      <c r="Z16" s="180">
        <f t="array" ref="Z16">IF($G16=0, INDEX(LS_previous!$D$4:$AY$138, MATCH('Staging Table'!$A16, LS_previous!$B$4:$B$138, 0), MATCH(Z$4&amp;Z$5, LS_previous!$D$2:$AY$2&amp;LS_previous!$D$3:$AY$3, 0)),SUM(VLOOKUP($A16, LS_previous!$B$4:$AY$138, LS_previous!R$149, FALSE), VLOOKUP('Staging Table'!$A16, LS_previous!$B$4:$AY$138,LS_previous!AP$149, FALSE))/2)</f>
        <v>-2594.8474676636197</v>
      </c>
      <c r="AA16" s="180">
        <f t="array" ref="AA16">IF($G16=0, INDEX(LS_previous!$D$4:$AY$138, MATCH('Staging Table'!$A16, LS_previous!$B$4:$B$138, 0), MATCH(AA$4&amp;AA$5, LS_previous!$D$2:$AY$2&amp;LS_previous!$D$3:$AY$3, 0)),SUM(VLOOKUP($A16, LS_previous!$B$4:$AY$138, LS_previous!S$149, FALSE), VLOOKUP('Staging Table'!$A16, LS_previous!$B$4:$AY$138,LS_previous!AQ$149, FALSE))/2)</f>
        <v>-566.89523815733355</v>
      </c>
      <c r="AB16" s="180">
        <f t="array" ref="AB16">IF($G16=0, INDEX(LS_previous!$D$4:$AY$138, MATCH('Staging Table'!$A16, LS_previous!$B$4:$B$138, 0), MATCH(AB$4&amp;AB$5, LS_previous!$D$2:$AY$2&amp;LS_previous!$D$3:$AY$3, 0)),SUM(VLOOKUP($A16, LS_previous!$B$4:$AY$138, LS_previous!T$149, FALSE), VLOOKUP('Staging Table'!$A16, LS_previous!$B$4:$AY$138,LS_previous!AR$149, FALSE))/2)</f>
        <v>-3780.1542599759341</v>
      </c>
      <c r="AC16" s="180">
        <f t="array" ref="AC16">IF($G16=0, INDEX(LS_previous!$D$4:$AY$138, MATCH('Staging Table'!$A16, LS_previous!$B$4:$B$138, 0), MATCH(AC$4&amp;AC$5, LS_previous!$D$2:$AY$2&amp;LS_previous!$D$3:$AY$3, 0)),SUM(VLOOKUP($A16, LS_previous!$B$4:$AY$138, LS_previous!U$149, FALSE), VLOOKUP('Staging Table'!$A16, LS_previous!$B$4:$AY$138,LS_previous!AS$149, FALSE))/2)</f>
        <v>-137.77825038589981</v>
      </c>
      <c r="AD16" s="180">
        <f t="array" ref="AD16">IF($G16=0, INDEX(LS_previous!$D$4:$AY$138, MATCH('Staging Table'!$A16, LS_previous!$B$4:$B$138, 0), MATCH(AD$4&amp;AD$5, LS_previous!$D$2:$AY$2&amp;LS_previous!$D$3:$AY$3, 0)),SUM(VLOOKUP($A16, LS_previous!$B$4:$AY$138, LS_previous!V$149, FALSE), VLOOKUP('Staging Table'!$A16, LS_previous!$B$4:$AY$138,LS_previous!AT$149, FALSE))/2)</f>
        <v>-349.54319011864391</v>
      </c>
      <c r="AE16" s="180">
        <f t="array" ref="AE16">IF($G16=0, INDEX(LS_previous!$D$4:$AY$138, MATCH('Staging Table'!$A16, LS_previous!$B$4:$B$138, 0), MATCH(AE$4&amp;AE$5, LS_previous!$D$2:$AY$2&amp;LS_previous!$D$3:$AY$3, 0)),SUM(VLOOKUP($A16, LS_previous!$B$4:$AY$138, LS_previous!W$149, FALSE), VLOOKUP('Staging Table'!$A16, LS_previous!$B$4:$AY$138,LS_previous!AU$149, FALSE))/2)</f>
        <v>185.35618710021936</v>
      </c>
      <c r="AF16" s="180">
        <f t="array" ref="AF16">IF($G16=0, INDEX(LS_previous!$D$4:$AY$138, MATCH('Staging Table'!$A16, LS_previous!$B$4:$B$138, 0), MATCH(AF$4&amp;AF$5, LS_previous!$D$2:$AY$2&amp;LS_previous!$D$3:$AY$3, 0)),SUM(VLOOKUP($A16, LS_previous!$B$4:$AY$138, LS_previous!X$149, FALSE), VLOOKUP('Staging Table'!$A16, LS_previous!$B$4:$AY$138,LS_previous!AV$149, FALSE))/2)</f>
        <v>71.755505634329893</v>
      </c>
      <c r="AG16" s="180">
        <f t="array" ref="AG16">IF($G16=0, INDEX(LS_previous!$D$4:$AY$138, MATCH('Staging Table'!$A16, LS_previous!$B$4:$B$138, 0), MATCH(AG$4&amp;AG$5, LS_previous!$D$2:$AY$2&amp;LS_previous!$D$3:$AY$3, 0)),SUM(VLOOKUP($A16, LS_previous!$B$4:$AY$138, LS_previous!Y$149, FALSE), VLOOKUP('Staging Table'!$A16, LS_previous!$B$4:$AY$138,LS_previous!AW$149, FALSE))/2)</f>
        <v>119.71656636127773</v>
      </c>
      <c r="AH16" s="180">
        <f t="array" ref="AH16">IF($G16=0, INDEX(LS_previous!$D$4:$AY$138, MATCH('Staging Table'!$A16, LS_previous!$B$4:$B$138, 0), MATCH(AH$4&amp;AH$5, LS_previous!$D$2:$AY$2&amp;LS_previous!$D$3:$AY$3, 0)),SUM(VLOOKUP($A16, LS_previous!$B$4:$AY$138, LS_previous!Z$149, FALSE), VLOOKUP('Staging Table'!$A16, LS_previous!$B$4:$AY$138,LS_previous!AX$149, FALSE))/2)</f>
        <v>-1137.3398805566949</v>
      </c>
      <c r="AI16" s="180">
        <f t="array" ref="AI16">IF($G16=0, INDEX(LS_previous!$D$4:$AY$138, MATCH('Staging Table'!$A16, LS_previous!$B$4:$B$138, 0), MATCH(AI$4&amp;AI$5, LS_previous!$D$2:$AY$2&amp;LS_previous!$D$3:$AY$3, 0)),SUM(VLOOKUP($A16, LS_previous!$B$4:$AY$138, LS_previous!AA$149, FALSE), VLOOKUP('Staging Table'!$A16, LS_previous!$B$4:$AY$138,LS_previous!AY$149, FALSE))/2)</f>
        <v>-181.23012201065103</v>
      </c>
      <c r="AJ16" s="298">
        <f t="array" ref="AJ16">INDEX(Demand_previous!$D$4:$AY$138, MATCH('Staging Table'!$A16, Demand_previous!$B$4:$B$138, 0), MATCH(AJ$4&amp;AJ$5,Demand_previous!$D$2:$AY$2&amp;Demand_previous!$D$3:$AY$3, 0))/1000</f>
        <v>0</v>
      </c>
      <c r="AK16" s="298">
        <f t="array" ref="AK16">INDEX(Demand_previous!$D$4:$AY$138, MATCH('Staging Table'!$A16, Demand_previous!$B$4:$B$138, 0), MATCH(AK$4&amp;AK$5,Demand_previous!$D$2:$AY$2&amp;Demand_previous!$D$3:$AY$3, 0))/1000</f>
        <v>0</v>
      </c>
      <c r="AL16" s="298">
        <f t="array" ref="AL16">INDEX(Demand_previous!$D$4:$AY$138, MATCH('Staging Table'!$A16, Demand_previous!$B$4:$B$138, 0), MATCH(AL$4&amp;AL$5,Demand_previous!$D$2:$AY$2&amp;Demand_previous!$D$3:$AY$3, 0))/1000</f>
        <v>1.5852451923076885</v>
      </c>
      <c r="AM16" s="298">
        <f t="array" ref="AM16">INDEX(Demand_previous!$D$4:$AY$138, MATCH('Staging Table'!$A16, Demand_previous!$B$4:$B$138, 0), MATCH(AM$4&amp;AM$5,Demand_previous!$D$2:$AY$2&amp;Demand_previous!$D$3:$AY$3, 0))/1000</f>
        <v>0</v>
      </c>
      <c r="AN16" s="298">
        <f t="array" ref="AN16">INDEX(Demand_previous!$D$4:$AY$138, MATCH('Staging Table'!$A16, Demand_previous!$B$4:$B$138, 0), MATCH(AN$4&amp;AN$5,Demand_previous!$D$2:$AY$2&amp;Demand_previous!$D$3:$AY$3, 0))/1000</f>
        <v>0.67203125000000341</v>
      </c>
      <c r="AO16" s="298">
        <f t="array" ref="AO16">INDEX(Demand_previous!$D$4:$AY$138, MATCH('Staging Table'!$A16, Demand_previous!$B$4:$B$138, 0), MATCH(AO$4&amp;AO$5,Demand_previous!$D$2:$AY$2&amp;Demand_previous!$D$3:$AY$3, 0))/1000</f>
        <v>3.021138888888891</v>
      </c>
      <c r="AP16" s="298">
        <f t="array" ref="AP16">INDEX(Demand_previous!$D$4:$AY$138, MATCH('Staging Table'!$A16, Demand_previous!$B$4:$B$138, 0), MATCH(AP$4&amp;AP$5,Demand_previous!$D$2:$AY$2&amp;Demand_previous!$D$3:$AY$3, 0))/1000</f>
        <v>1.4962427884615401</v>
      </c>
      <c r="AQ16" s="298">
        <f t="array" ref="AQ16">INDEX(Demand_previous!$D$4:$AY$138, MATCH('Staging Table'!$A16, Demand_previous!$B$4:$B$138, 0), MATCH(AQ$4&amp;AQ$5,Demand_previous!$D$2:$AY$2&amp;Demand_previous!$D$3:$AY$3, 0))/1000</f>
        <v>0</v>
      </c>
      <c r="AR16" s="298">
        <f t="array" ref="AR16">INDEX(Demand_previous!$D$4:$AY$138, MATCH('Staging Table'!$A16, Demand_previous!$B$4:$B$138, 0), MATCH(AR$4&amp;AR$5,Demand_previous!$D$2:$AY$2&amp;Demand_previous!$D$3:$AY$3, 0))/1000</f>
        <v>5.1674014423076944</v>
      </c>
      <c r="AS16" s="298">
        <f t="array" ref="AS16">INDEX(Demand_previous!$D$4:$AY$138, MATCH('Staging Table'!$A16, Demand_previous!$B$4:$B$138, 0), MATCH(AS$4&amp;AS$5,Demand_previous!$D$2:$AY$2&amp;Demand_previous!$D$3:$AY$3, 0))/1000</f>
        <v>0.17102499999999665</v>
      </c>
      <c r="AT16" s="298">
        <f t="array" ref="AT16">INDEX(Demand_previous!$D$4:$AY$138, MATCH('Staging Table'!$A16, Demand_previous!$B$4:$B$138, 0), MATCH(AT$4&amp;AT$5,Demand_previous!$D$2:$AY$2&amp;Demand_previous!$D$3:$AY$3, 0))/1000</f>
        <v>2.4332523148148137</v>
      </c>
      <c r="AU16" s="298">
        <f t="array" ref="AU16">INDEX(Demand_previous!$D$4:$AY$138, MATCH('Staging Table'!$A16, Demand_previous!$B$4:$B$138, 0), MATCH(AU$4&amp;AU$5,Demand_previous!$D$2:$AY$2&amp;Demand_previous!$D$3:$AY$3, 0))/1000</f>
        <v>0</v>
      </c>
      <c r="AV16" s="180">
        <f>$F16*(VLOOKUP(AV$4, Rates_previous!$G$6:$Q$29, 10, FALSE)+VLOOKUP(AV$4, Rates_previous!$G$6:$Q$29, 11, FALSE))</f>
        <v>13504.207477330599</v>
      </c>
      <c r="AW16" s="180">
        <f>$F16*(VLOOKUP(AW$4, Rates_previous!$G$6:$Q$29, 10, FALSE)+VLOOKUP(AW$4, Rates_previous!$G$6:$Q$29, 11, FALSE))</f>
        <v>17096.816767716315</v>
      </c>
      <c r="AX16" s="180">
        <f>$F16*(VLOOKUP(AX$4, Rates_previous!$G$6:$Q$29, 10, FALSE)+VLOOKUP(AX$4, Rates_previous!$G$6:$Q$29, 11, FALSE))</f>
        <v>16734.367958560753</v>
      </c>
      <c r="AY16" s="180">
        <f>$F16*(VLOOKUP(AY$4, Rates_previous!$G$6:$Q$29, 10, FALSE)+VLOOKUP(AY$4, Rates_previous!$G$6:$Q$29, 11, FALSE))</f>
        <v>13821.876307419458</v>
      </c>
      <c r="AZ16" s="180">
        <f>$F16*(VLOOKUP(AZ$4, Rates_previous!$G$6:$Q$29, 10, FALSE)+VLOOKUP(AZ$4, Rates_previous!$G$6:$Q$29, 11, FALSE))</f>
        <v>11979.723130923154</v>
      </c>
      <c r="BA16" s="180">
        <f>$F16*(VLOOKUP(BA$4, Rates_previous!$G$6:$Q$29, 10, FALSE)+VLOOKUP(BA$4, Rates_previous!$G$6:$Q$29, 11, FALSE))</f>
        <v>14301.370242054783</v>
      </c>
      <c r="BB16" s="180">
        <f>$F16*(VLOOKUP(BB$4, Rates_previous!$G$6:$Q$29, 10, FALSE)+VLOOKUP(BB$4, Rates_previous!$G$6:$Q$29, 11, FALSE))</f>
        <v>11103.11006727552</v>
      </c>
      <c r="BC16" s="180">
        <f>$F16*(VLOOKUP(BC$4, Rates_previous!$G$6:$Q$29, 10, FALSE)+VLOOKUP(BC$4, Rates_previous!$G$6:$Q$29, 11, FALSE))</f>
        <v>15383.440705820953</v>
      </c>
      <c r="BD16" s="180">
        <f>$F16*(VLOOKUP(BD$4, Rates_previous!$G$6:$Q$29, 10, FALSE)+VLOOKUP(BD$4, Rates_previous!$G$6:$Q$29, 11, FALSE))</f>
        <v>16437.528510361833</v>
      </c>
      <c r="BE16" s="180">
        <f>$F16*(VLOOKUP(BE$4, Rates_previous!$G$6:$Q$29, 10, FALSE)+VLOOKUP(BE$4, Rates_previous!$G$6:$Q$29, 11, FALSE))</f>
        <v>15606.689003018428</v>
      </c>
      <c r="BF16" s="180">
        <f>$F16*(VLOOKUP(BF$4, Rates_previous!$G$6:$Q$29, 10, FALSE)+VLOOKUP(BF$4, Rates_previous!$G$6:$Q$29, 11, FALSE))</f>
        <v>15082.66092800439</v>
      </c>
      <c r="BG16" s="180">
        <f>$F16*(VLOOKUP(BG$4, Rates_previous!$G$6:$Q$29, 10, FALSE)+VLOOKUP(BG$4, Rates_previous!$G$6:$Q$29, 11, FALSE))</f>
        <v>13937.951002567346</v>
      </c>
      <c r="BH16" s="298">
        <f>IF($D16=0,IF(C16=0, MAX(BJ16 - (VLOOKUP($A16,TOCA_previous!$A$2:$AI$137,MATCH("RHWM 2022",TOCA_previous!$A$2:$AI$2,0),FALSE)*$F$2*TOCA_previous!C13),0),0), 0)</f>
        <v>0</v>
      </c>
      <c r="BI16" s="192">
        <f>MIN(VLOOKUP($A16,TOCA_previous!$A$2:$AI$137,MATCH("TRL - NLSL - Existing Resource "&amp;$F$1,TOCA_previous!$A$2:$AI$2,0),FALSE)*$F$2,(VLOOKUP($A16,TOCA_previous!$A$2:$AI$137,MATCH("RHWM 2022",TOCA_previous!$A$2:$AI$2,0),FALSE)*$F$2))</f>
        <v>174989.75999999998</v>
      </c>
      <c r="BJ16" s="402">
        <f>SUM(L16:AI16)+(F16*RT1SC!$C$3*$F$2)</f>
        <v>175626.98895148249</v>
      </c>
      <c r="BK16" s="401">
        <f>VLOOKUP($A16,TOCA_previous!$A$2:$AI$137,MATCH("Above RHWM Not Served with LS "&amp;$F$1,TOCA_previous!$A$2:$AI$2,0),FALSE)*$F$2</f>
        <v>0</v>
      </c>
      <c r="BL16" s="402">
        <f t="shared" si="8"/>
        <v>637.22895148250973</v>
      </c>
      <c r="BM16" s="401">
        <f>(VLOOKUP($A16,TOCA_previous!$A$2:$AI$137,MATCH("RHWM 2022",TOCA_previous!$A$2:$AI$2,0),FALSE)*$F$2) - $BI16</f>
        <v>1059.960000000021</v>
      </c>
      <c r="BN16" s="402">
        <f t="shared" si="9"/>
        <v>-637.22895148250973</v>
      </c>
      <c r="BO16" s="401">
        <f t="shared" si="10"/>
        <v>0</v>
      </c>
      <c r="BP16" s="402">
        <f t="shared" si="11"/>
        <v>0</v>
      </c>
      <c r="BQ16" s="401">
        <f t="shared" si="2"/>
        <v>-637.22895148250973</v>
      </c>
      <c r="BR16" s="108">
        <f>VLOOKUP($A16,TOCA_current!$A$2:$AI$137,MATCH(BR$4,TOCA_current!$A$2:$AI$2,0),FALSE)</f>
        <v>2.8306999999999998E-3</v>
      </c>
      <c r="BS16" s="108">
        <f>VLOOKUP($A16,TOCA_current!$A$2:$AI$137,MATCH(BS$4,TOCA_current!$A$2:$AI$2,0),FALSE)</f>
        <v>2.8306999999999998E-3</v>
      </c>
      <c r="BT16" s="189">
        <f t="shared" si="12"/>
        <v>0</v>
      </c>
      <c r="BU16" s="108">
        <f>VLOOKUP($A16,TOCA_current!A12:BG147,MATCH(BU$4,TOCA_current!$A$2:$BG$2,0),FALSE)</f>
        <v>0</v>
      </c>
      <c r="BV16" s="108">
        <f t="shared" si="3"/>
        <v>0</v>
      </c>
      <c r="BW16" s="108">
        <f t="shared" si="4"/>
        <v>0</v>
      </c>
      <c r="BX16" s="179">
        <f>VLOOKUP($A16,IRD!$A$4:$G$139, 7, FALSE)</f>
        <v>0</v>
      </c>
      <c r="BY16" s="180">
        <f t="array" ref="BY16">IF($BT16=0, INDEX(LS_current!$D$4:$AY$138, MATCH('Staging Table'!$A16, LS_current!$B$4:$B$138, 0), MATCH(BY$4&amp;BY$5, LS_current!$D$2:$AY$2&amp;LS_current!$D$3:$AY$3, 0)),SUM(VLOOKUP($A16, LS_current!$B$4:$AY$138, LS_current!D$148, FALSE), VLOOKUP($A16, LS_current!$B$4:$AY$138,LS_current!AB$148, FALSE))/2)</f>
        <v>1001.7736672948004</v>
      </c>
      <c r="BZ16" s="180">
        <f t="array" ref="BZ16">IF($BT16=0, INDEX(LS_current!$D$4:$AY$138, MATCH('Staging Table'!$A16, LS_current!$B$4:$B$138, 0), MATCH(BZ$4&amp;BZ$5, LS_current!$D$2:$AY$2&amp;LS_current!$D$3:$AY$3, 0)),SUM(VLOOKUP($A16, LS_current!$B$4:$AY$138, LS_current!E$148, FALSE), VLOOKUP($A16, LS_current!$B$4:$AY$138,LS_current!AC$148, FALSE))/2)</f>
        <v>25.848525027150572</v>
      </c>
      <c r="CA16" s="180">
        <f t="array" ref="CA16">IF($BT16=0, INDEX(LS_current!$D$4:$AY$138, MATCH('Staging Table'!$A16, LS_current!$B$4:$B$138, 0), MATCH(CA$4&amp;CA$5, LS_current!$D$2:$AY$2&amp;LS_current!$D$3:$AY$3, 0)),SUM(VLOOKUP($A16, LS_current!$B$4:$AY$138, LS_current!F$148, FALSE), VLOOKUP($A16, LS_current!$B$4:$AY$138,LS_current!AD$148, FALSE))/2)</f>
        <v>-24.453279369599841</v>
      </c>
      <c r="CB16" s="180">
        <f t="array" ref="CB16">IF($BT16=0, INDEX(LS_current!$D$4:$AY$138, MATCH('Staging Table'!$A16, LS_current!$B$4:$B$138, 0), MATCH(CB$4&amp;CB$5, LS_current!$D$2:$AY$2&amp;LS_current!$D$3:$AY$3, 0)),SUM(VLOOKUP($A16, LS_current!$B$4:$AY$138, LS_current!G$148, FALSE), VLOOKUP($A16, LS_current!$B$4:$AY$138,LS_current!AE$148, FALSE))/2)</f>
        <v>-397.52364077169932</v>
      </c>
      <c r="CC16" s="180">
        <f t="array" ref="CC16">IF($BT16=0, INDEX(LS_current!$D$4:$AY$138, MATCH('Staging Table'!$A16, LS_current!$B$4:$B$138, 0), MATCH(CC$4&amp;CC$5, LS_current!$D$2:$AY$2&amp;LS_current!$D$3:$AY$3, 0)),SUM(VLOOKUP($A16, LS_current!$B$4:$AY$138, LS_current!H$148, FALSE), VLOOKUP($A16, LS_current!$B$4:$AY$138,LS_current!AF$148, FALSE))/2)</f>
        <v>1228.7790186127022</v>
      </c>
      <c r="CD16" s="180">
        <f t="array" ref="CD16">IF($BT16=0, INDEX(LS_current!$D$4:$AY$138, MATCH('Staging Table'!$A16, LS_current!$B$4:$B$138, 0), MATCH(CD$4&amp;CD$5, LS_current!$D$2:$AY$2&amp;LS_current!$D$3:$AY$3, 0)),SUM(VLOOKUP($A16, LS_current!$B$4:$AY$138, LS_current!I$148, FALSE), VLOOKUP($A16, LS_current!$B$4:$AY$138,LS_current!AG$148, FALSE))/2)</f>
        <v>971.23164473280121</v>
      </c>
      <c r="CE16" s="180">
        <f t="array" ref="CE16">IF($BT16=0, INDEX(LS_current!$D$4:$AY$138, MATCH('Staging Table'!$A16, LS_current!$B$4:$B$138, 0), MATCH(CE$4&amp;CE$5, LS_current!$D$2:$AY$2&amp;LS_current!$D$3:$AY$3, 0)),SUM(VLOOKUP($A16, LS_current!$B$4:$AY$138, LS_current!J$148, FALSE), VLOOKUP($A16, LS_current!$B$4:$AY$138,LS_current!AH$148, FALSE))/2)</f>
        <v>587.45846234950113</v>
      </c>
      <c r="CF16" s="180">
        <f t="array" ref="CF16">IF($BT16=0, INDEX(LS_current!$D$4:$AY$138, MATCH('Staging Table'!$A16, LS_current!$B$4:$B$138, 0), MATCH(CF$4&amp;CF$5, LS_current!$D$2:$AY$2&amp;LS_current!$D$3:$AY$3, 0)),SUM(VLOOKUP($A16, LS_current!$B$4:$AY$138, LS_current!K$148, FALSE), VLOOKUP($A16, LS_current!$B$4:$AY$138,LS_current!AI$148, FALSE))/2)</f>
        <v>216.50568130970078</v>
      </c>
      <c r="CG16" s="180">
        <f t="array" ref="CG16">IF($BT16=0, INDEX(LS_current!$D$4:$AY$138, MATCH('Staging Table'!$A16, LS_current!$B$4:$B$138, 0), MATCH(CG$4&amp;CG$5, LS_current!$D$2:$AY$2&amp;LS_current!$D$3:$AY$3, 0)),SUM(VLOOKUP($A16, LS_current!$B$4:$AY$138, LS_current!L$148, FALSE), VLOOKUP($A16, LS_current!$B$4:$AY$138,LS_current!AJ$148, FALSE))/2)</f>
        <v>383.84166531470146</v>
      </c>
      <c r="CH16" s="180">
        <f t="array" ref="CH16">IF($BT16=0, INDEX(LS_current!$D$4:$AY$138, MATCH('Staging Table'!$A16, LS_current!$B$4:$B$138, 0), MATCH(CH$4&amp;CH$5, LS_current!$D$2:$AY$2&amp;LS_current!$D$3:$AY$3, 0)),SUM(VLOOKUP($A16, LS_current!$B$4:$AY$138, LS_current!M$148, FALSE), VLOOKUP($A16, LS_current!$B$4:$AY$138,LS_current!AK$148, FALSE))/2)</f>
        <v>132.69652465870058</v>
      </c>
      <c r="CI16" s="180">
        <f t="array" ref="CI16">IF($BT16=0, INDEX(LS_current!$D$4:$AY$138, MATCH('Staging Table'!$A16, LS_current!$B$4:$B$138, 0), MATCH(CI$4&amp;CI$5, LS_current!$D$2:$AY$2&amp;LS_current!$D$3:$AY$3, 0)),SUM(VLOOKUP($A16, LS_current!$B$4:$AY$138, LS_current!N$148, FALSE), VLOOKUP($A16, LS_current!$B$4:$AY$138,LS_current!AL$148, FALSE))/2)</f>
        <v>-365.3940331690992</v>
      </c>
      <c r="CJ16" s="180">
        <f t="array" ref="CJ16">IF($BT16=0, INDEX(LS_current!$D$4:$AY$138, MATCH('Staging Table'!$A16, LS_current!$B$4:$B$138, 0), MATCH(CJ$4&amp;CJ$5, LS_current!$D$2:$AY$2&amp;LS_current!$D$3:$AY$3, 0)),SUM(VLOOKUP($A16, LS_current!$B$4:$AY$138, LS_current!O$148, FALSE), VLOOKUP($A16, LS_current!$B$4:$AY$138,LS_current!AM$148, FALSE))/2)</f>
        <v>-608.2711269845995</v>
      </c>
      <c r="CK16" s="180">
        <f t="array" ref="CK16">IF($BT16=0, INDEX(LS_current!$D$4:$AY$138, MATCH('Staging Table'!$A16, LS_current!$B$4:$B$138, 0), MATCH(CK$4&amp;CK$5, LS_current!$D$2:$AY$2&amp;LS_current!$D$3:$AY$3, 0)),SUM(VLOOKUP($A16, LS_current!$B$4:$AY$138, LS_current!P$148, FALSE), VLOOKUP($A16, LS_current!$B$4:$AY$138,LS_current!AN$148, FALSE))/2)</f>
        <v>725.42730423075045</v>
      </c>
      <c r="CL16" s="180">
        <f t="array" ref="CL16">IF($BT16=0, INDEX(LS_current!$D$4:$AY$138, MATCH('Staging Table'!$A16, LS_current!$B$4:$B$138, 0), MATCH(CL$4&amp;CL$5, LS_current!$D$2:$AY$2&amp;LS_current!$D$3:$AY$3, 0)),SUM(VLOOKUP($A16, LS_current!$B$4:$AY$138, LS_current!Q$148, FALSE), VLOOKUP($A16, LS_current!$B$4:$AY$138,LS_current!AO$148, FALSE))/2)</f>
        <v>-408.3872461757237</v>
      </c>
      <c r="CM16" s="180">
        <f t="array" ref="CM16">IF($BT16=0, INDEX(LS_current!$D$4:$AY$138, MATCH('Staging Table'!$A16, LS_current!$B$4:$B$138, 0), MATCH(CM$4&amp;CM$5, LS_current!$D$2:$AY$2&amp;LS_current!$D$3:$AY$3, 0)),SUM(VLOOKUP($A16, LS_current!$B$4:$AY$138, LS_current!R$148, FALSE), VLOOKUP($A16, LS_current!$B$4:$AY$138,LS_current!AP$148, FALSE))/2)</f>
        <v>-1773.2719516336001</v>
      </c>
      <c r="CN16" s="180">
        <f t="array" ref="CN16">IF($BT16=0, INDEX(LS_current!$D$4:$AY$138, MATCH('Staging Table'!$A16, LS_current!$B$4:$B$138, 0), MATCH(CN$4&amp;CN$5, LS_current!$D$2:$AY$2&amp;LS_current!$D$3:$AY$3, 0)),SUM(VLOOKUP($A16, LS_current!$B$4:$AY$138, LS_current!S$148, FALSE), VLOOKUP($A16, LS_current!$B$4:$AY$138,LS_current!AQ$148, FALSE))/2)</f>
        <v>-1712.2616669659492</v>
      </c>
      <c r="CO16" s="180">
        <f t="array" ref="CO16">IF($BT16=0, INDEX(LS_current!$D$4:$AY$138, MATCH('Staging Table'!$A16, LS_current!$B$4:$B$138, 0), MATCH(CO$4&amp;CO$5, LS_current!$D$2:$AY$2&amp;LS_current!$D$3:$AY$3, 0)),SUM(VLOOKUP($A16, LS_current!$B$4:$AY$138, LS_current!T$148, FALSE), VLOOKUP($A16, LS_current!$B$4:$AY$138,LS_current!AR$148, FALSE))/2)</f>
        <v>-2135.4414361281997</v>
      </c>
      <c r="CP16" s="180">
        <f t="array" ref="CP16">IF($BT16=0, INDEX(LS_current!$D$4:$AY$138, MATCH('Staging Table'!$A16, LS_current!$B$4:$B$138, 0), MATCH(CP$4&amp;CP$5, LS_current!$D$2:$AY$2&amp;LS_current!$D$3:$AY$3, 0)),SUM(VLOOKUP($A16, LS_current!$B$4:$AY$138, LS_current!U$148, FALSE), VLOOKUP($A16, LS_current!$B$4:$AY$138,LS_current!AS$148, FALSE))/2)</f>
        <v>-1393.0018967731503</v>
      </c>
      <c r="CQ16" s="180">
        <f t="array" ref="CQ16">IF($BT16=0, INDEX(LS_current!$D$4:$AY$138, MATCH('Staging Table'!$A16, LS_current!$B$4:$B$138, 0), MATCH(CQ$4&amp;CQ$5, LS_current!$D$2:$AY$2&amp;LS_current!$D$3:$AY$3, 0)),SUM(VLOOKUP($A16, LS_current!$B$4:$AY$138, LS_current!V$148, FALSE), VLOOKUP($A16, LS_current!$B$4:$AY$138,LS_current!AT$148, FALSE))/2)</f>
        <v>1363.3431856452007</v>
      </c>
      <c r="CR16" s="180">
        <f t="array" ref="CR16">IF($BT16=0, INDEX(LS_current!$D$4:$AY$138, MATCH('Staging Table'!$A16, LS_current!$B$4:$B$138, 0), MATCH(CR$4&amp;CR$5, LS_current!$D$2:$AY$2&amp;LS_current!$D$3:$AY$3, 0)),SUM(VLOOKUP($A16, LS_current!$B$4:$AY$138, LS_current!W$148, FALSE), VLOOKUP($A16, LS_current!$B$4:$AY$138,LS_current!AU$148, FALSE))/2)</f>
        <v>147.14865833575004</v>
      </c>
      <c r="CS16" s="180">
        <f t="array" ref="CS16">IF($BT16=0, INDEX(LS_current!$D$4:$AY$138, MATCH('Staging Table'!$A16, LS_current!$B$4:$B$138, 0), MATCH(CS$4&amp;CS$5, LS_current!$D$2:$AY$2&amp;LS_current!$D$3:$AY$3, 0)),SUM(VLOOKUP($A16, LS_current!$B$4:$AY$138, LS_current!X$148, FALSE), VLOOKUP($A16, LS_current!$B$4:$AY$138,LS_current!AV$148, FALSE))/2)</f>
        <v>1685.1450115349508</v>
      </c>
      <c r="CT16" s="180">
        <f t="array" ref="CT16">IF($BT16=0, INDEX(LS_current!$D$4:$AY$138, MATCH('Staging Table'!$A16, LS_current!$B$4:$B$138, 0), MATCH(CT$4&amp;CT$5, LS_current!$D$2:$AY$2&amp;LS_current!$D$3:$AY$3, 0)),SUM(VLOOKUP($A16, LS_current!$B$4:$AY$138, LS_current!Y$148, FALSE), VLOOKUP($A16, LS_current!$B$4:$AY$138,LS_current!AW$148, FALSE))/2)</f>
        <v>120.43741736860557</v>
      </c>
      <c r="CU16" s="180">
        <f t="array" ref="CU16">IF($BT16=0, INDEX(LS_current!$D$4:$AY$138, MATCH('Staging Table'!$A16, LS_current!$B$4:$B$138, 0), MATCH(CU$4&amp;CU$5, LS_current!$D$2:$AY$2&amp;LS_current!$D$3:$AY$3, 0)),SUM(VLOOKUP($A16, LS_current!$B$4:$AY$138, LS_current!Z$148, FALSE), VLOOKUP($A16, LS_current!$B$4:$AY$138,LS_current!AX$148, FALSE))/2)</f>
        <v>355.8202277882001</v>
      </c>
      <c r="CV16" s="180">
        <f t="array" ref="CV16">IF($BT16=0, INDEX(LS_current!$D$4:$AY$138, MATCH('Staging Table'!$A16, LS_current!$B$4:$B$138, 0), MATCH(CV$4&amp;CV$5, LS_current!$D$2:$AY$2&amp;LS_current!$D$3:$AY$3, 0)),SUM(VLOOKUP($A16, LS_current!$B$4:$AY$138, LS_current!AA$148, FALSE), VLOOKUP($A16, LS_current!$B$4:$AY$138,LS_current!AY$148, FALSE))/2)</f>
        <v>-130.11392269279986</v>
      </c>
      <c r="CW16" s="182">
        <f t="array" ref="CW16">INDEX(Demand_current!$D$4:$AY$138, MATCH($A16, Demand_current!$B$4:$B$138, 0), MATCH(CW$4&amp;CW$5,Demand_current!$D$2:$AY$2&amp;Demand_current!$D$3:$AY$3, 0))/1000</f>
        <v>0</v>
      </c>
      <c r="CX16" s="182">
        <f t="array" ref="CX16">INDEX(Demand_current!$D$4:$AY$138, MATCH($A16, Demand_current!$B$4:$B$138, 0), MATCH(CX$4&amp;CX$5,Demand_current!$D$2:$AY$2&amp;Demand_current!$D$3:$AY$3, 0))/1000</f>
        <v>0</v>
      </c>
      <c r="CY16" s="182">
        <f t="array" ref="CY16">INDEX(Demand_current!$D$4:$AY$138, MATCH($A16, Demand_current!$B$4:$B$138, 0), MATCH(CY$4&amp;CY$5,Demand_current!$D$2:$AY$2&amp;Demand_current!$D$3:$AY$3, 0))/1000</f>
        <v>0.50445499999999655</v>
      </c>
      <c r="CZ16" s="182">
        <f t="array" ref="CZ16">INDEX(Demand_current!$D$4:$AY$138, MATCH($A16, Demand_current!$B$4:$B$138, 0), MATCH(CZ$4&amp;CZ$5,Demand_current!$D$2:$AY$2&amp;Demand_current!$D$3:$AY$3, 0))/1000</f>
        <v>0.31167067307692609</v>
      </c>
      <c r="DA16" s="182">
        <f t="array" ref="DA16">INDEX(Demand_current!$D$4:$AY$138, MATCH($A16, Demand_current!$B$4:$B$138, 0), MATCH(DA$4&amp;DA$5,Demand_current!$D$2:$AY$2&amp;Demand_current!$D$3:$AY$3, 0))/1000</f>
        <v>1.6921500000000016</v>
      </c>
      <c r="DB16" s="182">
        <f t="array" ref="DB16">INDEX(Demand_current!$D$4:$AY$138, MATCH($A16, Demand_current!$B$4:$B$138, 0), MATCH(DB$4&amp;DB$5,Demand_current!$D$2:$AY$2&amp;Demand_current!$D$3:$AY$3, 0))/1000</f>
        <v>2.1774519230769256</v>
      </c>
      <c r="DC16" s="182">
        <f t="array" ref="DC16">INDEX(Demand_current!$D$4:$AY$138, MATCH($A16, Demand_current!$B$4:$B$138, 0), MATCH(DC$4&amp;DC$5,Demand_current!$D$2:$AY$2&amp;Demand_current!$D$3:$AY$3, 0))/1000</f>
        <v>1.4962427884615401</v>
      </c>
      <c r="DD16" s="182">
        <f t="array" ref="DD16">INDEX(Demand_current!$D$4:$AY$138, MATCH($A16, Demand_current!$B$4:$B$138, 0), MATCH(DD$4&amp;DD$5,Demand_current!$D$2:$AY$2&amp;Demand_current!$D$3:$AY$3, 0))/1000</f>
        <v>0</v>
      </c>
      <c r="DE16" s="182">
        <f t="array" ref="DE16">INDEX(Demand_current!$D$4:$AY$138, MATCH($A16, Demand_current!$B$4:$B$138, 0), MATCH(DE$4&amp;DE$5,Demand_current!$D$2:$AY$2&amp;Demand_current!$D$3:$AY$3, 0))/1000</f>
        <v>4.3948175000000038</v>
      </c>
      <c r="DF16" s="182">
        <f t="array" ref="DF16">INDEX(Demand_current!$D$4:$AY$138, MATCH($A16, Demand_current!$B$4:$B$138, 0), MATCH(DF$4&amp;DF$5,Demand_current!$D$2:$AY$2&amp;Demand_current!$D$3:$AY$3, 0))/1000</f>
        <v>1.1447932692307639</v>
      </c>
      <c r="DG16" s="182">
        <f t="array" ref="DG16">INDEX(Demand_current!$D$4:$AY$138, MATCH($A16, Demand_current!$B$4:$B$138, 0), MATCH(DG$4&amp;DG$5,Demand_current!$D$2:$AY$2&amp;Demand_current!$D$3:$AY$3, 0))/1000</f>
        <v>2.4332523148148137</v>
      </c>
      <c r="DH16" s="182">
        <f t="array" ref="DH16">INDEX(Demand_current!$D$4:$AY$138, MATCH($A16, Demand_current!$B$4:$B$138, 0), MATCH(DH$4&amp;DH$5,Demand_current!$D$2:$AY$2&amp;Demand_current!$D$3:$AY$3, 0))/1000</f>
        <v>0</v>
      </c>
      <c r="DI16" s="180">
        <f>$BS16*(VLOOKUP(DI$4, Rates_current!$G$6:$Q$29, 10, FALSE)+VLOOKUP(DI$4, Rates_current!$G$6:$Q$29, 11, FALSE))</f>
        <v>11942.16780767805</v>
      </c>
      <c r="DJ16" s="180">
        <f>$BS16*(VLOOKUP(DJ$4, Rates_current!$G$6:$Q$29, 10, FALSE)+VLOOKUP(DJ$4, Rates_current!$G$6:$Q$29, 11, FALSE))</f>
        <v>15230.2019201413</v>
      </c>
      <c r="DK16" s="180">
        <f>$BS16*(VLOOKUP(DK$4, Rates_current!$G$6:$Q$29, 10, FALSE)+VLOOKUP(DK$4, Rates_current!$G$6:$Q$29, 11, FALSE))</f>
        <v>16436.4013366545</v>
      </c>
      <c r="DL16" s="180">
        <f>$BS16*(VLOOKUP(DL$4, Rates_current!$G$6:$Q$29, 10, FALSE)+VLOOKUP(DL$4, Rates_current!$G$6:$Q$29, 11, FALSE))</f>
        <v>17079.9618563408</v>
      </c>
      <c r="DM16" s="180">
        <f>$BS16*(VLOOKUP(DM$4, Rates_current!$G$6:$Q$29, 10, FALSE)+VLOOKUP(DM$4, Rates_current!$G$6:$Q$29, 11, FALSE))</f>
        <v>14691.043810026598</v>
      </c>
      <c r="DN16" s="180">
        <f>$BS16*(VLOOKUP(DN$4, Rates_current!$G$6:$Q$29, 10, FALSE)+VLOOKUP(DN$4, Rates_current!$G$6:$Q$29, 11, FALSE))</f>
        <v>16039.711160153698</v>
      </c>
      <c r="DO16" s="180">
        <f>$BS16*(VLOOKUP(DO$4, Rates_current!$G$6:$Q$29, 10, FALSE)+VLOOKUP(DO$4, Rates_current!$G$6:$Q$29, 11, FALSE))</f>
        <v>12660.648941944974</v>
      </c>
      <c r="DP16" s="180">
        <f>$BS16*(VLOOKUP(DP$4, Rates_current!$G$6:$Q$29, 10, FALSE)+VLOOKUP(DP$4, Rates_current!$G$6:$Q$29, 11, FALSE))</f>
        <v>15707.23161859955</v>
      </c>
      <c r="DQ16" s="180">
        <f>$BS16*(VLOOKUP(DQ$4, Rates_current!$G$6:$Q$29, 10, FALSE)+VLOOKUP(DQ$4, Rates_current!$G$6:$Q$29, 11, FALSE))</f>
        <v>16048.039332901348</v>
      </c>
      <c r="DR16" s="180">
        <f>$BS16*(VLOOKUP(DR$4, Rates_current!$G$6:$Q$29, 10, FALSE)+VLOOKUP(DR$4, Rates_current!$G$6:$Q$29, 11, FALSE))</f>
        <v>13932.010156019049</v>
      </c>
      <c r="DS16" s="180">
        <f>$BS16*(VLOOKUP(DS$4, Rates_current!$G$6:$Q$29, 10, FALSE)+VLOOKUP(DS$4, Rates_current!$G$6:$Q$29, 11, FALSE))</f>
        <v>13468.550571096446</v>
      </c>
      <c r="DT16" s="180">
        <f>$BS16*(VLOOKUP(DT$4, Rates_current!$G$6:$Q$29, 10, FALSE)+VLOOKUP(DT$4, Rates_current!$G$6:$Q$29, 11, FALSE))</f>
        <v>12393.674694904601</v>
      </c>
      <c r="DU16" s="402">
        <f>IF(D16=0,IF(C16=0,MAX(0,DW16 - (VLOOKUP($A16,TOCA_current!$A$2:$AI$137,MATCH("RHWM 2024",TOCA_current!$A$2:$AI$2,0),FALSE)*$BS$2)), 0),0)</f>
        <v>0</v>
      </c>
      <c r="DV16" s="403">
        <f>MIN(VLOOKUP($A16,TOCA_current!$A$2:$AI$137,MATCH("TRL - NLSL - Existing Resource "&amp;$BS$1,TOCA_current!$A$2:$AI$2,0),FALSE)*$BS$2, VLOOKUP($A16,TOCA_current!$A$2:$AI$137,MATCH("RHWM 2024",TOCA_current!$A$2:$AI$2,0),FALSE)*$BS$2)</f>
        <v>175627.296</v>
      </c>
      <c r="DW16" s="403">
        <f>SUM(BY16:CV16)+(BS16*RT1SC!$C$4*$BS$2)</f>
        <v>175626.98080505108</v>
      </c>
      <c r="DX16" s="403">
        <f>VLOOKUP($A16,TOCA_current!$A$2:$AI$137,MATCH("Above RHWM Not Served with LS "&amp;$BS$1,TOCA_current!$A$2:$AI$2,0),FALSE)*$BS$2</f>
        <v>0</v>
      </c>
      <c r="DY16" s="403">
        <f t="shared" si="13"/>
        <v>-0.31519494892563671</v>
      </c>
      <c r="DZ16" s="403">
        <f>(VLOOKUP($A16,TOCA_current!$A$2:$AI$137,MATCH("RHWM 2024",TOCA_current!$A$2:$AI$2,0),FALSE)*$BS$2) - $DV16</f>
        <v>9442.7999999999884</v>
      </c>
      <c r="EA16" s="403">
        <f t="shared" si="14"/>
        <v>0</v>
      </c>
      <c r="EB16" s="403">
        <f t="shared" si="15"/>
        <v>0.31519494892563671</v>
      </c>
      <c r="EC16" s="403">
        <f t="shared" si="16"/>
        <v>0</v>
      </c>
      <c r="ED16" s="403">
        <f t="shared" si="17"/>
        <v>0.31519494892563671</v>
      </c>
    </row>
    <row r="17" spans="1:134">
      <c r="A17" s="123">
        <v>10059</v>
      </c>
      <c r="B17" s="124" t="s">
        <v>18</v>
      </c>
      <c r="C17" s="232">
        <f>VLOOKUP(A17, TOCA_current!$A$3:$D$137, 4, FALSE)</f>
        <v>0</v>
      </c>
      <c r="D17" s="191">
        <v>0</v>
      </c>
      <c r="E17" s="107">
        <f>VLOOKUP($A17,TOCA_previous!$A$2:$AI$137,MATCH(E$4,TOCA_previous!$A$2:$AI$2,0),FALSE)</f>
        <v>1.0816999999999999E-3</v>
      </c>
      <c r="F17" s="108">
        <f>VLOOKUP($A17,TOCA_previous!$A$2:$AI$137,MATCH(F$4,TOCA_previous!$A$2:$AI$2,0),FALSE)</f>
        <v>1.0816999999999999E-3</v>
      </c>
      <c r="G17" s="108">
        <f t="shared" si="5"/>
        <v>0</v>
      </c>
      <c r="H17" s="108">
        <f>VLOOKUP($A17,TOCA_previous!$A$2:$AI$137,MATCH(H$4,TOCA_previous!$A$2:$AI$2,0),FALSE)</f>
        <v>0</v>
      </c>
      <c r="I17" s="108">
        <f t="shared" si="6"/>
        <v>0</v>
      </c>
      <c r="J17" s="108">
        <f t="shared" si="7"/>
        <v>0</v>
      </c>
      <c r="K17" s="179">
        <f>VLOOKUP(A17, IRD!$A$5:$C$139, 3, FALSE)</f>
        <v>0</v>
      </c>
      <c r="L17" s="180">
        <f t="array" ref="L17">IF($G17=0, INDEX(LS_previous!$D$4:$AY$138, MATCH('Staging Table'!$A17, LS_previous!$B$4:$B$138, 0), MATCH(L$4&amp;L$5, LS_previous!$D$2:$AY$2&amp;LS_previous!$D$3:$AY$3, 0)),SUM(VLOOKUP($A17, LS_previous!$B$4:$AY$138, LS_previous!D$149, FALSE), VLOOKUP('Staging Table'!$A17, LS_previous!$B$4:$AY$138,LS_previous!AB$149, FALSE))/2)</f>
        <v>94.046170851950592</v>
      </c>
      <c r="M17" s="180">
        <f t="array" ref="M17">IF($G17=0, INDEX(LS_previous!$D$4:$AY$138, MATCH('Staging Table'!$A17, LS_previous!$B$4:$B$138, 0), MATCH(M$4&amp;M$5, LS_previous!$D$2:$AY$2&amp;LS_previous!$D$3:$AY$3, 0)),SUM(VLOOKUP($A17, LS_previous!$B$4:$AY$138, LS_previous!E$149, FALSE), VLOOKUP('Staging Table'!$A17, LS_previous!$B$4:$AY$138,LS_previous!AC$149, FALSE))/2)</f>
        <v>183.52378320871321</v>
      </c>
      <c r="N17" s="180">
        <f t="array" ref="N17">IF($G17=0, INDEX(LS_previous!$D$4:$AY$138, MATCH('Staging Table'!$A17, LS_previous!$B$4:$B$138, 0), MATCH(N$4&amp;N$5, LS_previous!$D$2:$AY$2&amp;LS_previous!$D$3:$AY$3, 0)),SUM(VLOOKUP($A17, LS_previous!$B$4:$AY$138, LS_previous!F$149, FALSE), VLOOKUP('Staging Table'!$A17, LS_previous!$B$4:$AY$138,LS_previous!AD$149, FALSE))/2)</f>
        <v>-283.09529098988423</v>
      </c>
      <c r="O17" s="180">
        <f t="array" ref="O17">IF($G17=0, INDEX(LS_previous!$D$4:$AY$138, MATCH('Staging Table'!$A17, LS_previous!$B$4:$B$138, 0), MATCH(O$4&amp;O$5, LS_previous!$D$2:$AY$2&amp;LS_previous!$D$3:$AY$3, 0)),SUM(VLOOKUP($A17, LS_previous!$B$4:$AY$138, LS_previous!G$149, FALSE), VLOOKUP('Staging Table'!$A17, LS_previous!$B$4:$AY$138,LS_previous!AE$149, FALSE))/2)</f>
        <v>-129.33022328769584</v>
      </c>
      <c r="P17" s="180">
        <f t="array" ref="P17">IF($G17=0, INDEX(LS_previous!$D$4:$AY$138, MATCH('Staging Table'!$A17, LS_previous!$B$4:$B$138, 0), MATCH(P$4&amp;P$5, LS_previous!$D$2:$AY$2&amp;LS_previous!$D$3:$AY$3, 0)),SUM(VLOOKUP($A17, LS_previous!$B$4:$AY$138, LS_previous!H$149, FALSE), VLOOKUP('Staging Table'!$A17, LS_previous!$B$4:$AY$138,LS_previous!AF$149, FALSE))/2)</f>
        <v>727.15186181656691</v>
      </c>
      <c r="Q17" s="180">
        <f t="array" ref="Q17">IF($G17=0, INDEX(LS_previous!$D$4:$AY$138, MATCH('Staging Table'!$A17, LS_previous!$B$4:$B$138, 0), MATCH(Q$4&amp;Q$5, LS_previous!$D$2:$AY$2&amp;LS_previous!$D$3:$AY$3, 0)),SUM(VLOOKUP($A17, LS_previous!$B$4:$AY$138, LS_previous!I$149, FALSE), VLOOKUP('Staging Table'!$A17, LS_previous!$B$4:$AY$138,LS_previous!AG$149, FALSE))/2)</f>
        <v>352.4524256403829</v>
      </c>
      <c r="R17" s="180">
        <f t="array" ref="R17">IF($G17=0, INDEX(LS_previous!$D$4:$AY$138, MATCH('Staging Table'!$A17, LS_previous!$B$4:$B$138, 0), MATCH(R$4&amp;R$5, LS_previous!$D$2:$AY$2&amp;LS_previous!$D$3:$AY$3, 0)),SUM(VLOOKUP($A17, LS_previous!$B$4:$AY$138, LS_previous!J$149, FALSE), VLOOKUP('Staging Table'!$A17, LS_previous!$B$4:$AY$138,LS_previous!AH$149, FALSE))/2)</f>
        <v>1672.5902112484564</v>
      </c>
      <c r="S17" s="180">
        <f t="array" ref="S17">IF($G17=0, INDEX(LS_previous!$D$4:$AY$138, MATCH('Staging Table'!$A17, LS_previous!$B$4:$B$138, 0), MATCH(S$4&amp;S$5, LS_previous!$D$2:$AY$2&amp;LS_previous!$D$3:$AY$3, 0)),SUM(VLOOKUP($A17, LS_previous!$B$4:$AY$138, LS_previous!K$149, FALSE), VLOOKUP('Staging Table'!$A17, LS_previous!$B$4:$AY$138,LS_previous!AI$149, FALSE))/2)</f>
        <v>766.18250078512256</v>
      </c>
      <c r="T17" s="180">
        <f t="array" ref="T17">IF($G17=0, INDEX(LS_previous!$D$4:$AY$138, MATCH('Staging Table'!$A17, LS_previous!$B$4:$B$138, 0), MATCH(T$4&amp;T$5, LS_previous!$D$2:$AY$2&amp;LS_previous!$D$3:$AY$3, 0)),SUM(VLOOKUP($A17, LS_previous!$B$4:$AY$138, LS_previous!L$149, FALSE), VLOOKUP('Staging Table'!$A17, LS_previous!$B$4:$AY$138,LS_previous!AJ$149, FALSE))/2)</f>
        <v>1700.2392953971344</v>
      </c>
      <c r="U17" s="180">
        <f t="array" ref="U17">IF($G17=0, INDEX(LS_previous!$D$4:$AY$138, MATCH('Staging Table'!$A17, LS_previous!$B$4:$B$138, 0), MATCH(U$4&amp;U$5, LS_previous!$D$2:$AY$2&amp;LS_previous!$D$3:$AY$3, 0)),SUM(VLOOKUP($A17, LS_previous!$B$4:$AY$138, LS_previous!M$149, FALSE), VLOOKUP('Staging Table'!$A17, LS_previous!$B$4:$AY$138,LS_previous!AK$149, FALSE))/2)</f>
        <v>692.05949029128169</v>
      </c>
      <c r="V17" s="180">
        <f t="array" ref="V17">IF($G17=0, INDEX(LS_previous!$D$4:$AY$138, MATCH('Staging Table'!$A17, LS_previous!$B$4:$B$138, 0), MATCH(V$4&amp;V$5, LS_previous!$D$2:$AY$2&amp;LS_previous!$D$3:$AY$3, 0)),SUM(VLOOKUP($A17, LS_previous!$B$4:$AY$138, LS_previous!N$149, FALSE), VLOOKUP('Staging Table'!$A17, LS_previous!$B$4:$AY$138,LS_previous!AL$149, FALSE))/2)</f>
        <v>585.56448185635099</v>
      </c>
      <c r="W17" s="180">
        <f t="array" ref="W17">IF($G17=0, INDEX(LS_previous!$D$4:$AY$138, MATCH('Staging Table'!$A17, LS_previous!$B$4:$B$138, 0), MATCH(W$4&amp;W$5, LS_previous!$D$2:$AY$2&amp;LS_previous!$D$3:$AY$3, 0)),SUM(VLOOKUP($A17, LS_previous!$B$4:$AY$138, LS_previous!O$149, FALSE), VLOOKUP('Staging Table'!$A17, LS_previous!$B$4:$AY$138,LS_previous!AM$149, FALSE))/2)</f>
        <v>435.86944219077327</v>
      </c>
      <c r="X17" s="180">
        <f t="array" ref="X17">IF($G17=0, INDEX(LS_previous!$D$4:$AY$138, MATCH('Staging Table'!$A17, LS_previous!$B$4:$B$138, 0), MATCH(X$4&amp;X$5, LS_previous!$D$2:$AY$2&amp;LS_previous!$D$3:$AY$3, 0)),SUM(VLOOKUP($A17, LS_previous!$B$4:$AY$138, LS_previous!P$149, FALSE), VLOOKUP('Staging Table'!$A17, LS_previous!$B$4:$AY$138,LS_previous!AN$149, FALSE))/2)</f>
        <v>1082.8838437123109</v>
      </c>
      <c r="Y17" s="180">
        <f t="array" ref="Y17">IF($G17=0, INDEX(LS_previous!$D$4:$AY$138, MATCH('Staging Table'!$A17, LS_previous!$B$4:$B$138, 0), MATCH(Y$4&amp;Y$5, LS_previous!$D$2:$AY$2&amp;LS_previous!$D$3:$AY$3, 0)),SUM(VLOOKUP($A17, LS_previous!$B$4:$AY$138, LS_previous!Q$149, FALSE), VLOOKUP('Staging Table'!$A17, LS_previous!$B$4:$AY$138,LS_previous!AO$149, FALSE))/2)</f>
        <v>581.78335337006274</v>
      </c>
      <c r="Z17" s="180">
        <f t="array" ref="Z17">IF($G17=0, INDEX(LS_previous!$D$4:$AY$138, MATCH('Staging Table'!$A17, LS_previous!$B$4:$B$138, 0), MATCH(Z$4&amp;Z$5, LS_previous!$D$2:$AY$2&amp;LS_previous!$D$3:$AY$3, 0)),SUM(VLOOKUP($A17, LS_previous!$B$4:$AY$138, LS_previous!R$149, FALSE), VLOOKUP('Staging Table'!$A17, LS_previous!$B$4:$AY$138,LS_previous!AP$149, FALSE))/2)</f>
        <v>-816.78015450587964</v>
      </c>
      <c r="AA17" s="180">
        <f t="array" ref="AA17">IF($G17=0, INDEX(LS_previous!$D$4:$AY$138, MATCH('Staging Table'!$A17, LS_previous!$B$4:$B$138, 0), MATCH(AA$4&amp;AA$5, LS_previous!$D$2:$AY$2&amp;LS_previous!$D$3:$AY$3, 0)),SUM(VLOOKUP($A17, LS_previous!$B$4:$AY$138, LS_previous!S$149, FALSE), VLOOKUP('Staging Table'!$A17, LS_previous!$B$4:$AY$138,LS_previous!AQ$149, FALSE))/2)</f>
        <v>29.028206274098693</v>
      </c>
      <c r="AB17" s="180">
        <f t="array" ref="AB17">IF($G17=0, INDEX(LS_previous!$D$4:$AY$138, MATCH('Staging Table'!$A17, LS_previous!$B$4:$B$138, 0), MATCH(AB$4&amp;AB$5, LS_previous!$D$2:$AY$2&amp;LS_previous!$D$3:$AY$3, 0)),SUM(VLOOKUP($A17, LS_previous!$B$4:$AY$138, LS_previous!T$149, FALSE), VLOOKUP('Staging Table'!$A17, LS_previous!$B$4:$AY$138,LS_previous!AR$149, FALSE))/2)</f>
        <v>-1563.7795319066454</v>
      </c>
      <c r="AC17" s="180">
        <f t="array" ref="AC17">IF($G17=0, INDEX(LS_previous!$D$4:$AY$138, MATCH('Staging Table'!$A17, LS_previous!$B$4:$B$138, 0), MATCH(AC$4&amp;AC$5, LS_previous!$D$2:$AY$2&amp;LS_previous!$D$3:$AY$3, 0)),SUM(VLOOKUP($A17, LS_previous!$B$4:$AY$138, LS_previous!U$149, FALSE), VLOOKUP('Staging Table'!$A17, LS_previous!$B$4:$AY$138,LS_previous!AS$149, FALSE))/2)</f>
        <v>-9.7059498018572867</v>
      </c>
      <c r="AD17" s="180">
        <f t="array" ref="AD17">IF($G17=0, INDEX(LS_previous!$D$4:$AY$138, MATCH('Staging Table'!$A17, LS_previous!$B$4:$B$138, 0), MATCH(AD$4&amp;AD$5, LS_previous!$D$2:$AY$2&amp;LS_previous!$D$3:$AY$3, 0)),SUM(VLOOKUP($A17, LS_previous!$B$4:$AY$138, LS_previous!V$149, FALSE), VLOOKUP('Staging Table'!$A17, LS_previous!$B$4:$AY$138,LS_previous!AT$149, FALSE))/2)</f>
        <v>-1042.44053171624</v>
      </c>
      <c r="AE17" s="180">
        <f t="array" ref="AE17">IF($G17=0, INDEX(LS_previous!$D$4:$AY$138, MATCH('Staging Table'!$A17, LS_previous!$B$4:$B$138, 0), MATCH(AE$4&amp;AE$5, LS_previous!$D$2:$AY$2&amp;LS_previous!$D$3:$AY$3, 0)),SUM(VLOOKUP($A17, LS_previous!$B$4:$AY$138, LS_previous!W$149, FALSE), VLOOKUP('Staging Table'!$A17, LS_previous!$B$4:$AY$138,LS_previous!AU$149, FALSE))/2)</f>
        <v>-231.04852917437529</v>
      </c>
      <c r="AF17" s="180">
        <f t="array" ref="AF17">IF($G17=0, INDEX(LS_previous!$D$4:$AY$138, MATCH('Staging Table'!$A17, LS_previous!$B$4:$B$138, 0), MATCH(AF$4&amp;AF$5, LS_previous!$D$2:$AY$2&amp;LS_previous!$D$3:$AY$3, 0)),SUM(VLOOKUP($A17, LS_previous!$B$4:$AY$138, LS_previous!X$149, FALSE), VLOOKUP('Staging Table'!$A17, LS_previous!$B$4:$AY$138,LS_previous!AV$149, FALSE))/2)</f>
        <v>-853.8468265513402</v>
      </c>
      <c r="AG17" s="180">
        <f t="array" ref="AG17">IF($G17=0, INDEX(LS_previous!$D$4:$AY$138, MATCH('Staging Table'!$A17, LS_previous!$B$4:$B$138, 0), MATCH(AG$4&amp;AG$5, LS_previous!$D$2:$AY$2&amp;LS_previous!$D$3:$AY$3, 0)),SUM(VLOOKUP($A17, LS_previous!$B$4:$AY$138, LS_previous!Y$149, FALSE), VLOOKUP('Staging Table'!$A17, LS_previous!$B$4:$AY$138,LS_previous!AW$149, FALSE))/2)</f>
        <v>-249.3635621390049</v>
      </c>
      <c r="AH17" s="180">
        <f t="array" ref="AH17">IF($G17=0, INDEX(LS_previous!$D$4:$AY$138, MATCH('Staging Table'!$A17, LS_previous!$B$4:$B$138, 0), MATCH(AH$4&amp;AH$5, LS_previous!$D$2:$AY$2&amp;LS_previous!$D$3:$AY$3, 0)),SUM(VLOOKUP($A17, LS_previous!$B$4:$AY$138, LS_previous!Z$149, FALSE), VLOOKUP('Staging Table'!$A17, LS_previous!$B$4:$AY$138,LS_previous!AX$149, FALSE))/2)</f>
        <v>-660.58125777236683</v>
      </c>
      <c r="AI17" s="180">
        <f t="array" ref="AI17">IF($G17=0, INDEX(LS_previous!$D$4:$AY$138, MATCH('Staging Table'!$A17, LS_previous!$B$4:$B$138, 0), MATCH(AI$4&amp;AI$5, LS_previous!$D$2:$AY$2&amp;LS_previous!$D$3:$AY$3, 0)),SUM(VLOOKUP($A17, LS_previous!$B$4:$AY$138, LS_previous!AA$149, FALSE), VLOOKUP('Staging Table'!$A17, LS_previous!$B$4:$AY$138,LS_previous!AY$149, FALSE))/2)</f>
        <v>-98.442028960315611</v>
      </c>
      <c r="AJ17" s="298">
        <f t="array" ref="AJ17">INDEX(Demand_previous!$D$4:$AY$138, MATCH('Staging Table'!$A17, Demand_previous!$B$4:$B$138, 0), MATCH(AJ$4&amp;AJ$5,Demand_previous!$D$2:$AY$2&amp;Demand_previous!$D$3:$AY$3, 0))/1000</f>
        <v>0</v>
      </c>
      <c r="AK17" s="298">
        <f t="array" ref="AK17">INDEX(Demand_previous!$D$4:$AY$138, MATCH('Staging Table'!$A17, Demand_previous!$B$4:$B$138, 0), MATCH(AK$4&amp;AK$5,Demand_previous!$D$2:$AY$2&amp;Demand_previous!$D$3:$AY$3, 0))/1000</f>
        <v>0.1042500000000004</v>
      </c>
      <c r="AL17" s="298">
        <f t="array" ref="AL17">INDEX(Demand_previous!$D$4:$AY$138, MATCH('Staging Table'!$A17, Demand_previous!$B$4:$B$138, 0), MATCH(AL$4&amp;AL$5,Demand_previous!$D$2:$AY$2&amp;Demand_previous!$D$3:$AY$3, 0))/1000</f>
        <v>1.9961947115384615</v>
      </c>
      <c r="AM17" s="298">
        <f t="array" ref="AM17">INDEX(Demand_previous!$D$4:$AY$138, MATCH('Staging Table'!$A17, Demand_previous!$B$4:$B$138, 0), MATCH(AM$4&amp;AM$5,Demand_previous!$D$2:$AY$2&amp;Demand_previous!$D$3:$AY$3, 0))/1000</f>
        <v>2.282989999999999</v>
      </c>
      <c r="AN17" s="298">
        <f t="array" ref="AN17">INDEX(Demand_previous!$D$4:$AY$138, MATCH('Staging Table'!$A17, Demand_previous!$B$4:$B$138, 0), MATCH(AN$4&amp;AN$5,Demand_previous!$D$2:$AY$2&amp;Demand_previous!$D$3:$AY$3, 0))/1000</f>
        <v>0.41483854166666578</v>
      </c>
      <c r="AO17" s="298">
        <f t="array" ref="AO17">INDEX(Demand_previous!$D$4:$AY$138, MATCH('Staging Table'!$A17, Demand_previous!$B$4:$B$138, 0), MATCH(AO$4&amp;AO$5,Demand_previous!$D$2:$AY$2&amp;Demand_previous!$D$3:$AY$3, 0))/1000</f>
        <v>2.412273148148147</v>
      </c>
      <c r="AP17" s="298">
        <f t="array" ref="AP17">INDEX(Demand_previous!$D$4:$AY$138, MATCH('Staging Table'!$A17, Demand_previous!$B$4:$B$138, 0), MATCH(AP$4&amp;AP$5,Demand_previous!$D$2:$AY$2&amp;Demand_previous!$D$3:$AY$3, 0))/1000</f>
        <v>1.1543437500000011</v>
      </c>
      <c r="AQ17" s="298">
        <f t="array" ref="AQ17">INDEX(Demand_previous!$D$4:$AY$138, MATCH('Staging Table'!$A17, Demand_previous!$B$4:$B$138, 0), MATCH(AQ$4&amp;AQ$5,Demand_previous!$D$2:$AY$2&amp;Demand_previous!$D$3:$AY$3, 0))/1000</f>
        <v>0</v>
      </c>
      <c r="AR17" s="298">
        <f t="array" ref="AR17">INDEX(Demand_previous!$D$4:$AY$138, MATCH('Staging Table'!$A17, Demand_previous!$B$4:$B$138, 0), MATCH(AR$4&amp;AR$5,Demand_previous!$D$2:$AY$2&amp;Demand_previous!$D$3:$AY$3, 0))/1000</f>
        <v>0.94550961538461575</v>
      </c>
      <c r="AS17" s="298">
        <f t="array" ref="AS17">INDEX(Demand_previous!$D$4:$AY$138, MATCH('Staging Table'!$A17, Demand_previous!$B$4:$B$138, 0), MATCH(AS$4&amp;AS$5,Demand_previous!$D$2:$AY$2&amp;Demand_previous!$D$3:$AY$3, 0))/1000</f>
        <v>0.17378750000000054</v>
      </c>
      <c r="AT17" s="298">
        <f t="array" ref="AT17">INDEX(Demand_previous!$D$4:$AY$138, MATCH('Staging Table'!$A17, Demand_previous!$B$4:$B$138, 0), MATCH(AT$4&amp;AT$5,Demand_previous!$D$2:$AY$2&amp;Demand_previous!$D$3:$AY$3, 0))/1000</f>
        <v>0.4878703703703704</v>
      </c>
      <c r="AU17" s="298">
        <f t="array" ref="AU17">INDEX(Demand_previous!$D$4:$AY$138, MATCH('Staging Table'!$A17, Demand_previous!$B$4:$B$138, 0), MATCH(AU$4&amp;AU$5,Demand_previous!$D$2:$AY$2&amp;Demand_previous!$D$3:$AY$3, 0))/1000</f>
        <v>0.54655499999999924</v>
      </c>
      <c r="AV17" s="180">
        <f>$F17*(VLOOKUP(AV$4, Rates_previous!$G$6:$Q$29, 10, FALSE)+VLOOKUP(AV$4, Rates_previous!$G$6:$Q$29, 11, FALSE))</f>
        <v>4925.9800459393364</v>
      </c>
      <c r="AW17" s="180">
        <f>$F17*(VLOOKUP(AW$4, Rates_previous!$G$6:$Q$29, 10, FALSE)+VLOOKUP(AW$4, Rates_previous!$G$6:$Q$29, 11, FALSE))</f>
        <v>6236.4695142775799</v>
      </c>
      <c r="AX17" s="180">
        <f>$F17*(VLOOKUP(AX$4, Rates_previous!$G$6:$Q$29, 10, FALSE)+VLOOKUP(AX$4, Rates_previous!$G$6:$Q$29, 11, FALSE))</f>
        <v>6104.2577125430507</v>
      </c>
      <c r="AY17" s="180">
        <f>$F17*(VLOOKUP(AY$4, Rates_previous!$G$6:$Q$29, 10, FALSE)+VLOOKUP(AY$4, Rates_previous!$G$6:$Q$29, 11, FALSE))</f>
        <v>5041.8572879664216</v>
      </c>
      <c r="AZ17" s="180">
        <f>$F17*(VLOOKUP(AZ$4, Rates_previous!$G$6:$Q$29, 10, FALSE)+VLOOKUP(AZ$4, Rates_previous!$G$6:$Q$29, 11, FALSE))</f>
        <v>4369.8882143115843</v>
      </c>
      <c r="BA17" s="180">
        <f>$F17*(VLOOKUP(BA$4, Rates_previous!$G$6:$Q$29, 10, FALSE)+VLOOKUP(BA$4, Rates_previous!$G$6:$Q$29, 11, FALSE))</f>
        <v>5216.7640759528758</v>
      </c>
      <c r="BB17" s="180">
        <f>$F17*(VLOOKUP(BB$4, Rates_previous!$G$6:$Q$29, 10, FALSE)+VLOOKUP(BB$4, Rates_previous!$G$6:$Q$29, 11, FALSE))</f>
        <v>4050.1228029176264</v>
      </c>
      <c r="BC17" s="180">
        <f>$F17*(VLOOKUP(BC$4, Rates_previous!$G$6:$Q$29, 10, FALSE)+VLOOKUP(BC$4, Rates_previous!$G$6:$Q$29, 11, FALSE))</f>
        <v>5611.4749482317811</v>
      </c>
      <c r="BD17" s="180">
        <f>$F17*(VLOOKUP(BD$4, Rates_previous!$G$6:$Q$29, 10, FALSE)+VLOOKUP(BD$4, Rates_previous!$G$6:$Q$29, 11, FALSE))</f>
        <v>5995.9784817085019</v>
      </c>
      <c r="BE17" s="180">
        <f>$F17*(VLOOKUP(BE$4, Rates_previous!$G$6:$Q$29, 10, FALSE)+VLOOKUP(BE$4, Rates_previous!$G$6:$Q$29, 11, FALSE))</f>
        <v>5692.9100608906156</v>
      </c>
      <c r="BF17" s="180">
        <f>$F17*(VLOOKUP(BF$4, Rates_previous!$G$6:$Q$29, 10, FALSE)+VLOOKUP(BF$4, Rates_previous!$G$6:$Q$29, 11, FALSE))</f>
        <v>5501.7583886903449</v>
      </c>
      <c r="BG17" s="180">
        <f>$F17*(VLOOKUP(BG$4, Rates_previous!$G$6:$Q$29, 10, FALSE)+VLOOKUP(BG$4, Rates_previous!$G$6:$Q$29, 11, FALSE))</f>
        <v>5084.1982867326824</v>
      </c>
      <c r="BH17" s="298">
        <f>IF($D17=0,IF(C17=0, MAX(BJ17 - (VLOOKUP($A17,TOCA_previous!$A$2:$AI$137,MATCH("RHWM 2022",TOCA_previous!$A$2:$AI$2,0),FALSE)*$F$2*TOCA_previous!C14),0),0), 0)</f>
        <v>2962.5042652656048</v>
      </c>
      <c r="BI17" s="192">
        <f>MIN(VLOOKUP($A17,TOCA_previous!$A$2:$AI$137,MATCH("TRL - NLSL - Existing Resource "&amp;$F$1,TOCA_previous!$A$2:$AI$2,0),FALSE)*$F$2,(VLOOKUP($A17,TOCA_previous!$A$2:$AI$137,MATCH("RHWM 2022",TOCA_previous!$A$2:$AI$2,0),FALSE)*$F$2))</f>
        <v>63834.12</v>
      </c>
      <c r="BJ17" s="402">
        <f>SUM(L17:AI17)+(F17*RT1SC!$C$3*$F$2)</f>
        <v>66796.624265265607</v>
      </c>
      <c r="BK17" s="401">
        <f>VLOOKUP($A17,TOCA_previous!$A$2:$AI$137,MATCH("Above RHWM Not Served with LS "&amp;$F$1,TOCA_previous!$A$2:$AI$2,0),FALSE)*$F$2</f>
        <v>0</v>
      </c>
      <c r="BL17" s="402">
        <f t="shared" si="8"/>
        <v>2962.5042652656048</v>
      </c>
      <c r="BM17" s="401">
        <f>(VLOOKUP($A17,TOCA_previous!$A$2:$AI$137,MATCH("RHWM 2022",TOCA_previous!$A$2:$AI$2,0),FALSE)*$F$2) - $BI17</f>
        <v>0</v>
      </c>
      <c r="BN17" s="402">
        <f t="shared" si="9"/>
        <v>0</v>
      </c>
      <c r="BO17" s="401">
        <f t="shared" si="10"/>
        <v>0</v>
      </c>
      <c r="BP17" s="402">
        <f t="shared" si="11"/>
        <v>0</v>
      </c>
      <c r="BQ17" s="401">
        <f t="shared" si="2"/>
        <v>0</v>
      </c>
      <c r="BR17" s="108">
        <f>VLOOKUP($A17,TOCA_current!$A$2:$AI$137,MATCH(BR$4,TOCA_current!$A$2:$AI$2,0),FALSE)</f>
        <v>1.0765E-3</v>
      </c>
      <c r="BS17" s="108">
        <f>VLOOKUP($A17,TOCA_current!$A$2:$AI$137,MATCH(BS$4,TOCA_current!$A$2:$AI$2,0),FALSE)</f>
        <v>1.0765E-3</v>
      </c>
      <c r="BT17" s="189">
        <f t="shared" si="12"/>
        <v>0</v>
      </c>
      <c r="BU17" s="108">
        <f>VLOOKUP($A17,TOCA_current!A13:BG148,MATCH(BU$4,TOCA_current!$A$2:$BG$2,0),FALSE)</f>
        <v>0</v>
      </c>
      <c r="BV17" s="108">
        <f t="shared" si="3"/>
        <v>0</v>
      </c>
      <c r="BW17" s="108">
        <f t="shared" si="4"/>
        <v>0</v>
      </c>
      <c r="BX17" s="179">
        <f>VLOOKUP($A17,IRD!$A$4:$G$139, 7, FALSE)</f>
        <v>0</v>
      </c>
      <c r="BY17" s="180">
        <f t="array" ref="BY17">IF($BT17=0, INDEX(LS_current!$D$4:$AY$138, MATCH('Staging Table'!$A17, LS_current!$B$4:$B$138, 0), MATCH(BY$4&amp;BY$5, LS_current!$D$2:$AY$2&amp;LS_current!$D$3:$AY$3, 0)),SUM(VLOOKUP($A17, LS_current!$B$4:$AY$138, LS_current!D$148, FALSE), VLOOKUP($A17, LS_current!$B$4:$AY$138,LS_current!AB$148, FALSE))/2)</f>
        <v>505.75899524599981</v>
      </c>
      <c r="BZ17" s="180">
        <f t="array" ref="BZ17">IF($BT17=0, INDEX(LS_current!$D$4:$AY$138, MATCH('Staging Table'!$A17, LS_current!$B$4:$B$138, 0), MATCH(BZ$4&amp;BZ$5, LS_current!$D$2:$AY$2&amp;LS_current!$D$3:$AY$3, 0)),SUM(VLOOKUP($A17, LS_current!$B$4:$AY$138, LS_current!E$148, FALSE), VLOOKUP($A17, LS_current!$B$4:$AY$138,LS_current!AC$148, FALSE))/2)</f>
        <v>156.24875549925014</v>
      </c>
      <c r="CA17" s="180">
        <f t="array" ref="CA17">IF($BT17=0, INDEX(LS_current!$D$4:$AY$138, MATCH('Staging Table'!$A17, LS_current!$B$4:$B$138, 0), MATCH(CA$4&amp;CA$5, LS_current!$D$2:$AY$2&amp;LS_current!$D$3:$AY$3, 0)),SUM(VLOOKUP($A17, LS_current!$B$4:$AY$138, LS_current!F$148, FALSE), VLOOKUP($A17, LS_current!$B$4:$AY$138,LS_current!AD$148, FALSE))/2)</f>
        <v>29.679391407999901</v>
      </c>
      <c r="CB17" s="180">
        <f t="array" ref="CB17">IF($BT17=0, INDEX(LS_current!$D$4:$AY$138, MATCH('Staging Table'!$A17, LS_current!$B$4:$B$138, 0), MATCH(CB$4&amp;CB$5, LS_current!$D$2:$AY$2&amp;LS_current!$D$3:$AY$3, 0)),SUM(VLOOKUP($A17, LS_current!$B$4:$AY$138, LS_current!G$148, FALSE), VLOOKUP($A17, LS_current!$B$4:$AY$138,LS_current!AE$148, FALSE))/2)</f>
        <v>2.4006537284999467</v>
      </c>
      <c r="CC17" s="180">
        <f t="array" ref="CC17">IF($BT17=0, INDEX(LS_current!$D$4:$AY$138, MATCH('Staging Table'!$A17, LS_current!$B$4:$B$138, 0), MATCH(CC$4&amp;CC$5, LS_current!$D$2:$AY$2&amp;LS_current!$D$3:$AY$3, 0)),SUM(VLOOKUP($A17, LS_current!$B$4:$AY$138, LS_current!H$148, FALSE), VLOOKUP($A17, LS_current!$B$4:$AY$138,LS_current!AF$148, FALSE))/2)</f>
        <v>424.61210196650018</v>
      </c>
      <c r="CD17" s="180">
        <f t="array" ref="CD17">IF($BT17=0, INDEX(LS_current!$D$4:$AY$138, MATCH('Staging Table'!$A17, LS_current!$B$4:$B$138, 0), MATCH(CD$4&amp;CD$5, LS_current!$D$2:$AY$2&amp;LS_current!$D$3:$AY$3, 0)),SUM(VLOOKUP($A17, LS_current!$B$4:$AY$138, LS_current!I$148, FALSE), VLOOKUP($A17, LS_current!$B$4:$AY$138,LS_current!AG$148, FALSE))/2)</f>
        <v>508.57478625600015</v>
      </c>
      <c r="CE17" s="180">
        <f t="array" ref="CE17">IF($BT17=0, INDEX(LS_current!$D$4:$AY$138, MATCH('Staging Table'!$A17, LS_current!$B$4:$B$138, 0), MATCH(CE$4&amp;CE$5, LS_current!$D$2:$AY$2&amp;LS_current!$D$3:$AY$3, 0)),SUM(VLOOKUP($A17, LS_current!$B$4:$AY$138, LS_current!J$148, FALSE), VLOOKUP($A17, LS_current!$B$4:$AY$138,LS_current!AH$148, FALSE))/2)</f>
        <v>519.33186880250014</v>
      </c>
      <c r="CF17" s="180">
        <f t="array" ref="CF17">IF($BT17=0, INDEX(LS_current!$D$4:$AY$138, MATCH('Staging Table'!$A17, LS_current!$B$4:$B$138, 0), MATCH(CF$4&amp;CF$5, LS_current!$D$2:$AY$2&amp;LS_current!$D$3:$AY$3, 0)),SUM(VLOOKUP($A17, LS_current!$B$4:$AY$138, LS_current!K$148, FALSE), VLOOKUP($A17, LS_current!$B$4:$AY$138,LS_current!AI$148, FALSE))/2)</f>
        <v>465.88041178149979</v>
      </c>
      <c r="CG17" s="180">
        <f t="array" ref="CG17">IF($BT17=0, INDEX(LS_current!$D$4:$AY$138, MATCH('Staging Table'!$A17, LS_current!$B$4:$B$138, 0), MATCH(CG$4&amp;CG$5, LS_current!$D$2:$AY$2&amp;LS_current!$D$3:$AY$3, 0)),SUM(VLOOKUP($A17, LS_current!$B$4:$AY$138, LS_current!L$148, FALSE), VLOOKUP($A17, LS_current!$B$4:$AY$138,LS_current!AJ$148, FALSE))/2)</f>
        <v>686.20843625650059</v>
      </c>
      <c r="CH17" s="180">
        <f t="array" ref="CH17">IF($BT17=0, INDEX(LS_current!$D$4:$AY$138, MATCH('Staging Table'!$A17, LS_current!$B$4:$B$138, 0), MATCH(CH$4&amp;CH$5, LS_current!$D$2:$AY$2&amp;LS_current!$D$3:$AY$3, 0)),SUM(VLOOKUP($A17, LS_current!$B$4:$AY$138, LS_current!M$148, FALSE), VLOOKUP($A17, LS_current!$B$4:$AY$138,LS_current!AK$148, FALSE))/2)</f>
        <v>489.05354113649992</v>
      </c>
      <c r="CI17" s="180">
        <f t="array" ref="CI17">IF($BT17=0, INDEX(LS_current!$D$4:$AY$138, MATCH('Staging Table'!$A17, LS_current!$B$4:$B$138, 0), MATCH(CI$4&amp;CI$5, LS_current!$D$2:$AY$2&amp;LS_current!$D$3:$AY$3, 0)),SUM(VLOOKUP($A17, LS_current!$B$4:$AY$138, LS_current!N$148, FALSE), VLOOKUP($A17, LS_current!$B$4:$AY$138,LS_current!AL$148, FALSE))/2)</f>
        <v>75.54807485550009</v>
      </c>
      <c r="CJ17" s="180">
        <f t="array" ref="CJ17">IF($BT17=0, INDEX(LS_current!$D$4:$AY$138, MATCH('Staging Table'!$A17, LS_current!$B$4:$B$138, 0), MATCH(CJ$4&amp;CJ$5, LS_current!$D$2:$AY$2&amp;LS_current!$D$3:$AY$3, 0)),SUM(VLOOKUP($A17, LS_current!$B$4:$AY$138, LS_current!O$148, FALSE), VLOOKUP($A17, LS_current!$B$4:$AY$138,LS_current!AM$148, FALSE))/2)</f>
        <v>62.833955983000124</v>
      </c>
      <c r="CK17" s="180">
        <f t="array" ref="CK17">IF($BT17=0, INDEX(LS_current!$D$4:$AY$138, MATCH('Staging Table'!$A17, LS_current!$B$4:$B$138, 0), MATCH(CK$4&amp;CK$5, LS_current!$D$2:$AY$2&amp;LS_current!$D$3:$AY$3, 0)),SUM(VLOOKUP($A17, LS_current!$B$4:$AY$138, LS_current!P$148, FALSE), VLOOKUP($A17, LS_current!$B$4:$AY$138,LS_current!AN$148, FALSE))/2)</f>
        <v>648.03302752125001</v>
      </c>
      <c r="CL17" s="180">
        <f t="array" ref="CL17">IF($BT17=0, INDEX(LS_current!$D$4:$AY$138, MATCH('Staging Table'!$A17, LS_current!$B$4:$B$138, 0), MATCH(CL$4&amp;CL$5, LS_current!$D$2:$AY$2&amp;LS_current!$D$3:$AY$3, 0)),SUM(VLOOKUP($A17, LS_current!$B$4:$AY$138, LS_current!Q$148, FALSE), VLOOKUP($A17, LS_current!$B$4:$AY$138,LS_current!AO$148, FALSE))/2)</f>
        <v>251.98020842612527</v>
      </c>
      <c r="CM17" s="180">
        <f t="array" ref="CM17">IF($BT17=0, INDEX(LS_current!$D$4:$AY$138, MATCH('Staging Table'!$A17, LS_current!$B$4:$B$138, 0), MATCH(CM$4&amp;CM$5, LS_current!$D$2:$AY$2&amp;LS_current!$D$3:$AY$3, 0)),SUM(VLOOKUP($A17, LS_current!$B$4:$AY$138, LS_current!R$148, FALSE), VLOOKUP($A17, LS_current!$B$4:$AY$138,LS_current!AP$148, FALSE))/2)</f>
        <v>-665.23183687200026</v>
      </c>
      <c r="CN17" s="180">
        <f t="array" ref="CN17">IF($BT17=0, INDEX(LS_current!$D$4:$AY$138, MATCH('Staging Table'!$A17, LS_current!$B$4:$B$138, 0), MATCH(CN$4&amp;CN$5, LS_current!$D$2:$AY$2&amp;LS_current!$D$3:$AY$3, 0)),SUM(VLOOKUP($A17, LS_current!$B$4:$AY$138, LS_current!S$148, FALSE), VLOOKUP($A17, LS_current!$B$4:$AY$138,LS_current!AQ$148, FALSE))/2)</f>
        <v>-484.42094912524999</v>
      </c>
      <c r="CO17" s="180">
        <f t="array" ref="CO17">IF($BT17=0, INDEX(LS_current!$D$4:$AY$138, MATCH('Staging Table'!$A17, LS_current!$B$4:$B$138, 0), MATCH(CO$4&amp;CO$5, LS_current!$D$2:$AY$2&amp;LS_current!$D$3:$AY$3, 0)),SUM(VLOOKUP($A17, LS_current!$B$4:$AY$138, LS_current!T$148, FALSE), VLOOKUP($A17, LS_current!$B$4:$AY$138,LS_current!AR$148, FALSE))/2)</f>
        <v>-1120.2405323389999</v>
      </c>
      <c r="CP17" s="180">
        <f t="array" ref="CP17">IF($BT17=0, INDEX(LS_current!$D$4:$AY$138, MATCH('Staging Table'!$A17, LS_current!$B$4:$B$138, 0), MATCH(CP$4&amp;CP$5, LS_current!$D$2:$AY$2&amp;LS_current!$D$3:$AY$3, 0)),SUM(VLOOKUP($A17, LS_current!$B$4:$AY$138, LS_current!U$148, FALSE), VLOOKUP($A17, LS_current!$B$4:$AY$138,LS_current!AS$148, FALSE))/2)</f>
        <v>-560.24959616925003</v>
      </c>
      <c r="CQ17" s="180">
        <f t="array" ref="CQ17">IF($BT17=0, INDEX(LS_current!$D$4:$AY$138, MATCH('Staging Table'!$A17, LS_current!$B$4:$B$138, 0), MATCH(CQ$4&amp;CQ$5, LS_current!$D$2:$AY$2&amp;LS_current!$D$3:$AY$3, 0)),SUM(VLOOKUP($A17, LS_current!$B$4:$AY$138, LS_current!V$148, FALSE), VLOOKUP($A17, LS_current!$B$4:$AY$138,LS_current!AT$148, FALSE))/2)</f>
        <v>-552.37469394600021</v>
      </c>
      <c r="CR17" s="180">
        <f t="array" ref="CR17">IF($BT17=0, INDEX(LS_current!$D$4:$AY$138, MATCH('Staging Table'!$A17, LS_current!$B$4:$B$138, 0), MATCH(CR$4&amp;CR$5, LS_current!$D$2:$AY$2&amp;LS_current!$D$3:$AY$3, 0)),SUM(VLOOKUP($A17, LS_current!$B$4:$AY$138, LS_current!W$148, FALSE), VLOOKUP($A17, LS_current!$B$4:$AY$138,LS_current!AU$148, FALSE))/2)</f>
        <v>-326.47290850374998</v>
      </c>
      <c r="CS17" s="180">
        <f t="array" ref="CS17">IF($BT17=0, INDEX(LS_current!$D$4:$AY$138, MATCH('Staging Table'!$A17, LS_current!$B$4:$B$138, 0), MATCH(CS$4&amp;CS$5, LS_current!$D$2:$AY$2&amp;LS_current!$D$3:$AY$3, 0)),SUM(VLOOKUP($A17, LS_current!$B$4:$AY$138, LS_current!X$148, FALSE), VLOOKUP($A17, LS_current!$B$4:$AY$138,LS_current!AV$148, FALSE))/2)</f>
        <v>-397.93336961975047</v>
      </c>
      <c r="CT17" s="180">
        <f t="array" ref="CT17">IF($BT17=0, INDEX(LS_current!$D$4:$AY$138, MATCH('Staging Table'!$A17, LS_current!$B$4:$B$138, 0), MATCH(CT$4&amp;CT$5, LS_current!$D$2:$AY$2&amp;LS_current!$D$3:$AY$3, 0)),SUM(VLOOKUP($A17, LS_current!$B$4:$AY$138, LS_current!Y$148, FALSE), VLOOKUP($A17, LS_current!$B$4:$AY$138,LS_current!AW$148, FALSE))/2)</f>
        <v>-325.53604295852483</v>
      </c>
      <c r="CU17" s="180">
        <f t="array" ref="CU17">IF($BT17=0, INDEX(LS_current!$D$4:$AY$138, MATCH('Staging Table'!$A17, LS_current!$B$4:$B$138, 0), MATCH(CU$4&amp;CU$5, LS_current!$D$2:$AY$2&amp;LS_current!$D$3:$AY$3, 0)),SUM(VLOOKUP($A17, LS_current!$B$4:$AY$138, LS_current!Z$148, FALSE), VLOOKUP($A17, LS_current!$B$4:$AY$138,LS_current!AX$148, FALSE))/2)</f>
        <v>-230.80305196100016</v>
      </c>
      <c r="CV17" s="180">
        <f t="array" ref="CV17">IF($BT17=0, INDEX(LS_current!$D$4:$AY$138, MATCH('Staging Table'!$A17, LS_current!$B$4:$B$138, 0), MATCH(CV$4&amp;CV$5, LS_current!$D$2:$AY$2&amp;LS_current!$D$3:$AY$3, 0)),SUM(VLOOKUP($A17, LS_current!$B$4:$AY$138, LS_current!AA$148, FALSE), VLOOKUP($A17, LS_current!$B$4:$AY$138,LS_current!AY$148, FALSE))/2)</f>
        <v>-157.26984045599988</v>
      </c>
      <c r="CW17" s="182">
        <f t="array" ref="CW17">INDEX(Demand_current!$D$4:$AY$138, MATCH($A17, Demand_current!$B$4:$B$138, 0), MATCH(CW$4&amp;CW$5,Demand_current!$D$2:$AY$2&amp;Demand_current!$D$3:$AY$3, 0))/1000</f>
        <v>0</v>
      </c>
      <c r="CX17" s="182">
        <f t="array" ref="CX17">INDEX(Demand_current!$D$4:$AY$138, MATCH($A17, Demand_current!$B$4:$B$138, 0), MATCH(CX$4&amp;CX$5,Demand_current!$D$2:$AY$2&amp;Demand_current!$D$3:$AY$3, 0))/1000</f>
        <v>0.1042500000000004</v>
      </c>
      <c r="CY17" s="182">
        <f t="array" ref="CY17">INDEX(Demand_current!$D$4:$AY$138, MATCH($A17, Demand_current!$B$4:$B$138, 0), MATCH(CY$4&amp;CY$5,Demand_current!$D$2:$AY$2&amp;Demand_current!$D$3:$AY$3, 0))/1000</f>
        <v>1.5909625000000003</v>
      </c>
      <c r="CZ17" s="182">
        <f t="array" ref="CZ17">INDEX(Demand_current!$D$4:$AY$138, MATCH($A17, Demand_current!$B$4:$B$138, 0), MATCH(CZ$4&amp;CZ$5,Demand_current!$D$2:$AY$2&amp;Demand_current!$D$3:$AY$3, 0))/1000</f>
        <v>2.7196057692307685</v>
      </c>
      <c r="DA17" s="182">
        <f t="array" ref="DA17">INDEX(Demand_current!$D$4:$AY$138, MATCH($A17, Demand_current!$B$4:$B$138, 0), MATCH(DA$4&amp;DA$5,Demand_current!$D$2:$AY$2&amp;Demand_current!$D$3:$AY$3, 0))/1000</f>
        <v>0.85636499999999938</v>
      </c>
      <c r="DB17" s="182">
        <f t="array" ref="DB17">INDEX(Demand_current!$D$4:$AY$138, MATCH($A17, Demand_current!$B$4:$B$138, 0), MATCH(DB$4&amp;DB$5,Demand_current!$D$2:$AY$2&amp;Demand_current!$D$3:$AY$3, 0))/1000</f>
        <v>2.0748990384615382</v>
      </c>
      <c r="DC17" s="182">
        <f t="array" ref="DC17">INDEX(Demand_current!$D$4:$AY$138, MATCH($A17, Demand_current!$B$4:$B$138, 0), MATCH(DC$4&amp;DC$5,Demand_current!$D$2:$AY$2&amp;Demand_current!$D$3:$AY$3, 0))/1000</f>
        <v>1.1543437500000011</v>
      </c>
      <c r="DD17" s="182">
        <f t="array" ref="DD17">INDEX(Demand_current!$D$4:$AY$138, MATCH($A17, Demand_current!$B$4:$B$138, 0), MATCH(DD$4&amp;DD$5,Demand_current!$D$2:$AY$2&amp;Demand_current!$D$3:$AY$3, 0))/1000</f>
        <v>0</v>
      </c>
      <c r="DE17" s="182">
        <f t="array" ref="DE17">INDEX(Demand_current!$D$4:$AY$138, MATCH($A17, Demand_current!$B$4:$B$138, 0), MATCH(DE$4&amp;DE$5,Demand_current!$D$2:$AY$2&amp;Demand_current!$D$3:$AY$3, 0))/1000</f>
        <v>0.68473000000000006</v>
      </c>
      <c r="DF17" s="182">
        <f t="array" ref="DF17">INDEX(Demand_current!$D$4:$AY$138, MATCH($A17, Demand_current!$B$4:$B$138, 0), MATCH(DF$4&amp;DF$5,Demand_current!$D$2:$AY$2&amp;Demand_current!$D$3:$AY$3, 0))/1000</f>
        <v>0.43814182692307668</v>
      </c>
      <c r="DG17" s="182">
        <f t="array" ref="DG17">INDEX(Demand_current!$D$4:$AY$138, MATCH($A17, Demand_current!$B$4:$B$138, 0), MATCH(DG$4&amp;DG$5,Demand_current!$D$2:$AY$2&amp;Demand_current!$D$3:$AY$3, 0))/1000</f>
        <v>0.4878703703703704</v>
      </c>
      <c r="DH17" s="182">
        <f t="array" ref="DH17">INDEX(Demand_current!$D$4:$AY$138, MATCH($A17, Demand_current!$B$4:$B$138, 0), MATCH(DH$4&amp;DH$5,Demand_current!$D$2:$AY$2&amp;Demand_current!$D$3:$AY$3, 0))/1000</f>
        <v>0.2773697916666662</v>
      </c>
      <c r="DI17" s="180">
        <f>$BS17*(VLOOKUP(DI$4, Rates_current!$G$6:$Q$29, 10, FALSE)+VLOOKUP(DI$4, Rates_current!$G$6:$Q$29, 11, FALSE))</f>
        <v>4541.5422492547495</v>
      </c>
      <c r="DJ17" s="180">
        <f>$BS17*(VLOOKUP(DJ$4, Rates_current!$G$6:$Q$29, 10, FALSE)+VLOOKUP(DJ$4, Rates_current!$G$6:$Q$29, 11, FALSE))</f>
        <v>5791.9639548635005</v>
      </c>
      <c r="DK17" s="180">
        <f>$BS17*(VLOOKUP(DK$4, Rates_current!$G$6:$Q$29, 10, FALSE)+VLOOKUP(DK$4, Rates_current!$G$6:$Q$29, 11, FALSE))</f>
        <v>6250.6751117775002</v>
      </c>
      <c r="DL17" s="180">
        <f>$BS17*(VLOOKUP(DL$4, Rates_current!$G$6:$Q$29, 10, FALSE)+VLOOKUP(DL$4, Rates_current!$G$6:$Q$29, 11, FALSE))</f>
        <v>6495.4177194160002</v>
      </c>
      <c r="DM17" s="180">
        <f>$BS17*(VLOOKUP(DM$4, Rates_current!$G$6:$Q$29, 10, FALSE)+VLOOKUP(DM$4, Rates_current!$G$6:$Q$29, 11, FALSE))</f>
        <v>5586.9250226069998</v>
      </c>
      <c r="DN17" s="180">
        <f>$BS17*(VLOOKUP(DN$4, Rates_current!$G$6:$Q$29, 10, FALSE)+VLOOKUP(DN$4, Rates_current!$G$6:$Q$29, 11, FALSE))</f>
        <v>6099.8159691615001</v>
      </c>
      <c r="DO17" s="180">
        <f>$BS17*(VLOOKUP(DO$4, Rates_current!$G$6:$Q$29, 10, FALSE)+VLOOKUP(DO$4, Rates_current!$G$6:$Q$29, 11, FALSE))</f>
        <v>4814.7767640526245</v>
      </c>
      <c r="DP17" s="180">
        <f>$BS17*(VLOOKUP(DP$4, Rates_current!$G$6:$Q$29, 10, FALSE)+VLOOKUP(DP$4, Rates_current!$G$6:$Q$29, 11, FALSE))</f>
        <v>5973.3757859972502</v>
      </c>
      <c r="DQ17" s="180">
        <f>$BS17*(VLOOKUP(DQ$4, Rates_current!$G$6:$Q$29, 10, FALSE)+VLOOKUP(DQ$4, Rates_current!$G$6:$Q$29, 11, FALSE))</f>
        <v>6102.9831285082491</v>
      </c>
      <c r="DR17" s="180">
        <f>$BS17*(VLOOKUP(DR$4, Rates_current!$G$6:$Q$29, 10, FALSE)+VLOOKUP(DR$4, Rates_current!$G$6:$Q$29, 11, FALSE))</f>
        <v>5298.2686024497498</v>
      </c>
      <c r="DS17" s="180">
        <f>$BS17*(VLOOKUP(DS$4, Rates_current!$G$6:$Q$29, 10, FALSE)+VLOOKUP(DS$4, Rates_current!$G$6:$Q$29, 11, FALSE))</f>
        <v>5122.0174125782751</v>
      </c>
      <c r="DT17" s="180">
        <f>$BS17*(VLOOKUP(DT$4, Rates_current!$G$6:$Q$29, 10, FALSE)+VLOOKUP(DT$4, Rates_current!$G$6:$Q$29, 11, FALSE))</f>
        <v>4713.247892417</v>
      </c>
      <c r="DU17" s="402">
        <f>IF(D17=0,IF(C17=0,MAX(0,DW17 - (VLOOKUP($A17,TOCA_current!$A$2:$AI$137,MATCH("RHWM 2024",TOCA_current!$A$2:$AI$2,0),FALSE)*$BS$2)), 0),0)</f>
        <v>0</v>
      </c>
      <c r="DV17" s="403">
        <f>MIN(VLOOKUP($A17,TOCA_current!$A$2:$AI$137,MATCH("TRL - NLSL - Existing Resource "&amp;$BS$1,TOCA_current!$A$2:$AI$2,0),FALSE)*$BS$2, VLOOKUP($A17,TOCA_current!$A$2:$AI$137,MATCH("RHWM 2024",TOCA_current!$A$2:$AI$2,0),FALSE)*$BS$2)</f>
        <v>66793.536000000007</v>
      </c>
      <c r="DW17" s="403">
        <f>SUM(BY17:CV17)+(BS17*RT1SC!$C$4*$BS$2)</f>
        <v>66796.621306156594</v>
      </c>
      <c r="DX17" s="403">
        <f>VLOOKUP($A17,TOCA_current!$A$2:$AI$137,MATCH("Above RHWM Not Served with LS "&amp;$BS$1,TOCA_current!$A$2:$AI$2,0),FALSE)*$BS$2</f>
        <v>0</v>
      </c>
      <c r="DY17" s="403">
        <f t="shared" si="13"/>
        <v>3.0853061565867392</v>
      </c>
      <c r="DZ17" s="403">
        <f>(VLOOKUP($A17,TOCA_current!$A$2:$AI$137,MATCH("RHWM 2024",TOCA_current!$A$2:$AI$2,0),FALSE)*$BS$2) - $DV17</f>
        <v>307.43999999998778</v>
      </c>
      <c r="EA17" s="403">
        <f t="shared" si="14"/>
        <v>-3.0853061565867392</v>
      </c>
      <c r="EB17" s="403">
        <f t="shared" si="15"/>
        <v>0</v>
      </c>
      <c r="EC17" s="403">
        <f t="shared" si="16"/>
        <v>0</v>
      </c>
      <c r="ED17" s="403">
        <f t="shared" si="17"/>
        <v>-3.0853061565867392</v>
      </c>
    </row>
    <row r="18" spans="1:134">
      <c r="A18" s="123">
        <v>10061</v>
      </c>
      <c r="B18" s="124" t="s">
        <v>19</v>
      </c>
      <c r="C18" s="232">
        <f>VLOOKUP(A18, TOCA_current!$A$3:$D$137, 4, FALSE)</f>
        <v>0</v>
      </c>
      <c r="D18" s="191">
        <v>0</v>
      </c>
      <c r="E18" s="107">
        <f>VLOOKUP($A18,TOCA_previous!$A$2:$AI$137,MATCH(E$4,TOCA_previous!$A$2:$AI$2,0),FALSE)</f>
        <v>1.2385E-3</v>
      </c>
      <c r="F18" s="108">
        <f>VLOOKUP($A18,TOCA_previous!$A$2:$AI$137,MATCH(F$4,TOCA_previous!$A$2:$AI$2,0),FALSE)</f>
        <v>1.2385E-3</v>
      </c>
      <c r="G18" s="108">
        <f t="shared" si="5"/>
        <v>0</v>
      </c>
      <c r="H18" s="108">
        <f>VLOOKUP($A18,TOCA_previous!$A$2:$AI$137,MATCH(H$4,TOCA_previous!$A$2:$AI$2,0),FALSE)</f>
        <v>0</v>
      </c>
      <c r="I18" s="108">
        <f t="shared" si="6"/>
        <v>0</v>
      </c>
      <c r="J18" s="108">
        <f t="shared" si="7"/>
        <v>0</v>
      </c>
      <c r="K18" s="179">
        <f>VLOOKUP(A18, IRD!$A$5:$C$139, 3, FALSE)</f>
        <v>0</v>
      </c>
      <c r="L18" s="180">
        <f t="array" ref="L18">IF($G18=0, INDEX(LS_previous!$D$4:$AY$138, MATCH('Staging Table'!$A18, LS_previous!$B$4:$B$138, 0), MATCH(L$4&amp;L$5, LS_previous!$D$2:$AY$2&amp;LS_previous!$D$3:$AY$3, 0)),SUM(VLOOKUP($A18, LS_previous!$B$4:$AY$138, LS_previous!D$149, FALSE), VLOOKUP('Staging Table'!$A18, LS_previous!$B$4:$AY$138,LS_previous!AB$149, FALSE))/2)</f>
        <v>136.10825737278356</v>
      </c>
      <c r="M18" s="180">
        <f t="array" ref="M18">IF($G18=0, INDEX(LS_previous!$D$4:$AY$138, MATCH('Staging Table'!$A18, LS_previous!$B$4:$B$138, 0), MATCH(M$4&amp;M$5, LS_previous!$D$2:$AY$2&amp;LS_previous!$D$3:$AY$3, 0)),SUM(VLOOKUP($A18, LS_previous!$B$4:$AY$138, LS_previous!E$149, FALSE), VLOOKUP('Staging Table'!$A18, LS_previous!$B$4:$AY$138,LS_previous!AC$149, FALSE))/2)</f>
        <v>294.5583475122412</v>
      </c>
      <c r="N18" s="180">
        <f t="array" ref="N18">IF($G18=0, INDEX(LS_previous!$D$4:$AY$138, MATCH('Staging Table'!$A18, LS_previous!$B$4:$B$138, 0), MATCH(N$4&amp;N$5, LS_previous!$D$2:$AY$2&amp;LS_previous!$D$3:$AY$3, 0)),SUM(VLOOKUP($A18, LS_previous!$B$4:$AY$138, LS_previous!F$149, FALSE), VLOOKUP('Staging Table'!$A18, LS_previous!$B$4:$AY$138,LS_previous!AD$149, FALSE))/2)</f>
        <v>-186.11409373298648</v>
      </c>
      <c r="O18" s="180">
        <f t="array" ref="O18">IF($G18=0, INDEX(LS_previous!$D$4:$AY$138, MATCH('Staging Table'!$A18, LS_previous!$B$4:$B$138, 0), MATCH(O$4&amp;O$5, LS_previous!$D$2:$AY$2&amp;LS_previous!$D$3:$AY$3, 0)),SUM(VLOOKUP($A18, LS_previous!$B$4:$AY$138, LS_previous!G$149, FALSE), VLOOKUP('Staging Table'!$A18, LS_previous!$B$4:$AY$138,LS_previous!AE$149, FALSE))/2)</f>
        <v>-76.051407452908279</v>
      </c>
      <c r="P18" s="180">
        <f t="array" ref="P18">IF($G18=0, INDEX(LS_previous!$D$4:$AY$138, MATCH('Staging Table'!$A18, LS_previous!$B$4:$B$138, 0), MATCH(P$4&amp;P$5, LS_previous!$D$2:$AY$2&amp;LS_previous!$D$3:$AY$3, 0)),SUM(VLOOKUP($A18, LS_previous!$B$4:$AY$138, LS_previous!H$149, FALSE), VLOOKUP('Staging Table'!$A18, LS_previous!$B$4:$AY$138,LS_previous!AF$149, FALSE))/2)</f>
        <v>467.57161686217751</v>
      </c>
      <c r="Q18" s="180">
        <f t="array" ref="Q18">IF($G18=0, INDEX(LS_previous!$D$4:$AY$138, MATCH('Staging Table'!$A18, LS_previous!$B$4:$B$138, 0), MATCH(Q$4&amp;Q$5, LS_previous!$D$2:$AY$2&amp;LS_previous!$D$3:$AY$3, 0)),SUM(VLOOKUP($A18, LS_previous!$B$4:$AY$138, LS_previous!I$149, FALSE), VLOOKUP('Staging Table'!$A18, LS_previous!$B$4:$AY$138,LS_previous!AG$149, FALSE))/2)</f>
        <v>129.2267114316478</v>
      </c>
      <c r="R18" s="180">
        <f t="array" ref="R18">IF($G18=0, INDEX(LS_previous!$D$4:$AY$138, MATCH('Staging Table'!$A18, LS_previous!$B$4:$B$138, 0), MATCH(R$4&amp;R$5, LS_previous!$D$2:$AY$2&amp;LS_previous!$D$3:$AY$3, 0)),SUM(VLOOKUP($A18, LS_previous!$B$4:$AY$138, LS_previous!J$149, FALSE), VLOOKUP('Staging Table'!$A18, LS_previous!$B$4:$AY$138,LS_previous!AH$149, FALSE))/2)</f>
        <v>1676.4525103367041</v>
      </c>
      <c r="S18" s="180">
        <f t="array" ref="S18">IF($G18=0, INDEX(LS_previous!$D$4:$AY$138, MATCH('Staging Table'!$A18, LS_previous!$B$4:$B$138, 0), MATCH(S$4&amp;S$5, LS_previous!$D$2:$AY$2&amp;LS_previous!$D$3:$AY$3, 0)),SUM(VLOOKUP($A18, LS_previous!$B$4:$AY$138, LS_previous!K$149, FALSE), VLOOKUP('Staging Table'!$A18, LS_previous!$B$4:$AY$138,LS_previous!AI$149, FALSE))/2)</f>
        <v>655.21463374537643</v>
      </c>
      <c r="T18" s="180">
        <f t="array" ref="T18">IF($G18=0, INDEX(LS_previous!$D$4:$AY$138, MATCH('Staging Table'!$A18, LS_previous!$B$4:$B$138, 0), MATCH(T$4&amp;T$5, LS_previous!$D$2:$AY$2&amp;LS_previous!$D$3:$AY$3, 0)),SUM(VLOOKUP($A18, LS_previous!$B$4:$AY$138, LS_previous!L$149, FALSE), VLOOKUP('Staging Table'!$A18, LS_previous!$B$4:$AY$138,LS_previous!AJ$149, FALSE))/2)</f>
        <v>1384.0542843203743</v>
      </c>
      <c r="U18" s="180">
        <f t="array" ref="U18">IF($G18=0, INDEX(LS_previous!$D$4:$AY$138, MATCH('Staging Table'!$A18, LS_previous!$B$4:$B$138, 0), MATCH(U$4&amp;U$5, LS_previous!$D$2:$AY$2&amp;LS_previous!$D$3:$AY$3, 0)),SUM(VLOOKUP($A18, LS_previous!$B$4:$AY$138, LS_previous!M$149, FALSE), VLOOKUP('Staging Table'!$A18, LS_previous!$B$4:$AY$138,LS_previous!AK$149, FALSE))/2)</f>
        <v>515.19956256425257</v>
      </c>
      <c r="V18" s="180">
        <f t="array" ref="V18">IF($G18=0, INDEX(LS_previous!$D$4:$AY$138, MATCH('Staging Table'!$A18, LS_previous!$B$4:$B$138, 0), MATCH(V$4&amp;V$5, LS_previous!$D$2:$AY$2&amp;LS_previous!$D$3:$AY$3, 0)),SUM(VLOOKUP($A18, LS_previous!$B$4:$AY$138, LS_previous!N$149, FALSE), VLOOKUP('Staging Table'!$A18, LS_previous!$B$4:$AY$138,LS_previous!AL$149, FALSE))/2)</f>
        <v>396.86908725070771</v>
      </c>
      <c r="W18" s="180">
        <f t="array" ref="W18">IF($G18=0, INDEX(LS_previous!$D$4:$AY$138, MATCH('Staging Table'!$A18, LS_previous!$B$4:$B$138, 0), MATCH(W$4&amp;W$5, LS_previous!$D$2:$AY$2&amp;LS_previous!$D$3:$AY$3, 0)),SUM(VLOOKUP($A18, LS_previous!$B$4:$AY$138, LS_previous!O$149, FALSE), VLOOKUP('Staging Table'!$A18, LS_previous!$B$4:$AY$138,LS_previous!AM$149, FALSE))/2)</f>
        <v>379.58730346054563</v>
      </c>
      <c r="X18" s="180">
        <f t="array" ref="X18">IF($G18=0, INDEX(LS_previous!$D$4:$AY$138, MATCH('Staging Table'!$A18, LS_previous!$B$4:$B$138, 0), MATCH(X$4&amp;X$5, LS_previous!$D$2:$AY$2&amp;LS_previous!$D$3:$AY$3, 0)),SUM(VLOOKUP($A18, LS_previous!$B$4:$AY$138, LS_previous!P$149, FALSE), VLOOKUP('Staging Table'!$A18, LS_previous!$B$4:$AY$138,LS_previous!AN$149, FALSE))/2)</f>
        <v>889.4630661345077</v>
      </c>
      <c r="Y18" s="180">
        <f t="array" ref="Y18">IF($G18=0, INDEX(LS_previous!$D$4:$AY$138, MATCH('Staging Table'!$A18, LS_previous!$B$4:$B$138, 0), MATCH(Y$4&amp;Y$5, LS_previous!$D$2:$AY$2&amp;LS_previous!$D$3:$AY$3, 0)),SUM(VLOOKUP($A18, LS_previous!$B$4:$AY$138, LS_previous!Q$149, FALSE), VLOOKUP('Staging Table'!$A18, LS_previous!$B$4:$AY$138,LS_previous!AO$149, FALSE))/2)</f>
        <v>439.16043075605262</v>
      </c>
      <c r="Z18" s="180">
        <f t="array" ref="Z18">IF($G18=0, INDEX(LS_previous!$D$4:$AY$138, MATCH('Staging Table'!$A18, LS_previous!$B$4:$B$138, 0), MATCH(Z$4&amp;Z$5, LS_previous!$D$2:$AY$2&amp;LS_previous!$D$3:$AY$3, 0)),SUM(VLOOKUP($A18, LS_previous!$B$4:$AY$138, LS_previous!R$149, FALSE), VLOOKUP('Staging Table'!$A18, LS_previous!$B$4:$AY$138,LS_previous!AP$149, FALSE))/2)</f>
        <v>-916.6964314093857</v>
      </c>
      <c r="AA18" s="180">
        <f t="array" ref="AA18">IF($G18=0, INDEX(LS_previous!$D$4:$AY$138, MATCH('Staging Table'!$A18, LS_previous!$B$4:$B$138, 0), MATCH(AA$4&amp;AA$5, LS_previous!$D$2:$AY$2&amp;LS_previous!$D$3:$AY$3, 0)),SUM(VLOOKUP($A18, LS_previous!$B$4:$AY$138, LS_previous!S$149, FALSE), VLOOKUP('Staging Table'!$A18, LS_previous!$B$4:$AY$138,LS_previous!AQ$149, FALSE))/2)</f>
        <v>-6.7551588513715615</v>
      </c>
      <c r="AB18" s="180">
        <f t="array" ref="AB18">IF($G18=0, INDEX(LS_previous!$D$4:$AY$138, MATCH('Staging Table'!$A18, LS_previous!$B$4:$B$138, 0), MATCH(AB$4&amp;AB$5, LS_previous!$D$2:$AY$2&amp;LS_previous!$D$3:$AY$3, 0)),SUM(VLOOKUP($A18, LS_previous!$B$4:$AY$138, LS_previous!T$149, FALSE), VLOOKUP('Staging Table'!$A18, LS_previous!$B$4:$AY$138,LS_previous!AR$149, FALSE))/2)</f>
        <v>-1687.8554126526587</v>
      </c>
      <c r="AC18" s="180">
        <f t="array" ref="AC18">IF($G18=0, INDEX(LS_previous!$D$4:$AY$138, MATCH('Staging Table'!$A18, LS_previous!$B$4:$B$138, 0), MATCH(AC$4&amp;AC$5, LS_previous!$D$2:$AY$2&amp;LS_previous!$D$3:$AY$3, 0)),SUM(VLOOKUP($A18, LS_previous!$B$4:$AY$138, LS_previous!U$149, FALSE), VLOOKUP('Staging Table'!$A18, LS_previous!$B$4:$AY$138,LS_previous!AS$149, FALSE))/2)</f>
        <v>104.60480555643858</v>
      </c>
      <c r="AD18" s="180">
        <f t="array" ref="AD18">IF($G18=0, INDEX(LS_previous!$D$4:$AY$138, MATCH('Staging Table'!$A18, LS_previous!$B$4:$B$138, 0), MATCH(AD$4&amp;AD$5, LS_previous!$D$2:$AY$2&amp;LS_previous!$D$3:$AY$3, 0)),SUM(VLOOKUP($A18, LS_previous!$B$4:$AY$138, LS_previous!V$149, FALSE), VLOOKUP('Staging Table'!$A18, LS_previous!$B$4:$AY$138,LS_previous!AT$149, FALSE))/2)</f>
        <v>-745.95073553717657</v>
      </c>
      <c r="AE18" s="180">
        <f t="array" ref="AE18">IF($G18=0, INDEX(LS_previous!$D$4:$AY$138, MATCH('Staging Table'!$A18, LS_previous!$B$4:$B$138, 0), MATCH(AE$4&amp;AE$5, LS_previous!$D$2:$AY$2&amp;LS_previous!$D$3:$AY$3, 0)),SUM(VLOOKUP($A18, LS_previous!$B$4:$AY$138, LS_previous!W$149, FALSE), VLOOKUP('Staging Table'!$A18, LS_previous!$B$4:$AY$138,LS_previous!AU$149, FALSE))/2)</f>
        <v>36.800442005672267</v>
      </c>
      <c r="AF18" s="180">
        <f t="array" ref="AF18">IF($G18=0, INDEX(LS_previous!$D$4:$AY$138, MATCH('Staging Table'!$A18, LS_previous!$B$4:$B$138, 0), MATCH(AF$4&amp;AF$5, LS_previous!$D$2:$AY$2&amp;LS_previous!$D$3:$AY$3, 0)),SUM(VLOOKUP($A18, LS_previous!$B$4:$AY$138, LS_previous!X$149, FALSE), VLOOKUP('Staging Table'!$A18, LS_previous!$B$4:$AY$138,LS_previous!AV$149, FALSE))/2)</f>
        <v>-698.53246185063836</v>
      </c>
      <c r="AG18" s="180">
        <f t="array" ref="AG18">IF($G18=0, INDEX(LS_previous!$D$4:$AY$138, MATCH('Staging Table'!$A18, LS_previous!$B$4:$B$138, 0), MATCH(AG$4&amp;AG$5, LS_previous!$D$2:$AY$2&amp;LS_previous!$D$3:$AY$3, 0)),SUM(VLOOKUP($A18, LS_previous!$B$4:$AY$138, LS_previous!Y$149, FALSE), VLOOKUP('Staging Table'!$A18, LS_previous!$B$4:$AY$138,LS_previous!AW$149, FALSE))/2)</f>
        <v>-70.790384218506006</v>
      </c>
      <c r="AH18" s="180">
        <f t="array" ref="AH18">IF($G18=0, INDEX(LS_previous!$D$4:$AY$138, MATCH('Staging Table'!$A18, LS_previous!$B$4:$B$138, 0), MATCH(AH$4&amp;AH$5, LS_previous!$D$2:$AY$2&amp;LS_previous!$D$3:$AY$3, 0)),SUM(VLOOKUP($A18, LS_previous!$B$4:$AY$138, LS_previous!Z$149, FALSE), VLOOKUP('Staging Table'!$A18, LS_previous!$B$4:$AY$138,LS_previous!AX$149, FALSE))/2)</f>
        <v>-522.39486479714969</v>
      </c>
      <c r="AI18" s="180">
        <f t="array" ref="AI18">IF($G18=0, INDEX(LS_previous!$D$4:$AY$138, MATCH('Staging Table'!$A18, LS_previous!$B$4:$B$138, 0), MATCH(AI$4&amp;AI$5, LS_previous!$D$2:$AY$2&amp;LS_previous!$D$3:$AY$3, 0)),SUM(VLOOKUP($A18, LS_previous!$B$4:$AY$138, LS_previous!AA$149, FALSE), VLOOKUP('Staging Table'!$A18, LS_previous!$B$4:$AY$138,LS_previous!AY$149, FALSE))/2)</f>
        <v>103.08038544203418</v>
      </c>
      <c r="AJ18" s="298">
        <f t="array" ref="AJ18">INDEX(Demand_previous!$D$4:$AY$138, MATCH('Staging Table'!$A18, Demand_previous!$B$4:$B$138, 0), MATCH(AJ$4&amp;AJ$5,Demand_previous!$D$2:$AY$2&amp;Demand_previous!$D$3:$AY$3, 0))/1000</f>
        <v>0.63814663461538412</v>
      </c>
      <c r="AK18" s="298">
        <f t="array" ref="AK18">INDEX(Demand_previous!$D$4:$AY$138, MATCH('Staging Table'!$A18, Demand_previous!$B$4:$B$138, 0), MATCH(AK$4&amp;AK$5,Demand_previous!$D$2:$AY$2&amp;Demand_previous!$D$3:$AY$3, 0))/1000</f>
        <v>0.91292249999999964</v>
      </c>
      <c r="AL18" s="298">
        <f t="array" ref="AL18">INDEX(Demand_previous!$D$4:$AY$138, MATCH('Staging Table'!$A18, Demand_previous!$B$4:$B$138, 0), MATCH(AL$4&amp;AL$5,Demand_previous!$D$2:$AY$2&amp;Demand_previous!$D$3:$AY$3, 0))/1000</f>
        <v>1.7150336538461532</v>
      </c>
      <c r="AM18" s="298">
        <f t="array" ref="AM18">INDEX(Demand_previous!$D$4:$AY$138, MATCH('Staging Table'!$A18, Demand_previous!$B$4:$B$138, 0), MATCH(AM$4&amp;AM$5,Demand_previous!$D$2:$AY$2&amp;Demand_previous!$D$3:$AY$3, 0))/1000</f>
        <v>0.84991499999999931</v>
      </c>
      <c r="AN18" s="298">
        <f t="array" ref="AN18">INDEX(Demand_previous!$D$4:$AY$138, MATCH('Staging Table'!$A18, Demand_previous!$B$4:$B$138, 0), MATCH(AN$4&amp;AN$5,Demand_previous!$D$2:$AY$2&amp;Demand_previous!$D$3:$AY$3, 0))/1000</f>
        <v>6.6005208333334453E-2</v>
      </c>
      <c r="AO18" s="298">
        <f t="array" ref="AO18">INDEX(Demand_previous!$D$4:$AY$138, MATCH('Staging Table'!$A18, Demand_previous!$B$4:$B$138, 0), MATCH(AO$4&amp;AO$5,Demand_previous!$D$2:$AY$2&amp;Demand_previous!$D$3:$AY$3, 0))/1000</f>
        <v>1.7370300925925917</v>
      </c>
      <c r="AP18" s="298">
        <f t="array" ref="AP18">INDEX(Demand_previous!$D$4:$AY$138, MATCH('Staging Table'!$A18, Demand_previous!$B$4:$B$138, 0), MATCH(AP$4&amp;AP$5,Demand_previous!$D$2:$AY$2&amp;Demand_previous!$D$3:$AY$3, 0))/1000</f>
        <v>0.87461778846153693</v>
      </c>
      <c r="AQ18" s="298">
        <f t="array" ref="AQ18">INDEX(Demand_previous!$D$4:$AY$138, MATCH('Staging Table'!$A18, Demand_previous!$B$4:$B$138, 0), MATCH(AQ$4&amp;AQ$5,Demand_previous!$D$2:$AY$2&amp;Demand_previous!$D$3:$AY$3, 0))/1000</f>
        <v>0.45014999999999905</v>
      </c>
      <c r="AR18" s="298">
        <f t="array" ref="AR18">INDEX(Demand_previous!$D$4:$AY$138, MATCH('Staging Table'!$A18, Demand_previous!$B$4:$B$138, 0), MATCH(AR$4&amp;AR$5,Demand_previous!$D$2:$AY$2&amp;Demand_previous!$D$3:$AY$3, 0))/1000</f>
        <v>1.6328173076923063</v>
      </c>
      <c r="AS18" s="298">
        <f t="array" ref="AS18">INDEX(Demand_previous!$D$4:$AY$138, MATCH('Staging Table'!$A18, Demand_previous!$B$4:$B$138, 0), MATCH(AS$4&amp;AS$5,Demand_previous!$D$2:$AY$2&amp;Demand_previous!$D$3:$AY$3, 0))/1000</f>
        <v>0.79447000000000156</v>
      </c>
      <c r="AT18" s="298">
        <f t="array" ref="AT18">INDEX(Demand_previous!$D$4:$AY$138, MATCH('Staging Table'!$A18, Demand_previous!$B$4:$B$138, 0), MATCH(AT$4&amp;AT$5,Demand_previous!$D$2:$AY$2&amp;Demand_previous!$D$3:$AY$3, 0))/1000</f>
        <v>1.5681041666666677</v>
      </c>
      <c r="AU18" s="298">
        <f t="array" ref="AU18">INDEX(Demand_previous!$D$4:$AY$138, MATCH('Staging Table'!$A18, Demand_previous!$B$4:$B$138, 0), MATCH(AU$4&amp;AU$5,Demand_previous!$D$2:$AY$2&amp;Demand_previous!$D$3:$AY$3, 0))/1000</f>
        <v>1.4702124999999999</v>
      </c>
      <c r="AV18" s="180">
        <f>$F18*(VLOOKUP(AV$4, Rates_previous!$G$6:$Q$29, 10, FALSE)+VLOOKUP(AV$4, Rates_previous!$G$6:$Q$29, 11, FALSE))</f>
        <v>5640.0353951149755</v>
      </c>
      <c r="AW18" s="180">
        <f>$F18*(VLOOKUP(AW$4, Rates_previous!$G$6:$Q$29, 10, FALSE)+VLOOKUP(AW$4, Rates_previous!$G$6:$Q$29, 11, FALSE))</f>
        <v>7140.4895011858962</v>
      </c>
      <c r="AX18" s="180">
        <f>$F18*(VLOOKUP(AX$4, Rates_previous!$G$6:$Q$29, 10, FALSE)+VLOOKUP(AX$4, Rates_previous!$G$6:$Q$29, 11, FALSE))</f>
        <v>6989.1126717061752</v>
      </c>
      <c r="AY18" s="180">
        <f>$F18*(VLOOKUP(AY$4, Rates_previous!$G$6:$Q$29, 10, FALSE)+VLOOKUP(AY$4, Rates_previous!$G$6:$Q$29, 11, FALSE))</f>
        <v>5772.7098559179194</v>
      </c>
      <c r="AZ18" s="180">
        <f>$F18*(VLOOKUP(AZ$4, Rates_previous!$G$6:$Q$29, 10, FALSE)+VLOOKUP(AZ$4, Rates_previous!$G$6:$Q$29, 11, FALSE))</f>
        <v>5003.3341531153728</v>
      </c>
      <c r="BA18" s="180">
        <f>$F18*(VLOOKUP(BA$4, Rates_previous!$G$6:$Q$29, 10, FALSE)+VLOOKUP(BA$4, Rates_previous!$G$6:$Q$29, 11, FALSE))</f>
        <v>5972.9706092887473</v>
      </c>
      <c r="BB18" s="180">
        <f>$F18*(VLOOKUP(BB$4, Rates_previous!$G$6:$Q$29, 10, FALSE)+VLOOKUP(BB$4, Rates_previous!$G$6:$Q$29, 11, FALSE))</f>
        <v>4637.2165031094401</v>
      </c>
      <c r="BC18" s="180">
        <f>$F18*(VLOOKUP(BC$4, Rates_previous!$G$6:$Q$29, 10, FALSE)+VLOOKUP(BC$4, Rates_previous!$G$6:$Q$29, 11, FALSE))</f>
        <v>6424.8975902607572</v>
      </c>
      <c r="BD18" s="180">
        <f>$F18*(VLOOKUP(BD$4, Rates_previous!$G$6:$Q$29, 10, FALSE)+VLOOKUP(BD$4, Rates_previous!$G$6:$Q$29, 11, FALSE))</f>
        <v>6865.1376070962197</v>
      </c>
      <c r="BE18" s="180">
        <f>$F18*(VLOOKUP(BE$4, Rates_previous!$G$6:$Q$29, 10, FALSE)+VLOOKUP(BE$4, Rates_previous!$G$6:$Q$29, 11, FALSE))</f>
        <v>6518.1372935315039</v>
      </c>
      <c r="BF18" s="180">
        <f>$F18*(VLOOKUP(BF$4, Rates_previous!$G$6:$Q$29, 10, FALSE)+VLOOKUP(BF$4, Rates_previous!$G$6:$Q$29, 11, FALSE))</f>
        <v>6299.2768460691441</v>
      </c>
      <c r="BG18" s="180">
        <f>$F18*(VLOOKUP(BG$4, Rates_previous!$G$6:$Q$29, 10, FALSE)+VLOOKUP(BG$4, Rates_previous!$G$6:$Q$29, 11, FALSE))</f>
        <v>5821.1884793551153</v>
      </c>
      <c r="BH18" s="298">
        <f>IF($D18=0,IF(C18=0, MAX(BJ18 - (VLOOKUP($A18,TOCA_previous!$A$2:$AI$137,MATCH("RHWM 2022",TOCA_previous!$A$2:$AI$2,0),FALSE)*$F$2*TOCA_previous!C15),0),0), 0)</f>
        <v>2696.6407385887578</v>
      </c>
      <c r="BI18" s="192">
        <f>MIN(VLOOKUP($A18,TOCA_previous!$A$2:$AI$137,MATCH("TRL - NLSL - Existing Resource "&amp;$F$1,TOCA_previous!$A$2:$AI$2,0),FALSE)*$F$2,(VLOOKUP($A18,TOCA_previous!$A$2:$AI$137,MATCH("RHWM 2022",TOCA_previous!$A$2:$AI$2,0),FALSE)*$F$2))</f>
        <v>73084.679999999993</v>
      </c>
      <c r="BJ18" s="402">
        <f>SUM(L18:AI18)+(F18*RT1SC!$C$3*$F$2)</f>
        <v>75781.320738588751</v>
      </c>
      <c r="BK18" s="401">
        <f>VLOOKUP($A18,TOCA_previous!$A$2:$AI$137,MATCH("Above RHWM Not Served with LS "&amp;$F$1,TOCA_previous!$A$2:$AI$2,0),FALSE)*$F$2</f>
        <v>9548.4000000000015</v>
      </c>
      <c r="BL18" s="402">
        <f t="shared" si="8"/>
        <v>2696.6407385887578</v>
      </c>
      <c r="BM18" s="401">
        <f>(VLOOKUP($A18,TOCA_previous!$A$2:$AI$137,MATCH("RHWM 2022",TOCA_previous!$A$2:$AI$2,0),FALSE)*$F$2) - $BI18</f>
        <v>0</v>
      </c>
      <c r="BN18" s="402">
        <f t="shared" si="9"/>
        <v>0</v>
      </c>
      <c r="BO18" s="401">
        <f t="shared" si="10"/>
        <v>0</v>
      </c>
      <c r="BP18" s="402">
        <f t="shared" si="11"/>
        <v>0</v>
      </c>
      <c r="BQ18" s="401">
        <f t="shared" si="2"/>
        <v>0</v>
      </c>
      <c r="BR18" s="108">
        <f>VLOOKUP($A18,TOCA_current!$A$2:$AI$137,MATCH(BR$4,TOCA_current!$A$2:$AI$2,0),FALSE)</f>
        <v>1.2384E-3</v>
      </c>
      <c r="BS18" s="108">
        <f>VLOOKUP($A18,TOCA_current!$A$2:$AI$137,MATCH(BS$4,TOCA_current!$A$2:$AI$2,0),FALSE)</f>
        <v>1.2384E-3</v>
      </c>
      <c r="BT18" s="189">
        <f t="shared" si="12"/>
        <v>0</v>
      </c>
      <c r="BU18" s="108">
        <f>VLOOKUP($A18,TOCA_current!A14:BG149,MATCH(BU$4,TOCA_current!$A$2:$BG$2,0),FALSE)</f>
        <v>0</v>
      </c>
      <c r="BV18" s="108">
        <f t="shared" si="3"/>
        <v>0</v>
      </c>
      <c r="BW18" s="108">
        <f t="shared" si="4"/>
        <v>0</v>
      </c>
      <c r="BX18" s="179">
        <f>VLOOKUP($A18,IRD!$A$4:$G$139, 7, FALSE)</f>
        <v>0</v>
      </c>
      <c r="BY18" s="180">
        <f t="array" ref="BY18">IF($BT18=0, INDEX(LS_current!$D$4:$AY$138, MATCH('Staging Table'!$A18, LS_current!$B$4:$B$138, 0), MATCH(BY$4&amp;BY$5, LS_current!$D$2:$AY$2&amp;LS_current!$D$3:$AY$3, 0)),SUM(VLOOKUP($A18, LS_current!$B$4:$AY$138, LS_current!D$148, FALSE), VLOOKUP($A18, LS_current!$B$4:$AY$138,LS_current!AB$148, FALSE))/2)</f>
        <v>1046.0003058175998</v>
      </c>
      <c r="BZ18" s="180">
        <f t="array" ref="BZ18">IF($BT18=0, INDEX(LS_current!$D$4:$AY$138, MATCH('Staging Table'!$A18, LS_current!$B$4:$B$138, 0), MATCH(BZ$4&amp;BZ$5, LS_current!$D$2:$AY$2&amp;LS_current!$D$3:$AY$3, 0)),SUM(VLOOKUP($A18, LS_current!$B$4:$AY$138, LS_current!E$148, FALSE), VLOOKUP($A18, LS_current!$B$4:$AY$138,LS_current!AC$148, FALSE))/2)</f>
        <v>611.0951159408005</v>
      </c>
      <c r="CA18" s="180">
        <f t="array" ref="CA18">IF($BT18=0, INDEX(LS_current!$D$4:$AY$138, MATCH('Staging Table'!$A18, LS_current!$B$4:$B$138, 0), MATCH(CA$4&amp;CA$5, LS_current!$D$2:$AY$2&amp;LS_current!$D$3:$AY$3, 0)),SUM(VLOOKUP($A18, LS_current!$B$4:$AY$138, LS_current!F$148, FALSE), VLOOKUP($A18, LS_current!$B$4:$AY$138,LS_current!AD$148, FALSE))/2)</f>
        <v>588.88989300480034</v>
      </c>
      <c r="CB18" s="180">
        <f t="array" ref="CB18">IF($BT18=0, INDEX(LS_current!$D$4:$AY$138, MATCH('Staging Table'!$A18, LS_current!$B$4:$B$138, 0), MATCH(CB$4&amp;CB$5, LS_current!$D$2:$AY$2&amp;LS_current!$D$3:$AY$3, 0)),SUM(VLOOKUP($A18, LS_current!$B$4:$AY$138, LS_current!G$148, FALSE), VLOOKUP($A18, LS_current!$B$4:$AY$138,LS_current!AE$148, FALSE))/2)</f>
        <v>412.2789033695999</v>
      </c>
      <c r="CC18" s="180">
        <f t="array" ref="CC18">IF($BT18=0, INDEX(LS_current!$D$4:$AY$138, MATCH('Staging Table'!$A18, LS_current!$B$4:$B$138, 0), MATCH(CC$4&amp;CC$5, LS_current!$D$2:$AY$2&amp;LS_current!$D$3:$AY$3, 0)),SUM(VLOOKUP($A18, LS_current!$B$4:$AY$138, LS_current!H$148, FALSE), VLOOKUP($A18, LS_current!$B$4:$AY$138,LS_current!AF$148, FALSE))/2)</f>
        <v>554.00846082240059</v>
      </c>
      <c r="CD18" s="180">
        <f t="array" ref="CD18">IF($BT18=0, INDEX(LS_current!$D$4:$AY$138, MATCH('Staging Table'!$A18, LS_current!$B$4:$B$138, 0), MATCH(CD$4&amp;CD$5, LS_current!$D$2:$AY$2&amp;LS_current!$D$3:$AY$3, 0)),SUM(VLOOKUP($A18, LS_current!$B$4:$AY$138, LS_current!I$148, FALSE), VLOOKUP($A18, LS_current!$B$4:$AY$138,LS_current!AG$148, FALSE))/2)</f>
        <v>652.11840687359972</v>
      </c>
      <c r="CE18" s="180">
        <f t="array" ref="CE18">IF($BT18=0, INDEX(LS_current!$D$4:$AY$138, MATCH('Staging Table'!$A18, LS_current!$B$4:$B$138, 0), MATCH(CE$4&amp;CE$5, LS_current!$D$2:$AY$2&amp;LS_current!$D$3:$AY$3, 0)),SUM(VLOOKUP($A18, LS_current!$B$4:$AY$138, LS_current!J$148, FALSE), VLOOKUP($A18, LS_current!$B$4:$AY$138,LS_current!AH$148, FALSE))/2)</f>
        <v>770.15338014400095</v>
      </c>
      <c r="CF18" s="180">
        <f t="array" ref="CF18">IF($BT18=0, INDEX(LS_current!$D$4:$AY$138, MATCH('Staging Table'!$A18, LS_current!$B$4:$B$138, 0), MATCH(CF$4&amp;CF$5, LS_current!$D$2:$AY$2&amp;LS_current!$D$3:$AY$3, 0)),SUM(VLOOKUP($A18, LS_current!$B$4:$AY$138, LS_current!K$148, FALSE), VLOOKUP($A18, LS_current!$B$4:$AY$138,LS_current!AI$148, FALSE))/2)</f>
        <v>672.88886488639992</v>
      </c>
      <c r="CG18" s="180">
        <f t="array" ref="CG18">IF($BT18=0, INDEX(LS_current!$D$4:$AY$138, MATCH('Staging Table'!$A18, LS_current!$B$4:$B$138, 0), MATCH(CG$4&amp;CG$5, LS_current!$D$2:$AY$2&amp;LS_current!$D$3:$AY$3, 0)),SUM(VLOOKUP($A18, LS_current!$B$4:$AY$138, LS_current!L$148, FALSE), VLOOKUP($A18, LS_current!$B$4:$AY$138,LS_current!AJ$148, FALSE))/2)</f>
        <v>622.27510344640041</v>
      </c>
      <c r="CH18" s="180">
        <f t="array" ref="CH18">IF($BT18=0, INDEX(LS_current!$D$4:$AY$138, MATCH('Staging Table'!$A18, LS_current!$B$4:$B$138, 0), MATCH(CH$4&amp;CH$5, LS_current!$D$2:$AY$2&amp;LS_current!$D$3:$AY$3, 0)),SUM(VLOOKUP($A18, LS_current!$B$4:$AY$138, LS_current!M$148, FALSE), VLOOKUP($A18, LS_current!$B$4:$AY$138,LS_current!AK$148, FALSE))/2)</f>
        <v>585.62341397440014</v>
      </c>
      <c r="CI18" s="180">
        <f t="array" ref="CI18">IF($BT18=0, INDEX(LS_current!$D$4:$AY$138, MATCH('Staging Table'!$A18, LS_current!$B$4:$B$138, 0), MATCH(CI$4&amp;CI$5, LS_current!$D$2:$AY$2&amp;LS_current!$D$3:$AY$3, 0)),SUM(VLOOKUP($A18, LS_current!$B$4:$AY$138, LS_current!N$148, FALSE), VLOOKUP($A18, LS_current!$B$4:$AY$138,LS_current!AL$148, FALSE))/2)</f>
        <v>263.60717046080026</v>
      </c>
      <c r="CJ18" s="180">
        <f t="array" ref="CJ18">IF($BT18=0, INDEX(LS_current!$D$4:$AY$138, MATCH('Staging Table'!$A18, LS_current!$B$4:$B$138, 0), MATCH(CJ$4&amp;CJ$5, LS_current!$D$2:$AY$2&amp;LS_current!$D$3:$AY$3, 0)),SUM(VLOOKUP($A18, LS_current!$B$4:$AY$138, LS_current!O$148, FALSE), VLOOKUP($A18, LS_current!$B$4:$AY$138,LS_current!AM$148, FALSE))/2)</f>
        <v>278.49327012479989</v>
      </c>
      <c r="CK18" s="180">
        <f t="array" ref="CK18">IF($BT18=0, INDEX(LS_current!$D$4:$AY$138, MATCH('Staging Table'!$A18, LS_current!$B$4:$B$138, 0), MATCH(CK$4&amp;CK$5, LS_current!$D$2:$AY$2&amp;LS_current!$D$3:$AY$3, 0)),SUM(VLOOKUP($A18, LS_current!$B$4:$AY$138, LS_current!P$148, FALSE), VLOOKUP($A18, LS_current!$B$4:$AY$138,LS_current!AN$148, FALSE))/2)</f>
        <v>829.08120834400052</v>
      </c>
      <c r="CL18" s="180">
        <f t="array" ref="CL18">IF($BT18=0, INDEX(LS_current!$D$4:$AY$138, MATCH('Staging Table'!$A18, LS_current!$B$4:$B$138, 0), MATCH(CL$4&amp;CL$5, LS_current!$D$2:$AY$2&amp;LS_current!$D$3:$AY$3, 0)),SUM(VLOOKUP($A18, LS_current!$B$4:$AY$138, LS_current!Q$148, FALSE), VLOOKUP($A18, LS_current!$B$4:$AY$138,LS_current!AO$148, FALSE))/2)</f>
        <v>382.66464896880007</v>
      </c>
      <c r="CM18" s="180">
        <f t="array" ref="CM18">IF($BT18=0, INDEX(LS_current!$D$4:$AY$138, MATCH('Staging Table'!$A18, LS_current!$B$4:$B$138, 0), MATCH(CM$4&amp;CM$5, LS_current!$D$2:$AY$2&amp;LS_current!$D$3:$AY$3, 0)),SUM(VLOOKUP($A18, LS_current!$B$4:$AY$138, LS_current!R$148, FALSE), VLOOKUP($A18, LS_current!$B$4:$AY$138,LS_current!AP$148, FALSE))/2)</f>
        <v>-326.91798456320066</v>
      </c>
      <c r="CN18" s="180">
        <f t="array" ref="CN18">IF($BT18=0, INDEX(LS_current!$D$4:$AY$138, MATCH('Staging Table'!$A18, LS_current!$B$4:$B$138, 0), MATCH(CN$4&amp;CN$5, LS_current!$D$2:$AY$2&amp;LS_current!$D$3:$AY$3, 0)),SUM(VLOOKUP($A18, LS_current!$B$4:$AY$138, LS_current!S$148, FALSE), VLOOKUP($A18, LS_current!$B$4:$AY$138,LS_current!AQ$148, FALSE))/2)</f>
        <v>-232.41644588639974</v>
      </c>
      <c r="CO18" s="180">
        <f t="array" ref="CO18">IF($BT18=0, INDEX(LS_current!$D$4:$AY$138, MATCH('Staging Table'!$A18, LS_current!$B$4:$B$138, 0), MATCH(CO$4&amp;CO$5, LS_current!$D$2:$AY$2&amp;LS_current!$D$3:$AY$3, 0)),SUM(VLOOKUP($A18, LS_current!$B$4:$AY$138, LS_current!T$148, FALSE), VLOOKUP($A18, LS_current!$B$4:$AY$138,LS_current!AR$148, FALSE))/2)</f>
        <v>-747.42181555839989</v>
      </c>
      <c r="CP18" s="180">
        <f t="array" ref="CP18">IF($BT18=0, INDEX(LS_current!$D$4:$AY$138, MATCH('Staging Table'!$A18, LS_current!$B$4:$B$138, 0), MATCH(CP$4&amp;CP$5, LS_current!$D$2:$AY$2&amp;LS_current!$D$3:$AY$3, 0)),SUM(VLOOKUP($A18, LS_current!$B$4:$AY$138, LS_current!U$148, FALSE), VLOOKUP($A18, LS_current!$B$4:$AY$138,LS_current!AS$148, FALSE))/2)</f>
        <v>-206.73122749279992</v>
      </c>
      <c r="CQ18" s="180">
        <f t="array" ref="CQ18">IF($BT18=0, INDEX(LS_current!$D$4:$AY$138, MATCH('Staging Table'!$A18, LS_current!$B$4:$B$138, 0), MATCH(CQ$4&amp;CQ$5, LS_current!$D$2:$AY$2&amp;LS_current!$D$3:$AY$3, 0)),SUM(VLOOKUP($A18, LS_current!$B$4:$AY$138, LS_current!V$148, FALSE), VLOOKUP($A18, LS_current!$B$4:$AY$138,LS_current!AT$148, FALSE))/2)</f>
        <v>233.19986346240012</v>
      </c>
      <c r="CR18" s="180">
        <f t="array" ref="CR18">IF($BT18=0, INDEX(LS_current!$D$4:$AY$138, MATCH('Staging Table'!$A18, LS_current!$B$4:$B$138, 0), MATCH(CR$4&amp;CR$5, LS_current!$D$2:$AY$2&amp;LS_current!$D$3:$AY$3, 0)),SUM(VLOOKUP($A18, LS_current!$B$4:$AY$138, LS_current!W$148, FALSE), VLOOKUP($A18, LS_current!$B$4:$AY$138,LS_current!AU$148, FALSE))/2)</f>
        <v>291.64649810399987</v>
      </c>
      <c r="CS18" s="180">
        <f t="array" ref="CS18">IF($BT18=0, INDEX(LS_current!$D$4:$AY$138, MATCH('Staging Table'!$A18, LS_current!$B$4:$B$138, 0), MATCH(CS$4&amp;CS$5, LS_current!$D$2:$AY$2&amp;LS_current!$D$3:$AY$3, 0)),SUM(VLOOKUP($A18, LS_current!$B$4:$AY$138, LS_current!X$148, FALSE), VLOOKUP($A18, LS_current!$B$4:$AY$138,LS_current!AV$148, FALSE))/2)</f>
        <v>276.68045161439977</v>
      </c>
      <c r="CT18" s="180">
        <f t="array" ref="CT18">IF($BT18=0, INDEX(LS_current!$D$4:$AY$138, MATCH('Staging Table'!$A18, LS_current!$B$4:$B$138, 0), MATCH(CT$4&amp;CT$5, LS_current!$D$2:$AY$2&amp;LS_current!$D$3:$AY$3, 0)),SUM(VLOOKUP($A18, LS_current!$B$4:$AY$138, LS_current!Y$148, FALSE), VLOOKUP($A18, LS_current!$B$4:$AY$138,LS_current!AW$148, FALSE))/2)</f>
        <v>171.89136191376019</v>
      </c>
      <c r="CU18" s="180">
        <f t="array" ref="CU18">IF($BT18=0, INDEX(LS_current!$D$4:$AY$138, MATCH('Staging Table'!$A18, LS_current!$B$4:$B$138, 0), MATCH(CU$4&amp;CU$5, LS_current!$D$2:$AY$2&amp;LS_current!$D$3:$AY$3, 0)),SUM(VLOOKUP($A18, LS_current!$B$4:$AY$138, LS_current!Z$148, FALSE), VLOOKUP($A18, LS_current!$B$4:$AY$138,LS_current!AX$148, FALSE))/2)</f>
        <v>390.37544147839981</v>
      </c>
      <c r="CV18" s="180">
        <f t="array" ref="CV18">IF($BT18=0, INDEX(LS_current!$D$4:$AY$138, MATCH('Staging Table'!$A18, LS_current!$B$4:$B$138, 0), MATCH(CV$4&amp;CV$5, LS_current!$D$2:$AY$2&amp;LS_current!$D$3:$AY$3, 0)),SUM(VLOOKUP($A18, LS_current!$B$4:$AY$138, LS_current!AA$148, FALSE), VLOOKUP($A18, LS_current!$B$4:$AY$138,LS_current!AY$148, FALSE))/2)</f>
        <v>374.20270160639984</v>
      </c>
      <c r="CW18" s="182">
        <f t="array" ref="CW18">INDEX(Demand_current!$D$4:$AY$138, MATCH($A18, Demand_current!$B$4:$B$138, 0), MATCH(CW$4&amp;CW$5,Demand_current!$D$2:$AY$2&amp;Demand_current!$D$3:$AY$3, 0))/1000</f>
        <v>0.63814663461538412</v>
      </c>
      <c r="CX18" s="182">
        <f t="array" ref="CX18">INDEX(Demand_current!$D$4:$AY$138, MATCH($A18, Demand_current!$B$4:$B$138, 0), MATCH(CX$4&amp;CX$5,Demand_current!$D$2:$AY$2&amp;Demand_current!$D$3:$AY$3, 0))/1000</f>
        <v>0.91292249999999964</v>
      </c>
      <c r="CY18" s="182">
        <f t="array" ref="CY18">INDEX(Demand_current!$D$4:$AY$138, MATCH($A18, Demand_current!$B$4:$B$138, 0), MATCH(CY$4&amp;CY$5,Demand_current!$D$2:$AY$2&amp;Demand_current!$D$3:$AY$3, 0))/1000</f>
        <v>1.2425550000000003</v>
      </c>
      <c r="CZ18" s="182">
        <f t="array" ref="CZ18">INDEX(Demand_current!$D$4:$AY$138, MATCH($A18, Demand_current!$B$4:$B$138, 0), MATCH(CZ$4&amp;CZ$5,Demand_current!$D$2:$AY$2&amp;Demand_current!$D$3:$AY$3, 0))/1000</f>
        <v>1.3688028846153841</v>
      </c>
      <c r="DA18" s="182">
        <f t="array" ref="DA18">INDEX(Demand_current!$D$4:$AY$138, MATCH($A18, Demand_current!$B$4:$B$138, 0), MATCH(DA$4&amp;DA$5,Demand_current!$D$2:$AY$2&amp;Demand_current!$D$3:$AY$3, 0))/1000</f>
        <v>0.55652499999999994</v>
      </c>
      <c r="DB18" s="182">
        <f t="array" ref="DB18">INDEX(Demand_current!$D$4:$AY$138, MATCH($A18, Demand_current!$B$4:$B$138, 0), MATCH(DB$4&amp;DB$5,Demand_current!$D$2:$AY$2&amp;Demand_current!$D$3:$AY$3, 0))/1000</f>
        <v>1.3331850961538456</v>
      </c>
      <c r="DC18" s="182">
        <f t="array" ref="DC18">INDEX(Demand_current!$D$4:$AY$138, MATCH($A18, Demand_current!$B$4:$B$138, 0), MATCH(DC$4&amp;DC$5,Demand_current!$D$2:$AY$2&amp;Demand_current!$D$3:$AY$3, 0))/1000</f>
        <v>0.87461778846153693</v>
      </c>
      <c r="DD18" s="182">
        <f t="array" ref="DD18">INDEX(Demand_current!$D$4:$AY$138, MATCH($A18, Demand_current!$B$4:$B$138, 0), MATCH(DD$4&amp;DD$5,Demand_current!$D$2:$AY$2&amp;Demand_current!$D$3:$AY$3, 0))/1000</f>
        <v>0.82022115384615379</v>
      </c>
      <c r="DE18" s="182">
        <f t="array" ref="DE18">INDEX(Demand_current!$D$4:$AY$138, MATCH($A18, Demand_current!$B$4:$B$138, 0), MATCH(DE$4&amp;DE$5,Demand_current!$D$2:$AY$2&amp;Demand_current!$D$3:$AY$3, 0))/1000</f>
        <v>1.2807699999999984</v>
      </c>
      <c r="DF18" s="182">
        <f t="array" ref="DF18">INDEX(Demand_current!$D$4:$AY$138, MATCH($A18, Demand_current!$B$4:$B$138, 0), MATCH(DF$4&amp;DF$5,Demand_current!$D$2:$AY$2&amp;Demand_current!$D$3:$AY$3, 0))/1000</f>
        <v>1.1821057692307708</v>
      </c>
      <c r="DG18" s="182">
        <f t="array" ref="DG18">INDEX(Demand_current!$D$4:$AY$138, MATCH($A18, Demand_current!$B$4:$B$138, 0), MATCH(DG$4&amp;DG$5,Demand_current!$D$2:$AY$2&amp;Demand_current!$D$3:$AY$3, 0))/1000</f>
        <v>1.5681041666666677</v>
      </c>
      <c r="DH18" s="182">
        <f t="array" ref="DH18">INDEX(Demand_current!$D$4:$AY$138, MATCH($A18, Demand_current!$B$4:$B$138, 0), MATCH(DH$4&amp;DH$5,Demand_current!$D$2:$AY$2&amp;Demand_current!$D$3:$AY$3, 0))/1000</f>
        <v>1.0922213541666672</v>
      </c>
      <c r="DI18" s="180">
        <f>$BS18*(VLOOKUP(DI$4, Rates_current!$G$6:$Q$29, 10, FALSE)+VLOOKUP(DI$4, Rates_current!$G$6:$Q$29, 11, FALSE))</f>
        <v>5224.5665782415999</v>
      </c>
      <c r="DJ18" s="180">
        <f>$BS18*(VLOOKUP(DJ$4, Rates_current!$G$6:$Q$29, 10, FALSE)+VLOOKUP(DJ$4, Rates_current!$G$6:$Q$29, 11, FALSE))</f>
        <v>6663.0452036256011</v>
      </c>
      <c r="DK18" s="180">
        <f>$BS18*(VLOOKUP(DK$4, Rates_current!$G$6:$Q$29, 10, FALSE)+VLOOKUP(DK$4, Rates_current!$G$6:$Q$29, 11, FALSE))</f>
        <v>7190.7441323040002</v>
      </c>
      <c r="DL18" s="180">
        <f>$BS18*(VLOOKUP(DL$4, Rates_current!$G$6:$Q$29, 10, FALSE)+VLOOKUP(DL$4, Rates_current!$G$6:$Q$29, 11, FALSE))</f>
        <v>7472.2947549696</v>
      </c>
      <c r="DM18" s="180">
        <f>$BS18*(VLOOKUP(DM$4, Rates_current!$G$6:$Q$29, 10, FALSE)+VLOOKUP(DM$4, Rates_current!$G$6:$Q$29, 11, FALSE))</f>
        <v>6427.1694825791992</v>
      </c>
      <c r="DN18" s="180">
        <f>$BS18*(VLOOKUP(DN$4, Rates_current!$G$6:$Q$29, 10, FALSE)+VLOOKUP(DN$4, Rates_current!$G$6:$Q$29, 11, FALSE))</f>
        <v>7017.1965594143994</v>
      </c>
      <c r="DO18" s="180">
        <f>$BS18*(VLOOKUP(DO$4, Rates_current!$G$6:$Q$29, 10, FALSE)+VLOOKUP(DO$4, Rates_current!$G$6:$Q$29, 11, FALSE))</f>
        <v>5538.8941426871997</v>
      </c>
      <c r="DP18" s="180">
        <f>$BS18*(VLOOKUP(DP$4, Rates_current!$G$6:$Q$29, 10, FALSE)+VLOOKUP(DP$4, Rates_current!$G$6:$Q$29, 11, FALSE))</f>
        <v>6871.7404304496004</v>
      </c>
      <c r="DQ18" s="180">
        <f>$BS18*(VLOOKUP(DQ$4, Rates_current!$G$6:$Q$29, 10, FALSE)+VLOOKUP(DQ$4, Rates_current!$G$6:$Q$29, 11, FALSE))</f>
        <v>7020.8400430511992</v>
      </c>
      <c r="DR18" s="180">
        <f>$BS18*(VLOOKUP(DR$4, Rates_current!$G$6:$Q$29, 10, FALSE)+VLOOKUP(DR$4, Rates_current!$G$6:$Q$29, 11, FALSE))</f>
        <v>6095.1006384335997</v>
      </c>
      <c r="DS18" s="180">
        <f>$BS18*(VLOOKUP(DS$4, Rates_current!$G$6:$Q$29, 10, FALSE)+VLOOKUP(DS$4, Rates_current!$G$6:$Q$29, 11, FALSE))</f>
        <v>5892.3421864718403</v>
      </c>
      <c r="DT18" s="180">
        <f>$BS18*(VLOOKUP(DT$4, Rates_current!$G$6:$Q$29, 10, FALSE)+VLOOKUP(DT$4, Rates_current!$G$6:$Q$29, 11, FALSE))</f>
        <v>5422.0958569152008</v>
      </c>
      <c r="DU18" s="402">
        <f>IF(D18=0,IF(C18=0,MAX(0,DW18 - (VLOOKUP($A18,TOCA_current!$A$2:$AI$137,MATCH("RHWM 2024",TOCA_current!$A$2:$AI$2,0),FALSE)*$BS$2)), 0),0)</f>
        <v>8496.0693522009533</v>
      </c>
      <c r="DV18" s="403">
        <f>MIN(VLOOKUP($A18,TOCA_current!$A$2:$AI$137,MATCH("TRL - NLSL - Existing Resource "&amp;$BS$1,TOCA_current!$A$2:$AI$2,0),FALSE)*$BS$2, VLOOKUP($A18,TOCA_current!$A$2:$AI$137,MATCH("RHWM 2024",TOCA_current!$A$2:$AI$2,0),FALSE)*$BS$2)</f>
        <v>76833.648000000001</v>
      </c>
      <c r="DW18" s="403">
        <f>SUM(BY18:CV18)+(BS18*RT1SC!$C$4*$BS$2)</f>
        <v>85329.717352200954</v>
      </c>
      <c r="DX18" s="403">
        <f>VLOOKUP($A18,TOCA_current!$A$2:$AI$137,MATCH("Above RHWM Not Served with LS "&amp;$BS$1,TOCA_current!$A$2:$AI$2,0),FALSE)*$BS$2</f>
        <v>0</v>
      </c>
      <c r="DY18" s="403">
        <f t="shared" si="13"/>
        <v>8496.0693522009533</v>
      </c>
      <c r="DZ18" s="403">
        <f>(VLOOKUP($A18,TOCA_current!$A$2:$AI$137,MATCH("RHWM 2024",TOCA_current!$A$2:$AI$2,0),FALSE)*$BS$2) - $DV18</f>
        <v>0</v>
      </c>
      <c r="EA18" s="403">
        <f t="shared" si="14"/>
        <v>0</v>
      </c>
      <c r="EB18" s="403">
        <f t="shared" si="15"/>
        <v>0</v>
      </c>
      <c r="EC18" s="403">
        <f t="shared" si="16"/>
        <v>0</v>
      </c>
      <c r="ED18" s="403">
        <f t="shared" si="17"/>
        <v>0</v>
      </c>
    </row>
    <row r="19" spans="1:134">
      <c r="A19" s="123">
        <v>10062</v>
      </c>
      <c r="B19" s="124" t="s">
        <v>20</v>
      </c>
      <c r="C19" s="232">
        <f>VLOOKUP(A19, TOCA_current!$A$3:$D$137, 4, FALSE)</f>
        <v>0</v>
      </c>
      <c r="D19" s="191">
        <v>0</v>
      </c>
      <c r="E19" s="107">
        <f>VLOOKUP($A19,TOCA_previous!$A$2:$AI$137,MATCH(E$4,TOCA_previous!$A$2:$AI$2,0),FALSE)</f>
        <v>7.5319999999999998E-4</v>
      </c>
      <c r="F19" s="108">
        <f>VLOOKUP($A19,TOCA_previous!$A$2:$AI$137,MATCH(F$4,TOCA_previous!$A$2:$AI$2,0),FALSE)</f>
        <v>7.5319999999999998E-4</v>
      </c>
      <c r="G19" s="108">
        <f t="shared" si="5"/>
        <v>0</v>
      </c>
      <c r="H19" s="108">
        <f>VLOOKUP($A19,TOCA_previous!$A$2:$AI$137,MATCH(H$4,TOCA_previous!$A$2:$AI$2,0),FALSE)</f>
        <v>0</v>
      </c>
      <c r="I19" s="108">
        <f t="shared" si="6"/>
        <v>0</v>
      </c>
      <c r="J19" s="108">
        <f t="shared" si="7"/>
        <v>0</v>
      </c>
      <c r="K19" s="179">
        <f>VLOOKUP(A19, IRD!$A$5:$C$139, 3, FALSE)</f>
        <v>0</v>
      </c>
      <c r="L19" s="180">
        <f t="array" ref="L19">IF($G19=0, INDEX(LS_previous!$D$4:$AY$138, MATCH('Staging Table'!$A19, LS_previous!$B$4:$B$138, 0), MATCH(L$4&amp;L$5, LS_previous!$D$2:$AY$2&amp;LS_previous!$D$3:$AY$3, 0)),SUM(VLOOKUP($A19, LS_previous!$B$4:$AY$138, LS_previous!D$149, FALSE), VLOOKUP('Staging Table'!$A19, LS_previous!$B$4:$AY$138,LS_previous!AB$149, FALSE))/2)</f>
        <v>588.27877275186211</v>
      </c>
      <c r="M19" s="180">
        <f t="array" ref="M19">IF($G19=0, INDEX(LS_previous!$D$4:$AY$138, MATCH('Staging Table'!$A19, LS_previous!$B$4:$B$138, 0), MATCH(M$4&amp;M$5, LS_previous!$D$2:$AY$2&amp;LS_previous!$D$3:$AY$3, 0)),SUM(VLOOKUP($A19, LS_previous!$B$4:$AY$138, LS_previous!E$149, FALSE), VLOOKUP('Staging Table'!$A19, LS_previous!$B$4:$AY$138,LS_previous!AC$149, FALSE))/2)</f>
        <v>-98.239646470553453</v>
      </c>
      <c r="N19" s="180">
        <f t="array" ref="N19">IF($G19=0, INDEX(LS_previous!$D$4:$AY$138, MATCH('Staging Table'!$A19, LS_previous!$B$4:$B$138, 0), MATCH(N$4&amp;N$5, LS_previous!$D$2:$AY$2&amp;LS_previous!$D$3:$AY$3, 0)),SUM(VLOOKUP($A19, LS_previous!$B$4:$AY$138, LS_previous!F$149, FALSE), VLOOKUP('Staging Table'!$A19, LS_previous!$B$4:$AY$138,LS_previous!AD$149, FALSE))/2)</f>
        <v>291.91369753759727</v>
      </c>
      <c r="O19" s="180">
        <f t="array" ref="O19">IF($G19=0, INDEX(LS_previous!$D$4:$AY$138, MATCH('Staging Table'!$A19, LS_previous!$B$4:$B$138, 0), MATCH(O$4&amp;O$5, LS_previous!$D$2:$AY$2&amp;LS_previous!$D$3:$AY$3, 0)),SUM(VLOOKUP($A19, LS_previous!$B$4:$AY$138, LS_previous!G$149, FALSE), VLOOKUP('Staging Table'!$A19, LS_previous!$B$4:$AY$138,LS_previous!AE$149, FALSE))/2)</f>
        <v>-126.19327750789694</v>
      </c>
      <c r="P19" s="180">
        <f t="array" ref="P19">IF($G19=0, INDEX(LS_previous!$D$4:$AY$138, MATCH('Staging Table'!$A19, LS_previous!$B$4:$B$138, 0), MATCH(P$4&amp;P$5, LS_previous!$D$2:$AY$2&amp;LS_previous!$D$3:$AY$3, 0)),SUM(VLOOKUP($A19, LS_previous!$B$4:$AY$138, LS_previous!H$149, FALSE), VLOOKUP('Staging Table'!$A19, LS_previous!$B$4:$AY$138,LS_previous!AF$149, FALSE))/2)</f>
        <v>1583.0060554869538</v>
      </c>
      <c r="Q19" s="180">
        <f t="array" ref="Q19">IF($G19=0, INDEX(LS_previous!$D$4:$AY$138, MATCH('Staging Table'!$A19, LS_previous!$B$4:$B$138, 0), MATCH(Q$4&amp;Q$5, LS_previous!$D$2:$AY$2&amp;LS_previous!$D$3:$AY$3, 0)),SUM(VLOOKUP($A19, LS_previous!$B$4:$AY$138, LS_previous!I$149, FALSE), VLOOKUP('Staging Table'!$A19, LS_previous!$B$4:$AY$138,LS_previous!AG$149, FALSE))/2)</f>
        <v>506.95894424732955</v>
      </c>
      <c r="R19" s="180">
        <f t="array" ref="R19">IF($G19=0, INDEX(LS_previous!$D$4:$AY$138, MATCH('Staging Table'!$A19, LS_previous!$B$4:$B$138, 0), MATCH(R$4&amp;R$5, LS_previous!$D$2:$AY$2&amp;LS_previous!$D$3:$AY$3, 0)),SUM(VLOOKUP($A19, LS_previous!$B$4:$AY$138, LS_previous!J$149, FALSE), VLOOKUP('Staging Table'!$A19, LS_previous!$B$4:$AY$138,LS_previous!AH$149, FALSE))/2)</f>
        <v>2230.1711509774777</v>
      </c>
      <c r="S19" s="180">
        <f t="array" ref="S19">IF($G19=0, INDEX(LS_previous!$D$4:$AY$138, MATCH('Staging Table'!$A19, LS_previous!$B$4:$B$138, 0), MATCH(S$4&amp;S$5, LS_previous!$D$2:$AY$2&amp;LS_previous!$D$3:$AY$3, 0)),SUM(VLOOKUP($A19, LS_previous!$B$4:$AY$138, LS_previous!K$149, FALSE), VLOOKUP('Staging Table'!$A19, LS_previous!$B$4:$AY$138,LS_previous!AI$149, FALSE))/2)</f>
        <v>919.68033511265071</v>
      </c>
      <c r="T19" s="180">
        <f t="array" ref="T19">IF($G19=0, INDEX(LS_previous!$D$4:$AY$138, MATCH('Staging Table'!$A19, LS_previous!$B$4:$B$138, 0), MATCH(T$4&amp;T$5, LS_previous!$D$2:$AY$2&amp;LS_previous!$D$3:$AY$3, 0)),SUM(VLOOKUP($A19, LS_previous!$B$4:$AY$138, LS_previous!L$149, FALSE), VLOOKUP('Staging Table'!$A19, LS_previous!$B$4:$AY$138,LS_previous!AJ$149, FALSE))/2)</f>
        <v>1860.8440003634284</v>
      </c>
      <c r="U19" s="180">
        <f t="array" ref="U19">IF($G19=0, INDEX(LS_previous!$D$4:$AY$138, MATCH('Staging Table'!$A19, LS_previous!$B$4:$B$138, 0), MATCH(U$4&amp;U$5, LS_previous!$D$2:$AY$2&amp;LS_previous!$D$3:$AY$3, 0)),SUM(VLOOKUP($A19, LS_previous!$B$4:$AY$138, LS_previous!M$149, FALSE), VLOOKUP('Staging Table'!$A19, LS_previous!$B$4:$AY$138,LS_previous!AK$149, FALSE))/2)</f>
        <v>678.34418645409369</v>
      </c>
      <c r="V19" s="180">
        <f t="array" ref="V19">IF($G19=0, INDEX(LS_previous!$D$4:$AY$138, MATCH('Staging Table'!$A19, LS_previous!$B$4:$B$138, 0), MATCH(V$4&amp;V$5, LS_previous!$D$2:$AY$2&amp;LS_previous!$D$3:$AY$3, 0)),SUM(VLOOKUP($A19, LS_previous!$B$4:$AY$138, LS_previous!N$149, FALSE), VLOOKUP('Staging Table'!$A19, LS_previous!$B$4:$AY$138,LS_previous!AL$149, FALSE))/2)</f>
        <v>863.36667591217883</v>
      </c>
      <c r="W19" s="180">
        <f t="array" ref="W19">IF($G19=0, INDEX(LS_previous!$D$4:$AY$138, MATCH('Staging Table'!$A19, LS_previous!$B$4:$B$138, 0), MATCH(W$4&amp;W$5, LS_previous!$D$2:$AY$2&amp;LS_previous!$D$3:$AY$3, 0)),SUM(VLOOKUP($A19, LS_previous!$B$4:$AY$138, LS_previous!O$149, FALSE), VLOOKUP('Staging Table'!$A19, LS_previous!$B$4:$AY$138,LS_previous!AM$149, FALSE))/2)</f>
        <v>89.592226456587241</v>
      </c>
      <c r="X19" s="180">
        <f t="array" ref="X19">IF($G19=0, INDEX(LS_previous!$D$4:$AY$138, MATCH('Staging Table'!$A19, LS_previous!$B$4:$B$138, 0), MATCH(X$4&amp;X$5, LS_previous!$D$2:$AY$2&amp;LS_previous!$D$3:$AY$3, 0)),SUM(VLOOKUP($A19, LS_previous!$B$4:$AY$138, LS_previous!P$149, FALSE), VLOOKUP('Staging Table'!$A19, LS_previous!$B$4:$AY$138,LS_previous!AN$149, FALSE))/2)</f>
        <v>319.26837199233819</v>
      </c>
      <c r="Y19" s="180">
        <f t="array" ref="Y19">IF($G19=0, INDEX(LS_previous!$D$4:$AY$138, MATCH('Staging Table'!$A19, LS_previous!$B$4:$B$138, 0), MATCH(Y$4&amp;Y$5, LS_previous!$D$2:$AY$2&amp;LS_previous!$D$3:$AY$3, 0)),SUM(VLOOKUP($A19, LS_previous!$B$4:$AY$138, LS_previous!Q$149, FALSE), VLOOKUP('Staging Table'!$A19, LS_previous!$B$4:$AY$138,LS_previous!AO$149, FALSE))/2)</f>
        <v>-279.41389612801072</v>
      </c>
      <c r="Z19" s="180">
        <f t="array" ref="Z19">IF($G19=0, INDEX(LS_previous!$D$4:$AY$138, MATCH('Staging Table'!$A19, LS_previous!$B$4:$B$138, 0), MATCH(Z$4&amp;Z$5, LS_previous!$D$2:$AY$2&amp;LS_previous!$D$3:$AY$3, 0)),SUM(VLOOKUP($A19, LS_previous!$B$4:$AY$138, LS_previous!R$149, FALSE), VLOOKUP('Staging Table'!$A19, LS_previous!$B$4:$AY$138,LS_previous!AP$149, FALSE))/2)</f>
        <v>-1796.7865265543396</v>
      </c>
      <c r="AA19" s="180">
        <f t="array" ref="AA19">IF($G19=0, INDEX(LS_previous!$D$4:$AY$138, MATCH('Staging Table'!$A19, LS_previous!$B$4:$B$138, 0), MATCH(AA$4&amp;AA$5, LS_previous!$D$2:$AY$2&amp;LS_previous!$D$3:$AY$3, 0)),SUM(VLOOKUP($A19, LS_previous!$B$4:$AY$138, LS_previous!S$149, FALSE), VLOOKUP('Staging Table'!$A19, LS_previous!$B$4:$AY$138,LS_previous!AQ$149, FALSE))/2)</f>
        <v>-1455.8412360491347</v>
      </c>
      <c r="AB19" s="180">
        <f t="array" ref="AB19">IF($G19=0, INDEX(LS_previous!$D$4:$AY$138, MATCH('Staging Table'!$A19, LS_previous!$B$4:$B$138, 0), MATCH(AB$4&amp;AB$5, LS_previous!$D$2:$AY$2&amp;LS_previous!$D$3:$AY$3, 0)),SUM(VLOOKUP($A19, LS_previous!$B$4:$AY$138, LS_previous!T$149, FALSE), VLOOKUP('Staging Table'!$A19, LS_previous!$B$4:$AY$138,LS_previous!AR$149, FALSE))/2)</f>
        <v>-1993.8270700120975</v>
      </c>
      <c r="AC19" s="180">
        <f t="array" ref="AC19">IF($G19=0, INDEX(LS_previous!$D$4:$AY$138, MATCH('Staging Table'!$A19, LS_previous!$B$4:$B$138, 0), MATCH(AC$4&amp;AC$5, LS_previous!$D$2:$AY$2&amp;LS_previous!$D$3:$AY$3, 0)),SUM(VLOOKUP($A19, LS_previous!$B$4:$AY$138, LS_previous!U$149, FALSE), VLOOKUP('Staging Table'!$A19, LS_previous!$B$4:$AY$138,LS_previous!AS$149, FALSE))/2)</f>
        <v>-1396.6428715824711</v>
      </c>
      <c r="AD19" s="180">
        <f t="array" ref="AD19">IF($G19=0, INDEX(LS_previous!$D$4:$AY$138, MATCH('Staging Table'!$A19, LS_previous!$B$4:$B$138, 0), MATCH(AD$4&amp;AD$5, LS_previous!$D$2:$AY$2&amp;LS_previous!$D$3:$AY$3, 0)),SUM(VLOOKUP($A19, LS_previous!$B$4:$AY$138, LS_previous!V$149, FALSE), VLOOKUP('Staging Table'!$A19, LS_previous!$B$4:$AY$138,LS_previous!AT$149, FALSE))/2)</f>
        <v>-1024.0595683541392</v>
      </c>
      <c r="AE19" s="180">
        <f t="array" ref="AE19">IF($G19=0, INDEX(LS_previous!$D$4:$AY$138, MATCH('Staging Table'!$A19, LS_previous!$B$4:$B$138, 0), MATCH(AE$4&amp;AE$5, LS_previous!$D$2:$AY$2&amp;LS_previous!$D$3:$AY$3, 0)),SUM(VLOOKUP($A19, LS_previous!$B$4:$AY$138, LS_previous!W$149, FALSE), VLOOKUP('Staging Table'!$A19, LS_previous!$B$4:$AY$138,LS_previous!AU$149, FALSE))/2)</f>
        <v>-999.90838843869801</v>
      </c>
      <c r="AF19" s="180">
        <f t="array" ref="AF19">IF($G19=0, INDEX(LS_previous!$D$4:$AY$138, MATCH('Staging Table'!$A19, LS_previous!$B$4:$B$138, 0), MATCH(AF$4&amp;AF$5, LS_previous!$D$2:$AY$2&amp;LS_previous!$D$3:$AY$3, 0)),SUM(VLOOKUP($A19, LS_previous!$B$4:$AY$138, LS_previous!X$149, FALSE), VLOOKUP('Staging Table'!$A19, LS_previous!$B$4:$AY$138,LS_previous!AV$149, FALSE))/2)</f>
        <v>-96.955194562697216</v>
      </c>
      <c r="AG19" s="180">
        <f t="array" ref="AG19">IF($G19=0, INDEX(LS_previous!$D$4:$AY$138, MATCH('Staging Table'!$A19, LS_previous!$B$4:$B$138, 0), MATCH(AG$4&amp;AG$5, LS_previous!$D$2:$AY$2&amp;LS_previous!$D$3:$AY$3, 0)),SUM(VLOOKUP($A19, LS_previous!$B$4:$AY$138, LS_previous!Y$149, FALSE), VLOOKUP('Staging Table'!$A19, LS_previous!$B$4:$AY$138,LS_previous!AW$149, FALSE))/2)</f>
        <v>-347.00668106045896</v>
      </c>
      <c r="AH19" s="180">
        <f t="array" ref="AH19">IF($G19=0, INDEX(LS_previous!$D$4:$AY$138, MATCH('Staging Table'!$A19, LS_previous!$B$4:$B$138, 0), MATCH(AH$4&amp;AH$5, LS_previous!$D$2:$AY$2&amp;LS_previous!$D$3:$AY$3, 0)),SUM(VLOOKUP($A19, LS_previous!$B$4:$AY$138, LS_previous!Z$149, FALSE), VLOOKUP('Staging Table'!$A19, LS_previous!$B$4:$AY$138,LS_previous!AX$149, FALSE))/2)</f>
        <v>-127.56373731547274</v>
      </c>
      <c r="AI19" s="180">
        <f t="array" ref="AI19">IF($G19=0, INDEX(LS_previous!$D$4:$AY$138, MATCH('Staging Table'!$A19, LS_previous!$B$4:$B$138, 0), MATCH(AI$4&amp;AI$5, LS_previous!$D$2:$AY$2&amp;LS_previous!$D$3:$AY$3, 0)),SUM(VLOOKUP($A19, LS_previous!$B$4:$AY$138, LS_previous!AA$149, FALSE), VLOOKUP('Staging Table'!$A19, LS_previous!$B$4:$AY$138,LS_previous!AY$149, FALSE))/2)</f>
        <v>-405.29229510299524</v>
      </c>
      <c r="AJ19" s="298">
        <f t="array" ref="AJ19">INDEX(Demand_previous!$D$4:$AY$138, MATCH('Staging Table'!$A19, Demand_previous!$B$4:$B$138, 0), MATCH(AJ$4&amp;AJ$5,Demand_previous!$D$2:$AY$2&amp;Demand_previous!$D$3:$AY$3, 0))/1000</f>
        <v>0</v>
      </c>
      <c r="AK19" s="298">
        <f t="array" ref="AK19">INDEX(Demand_previous!$D$4:$AY$138, MATCH('Staging Table'!$A19, Demand_previous!$B$4:$B$138, 0), MATCH(AK$4&amp;AK$5,Demand_previous!$D$2:$AY$2&amp;Demand_previous!$D$3:$AY$3, 0))/1000</f>
        <v>1.0092649999999994</v>
      </c>
      <c r="AL19" s="298">
        <f t="array" ref="AL19">INDEX(Demand_previous!$D$4:$AY$138, MATCH('Staging Table'!$A19, Demand_previous!$B$4:$B$138, 0), MATCH(AL$4&amp;AL$5,Demand_previous!$D$2:$AY$2&amp;Demand_previous!$D$3:$AY$3, 0))/1000</f>
        <v>1.9654543269230784</v>
      </c>
      <c r="AM19" s="298">
        <f t="array" ref="AM19">INDEX(Demand_previous!$D$4:$AY$138, MATCH('Staging Table'!$A19, Demand_previous!$B$4:$B$138, 0), MATCH(AM$4&amp;AM$5,Demand_previous!$D$2:$AY$2&amp;Demand_previous!$D$3:$AY$3, 0))/1000</f>
        <v>0.11464750000000068</v>
      </c>
      <c r="AN19" s="298">
        <f t="array" ref="AN19">INDEX(Demand_previous!$D$4:$AY$138, MATCH('Staging Table'!$A19, Demand_previous!$B$4:$B$138, 0), MATCH(AN$4&amp;AN$5,Demand_previous!$D$2:$AY$2&amp;Demand_previous!$D$3:$AY$3, 0))/1000</f>
        <v>0.38522135416666625</v>
      </c>
      <c r="AO19" s="298">
        <f t="array" ref="AO19">INDEX(Demand_previous!$D$4:$AY$138, MATCH('Staging Table'!$A19, Demand_previous!$B$4:$B$138, 0), MATCH(AO$4&amp;AO$5,Demand_previous!$D$2:$AY$2&amp;Demand_previous!$D$3:$AY$3, 0))/1000</f>
        <v>0.53235185185185219</v>
      </c>
      <c r="AP19" s="298">
        <f t="array" ref="AP19">INDEX(Demand_previous!$D$4:$AY$138, MATCH('Staging Table'!$A19, Demand_previous!$B$4:$B$138, 0), MATCH(AP$4&amp;AP$5,Demand_previous!$D$2:$AY$2&amp;Demand_previous!$D$3:$AY$3, 0))/1000</f>
        <v>0.93203605769230702</v>
      </c>
      <c r="AQ19" s="298">
        <f t="array" ref="AQ19">INDEX(Demand_previous!$D$4:$AY$138, MATCH('Staging Table'!$A19, Demand_previous!$B$4:$B$138, 0), MATCH(AQ$4&amp;AQ$5,Demand_previous!$D$2:$AY$2&amp;Demand_previous!$D$3:$AY$3, 0))/1000</f>
        <v>0.85204500000000061</v>
      </c>
      <c r="AR19" s="298">
        <f t="array" ref="AR19">INDEX(Demand_previous!$D$4:$AY$138, MATCH('Staging Table'!$A19, Demand_previous!$B$4:$B$138, 0), MATCH(AR$4&amp;AR$5,Demand_previous!$D$2:$AY$2&amp;Demand_previous!$D$3:$AY$3, 0))/1000</f>
        <v>0.45428365384615366</v>
      </c>
      <c r="AS19" s="298">
        <f t="array" ref="AS19">INDEX(Demand_previous!$D$4:$AY$138, MATCH('Staging Table'!$A19, Demand_previous!$B$4:$B$138, 0), MATCH(AS$4&amp;AS$5,Demand_previous!$D$2:$AY$2&amp;Demand_previous!$D$3:$AY$3, 0))/1000</f>
        <v>0.67709500000000145</v>
      </c>
      <c r="AT19" s="298">
        <f t="array" ref="AT19">INDEX(Demand_previous!$D$4:$AY$138, MATCH('Staging Table'!$A19, Demand_previous!$B$4:$B$138, 0), MATCH(AT$4&amp;AT$5,Demand_previous!$D$2:$AY$2&amp;Demand_previous!$D$3:$AY$3, 0))/1000</f>
        <v>0.93620833333333375</v>
      </c>
      <c r="AU19" s="298">
        <f t="array" ref="AU19">INDEX(Demand_previous!$D$4:$AY$138, MATCH('Staging Table'!$A19, Demand_previous!$B$4:$B$138, 0), MATCH(AU$4&amp;AU$5,Demand_previous!$D$2:$AY$2&amp;Demand_previous!$D$3:$AY$3, 0))/1000</f>
        <v>0.6670024999999995</v>
      </c>
      <c r="AV19" s="180">
        <f>$F19*(VLOOKUP(AV$4, Rates_previous!$G$6:$Q$29, 10, FALSE)+VLOOKUP(AV$4, Rates_previous!$G$6:$Q$29, 11, FALSE))</f>
        <v>3430.0158737186916</v>
      </c>
      <c r="AW19" s="180">
        <f>$F19*(VLOOKUP(AW$4, Rates_previous!$G$6:$Q$29, 10, FALSE)+VLOOKUP(AW$4, Rates_previous!$G$6:$Q$29, 11, FALSE))</f>
        <v>4342.5245799703007</v>
      </c>
      <c r="AX19" s="180">
        <f>$F19*(VLOOKUP(AX$4, Rates_previous!$G$6:$Q$29, 10, FALSE)+VLOOKUP(AX$4, Rates_previous!$G$6:$Q$29, 11, FALSE))</f>
        <v>4250.464000265717</v>
      </c>
      <c r="AY19" s="180">
        <f>$F19*(VLOOKUP(AY$4, Rates_previous!$G$6:$Q$29, 10, FALSE)+VLOOKUP(AY$4, Rates_previous!$G$6:$Q$29, 11, FALSE))</f>
        <v>3510.7025139098723</v>
      </c>
      <c r="AZ19" s="180">
        <f>$F19*(VLOOKUP(AZ$4, Rates_previous!$G$6:$Q$29, 10, FALSE)+VLOOKUP(AZ$4, Rates_previous!$G$6:$Q$29, 11, FALSE))</f>
        <v>3042.8028131824776</v>
      </c>
      <c r="BA19" s="180">
        <f>$F19*(VLOOKUP(BA$4, Rates_previous!$G$6:$Q$29, 10, FALSE)+VLOOKUP(BA$4, Rates_previous!$G$6:$Q$29, 11, FALSE))</f>
        <v>3632.4920976312346</v>
      </c>
      <c r="BB19" s="180">
        <f>$F19*(VLOOKUP(BB$4, Rates_previous!$G$6:$Q$29, 10, FALSE)+VLOOKUP(BB$4, Rates_previous!$G$6:$Q$29, 11, FALSE))</f>
        <v>2820.1465241356723</v>
      </c>
      <c r="BC19" s="180">
        <f>$F19*(VLOOKUP(BC$4, Rates_previous!$G$6:$Q$29, 10, FALSE)+VLOOKUP(BC$4, Rates_previous!$G$6:$Q$29, 11, FALSE))</f>
        <v>3907.3337626034736</v>
      </c>
      <c r="BD19" s="180">
        <f>$F19*(VLOOKUP(BD$4, Rates_previous!$G$6:$Q$29, 10, FALSE)+VLOOKUP(BD$4, Rates_previous!$G$6:$Q$29, 11, FALSE))</f>
        <v>4175.0679415945679</v>
      </c>
      <c r="BE19" s="180">
        <f>$F19*(VLOOKUP(BE$4, Rates_previous!$G$6:$Q$29, 10, FALSE)+VLOOKUP(BE$4, Rates_previous!$G$6:$Q$29, 11, FALSE))</f>
        <v>3964.0379567928371</v>
      </c>
      <c r="BF19" s="180">
        <f>$F19*(VLOOKUP(BF$4, Rates_previous!$G$6:$Q$29, 10, FALSE)+VLOOKUP(BF$4, Rates_previous!$G$6:$Q$29, 11, FALSE))</f>
        <v>3830.9368756231561</v>
      </c>
      <c r="BG19" s="180">
        <f>$F19*(VLOOKUP(BG$4, Rates_previous!$G$6:$Q$29, 10, FALSE)+VLOOKUP(BG$4, Rates_previous!$G$6:$Q$29, 11, FALSE))</f>
        <v>3540.1850324184679</v>
      </c>
      <c r="BH19" s="298">
        <f>IF($D19=0,IF(C19=0, MAX(BJ19 - (VLOOKUP($A19,TOCA_previous!$A$2:$AI$137,MATCH("RHWM 2022",TOCA_previous!$A$2:$AI$2,0),FALSE)*$F$2*TOCA_previous!C16),0),0), 0)</f>
        <v>0</v>
      </c>
      <c r="BI19" s="192">
        <f>MIN(VLOOKUP($A19,TOCA_previous!$A$2:$AI$137,MATCH("TRL - NLSL - Existing Resource "&amp;$F$1,TOCA_previous!$A$2:$AI$2,0),FALSE)*$F$2,(VLOOKUP($A19,TOCA_previous!$A$2:$AI$137,MATCH("RHWM 2022",TOCA_previous!$A$2:$AI$2,0),FALSE)*$F$2))</f>
        <v>44448.24</v>
      </c>
      <c r="BJ19" s="402">
        <f>SUM(L19:AI19)+(F19*RT1SC!$C$3*$F$2)</f>
        <v>44230.406273641536</v>
      </c>
      <c r="BK19" s="401">
        <f>VLOOKUP($A19,TOCA_previous!$A$2:$AI$137,MATCH("Above RHWM Not Served with LS "&amp;$F$1,TOCA_previous!$A$2:$AI$2,0),FALSE)*$F$2</f>
        <v>18360.96</v>
      </c>
      <c r="BL19" s="402">
        <f t="shared" si="8"/>
        <v>-217.83372635846172</v>
      </c>
      <c r="BM19" s="401">
        <f>(VLOOKUP($A19,TOCA_previous!$A$2:$AI$137,MATCH("RHWM 2022",TOCA_previous!$A$2:$AI$2,0),FALSE)*$F$2) - $BI19</f>
        <v>0</v>
      </c>
      <c r="BN19" s="402">
        <f t="shared" si="9"/>
        <v>0</v>
      </c>
      <c r="BO19" s="401">
        <f t="shared" si="10"/>
        <v>0</v>
      </c>
      <c r="BP19" s="402">
        <f t="shared" si="11"/>
        <v>0</v>
      </c>
      <c r="BQ19" s="401">
        <f t="shared" si="2"/>
        <v>0</v>
      </c>
      <c r="BR19" s="108">
        <f>VLOOKUP($A19,TOCA_current!$A$2:$AI$137,MATCH(BR$4,TOCA_current!$A$2:$AI$2,0),FALSE)</f>
        <v>7.5319999999999998E-4</v>
      </c>
      <c r="BS19" s="108">
        <f>VLOOKUP($A19,TOCA_current!$A$2:$AI$137,MATCH(BS$4,TOCA_current!$A$2:$AI$2,0),FALSE)</f>
        <v>7.5319999999999998E-4</v>
      </c>
      <c r="BT19" s="189">
        <f t="shared" si="12"/>
        <v>0</v>
      </c>
      <c r="BU19" s="108">
        <f>VLOOKUP($A19,TOCA_current!A15:BG150,MATCH(BU$4,TOCA_current!$A$2:$BG$2,0),FALSE)</f>
        <v>0</v>
      </c>
      <c r="BV19" s="108">
        <f t="shared" si="3"/>
        <v>0</v>
      </c>
      <c r="BW19" s="108">
        <f t="shared" si="4"/>
        <v>0</v>
      </c>
      <c r="BX19" s="179">
        <f>VLOOKUP($A19,IRD!$A$4:$G$139, 7, FALSE)</f>
        <v>0</v>
      </c>
      <c r="BY19" s="180">
        <f t="array" ref="BY19">IF($BT19=0, INDEX(LS_current!$D$4:$AY$138, MATCH('Staging Table'!$A19, LS_current!$B$4:$B$138, 0), MATCH(BY$4&amp;BY$5, LS_current!$D$2:$AY$2&amp;LS_current!$D$3:$AY$3, 0)),SUM(VLOOKUP($A19, LS_current!$B$4:$AY$138, LS_current!D$148, FALSE), VLOOKUP($A19, LS_current!$B$4:$AY$138,LS_current!AB$148, FALSE))/2)</f>
        <v>986.35715208479996</v>
      </c>
      <c r="BZ19" s="180">
        <f t="array" ref="BZ19">IF($BT19=0, INDEX(LS_current!$D$4:$AY$138, MATCH('Staging Table'!$A19, LS_current!$B$4:$B$138, 0), MATCH(BZ$4&amp;BZ$5, LS_current!$D$2:$AY$2&amp;LS_current!$D$3:$AY$3, 0)),SUM(VLOOKUP($A19, LS_current!$B$4:$AY$138, LS_current!E$148, FALSE), VLOOKUP($A19, LS_current!$B$4:$AY$138,LS_current!AC$148, FALSE))/2)</f>
        <v>-28.145145246600123</v>
      </c>
      <c r="CA19" s="180">
        <f t="array" ref="CA19">IF($BT19=0, INDEX(LS_current!$D$4:$AY$138, MATCH('Staging Table'!$A19, LS_current!$B$4:$B$138, 0), MATCH(CA$4&amp;CA$5, LS_current!$D$2:$AY$2&amp;LS_current!$D$3:$AY$3, 0)),SUM(VLOOKUP($A19, LS_current!$B$4:$AY$138, LS_current!F$148, FALSE), VLOOKUP($A19, LS_current!$B$4:$AY$138,LS_current!AD$148, FALSE))/2)</f>
        <v>613.88214455039997</v>
      </c>
      <c r="CB19" s="180">
        <f t="array" ref="CB19">IF($BT19=0, INDEX(LS_current!$D$4:$AY$138, MATCH('Staging Table'!$A19, LS_current!$B$4:$B$138, 0), MATCH(CB$4&amp;CB$5, LS_current!$D$2:$AY$2&amp;LS_current!$D$3:$AY$3, 0)),SUM(VLOOKUP($A19, LS_current!$B$4:$AY$138, LS_current!G$148, FALSE), VLOOKUP($A19, LS_current!$B$4:$AY$138,LS_current!AE$148, FALSE))/2)</f>
        <v>50.961215130800156</v>
      </c>
      <c r="CC19" s="180">
        <f t="array" ref="CC19">IF($BT19=0, INDEX(LS_current!$D$4:$AY$138, MATCH('Staging Table'!$A19, LS_current!$B$4:$B$138, 0), MATCH(CC$4&amp;CC$5, LS_current!$D$2:$AY$2&amp;LS_current!$D$3:$AY$3, 0)),SUM(VLOOKUP($A19, LS_current!$B$4:$AY$138, LS_current!H$148, FALSE), VLOOKUP($A19, LS_current!$B$4:$AY$138,LS_current!AF$148, FALSE))/2)</f>
        <v>1509.1331413851999</v>
      </c>
      <c r="CD19" s="180">
        <f t="array" ref="CD19">IF($BT19=0, INDEX(LS_current!$D$4:$AY$138, MATCH('Staging Table'!$A19, LS_current!$B$4:$B$138, 0), MATCH(CD$4&amp;CD$5, LS_current!$D$2:$AY$2&amp;LS_current!$D$3:$AY$3, 0)),SUM(VLOOKUP($A19, LS_current!$B$4:$AY$138, LS_current!I$148, FALSE), VLOOKUP($A19, LS_current!$B$4:$AY$138,LS_current!AG$148, FALSE))/2)</f>
        <v>673.61554817279989</v>
      </c>
      <c r="CE19" s="180">
        <f t="array" ref="CE19">IF($BT19=0, INDEX(LS_current!$D$4:$AY$138, MATCH('Staging Table'!$A19, LS_current!$B$4:$B$138, 0), MATCH(CE$4&amp;CE$5, LS_current!$D$2:$AY$2&amp;LS_current!$D$3:$AY$3, 0)),SUM(VLOOKUP($A19, LS_current!$B$4:$AY$138, LS_current!J$148, FALSE), VLOOKUP($A19, LS_current!$B$4:$AY$138,LS_current!AH$148, FALSE))/2)</f>
        <v>1500.7220002619997</v>
      </c>
      <c r="CF19" s="180">
        <f t="array" ref="CF19">IF($BT19=0, INDEX(LS_current!$D$4:$AY$138, MATCH('Staging Table'!$A19, LS_current!$B$4:$B$138, 0), MATCH(CF$4&amp;CF$5, LS_current!$D$2:$AY$2&amp;LS_current!$D$3:$AY$3, 0)),SUM(VLOOKUP($A19, LS_current!$B$4:$AY$138, LS_current!K$148, FALSE), VLOOKUP($A19, LS_current!$B$4:$AY$138,LS_current!AI$148, FALSE))/2)</f>
        <v>830.9114365572002</v>
      </c>
      <c r="CG19" s="180">
        <f t="array" ref="CG19">IF($BT19=0, INDEX(LS_current!$D$4:$AY$138, MATCH('Staging Table'!$A19, LS_current!$B$4:$B$138, 0), MATCH(CG$4&amp;CG$5, LS_current!$D$2:$AY$2&amp;LS_current!$D$3:$AY$3, 0)),SUM(VLOOKUP($A19, LS_current!$B$4:$AY$138, LS_current!L$148, FALSE), VLOOKUP($A19, LS_current!$B$4:$AY$138,LS_current!AJ$148, FALSE))/2)</f>
        <v>1225.2781039371998</v>
      </c>
      <c r="CH19" s="180">
        <f t="array" ref="CH19">IF($BT19=0, INDEX(LS_current!$D$4:$AY$138, MATCH('Staging Table'!$A19, LS_current!$B$4:$B$138, 0), MATCH(CH$4&amp;CH$5, LS_current!$D$2:$AY$2&amp;LS_current!$D$3:$AY$3, 0)),SUM(VLOOKUP($A19, LS_current!$B$4:$AY$138, LS_current!M$148, FALSE), VLOOKUP($A19, LS_current!$B$4:$AY$138,LS_current!AK$148, FALSE))/2)</f>
        <v>599.21784448120002</v>
      </c>
      <c r="CI19" s="180">
        <f t="array" ref="CI19">IF($BT19=0, INDEX(LS_current!$D$4:$AY$138, MATCH('Staging Table'!$A19, LS_current!$B$4:$B$138, 0), MATCH(CI$4&amp;CI$5, LS_current!$D$2:$AY$2&amp;LS_current!$D$3:$AY$3, 0)),SUM(VLOOKUP($A19, LS_current!$B$4:$AY$138, LS_current!N$148, FALSE), VLOOKUP($A19, LS_current!$B$4:$AY$138,LS_current!AL$148, FALSE))/2)</f>
        <v>649.92092408839972</v>
      </c>
      <c r="CJ19" s="180">
        <f t="array" ref="CJ19">IF($BT19=0, INDEX(LS_current!$D$4:$AY$138, MATCH('Staging Table'!$A19, LS_current!$B$4:$B$138, 0), MATCH(CJ$4&amp;CJ$5, LS_current!$D$2:$AY$2&amp;LS_current!$D$3:$AY$3, 0)),SUM(VLOOKUP($A19, LS_current!$B$4:$AY$138, LS_current!O$148, FALSE), VLOOKUP($A19, LS_current!$B$4:$AY$138,LS_current!AM$148, FALSE))/2)</f>
        <v>-116.88788318959973</v>
      </c>
      <c r="CK19" s="180">
        <f t="array" ref="CK19">IF($BT19=0, INDEX(LS_current!$D$4:$AY$138, MATCH('Staging Table'!$A19, LS_current!$B$4:$B$138, 0), MATCH(CK$4&amp;CK$5, LS_current!$D$2:$AY$2&amp;LS_current!$D$3:$AY$3, 0)),SUM(VLOOKUP($A19, LS_current!$B$4:$AY$138, LS_current!P$148, FALSE), VLOOKUP($A19, LS_current!$B$4:$AY$138,LS_current!AN$148, FALSE))/2)</f>
        <v>127.25946198700012</v>
      </c>
      <c r="CL19" s="180">
        <f t="array" ref="CL19">IF($BT19=0, INDEX(LS_current!$D$4:$AY$138, MATCH('Staging Table'!$A19, LS_current!$B$4:$B$138, 0), MATCH(CL$4&amp;CL$5, LS_current!$D$2:$AY$2&amp;LS_current!$D$3:$AY$3, 0)),SUM(VLOOKUP($A19, LS_current!$B$4:$AY$138, LS_current!Q$148, FALSE), VLOOKUP($A19, LS_current!$B$4:$AY$138,LS_current!AO$148, FALSE))/2)</f>
        <v>-427.23677939009985</v>
      </c>
      <c r="CM19" s="180">
        <f t="array" ref="CM19">IF($BT19=0, INDEX(LS_current!$D$4:$AY$138, MATCH('Staging Table'!$A19, LS_current!$B$4:$B$138, 0), MATCH(CM$4&amp;CM$5, LS_current!$D$2:$AY$2&amp;LS_current!$D$3:$AY$3, 0)),SUM(VLOOKUP($A19, LS_current!$B$4:$AY$138, LS_current!R$148, FALSE), VLOOKUP($A19, LS_current!$B$4:$AY$138,LS_current!AP$148, FALSE))/2)</f>
        <v>-1616.3664499136003</v>
      </c>
      <c r="CN19" s="180">
        <f t="array" ref="CN19">IF($BT19=0, INDEX(LS_current!$D$4:$AY$138, MATCH('Staging Table'!$A19, LS_current!$B$4:$B$138, 0), MATCH(CN$4&amp;CN$5, LS_current!$D$2:$AY$2&amp;LS_current!$D$3:$AY$3, 0)),SUM(VLOOKUP($A19, LS_current!$B$4:$AY$138, LS_current!S$148, FALSE), VLOOKUP($A19, LS_current!$B$4:$AY$138,LS_current!AQ$148, FALSE))/2)</f>
        <v>-1692.5884901822001</v>
      </c>
      <c r="CO19" s="180">
        <f t="array" ref="CO19">IF($BT19=0, INDEX(LS_current!$D$4:$AY$138, MATCH('Staging Table'!$A19, LS_current!$B$4:$B$138, 0), MATCH(CO$4&amp;CO$5, LS_current!$D$2:$AY$2&amp;LS_current!$D$3:$AY$3, 0)),SUM(VLOOKUP($A19, LS_current!$B$4:$AY$138, LS_current!T$148, FALSE), VLOOKUP($A19, LS_current!$B$4:$AY$138,LS_current!AR$148, FALSE))/2)</f>
        <v>-1548.3399698631997</v>
      </c>
      <c r="CP19" s="180">
        <f t="array" ref="CP19">IF($BT19=0, INDEX(LS_current!$D$4:$AY$138, MATCH('Staging Table'!$A19, LS_current!$B$4:$B$138, 0), MATCH(CP$4&amp;CP$5, LS_current!$D$2:$AY$2&amp;LS_current!$D$3:$AY$3, 0)),SUM(VLOOKUP($A19, LS_current!$B$4:$AY$138, LS_current!U$148, FALSE), VLOOKUP($A19, LS_current!$B$4:$AY$138,LS_current!AS$148, FALSE))/2)</f>
        <v>-1728.3659710494001</v>
      </c>
      <c r="CQ19" s="180">
        <f t="array" ref="CQ19">IF($BT19=0, INDEX(LS_current!$D$4:$AY$138, MATCH('Staging Table'!$A19, LS_current!$B$4:$B$138, 0), MATCH(CQ$4&amp;CQ$5, LS_current!$D$2:$AY$2&amp;LS_current!$D$3:$AY$3, 0)),SUM(VLOOKUP($A19, LS_current!$B$4:$AY$138, LS_current!V$148, FALSE), VLOOKUP($A19, LS_current!$B$4:$AY$138,LS_current!AT$148, FALSE))/2)</f>
        <v>-606.82232464480012</v>
      </c>
      <c r="CR19" s="180">
        <f t="array" ref="CR19">IF($BT19=0, INDEX(LS_current!$D$4:$AY$138, MATCH('Staging Table'!$A19, LS_current!$B$4:$B$138, 0), MATCH(CR$4&amp;CR$5, LS_current!$D$2:$AY$2&amp;LS_current!$D$3:$AY$3, 0)),SUM(VLOOKUP($A19, LS_current!$B$4:$AY$138, LS_current!W$148, FALSE), VLOOKUP($A19, LS_current!$B$4:$AY$138,LS_current!AU$148, FALSE))/2)</f>
        <v>-944.41308303300002</v>
      </c>
      <c r="CS19" s="180">
        <f t="array" ref="CS19">IF($BT19=0, INDEX(LS_current!$D$4:$AY$138, MATCH('Staging Table'!$A19, LS_current!$B$4:$B$138, 0), MATCH(CS$4&amp;CS$5, LS_current!$D$2:$AY$2&amp;LS_current!$D$3:$AY$3, 0)),SUM(VLOOKUP($A19, LS_current!$B$4:$AY$138, LS_current!X$148, FALSE), VLOOKUP($A19, LS_current!$B$4:$AY$138,LS_current!AV$148, FALSE))/2)</f>
        <v>334.85384282619998</v>
      </c>
      <c r="CT19" s="180">
        <f t="array" ref="CT19">IF($BT19=0, INDEX(LS_current!$D$4:$AY$138, MATCH('Staging Table'!$A19, LS_current!$B$4:$B$138, 0), MATCH(CT$4&amp;CT$5, LS_current!$D$2:$AY$2&amp;LS_current!$D$3:$AY$3, 0)),SUM(VLOOKUP($A19, LS_current!$B$4:$AY$138, LS_current!Y$148, FALSE), VLOOKUP($A19, LS_current!$B$4:$AY$138,LS_current!AW$148, FALSE))/2)</f>
        <v>-315.86572174301978</v>
      </c>
      <c r="CU19" s="180">
        <f t="array" ref="CU19">IF($BT19=0, INDEX(LS_current!$D$4:$AY$138, MATCH('Staging Table'!$A19, LS_current!$B$4:$B$138, 0), MATCH(CU$4&amp;CU$5, LS_current!$D$2:$AY$2&amp;LS_current!$D$3:$AY$3, 0)),SUM(VLOOKUP($A19, LS_current!$B$4:$AY$138, LS_current!Z$148, FALSE), VLOOKUP($A19, LS_current!$B$4:$AY$138,LS_current!AX$148, FALSE))/2)</f>
        <v>307.12349202320001</v>
      </c>
      <c r="CV19" s="180">
        <f t="array" ref="CV19">IF($BT19=0, INDEX(LS_current!$D$4:$AY$138, MATCH('Staging Table'!$A19, LS_current!$B$4:$B$138, 0), MATCH(CV$4&amp;CV$5, LS_current!$D$2:$AY$2&amp;LS_current!$D$3:$AY$3, 0)),SUM(VLOOKUP($A19, LS_current!$B$4:$AY$138, LS_current!AA$148, FALSE), VLOOKUP($A19, LS_current!$B$4:$AY$138,LS_current!AY$148, FALSE))/2)</f>
        <v>-388.73560913279994</v>
      </c>
      <c r="CW19" s="182">
        <f t="array" ref="CW19">INDEX(Demand_current!$D$4:$AY$138, MATCH($A19, Demand_current!$B$4:$B$138, 0), MATCH(CW$4&amp;CW$5,Demand_current!$D$2:$AY$2&amp;Demand_current!$D$3:$AY$3, 0))/1000</f>
        <v>0</v>
      </c>
      <c r="CX19" s="182">
        <f t="array" ref="CX19">INDEX(Demand_current!$D$4:$AY$138, MATCH($A19, Demand_current!$B$4:$B$138, 0), MATCH(CX$4&amp;CX$5,Demand_current!$D$2:$AY$2&amp;Demand_current!$D$3:$AY$3, 0))/1000</f>
        <v>1.0092649999999994</v>
      </c>
      <c r="CY19" s="182">
        <f t="array" ref="CY19">INDEX(Demand_current!$D$4:$AY$138, MATCH($A19, Demand_current!$B$4:$B$138, 0), MATCH(CY$4&amp;CY$5,Demand_current!$D$2:$AY$2&amp;Demand_current!$D$3:$AY$3, 0))/1000</f>
        <v>1.4715925000000001</v>
      </c>
      <c r="CZ19" s="182">
        <f t="array" ref="CZ19">INDEX(Demand_current!$D$4:$AY$138, MATCH($A19, Demand_current!$B$4:$B$138, 0), MATCH(CZ$4&amp;CZ$5,Demand_current!$D$2:$AY$2&amp;Demand_current!$D$3:$AY$3, 0))/1000</f>
        <v>0.62058413461538509</v>
      </c>
      <c r="DA19" s="182">
        <f t="array" ref="DA19">INDEX(Demand_current!$D$4:$AY$138, MATCH($A19, Demand_current!$B$4:$B$138, 0), MATCH(DA$4&amp;DA$5,Demand_current!$D$2:$AY$2&amp;Demand_current!$D$3:$AY$3, 0))/1000</f>
        <v>0.87941249999999993</v>
      </c>
      <c r="DB19" s="182">
        <f t="array" ref="DB19">INDEX(Demand_current!$D$4:$AY$138, MATCH($A19, Demand_current!$B$4:$B$138, 0), MATCH(DB$4&amp;DB$5,Demand_current!$D$2:$AY$2&amp;Demand_current!$D$3:$AY$3, 0))/1000</f>
        <v>0.11740384615384758</v>
      </c>
      <c r="DC19" s="182">
        <f t="array" ref="DC19">INDEX(Demand_current!$D$4:$AY$138, MATCH($A19, Demand_current!$B$4:$B$138, 0), MATCH(DC$4&amp;DC$5,Demand_current!$D$2:$AY$2&amp;Demand_current!$D$3:$AY$3, 0))/1000</f>
        <v>0.93203605769230702</v>
      </c>
      <c r="DD19" s="182">
        <f t="array" ref="DD19">INDEX(Demand_current!$D$4:$AY$138, MATCH($A19, Demand_current!$B$4:$B$138, 0), MATCH(DD$4&amp;DD$5,Demand_current!$D$2:$AY$2&amp;Demand_current!$D$3:$AY$3, 0))/1000</f>
        <v>1.1887355769230761</v>
      </c>
      <c r="DE19" s="182">
        <f t="array" ref="DE19">INDEX(Demand_current!$D$4:$AY$138, MATCH($A19, Demand_current!$B$4:$B$138, 0), MATCH(DE$4&amp;DE$5,Demand_current!$D$2:$AY$2&amp;Demand_current!$D$3:$AY$3, 0))/1000</f>
        <v>0.10885499999999948</v>
      </c>
      <c r="DF19" s="182">
        <f t="array" ref="DF19">INDEX(Demand_current!$D$4:$AY$138, MATCH($A19, Demand_current!$B$4:$B$138, 0), MATCH(DF$4&amp;DF$5,Demand_current!$D$2:$AY$2&amp;Demand_current!$D$3:$AY$3, 0))/1000</f>
        <v>1.0310913461538469</v>
      </c>
      <c r="DG19" s="182">
        <f t="array" ref="DG19">INDEX(Demand_current!$D$4:$AY$138, MATCH($A19, Demand_current!$B$4:$B$138, 0), MATCH(DG$4&amp;DG$5,Demand_current!$D$2:$AY$2&amp;Demand_current!$D$3:$AY$3, 0))/1000</f>
        <v>0.93620833333333198</v>
      </c>
      <c r="DH19" s="182">
        <f t="array" ref="DH19">INDEX(Demand_current!$D$4:$AY$138, MATCH($A19, Demand_current!$B$4:$B$138, 0), MATCH(DH$4&amp;DH$5,Demand_current!$D$2:$AY$2&amp;Demand_current!$D$3:$AY$3, 0))/1000</f>
        <v>0.32104427083333209</v>
      </c>
      <c r="DI19" s="180">
        <f>$BS19*(VLOOKUP(DI$4, Rates_current!$G$6:$Q$29, 10, FALSE)+VLOOKUP(DI$4, Rates_current!$G$6:$Q$29, 11, FALSE))</f>
        <v>3177.6029931618</v>
      </c>
      <c r="DJ19" s="180">
        <f>$BS19*(VLOOKUP(DJ$4, Rates_current!$G$6:$Q$29, 10, FALSE)+VLOOKUP(DJ$4, Rates_current!$G$6:$Q$29, 11, FALSE))</f>
        <v>4052.4916403188004</v>
      </c>
      <c r="DK19" s="180">
        <f>$BS19*(VLOOKUP(DK$4, Rates_current!$G$6:$Q$29, 10, FALSE)+VLOOKUP(DK$4, Rates_current!$G$6:$Q$29, 11, FALSE))</f>
        <v>4373.4403104420007</v>
      </c>
      <c r="DL19" s="180">
        <f>$BS19*(VLOOKUP(DL$4, Rates_current!$G$6:$Q$29, 10, FALSE)+VLOOKUP(DL$4, Rates_current!$G$6:$Q$29, 11, FALSE))</f>
        <v>4544.6805631808002</v>
      </c>
      <c r="DM19" s="180">
        <f>$BS19*(VLOOKUP(DM$4, Rates_current!$G$6:$Q$29, 10, FALSE)+VLOOKUP(DM$4, Rates_current!$G$6:$Q$29, 11, FALSE))</f>
        <v>3909.0310515815995</v>
      </c>
      <c r="DN19" s="180">
        <f>$BS19*(VLOOKUP(DN$4, Rates_current!$G$6:$Q$29, 10, FALSE)+VLOOKUP(DN$4, Rates_current!$G$6:$Q$29, 11, FALSE))</f>
        <v>4267.8879591012001</v>
      </c>
      <c r="DO19" s="180">
        <f>$BS19*(VLOOKUP(DO$4, Rates_current!$G$6:$Q$29, 10, FALSE)+VLOOKUP(DO$4, Rates_current!$G$6:$Q$29, 11, FALSE))</f>
        <v>3368.7783174030997</v>
      </c>
      <c r="DP19" s="180">
        <f>$BS19*(VLOOKUP(DP$4, Rates_current!$G$6:$Q$29, 10, FALSE)+VLOOKUP(DP$4, Rates_current!$G$6:$Q$29, 11, FALSE))</f>
        <v>4179.4209400957998</v>
      </c>
      <c r="DQ19" s="180">
        <f>$BS19*(VLOOKUP(DQ$4, Rates_current!$G$6:$Q$29, 10, FALSE)+VLOOKUP(DQ$4, Rates_current!$G$6:$Q$29, 11, FALSE))</f>
        <v>4270.1039409125997</v>
      </c>
      <c r="DR19" s="180">
        <f>$BS19*(VLOOKUP(DR$4, Rates_current!$G$6:$Q$29, 10, FALSE)+VLOOKUP(DR$4, Rates_current!$G$6:$Q$29, 11, FALSE))</f>
        <v>3707.0654076778001</v>
      </c>
      <c r="DS19" s="180">
        <f>$BS19*(VLOOKUP(DS$4, Rates_current!$G$6:$Q$29, 10, FALSE)+VLOOKUP(DS$4, Rates_current!$G$6:$Q$29, 11, FALSE))</f>
        <v>3583.7468789168202</v>
      </c>
      <c r="DT19" s="180">
        <f>$BS19*(VLOOKUP(DT$4, Rates_current!$G$6:$Q$29, 10, FALSE)+VLOOKUP(DT$4, Rates_current!$G$6:$Q$29, 11, FALSE))</f>
        <v>3297.7411171096005</v>
      </c>
      <c r="DU19" s="402">
        <f>IF(D19=0,IF(C19=0,MAX(0,DW19 - (VLOOKUP($A19,TOCA_current!$A$2:$AI$137,MATCH("RHWM 2024",TOCA_current!$A$2:$AI$2,0),FALSE)*$BS$2)), 0),0)</f>
        <v>0</v>
      </c>
      <c r="DV19" s="403">
        <f>MIN(VLOOKUP($A19,TOCA_current!$A$2:$AI$137,MATCH("TRL - NLSL - Existing Resource "&amp;$BS$1,TOCA_current!$A$2:$AI$2,0),FALSE)*$BS$2, VLOOKUP($A19,TOCA_current!$A$2:$AI$137,MATCH("RHWM 2024",TOCA_current!$A$2:$AI$2,0),FALSE)*$BS$2)</f>
        <v>46730.880000000005</v>
      </c>
      <c r="DW19" s="403">
        <f>SUM(BY19:CV19)+(BS19*RT1SC!$C$4*$BS$2)</f>
        <v>46727.460214210078</v>
      </c>
      <c r="DX19" s="403">
        <f>VLOOKUP($A19,TOCA_current!$A$2:$AI$137,MATCH("Above RHWM Not Served with LS "&amp;$BS$1,TOCA_current!$A$2:$AI$2,0),FALSE)*$BS$2</f>
        <v>15863.904</v>
      </c>
      <c r="DY19" s="403">
        <f t="shared" si="13"/>
        <v>-3.4197857899271185</v>
      </c>
      <c r="DZ19" s="403">
        <f>(VLOOKUP($A19,TOCA_current!$A$2:$AI$137,MATCH("RHWM 2024",TOCA_current!$A$2:$AI$2,0),FALSE)*$BS$2) - $DV19</f>
        <v>0</v>
      </c>
      <c r="EA19" s="403">
        <f t="shared" si="14"/>
        <v>0</v>
      </c>
      <c r="EB19" s="403">
        <f t="shared" si="15"/>
        <v>0</v>
      </c>
      <c r="EC19" s="403">
        <f t="shared" si="16"/>
        <v>0</v>
      </c>
      <c r="ED19" s="403">
        <f t="shared" si="17"/>
        <v>0</v>
      </c>
    </row>
    <row r="20" spans="1:134">
      <c r="A20" s="123">
        <v>10064</v>
      </c>
      <c r="B20" s="124" t="s">
        <v>21</v>
      </c>
      <c r="C20" s="232">
        <f>VLOOKUP(A20, TOCA_current!$A$3:$D$137, 4, FALSE)</f>
        <v>0</v>
      </c>
      <c r="D20" s="191">
        <v>0</v>
      </c>
      <c r="E20" s="107">
        <f>VLOOKUP($A20,TOCA_previous!$A$2:$AI$137,MATCH(E$4,TOCA_previous!$A$2:$AI$2,0),FALSE)</f>
        <v>1.9916000000000001E-3</v>
      </c>
      <c r="F20" s="108">
        <f>VLOOKUP($A20,TOCA_previous!$A$2:$AI$137,MATCH(F$4,TOCA_previous!$A$2:$AI$2,0),FALSE)</f>
        <v>1.9916000000000001E-3</v>
      </c>
      <c r="G20" s="108">
        <f t="shared" si="5"/>
        <v>0</v>
      </c>
      <c r="H20" s="108">
        <f>VLOOKUP($A20,TOCA_previous!$A$2:$AI$137,MATCH(H$4,TOCA_previous!$A$2:$AI$2,0),FALSE)</f>
        <v>0</v>
      </c>
      <c r="I20" s="108">
        <f t="shared" si="6"/>
        <v>0</v>
      </c>
      <c r="J20" s="108">
        <f t="shared" si="7"/>
        <v>0</v>
      </c>
      <c r="K20" s="179">
        <f>VLOOKUP(A20, IRD!$A$5:$C$139, 3, FALSE)</f>
        <v>0</v>
      </c>
      <c r="L20" s="180">
        <f t="array" ref="L20">IF($G20=0, INDEX(LS_previous!$D$4:$AY$138, MATCH('Staging Table'!$A20, LS_previous!$B$4:$B$138, 0), MATCH(L$4&amp;L$5, LS_previous!$D$2:$AY$2&amp;LS_previous!$D$3:$AY$3, 0)),SUM(VLOOKUP($A20, LS_previous!$B$4:$AY$138, LS_previous!D$149, FALSE), VLOOKUP('Staging Table'!$A20, LS_previous!$B$4:$AY$138,LS_previous!AB$149, FALSE))/2)</f>
        <v>1166.6151091510983</v>
      </c>
      <c r="M20" s="180">
        <f t="array" ref="M20">IF($G20=0, INDEX(LS_previous!$D$4:$AY$138, MATCH('Staging Table'!$A20, LS_previous!$B$4:$B$138, 0), MATCH(M$4&amp;M$5, LS_previous!$D$2:$AY$2&amp;LS_previous!$D$3:$AY$3, 0)),SUM(VLOOKUP($A20, LS_previous!$B$4:$AY$138, LS_previous!E$149, FALSE), VLOOKUP('Staging Table'!$A20, LS_previous!$B$4:$AY$138,LS_previous!AC$149, FALSE))/2)</f>
        <v>1013.9100144573108</v>
      </c>
      <c r="N20" s="180">
        <f t="array" ref="N20">IF($G20=0, INDEX(LS_previous!$D$4:$AY$138, MATCH('Staging Table'!$A20, LS_previous!$B$4:$B$138, 0), MATCH(N$4&amp;N$5, LS_previous!$D$2:$AY$2&amp;LS_previous!$D$3:$AY$3, 0)),SUM(VLOOKUP($A20, LS_previous!$B$4:$AY$138, LS_previous!F$149, FALSE), VLOOKUP('Staging Table'!$A20, LS_previous!$B$4:$AY$138,LS_previous!AD$149, FALSE))/2)</f>
        <v>82.678398321665554</v>
      </c>
      <c r="O20" s="180">
        <f t="array" ref="O20">IF($G20=0, INDEX(LS_previous!$D$4:$AY$138, MATCH('Staging Table'!$A20, LS_previous!$B$4:$B$138, 0), MATCH(O$4&amp;O$5, LS_previous!$D$2:$AY$2&amp;LS_previous!$D$3:$AY$3, 0)),SUM(VLOOKUP($A20, LS_previous!$B$4:$AY$138, LS_previous!G$149, FALSE), VLOOKUP('Staging Table'!$A20, LS_previous!$B$4:$AY$138,LS_previous!AE$149, FALSE))/2)</f>
        <v>212.76306388113699</v>
      </c>
      <c r="P20" s="180">
        <f t="array" ref="P20">IF($G20=0, INDEX(LS_previous!$D$4:$AY$138, MATCH('Staging Table'!$A20, LS_previous!$B$4:$B$138, 0), MATCH(P$4&amp;P$5, LS_previous!$D$2:$AY$2&amp;LS_previous!$D$3:$AY$3, 0)),SUM(VLOOKUP($A20, LS_previous!$B$4:$AY$138, LS_previous!H$149, FALSE), VLOOKUP('Staging Table'!$A20, LS_previous!$B$4:$AY$138,LS_previous!AF$149, FALSE))/2)</f>
        <v>2341.1140596226996</v>
      </c>
      <c r="Q20" s="180">
        <f t="array" ref="Q20">IF($G20=0, INDEX(LS_previous!$D$4:$AY$138, MATCH('Staging Table'!$A20, LS_previous!$B$4:$B$138, 0), MATCH(Q$4&amp;Q$5, LS_previous!$D$2:$AY$2&amp;LS_previous!$D$3:$AY$3, 0)),SUM(VLOOKUP($A20, LS_previous!$B$4:$AY$138, LS_previous!I$149, FALSE), VLOOKUP('Staging Table'!$A20, LS_previous!$B$4:$AY$138,LS_previous!AG$149, FALSE))/2)</f>
        <v>1341.9225891701817</v>
      </c>
      <c r="R20" s="180">
        <f t="array" ref="R20">IF($G20=0, INDEX(LS_previous!$D$4:$AY$138, MATCH('Staging Table'!$A20, LS_previous!$B$4:$B$138, 0), MATCH(R$4&amp;R$5, LS_previous!$D$2:$AY$2&amp;LS_previous!$D$3:$AY$3, 0)),SUM(VLOOKUP($A20, LS_previous!$B$4:$AY$138, LS_previous!J$149, FALSE), VLOOKUP('Staging Table'!$A20, LS_previous!$B$4:$AY$138,LS_previous!AH$149, FALSE))/2)</f>
        <v>3694.5678192867008</v>
      </c>
      <c r="S20" s="180">
        <f t="array" ref="S20">IF($G20=0, INDEX(LS_previous!$D$4:$AY$138, MATCH('Staging Table'!$A20, LS_previous!$B$4:$B$138, 0), MATCH(S$4&amp;S$5, LS_previous!$D$2:$AY$2&amp;LS_previous!$D$3:$AY$3, 0)),SUM(VLOOKUP($A20, LS_previous!$B$4:$AY$138, LS_previous!K$149, FALSE), VLOOKUP('Staging Table'!$A20, LS_previous!$B$4:$AY$138,LS_previous!AI$149, FALSE))/2)</f>
        <v>2006.3919158395579</v>
      </c>
      <c r="T20" s="180">
        <f t="array" ref="T20">IF($G20=0, INDEX(LS_previous!$D$4:$AY$138, MATCH('Staging Table'!$A20, LS_previous!$B$4:$B$138, 0), MATCH(T$4&amp;T$5, LS_previous!$D$2:$AY$2&amp;LS_previous!$D$3:$AY$3, 0)),SUM(VLOOKUP($A20, LS_previous!$B$4:$AY$138, LS_previous!L$149, FALSE), VLOOKUP('Staging Table'!$A20, LS_previous!$B$4:$AY$138,LS_previous!AJ$149, FALSE))/2)</f>
        <v>3328.3699536959693</v>
      </c>
      <c r="U20" s="180">
        <f t="array" ref="U20">IF($G20=0, INDEX(LS_previous!$D$4:$AY$138, MATCH('Staging Table'!$A20, LS_previous!$B$4:$B$138, 0), MATCH(U$4&amp;U$5, LS_previous!$D$2:$AY$2&amp;LS_previous!$D$3:$AY$3, 0)),SUM(VLOOKUP($A20, LS_previous!$B$4:$AY$138, LS_previous!M$149, FALSE), VLOOKUP('Staging Table'!$A20, LS_previous!$B$4:$AY$138,LS_previous!AK$149, FALSE))/2)</f>
        <v>1571.081063385519</v>
      </c>
      <c r="V20" s="180">
        <f t="array" ref="V20">IF($G20=0, INDEX(LS_previous!$D$4:$AY$138, MATCH('Staging Table'!$A20, LS_previous!$B$4:$B$138, 0), MATCH(V$4&amp;V$5, LS_previous!$D$2:$AY$2&amp;LS_previous!$D$3:$AY$3, 0)),SUM(VLOOKUP($A20, LS_previous!$B$4:$AY$138, LS_previous!N$149, FALSE), VLOOKUP('Staging Table'!$A20, LS_previous!$B$4:$AY$138,LS_previous!AL$149, FALSE))/2)</f>
        <v>1617.028947088018</v>
      </c>
      <c r="W20" s="180">
        <f t="array" ref="W20">IF($G20=0, INDEX(LS_previous!$D$4:$AY$138, MATCH('Staging Table'!$A20, LS_previous!$B$4:$B$138, 0), MATCH(W$4&amp;W$5, LS_previous!$D$2:$AY$2&amp;LS_previous!$D$3:$AY$3, 0)),SUM(VLOOKUP($A20, LS_previous!$B$4:$AY$138, LS_previous!O$149, FALSE), VLOOKUP('Staging Table'!$A20, LS_previous!$B$4:$AY$138,LS_previous!AM$149, FALSE))/2)</f>
        <v>1083.7806205668339</v>
      </c>
      <c r="X20" s="180">
        <f t="array" ref="X20">IF($G20=0, INDEX(LS_previous!$D$4:$AY$138, MATCH('Staging Table'!$A20, LS_previous!$B$4:$B$138, 0), MATCH(X$4&amp;X$5, LS_previous!$D$2:$AY$2&amp;LS_previous!$D$3:$AY$3, 0)),SUM(VLOOKUP($A20, LS_previous!$B$4:$AY$138, LS_previous!P$149, FALSE), VLOOKUP('Staging Table'!$A20, LS_previous!$B$4:$AY$138,LS_previous!AN$149, FALSE))/2)</f>
        <v>2428.0311694900965</v>
      </c>
      <c r="Y20" s="180">
        <f t="array" ref="Y20">IF($G20=0, INDEX(LS_previous!$D$4:$AY$138, MATCH('Staging Table'!$A20, LS_previous!$B$4:$B$138, 0), MATCH(Y$4&amp;Y$5, LS_previous!$D$2:$AY$2&amp;LS_previous!$D$3:$AY$3, 0)),SUM(VLOOKUP($A20, LS_previous!$B$4:$AY$138, LS_previous!Q$149, FALSE), VLOOKUP('Staging Table'!$A20, LS_previous!$B$4:$AY$138,LS_previous!AO$149, FALSE))/2)</f>
        <v>1183.3672252674646</v>
      </c>
      <c r="Z20" s="180">
        <f t="array" ref="Z20">IF($G20=0, INDEX(LS_previous!$D$4:$AY$138, MATCH('Staging Table'!$A20, LS_previous!$B$4:$B$138, 0), MATCH(Z$4&amp;Z$5, LS_previous!$D$2:$AY$2&amp;LS_previous!$D$3:$AY$3, 0)),SUM(VLOOKUP($A20, LS_previous!$B$4:$AY$138, LS_previous!R$149, FALSE), VLOOKUP('Staging Table'!$A20, LS_previous!$B$4:$AY$138,LS_previous!AP$149, FALSE))/2)</f>
        <v>-316.64538699631248</v>
      </c>
      <c r="AA20" s="180">
        <f t="array" ref="AA20">IF($G20=0, INDEX(LS_previous!$D$4:$AY$138, MATCH('Staging Table'!$A20, LS_previous!$B$4:$B$138, 0), MATCH(AA$4&amp;AA$5, LS_previous!$D$2:$AY$2&amp;LS_previous!$D$3:$AY$3, 0)),SUM(VLOOKUP($A20, LS_previous!$B$4:$AY$138, LS_previous!S$149, FALSE), VLOOKUP('Staging Table'!$A20, LS_previous!$B$4:$AY$138,LS_previous!AQ$149, FALSE))/2)</f>
        <v>708.37379857215001</v>
      </c>
      <c r="AB20" s="180">
        <f t="array" ref="AB20">IF($G20=0, INDEX(LS_previous!$D$4:$AY$138, MATCH('Staging Table'!$A20, LS_previous!$B$4:$B$138, 0), MATCH(AB$4&amp;AB$5, LS_previous!$D$2:$AY$2&amp;LS_previous!$D$3:$AY$3, 0)),SUM(VLOOKUP($A20, LS_previous!$B$4:$AY$138, LS_previous!T$149, FALSE), VLOOKUP('Staging Table'!$A20, LS_previous!$B$4:$AY$138,LS_previous!AR$149, FALSE))/2)</f>
        <v>-1054.619189373464</v>
      </c>
      <c r="AC20" s="180">
        <f t="array" ref="AC20">IF($G20=0, INDEX(LS_previous!$D$4:$AY$138, MATCH('Staging Table'!$A20, LS_previous!$B$4:$B$138, 0), MATCH(AC$4&amp;AC$5, LS_previous!$D$2:$AY$2&amp;LS_previous!$D$3:$AY$3, 0)),SUM(VLOOKUP($A20, LS_previous!$B$4:$AY$138, LS_previous!U$149, FALSE), VLOOKUP('Staging Table'!$A20, LS_previous!$B$4:$AY$138,LS_previous!AS$149, FALSE))/2)</f>
        <v>735.59895134937688</v>
      </c>
      <c r="AD20" s="180">
        <f t="array" ref="AD20">IF($G20=0, INDEX(LS_previous!$D$4:$AY$138, MATCH('Staging Table'!$A20, LS_previous!$B$4:$B$138, 0), MATCH(AD$4&amp;AD$5, LS_previous!$D$2:$AY$2&amp;LS_previous!$D$3:$AY$3, 0)),SUM(VLOOKUP($A20, LS_previous!$B$4:$AY$138, LS_previous!V$149, FALSE), VLOOKUP('Staging Table'!$A20, LS_previous!$B$4:$AY$138,LS_previous!AT$149, FALSE))/2)</f>
        <v>946.66023003969349</v>
      </c>
      <c r="AE20" s="180">
        <f t="array" ref="AE20">IF($G20=0, INDEX(LS_previous!$D$4:$AY$138, MATCH('Staging Table'!$A20, LS_previous!$B$4:$B$138, 0), MATCH(AE$4&amp;AE$5, LS_previous!$D$2:$AY$2&amp;LS_previous!$D$3:$AY$3, 0)),SUM(VLOOKUP($A20, LS_previous!$B$4:$AY$138, LS_previous!W$149, FALSE), VLOOKUP('Staging Table'!$A20, LS_previous!$B$4:$AY$138,LS_previous!AU$149, FALSE))/2)</f>
        <v>1042.0978125139259</v>
      </c>
      <c r="AF20" s="180">
        <f t="array" ref="AF20">IF($G20=0, INDEX(LS_previous!$D$4:$AY$138, MATCH('Staging Table'!$A20, LS_previous!$B$4:$B$138, 0), MATCH(AF$4&amp;AF$5, LS_previous!$D$2:$AY$2&amp;LS_previous!$D$3:$AY$3, 0)),SUM(VLOOKUP($A20, LS_previous!$B$4:$AY$138, LS_previous!X$149, FALSE), VLOOKUP('Staging Table'!$A20, LS_previous!$B$4:$AY$138,LS_previous!AV$149, FALSE))/2)</f>
        <v>1184.4398695020336</v>
      </c>
      <c r="AG20" s="180">
        <f t="array" ref="AG20">IF($G20=0, INDEX(LS_previous!$D$4:$AY$138, MATCH('Staging Table'!$A20, LS_previous!$B$4:$B$138, 0), MATCH(AG$4&amp;AG$5, LS_previous!$D$2:$AY$2&amp;LS_previous!$D$3:$AY$3, 0)),SUM(VLOOKUP($A20, LS_previous!$B$4:$AY$138, LS_previous!Y$149, FALSE), VLOOKUP('Staging Table'!$A20, LS_previous!$B$4:$AY$138,LS_previous!AW$149, FALSE))/2)</f>
        <v>888.83203027083073</v>
      </c>
      <c r="AH20" s="180">
        <f t="array" ref="AH20">IF($G20=0, INDEX(LS_previous!$D$4:$AY$138, MATCH('Staging Table'!$A20, LS_previous!$B$4:$B$138, 0), MATCH(AH$4&amp;AH$5, LS_previous!$D$2:$AY$2&amp;LS_previous!$D$3:$AY$3, 0)),SUM(VLOOKUP($A20, LS_previous!$B$4:$AY$138, LS_previous!Z$149, FALSE), VLOOKUP('Staging Table'!$A20, LS_previous!$B$4:$AY$138,LS_previous!AX$149, FALSE))/2)</f>
        <v>380.55636638675605</v>
      </c>
      <c r="AI20" s="180">
        <f t="array" ref="AI20">IF($G20=0, INDEX(LS_previous!$D$4:$AY$138, MATCH('Staging Table'!$A20, LS_previous!$B$4:$B$138, 0), MATCH(AI$4&amp;AI$5, LS_previous!$D$2:$AY$2&amp;LS_previous!$D$3:$AY$3, 0)),SUM(VLOOKUP($A20, LS_previous!$B$4:$AY$138, LS_previous!AA$149, FALSE), VLOOKUP('Staging Table'!$A20, LS_previous!$B$4:$AY$138,LS_previous!AY$149, FALSE))/2)</f>
        <v>653.15314109516021</v>
      </c>
      <c r="AJ20" s="298">
        <f t="array" ref="AJ20">INDEX(Demand_previous!$D$4:$AY$138, MATCH('Staging Table'!$A20, Demand_previous!$B$4:$B$138, 0), MATCH(AJ$4&amp;AJ$5,Demand_previous!$D$2:$AY$2&amp;Demand_previous!$D$3:$AY$3, 0))/1000</f>
        <v>2.7203533653846144</v>
      </c>
      <c r="AK20" s="298">
        <f t="array" ref="AK20">INDEX(Demand_previous!$D$4:$AY$138, MATCH('Staging Table'!$A20, Demand_previous!$B$4:$B$138, 0), MATCH(AK$4&amp;AK$5,Demand_previous!$D$2:$AY$2&amp;Demand_previous!$D$3:$AY$3, 0))/1000</f>
        <v>0.74087499999999951</v>
      </c>
      <c r="AL20" s="298">
        <f t="array" ref="AL20">INDEX(Demand_previous!$D$4:$AY$138, MATCH('Staging Table'!$A20, Demand_previous!$B$4:$B$138, 0), MATCH(AL$4&amp;AL$5,Demand_previous!$D$2:$AY$2&amp;Demand_previous!$D$3:$AY$3, 0))/1000</f>
        <v>2.81203125</v>
      </c>
      <c r="AM20" s="298">
        <f t="array" ref="AM20">INDEX(Demand_previous!$D$4:$AY$138, MATCH('Staging Table'!$A20, Demand_previous!$B$4:$B$138, 0), MATCH(AM$4&amp;AM$5,Demand_previous!$D$2:$AY$2&amp;Demand_previous!$D$3:$AY$3, 0))/1000</f>
        <v>1.841365000000001</v>
      </c>
      <c r="AN20" s="298">
        <f t="array" ref="AN20">INDEX(Demand_previous!$D$4:$AY$138, MATCH('Staging Table'!$A20, Demand_previous!$B$4:$B$138, 0), MATCH(AN$4&amp;AN$5,Demand_previous!$D$2:$AY$2&amp;Demand_previous!$D$3:$AY$3, 0))/1000</f>
        <v>0.49235937499999904</v>
      </c>
      <c r="AO20" s="298">
        <f t="array" ref="AO20">INDEX(Demand_previous!$D$4:$AY$138, MATCH('Staging Table'!$A20, Demand_previous!$B$4:$B$138, 0), MATCH(AO$4&amp;AO$5,Demand_previous!$D$2:$AY$2&amp;Demand_previous!$D$3:$AY$3, 0))/1000</f>
        <v>3.3652499999999974</v>
      </c>
      <c r="AP20" s="298">
        <f t="array" ref="AP20">INDEX(Demand_previous!$D$4:$AY$138, MATCH('Staging Table'!$A20, Demand_previous!$B$4:$B$138, 0), MATCH(AP$4&amp;AP$5,Demand_previous!$D$2:$AY$2&amp;Demand_previous!$D$3:$AY$3, 0))/1000</f>
        <v>2.0841225961538448</v>
      </c>
      <c r="AQ20" s="298">
        <f t="array" ref="AQ20">INDEX(Demand_previous!$D$4:$AY$138, MATCH('Staging Table'!$A20, Demand_previous!$B$4:$B$138, 0), MATCH(AQ$4&amp;AQ$5,Demand_previous!$D$2:$AY$2&amp;Demand_previous!$D$3:$AY$3, 0))/1000</f>
        <v>0.68447500000000083</v>
      </c>
      <c r="AR20" s="298">
        <f t="array" ref="AR20">INDEX(Demand_previous!$D$4:$AY$138, MATCH('Staging Table'!$A20, Demand_previous!$B$4:$B$138, 0), MATCH(AR$4&amp;AR$5,Demand_previous!$D$2:$AY$2&amp;Demand_previous!$D$3:$AY$3, 0))/1000</f>
        <v>4.4054759615384604</v>
      </c>
      <c r="AS20" s="298">
        <f t="array" ref="AS20">INDEX(Demand_previous!$D$4:$AY$138, MATCH('Staging Table'!$A20, Demand_previous!$B$4:$B$138, 0), MATCH(AS$4&amp;AS$5,Demand_previous!$D$2:$AY$2&amp;Demand_previous!$D$3:$AY$3, 0))/1000</f>
        <v>2.7972649999999986</v>
      </c>
      <c r="AT20" s="298">
        <f t="array" ref="AT20">INDEX(Demand_previous!$D$4:$AY$138, MATCH('Staging Table'!$A20, Demand_previous!$B$4:$B$138, 0), MATCH(AT$4&amp;AT$5,Demand_previous!$D$2:$AY$2&amp;Demand_previous!$D$3:$AY$3, 0))/1000</f>
        <v>3.4461620370370367</v>
      </c>
      <c r="AU20" s="298">
        <f t="array" ref="AU20">INDEX(Demand_previous!$D$4:$AY$138, MATCH('Staging Table'!$A20, Demand_previous!$B$4:$B$138, 0), MATCH(AU$4&amp;AU$5,Demand_previous!$D$2:$AY$2&amp;Demand_previous!$D$3:$AY$3, 0))/1000</f>
        <v>2.6701774999999977</v>
      </c>
      <c r="AV20" s="180">
        <f>$F20*(VLOOKUP(AV$4, Rates_previous!$G$6:$Q$29, 10, FALSE)+VLOOKUP(AV$4, Rates_previous!$G$6:$Q$29, 11, FALSE))</f>
        <v>9069.5958763915914</v>
      </c>
      <c r="AW20" s="180">
        <f>$F20*(VLOOKUP(AW$4, Rates_previous!$G$6:$Q$29, 10, FALSE)+VLOOKUP(AW$4, Rates_previous!$G$6:$Q$29, 11, FALSE))</f>
        <v>11482.437537797199</v>
      </c>
      <c r="AX20" s="180">
        <f>$F20*(VLOOKUP(AX$4, Rates_previous!$G$6:$Q$29, 10, FALSE)+VLOOKUP(AX$4, Rates_previous!$G$6:$Q$29, 11, FALSE))</f>
        <v>11239.01235120712</v>
      </c>
      <c r="AY20" s="180">
        <f>$F20*(VLOOKUP(AY$4, Rates_previous!$G$6:$Q$29, 10, FALSE)+VLOOKUP(AY$4, Rates_previous!$G$6:$Q$29, 11, FALSE))</f>
        <v>9282.9462648737408</v>
      </c>
      <c r="AZ20" s="180">
        <f>$F20*(VLOOKUP(AZ$4, Rates_previous!$G$6:$Q$29, 10, FALSE)+VLOOKUP(AZ$4, Rates_previous!$G$6:$Q$29, 11, FALSE))</f>
        <v>8045.732982918511</v>
      </c>
      <c r="BA20" s="180">
        <f>$F20*(VLOOKUP(BA$4, Rates_previous!$G$6:$Q$29, 10, FALSE)+VLOOKUP(BA$4, Rates_previous!$G$6:$Q$29, 11, FALSE))</f>
        <v>9604.9804323451499</v>
      </c>
      <c r="BB20" s="180">
        <f>$F20*(VLOOKUP(BB$4, Rates_previous!$G$6:$Q$29, 10, FALSE)+VLOOKUP(BB$4, Rates_previous!$G$6:$Q$29, 11, FALSE))</f>
        <v>7456.988605242439</v>
      </c>
      <c r="BC20" s="180">
        <f>$F20*(VLOOKUP(BC$4, Rates_previous!$G$6:$Q$29, 10, FALSE)+VLOOKUP(BC$4, Rates_previous!$G$6:$Q$29, 11, FALSE))</f>
        <v>10331.712588424161</v>
      </c>
      <c r="BD20" s="180">
        <f>$F20*(VLOOKUP(BD$4, Rates_previous!$G$6:$Q$29, 10, FALSE)+VLOOKUP(BD$4, Rates_previous!$G$6:$Q$29, 11, FALSE))</f>
        <v>11039.651238024087</v>
      </c>
      <c r="BE20" s="180">
        <f>$F20*(VLOOKUP(BE$4, Rates_previous!$G$6:$Q$29, 10, FALSE)+VLOOKUP(BE$4, Rates_previous!$G$6:$Q$29, 11, FALSE))</f>
        <v>10481.648957446381</v>
      </c>
      <c r="BF20" s="180">
        <f>$F20*(VLOOKUP(BF$4, Rates_previous!$G$6:$Q$29, 10, FALSE)+VLOOKUP(BF$4, Rates_previous!$G$6:$Q$29, 11, FALSE))</f>
        <v>10129.705100227135</v>
      </c>
      <c r="BG20" s="180">
        <f>$F20*(VLOOKUP(BG$4, Rates_previous!$G$6:$Q$29, 10, FALSE)+VLOOKUP(BG$4, Rates_previous!$G$6:$Q$29, 11, FALSE))</f>
        <v>9360.903492518084</v>
      </c>
      <c r="BH20" s="298">
        <f>IF($D20=0,IF(C20=0, MAX(BJ20 - (VLOOKUP($A20,TOCA_previous!$A$2:$AI$137,MATCH("RHWM 2022",TOCA_previous!$A$2:$AI$2,0),FALSE)*$F$2*TOCA_previous!C17),0),0), 0)</f>
        <v>28241.231011928408</v>
      </c>
      <c r="BI20" s="192">
        <f>MIN(VLOOKUP($A20,TOCA_previous!$A$2:$AI$137,MATCH("TRL - NLSL - Existing Resource "&amp;$F$1,TOCA_previous!$A$2:$AI$2,0),FALSE)*$F$2,(VLOOKUP($A20,TOCA_previous!$A$2:$AI$137,MATCH("RHWM 2022",TOCA_previous!$A$2:$AI$2,0),FALSE)*$F$2))</f>
        <v>117524.16</v>
      </c>
      <c r="BJ20" s="402">
        <f>SUM(L20:AI20)+(F20*RT1SC!$C$3*$F$2)</f>
        <v>145765.39101192841</v>
      </c>
      <c r="BK20" s="401">
        <f>VLOOKUP($A20,TOCA_previous!$A$2:$AI$137,MATCH("Above RHWM Not Served with LS "&amp;$F$1,TOCA_previous!$A$2:$AI$2,0),FALSE)*$F$2</f>
        <v>0</v>
      </c>
      <c r="BL20" s="402">
        <f t="shared" si="8"/>
        <v>28241.231011928408</v>
      </c>
      <c r="BM20" s="401">
        <f>(VLOOKUP($A20,TOCA_previous!$A$2:$AI$137,MATCH("RHWM 2022",TOCA_previous!$A$2:$AI$2,0),FALSE)*$F$2) - $BI20</f>
        <v>0</v>
      </c>
      <c r="BN20" s="402">
        <f t="shared" si="9"/>
        <v>0</v>
      </c>
      <c r="BO20" s="401">
        <f t="shared" si="10"/>
        <v>0</v>
      </c>
      <c r="BP20" s="402">
        <f t="shared" si="11"/>
        <v>0</v>
      </c>
      <c r="BQ20" s="401">
        <f t="shared" si="2"/>
        <v>0</v>
      </c>
      <c r="BR20" s="108">
        <f>VLOOKUP($A20,TOCA_current!$A$2:$AI$137,MATCH(BR$4,TOCA_current!$A$2:$AI$2,0),FALSE)</f>
        <v>1.9911E-3</v>
      </c>
      <c r="BS20" s="108">
        <f>VLOOKUP($A20,TOCA_current!$A$2:$AI$137,MATCH(BS$4,TOCA_current!$A$2:$AI$2,0),FALSE)</f>
        <v>1.9911E-3</v>
      </c>
      <c r="BT20" s="189">
        <f t="shared" si="12"/>
        <v>0</v>
      </c>
      <c r="BU20" s="108">
        <f>VLOOKUP($A20,TOCA_current!A16:BG151,MATCH(BU$4,TOCA_current!$A$2:$BG$2,0),FALSE)</f>
        <v>0</v>
      </c>
      <c r="BV20" s="108">
        <f t="shared" si="3"/>
        <v>0</v>
      </c>
      <c r="BW20" s="108">
        <f t="shared" si="4"/>
        <v>0</v>
      </c>
      <c r="BX20" s="179">
        <f>VLOOKUP($A20,IRD!$A$4:$G$139, 7, FALSE)</f>
        <v>0</v>
      </c>
      <c r="BY20" s="180">
        <f t="array" ref="BY20">IF($BT20=0, INDEX(LS_current!$D$4:$AY$138, MATCH('Staging Table'!$A20, LS_current!$B$4:$B$138, 0), MATCH(BY$4&amp;BY$5, LS_current!$D$2:$AY$2&amp;LS_current!$D$3:$AY$3, 0)),SUM(VLOOKUP($A20, LS_current!$B$4:$AY$138, LS_current!D$148, FALSE), VLOOKUP($A20, LS_current!$B$4:$AY$138,LS_current!AB$148, FALSE))/2)</f>
        <v>849.00967992039932</v>
      </c>
      <c r="BZ20" s="180">
        <f t="array" ref="BZ20">IF($BT20=0, INDEX(LS_current!$D$4:$AY$138, MATCH('Staging Table'!$A20, LS_current!$B$4:$B$138, 0), MATCH(BZ$4&amp;BZ$5, LS_current!$D$2:$AY$2&amp;LS_current!$D$3:$AY$3, 0)),SUM(VLOOKUP($A20, LS_current!$B$4:$AY$138, LS_current!E$148, FALSE), VLOOKUP($A20, LS_current!$B$4:$AY$138,LS_current!AC$148, FALSE))/2)</f>
        <v>118.73115055695007</v>
      </c>
      <c r="CA20" s="180">
        <f t="array" ref="CA20">IF($BT20=0, INDEX(LS_current!$D$4:$AY$138, MATCH('Staging Table'!$A20, LS_current!$B$4:$B$138, 0), MATCH(CA$4&amp;CA$5, LS_current!$D$2:$AY$2&amp;LS_current!$D$3:$AY$3, 0)),SUM(VLOOKUP($A20, LS_current!$B$4:$AY$138, LS_current!F$148, FALSE), VLOOKUP($A20, LS_current!$B$4:$AY$138,LS_current!AD$148, FALSE))/2)</f>
        <v>-383.07071878080023</v>
      </c>
      <c r="CB20" s="180">
        <f t="array" ref="CB20">IF($BT20=0, INDEX(LS_current!$D$4:$AY$138, MATCH('Staging Table'!$A20, LS_current!$B$4:$B$138, 0), MATCH(CB$4&amp;CB$5, LS_current!$D$2:$AY$2&amp;LS_current!$D$3:$AY$3, 0)),SUM(VLOOKUP($A20, LS_current!$B$4:$AY$138, LS_current!G$148, FALSE), VLOOKUP($A20, LS_current!$B$4:$AY$138,LS_current!AE$148, FALSE))/2)</f>
        <v>-376.02694218409943</v>
      </c>
      <c r="CC20" s="180">
        <f t="array" ref="CC20">IF($BT20=0, INDEX(LS_current!$D$4:$AY$138, MATCH('Staging Table'!$A20, LS_current!$B$4:$B$138, 0), MATCH(CC$4&amp;CC$5, LS_current!$D$2:$AY$2&amp;LS_current!$D$3:$AY$3, 0)),SUM(VLOOKUP($A20, LS_current!$B$4:$AY$138, LS_current!H$148, FALSE), VLOOKUP($A20, LS_current!$B$4:$AY$138,LS_current!AF$148, FALSE))/2)</f>
        <v>740.13984507710029</v>
      </c>
      <c r="CD20" s="180">
        <f t="array" ref="CD20">IF($BT20=0, INDEX(LS_current!$D$4:$AY$138, MATCH('Staging Table'!$A20, LS_current!$B$4:$B$138, 0), MATCH(CD$4&amp;CD$5, LS_current!$D$2:$AY$2&amp;LS_current!$D$3:$AY$3, 0)),SUM(VLOOKUP($A20, LS_current!$B$4:$AY$138, LS_current!I$148, FALSE), VLOOKUP($A20, LS_current!$B$4:$AY$138,LS_current!AG$148, FALSE))/2)</f>
        <v>738.30795189439959</v>
      </c>
      <c r="CE20" s="180">
        <f t="array" ref="CE20">IF($BT20=0, INDEX(LS_current!$D$4:$AY$138, MATCH('Staging Table'!$A20, LS_current!$B$4:$B$138, 0), MATCH(CE$4&amp;CE$5, LS_current!$D$2:$AY$2&amp;LS_current!$D$3:$AY$3, 0)),SUM(VLOOKUP($A20, LS_current!$B$4:$AY$138, LS_current!J$148, FALSE), VLOOKUP($A20, LS_current!$B$4:$AY$138,LS_current!AH$148, FALSE))/2)</f>
        <v>484.83822626349956</v>
      </c>
      <c r="CF20" s="180">
        <f t="array" ref="CF20">IF($BT20=0, INDEX(LS_current!$D$4:$AY$138, MATCH('Staging Table'!$A20, LS_current!$B$4:$B$138, 0), MATCH(CF$4&amp;CF$5, LS_current!$D$2:$AY$2&amp;LS_current!$D$3:$AY$3, 0)),SUM(VLOOKUP($A20, LS_current!$B$4:$AY$138, LS_current!K$148, FALSE), VLOOKUP($A20, LS_current!$B$4:$AY$138,LS_current!AI$148, FALSE))/2)</f>
        <v>602.78937045810017</v>
      </c>
      <c r="CG20" s="180">
        <f t="array" ref="CG20">IF($BT20=0, INDEX(LS_current!$D$4:$AY$138, MATCH('Staging Table'!$A20, LS_current!$B$4:$B$138, 0), MATCH(CG$4&amp;CG$5, LS_current!$D$2:$AY$2&amp;LS_current!$D$3:$AY$3, 0)),SUM(VLOOKUP($A20, LS_current!$B$4:$AY$138, LS_current!L$148, FALSE), VLOOKUP($A20, LS_current!$B$4:$AY$138,LS_current!AJ$148, FALSE))/2)</f>
        <v>419.41620532309935</v>
      </c>
      <c r="CH20" s="180">
        <f t="array" ref="CH20">IF($BT20=0, INDEX(LS_current!$D$4:$AY$138, MATCH('Staging Table'!$A20, LS_current!$B$4:$B$138, 0), MATCH(CH$4&amp;CH$5, LS_current!$D$2:$AY$2&amp;LS_current!$D$3:$AY$3, 0)),SUM(VLOOKUP($A20, LS_current!$B$4:$AY$138, LS_current!M$148, FALSE), VLOOKUP($A20, LS_current!$B$4:$AY$138,LS_current!AK$148, FALSE))/2)</f>
        <v>431.2822094350995</v>
      </c>
      <c r="CI20" s="180">
        <f t="array" ref="CI20">IF($BT20=0, INDEX(LS_current!$D$4:$AY$138, MATCH('Staging Table'!$A20, LS_current!$B$4:$B$138, 0), MATCH(CI$4&amp;CI$5, LS_current!$D$2:$AY$2&amp;LS_current!$D$3:$AY$3, 0)),SUM(VLOOKUP($A20, LS_current!$B$4:$AY$138, LS_current!N$148, FALSE), VLOOKUP($A20, LS_current!$B$4:$AY$138,LS_current!AL$148, FALSE))/2)</f>
        <v>-405.7859458942994</v>
      </c>
      <c r="CJ20" s="180">
        <f t="array" ref="CJ20">IF($BT20=0, INDEX(LS_current!$D$4:$AY$138, MATCH('Staging Table'!$A20, LS_current!$B$4:$B$138, 0), MATCH(CJ$4&amp;CJ$5, LS_current!$D$2:$AY$2&amp;LS_current!$D$3:$AY$3, 0)),SUM(VLOOKUP($A20, LS_current!$B$4:$AY$138, LS_current!O$148, FALSE), VLOOKUP($A20, LS_current!$B$4:$AY$138,LS_current!AM$148, FALSE))/2)</f>
        <v>-450.46540217579968</v>
      </c>
      <c r="CK20" s="180">
        <f t="array" ref="CK20">IF($BT20=0, INDEX(LS_current!$D$4:$AY$138, MATCH('Staging Table'!$A20, LS_current!$B$4:$B$138, 0), MATCH(CK$4&amp;CK$5, LS_current!$D$2:$AY$2&amp;LS_current!$D$3:$AY$3, 0)),SUM(VLOOKUP($A20, LS_current!$B$4:$AY$138, LS_current!P$148, FALSE), VLOOKUP($A20, LS_current!$B$4:$AY$138,LS_current!AN$148, FALSE))/2)</f>
        <v>550.21087421974971</v>
      </c>
      <c r="CL20" s="180">
        <f t="array" ref="CL20">IF($BT20=0, INDEX(LS_current!$D$4:$AY$138, MATCH('Staging Table'!$A20, LS_current!$B$4:$B$138, 0), MATCH(CL$4&amp;CL$5, LS_current!$D$2:$AY$2&amp;LS_current!$D$3:$AY$3, 0)),SUM(VLOOKUP($A20, LS_current!$B$4:$AY$138, LS_current!Q$148, FALSE), VLOOKUP($A20, LS_current!$B$4:$AY$138,LS_current!AO$148, FALSE))/2)</f>
        <v>-208.8600236904249</v>
      </c>
      <c r="CM20" s="180">
        <f t="array" ref="CM20">IF($BT20=0, INDEX(LS_current!$D$4:$AY$138, MATCH('Staging Table'!$A20, LS_current!$B$4:$B$138, 0), MATCH(CM$4&amp;CM$5, LS_current!$D$2:$AY$2&amp;LS_current!$D$3:$AY$3, 0)),SUM(VLOOKUP($A20, LS_current!$B$4:$AY$138, LS_current!R$148, FALSE), VLOOKUP($A20, LS_current!$B$4:$AY$138,LS_current!AP$148, FALSE))/2)</f>
        <v>-1120.6945260528009</v>
      </c>
      <c r="CN20" s="180">
        <f t="array" ref="CN20">IF($BT20=0, INDEX(LS_current!$D$4:$AY$138, MATCH('Staging Table'!$A20, LS_current!$B$4:$B$138, 0), MATCH(CN$4&amp;CN$5, LS_current!$D$2:$AY$2&amp;LS_current!$D$3:$AY$3, 0)),SUM(VLOOKUP($A20, LS_current!$B$4:$AY$138, LS_current!S$148, FALSE), VLOOKUP($A20, LS_current!$B$4:$AY$138,LS_current!AQ$148, FALSE))/2)</f>
        <v>-1086.5714014893501</v>
      </c>
      <c r="CO20" s="180">
        <f t="array" ref="CO20">IF($BT20=0, INDEX(LS_current!$D$4:$AY$138, MATCH('Staging Table'!$A20, LS_current!$B$4:$B$138, 0), MATCH(CO$4&amp;CO$5, LS_current!$D$2:$AY$2&amp;LS_current!$D$3:$AY$3, 0)),SUM(VLOOKUP($A20, LS_current!$B$4:$AY$138, LS_current!T$148, FALSE), VLOOKUP($A20, LS_current!$B$4:$AY$138,LS_current!AR$148, FALSE))/2)</f>
        <v>-1282.2897814586004</v>
      </c>
      <c r="CP20" s="180">
        <f t="array" ref="CP20">IF($BT20=0, INDEX(LS_current!$D$4:$AY$138, MATCH('Staging Table'!$A20, LS_current!$B$4:$B$138, 0), MATCH(CP$4&amp;CP$5, LS_current!$D$2:$AY$2&amp;LS_current!$D$3:$AY$3, 0)),SUM(VLOOKUP($A20, LS_current!$B$4:$AY$138, LS_current!U$148, FALSE), VLOOKUP($A20, LS_current!$B$4:$AY$138,LS_current!AS$148, FALSE))/2)</f>
        <v>-1106.7885610149506</v>
      </c>
      <c r="CQ20" s="180">
        <f t="array" ref="CQ20">IF($BT20=0, INDEX(LS_current!$D$4:$AY$138, MATCH('Staging Table'!$A20, LS_current!$B$4:$B$138, 0), MATCH(CQ$4&amp;CQ$5, LS_current!$D$2:$AY$2&amp;LS_current!$D$3:$AY$3, 0)),SUM(VLOOKUP($A20, LS_current!$B$4:$AY$138, LS_current!V$148, FALSE), VLOOKUP($A20, LS_current!$B$4:$AY$138,LS_current!AT$148, FALSE))/2)</f>
        <v>768.64705469959972</v>
      </c>
      <c r="CR20" s="180">
        <f t="array" ref="CR20">IF($BT20=0, INDEX(LS_current!$D$4:$AY$138, MATCH('Staging Table'!$A20, LS_current!$B$4:$B$138, 0), MATCH(CR$4&amp;CR$5, LS_current!$D$2:$AY$2&amp;LS_current!$D$3:$AY$3, 0)),SUM(VLOOKUP($A20, LS_current!$B$4:$AY$138, LS_current!W$148, FALSE), VLOOKUP($A20, LS_current!$B$4:$AY$138,LS_current!AU$148, FALSE))/2)</f>
        <v>19.734776384749694</v>
      </c>
      <c r="CS20" s="180">
        <f t="array" ref="CS20">IF($BT20=0, INDEX(LS_current!$D$4:$AY$138, MATCH('Staging Table'!$A20, LS_current!$B$4:$B$138, 0), MATCH(CS$4&amp;CS$5, LS_current!$D$2:$AY$2&amp;LS_current!$D$3:$AY$3, 0)),SUM(VLOOKUP($A20, LS_current!$B$4:$AY$138, LS_current!X$148, FALSE), VLOOKUP($A20, LS_current!$B$4:$AY$138,LS_current!AV$148, FALSE))/2)</f>
        <v>903.50843952634841</v>
      </c>
      <c r="CT20" s="180">
        <f t="array" ref="CT20">IF($BT20=0, INDEX(LS_current!$D$4:$AY$138, MATCH('Staging Table'!$A20, LS_current!$B$4:$B$138, 0), MATCH(CT$4&amp;CT$5, LS_current!$D$2:$AY$2&amp;LS_current!$D$3:$AY$3, 0)),SUM(VLOOKUP($A20, LS_current!$B$4:$AY$138, LS_current!Y$148, FALSE), VLOOKUP($A20, LS_current!$B$4:$AY$138,LS_current!AW$148, FALSE))/2)</f>
        <v>-56.561490789335039</v>
      </c>
      <c r="CU20" s="180">
        <f t="array" ref="CU20">IF($BT20=0, INDEX(LS_current!$D$4:$AY$138, MATCH('Staging Table'!$A20, LS_current!$B$4:$B$138, 0), MATCH(CU$4&amp;CU$5, LS_current!$D$2:$AY$2&amp;LS_current!$D$3:$AY$3, 0)),SUM(VLOOKUP($A20, LS_current!$B$4:$AY$138, LS_current!Z$148, FALSE), VLOOKUP($A20, LS_current!$B$4:$AY$138,LS_current!AX$148, FALSE))/2)</f>
        <v>176.60540263859912</v>
      </c>
      <c r="CV20" s="180">
        <f t="array" ref="CV20">IF($BT20=0, INDEX(LS_current!$D$4:$AY$138, MATCH('Staging Table'!$A20, LS_current!$B$4:$B$138, 0), MATCH(CV$4&amp;CV$5, LS_current!$D$2:$AY$2&amp;LS_current!$D$3:$AY$3, 0)),SUM(VLOOKUP($A20, LS_current!$B$4:$AY$138, LS_current!AA$148, FALSE), VLOOKUP($A20, LS_current!$B$4:$AY$138,LS_current!AY$148, FALSE))/2)</f>
        <v>-321.24022297440024</v>
      </c>
      <c r="CW20" s="182">
        <f t="array" ref="CW20">INDEX(Demand_current!$D$4:$AY$138, MATCH($A20, Demand_current!$B$4:$B$138, 0), MATCH(CW$4&amp;CW$5,Demand_current!$D$2:$AY$2&amp;Demand_current!$D$3:$AY$3, 0))/1000</f>
        <v>2.7203533653846144</v>
      </c>
      <c r="CX20" s="182">
        <f t="array" ref="CX20">INDEX(Demand_current!$D$4:$AY$138, MATCH($A20, Demand_current!$B$4:$B$138, 0), MATCH(CX$4&amp;CX$5,Demand_current!$D$2:$AY$2&amp;Demand_current!$D$3:$AY$3, 0))/1000</f>
        <v>0.74087499999999951</v>
      </c>
      <c r="CY20" s="182">
        <f t="array" ref="CY20">INDEX(Demand_current!$D$4:$AY$138, MATCH($A20, Demand_current!$B$4:$B$138, 0), MATCH(CY$4&amp;CY$5,Demand_current!$D$2:$AY$2&amp;Demand_current!$D$3:$AY$3, 0))/1000</f>
        <v>1.969552500000002</v>
      </c>
      <c r="CZ20" s="182">
        <f t="array" ref="CZ20">INDEX(Demand_current!$D$4:$AY$138, MATCH($A20, Demand_current!$B$4:$B$138, 0), MATCH(CZ$4&amp;CZ$5,Demand_current!$D$2:$AY$2&amp;Demand_current!$D$3:$AY$3, 0))/1000</f>
        <v>2.7043894230769228</v>
      </c>
      <c r="DA20" s="182">
        <f t="array" ref="DA20">INDEX(Demand_current!$D$4:$AY$138, MATCH($A20, Demand_current!$B$4:$B$138, 0), MATCH(DA$4&amp;DA$5,Demand_current!$D$2:$AY$2&amp;Demand_current!$D$3:$AY$3, 0))/1000</f>
        <v>1.3259050000000019</v>
      </c>
      <c r="DB20" s="182">
        <f t="array" ref="DB20">INDEX(Demand_current!$D$4:$AY$138, MATCH($A20, Demand_current!$B$4:$B$138, 0), MATCH(DB$4&amp;DB$5,Demand_current!$D$2:$AY$2&amp;Demand_current!$D$3:$AY$3, 0))/1000</f>
        <v>2.6961057692307668</v>
      </c>
      <c r="DC20" s="182">
        <f t="array" ref="DC20">INDEX(Demand_current!$D$4:$AY$138, MATCH($A20, Demand_current!$B$4:$B$138, 0), MATCH(DC$4&amp;DC$5,Demand_current!$D$2:$AY$2&amp;Demand_current!$D$3:$AY$3, 0))/1000</f>
        <v>2.0841225961538448</v>
      </c>
      <c r="DD20" s="182">
        <f t="array" ref="DD20">INDEX(Demand_current!$D$4:$AY$138, MATCH($A20, Demand_current!$B$4:$B$138, 0), MATCH(DD$4&amp;DD$5,Demand_current!$D$2:$AY$2&amp;Demand_current!$D$3:$AY$3, 0))/1000</f>
        <v>1.323456730769232</v>
      </c>
      <c r="DE20" s="182">
        <f t="array" ref="DE20">INDEX(Demand_current!$D$4:$AY$138, MATCH($A20, Demand_current!$B$4:$B$138, 0), MATCH(DE$4&amp;DE$5,Demand_current!$D$2:$AY$2&amp;Demand_current!$D$3:$AY$3, 0))/1000</f>
        <v>3.7498949999999991</v>
      </c>
      <c r="DF20" s="182">
        <f t="array" ref="DF20">INDEX(Demand_current!$D$4:$AY$138, MATCH($A20, Demand_current!$B$4:$B$138, 0), MATCH(DF$4&amp;DF$5,Demand_current!$D$2:$AY$2&amp;Demand_current!$D$3:$AY$3, 0))/1000</f>
        <v>3.5595625000000011</v>
      </c>
      <c r="DG20" s="182">
        <f t="array" ref="DG20">INDEX(Demand_current!$D$4:$AY$138, MATCH($A20, Demand_current!$B$4:$B$138, 0), MATCH(DG$4&amp;DG$5,Demand_current!$D$2:$AY$2&amp;Demand_current!$D$3:$AY$3, 0))/1000</f>
        <v>3.4461620370370367</v>
      </c>
      <c r="DH20" s="182">
        <f t="array" ref="DH20">INDEX(Demand_current!$D$4:$AY$138, MATCH($A20, Demand_current!$B$4:$B$138, 0), MATCH(DH$4&amp;DH$5,Demand_current!$D$2:$AY$2&amp;Demand_current!$D$3:$AY$3, 0))/1000</f>
        <v>2.0082265624999991</v>
      </c>
      <c r="DI20" s="180">
        <f>$BS20*(VLOOKUP(DI$4, Rates_current!$G$6:$Q$29, 10, FALSE)+VLOOKUP(DI$4, Rates_current!$G$6:$Q$29, 11, FALSE))</f>
        <v>8400.0601695226505</v>
      </c>
      <c r="DJ20" s="180">
        <f>$BS20*(VLOOKUP(DJ$4, Rates_current!$G$6:$Q$29, 10, FALSE)+VLOOKUP(DJ$4, Rates_current!$G$6:$Q$29, 11, FALSE))</f>
        <v>10712.846660964902</v>
      </c>
      <c r="DK20" s="180">
        <f>$BS20*(VLOOKUP(DK$4, Rates_current!$G$6:$Q$29, 10, FALSE)+VLOOKUP(DK$4, Rates_current!$G$6:$Q$29, 11, FALSE))</f>
        <v>11561.2812030285</v>
      </c>
      <c r="DL20" s="180">
        <f>$BS20*(VLOOKUP(DL$4, Rates_current!$G$6:$Q$29, 10, FALSE)+VLOOKUP(DL$4, Rates_current!$G$6:$Q$29, 11, FALSE))</f>
        <v>12013.958403278401</v>
      </c>
      <c r="DM20" s="180">
        <f>$BS20*(VLOOKUP(DM$4, Rates_current!$G$6:$Q$29, 10, FALSE)+VLOOKUP(DM$4, Rates_current!$G$6:$Q$29, 11, FALSE))</f>
        <v>10333.605585241799</v>
      </c>
      <c r="DN20" s="180">
        <f>$BS20*(VLOOKUP(DN$4, Rates_current!$G$6:$Q$29, 10, FALSE)+VLOOKUP(DN$4, Rates_current!$G$6:$Q$29, 11, FALSE))</f>
        <v>11282.2513480701</v>
      </c>
      <c r="DO20" s="180">
        <f>$BS20*(VLOOKUP(DO$4, Rates_current!$G$6:$Q$29, 10, FALSE)+VLOOKUP(DO$4, Rates_current!$G$6:$Q$29, 11, FALSE))</f>
        <v>8905.4361494706736</v>
      </c>
      <c r="DP20" s="180">
        <f>$BS20*(VLOOKUP(DP$4, Rates_current!$G$6:$Q$29, 10, FALSE)+VLOOKUP(DP$4, Rates_current!$G$6:$Q$29, 11, FALSE))</f>
        <v>11048.386927542149</v>
      </c>
      <c r="DQ20" s="180">
        <f>$BS20*(VLOOKUP(DQ$4, Rates_current!$G$6:$Q$29, 10, FALSE)+VLOOKUP(DQ$4, Rates_current!$G$6:$Q$29, 11, FALSE))</f>
        <v>11288.10934247355</v>
      </c>
      <c r="DR20" s="180">
        <f>$BS20*(VLOOKUP(DR$4, Rates_current!$G$6:$Q$29, 10, FALSE)+VLOOKUP(DR$4, Rates_current!$G$6:$Q$29, 11, FALSE))</f>
        <v>9799.7051689156506</v>
      </c>
      <c r="DS20" s="180">
        <f>$BS20*(VLOOKUP(DS$4, Rates_current!$G$6:$Q$29, 10, FALSE)+VLOOKUP(DS$4, Rates_current!$G$6:$Q$29, 11, FALSE))</f>
        <v>9473.7100512629859</v>
      </c>
      <c r="DT20" s="180">
        <f>$BS20*(VLOOKUP(DT$4, Rates_current!$G$6:$Q$29, 10, FALSE)+VLOOKUP(DT$4, Rates_current!$G$6:$Q$29, 11, FALSE))</f>
        <v>8717.6478203358001</v>
      </c>
      <c r="DU20" s="402">
        <f>IF(D20=0,IF(C20=0,MAX(0,DW20 - (VLOOKUP($A20,TOCA_current!$A$2:$AI$137,MATCH("RHWM 2024",TOCA_current!$A$2:$AI$2,0),FALSE)*$BS$2)), 0),0)</f>
        <v>3.689566268818453</v>
      </c>
      <c r="DV20" s="403">
        <f>MIN(VLOOKUP($A20,TOCA_current!$A$2:$AI$137,MATCH("TRL - NLSL - Existing Resource "&amp;$BS$1,TOCA_current!$A$2:$AI$2,0),FALSE)*$BS$2, VLOOKUP($A20,TOCA_current!$A$2:$AI$137,MATCH("RHWM 2024",TOCA_current!$A$2:$AI$2,0),FALSE)*$BS$2)</f>
        <v>123538.17600000001</v>
      </c>
      <c r="DW20" s="403">
        <f>SUM(BY20:CV20)+(BS20*RT1SC!$C$4*$BS$2)</f>
        <v>123541.86556626883</v>
      </c>
      <c r="DX20" s="403">
        <f>VLOOKUP($A20,TOCA_current!$A$2:$AI$137,MATCH("Above RHWM Not Served with LS "&amp;$BS$1,TOCA_current!$A$2:$AI$2,0),FALSE)*$BS$2</f>
        <v>22223.520000000011</v>
      </c>
      <c r="DY20" s="403">
        <f t="shared" si="13"/>
        <v>3.689566268818453</v>
      </c>
      <c r="DZ20" s="403">
        <f>(VLOOKUP($A20,TOCA_current!$A$2:$AI$137,MATCH("RHWM 2024",TOCA_current!$A$2:$AI$2,0),FALSE)*$BS$2) - $DV20</f>
        <v>0</v>
      </c>
      <c r="EA20" s="403">
        <f t="shared" si="14"/>
        <v>0</v>
      </c>
      <c r="EB20" s="403">
        <f t="shared" si="15"/>
        <v>0</v>
      </c>
      <c r="EC20" s="403">
        <f t="shared" si="16"/>
        <v>0</v>
      </c>
      <c r="ED20" s="403">
        <f t="shared" si="17"/>
        <v>0</v>
      </c>
    </row>
    <row r="21" spans="1:134">
      <c r="A21" s="123">
        <v>10065</v>
      </c>
      <c r="B21" s="124" t="s">
        <v>22</v>
      </c>
      <c r="C21" s="232">
        <f>VLOOKUP(A21, TOCA_current!$A$3:$D$137, 4, FALSE)</f>
        <v>0</v>
      </c>
      <c r="D21" s="191">
        <v>0</v>
      </c>
      <c r="E21" s="107">
        <f>VLOOKUP($A21,TOCA_previous!$A$2:$AI$137,MATCH(E$4,TOCA_previous!$A$2:$AI$2,0),FALSE)</f>
        <v>3.367E-4</v>
      </c>
      <c r="F21" s="108">
        <f>VLOOKUP($A21,TOCA_previous!$A$2:$AI$137,MATCH(F$4,TOCA_previous!$A$2:$AI$2,0),FALSE)</f>
        <v>3.367E-4</v>
      </c>
      <c r="G21" s="108">
        <f t="shared" si="5"/>
        <v>0</v>
      </c>
      <c r="H21" s="108">
        <f>VLOOKUP($A21,TOCA_previous!$A$2:$AI$137,MATCH(H$4,TOCA_previous!$A$2:$AI$2,0),FALSE)</f>
        <v>7.6969999999999997E-2</v>
      </c>
      <c r="I21" s="108">
        <f t="shared" si="6"/>
        <v>0</v>
      </c>
      <c r="J21" s="108">
        <f t="shared" si="7"/>
        <v>0</v>
      </c>
      <c r="K21" s="179">
        <f>VLOOKUP(A21, IRD!$A$5:$C$139, 3, FALSE)</f>
        <v>0</v>
      </c>
      <c r="L21" s="180">
        <f t="array" ref="L21">IF($G21=0, INDEX(LS_previous!$D$4:$AY$138, MATCH('Staging Table'!$A21, LS_previous!$B$4:$B$138, 0), MATCH(L$4&amp;L$5, LS_previous!$D$2:$AY$2&amp;LS_previous!$D$3:$AY$3, 0)),SUM(VLOOKUP($A21, LS_previous!$B$4:$AY$138, LS_previous!D$149, FALSE), VLOOKUP('Staging Table'!$A21, LS_previous!$B$4:$AY$138,LS_previous!AB$149, FALSE))/2)</f>
        <v>-108.97808206910292</v>
      </c>
      <c r="M21" s="180">
        <f t="array" ref="M21">IF($G21=0, INDEX(LS_previous!$D$4:$AY$138, MATCH('Staging Table'!$A21, LS_previous!$B$4:$B$138, 0), MATCH(M$4&amp;M$5, LS_previous!$D$2:$AY$2&amp;LS_previous!$D$3:$AY$3, 0)),SUM(VLOOKUP($A21, LS_previous!$B$4:$AY$138, LS_previous!E$149, FALSE), VLOOKUP('Staging Table'!$A21, LS_previous!$B$4:$AY$138,LS_previous!AC$149, FALSE))/2)</f>
        <v>-3.0372704017993328</v>
      </c>
      <c r="N21" s="180">
        <f t="array" ref="N21">IF($G21=0, INDEX(LS_previous!$D$4:$AY$138, MATCH('Staging Table'!$A21, LS_previous!$B$4:$B$138, 0), MATCH(N$4&amp;N$5, LS_previous!$D$2:$AY$2&amp;LS_previous!$D$3:$AY$3, 0)),SUM(VLOOKUP($A21, LS_previous!$B$4:$AY$138, LS_previous!F$149, FALSE), VLOOKUP('Staging Table'!$A21, LS_previous!$B$4:$AY$138,LS_previous!AD$149, FALSE))/2)</f>
        <v>-276.04913892603713</v>
      </c>
      <c r="O21" s="180">
        <f t="array" ref="O21">IF($G21=0, INDEX(LS_previous!$D$4:$AY$138, MATCH('Staging Table'!$A21, LS_previous!$B$4:$B$138, 0), MATCH(O$4&amp;O$5, LS_previous!$D$2:$AY$2&amp;LS_previous!$D$3:$AY$3, 0)),SUM(VLOOKUP($A21, LS_previous!$B$4:$AY$138, LS_previous!G$149, FALSE), VLOOKUP('Staging Table'!$A21, LS_previous!$B$4:$AY$138,LS_previous!AE$149, FALSE))/2)</f>
        <v>-151.00835081905063</v>
      </c>
      <c r="P21" s="180">
        <f t="array" ref="P21">IF($G21=0, INDEX(LS_previous!$D$4:$AY$138, MATCH('Staging Table'!$A21, LS_previous!$B$4:$B$138, 0), MATCH(P$4&amp;P$5, LS_previous!$D$2:$AY$2&amp;LS_previous!$D$3:$AY$3, 0)),SUM(VLOOKUP($A21, LS_previous!$B$4:$AY$138, LS_previous!H$149, FALSE), VLOOKUP('Staging Table'!$A21, LS_previous!$B$4:$AY$138,LS_previous!AF$149, FALSE))/2)</f>
        <v>99.493049897049104</v>
      </c>
      <c r="Q21" s="180">
        <f t="array" ref="Q21">IF($G21=0, INDEX(LS_previous!$D$4:$AY$138, MATCH('Staging Table'!$A21, LS_previous!$B$4:$B$138, 0), MATCH(Q$4&amp;Q$5, LS_previous!$D$2:$AY$2&amp;LS_previous!$D$3:$AY$3, 0)),SUM(VLOOKUP($A21, LS_previous!$B$4:$AY$138, LS_previous!I$149, FALSE), VLOOKUP('Staging Table'!$A21, LS_previous!$B$4:$AY$138,LS_previous!AG$149, FALSE))/2)</f>
        <v>48.955935114280123</v>
      </c>
      <c r="R21" s="180">
        <f t="array" ref="R21">IF($G21=0, INDEX(LS_previous!$D$4:$AY$138, MATCH('Staging Table'!$A21, LS_previous!$B$4:$B$138, 0), MATCH(R$4&amp;R$5, LS_previous!$D$2:$AY$2&amp;LS_previous!$D$3:$AY$3, 0)),SUM(VLOOKUP($A21, LS_previous!$B$4:$AY$138, LS_previous!J$149, FALSE), VLOOKUP('Staging Table'!$A21, LS_previous!$B$4:$AY$138,LS_previous!AH$149, FALSE))/2)</f>
        <v>682.88710652431826</v>
      </c>
      <c r="S21" s="180">
        <f t="array" ref="S21">IF($G21=0, INDEX(LS_previous!$D$4:$AY$138, MATCH('Staging Table'!$A21, LS_previous!$B$4:$B$138, 0), MATCH(S$4&amp;S$5, LS_previous!$D$2:$AY$2&amp;LS_previous!$D$3:$AY$3, 0)),SUM(VLOOKUP($A21, LS_previous!$B$4:$AY$138, LS_previous!K$149, FALSE), VLOOKUP('Staging Table'!$A21, LS_previous!$B$4:$AY$138,LS_previous!AI$149, FALSE))/2)</f>
        <v>321.99151318697488</v>
      </c>
      <c r="T21" s="180">
        <f t="array" ref="T21">IF($G21=0, INDEX(LS_previous!$D$4:$AY$138, MATCH('Staging Table'!$A21, LS_previous!$B$4:$B$138, 0), MATCH(T$4&amp;T$5, LS_previous!$D$2:$AY$2&amp;LS_previous!$D$3:$AY$3, 0)),SUM(VLOOKUP($A21, LS_previous!$B$4:$AY$138, LS_previous!L$149, FALSE), VLOOKUP('Staging Table'!$A21, LS_previous!$B$4:$AY$138,LS_previous!AJ$149, FALSE))/2)</f>
        <v>658.89443603606821</v>
      </c>
      <c r="U21" s="180">
        <f t="array" ref="U21">IF($G21=0, INDEX(LS_previous!$D$4:$AY$138, MATCH('Staging Table'!$A21, LS_previous!$B$4:$B$138, 0), MATCH(U$4&amp;U$5, LS_previous!$D$2:$AY$2&amp;LS_previous!$D$3:$AY$3, 0)),SUM(VLOOKUP($A21, LS_previous!$B$4:$AY$138, LS_previous!M$149, FALSE), VLOOKUP('Staging Table'!$A21, LS_previous!$B$4:$AY$138,LS_previous!AK$149, FALSE))/2)</f>
        <v>365.45352572901402</v>
      </c>
      <c r="V21" s="180">
        <f t="array" ref="V21">IF($G21=0, INDEX(LS_previous!$D$4:$AY$138, MATCH('Staging Table'!$A21, LS_previous!$B$4:$B$138, 0), MATCH(V$4&amp;V$5, LS_previous!$D$2:$AY$2&amp;LS_previous!$D$3:$AY$3, 0)),SUM(VLOOKUP($A21, LS_previous!$B$4:$AY$138, LS_previous!N$149, FALSE), VLOOKUP('Staging Table'!$A21, LS_previous!$B$4:$AY$138,LS_previous!AL$149, FALSE))/2)</f>
        <v>334.59072408341797</v>
      </c>
      <c r="W21" s="180">
        <f t="array" ref="W21">IF($G21=0, INDEX(LS_previous!$D$4:$AY$138, MATCH('Staging Table'!$A21, LS_previous!$B$4:$B$138, 0), MATCH(W$4&amp;W$5, LS_previous!$D$2:$AY$2&amp;LS_previous!$D$3:$AY$3, 0)),SUM(VLOOKUP($A21, LS_previous!$B$4:$AY$138, LS_previous!O$149, FALSE), VLOOKUP('Staging Table'!$A21, LS_previous!$B$4:$AY$138,LS_previous!AM$149, FALSE))/2)</f>
        <v>330.53178245875313</v>
      </c>
      <c r="X21" s="180">
        <f t="array" ref="X21">IF($G21=0, INDEX(LS_previous!$D$4:$AY$138, MATCH('Staging Table'!$A21, LS_previous!$B$4:$B$138, 0), MATCH(X$4&amp;X$5, LS_previous!$D$2:$AY$2&amp;LS_previous!$D$3:$AY$3, 0)),SUM(VLOOKUP($A21, LS_previous!$B$4:$AY$138, LS_previous!P$149, FALSE), VLOOKUP('Staging Table'!$A21, LS_previous!$B$4:$AY$138,LS_previous!AN$149, FALSE))/2)</f>
        <v>384.99849993337807</v>
      </c>
      <c r="Y21" s="180">
        <f t="array" ref="Y21">IF($G21=0, INDEX(LS_previous!$D$4:$AY$138, MATCH('Staging Table'!$A21, LS_previous!$B$4:$B$138, 0), MATCH(Y$4&amp;Y$5, LS_previous!$D$2:$AY$2&amp;LS_previous!$D$3:$AY$3, 0)),SUM(VLOOKUP($A21, LS_previous!$B$4:$AY$138, LS_previous!Q$149, FALSE), VLOOKUP('Staging Table'!$A21, LS_previous!$B$4:$AY$138,LS_previous!AO$149, FALSE))/2)</f>
        <v>266.35861706545251</v>
      </c>
      <c r="Z21" s="180">
        <f t="array" ref="Z21">IF($G21=0, INDEX(LS_previous!$D$4:$AY$138, MATCH('Staging Table'!$A21, LS_previous!$B$4:$B$138, 0), MATCH(Z$4&amp;Z$5, LS_previous!$D$2:$AY$2&amp;LS_previous!$D$3:$AY$3, 0)),SUM(VLOOKUP($A21, LS_previous!$B$4:$AY$138, LS_previous!R$149, FALSE), VLOOKUP('Staging Table'!$A21, LS_previous!$B$4:$AY$138,LS_previous!AP$149, FALSE))/2)</f>
        <v>-149.06844727940279</v>
      </c>
      <c r="AA21" s="180">
        <f t="array" ref="AA21">IF($G21=0, INDEX(LS_previous!$D$4:$AY$138, MATCH('Staging Table'!$A21, LS_previous!$B$4:$B$138, 0), MATCH(AA$4&amp;AA$5, LS_previous!$D$2:$AY$2&amp;LS_previous!$D$3:$AY$3, 0)),SUM(VLOOKUP($A21, LS_previous!$B$4:$AY$138, LS_previous!S$149, FALSE), VLOOKUP('Staging Table'!$A21, LS_previous!$B$4:$AY$138,LS_previous!AQ$149, FALSE))/2)</f>
        <v>32.573577565396022</v>
      </c>
      <c r="AB21" s="180">
        <f t="array" ref="AB21">IF($G21=0, INDEX(LS_previous!$D$4:$AY$138, MATCH('Staging Table'!$A21, LS_previous!$B$4:$B$138, 0), MATCH(AB$4&amp;AB$5, LS_previous!$D$2:$AY$2&amp;LS_previous!$D$3:$AY$3, 0)),SUM(VLOOKUP($A21, LS_previous!$B$4:$AY$138, LS_previous!T$149, FALSE), VLOOKUP('Staging Table'!$A21, LS_previous!$B$4:$AY$138,LS_previous!AR$149, FALSE))/2)</f>
        <v>-447.48051178050093</v>
      </c>
      <c r="AC21" s="180">
        <f t="array" ref="AC21">IF($G21=0, INDEX(LS_previous!$D$4:$AY$138, MATCH('Staging Table'!$A21, LS_previous!$B$4:$B$138, 0), MATCH(AC$4&amp;AC$5, LS_previous!$D$2:$AY$2&amp;LS_previous!$D$3:$AY$3, 0)),SUM(VLOOKUP($A21, LS_previous!$B$4:$AY$138, LS_previous!U$149, FALSE), VLOOKUP('Staging Table'!$A21, LS_previous!$B$4:$AY$138,LS_previous!AS$149, FALSE))/2)</f>
        <v>87.057496997055296</v>
      </c>
      <c r="AD21" s="180">
        <f t="array" ref="AD21">IF($G21=0, INDEX(LS_previous!$D$4:$AY$138, MATCH('Staging Table'!$A21, LS_previous!$B$4:$B$138, 0), MATCH(AD$4&amp;AD$5, LS_previous!$D$2:$AY$2&amp;LS_previous!$D$3:$AY$3, 0)),SUM(VLOOKUP($A21, LS_previous!$B$4:$AY$138, LS_previous!V$149, FALSE), VLOOKUP('Staging Table'!$A21, LS_previous!$B$4:$AY$138,LS_previous!AT$149, FALSE))/2)</f>
        <v>-289.68074570477779</v>
      </c>
      <c r="AE21" s="180">
        <f t="array" ref="AE21">IF($G21=0, INDEX(LS_previous!$D$4:$AY$138, MATCH('Staging Table'!$A21, LS_previous!$B$4:$B$138, 0), MATCH(AE$4&amp;AE$5, LS_previous!$D$2:$AY$2&amp;LS_previous!$D$3:$AY$3, 0)),SUM(VLOOKUP($A21, LS_previous!$B$4:$AY$138, LS_previous!W$149, FALSE), VLOOKUP('Staging Table'!$A21, LS_previous!$B$4:$AY$138,LS_previous!AU$149, FALSE))/2)</f>
        <v>-103.32837438570039</v>
      </c>
      <c r="AF21" s="180">
        <f t="array" ref="AF21">IF($G21=0, INDEX(LS_previous!$D$4:$AY$138, MATCH('Staging Table'!$A21, LS_previous!$B$4:$B$138, 0), MATCH(AF$4&amp;AF$5, LS_previous!$D$2:$AY$2&amp;LS_previous!$D$3:$AY$3, 0)),SUM(VLOOKUP($A21, LS_previous!$B$4:$AY$138, LS_previous!X$149, FALSE), VLOOKUP('Staging Table'!$A21, LS_previous!$B$4:$AY$138,LS_previous!AV$149, FALSE))/2)</f>
        <v>-266.14075704893799</v>
      </c>
      <c r="AG21" s="180">
        <f t="array" ref="AG21">IF($G21=0, INDEX(LS_previous!$D$4:$AY$138, MATCH('Staging Table'!$A21, LS_previous!$B$4:$B$138, 0), MATCH(AG$4&amp;AG$5, LS_previous!$D$2:$AY$2&amp;LS_previous!$D$3:$AY$3, 0)),SUM(VLOOKUP($A21, LS_previous!$B$4:$AY$138, LS_previous!Y$149, FALSE), VLOOKUP('Staging Table'!$A21, LS_previous!$B$4:$AY$138,LS_previous!AW$149, FALSE))/2)</f>
        <v>-24.968716161785096</v>
      </c>
      <c r="AH21" s="180">
        <f t="array" ref="AH21">IF($G21=0, INDEX(LS_previous!$D$4:$AY$138, MATCH('Staging Table'!$A21, LS_previous!$B$4:$B$138, 0), MATCH(AH$4&amp;AH$5, LS_previous!$D$2:$AY$2&amp;LS_previous!$D$3:$AY$3, 0)),SUM(VLOOKUP($A21, LS_previous!$B$4:$AY$138, LS_previous!Z$149, FALSE), VLOOKUP('Staging Table'!$A21, LS_previous!$B$4:$AY$138,LS_previous!AX$149, FALSE))/2)</f>
        <v>-326.18193740589459</v>
      </c>
      <c r="AI21" s="180">
        <f t="array" ref="AI21">IF($G21=0, INDEX(LS_previous!$D$4:$AY$138, MATCH('Staging Table'!$A21, LS_previous!$B$4:$B$138, 0), MATCH(AI$4&amp;AI$5, LS_previous!$D$2:$AY$2&amp;LS_previous!$D$3:$AY$3, 0)),SUM(VLOOKUP($A21, LS_previous!$B$4:$AY$138, LS_previous!AA$149, FALSE), VLOOKUP('Staging Table'!$A21, LS_previous!$B$4:$AY$138,LS_previous!AY$149, FALSE))/2)</f>
        <v>-96.799895859238632</v>
      </c>
      <c r="AJ21" s="298">
        <f t="array" ref="AJ21">INDEX(Demand_previous!$D$4:$AY$138, MATCH('Staging Table'!$A21, Demand_previous!$B$4:$B$138, 0), MATCH(AJ$4&amp;AJ$5,Demand_previous!$D$2:$AY$2&amp;Demand_previous!$D$3:$AY$3, 0))/1000</f>
        <v>0</v>
      </c>
      <c r="AK21" s="298">
        <f t="array" ref="AK21">INDEX(Demand_previous!$D$4:$AY$138, MATCH('Staging Table'!$A21, Demand_previous!$B$4:$B$138, 0), MATCH(AK$4&amp;AK$5,Demand_previous!$D$2:$AY$2&amp;Demand_previous!$D$3:$AY$3, 0))/1000</f>
        <v>0</v>
      </c>
      <c r="AL21" s="298">
        <f t="array" ref="AL21">INDEX(Demand_previous!$D$4:$AY$138, MATCH('Staging Table'!$A21, Demand_previous!$B$4:$B$138, 0), MATCH(AL$4&amp;AL$5,Demand_previous!$D$2:$AY$2&amp;Demand_previous!$D$3:$AY$3, 0))/1000</f>
        <v>0.14451201923076934</v>
      </c>
      <c r="AM21" s="298">
        <f t="array" ref="AM21">INDEX(Demand_previous!$D$4:$AY$138, MATCH('Staging Table'!$A21, Demand_previous!$B$4:$B$138, 0), MATCH(AM$4&amp;AM$5,Demand_previous!$D$2:$AY$2&amp;Demand_previous!$D$3:$AY$3, 0))/1000</f>
        <v>0</v>
      </c>
      <c r="AN21" s="298">
        <f t="array" ref="AN21">INDEX(Demand_previous!$D$4:$AY$138, MATCH('Staging Table'!$A21, Demand_previous!$B$4:$B$138, 0), MATCH(AN$4&amp;AN$5,Demand_previous!$D$2:$AY$2&amp;Demand_previous!$D$3:$AY$3, 0))/1000</f>
        <v>0.44349739583333292</v>
      </c>
      <c r="AO21" s="298">
        <f t="array" ref="AO21">INDEX(Demand_previous!$D$4:$AY$138, MATCH('Staging Table'!$A21, Demand_previous!$B$4:$B$138, 0), MATCH(AO$4&amp;AO$5,Demand_previous!$D$2:$AY$2&amp;Demand_previous!$D$3:$AY$3, 0))/1000</f>
        <v>0.11903240740740811</v>
      </c>
      <c r="AP21" s="298">
        <f t="array" ref="AP21">INDEX(Demand_previous!$D$4:$AY$138, MATCH('Staging Table'!$A21, Demand_previous!$B$4:$B$138, 0), MATCH(AP$4&amp;AP$5,Demand_previous!$D$2:$AY$2&amp;Demand_previous!$D$3:$AY$3, 0))/1000</f>
        <v>0</v>
      </c>
      <c r="AQ21" s="298">
        <f t="array" ref="AQ21">INDEX(Demand_previous!$D$4:$AY$138, MATCH('Staging Table'!$A21, Demand_previous!$B$4:$B$138, 0), MATCH(AQ$4&amp;AQ$5,Demand_previous!$D$2:$AY$2&amp;Demand_previous!$D$3:$AY$3, 0))/1000</f>
        <v>0</v>
      </c>
      <c r="AR21" s="298">
        <f t="array" ref="AR21">INDEX(Demand_previous!$D$4:$AY$138, MATCH('Staging Table'!$A21, Demand_previous!$B$4:$B$138, 0), MATCH(AR$4&amp;AR$5,Demand_previous!$D$2:$AY$2&amp;Demand_previous!$D$3:$AY$3, 0))/1000</f>
        <v>0</v>
      </c>
      <c r="AS21" s="298">
        <f t="array" ref="AS21">INDEX(Demand_previous!$D$4:$AY$138, MATCH('Staging Table'!$A21, Demand_previous!$B$4:$B$138, 0), MATCH(AS$4&amp;AS$5,Demand_previous!$D$2:$AY$2&amp;Demand_previous!$D$3:$AY$3, 0))/1000</f>
        <v>0</v>
      </c>
      <c r="AT21" s="298">
        <f t="array" ref="AT21">INDEX(Demand_previous!$D$4:$AY$138, MATCH('Staging Table'!$A21, Demand_previous!$B$4:$B$138, 0), MATCH(AT$4&amp;AT$5,Demand_previous!$D$2:$AY$2&amp;Demand_previous!$D$3:$AY$3, 0))/1000</f>
        <v>0</v>
      </c>
      <c r="AU21" s="298">
        <f t="array" ref="AU21">INDEX(Demand_previous!$D$4:$AY$138, MATCH('Staging Table'!$A21, Demand_previous!$B$4:$B$138, 0), MATCH(AU$4&amp;AU$5,Demand_previous!$D$2:$AY$2&amp;Demand_previous!$D$3:$AY$3, 0))/1000</f>
        <v>0.21146999999999982</v>
      </c>
      <c r="AV21" s="180">
        <f>$F21*(VLOOKUP(AV$4, Rates_previous!$G$6:$Q$29, 10, FALSE)+VLOOKUP(AV$4, Rates_previous!$G$6:$Q$29, 11, FALSE))</f>
        <v>1533.3063524709021</v>
      </c>
      <c r="AW21" s="180">
        <f>$F21*(VLOOKUP(AW$4, Rates_previous!$G$6:$Q$29, 10, FALSE)+VLOOKUP(AW$4, Rates_previous!$G$6:$Q$29, 11, FALSE))</f>
        <v>1941.2214897450879</v>
      </c>
      <c r="AX21" s="180">
        <f>$F21*(VLOOKUP(AX$4, Rates_previous!$G$6:$Q$29, 10, FALSE)+VLOOKUP(AX$4, Rates_previous!$G$6:$Q$29, 11, FALSE))</f>
        <v>1900.0680149886709</v>
      </c>
      <c r="AY21" s="180">
        <f>$F21*(VLOOKUP(AY$4, Rates_previous!$G$6:$Q$29, 10, FALSE)+VLOOKUP(AY$4, Rates_previous!$G$6:$Q$29, 11, FALSE))</f>
        <v>1569.3753802887068</v>
      </c>
      <c r="AZ21" s="180">
        <f>$F21*(VLOOKUP(AZ$4, Rates_previous!$G$6:$Q$29, 10, FALSE)+VLOOKUP(AZ$4, Rates_previous!$G$6:$Q$29, 11, FALSE))</f>
        <v>1360.2120382349178</v>
      </c>
      <c r="BA21" s="180">
        <f>$F21*(VLOOKUP(BA$4, Rates_previous!$G$6:$Q$29, 10, FALSE)+VLOOKUP(BA$4, Rates_previous!$G$6:$Q$29, 11, FALSE))</f>
        <v>1623.8184934578289</v>
      </c>
      <c r="BB21" s="180">
        <f>$F21*(VLOOKUP(BB$4, Rates_previous!$G$6:$Q$29, 10, FALSE)+VLOOKUP(BB$4, Rates_previous!$G$6:$Q$29, 11, FALSE))</f>
        <v>1260.6788830011694</v>
      </c>
      <c r="BC21" s="180">
        <f>$F21*(VLOOKUP(BC$4, Rates_previous!$G$6:$Q$29, 10, FALSE)+VLOOKUP(BC$4, Rates_previous!$G$6:$Q$29, 11, FALSE))</f>
        <v>1746.6798697140064</v>
      </c>
      <c r="BD21" s="180">
        <f>$F21*(VLOOKUP(BD$4, Rates_previous!$G$6:$Q$29, 10, FALSE)+VLOOKUP(BD$4, Rates_previous!$G$6:$Q$29, 11, FALSE))</f>
        <v>1866.3640147834453</v>
      </c>
      <c r="BE21" s="180">
        <f>$F21*(VLOOKUP(BE$4, Rates_previous!$G$6:$Q$29, 10, FALSE)+VLOOKUP(BE$4, Rates_previous!$G$6:$Q$29, 11, FALSE))</f>
        <v>1772.0281200904783</v>
      </c>
      <c r="BF21" s="180">
        <f>$F21*(VLOOKUP(BF$4, Rates_previous!$G$6:$Q$29, 10, FALSE)+VLOOKUP(BF$4, Rates_previous!$G$6:$Q$29, 11, FALSE))</f>
        <v>1712.5284732107232</v>
      </c>
      <c r="BG21" s="180">
        <f>$F21*(VLOOKUP(BG$4, Rates_previous!$G$6:$Q$29, 10, FALSE)+VLOOKUP(BG$4, Rates_previous!$G$6:$Q$29, 11, FALSE))</f>
        <v>1582.5548332651331</v>
      </c>
      <c r="BH21" s="298">
        <f>IF($D21=0,IF(C21=0, MAX(BJ21 - (VLOOKUP($A21,TOCA_previous!$A$2:$AI$137,MATCH("RHWM 2022",TOCA_previous!$A$2:$AI$2,0),FALSE)*$F$2*TOCA_previous!C18),0),0), 0)</f>
        <v>1372.2210163769341</v>
      </c>
      <c r="BI21" s="192">
        <f>MIN(VLOOKUP($A21,TOCA_previous!$A$2:$AI$137,MATCH("TRL - NLSL - Existing Resource "&amp;$F$1,TOCA_previous!$A$2:$AI$2,0),FALSE)*$F$2,(VLOOKUP($A21,TOCA_previous!$A$2:$AI$137,MATCH("RHWM 2022",TOCA_previous!$A$2:$AI$2,0),FALSE)*$F$2))</f>
        <v>19867.679999999997</v>
      </c>
      <c r="BJ21" s="402">
        <f>SUM(L21:AI21)+(F21*RT1SC!$C$3*$F$2)</f>
        <v>21239.901016376931</v>
      </c>
      <c r="BK21" s="401">
        <f>VLOOKUP($A21,TOCA_previous!$A$2:$AI$137,MATCH("Above RHWM Not Served with LS "&amp;$F$1,TOCA_previous!$A$2:$AI$2,0),FALSE)*$F$2</f>
        <v>18360.96</v>
      </c>
      <c r="BL21" s="402">
        <f t="shared" si="8"/>
        <v>1372.2210163769341</v>
      </c>
      <c r="BM21" s="401">
        <f>(VLOOKUP($A21,TOCA_previous!$A$2:$AI$137,MATCH("RHWM 2022",TOCA_previous!$A$2:$AI$2,0),FALSE)*$F$2) - $BI21</f>
        <v>0</v>
      </c>
      <c r="BN21" s="402">
        <f t="shared" si="9"/>
        <v>0</v>
      </c>
      <c r="BO21" s="401">
        <f t="shared" si="10"/>
        <v>0</v>
      </c>
      <c r="BP21" s="402">
        <f t="shared" si="11"/>
        <v>0</v>
      </c>
      <c r="BQ21" s="401">
        <f t="shared" si="2"/>
        <v>0</v>
      </c>
      <c r="BR21" s="108">
        <f>VLOOKUP($A21,TOCA_current!$A$2:$AI$137,MATCH(BR$4,TOCA_current!$A$2:$AI$2,0),FALSE)</f>
        <v>3.367E-4</v>
      </c>
      <c r="BS21" s="108">
        <f>VLOOKUP($A21,TOCA_current!$A$2:$AI$137,MATCH(BS$4,TOCA_current!$A$2:$AI$2,0),FALSE)</f>
        <v>3.367E-4</v>
      </c>
      <c r="BT21" s="189">
        <f t="shared" si="12"/>
        <v>0</v>
      </c>
      <c r="BU21" s="108">
        <f>VLOOKUP($A21,TOCA_current!A17:BG152,MATCH(BU$4,TOCA_current!$A$2:$BG$2,0),FALSE)</f>
        <v>7.5828427249789748E-2</v>
      </c>
      <c r="BV21" s="108">
        <f t="shared" si="3"/>
        <v>0</v>
      </c>
      <c r="BW21" s="108">
        <f t="shared" si="4"/>
        <v>0</v>
      </c>
      <c r="BX21" s="179">
        <f>VLOOKUP($A21,IRD!$A$4:$G$139, 7, FALSE)</f>
        <v>0</v>
      </c>
      <c r="BY21" s="180">
        <f t="array" ref="BY21">IF($BT21=0, INDEX(LS_current!$D$4:$AY$138, MATCH('Staging Table'!$A21, LS_current!$B$4:$B$138, 0), MATCH(BY$4&amp;BY$5, LS_current!$D$2:$AY$2&amp;LS_current!$D$3:$AY$3, 0)),SUM(VLOOKUP($A21, LS_current!$B$4:$AY$138, LS_current!D$148, FALSE), VLOOKUP($A21, LS_current!$B$4:$AY$138,LS_current!AB$148, FALSE))/2)</f>
        <v>0.90009307879984135</v>
      </c>
      <c r="BZ21" s="180">
        <f t="array" ref="BZ21">IF($BT21=0, INDEX(LS_current!$D$4:$AY$138, MATCH('Staging Table'!$A21, LS_current!$B$4:$B$138, 0), MATCH(BZ$4&amp;BZ$5, LS_current!$D$2:$AY$2&amp;LS_current!$D$3:$AY$3, 0)),SUM(VLOOKUP($A21, LS_current!$B$4:$AY$138, LS_current!E$148, FALSE), VLOOKUP($A21, LS_current!$B$4:$AY$138,LS_current!AC$148, FALSE))/2)</f>
        <v>-25.376319575849948</v>
      </c>
      <c r="CA21" s="180">
        <f t="array" ref="CA21">IF($BT21=0, INDEX(LS_current!$D$4:$AY$138, MATCH('Staging Table'!$A21, LS_current!$B$4:$B$138, 0), MATCH(CA$4&amp;CA$5, LS_current!$D$2:$AY$2&amp;LS_current!$D$3:$AY$3, 0)),SUM(VLOOKUP($A21, LS_current!$B$4:$AY$138, LS_current!F$148, FALSE), VLOOKUP($A21, LS_current!$B$4:$AY$138,LS_current!AD$148, FALSE))/2)</f>
        <v>-197.57588333760009</v>
      </c>
      <c r="CB21" s="180">
        <f t="array" ref="CB21">IF($BT21=0, INDEX(LS_current!$D$4:$AY$138, MATCH('Staging Table'!$A21, LS_current!$B$4:$B$138, 0), MATCH(CB$4&amp;CB$5, LS_current!$D$2:$AY$2&amp;LS_current!$D$3:$AY$3, 0)),SUM(VLOOKUP($A21, LS_current!$B$4:$AY$138, LS_current!G$148, FALSE), VLOOKUP($A21, LS_current!$B$4:$AY$138,LS_current!AE$148, FALSE))/2)</f>
        <v>-124.34333505769996</v>
      </c>
      <c r="CC21" s="180">
        <f t="array" ref="CC21">IF($BT21=0, INDEX(LS_current!$D$4:$AY$138, MATCH('Staging Table'!$A21, LS_current!$B$4:$B$138, 0), MATCH(CC$4&amp;CC$5, LS_current!$D$2:$AY$2&amp;LS_current!$D$3:$AY$3, 0)),SUM(VLOOKUP($A21, LS_current!$B$4:$AY$138, LS_current!H$148, FALSE), VLOOKUP($A21, LS_current!$B$4:$AY$138,LS_current!AF$148, FALSE))/2)</f>
        <v>19.559451678700043</v>
      </c>
      <c r="CD21" s="180">
        <f t="array" ref="CD21">IF($BT21=0, INDEX(LS_current!$D$4:$AY$138, MATCH('Staging Table'!$A21, LS_current!$B$4:$B$138, 0), MATCH(CD$4&amp;CD$5, LS_current!$D$2:$AY$2&amp;LS_current!$D$3:$AY$3, 0)),SUM(VLOOKUP($A21, LS_current!$B$4:$AY$138, LS_current!I$148, FALSE), VLOOKUP($A21, LS_current!$B$4:$AY$138,LS_current!AG$148, FALSE))/2)</f>
        <v>48.619922556800248</v>
      </c>
      <c r="CE21" s="180">
        <f t="array" ref="CE21">IF($BT21=0, INDEX(LS_current!$D$4:$AY$138, MATCH('Staging Table'!$A21, LS_current!$B$4:$B$138, 0), MATCH(CE$4&amp;CE$5, LS_current!$D$2:$AY$2&amp;LS_current!$D$3:$AY$3, 0)),SUM(VLOOKUP($A21, LS_current!$B$4:$AY$138, LS_current!J$148, FALSE), VLOOKUP($A21, LS_current!$B$4:$AY$138,LS_current!AH$148, FALSE))/2)</f>
        <v>270.18659955950011</v>
      </c>
      <c r="CF21" s="180">
        <f t="array" ref="CF21">IF($BT21=0, INDEX(LS_current!$D$4:$AY$138, MATCH('Staging Table'!$A21, LS_current!$B$4:$B$138, 0), MATCH(CF$4&amp;CF$5, LS_current!$D$2:$AY$2&amp;LS_current!$D$3:$AY$3, 0)),SUM(VLOOKUP($A21, LS_current!$B$4:$AY$138, LS_current!K$148, FALSE), VLOOKUP($A21, LS_current!$B$4:$AY$138,LS_current!AI$148, FALSE))/2)</f>
        <v>247.18092563570008</v>
      </c>
      <c r="CG21" s="180">
        <f t="array" ref="CG21">IF($BT21=0, INDEX(LS_current!$D$4:$AY$138, MATCH('Staging Table'!$A21, LS_current!$B$4:$B$138, 0), MATCH(CG$4&amp;CG$5, LS_current!$D$2:$AY$2&amp;LS_current!$D$3:$AY$3, 0)),SUM(VLOOKUP($A21, LS_current!$B$4:$AY$138, LS_current!L$148, FALSE), VLOOKUP($A21, LS_current!$B$4:$AY$138,LS_current!AJ$148, FALSE))/2)</f>
        <v>290.7803875407003</v>
      </c>
      <c r="CH21" s="180">
        <f t="array" ref="CH21">IF($BT21=0, INDEX(LS_current!$D$4:$AY$138, MATCH('Staging Table'!$A21, LS_current!$B$4:$B$138, 0), MATCH(CH$4&amp;CH$5, LS_current!$D$2:$AY$2&amp;LS_current!$D$3:$AY$3, 0)),SUM(VLOOKUP($A21, LS_current!$B$4:$AY$138, LS_current!M$148, FALSE), VLOOKUP($A21, LS_current!$B$4:$AY$138,LS_current!AK$148, FALSE))/2)</f>
        <v>272.37301040469993</v>
      </c>
      <c r="CI21" s="180">
        <f t="array" ref="CI21">IF($BT21=0, INDEX(LS_current!$D$4:$AY$138, MATCH('Staging Table'!$A21, LS_current!$B$4:$B$138, 0), MATCH(CI$4&amp;CI$5, LS_current!$D$2:$AY$2&amp;LS_current!$D$3:$AY$3, 0)),SUM(VLOOKUP($A21, LS_current!$B$4:$AY$138, LS_current!N$148, FALSE), VLOOKUP($A21, LS_current!$B$4:$AY$138,LS_current!AL$148, FALSE))/2)</f>
        <v>189.64623465289992</v>
      </c>
      <c r="CJ21" s="180">
        <f t="array" ref="CJ21">IF($BT21=0, INDEX(LS_current!$D$4:$AY$138, MATCH('Staging Table'!$A21, LS_current!$B$4:$B$138, 0), MATCH(CJ$4&amp;CJ$5, LS_current!$D$2:$AY$2&amp;LS_current!$D$3:$AY$3, 0)),SUM(VLOOKUP($A21, LS_current!$B$4:$AY$138, LS_current!O$148, FALSE), VLOOKUP($A21, LS_current!$B$4:$AY$138,LS_current!AM$148, FALSE))/2)</f>
        <v>166.17578734739993</v>
      </c>
      <c r="CK21" s="180">
        <f t="array" ref="CK21">IF($BT21=0, INDEX(LS_current!$D$4:$AY$138, MATCH('Staging Table'!$A21, LS_current!$B$4:$B$138, 0), MATCH(CK$4&amp;CK$5, LS_current!$D$2:$AY$2&amp;LS_current!$D$3:$AY$3, 0)),SUM(VLOOKUP($A21, LS_current!$B$4:$AY$138, LS_current!P$148, FALSE), VLOOKUP($A21, LS_current!$B$4:$AY$138,LS_current!AN$148, FALSE))/2)</f>
        <v>231.09230131575009</v>
      </c>
      <c r="CL21" s="180">
        <f t="array" ref="CL21">IF($BT21=0, INDEX(LS_current!$D$4:$AY$138, MATCH('Staging Table'!$A21, LS_current!$B$4:$B$138, 0), MATCH(CL$4&amp;CL$5, LS_current!$D$2:$AY$2&amp;LS_current!$D$3:$AY$3, 0)),SUM(VLOOKUP($A21, LS_current!$B$4:$AY$138, LS_current!Q$148, FALSE), VLOOKUP($A21, LS_current!$B$4:$AY$138,LS_current!AO$148, FALSE))/2)</f>
        <v>150.53212742877497</v>
      </c>
      <c r="CM21" s="180">
        <f t="array" ref="CM21">IF($BT21=0, INDEX(LS_current!$D$4:$AY$138, MATCH('Staging Table'!$A21, LS_current!$B$4:$B$138, 0), MATCH(CM$4&amp;CM$5, LS_current!$D$2:$AY$2&amp;LS_current!$D$3:$AY$3, 0)),SUM(VLOOKUP($A21, LS_current!$B$4:$AY$138, LS_current!R$148, FALSE), VLOOKUP($A21, LS_current!$B$4:$AY$138,LS_current!AP$148, FALSE))/2)</f>
        <v>-155.03373272160002</v>
      </c>
      <c r="CN21" s="180">
        <f t="array" ref="CN21">IF($BT21=0, INDEX(LS_current!$D$4:$AY$138, MATCH('Staging Table'!$A21, LS_current!$B$4:$B$138, 0), MATCH(CN$4&amp;CN$5, LS_current!$D$2:$AY$2&amp;LS_current!$D$3:$AY$3, 0)),SUM(VLOOKUP($A21, LS_current!$B$4:$AY$138, LS_current!S$148, FALSE), VLOOKUP($A21, LS_current!$B$4:$AY$138,LS_current!AQ$148, FALSE))/2)</f>
        <v>-108.38718566695002</v>
      </c>
      <c r="CO21" s="180">
        <f t="array" ref="CO21">IF($BT21=0, INDEX(LS_current!$D$4:$AY$138, MATCH('Staging Table'!$A21, LS_current!$B$4:$B$138, 0), MATCH(CO$4&amp;CO$5, LS_current!$D$2:$AY$2&amp;LS_current!$D$3:$AY$3, 0)),SUM(VLOOKUP($A21, LS_current!$B$4:$AY$138, LS_current!T$148, FALSE), VLOOKUP($A21, LS_current!$B$4:$AY$138,LS_current!AR$148, FALSE))/2)</f>
        <v>-295.24666868420013</v>
      </c>
      <c r="CP21" s="180">
        <f t="array" ref="CP21">IF($BT21=0, INDEX(LS_current!$D$4:$AY$138, MATCH('Staging Table'!$A21, LS_current!$B$4:$B$138, 0), MATCH(CP$4&amp;CP$5, LS_current!$D$2:$AY$2&amp;LS_current!$D$3:$AY$3, 0)),SUM(VLOOKUP($A21, LS_current!$B$4:$AY$138, LS_current!U$148, FALSE), VLOOKUP($A21, LS_current!$B$4:$AY$138,LS_current!AS$148, FALSE))/2)</f>
        <v>-132.13991085014993</v>
      </c>
      <c r="CQ21" s="180">
        <f t="array" ref="CQ21">IF($BT21=0, INDEX(LS_current!$D$4:$AY$138, MATCH('Staging Table'!$A21, LS_current!$B$4:$B$138, 0), MATCH(CQ$4&amp;CQ$5, LS_current!$D$2:$AY$2&amp;LS_current!$D$3:$AY$3, 0)),SUM(VLOOKUP($A21, LS_current!$B$4:$AY$138, LS_current!V$148, FALSE), VLOOKUP($A21, LS_current!$B$4:$AY$138,LS_current!AT$148, FALSE))/2)</f>
        <v>-189.78259493879978</v>
      </c>
      <c r="CR21" s="180">
        <f t="array" ref="CR21">IF($BT21=0, INDEX(LS_current!$D$4:$AY$138, MATCH('Staging Table'!$A21, LS_current!$B$4:$B$138, 0), MATCH(CR$4&amp;CR$5, LS_current!$D$2:$AY$2&amp;LS_current!$D$3:$AY$3, 0)),SUM(VLOOKUP($A21, LS_current!$B$4:$AY$138, LS_current!W$148, FALSE), VLOOKUP($A21, LS_current!$B$4:$AY$138,LS_current!AU$148, FALSE))/2)</f>
        <v>-113.64910867924982</v>
      </c>
      <c r="CS21" s="180">
        <f t="array" ref="CS21">IF($BT21=0, INDEX(LS_current!$D$4:$AY$138, MATCH('Staging Table'!$A21, LS_current!$B$4:$B$138, 0), MATCH(CS$4&amp;CS$5, LS_current!$D$2:$AY$2&amp;LS_current!$D$3:$AY$3, 0)),SUM(VLOOKUP($A21, LS_current!$B$4:$AY$138, LS_current!X$148, FALSE), VLOOKUP($A21, LS_current!$B$4:$AY$138,LS_current!AV$148, FALSE))/2)</f>
        <v>-143.80230074405006</v>
      </c>
      <c r="CT21" s="180">
        <f t="array" ref="CT21">IF($BT21=0, INDEX(LS_current!$D$4:$AY$138, MATCH('Staging Table'!$A21, LS_current!$B$4:$B$138, 0), MATCH(CT$4&amp;CT$5, LS_current!$D$2:$AY$2&amp;LS_current!$D$3:$AY$3, 0)),SUM(VLOOKUP($A21, LS_current!$B$4:$AY$138, LS_current!Y$148, FALSE), VLOOKUP($A21, LS_current!$B$4:$AY$138,LS_current!AW$148, FALSE))/2)</f>
        <v>-62.10281148549484</v>
      </c>
      <c r="CU21" s="180">
        <f t="array" ref="CU21">IF($BT21=0, INDEX(LS_current!$D$4:$AY$138, MATCH('Staging Table'!$A21, LS_current!$B$4:$B$138, 0), MATCH(CU$4&amp;CU$5, LS_current!$D$2:$AY$2&amp;LS_current!$D$3:$AY$3, 0)),SUM(VLOOKUP($A21, LS_current!$B$4:$AY$138, LS_current!Z$148, FALSE), VLOOKUP($A21, LS_current!$B$4:$AY$138,LS_current!AX$148, FALSE))/2)</f>
        <v>-176.1577168558</v>
      </c>
      <c r="CV21" s="180">
        <f t="array" ref="CV21">IF($BT21=0, INDEX(LS_current!$D$4:$AY$138, MATCH('Staging Table'!$A21, LS_current!$B$4:$B$138, 0), MATCH(CV$4&amp;CV$5, LS_current!$D$2:$AY$2&amp;LS_current!$D$3:$AY$3, 0)),SUM(VLOOKUP($A21, LS_current!$B$4:$AY$138, LS_current!AA$148, FALSE), VLOOKUP($A21, LS_current!$B$4:$AY$138,LS_current!AY$148, FALSE))/2)</f>
        <v>-162.9253773168</v>
      </c>
      <c r="CW21" s="182">
        <f t="array" ref="CW21">INDEX(Demand_current!$D$4:$AY$138, MATCH($A21, Demand_current!$B$4:$B$138, 0), MATCH(CW$4&amp;CW$5,Demand_current!$D$2:$AY$2&amp;Demand_current!$D$3:$AY$3, 0))/1000</f>
        <v>0</v>
      </c>
      <c r="CX21" s="182">
        <f t="array" ref="CX21">INDEX(Demand_current!$D$4:$AY$138, MATCH($A21, Demand_current!$B$4:$B$138, 0), MATCH(CX$4&amp;CX$5,Demand_current!$D$2:$AY$2&amp;Demand_current!$D$3:$AY$3, 0))/1000</f>
        <v>0</v>
      </c>
      <c r="CY21" s="182">
        <f t="array" ref="CY21">INDEX(Demand_current!$D$4:$AY$138, MATCH($A21, Demand_current!$B$4:$B$138, 0), MATCH(CY$4&amp;CY$5,Demand_current!$D$2:$AY$2&amp;Demand_current!$D$3:$AY$3, 0))/1000</f>
        <v>0</v>
      </c>
      <c r="CZ21" s="182">
        <f t="array" ref="CZ21">INDEX(Demand_current!$D$4:$AY$138, MATCH($A21, Demand_current!$B$4:$B$138, 0), MATCH(CZ$4&amp;CZ$5,Demand_current!$D$2:$AY$2&amp;Demand_current!$D$3:$AY$3, 0))/1000</f>
        <v>8.2937500000000108E-2</v>
      </c>
      <c r="DA21" s="182">
        <f t="array" ref="DA21">INDEX(Demand_current!$D$4:$AY$138, MATCH($A21, Demand_current!$B$4:$B$138, 0), MATCH(DA$4&amp;DA$5,Demand_current!$D$2:$AY$2&amp;Demand_current!$D$3:$AY$3, 0))/1000</f>
        <v>0.67827749999999909</v>
      </c>
      <c r="DB21" s="182">
        <f t="array" ref="DB21">INDEX(Demand_current!$D$4:$AY$138, MATCH($A21, Demand_current!$B$4:$B$138, 0), MATCH(DB$4&amp;DB$5,Demand_current!$D$2:$AY$2&amp;Demand_current!$D$3:$AY$3, 0))/1000</f>
        <v>0</v>
      </c>
      <c r="DC21" s="182">
        <f t="array" ref="DC21">INDEX(Demand_current!$D$4:$AY$138, MATCH($A21, Demand_current!$B$4:$B$138, 0), MATCH(DC$4&amp;DC$5,Demand_current!$D$2:$AY$2&amp;Demand_current!$D$3:$AY$3, 0))/1000</f>
        <v>0</v>
      </c>
      <c r="DD21" s="182">
        <f t="array" ref="DD21">INDEX(Demand_current!$D$4:$AY$138, MATCH($A21, Demand_current!$B$4:$B$138, 0), MATCH(DD$4&amp;DD$5,Demand_current!$D$2:$AY$2&amp;Demand_current!$D$3:$AY$3, 0))/1000</f>
        <v>0</v>
      </c>
      <c r="DE21" s="182">
        <f t="array" ref="DE21">INDEX(Demand_current!$D$4:$AY$138, MATCH($A21, Demand_current!$B$4:$B$138, 0), MATCH(DE$4&amp;DE$5,Demand_current!$D$2:$AY$2&amp;Demand_current!$D$3:$AY$3, 0))/1000</f>
        <v>0</v>
      </c>
      <c r="DF21" s="182">
        <f t="array" ref="DF21">INDEX(Demand_current!$D$4:$AY$138, MATCH($A21, Demand_current!$B$4:$B$138, 0), MATCH(DF$4&amp;DF$5,Demand_current!$D$2:$AY$2&amp;Demand_current!$D$3:$AY$3, 0))/1000</f>
        <v>0</v>
      </c>
      <c r="DG21" s="182">
        <f t="array" ref="DG21">INDEX(Demand_current!$D$4:$AY$138, MATCH($A21, Demand_current!$B$4:$B$138, 0), MATCH(DG$4&amp;DG$5,Demand_current!$D$2:$AY$2&amp;Demand_current!$D$3:$AY$3, 0))/1000</f>
        <v>0</v>
      </c>
      <c r="DH21" s="182">
        <f t="array" ref="DH21">INDEX(Demand_current!$D$4:$AY$138, MATCH($A21, Demand_current!$B$4:$B$138, 0), MATCH(DH$4&amp;DH$5,Demand_current!$D$2:$AY$2&amp;Demand_current!$D$3:$AY$3, 0))/1000</f>
        <v>5.2906249999999926E-2</v>
      </c>
      <c r="DI21" s="180">
        <f>$BS21*(VLOOKUP(DI$4, Rates_current!$G$6:$Q$29, 10, FALSE)+VLOOKUP(DI$4, Rates_current!$G$6:$Q$29, 11, FALSE))</f>
        <v>1420.4712264970501</v>
      </c>
      <c r="DJ21" s="180">
        <f>$BS21*(VLOOKUP(DJ$4, Rates_current!$G$6:$Q$29, 10, FALSE)+VLOOKUP(DJ$4, Rates_current!$G$6:$Q$29, 11, FALSE))</f>
        <v>1811.5692183953001</v>
      </c>
      <c r="DK21" s="180">
        <f>$BS21*(VLOOKUP(DK$4, Rates_current!$G$6:$Q$29, 10, FALSE)+VLOOKUP(DK$4, Rates_current!$G$6:$Q$29, 11, FALSE))</f>
        <v>1955.0416257645002</v>
      </c>
      <c r="DL21" s="180">
        <f>$BS21*(VLOOKUP(DL$4, Rates_current!$G$6:$Q$29, 10, FALSE)+VLOOKUP(DL$4, Rates_current!$G$6:$Q$29, 11, FALSE))</f>
        <v>2031.5904748047999</v>
      </c>
      <c r="DM21" s="180">
        <f>$BS21*(VLOOKUP(DM$4, Rates_current!$G$6:$Q$29, 10, FALSE)+VLOOKUP(DM$4, Rates_current!$G$6:$Q$29, 11, FALSE))</f>
        <v>1747.4386020545999</v>
      </c>
      <c r="DN21" s="180">
        <f>$BS21*(VLOOKUP(DN$4, Rates_current!$G$6:$Q$29, 10, FALSE)+VLOOKUP(DN$4, Rates_current!$G$6:$Q$29, 11, FALSE))</f>
        <v>1907.8569779996999</v>
      </c>
      <c r="DO21" s="180">
        <f>$BS21*(VLOOKUP(DO$4, Rates_current!$G$6:$Q$29, 10, FALSE)+VLOOKUP(DO$4, Rates_current!$G$6:$Q$29, 11, FALSE))</f>
        <v>1505.9315712554749</v>
      </c>
      <c r="DP21" s="180">
        <f>$BS21*(VLOOKUP(DP$4, Rates_current!$G$6:$Q$29, 10, FALSE)+VLOOKUP(DP$4, Rates_current!$G$6:$Q$29, 11, FALSE))</f>
        <v>1868.3099183885499</v>
      </c>
      <c r="DQ21" s="180">
        <f>$BS21*(VLOOKUP(DQ$4, Rates_current!$G$6:$Q$29, 10, FALSE)+VLOOKUP(DQ$4, Rates_current!$G$6:$Q$29, 11, FALSE))</f>
        <v>1908.84757953435</v>
      </c>
      <c r="DR21" s="180">
        <f>$BS21*(VLOOKUP(DR$4, Rates_current!$G$6:$Q$29, 10, FALSE)+VLOOKUP(DR$4, Rates_current!$G$6:$Q$29, 11, FALSE))</f>
        <v>1657.15470361805</v>
      </c>
      <c r="DS21" s="180">
        <f>$BS21*(VLOOKUP(DS$4, Rates_current!$G$6:$Q$29, 10, FALSE)+VLOOKUP(DS$4, Rates_current!$G$6:$Q$29, 11, FALSE))</f>
        <v>1602.0281122295451</v>
      </c>
      <c r="DT21" s="180">
        <f>$BS21*(VLOOKUP(DT$4, Rates_current!$G$6:$Q$29, 10, FALSE)+VLOOKUP(DT$4, Rates_current!$G$6:$Q$29, 11, FALSE))</f>
        <v>1474.1760941726002</v>
      </c>
      <c r="DU21" s="402">
        <f>IF(D21=0,IF(C21=0,MAX(0,DW21 - (VLOOKUP($A21,TOCA_current!$A$2:$AI$137,MATCH("RHWM 2024",TOCA_current!$A$2:$AI$2,0),FALSE)*$BS$2)), 0),0)</f>
        <v>2.5880957574772765</v>
      </c>
      <c r="DV21" s="403">
        <f>MIN(VLOOKUP($A21,TOCA_current!$A$2:$AI$137,MATCH("TRL - NLSL - Existing Resource "&amp;$BS$1,TOCA_current!$A$2:$AI$2,0),FALSE)*$BS$2, VLOOKUP($A21,TOCA_current!$A$2:$AI$137,MATCH("RHWM 2024",TOCA_current!$A$2:$AI$2,0),FALSE)*$BS$2)</f>
        <v>20888.352000000003</v>
      </c>
      <c r="DW21" s="403">
        <f>SUM(BY21:CV21)+(BS21*RT1SC!$C$4*$BS$2)</f>
        <v>20890.94009575748</v>
      </c>
      <c r="DX21" s="403">
        <f>VLOOKUP($A21,TOCA_current!$A$2:$AI$137,MATCH("Above RHWM Not Served with LS "&amp;$BS$1,TOCA_current!$A$2:$AI$2,0),FALSE)*$BS$2</f>
        <v>18709.919999999998</v>
      </c>
      <c r="DY21" s="403">
        <f t="shared" si="13"/>
        <v>2.5880957574772765</v>
      </c>
      <c r="DZ21" s="403">
        <f>(VLOOKUP($A21,TOCA_current!$A$2:$AI$137,MATCH("RHWM 2024",TOCA_current!$A$2:$AI$2,0),FALSE)*$BS$2) - $DV21</f>
        <v>0</v>
      </c>
      <c r="EA21" s="403">
        <f t="shared" si="14"/>
        <v>0</v>
      </c>
      <c r="EB21" s="403">
        <f t="shared" si="15"/>
        <v>0</v>
      </c>
      <c r="EC21" s="403">
        <f t="shared" si="16"/>
        <v>0</v>
      </c>
      <c r="ED21" s="403">
        <f t="shared" si="17"/>
        <v>0</v>
      </c>
    </row>
    <row r="22" spans="1:134">
      <c r="A22" s="123">
        <v>10066</v>
      </c>
      <c r="B22" s="124" t="s">
        <v>23</v>
      </c>
      <c r="C22" s="232">
        <f>VLOOKUP(A22, TOCA_current!$A$3:$D$137, 4, FALSE)</f>
        <v>0</v>
      </c>
      <c r="D22" s="191">
        <v>0</v>
      </c>
      <c r="E22" s="107">
        <f>VLOOKUP($A22,TOCA_previous!$A$2:$AI$137,MATCH(E$4,TOCA_previous!$A$2:$AI$2,0),FALSE)</f>
        <v>3.4510999999999999E-3</v>
      </c>
      <c r="F22" s="108">
        <f>VLOOKUP($A22,TOCA_previous!$A$2:$AI$137,MATCH(F$4,TOCA_previous!$A$2:$AI$2,0),FALSE)</f>
        <v>3.4510999999999999E-3</v>
      </c>
      <c r="G22" s="108">
        <f t="shared" si="5"/>
        <v>0</v>
      </c>
      <c r="H22" s="108">
        <f>VLOOKUP($A22,TOCA_previous!$A$2:$AI$137,MATCH(H$4,TOCA_previous!$A$2:$AI$2,0),FALSE)</f>
        <v>0</v>
      </c>
      <c r="I22" s="108">
        <f t="shared" si="6"/>
        <v>0</v>
      </c>
      <c r="J22" s="108">
        <f t="shared" si="7"/>
        <v>0</v>
      </c>
      <c r="K22" s="179">
        <f>VLOOKUP(A22, IRD!$A$5:$C$139, 3, FALSE)</f>
        <v>0</v>
      </c>
      <c r="L22" s="180">
        <f t="array" ref="L22">IF($G22=0, INDEX(LS_previous!$D$4:$AY$138, MATCH('Staging Table'!$A22, LS_previous!$B$4:$B$138, 0), MATCH(L$4&amp;L$5, LS_previous!$D$2:$AY$2&amp;LS_previous!$D$3:$AY$3, 0)),SUM(VLOOKUP($A22, LS_previous!$B$4:$AY$138, LS_previous!D$149, FALSE), VLOOKUP('Staging Table'!$A22, LS_previous!$B$4:$AY$138,LS_previous!AB$149, FALSE))/2)</f>
        <v>-1328.614281938464</v>
      </c>
      <c r="M22" s="180">
        <f t="array" ref="M22">IF($G22=0, INDEX(LS_previous!$D$4:$AY$138, MATCH('Staging Table'!$A22, LS_previous!$B$4:$B$138, 0), MATCH(M$4&amp;M$5, LS_previous!$D$2:$AY$2&amp;LS_previous!$D$3:$AY$3, 0)),SUM(VLOOKUP($A22, LS_previous!$B$4:$AY$138, LS_previous!E$149, FALSE), VLOOKUP('Staging Table'!$A22, LS_previous!$B$4:$AY$138,LS_previous!AC$149, FALSE))/2)</f>
        <v>-1342.2762865567265</v>
      </c>
      <c r="N22" s="180">
        <f t="array" ref="N22">IF($G22=0, INDEX(LS_previous!$D$4:$AY$138, MATCH('Staging Table'!$A22, LS_previous!$B$4:$B$138, 0), MATCH(N$4&amp;N$5, LS_previous!$D$2:$AY$2&amp;LS_previous!$D$3:$AY$3, 0)),SUM(VLOOKUP($A22, LS_previous!$B$4:$AY$138, LS_previous!F$149, FALSE), VLOOKUP('Staging Table'!$A22, LS_previous!$B$4:$AY$138,LS_previous!AD$149, FALSE))/2)</f>
        <v>-721.54857810408612</v>
      </c>
      <c r="O22" s="180">
        <f t="array" ref="O22">IF($G22=0, INDEX(LS_previous!$D$4:$AY$138, MATCH('Staging Table'!$A22, LS_previous!$B$4:$B$138, 0), MATCH(O$4&amp;O$5, LS_previous!$D$2:$AY$2&amp;LS_previous!$D$3:$AY$3, 0)),SUM(VLOOKUP($A22, LS_previous!$B$4:$AY$138, LS_previous!G$149, FALSE), VLOOKUP('Staging Table'!$A22, LS_previous!$B$4:$AY$138,LS_previous!AE$149, FALSE))/2)</f>
        <v>-1162.1052842638128</v>
      </c>
      <c r="P22" s="180">
        <f t="array" ref="P22">IF($G22=0, INDEX(LS_previous!$D$4:$AY$138, MATCH('Staging Table'!$A22, LS_previous!$B$4:$B$138, 0), MATCH(P$4&amp;P$5, LS_previous!$D$2:$AY$2&amp;LS_previous!$D$3:$AY$3, 0)),SUM(VLOOKUP($A22, LS_previous!$B$4:$AY$138, LS_previous!H$149, FALSE), VLOOKUP('Staging Table'!$A22, LS_previous!$B$4:$AY$138,LS_previous!AF$149, FALSE))/2)</f>
        <v>3832.7138018999322</v>
      </c>
      <c r="Q22" s="180">
        <f t="array" ref="Q22">IF($G22=0, INDEX(LS_previous!$D$4:$AY$138, MATCH('Staging Table'!$A22, LS_previous!$B$4:$B$138, 0), MATCH(Q$4&amp;Q$5, LS_previous!$D$2:$AY$2&amp;LS_previous!$D$3:$AY$3, 0)),SUM(VLOOKUP($A22, LS_previous!$B$4:$AY$138, LS_previous!I$149, FALSE), VLOOKUP('Staging Table'!$A22, LS_previous!$B$4:$AY$138,LS_previous!AG$149, FALSE))/2)</f>
        <v>1506.1382850397749</v>
      </c>
      <c r="R22" s="180">
        <f t="array" ref="R22">IF($G22=0, INDEX(LS_previous!$D$4:$AY$138, MATCH('Staging Table'!$A22, LS_previous!$B$4:$B$138, 0), MATCH(R$4&amp;R$5, LS_previous!$D$2:$AY$2&amp;LS_previous!$D$3:$AY$3, 0)),SUM(VLOOKUP($A22, LS_previous!$B$4:$AY$138, LS_previous!J$149, FALSE), VLOOKUP('Staging Table'!$A22, LS_previous!$B$4:$AY$138,LS_previous!AH$149, FALSE))/2)</f>
        <v>7296.3842103536535</v>
      </c>
      <c r="S22" s="180">
        <f t="array" ref="S22">IF($G22=0, INDEX(LS_previous!$D$4:$AY$138, MATCH('Staging Table'!$A22, LS_previous!$B$4:$B$138, 0), MATCH(S$4&amp;S$5, LS_previous!$D$2:$AY$2&amp;LS_previous!$D$3:$AY$3, 0)),SUM(VLOOKUP($A22, LS_previous!$B$4:$AY$138, LS_previous!K$149, FALSE), VLOOKUP('Staging Table'!$A22, LS_previous!$B$4:$AY$138,LS_previous!AI$149, FALSE))/2)</f>
        <v>2867.9287204026396</v>
      </c>
      <c r="T22" s="180">
        <f t="array" ref="T22">IF($G22=0, INDEX(LS_previous!$D$4:$AY$138, MATCH('Staging Table'!$A22, LS_previous!$B$4:$B$138, 0), MATCH(T$4&amp;T$5, LS_previous!$D$2:$AY$2&amp;LS_previous!$D$3:$AY$3, 0)),SUM(VLOOKUP($A22, LS_previous!$B$4:$AY$138, LS_previous!L$149, FALSE), VLOOKUP('Staging Table'!$A22, LS_previous!$B$4:$AY$138,LS_previous!AJ$149, FALSE))/2)</f>
        <v>5929.3427211288235</v>
      </c>
      <c r="U22" s="180">
        <f t="array" ref="U22">IF($G22=0, INDEX(LS_previous!$D$4:$AY$138, MATCH('Staging Table'!$A22, LS_previous!$B$4:$B$138, 0), MATCH(U$4&amp;U$5, LS_previous!$D$2:$AY$2&amp;LS_previous!$D$3:$AY$3, 0)),SUM(VLOOKUP($A22, LS_previous!$B$4:$AY$138, LS_previous!M$149, FALSE), VLOOKUP('Staging Table'!$A22, LS_previous!$B$4:$AY$138,LS_previous!AK$149, FALSE))/2)</f>
        <v>2105.3558744977745</v>
      </c>
      <c r="V22" s="180">
        <f t="array" ref="V22">IF($G22=0, INDEX(LS_previous!$D$4:$AY$138, MATCH('Staging Table'!$A22, LS_previous!$B$4:$B$138, 0), MATCH(V$4&amp;V$5, LS_previous!$D$2:$AY$2&amp;LS_previous!$D$3:$AY$3, 0)),SUM(VLOOKUP($A22, LS_previous!$B$4:$AY$138, LS_previous!N$149, FALSE), VLOOKUP('Staging Table'!$A22, LS_previous!$B$4:$AY$138,LS_previous!AL$149, FALSE))/2)</f>
        <v>2112.4715597988852</v>
      </c>
      <c r="W22" s="180">
        <f t="array" ref="W22">IF($G22=0, INDEX(LS_previous!$D$4:$AY$138, MATCH('Staging Table'!$A22, LS_previous!$B$4:$B$138, 0), MATCH(W$4&amp;W$5, LS_previous!$D$2:$AY$2&amp;LS_previous!$D$3:$AY$3, 0)),SUM(VLOOKUP($A22, LS_previous!$B$4:$AY$138, LS_previous!O$149, FALSE), VLOOKUP('Staging Table'!$A22, LS_previous!$B$4:$AY$138,LS_previous!AM$149, FALSE))/2)</f>
        <v>1016.0185881894968</v>
      </c>
      <c r="X22" s="180">
        <f t="array" ref="X22">IF($G22=0, INDEX(LS_previous!$D$4:$AY$138, MATCH('Staging Table'!$A22, LS_previous!$B$4:$B$138, 0), MATCH(X$4&amp;X$5, LS_previous!$D$2:$AY$2&amp;LS_previous!$D$3:$AY$3, 0)),SUM(VLOOKUP($A22, LS_previous!$B$4:$AY$138, LS_previous!P$149, FALSE), VLOOKUP('Staging Table'!$A22, LS_previous!$B$4:$AY$138,LS_previous!AN$149, FALSE))/2)</f>
        <v>2738.2429228395622</v>
      </c>
      <c r="Y22" s="180">
        <f t="array" ref="Y22">IF($G22=0, INDEX(LS_previous!$D$4:$AY$138, MATCH('Staging Table'!$A22, LS_previous!$B$4:$B$138, 0), MATCH(Y$4&amp;Y$5, LS_previous!$D$2:$AY$2&amp;LS_previous!$D$3:$AY$3, 0)),SUM(VLOOKUP($A22, LS_previous!$B$4:$AY$138, LS_previous!Q$149, FALSE), VLOOKUP('Staging Table'!$A22, LS_previous!$B$4:$AY$138,LS_previous!AO$149, FALSE))/2)</f>
        <v>518.14834290045565</v>
      </c>
      <c r="Z22" s="180">
        <f t="array" ref="Z22">IF($G22=0, INDEX(LS_previous!$D$4:$AY$138, MATCH('Staging Table'!$A22, LS_previous!$B$4:$B$138, 0), MATCH(Z$4&amp;Z$5, LS_previous!$D$2:$AY$2&amp;LS_previous!$D$3:$AY$3, 0)),SUM(VLOOKUP($A22, LS_previous!$B$4:$AY$138, LS_previous!R$149, FALSE), VLOOKUP('Staging Table'!$A22, LS_previous!$B$4:$AY$138,LS_previous!AP$149, FALSE))/2)</f>
        <v>-3070.9586563883167</v>
      </c>
      <c r="AA22" s="180">
        <f t="array" ref="AA22">IF($G22=0, INDEX(LS_previous!$D$4:$AY$138, MATCH('Staging Table'!$A22, LS_previous!$B$4:$B$138, 0), MATCH(AA$4&amp;AA$5, LS_previous!$D$2:$AY$2&amp;LS_previous!$D$3:$AY$3, 0)),SUM(VLOOKUP($A22, LS_previous!$B$4:$AY$138, LS_previous!S$149, FALSE), VLOOKUP('Staging Table'!$A22, LS_previous!$B$4:$AY$138,LS_previous!AQ$149, FALSE))/2)</f>
        <v>-1375.2739348501973</v>
      </c>
      <c r="AB22" s="180">
        <f t="array" ref="AB22">IF($G22=0, INDEX(LS_previous!$D$4:$AY$138, MATCH('Staging Table'!$A22, LS_previous!$B$4:$B$138, 0), MATCH(AB$4&amp;AB$5, LS_previous!$D$2:$AY$2&amp;LS_previous!$D$3:$AY$3, 0)),SUM(VLOOKUP($A22, LS_previous!$B$4:$AY$138, LS_previous!T$149, FALSE), VLOOKUP('Staging Table'!$A22, LS_previous!$B$4:$AY$138,LS_previous!AR$149, FALSE))/2)</f>
        <v>-5486.9227757816643</v>
      </c>
      <c r="AC22" s="180">
        <f t="array" ref="AC22">IF($G22=0, INDEX(LS_previous!$D$4:$AY$138, MATCH('Staging Table'!$A22, LS_previous!$B$4:$B$138, 0), MATCH(AC$4&amp;AC$5, LS_previous!$D$2:$AY$2&amp;LS_previous!$D$3:$AY$3, 0)),SUM(VLOOKUP($A22, LS_previous!$B$4:$AY$138, LS_previous!U$149, FALSE), VLOOKUP('Staging Table'!$A22, LS_previous!$B$4:$AY$138,LS_previous!AS$149, FALSE))/2)</f>
        <v>-1363.9706427486271</v>
      </c>
      <c r="AD22" s="180">
        <f t="array" ref="AD22">IF($G22=0, INDEX(LS_previous!$D$4:$AY$138, MATCH('Staging Table'!$A22, LS_previous!$B$4:$B$138, 0), MATCH(AD$4&amp;AD$5, LS_previous!$D$2:$AY$2&amp;LS_previous!$D$3:$AY$3, 0)),SUM(VLOOKUP($A22, LS_previous!$B$4:$AY$138, LS_previous!V$149, FALSE), VLOOKUP('Staging Table'!$A22, LS_previous!$B$4:$AY$138,LS_previous!AT$149, FALSE))/2)</f>
        <v>-3719.5614930257143</v>
      </c>
      <c r="AE22" s="180">
        <f t="array" ref="AE22">IF($G22=0, INDEX(LS_previous!$D$4:$AY$138, MATCH('Staging Table'!$A22, LS_previous!$B$4:$B$138, 0), MATCH(AE$4&amp;AE$5, LS_previous!$D$2:$AY$2&amp;LS_previous!$D$3:$AY$3, 0)),SUM(VLOOKUP($A22, LS_previous!$B$4:$AY$138, LS_previous!W$149, FALSE), VLOOKUP('Staging Table'!$A22, LS_previous!$B$4:$AY$138,LS_previous!AU$149, FALSE))/2)</f>
        <v>-2255.978018243216</v>
      </c>
      <c r="AF22" s="180">
        <f t="array" ref="AF22">IF($G22=0, INDEX(LS_previous!$D$4:$AY$138, MATCH('Staging Table'!$A22, LS_previous!$B$4:$B$138, 0), MATCH(AF$4&amp;AF$5, LS_previous!$D$2:$AY$2&amp;LS_previous!$D$3:$AY$3, 0)),SUM(VLOOKUP($A22, LS_previous!$B$4:$AY$138, LS_previous!X$149, FALSE), VLOOKUP('Staging Table'!$A22, LS_previous!$B$4:$AY$138,LS_previous!AV$149, FALSE))/2)</f>
        <v>-3560.5348653150868</v>
      </c>
      <c r="AG22" s="180">
        <f t="array" ref="AG22">IF($G22=0, INDEX(LS_previous!$D$4:$AY$138, MATCH('Staging Table'!$A22, LS_previous!$B$4:$B$138, 0), MATCH(AG$4&amp;AG$5, LS_previous!$D$2:$AY$2&amp;LS_previous!$D$3:$AY$3, 0)),SUM(VLOOKUP($A22, LS_previous!$B$4:$AY$138, LS_previous!Y$149, FALSE), VLOOKUP('Staging Table'!$A22, LS_previous!$B$4:$AY$138,LS_previous!AW$149, FALSE))/2)</f>
        <v>-2477.1005189959506</v>
      </c>
      <c r="AH22" s="180">
        <f t="array" ref="AH22">IF($G22=0, INDEX(LS_previous!$D$4:$AY$138, MATCH('Staging Table'!$A22, LS_previous!$B$4:$B$138, 0), MATCH(AH$4&amp;AH$5, LS_previous!$D$2:$AY$2&amp;LS_previous!$D$3:$AY$3, 0)),SUM(VLOOKUP($A22, LS_previous!$B$4:$AY$138, LS_previous!Z$149, FALSE), VLOOKUP('Staging Table'!$A22, LS_previous!$B$4:$AY$138,LS_previous!AX$149, FALSE))/2)</f>
        <v>-3186.8808820358845</v>
      </c>
      <c r="AI22" s="180">
        <f t="array" ref="AI22">IF($G22=0, INDEX(LS_previous!$D$4:$AY$138, MATCH('Staging Table'!$A22, LS_previous!$B$4:$B$138, 0), MATCH(AI$4&amp;AI$5, LS_previous!$D$2:$AY$2&amp;LS_previous!$D$3:$AY$3, 0)),SUM(VLOOKUP($A22, LS_previous!$B$4:$AY$138, LS_previous!AA$149, FALSE), VLOOKUP('Staging Table'!$A22, LS_previous!$B$4:$AY$138,LS_previous!AY$149, FALSE))/2)</f>
        <v>-2205.3936444901037</v>
      </c>
      <c r="AJ22" s="298">
        <f t="array" ref="AJ22">INDEX(Demand_previous!$D$4:$AY$138, MATCH('Staging Table'!$A22, Demand_previous!$B$4:$B$138, 0), MATCH(AJ$4&amp;AJ$5,Demand_previous!$D$2:$AY$2&amp;Demand_previous!$D$3:$AY$3, 0))/1000</f>
        <v>0</v>
      </c>
      <c r="AK22" s="298">
        <f t="array" ref="AK22">INDEX(Demand_previous!$D$4:$AY$138, MATCH('Staging Table'!$A22, Demand_previous!$B$4:$B$138, 0), MATCH(AK$4&amp;AK$5,Demand_previous!$D$2:$AY$2&amp;Demand_previous!$D$3:$AY$3, 0))/1000</f>
        <v>2.9308650000000007</v>
      </c>
      <c r="AL22" s="298">
        <f t="array" ref="AL22">INDEX(Demand_previous!$D$4:$AY$138, MATCH('Staging Table'!$A22, Demand_previous!$B$4:$B$138, 0), MATCH(AL$4&amp;AL$5,Demand_previous!$D$2:$AY$2&amp;Demand_previous!$D$3:$AY$3, 0))/1000</f>
        <v>7.7381225961538442</v>
      </c>
      <c r="AM22" s="298">
        <f t="array" ref="AM22">INDEX(Demand_previous!$D$4:$AY$138, MATCH('Staging Table'!$A22, Demand_previous!$B$4:$B$138, 0), MATCH(AM$4&amp;AM$5,Demand_previous!$D$2:$AY$2&amp;Demand_previous!$D$3:$AY$3, 0))/1000</f>
        <v>1.2258725000000066</v>
      </c>
      <c r="AN22" s="298">
        <f t="array" ref="AN22">INDEX(Demand_previous!$D$4:$AY$138, MATCH('Staging Table'!$A22, Demand_previous!$B$4:$B$138, 0), MATCH(AN$4&amp;AN$5,Demand_previous!$D$2:$AY$2&amp;Demand_previous!$D$3:$AY$3, 0))/1000</f>
        <v>0.37375781249999385</v>
      </c>
      <c r="AO22" s="298">
        <f t="array" ref="AO22">INDEX(Demand_previous!$D$4:$AY$138, MATCH('Staging Table'!$A22, Demand_previous!$B$4:$B$138, 0), MATCH(AO$4&amp;AO$5,Demand_previous!$D$2:$AY$2&amp;Demand_previous!$D$3:$AY$3, 0))/1000</f>
        <v>6.9306967592592539</v>
      </c>
      <c r="AP22" s="298">
        <f t="array" ref="AP22">INDEX(Demand_previous!$D$4:$AY$138, MATCH('Staging Table'!$A22, Demand_previous!$B$4:$B$138, 0), MATCH(AP$4&amp;AP$5,Demand_previous!$D$2:$AY$2&amp;Demand_previous!$D$3:$AY$3, 0))/1000</f>
        <v>2.5574687500000017</v>
      </c>
      <c r="AQ22" s="298">
        <f t="array" ref="AQ22">INDEX(Demand_previous!$D$4:$AY$138, MATCH('Staging Table'!$A22, Demand_previous!$B$4:$B$138, 0), MATCH(AQ$4&amp;AQ$5,Demand_previous!$D$2:$AY$2&amp;Demand_previous!$D$3:$AY$3, 0))/1000</f>
        <v>0</v>
      </c>
      <c r="AR22" s="298">
        <f t="array" ref="AR22">INDEX(Demand_previous!$D$4:$AY$138, MATCH('Staging Table'!$A22, Demand_previous!$B$4:$B$138, 0), MATCH(AR$4&amp;AR$5,Demand_previous!$D$2:$AY$2&amp;Demand_previous!$D$3:$AY$3, 0))/1000</f>
        <v>5.2917211538461553</v>
      </c>
      <c r="AS22" s="298">
        <f t="array" ref="AS22">INDEX(Demand_previous!$D$4:$AY$138, MATCH('Staging Table'!$A22, Demand_previous!$B$4:$B$138, 0), MATCH(AS$4&amp;AS$5,Demand_previous!$D$2:$AY$2&amp;Demand_previous!$D$3:$AY$3, 0))/1000</f>
        <v>0.97071250000000209</v>
      </c>
      <c r="AT22" s="298">
        <f t="array" ref="AT22">INDEX(Demand_previous!$D$4:$AY$138, MATCH('Staging Table'!$A22, Demand_previous!$B$4:$B$138, 0), MATCH(AT$4&amp;AT$5,Demand_previous!$D$2:$AY$2&amp;Demand_previous!$D$3:$AY$3, 0))/1000</f>
        <v>5.6780162037037014</v>
      </c>
      <c r="AU22" s="298">
        <f t="array" ref="AU22">INDEX(Demand_previous!$D$4:$AY$138, MATCH('Staging Table'!$A22, Demand_previous!$B$4:$B$138, 0), MATCH(AU$4&amp;AU$5,Demand_previous!$D$2:$AY$2&amp;Demand_previous!$D$3:$AY$3, 0))/1000</f>
        <v>2.1951699999999983</v>
      </c>
      <c r="AV22" s="180">
        <f>$F22*(VLOOKUP(AV$4, Rates_previous!$G$6:$Q$29, 10, FALSE)+VLOOKUP(AV$4, Rates_previous!$G$6:$Q$29, 11, FALSE))</f>
        <v>15716.048568495189</v>
      </c>
      <c r="AW22" s="180">
        <f>$F22*(VLOOKUP(AW$4, Rates_previous!$G$6:$Q$29, 10, FALSE)+VLOOKUP(AW$4, Rates_previous!$G$6:$Q$29, 11, FALSE))</f>
        <v>19897.087862367902</v>
      </c>
      <c r="AX22" s="180">
        <f>$F22*(VLOOKUP(AX$4, Rates_previous!$G$6:$Q$29, 10, FALSE)+VLOOKUP(AX$4, Rates_previous!$G$6:$Q$29, 11, FALSE))</f>
        <v>19475.273913060297</v>
      </c>
      <c r="AY22" s="180">
        <f>$F22*(VLOOKUP(AY$4, Rates_previous!$G$6:$Q$29, 10, FALSE)+VLOOKUP(AY$4, Rates_previous!$G$6:$Q$29, 11, FALSE))</f>
        <v>16085.748069243708</v>
      </c>
      <c r="AZ22" s="180">
        <f>$F22*(VLOOKUP(AZ$4, Rates_previous!$G$6:$Q$29, 10, FALSE)+VLOOKUP(AZ$4, Rates_previous!$G$6:$Q$29, 11, FALSE))</f>
        <v>13941.870404373403</v>
      </c>
      <c r="BA22" s="180">
        <f>$F22*(VLOOKUP(BA$4, Rates_previous!$G$6:$Q$29, 10, FALSE)+VLOOKUP(BA$4, Rates_previous!$G$6:$Q$29, 11, FALSE))</f>
        <v>16643.777852011623</v>
      </c>
      <c r="BB22" s="180">
        <f>$F22*(VLOOKUP(BB$4, Rates_previous!$G$6:$Q$29, 10, FALSE)+VLOOKUP(BB$4, Rates_previous!$G$6:$Q$29, 11, FALSE))</f>
        <v>12921.677734259982</v>
      </c>
      <c r="BC22" s="180">
        <f>$F22*(VLOOKUP(BC$4, Rates_previous!$G$6:$Q$29, 10, FALSE)+VLOOKUP(BC$4, Rates_previous!$G$6:$Q$29, 11, FALSE))</f>
        <v>17903.079591238515</v>
      </c>
      <c r="BD22" s="180">
        <f>$F22*(VLOOKUP(BD$4, Rates_previous!$G$6:$Q$29, 10, FALSE)+VLOOKUP(BD$4, Rates_previous!$G$6:$Q$29, 11, FALSE))</f>
        <v>19129.815418530288</v>
      </c>
      <c r="BE22" s="180">
        <f>$F22*(VLOOKUP(BE$4, Rates_previous!$G$6:$Q$29, 10, FALSE)+VLOOKUP(BE$4, Rates_previous!$G$6:$Q$29, 11, FALSE))</f>
        <v>18162.893511268932</v>
      </c>
      <c r="BF22" s="180">
        <f>$F22*(VLOOKUP(BF$4, Rates_previous!$G$6:$Q$29, 10, FALSE)+VLOOKUP(BF$4, Rates_previous!$G$6:$Q$29, 11, FALSE))</f>
        <v>17553.035384311039</v>
      </c>
      <c r="BG22" s="180">
        <f>$F22*(VLOOKUP(BG$4, Rates_previous!$G$6:$Q$29, 10, FALSE)+VLOOKUP(BG$4, Rates_previous!$G$6:$Q$29, 11, FALSE))</f>
        <v>16220.834526525989</v>
      </c>
      <c r="BH22" s="298">
        <f>IF($D22=0,IF(C22=0, MAX(BJ22 - (VLOOKUP($A22,TOCA_previous!$A$2:$AI$137,MATCH("RHWM 2022",TOCA_previous!$A$2:$AI$2,0),FALSE)*$F$2*TOCA_previous!C19),0),0), 0)</f>
        <v>0</v>
      </c>
      <c r="BI22" s="192">
        <f>MIN(VLOOKUP($A22,TOCA_previous!$A$2:$AI$137,MATCH("TRL - NLSL - Existing Resource "&amp;$F$1,TOCA_previous!$A$2:$AI$2,0),FALSE)*$F$2,(VLOOKUP($A22,TOCA_previous!$A$2:$AI$137,MATCH("RHWM 2022",TOCA_previous!$A$2:$AI$2,0),FALSE)*$F$2))</f>
        <v>203652.48000000001</v>
      </c>
      <c r="BJ22" s="402">
        <f>SUM(L22:AI22)+(F22*RT1SC!$C$3*$F$2)</f>
        <v>200316.77841763716</v>
      </c>
      <c r="BK22" s="401">
        <f>VLOOKUP($A22,TOCA_previous!$A$2:$AI$137,MATCH("Above RHWM Not Served with LS "&amp;$F$1,TOCA_previous!$A$2:$AI$2,0),FALSE)*$F$2</f>
        <v>20822.519999999997</v>
      </c>
      <c r="BL22" s="402">
        <f t="shared" si="8"/>
        <v>-3335.7015823628462</v>
      </c>
      <c r="BM22" s="401">
        <f>(VLOOKUP($A22,TOCA_previous!$A$2:$AI$137,MATCH("RHWM 2022",TOCA_previous!$A$2:$AI$2,0),FALSE)*$F$2) - $BI22</f>
        <v>0</v>
      </c>
      <c r="BN22" s="402">
        <f t="shared" si="9"/>
        <v>0</v>
      </c>
      <c r="BO22" s="401">
        <f t="shared" si="10"/>
        <v>0</v>
      </c>
      <c r="BP22" s="402">
        <f t="shared" si="11"/>
        <v>0</v>
      </c>
      <c r="BQ22" s="401">
        <f t="shared" si="2"/>
        <v>0</v>
      </c>
      <c r="BR22" s="108">
        <f>VLOOKUP($A22,TOCA_current!$A$2:$AI$137,MATCH(BR$4,TOCA_current!$A$2:$AI$2,0),FALSE)</f>
        <v>3.4502999999999999E-3</v>
      </c>
      <c r="BS22" s="108">
        <f>VLOOKUP($A22,TOCA_current!$A$2:$AI$137,MATCH(BS$4,TOCA_current!$A$2:$AI$2,0),FALSE)</f>
        <v>3.4502999999999999E-3</v>
      </c>
      <c r="BT22" s="189">
        <f t="shared" si="12"/>
        <v>0</v>
      </c>
      <c r="BU22" s="108">
        <f>VLOOKUP($A22,TOCA_current!A18:BG153,MATCH(BU$4,TOCA_current!$A$2:$BG$2,0),FALSE)</f>
        <v>0</v>
      </c>
      <c r="BV22" s="108">
        <f t="shared" si="3"/>
        <v>0</v>
      </c>
      <c r="BW22" s="108">
        <f t="shared" si="4"/>
        <v>0</v>
      </c>
      <c r="BX22" s="179">
        <f>VLOOKUP($A22,IRD!$A$4:$G$139, 7, FALSE)</f>
        <v>0</v>
      </c>
      <c r="BY22" s="180">
        <f t="array" ref="BY22">IF($BT22=0, INDEX(LS_current!$D$4:$AY$138, MATCH('Staging Table'!$A22, LS_current!$B$4:$B$138, 0), MATCH(BY$4&amp;BY$5, LS_current!$D$2:$AY$2&amp;LS_current!$D$3:$AY$3, 0)),SUM(VLOOKUP($A22, LS_current!$B$4:$AY$138, LS_current!D$148, FALSE), VLOOKUP($A22, LS_current!$B$4:$AY$138,LS_current!AB$148, FALSE))/2)</f>
        <v>933.45934258919806</v>
      </c>
      <c r="BZ22" s="180">
        <f t="array" ref="BZ22">IF($BT22=0, INDEX(LS_current!$D$4:$AY$138, MATCH('Staging Table'!$A22, LS_current!$B$4:$B$138, 0), MATCH(BZ$4&amp;BZ$5, LS_current!$D$2:$AY$2&amp;LS_current!$D$3:$AY$3, 0)),SUM(VLOOKUP($A22, LS_current!$B$4:$AY$138, LS_current!E$148, FALSE), VLOOKUP($A22, LS_current!$B$4:$AY$138,LS_current!AC$148, FALSE))/2)</f>
        <v>-675.95196089265028</v>
      </c>
      <c r="CA22" s="180">
        <f t="array" ref="CA22">IF($BT22=0, INDEX(LS_current!$D$4:$AY$138, MATCH('Staging Table'!$A22, LS_current!$B$4:$B$138, 0), MATCH(CA$4&amp;CA$5, LS_current!$D$2:$AY$2&amp;LS_current!$D$3:$AY$3, 0)),SUM(VLOOKUP($A22, LS_current!$B$4:$AY$138, LS_current!F$148, FALSE), VLOOKUP($A22, LS_current!$B$4:$AY$138,LS_current!AD$148, FALSE))/2)</f>
        <v>1175.5933722015998</v>
      </c>
      <c r="CB22" s="180">
        <f t="array" ref="CB22">IF($BT22=0, INDEX(LS_current!$D$4:$AY$138, MATCH('Staging Table'!$A22, LS_current!$B$4:$B$138, 0), MATCH(CB$4&amp;CB$5, LS_current!$D$2:$AY$2&amp;LS_current!$D$3:$AY$3, 0)),SUM(VLOOKUP($A22, LS_current!$B$4:$AY$138, LS_current!G$148, FALSE), VLOOKUP($A22, LS_current!$B$4:$AY$138,LS_current!AE$148, FALSE))/2)</f>
        <v>-12.219040539300295</v>
      </c>
      <c r="CC22" s="180">
        <f t="array" ref="CC22">IF($BT22=0, INDEX(LS_current!$D$4:$AY$138, MATCH('Staging Table'!$A22, LS_current!$B$4:$B$138, 0), MATCH(CC$4&amp;CC$5, LS_current!$D$2:$AY$2&amp;LS_current!$D$3:$AY$3, 0)),SUM(VLOOKUP($A22, LS_current!$B$4:$AY$138, LS_current!H$148, FALSE), VLOOKUP($A22, LS_current!$B$4:$AY$138,LS_current!AF$148, FALSE))/2)</f>
        <v>3800.7210547283012</v>
      </c>
      <c r="CD22" s="180">
        <f t="array" ref="CD22">IF($BT22=0, INDEX(LS_current!$D$4:$AY$138, MATCH('Staging Table'!$A22, LS_current!$B$4:$B$138, 0), MATCH(CD$4&amp;CD$5, LS_current!$D$2:$AY$2&amp;LS_current!$D$3:$AY$3, 0)),SUM(VLOOKUP($A22, LS_current!$B$4:$AY$138, LS_current!I$148, FALSE), VLOOKUP($A22, LS_current!$B$4:$AY$138,LS_current!AG$148, FALSE))/2)</f>
        <v>2747.7969506912004</v>
      </c>
      <c r="CE22" s="180">
        <f t="array" ref="CE22">IF($BT22=0, INDEX(LS_current!$D$4:$AY$138, MATCH('Staging Table'!$A22, LS_current!$B$4:$B$138, 0), MATCH(CE$4&amp;CE$5, LS_current!$D$2:$AY$2&amp;LS_current!$D$3:$AY$3, 0)),SUM(VLOOKUP($A22, LS_current!$B$4:$AY$138, LS_current!J$148, FALSE), VLOOKUP($A22, LS_current!$B$4:$AY$138,LS_current!AH$148, FALSE))/2)</f>
        <v>4508.7938757355005</v>
      </c>
      <c r="CF22" s="180">
        <f t="array" ref="CF22">IF($BT22=0, INDEX(LS_current!$D$4:$AY$138, MATCH('Staging Table'!$A22, LS_current!$B$4:$B$138, 0), MATCH(CF$4&amp;CF$5, LS_current!$D$2:$AY$2&amp;LS_current!$D$3:$AY$3, 0)),SUM(VLOOKUP($A22, LS_current!$B$4:$AY$138, LS_current!K$148, FALSE), VLOOKUP($A22, LS_current!$B$4:$AY$138,LS_current!AI$148, FALSE))/2)</f>
        <v>2691.2323585412996</v>
      </c>
      <c r="CG22" s="180">
        <f t="array" ref="CG22">IF($BT22=0, INDEX(LS_current!$D$4:$AY$138, MATCH('Staging Table'!$A22, LS_current!$B$4:$B$138, 0), MATCH(CG$4&amp;CG$5, LS_current!$D$2:$AY$2&amp;LS_current!$D$3:$AY$3, 0)),SUM(VLOOKUP($A22, LS_current!$B$4:$AY$138, LS_current!L$148, FALSE), VLOOKUP($A22, LS_current!$B$4:$AY$138,LS_current!AJ$148, FALSE))/2)</f>
        <v>3554.7972186863026</v>
      </c>
      <c r="CH22" s="180">
        <f t="array" ref="CH22">IF($BT22=0, INDEX(LS_current!$D$4:$AY$138, MATCH('Staging Table'!$A22, LS_current!$B$4:$B$138, 0), MATCH(CH$4&amp;CH$5, LS_current!$D$2:$AY$2&amp;LS_current!$D$3:$AY$3, 0)),SUM(VLOOKUP($A22, LS_current!$B$4:$AY$138, LS_current!M$148, FALSE), VLOOKUP($A22, LS_current!$B$4:$AY$138,LS_current!AK$148, FALSE))/2)</f>
        <v>2112.4112708622997</v>
      </c>
      <c r="CI22" s="180">
        <f t="array" ref="CI22">IF($BT22=0, INDEX(LS_current!$D$4:$AY$138, MATCH('Staging Table'!$A22, LS_current!$B$4:$B$138, 0), MATCH(CI$4&amp;CI$5, LS_current!$D$2:$AY$2&amp;LS_current!$D$3:$AY$3, 0)),SUM(VLOOKUP($A22, LS_current!$B$4:$AY$138, LS_current!N$148, FALSE), VLOOKUP($A22, LS_current!$B$4:$AY$138,LS_current!AL$148, FALSE))/2)</f>
        <v>1457.6830844161013</v>
      </c>
      <c r="CJ22" s="180">
        <f t="array" ref="CJ22">IF($BT22=0, INDEX(LS_current!$D$4:$AY$138, MATCH('Staging Table'!$A22, LS_current!$B$4:$B$138, 0), MATCH(CJ$4&amp;CJ$5, LS_current!$D$2:$AY$2&amp;LS_current!$D$3:$AY$3, 0)),SUM(VLOOKUP($A22, LS_current!$B$4:$AY$138, LS_current!O$148, FALSE), VLOOKUP($A22, LS_current!$B$4:$AY$138,LS_current!AM$148, FALSE))/2)</f>
        <v>530.1199393666011</v>
      </c>
      <c r="CK22" s="180">
        <f t="array" ref="CK22">IF($BT22=0, INDEX(LS_current!$D$4:$AY$138, MATCH('Staging Table'!$A22, LS_current!$B$4:$B$138, 0), MATCH(CK$4&amp;CK$5, LS_current!$D$2:$AY$2&amp;LS_current!$D$3:$AY$3, 0)),SUM(VLOOKUP($A22, LS_current!$B$4:$AY$138, LS_current!P$148, FALSE), VLOOKUP($A22, LS_current!$B$4:$AY$138,LS_current!AN$148, FALSE))/2)</f>
        <v>2296.7214452917506</v>
      </c>
      <c r="CL22" s="180">
        <f t="array" ref="CL22">IF($BT22=0, INDEX(LS_current!$D$4:$AY$138, MATCH('Staging Table'!$A22, LS_current!$B$4:$B$138, 0), MATCH(CL$4&amp;CL$5, LS_current!$D$2:$AY$2&amp;LS_current!$D$3:$AY$3, 0)),SUM(VLOOKUP($A22, LS_current!$B$4:$AY$138, LS_current!Q$148, FALSE), VLOOKUP($A22, LS_current!$B$4:$AY$138,LS_current!AO$148, FALSE))/2)</f>
        <v>160.90249292397675</v>
      </c>
      <c r="CM22" s="180">
        <f t="array" ref="CM22">IF($BT22=0, INDEX(LS_current!$D$4:$AY$138, MATCH('Staging Table'!$A22, LS_current!$B$4:$B$138, 0), MATCH(CM$4&amp;CM$5, LS_current!$D$2:$AY$2&amp;LS_current!$D$3:$AY$3, 0)),SUM(VLOOKUP($A22, LS_current!$B$4:$AY$138, LS_current!R$148, FALSE), VLOOKUP($A22, LS_current!$B$4:$AY$138,LS_current!AP$148, FALSE))/2)</f>
        <v>-1689.8946706544011</v>
      </c>
      <c r="CN22" s="180">
        <f t="array" ref="CN22">IF($BT22=0, INDEX(LS_current!$D$4:$AY$138, MATCH('Staging Table'!$A22, LS_current!$B$4:$B$138, 0), MATCH(CN$4&amp;CN$5, LS_current!$D$2:$AY$2&amp;LS_current!$D$3:$AY$3, 0)),SUM(VLOOKUP($A22, LS_current!$B$4:$AY$138, LS_current!S$148, FALSE), VLOOKUP($A22, LS_current!$B$4:$AY$138,LS_current!AQ$148, FALSE))/2)</f>
        <v>-2230.0917175725499</v>
      </c>
      <c r="CO22" s="180">
        <f t="array" ref="CO22">IF($BT22=0, INDEX(LS_current!$D$4:$AY$138, MATCH('Staging Table'!$A22, LS_current!$B$4:$B$138, 0), MATCH(CO$4&amp;CO$5, LS_current!$D$2:$AY$2&amp;LS_current!$D$3:$AY$3, 0)),SUM(VLOOKUP($A22, LS_current!$B$4:$AY$138, LS_current!T$148, FALSE), VLOOKUP($A22, LS_current!$B$4:$AY$138,LS_current!AR$148, FALSE))/2)</f>
        <v>-3139.2193470778002</v>
      </c>
      <c r="CP22" s="180">
        <f t="array" ref="CP22">IF($BT22=0, INDEX(LS_current!$D$4:$AY$138, MATCH('Staging Table'!$A22, LS_current!$B$4:$B$138, 0), MATCH(CP$4&amp;CP$5, LS_current!$D$2:$AY$2&amp;LS_current!$D$3:$AY$3, 0)),SUM(VLOOKUP($A22, LS_current!$B$4:$AY$138, LS_current!U$148, FALSE), VLOOKUP($A22, LS_current!$B$4:$AY$138,LS_current!AS$148, FALSE))/2)</f>
        <v>-2431.1457205413499</v>
      </c>
      <c r="CQ22" s="180">
        <f t="array" ref="CQ22">IF($BT22=0, INDEX(LS_current!$D$4:$AY$138, MATCH('Staging Table'!$A22, LS_current!$B$4:$B$138, 0), MATCH(CQ$4&amp;CQ$5, LS_current!$D$2:$AY$2&amp;LS_current!$D$3:$AY$3, 0)),SUM(VLOOKUP($A22, LS_current!$B$4:$AY$138, LS_current!V$148, FALSE), VLOOKUP($A22, LS_current!$B$4:$AY$138,LS_current!AT$148, FALSE))/2)</f>
        <v>-1253.6646953292002</v>
      </c>
      <c r="CR22" s="180">
        <f t="array" ref="CR22">IF($BT22=0, INDEX(LS_current!$D$4:$AY$138, MATCH('Staging Table'!$A22, LS_current!$B$4:$B$138, 0), MATCH(CR$4&amp;CR$5, LS_current!$D$2:$AY$2&amp;LS_current!$D$3:$AY$3, 0)),SUM(VLOOKUP($A22, LS_current!$B$4:$AY$138, LS_current!W$148, FALSE), VLOOKUP($A22, LS_current!$B$4:$AY$138,LS_current!AU$148, FALSE))/2)</f>
        <v>-1772.022481663249</v>
      </c>
      <c r="CS22" s="180">
        <f t="array" ref="CS22">IF($BT22=0, INDEX(LS_current!$D$4:$AY$138, MATCH('Staging Table'!$A22, LS_current!$B$4:$B$138, 0), MATCH(CS$4&amp;CS$5, LS_current!$D$2:$AY$2&amp;LS_current!$D$3:$AY$3, 0)),SUM(VLOOKUP($A22, LS_current!$B$4:$AY$138, LS_current!X$148, FALSE), VLOOKUP($A22, LS_current!$B$4:$AY$138,LS_current!AV$148, FALSE))/2)</f>
        <v>-1126.7655787264503</v>
      </c>
      <c r="CT22" s="180">
        <f t="array" ref="CT22">IF($BT22=0, INDEX(LS_current!$D$4:$AY$138, MATCH('Staging Table'!$A22, LS_current!$B$4:$B$138, 0), MATCH(CT$4&amp;CT$5, LS_current!$D$2:$AY$2&amp;LS_current!$D$3:$AY$3, 0)),SUM(VLOOKUP($A22, LS_current!$B$4:$AY$138, LS_current!Y$148, FALSE), VLOOKUP($A22, LS_current!$B$4:$AY$138,LS_current!AW$148, FALSE))/2)</f>
        <v>-2005.971296906454</v>
      </c>
      <c r="CU22" s="180">
        <f t="array" ref="CU22">IF($BT22=0, INDEX(LS_current!$D$4:$AY$138, MATCH('Staging Table'!$A22, LS_current!$B$4:$B$138, 0), MATCH(CU$4&amp;CU$5, LS_current!$D$2:$AY$2&amp;LS_current!$D$3:$AY$3, 0)),SUM(VLOOKUP($A22, LS_current!$B$4:$AY$138, LS_current!Z$148, FALSE), VLOOKUP($A22, LS_current!$B$4:$AY$138,LS_current!AX$148, FALSE))/2)</f>
        <v>-906.18952678220012</v>
      </c>
      <c r="CV22" s="180">
        <f t="array" ref="CV22">IF($BT22=0, INDEX(LS_current!$D$4:$AY$138, MATCH('Staging Table'!$A22, LS_current!$B$4:$B$138, 0), MATCH(CV$4&amp;CV$5, LS_current!$D$2:$AY$2&amp;LS_current!$D$3:$AY$3, 0)),SUM(VLOOKUP($A22, LS_current!$B$4:$AY$138, LS_current!AA$148, FALSE), VLOOKUP($A22, LS_current!$B$4:$AY$138,LS_current!AY$148, FALSE))/2)</f>
        <v>-1660.2844195312</v>
      </c>
      <c r="CW22" s="182">
        <f t="array" ref="CW22">INDEX(Demand_current!$D$4:$AY$138, MATCH($A22, Demand_current!$B$4:$B$138, 0), MATCH(CW$4&amp;CW$5,Demand_current!$D$2:$AY$2&amp;Demand_current!$D$3:$AY$3, 0))/1000</f>
        <v>0</v>
      </c>
      <c r="CX22" s="182">
        <f t="array" ref="CX22">INDEX(Demand_current!$D$4:$AY$138, MATCH($A22, Demand_current!$B$4:$B$138, 0), MATCH(CX$4&amp;CX$5,Demand_current!$D$2:$AY$2&amp;Demand_current!$D$3:$AY$3, 0))/1000</f>
        <v>2.9308650000000007</v>
      </c>
      <c r="CY22" s="182">
        <f t="array" ref="CY22">INDEX(Demand_current!$D$4:$AY$138, MATCH($A22, Demand_current!$B$4:$B$138, 0), MATCH(CY$4&amp;CY$5,Demand_current!$D$2:$AY$2&amp;Demand_current!$D$3:$AY$3, 0))/1000</f>
        <v>6.0133674999999949</v>
      </c>
      <c r="CZ22" s="182">
        <f t="array" ref="CZ22">INDEX(Demand_current!$D$4:$AY$138, MATCH($A22, Demand_current!$B$4:$B$138, 0), MATCH(CZ$4&amp;CZ$5,Demand_current!$D$2:$AY$2&amp;Demand_current!$D$3:$AY$3, 0))/1000</f>
        <v>3.0793389423076984</v>
      </c>
      <c r="DA22" s="182">
        <f t="array" ref="DA22">INDEX(Demand_current!$D$4:$AY$138, MATCH($A22, Demand_current!$B$4:$B$138, 0), MATCH(DA$4&amp;DA$5,Demand_current!$D$2:$AY$2&amp;Demand_current!$D$3:$AY$3, 0))/1000</f>
        <v>2.1495674999999945</v>
      </c>
      <c r="DB22" s="182">
        <f t="array" ref="DB22">INDEX(Demand_current!$D$4:$AY$138, MATCH($A22, Demand_current!$B$4:$B$138, 0), MATCH(DB$4&amp;DB$5,Demand_current!$D$2:$AY$2&amp;Demand_current!$D$3:$AY$3, 0))/1000</f>
        <v>5.5434158653846151</v>
      </c>
      <c r="DC22" s="182">
        <f t="array" ref="DC22">INDEX(Demand_current!$D$4:$AY$138, MATCH($A22, Demand_current!$B$4:$B$138, 0), MATCH(DC$4&amp;DC$5,Demand_current!$D$2:$AY$2&amp;Demand_current!$D$3:$AY$3, 0))/1000</f>
        <v>2.5574687500000017</v>
      </c>
      <c r="DD22" s="182">
        <f t="array" ref="DD22">INDEX(Demand_current!$D$4:$AY$138, MATCH($A22, Demand_current!$B$4:$B$138, 0), MATCH(DD$4&amp;DD$5,Demand_current!$D$2:$AY$2&amp;Demand_current!$D$3:$AY$3, 0))/1000</f>
        <v>0.86791105769230636</v>
      </c>
      <c r="DE22" s="182">
        <f t="array" ref="DE22">INDEX(Demand_current!$D$4:$AY$138, MATCH($A22, Demand_current!$B$4:$B$138, 0), MATCH(DE$4&amp;DE$5,Demand_current!$D$2:$AY$2&amp;Demand_current!$D$3:$AY$3, 0))/1000</f>
        <v>4.1323100000000013</v>
      </c>
      <c r="DF22" s="182">
        <f t="array" ref="DF22">INDEX(Demand_current!$D$4:$AY$138, MATCH($A22, Demand_current!$B$4:$B$138, 0), MATCH(DF$4&amp;DF$5,Demand_current!$D$2:$AY$2&amp;Demand_current!$D$3:$AY$3, 0))/1000</f>
        <v>2.185185096153849</v>
      </c>
      <c r="DG22" s="182">
        <f t="array" ref="DG22">INDEX(Demand_current!$D$4:$AY$138, MATCH($A22, Demand_current!$B$4:$B$138, 0), MATCH(DG$4&amp;DG$5,Demand_current!$D$2:$AY$2&amp;Demand_current!$D$3:$AY$3, 0))/1000</f>
        <v>5.6780162037037014</v>
      </c>
      <c r="DH22" s="182">
        <f t="array" ref="DH22">INDEX(Demand_current!$D$4:$AY$138, MATCH($A22, Demand_current!$B$4:$B$138, 0), MATCH(DH$4&amp;DH$5,Demand_current!$D$2:$AY$2&amp;Demand_current!$D$3:$AY$3, 0))/1000</f>
        <v>0.99317708333333332</v>
      </c>
      <c r="DI22" s="180">
        <f>$BS22*(VLOOKUP(DI$4, Rates_current!$G$6:$Q$29, 10, FALSE)+VLOOKUP(DI$4, Rates_current!$G$6:$Q$29, 11, FALSE))</f>
        <v>14556.13861830345</v>
      </c>
      <c r="DJ22" s="180">
        <f>$BS22*(VLOOKUP(DJ$4, Rates_current!$G$6:$Q$29, 10, FALSE)+VLOOKUP(DJ$4, Rates_current!$G$6:$Q$29, 11, FALSE))</f>
        <v>18563.876668337703</v>
      </c>
      <c r="DK22" s="180">
        <f>$BS22*(VLOOKUP(DK$4, Rates_current!$G$6:$Q$29, 10, FALSE)+VLOOKUP(DK$4, Rates_current!$G$6:$Q$29, 11, FALSE))</f>
        <v>20034.095994580501</v>
      </c>
      <c r="DL22" s="180">
        <f>$BS22*(VLOOKUP(DL$4, Rates_current!$G$6:$Q$29, 10, FALSE)+VLOOKUP(DL$4, Rates_current!$G$6:$Q$29, 11, FALSE))</f>
        <v>20818.522765723199</v>
      </c>
      <c r="DM22" s="180">
        <f>$BS22*(VLOOKUP(DM$4, Rates_current!$G$6:$Q$29, 10, FALSE)+VLOOKUP(DM$4, Rates_current!$G$6:$Q$29, 11, FALSE))</f>
        <v>17906.704510451396</v>
      </c>
      <c r="DN22" s="180">
        <f>$BS22*(VLOOKUP(DN$4, Rates_current!$G$6:$Q$29, 10, FALSE)+VLOOKUP(DN$4, Rates_current!$G$6:$Q$29, 11, FALSE))</f>
        <v>19550.5759762173</v>
      </c>
      <c r="DO22" s="180">
        <f>$BS22*(VLOOKUP(DO$4, Rates_current!$G$6:$Q$29, 10, FALSE)+VLOOKUP(DO$4, Rates_current!$G$6:$Q$29, 11, FALSE))</f>
        <v>15431.885061784273</v>
      </c>
      <c r="DP22" s="180">
        <f>$BS22*(VLOOKUP(DP$4, Rates_current!$G$6:$Q$29, 10, FALSE)+VLOOKUP(DP$4, Rates_current!$G$6:$Q$29, 11, FALSE))</f>
        <v>19145.321388226948</v>
      </c>
      <c r="DQ22" s="180">
        <f>$BS22*(VLOOKUP(DQ$4, Rates_current!$G$6:$Q$29, 10, FALSE)+VLOOKUP(DQ$4, Rates_current!$G$6:$Q$29, 11, FALSE))</f>
        <v>19560.727067619147</v>
      </c>
      <c r="DR22" s="180">
        <f>$BS22*(VLOOKUP(DR$4, Rates_current!$G$6:$Q$29, 10, FALSE)+VLOOKUP(DR$4, Rates_current!$G$6:$Q$29, 11, FALSE))</f>
        <v>16981.529176992448</v>
      </c>
      <c r="DS22" s="180">
        <f>$BS22*(VLOOKUP(DS$4, Rates_current!$G$6:$Q$29, 10, FALSE)+VLOOKUP(DS$4, Rates_current!$G$6:$Q$29, 11, FALSE))</f>
        <v>16416.624875632908</v>
      </c>
      <c r="DT22" s="180">
        <f>$BS22*(VLOOKUP(DT$4, Rates_current!$G$6:$Q$29, 10, FALSE)+VLOOKUP(DT$4, Rates_current!$G$6:$Q$29, 11, FALSE))</f>
        <v>15106.473946313401</v>
      </c>
      <c r="DU22" s="402">
        <f>IF(D22=0,IF(C22=0,MAX(0,DW22 - (VLOOKUP($A22,TOCA_current!$A$2:$AI$137,MATCH("RHWM 2024",TOCA_current!$A$2:$AI$2,0),FALSE)*$BS$2)), 0),0)</f>
        <v>7064.4249812653288</v>
      </c>
      <c r="DV22" s="403">
        <f>MIN(VLOOKUP($A22,TOCA_current!$A$2:$AI$137,MATCH("TRL - NLSL - Existing Resource "&amp;$BS$1,TOCA_current!$A$2:$AI$2,0),FALSE)*$BS$2, VLOOKUP($A22,TOCA_current!$A$2:$AI$137,MATCH("RHWM 2024",TOCA_current!$A$2:$AI$2,0),FALSE)*$BS$2)</f>
        <v>214074.864</v>
      </c>
      <c r="DW22" s="403">
        <f>SUM(BY22:CV22)+(BS22*RT1SC!$C$4*$BS$2)</f>
        <v>221139.28898126533</v>
      </c>
      <c r="DX22" s="403">
        <f>VLOOKUP($A22,TOCA_current!$A$2:$AI$137,MATCH("Above RHWM Not Served with LS "&amp;$BS$1,TOCA_current!$A$2:$AI$2,0),FALSE)*$BS$2</f>
        <v>0</v>
      </c>
      <c r="DY22" s="403">
        <f t="shared" si="13"/>
        <v>7064.4249812653288</v>
      </c>
      <c r="DZ22" s="403">
        <f>(VLOOKUP($A22,TOCA_current!$A$2:$AI$137,MATCH("RHWM 2024",TOCA_current!$A$2:$AI$2,0),FALSE)*$BS$2) - $DV22</f>
        <v>0</v>
      </c>
      <c r="EA22" s="403">
        <f t="shared" si="14"/>
        <v>0</v>
      </c>
      <c r="EB22" s="403">
        <f t="shared" si="15"/>
        <v>0</v>
      </c>
      <c r="EC22" s="403">
        <f t="shared" si="16"/>
        <v>0</v>
      </c>
      <c r="ED22" s="403">
        <f t="shared" si="17"/>
        <v>0</v>
      </c>
    </row>
    <row r="23" spans="1:134">
      <c r="A23" s="123">
        <v>10067</v>
      </c>
      <c r="B23" s="124" t="s">
        <v>24</v>
      </c>
      <c r="C23" s="232">
        <f>VLOOKUP(A23, TOCA_current!$A$3:$D$137, 4, FALSE)</f>
        <v>0</v>
      </c>
      <c r="D23" s="191">
        <v>0</v>
      </c>
      <c r="E23" s="107">
        <f>VLOOKUP($A23,TOCA_previous!$A$2:$AI$137,MATCH(E$4,TOCA_previous!$A$2:$AI$2,0),FALSE)</f>
        <v>2.2398000000000001E-3</v>
      </c>
      <c r="F23" s="108">
        <f>VLOOKUP($A23,TOCA_previous!$A$2:$AI$137,MATCH(F$4,TOCA_previous!$A$2:$AI$2,0),FALSE)</f>
        <v>2.2398000000000001E-3</v>
      </c>
      <c r="G23" s="108">
        <f t="shared" si="5"/>
        <v>0</v>
      </c>
      <c r="H23" s="108">
        <f>VLOOKUP($A23,TOCA_previous!$A$2:$AI$137,MATCH(H$4,TOCA_previous!$A$2:$AI$2,0),FALSE)</f>
        <v>0</v>
      </c>
      <c r="I23" s="108">
        <f t="shared" si="6"/>
        <v>0</v>
      </c>
      <c r="J23" s="108">
        <f t="shared" si="7"/>
        <v>0</v>
      </c>
      <c r="K23" s="179">
        <f>VLOOKUP(A23, IRD!$A$5:$C$139, 3, FALSE)</f>
        <v>0</v>
      </c>
      <c r="L23" s="180">
        <f t="array" ref="L23">IF($G23=0, INDEX(LS_previous!$D$4:$AY$138, MATCH('Staging Table'!$A23, LS_previous!$B$4:$B$138, 0), MATCH(L$4&amp;L$5, LS_previous!$D$2:$AY$2&amp;LS_previous!$D$3:$AY$3, 0)),SUM(VLOOKUP($A23, LS_previous!$B$4:$AY$138, LS_previous!D$149, FALSE), VLOOKUP('Staging Table'!$A23, LS_previous!$B$4:$AY$138,LS_previous!AB$149, FALSE))/2)</f>
        <v>21.448965493386822</v>
      </c>
      <c r="M23" s="180">
        <f t="array" ref="M23">IF($G23=0, INDEX(LS_previous!$D$4:$AY$138, MATCH('Staging Table'!$A23, LS_previous!$B$4:$B$138, 0), MATCH(M$4&amp;M$5, LS_previous!$D$2:$AY$2&amp;LS_previous!$D$3:$AY$3, 0)),SUM(VLOOKUP($A23, LS_previous!$B$4:$AY$138, LS_previous!E$149, FALSE), VLOOKUP('Staging Table'!$A23, LS_previous!$B$4:$AY$138,LS_previous!AC$149, FALSE))/2)</f>
        <v>-24.411883118354581</v>
      </c>
      <c r="N23" s="180">
        <f t="array" ref="N23">IF($G23=0, INDEX(LS_previous!$D$4:$AY$138, MATCH('Staging Table'!$A23, LS_previous!$B$4:$B$138, 0), MATCH(N$4&amp;N$5, LS_previous!$D$2:$AY$2&amp;LS_previous!$D$3:$AY$3, 0)),SUM(VLOOKUP($A23, LS_previous!$B$4:$AY$138, LS_previous!F$149, FALSE), VLOOKUP('Staging Table'!$A23, LS_previous!$B$4:$AY$138,LS_previous!AD$149, FALSE))/2)</f>
        <v>-1037.4735930102106</v>
      </c>
      <c r="O23" s="180">
        <f t="array" ref="O23">IF($G23=0, INDEX(LS_previous!$D$4:$AY$138, MATCH('Staging Table'!$A23, LS_previous!$B$4:$B$138, 0), MATCH(O$4&amp;O$5, LS_previous!$D$2:$AY$2&amp;LS_previous!$D$3:$AY$3, 0)),SUM(VLOOKUP($A23, LS_previous!$B$4:$AY$138, LS_previous!G$149, FALSE), VLOOKUP('Staging Table'!$A23, LS_previous!$B$4:$AY$138,LS_previous!AE$149, FALSE))/2)</f>
        <v>-439.42356181915602</v>
      </c>
      <c r="P23" s="180">
        <f t="array" ref="P23">IF($G23=0, INDEX(LS_previous!$D$4:$AY$138, MATCH('Staging Table'!$A23, LS_previous!$B$4:$B$138, 0), MATCH(P$4&amp;P$5, LS_previous!$D$2:$AY$2&amp;LS_previous!$D$3:$AY$3, 0)),SUM(VLOOKUP($A23, LS_previous!$B$4:$AY$138, LS_previous!H$149, FALSE), VLOOKUP('Staging Table'!$A23, LS_previous!$B$4:$AY$138,LS_previous!AF$149, FALSE))/2)</f>
        <v>1070.6598466272953</v>
      </c>
      <c r="Q23" s="180">
        <f t="array" ref="Q23">IF($G23=0, INDEX(LS_previous!$D$4:$AY$138, MATCH('Staging Table'!$A23, LS_previous!$B$4:$B$138, 0), MATCH(Q$4&amp;Q$5, LS_previous!$D$2:$AY$2&amp;LS_previous!$D$3:$AY$3, 0)),SUM(VLOOKUP($A23, LS_previous!$B$4:$AY$138, LS_previous!I$149, FALSE), VLOOKUP('Staging Table'!$A23, LS_previous!$B$4:$AY$138,LS_previous!AG$149, FALSE))/2)</f>
        <v>384.89566400048807</v>
      </c>
      <c r="R23" s="180">
        <f t="array" ref="R23">IF($G23=0, INDEX(LS_previous!$D$4:$AY$138, MATCH('Staging Table'!$A23, LS_previous!$B$4:$B$138, 0), MATCH(R$4&amp;R$5, LS_previous!$D$2:$AY$2&amp;LS_previous!$D$3:$AY$3, 0)),SUM(VLOOKUP($A23, LS_previous!$B$4:$AY$138, LS_previous!J$149, FALSE), VLOOKUP('Staging Table'!$A23, LS_previous!$B$4:$AY$138,LS_previous!AH$149, FALSE))/2)</f>
        <v>2796.1547314914405</v>
      </c>
      <c r="S23" s="180">
        <f t="array" ref="S23">IF($G23=0, INDEX(LS_previous!$D$4:$AY$138, MATCH('Staging Table'!$A23, LS_previous!$B$4:$B$138, 0), MATCH(S$4&amp;S$5, LS_previous!$D$2:$AY$2&amp;LS_previous!$D$3:$AY$3, 0)),SUM(VLOOKUP($A23, LS_previous!$B$4:$AY$138, LS_previous!K$149, FALSE), VLOOKUP('Staging Table'!$A23, LS_previous!$B$4:$AY$138,LS_previous!AI$149, FALSE))/2)</f>
        <v>1439.633507680981</v>
      </c>
      <c r="T23" s="180">
        <f t="array" ref="T23">IF($G23=0, INDEX(LS_previous!$D$4:$AY$138, MATCH('Staging Table'!$A23, LS_previous!$B$4:$B$138, 0), MATCH(T$4&amp;T$5, LS_previous!$D$2:$AY$2&amp;LS_previous!$D$3:$AY$3, 0)),SUM(VLOOKUP($A23, LS_previous!$B$4:$AY$138, LS_previous!L$149, FALSE), VLOOKUP('Staging Table'!$A23, LS_previous!$B$4:$AY$138,LS_previous!AJ$149, FALSE))/2)</f>
        <v>2422.1604654992134</v>
      </c>
      <c r="U23" s="180">
        <f t="array" ref="U23">IF($G23=0, INDEX(LS_previous!$D$4:$AY$138, MATCH('Staging Table'!$A23, LS_previous!$B$4:$B$138, 0), MATCH(U$4&amp;U$5, LS_previous!$D$2:$AY$2&amp;LS_previous!$D$3:$AY$3, 0)),SUM(VLOOKUP($A23, LS_previous!$B$4:$AY$138, LS_previous!M$149, FALSE), VLOOKUP('Staging Table'!$A23, LS_previous!$B$4:$AY$138,LS_previous!AK$149, FALSE))/2)</f>
        <v>1070.8048040625058</v>
      </c>
      <c r="V23" s="180">
        <f t="array" ref="V23">IF($G23=0, INDEX(LS_previous!$D$4:$AY$138, MATCH('Staging Table'!$A23, LS_previous!$B$4:$B$138, 0), MATCH(V$4&amp;V$5, LS_previous!$D$2:$AY$2&amp;LS_previous!$D$3:$AY$3, 0)),SUM(VLOOKUP($A23, LS_previous!$B$4:$AY$138, LS_previous!N$149, FALSE), VLOOKUP('Staging Table'!$A23, LS_previous!$B$4:$AY$138,LS_previous!AL$149, FALSE))/2)</f>
        <v>684.29044491250261</v>
      </c>
      <c r="W23" s="180">
        <f t="array" ref="W23">IF($G23=0, INDEX(LS_previous!$D$4:$AY$138, MATCH('Staging Table'!$A23, LS_previous!$B$4:$B$138, 0), MATCH(W$4&amp;W$5, LS_previous!$D$2:$AY$2&amp;LS_previous!$D$3:$AY$3, 0)),SUM(VLOOKUP($A23, LS_previous!$B$4:$AY$138, LS_previous!O$149, FALSE), VLOOKUP('Staging Table'!$A23, LS_previous!$B$4:$AY$138,LS_previous!AM$149, FALSE))/2)</f>
        <v>311.37062801044067</v>
      </c>
      <c r="X23" s="180">
        <f t="array" ref="X23">IF($G23=0, INDEX(LS_previous!$D$4:$AY$138, MATCH('Staging Table'!$A23, LS_previous!$B$4:$B$138, 0), MATCH(X$4&amp;X$5, LS_previous!$D$2:$AY$2&amp;LS_previous!$D$3:$AY$3, 0)),SUM(VLOOKUP($A23, LS_previous!$B$4:$AY$138, LS_previous!P$149, FALSE), VLOOKUP('Staging Table'!$A23, LS_previous!$B$4:$AY$138,LS_previous!AN$149, FALSE))/2)</f>
        <v>1331.3559259007425</v>
      </c>
      <c r="Y23" s="180">
        <f t="array" ref="Y23">IF($G23=0, INDEX(LS_previous!$D$4:$AY$138, MATCH('Staging Table'!$A23, LS_previous!$B$4:$B$138, 0), MATCH(Y$4&amp;Y$5, LS_previous!$D$2:$AY$2&amp;LS_previous!$D$3:$AY$3, 0)),SUM(VLOOKUP($A23, LS_previous!$B$4:$AY$138, LS_previous!Q$149, FALSE), VLOOKUP('Staging Table'!$A23, LS_previous!$B$4:$AY$138,LS_previous!AO$149, FALSE))/2)</f>
        <v>634.58805822156364</v>
      </c>
      <c r="Z23" s="180">
        <f t="array" ref="Z23">IF($G23=0, INDEX(LS_previous!$D$4:$AY$138, MATCH('Staging Table'!$A23, LS_previous!$B$4:$B$138, 0), MATCH(Z$4&amp;Z$5, LS_previous!$D$2:$AY$2&amp;LS_previous!$D$3:$AY$3, 0)),SUM(VLOOKUP($A23, LS_previous!$B$4:$AY$138, LS_previous!R$149, FALSE), VLOOKUP('Staging Table'!$A23, LS_previous!$B$4:$AY$138,LS_previous!AP$149, FALSE))/2)</f>
        <v>-1759.1405281152547</v>
      </c>
      <c r="AA23" s="180">
        <f t="array" ref="AA23">IF($G23=0, INDEX(LS_previous!$D$4:$AY$138, MATCH('Staging Table'!$A23, LS_previous!$B$4:$B$138, 0), MATCH(AA$4&amp;AA$5, LS_previous!$D$2:$AY$2&amp;LS_previous!$D$3:$AY$3, 0)),SUM(VLOOKUP($A23, LS_previous!$B$4:$AY$138, LS_previous!S$149, FALSE), VLOOKUP('Staging Table'!$A23, LS_previous!$B$4:$AY$138,LS_previous!AQ$149, FALSE))/2)</f>
        <v>-232.08540056140691</v>
      </c>
      <c r="AB23" s="180">
        <f t="array" ref="AB23">IF($G23=0, INDEX(LS_previous!$D$4:$AY$138, MATCH('Staging Table'!$A23, LS_previous!$B$4:$B$138, 0), MATCH(AB$4&amp;AB$5, LS_previous!$D$2:$AY$2&amp;LS_previous!$D$3:$AY$3, 0)),SUM(VLOOKUP($A23, LS_previous!$B$4:$AY$138, LS_previous!T$149, FALSE), VLOOKUP('Staging Table'!$A23, LS_previous!$B$4:$AY$138,LS_previous!AR$149, FALSE))/2)</f>
        <v>-2866.0601383604562</v>
      </c>
      <c r="AC23" s="180">
        <f t="array" ref="AC23">IF($G23=0, INDEX(LS_previous!$D$4:$AY$138, MATCH('Staging Table'!$A23, LS_previous!$B$4:$B$138, 0), MATCH(AC$4&amp;AC$5, LS_previous!$D$2:$AY$2&amp;LS_previous!$D$3:$AY$3, 0)),SUM(VLOOKUP($A23, LS_previous!$B$4:$AY$138, LS_previous!U$149, FALSE), VLOOKUP('Staging Table'!$A23, LS_previous!$B$4:$AY$138,LS_previous!AS$149, FALSE))/2)</f>
        <v>-282.75417441638228</v>
      </c>
      <c r="AD23" s="180">
        <f t="array" ref="AD23">IF($G23=0, INDEX(LS_previous!$D$4:$AY$138, MATCH('Staging Table'!$A23, LS_previous!$B$4:$B$138, 0), MATCH(AD$4&amp;AD$5, LS_previous!$D$2:$AY$2&amp;LS_previous!$D$3:$AY$3, 0)),SUM(VLOOKUP($A23, LS_previous!$B$4:$AY$138, LS_previous!V$149, FALSE), VLOOKUP('Staging Table'!$A23, LS_previous!$B$4:$AY$138,LS_previous!AT$149, FALSE))/2)</f>
        <v>-1563.8119867227833</v>
      </c>
      <c r="AE23" s="180">
        <f t="array" ref="AE23">IF($G23=0, INDEX(LS_previous!$D$4:$AY$138, MATCH('Staging Table'!$A23, LS_previous!$B$4:$B$138, 0), MATCH(AE$4&amp;AE$5, LS_previous!$D$2:$AY$2&amp;LS_previous!$D$3:$AY$3, 0)),SUM(VLOOKUP($A23, LS_previous!$B$4:$AY$138, LS_previous!W$149, FALSE), VLOOKUP('Staging Table'!$A23, LS_previous!$B$4:$AY$138,LS_previous!AU$149, FALSE))/2)</f>
        <v>-33.982893819696983</v>
      </c>
      <c r="AF23" s="180">
        <f t="array" ref="AF23">IF($G23=0, INDEX(LS_previous!$D$4:$AY$138, MATCH('Staging Table'!$A23, LS_previous!$B$4:$B$138, 0), MATCH(AF$4&amp;AF$5, LS_previous!$D$2:$AY$2&amp;LS_previous!$D$3:$AY$3, 0)),SUM(VLOOKUP($A23, LS_previous!$B$4:$AY$138, LS_previous!X$149, FALSE), VLOOKUP('Staging Table'!$A23, LS_previous!$B$4:$AY$138,LS_previous!AV$149, FALSE))/2)</f>
        <v>-1150.8674524449407</v>
      </c>
      <c r="AG23" s="180">
        <f t="array" ref="AG23">IF($G23=0, INDEX(LS_previous!$D$4:$AY$138, MATCH('Staging Table'!$A23, LS_previous!$B$4:$B$138, 0), MATCH(AG$4&amp;AG$5, LS_previous!$D$2:$AY$2&amp;LS_previous!$D$3:$AY$3, 0)),SUM(VLOOKUP($A23, LS_previous!$B$4:$AY$138, LS_previous!Y$149, FALSE), VLOOKUP('Staging Table'!$A23, LS_previous!$B$4:$AY$138,LS_previous!AW$149, FALSE))/2)</f>
        <v>-210.52612432184878</v>
      </c>
      <c r="AH23" s="180">
        <f t="array" ref="AH23">IF($G23=0, INDEX(LS_previous!$D$4:$AY$138, MATCH('Staging Table'!$A23, LS_previous!$B$4:$B$138, 0), MATCH(AH$4&amp;AH$5, LS_previous!$D$2:$AY$2&amp;LS_previous!$D$3:$AY$3, 0)),SUM(VLOOKUP($A23, LS_previous!$B$4:$AY$138, LS_previous!Z$149, FALSE), VLOOKUP('Staging Table'!$A23, LS_previous!$B$4:$AY$138,LS_previous!AX$149, FALSE))/2)</f>
        <v>-1084.0234490695648</v>
      </c>
      <c r="AI23" s="180">
        <f t="array" ref="AI23">IF($G23=0, INDEX(LS_previous!$D$4:$AY$138, MATCH('Staging Table'!$A23, LS_previous!$B$4:$B$138, 0), MATCH(AI$4&amp;AI$5, LS_previous!$D$2:$AY$2&amp;LS_previous!$D$3:$AY$3, 0)),SUM(VLOOKUP($A23, LS_previous!$B$4:$AY$138, LS_previous!AA$149, FALSE), VLOOKUP('Staging Table'!$A23, LS_previous!$B$4:$AY$138,LS_previous!AY$149, FALSE))/2)</f>
        <v>-410.96683559703797</v>
      </c>
      <c r="AJ23" s="298">
        <f t="array" ref="AJ23">INDEX(Demand_previous!$D$4:$AY$138, MATCH('Staging Table'!$A23, Demand_previous!$B$4:$B$138, 0), MATCH(AJ$4&amp;AJ$5,Demand_previous!$D$2:$AY$2&amp;Demand_previous!$D$3:$AY$3, 0))/1000</f>
        <v>3.2825120192307704</v>
      </c>
      <c r="AK23" s="298">
        <f t="array" ref="AK23">INDEX(Demand_previous!$D$4:$AY$138, MATCH('Staging Table'!$A23, Demand_previous!$B$4:$B$138, 0), MATCH(AK$4&amp;AK$5,Demand_previous!$D$2:$AY$2&amp;Demand_previous!$D$3:$AY$3, 0))/1000</f>
        <v>5.0339599999999987</v>
      </c>
      <c r="AL23" s="298">
        <f t="array" ref="AL23">INDEX(Demand_previous!$D$4:$AY$138, MATCH('Staging Table'!$A23, Demand_previous!$B$4:$B$138, 0), MATCH(AL$4&amp;AL$5,Demand_previous!$D$2:$AY$2&amp;Demand_previous!$D$3:$AY$3, 0))/1000</f>
        <v>4.155533653846156</v>
      </c>
      <c r="AM23" s="298">
        <f t="array" ref="AM23">INDEX(Demand_previous!$D$4:$AY$138, MATCH('Staging Table'!$A23, Demand_previous!$B$4:$B$138, 0), MATCH(AM$4&amp;AM$5,Demand_previous!$D$2:$AY$2&amp;Demand_previous!$D$3:$AY$3, 0))/1000</f>
        <v>5.3050925000000007</v>
      </c>
      <c r="AN23" s="298">
        <f t="array" ref="AN23">INDEX(Demand_previous!$D$4:$AY$138, MATCH('Staging Table'!$A23, Demand_previous!$B$4:$B$138, 0), MATCH(AN$4&amp;AN$5,Demand_previous!$D$2:$AY$2&amp;Demand_previous!$D$3:$AY$3, 0))/1000</f>
        <v>3.3014869791666657</v>
      </c>
      <c r="AO23" s="298">
        <f t="array" ref="AO23">INDEX(Demand_previous!$D$4:$AY$138, MATCH('Staging Table'!$A23, Demand_previous!$B$4:$B$138, 0), MATCH(AO$4&amp;AO$5,Demand_previous!$D$2:$AY$2&amp;Demand_previous!$D$3:$AY$3, 0))/1000</f>
        <v>4.8906805555555541</v>
      </c>
      <c r="AP23" s="298">
        <f t="array" ref="AP23">INDEX(Demand_previous!$D$4:$AY$138, MATCH('Staging Table'!$A23, Demand_previous!$B$4:$B$138, 0), MATCH(AP$4&amp;AP$5,Demand_previous!$D$2:$AY$2&amp;Demand_previous!$D$3:$AY$3, 0))/1000</f>
        <v>5.4987379807692331</v>
      </c>
      <c r="AQ23" s="298">
        <f t="array" ref="AQ23">INDEX(Demand_previous!$D$4:$AY$138, MATCH('Staging Table'!$A23, Demand_previous!$B$4:$B$138, 0), MATCH(AQ$4&amp;AQ$5,Demand_previous!$D$2:$AY$2&amp;Demand_previous!$D$3:$AY$3, 0))/1000</f>
        <v>3.8026250000000013</v>
      </c>
      <c r="AR23" s="298">
        <f t="array" ref="AR23">INDEX(Demand_previous!$D$4:$AY$138, MATCH('Staging Table'!$A23, Demand_previous!$B$4:$B$138, 0), MATCH(AR$4&amp;AR$5,Demand_previous!$D$2:$AY$2&amp;Demand_previous!$D$3:$AY$3, 0))/1000</f>
        <v>3.8124447115384621</v>
      </c>
      <c r="AS23" s="298">
        <f t="array" ref="AS23">INDEX(Demand_previous!$D$4:$AY$138, MATCH('Staging Table'!$A23, Demand_previous!$B$4:$B$138, 0), MATCH(AS$4&amp;AS$5,Demand_previous!$D$2:$AY$2&amp;Demand_previous!$D$3:$AY$3, 0))/1000</f>
        <v>4.9243824999999983</v>
      </c>
      <c r="AT23" s="298">
        <f t="array" ref="AT23">INDEX(Demand_previous!$D$4:$AY$138, MATCH('Staging Table'!$A23, Demand_previous!$B$4:$B$138, 0), MATCH(AT$4&amp;AT$5,Demand_previous!$D$2:$AY$2&amp;Demand_previous!$D$3:$AY$3, 0))/1000</f>
        <v>4.6550277777777778</v>
      </c>
      <c r="AU23" s="298">
        <f t="array" ref="AU23">INDEX(Demand_previous!$D$4:$AY$138, MATCH('Staging Table'!$A23, Demand_previous!$B$4:$B$138, 0), MATCH(AU$4&amp;AU$5,Demand_previous!$D$2:$AY$2&amp;Demand_previous!$D$3:$AY$3, 0))/1000</f>
        <v>5.4903225000000004</v>
      </c>
      <c r="AV23" s="180">
        <f>$F23*(VLOOKUP(AV$4, Rates_previous!$G$6:$Q$29, 10, FALSE)+VLOOKUP(AV$4, Rates_previous!$G$6:$Q$29, 11, FALSE))</f>
        <v>10199.879917624969</v>
      </c>
      <c r="AW23" s="180">
        <f>$F23*(VLOOKUP(AW$4, Rates_previous!$G$6:$Q$29, 10, FALSE)+VLOOKUP(AW$4, Rates_previous!$G$6:$Q$29, 11, FALSE))</f>
        <v>12913.418154829367</v>
      </c>
      <c r="AX23" s="180">
        <f>$F23*(VLOOKUP(AX$4, Rates_previous!$G$6:$Q$29, 10, FALSE)+VLOOKUP(AX$4, Rates_previous!$G$6:$Q$29, 11, FALSE))</f>
        <v>12639.656489372217</v>
      </c>
      <c r="AY23" s="180">
        <f>$F23*(VLOOKUP(AY$4, Rates_previous!$G$6:$Q$29, 10, FALSE)+VLOOKUP(AY$4, Rates_previous!$G$6:$Q$29, 11, FALSE))</f>
        <v>10439.818760827578</v>
      </c>
      <c r="AZ23" s="180">
        <f>$F23*(VLOOKUP(AZ$4, Rates_previous!$G$6:$Q$29, 10, FALSE)+VLOOKUP(AZ$4, Rates_previous!$G$6:$Q$29, 11, FALSE))</f>
        <v>9048.4197304382815</v>
      </c>
      <c r="BA23" s="180">
        <f>$F23*(VLOOKUP(BA$4, Rates_previous!$G$6:$Q$29, 10, FALSE)+VLOOKUP(BA$4, Rates_previous!$G$6:$Q$29, 11, FALSE))</f>
        <v>10801.985927077058</v>
      </c>
      <c r="BB23" s="180">
        <f>$F23*(VLOOKUP(BB$4, Rates_previous!$G$6:$Q$29, 10, FALSE)+VLOOKUP(BB$4, Rates_previous!$G$6:$Q$29, 11, FALSE))</f>
        <v>8386.304015877693</v>
      </c>
      <c r="BC23" s="180">
        <f>$F23*(VLOOKUP(BC$4, Rates_previous!$G$6:$Q$29, 10, FALSE)+VLOOKUP(BC$4, Rates_previous!$G$6:$Q$29, 11, FALSE))</f>
        <v>11619.285928676662</v>
      </c>
      <c r="BD23" s="180">
        <f>$F23*(VLOOKUP(BD$4, Rates_previous!$G$6:$Q$29, 10, FALSE)+VLOOKUP(BD$4, Rates_previous!$G$6:$Q$29, 11, FALSE))</f>
        <v>12415.450312776838</v>
      </c>
      <c r="BE23" s="180">
        <f>$F23*(VLOOKUP(BE$4, Rates_previous!$G$6:$Q$29, 10, FALSE)+VLOOKUP(BE$4, Rates_previous!$G$6:$Q$29, 11, FALSE))</f>
        <v>11787.907880542482</v>
      </c>
      <c r="BF23" s="180">
        <f>$F23*(VLOOKUP(BF$4, Rates_previous!$G$6:$Q$29, 10, FALSE)+VLOOKUP(BF$4, Rates_previous!$G$6:$Q$29, 11, FALSE))</f>
        <v>11392.103576766789</v>
      </c>
      <c r="BG23" s="180">
        <f>$F23*(VLOOKUP(BG$4, Rates_previous!$G$6:$Q$29, 10, FALSE)+VLOOKUP(BG$4, Rates_previous!$G$6:$Q$29, 11, FALSE))</f>
        <v>10527.491284666603</v>
      </c>
      <c r="BH23" s="298">
        <f>IF($D23=0,IF(C23=0, MAX(BJ23 - (VLOOKUP($A23,TOCA_previous!$A$2:$AI$137,MATCH("RHWM 2022",TOCA_previous!$A$2:$AI$2,0),FALSE)*$F$2*TOCA_previous!C20),0),0), 0)</f>
        <v>1072.6837611554656</v>
      </c>
      <c r="BI23" s="192">
        <f>MIN(VLOOKUP($A23,TOCA_previous!$A$2:$AI$137,MATCH("TRL - NLSL - Existing Resource "&amp;$F$1,TOCA_previous!$A$2:$AI$2,0),FALSE)*$F$2,(VLOOKUP($A23,TOCA_previous!$A$2:$AI$137,MATCH("RHWM 2022",TOCA_previous!$A$2:$AI$2,0),FALSE)*$F$2))</f>
        <v>132170.88</v>
      </c>
      <c r="BJ23" s="402">
        <f>SUM(L23:AI23)+(F23*RT1SC!$C$3*$F$2)</f>
        <v>133243.56376115547</v>
      </c>
      <c r="BK23" s="401">
        <f>VLOOKUP($A23,TOCA_previous!$A$2:$AI$137,MATCH("Above RHWM Not Served with LS "&amp;$F$1,TOCA_previous!$A$2:$AI$2,0),FALSE)*$F$2</f>
        <v>20016.600000000002</v>
      </c>
      <c r="BL23" s="402">
        <f t="shared" si="8"/>
        <v>1072.6837611554656</v>
      </c>
      <c r="BM23" s="401">
        <f>(VLOOKUP($A23,TOCA_previous!$A$2:$AI$137,MATCH("RHWM 2022",TOCA_previous!$A$2:$AI$2,0),FALSE)*$F$2) - $BI23</f>
        <v>0</v>
      </c>
      <c r="BN23" s="402">
        <f t="shared" si="9"/>
        <v>0</v>
      </c>
      <c r="BO23" s="401">
        <f t="shared" si="10"/>
        <v>0</v>
      </c>
      <c r="BP23" s="402">
        <f t="shared" si="11"/>
        <v>0</v>
      </c>
      <c r="BQ23" s="401">
        <f t="shared" si="2"/>
        <v>0</v>
      </c>
      <c r="BR23" s="108">
        <f>VLOOKUP($A23,TOCA_current!$A$2:$AI$137,MATCH(BR$4,TOCA_current!$A$2:$AI$2,0),FALSE)</f>
        <v>2.2393000000000001E-3</v>
      </c>
      <c r="BS23" s="108">
        <f>VLOOKUP($A23,TOCA_current!$A$2:$AI$137,MATCH(BS$4,TOCA_current!$A$2:$AI$2,0),FALSE)</f>
        <v>2.2393000000000001E-3</v>
      </c>
      <c r="BT23" s="189">
        <f t="shared" si="12"/>
        <v>0</v>
      </c>
      <c r="BU23" s="108">
        <f>VLOOKUP($A23,TOCA_current!A19:BG154,MATCH(BU$4,TOCA_current!$A$2:$BG$2,0),FALSE)</f>
        <v>0</v>
      </c>
      <c r="BV23" s="108">
        <f t="shared" si="3"/>
        <v>0</v>
      </c>
      <c r="BW23" s="108">
        <f t="shared" si="4"/>
        <v>0</v>
      </c>
      <c r="BX23" s="179">
        <f>VLOOKUP($A23,IRD!$A$4:$G$139, 7, FALSE)</f>
        <v>0</v>
      </c>
      <c r="BY23" s="180">
        <f t="array" ref="BY23">IF($BT23=0, INDEX(LS_current!$D$4:$AY$138, MATCH('Staging Table'!$A23, LS_current!$B$4:$B$138, 0), MATCH(BY$4&amp;BY$5, LS_current!$D$2:$AY$2&amp;LS_current!$D$3:$AY$3, 0)),SUM(VLOOKUP($A23, LS_current!$B$4:$AY$138, LS_current!D$148, FALSE), VLOOKUP($A23, LS_current!$B$4:$AY$138,LS_current!AB$148, FALSE))/2)</f>
        <v>1119.8110701851992</v>
      </c>
      <c r="BZ23" s="180">
        <f t="array" ref="BZ23">IF($BT23=0, INDEX(LS_current!$D$4:$AY$138, MATCH('Staging Table'!$A23, LS_current!$B$4:$B$138, 0), MATCH(BZ$4&amp;BZ$5, LS_current!$D$2:$AY$2&amp;LS_current!$D$3:$AY$3, 0)),SUM(VLOOKUP($A23, LS_current!$B$4:$AY$138, LS_current!E$148, FALSE), VLOOKUP($A23, LS_current!$B$4:$AY$138,LS_current!AC$148, FALSE))/2)</f>
        <v>116.51466668785042</v>
      </c>
      <c r="CA23" s="180">
        <f t="array" ref="CA23">IF($BT23=0, INDEX(LS_current!$D$4:$AY$138, MATCH('Staging Table'!$A23, LS_current!$B$4:$B$138, 0), MATCH(CA$4&amp;CA$5, LS_current!$D$2:$AY$2&amp;LS_current!$D$3:$AY$3, 0)),SUM(VLOOKUP($A23, LS_current!$B$4:$AY$138, LS_current!F$148, FALSE), VLOOKUP($A23, LS_current!$B$4:$AY$138,LS_current!AD$148, FALSE))/2)</f>
        <v>-161.75047359040127</v>
      </c>
      <c r="CB23" s="180">
        <f t="array" ref="CB23">IF($BT23=0, INDEX(LS_current!$D$4:$AY$138, MATCH('Staging Table'!$A23, LS_current!$B$4:$B$138, 0), MATCH(CB$4&amp;CB$5, LS_current!$D$2:$AY$2&amp;LS_current!$D$3:$AY$3, 0)),SUM(VLOOKUP($A23, LS_current!$B$4:$AY$138, LS_current!G$148, FALSE), VLOOKUP($A23, LS_current!$B$4:$AY$138,LS_current!AE$148, FALSE))/2)</f>
        <v>21.551981601698571</v>
      </c>
      <c r="CC23" s="180">
        <f t="array" ref="CC23">IF($BT23=0, INDEX(LS_current!$D$4:$AY$138, MATCH('Staging Table'!$A23, LS_current!$B$4:$B$138, 0), MATCH(CC$4&amp;CC$5, LS_current!$D$2:$AY$2&amp;LS_current!$D$3:$AY$3, 0)),SUM(VLOOKUP($A23, LS_current!$B$4:$AY$138, LS_current!H$148, FALSE), VLOOKUP($A23, LS_current!$B$4:$AY$138,LS_current!AF$148, FALSE))/2)</f>
        <v>706.2262846572994</v>
      </c>
      <c r="CD23" s="180">
        <f t="array" ref="CD23">IF($BT23=0, INDEX(LS_current!$D$4:$AY$138, MATCH('Staging Table'!$A23, LS_current!$B$4:$B$138, 0), MATCH(CD$4&amp;CD$5, LS_current!$D$2:$AY$2&amp;LS_current!$D$3:$AY$3, 0)),SUM(VLOOKUP($A23, LS_current!$B$4:$AY$138, LS_current!I$148, FALSE), VLOOKUP($A23, LS_current!$B$4:$AY$138,LS_current!AG$148, FALSE))/2)</f>
        <v>873.11231654719995</v>
      </c>
      <c r="CE23" s="180">
        <f t="array" ref="CE23">IF($BT23=0, INDEX(LS_current!$D$4:$AY$138, MATCH('Staging Table'!$A23, LS_current!$B$4:$B$138, 0), MATCH(CE$4&amp;CE$5, LS_current!$D$2:$AY$2&amp;LS_current!$D$3:$AY$3, 0)),SUM(VLOOKUP($A23, LS_current!$B$4:$AY$138, LS_current!J$148, FALSE), VLOOKUP($A23, LS_current!$B$4:$AY$138,LS_current!AH$148, FALSE))/2)</f>
        <v>605.33254260050126</v>
      </c>
      <c r="CF23" s="180">
        <f t="array" ref="CF23">IF($BT23=0, INDEX(LS_current!$D$4:$AY$138, MATCH('Staging Table'!$A23, LS_current!$B$4:$B$138, 0), MATCH(CF$4&amp;CF$5, LS_current!$D$2:$AY$2&amp;LS_current!$D$3:$AY$3, 0)),SUM(VLOOKUP($A23, LS_current!$B$4:$AY$138, LS_current!K$148, FALSE), VLOOKUP($A23, LS_current!$B$4:$AY$138,LS_current!AI$148, FALSE))/2)</f>
        <v>1045.2955116602998</v>
      </c>
      <c r="CG23" s="180">
        <f t="array" ref="CG23">IF($BT23=0, INDEX(LS_current!$D$4:$AY$138, MATCH('Staging Table'!$A23, LS_current!$B$4:$B$138, 0), MATCH(CG$4&amp;CG$5, LS_current!$D$2:$AY$2&amp;LS_current!$D$3:$AY$3, 0)),SUM(VLOOKUP($A23, LS_current!$B$4:$AY$138, LS_current!L$148, FALSE), VLOOKUP($A23, LS_current!$B$4:$AY$138,LS_current!AJ$148, FALSE))/2)</f>
        <v>513.63622815530107</v>
      </c>
      <c r="CH23" s="180">
        <f t="array" ref="CH23">IF($BT23=0, INDEX(LS_current!$D$4:$AY$138, MATCH('Staging Table'!$A23, LS_current!$B$4:$B$138, 0), MATCH(CH$4&amp;CH$5, LS_current!$D$2:$AY$2&amp;LS_current!$D$3:$AY$3, 0)),SUM(VLOOKUP($A23, LS_current!$B$4:$AY$138, LS_current!M$148, FALSE), VLOOKUP($A23, LS_current!$B$4:$AY$138,LS_current!AK$148, FALSE))/2)</f>
        <v>806.35454321129964</v>
      </c>
      <c r="CI23" s="180">
        <f t="array" ref="CI23">IF($BT23=0, INDEX(LS_current!$D$4:$AY$138, MATCH('Staging Table'!$A23, LS_current!$B$4:$B$138, 0), MATCH(CI$4&amp;CI$5, LS_current!$D$2:$AY$2&amp;LS_current!$D$3:$AY$3, 0)),SUM(VLOOKUP($A23, LS_current!$B$4:$AY$138, LS_current!N$148, FALSE), VLOOKUP($A23, LS_current!$B$4:$AY$138,LS_current!AL$148, FALSE))/2)</f>
        <v>-98.561869740899965</v>
      </c>
      <c r="CJ23" s="180">
        <f t="array" ref="CJ23">IF($BT23=0, INDEX(LS_current!$D$4:$AY$138, MATCH('Staging Table'!$A23, LS_current!$B$4:$B$138, 0), MATCH(CJ$4&amp;CJ$5, LS_current!$D$2:$AY$2&amp;LS_current!$D$3:$AY$3, 0)),SUM(VLOOKUP($A23, LS_current!$B$4:$AY$138, LS_current!O$148, FALSE), VLOOKUP($A23, LS_current!$B$4:$AY$138,LS_current!AM$148, FALSE))/2)</f>
        <v>-306.50628747540031</v>
      </c>
      <c r="CK23" s="180">
        <f t="array" ref="CK23">IF($BT23=0, INDEX(LS_current!$D$4:$AY$138, MATCH('Staging Table'!$A23, LS_current!$B$4:$B$138, 0), MATCH(CK$4&amp;CK$5, LS_current!$D$2:$AY$2&amp;LS_current!$D$3:$AY$3, 0)),SUM(VLOOKUP($A23, LS_current!$B$4:$AY$138, LS_current!P$148, FALSE), VLOOKUP($A23, LS_current!$B$4:$AY$138,LS_current!AN$148, FALSE))/2)</f>
        <v>675.05326384425098</v>
      </c>
      <c r="CL23" s="180">
        <f t="array" ref="CL23">IF($BT23=0, INDEX(LS_current!$D$4:$AY$138, MATCH('Staging Table'!$A23, LS_current!$B$4:$B$138, 0), MATCH(CL$4&amp;CL$5, LS_current!$D$2:$AY$2&amp;LS_current!$D$3:$AY$3, 0)),SUM(VLOOKUP($A23, LS_current!$B$4:$AY$138, LS_current!Q$148, FALSE), VLOOKUP($A23, LS_current!$B$4:$AY$138,LS_current!AO$148, FALSE))/2)</f>
        <v>132.53399510322515</v>
      </c>
      <c r="CM23" s="180">
        <f t="array" ref="CM23">IF($BT23=0, INDEX(LS_current!$D$4:$AY$138, MATCH('Staging Table'!$A23, LS_current!$B$4:$B$138, 0), MATCH(CM$4&amp;CM$5, LS_current!$D$2:$AY$2&amp;LS_current!$D$3:$AY$3, 0)),SUM(VLOOKUP($A23, LS_current!$B$4:$AY$138, LS_current!R$148, FALSE), VLOOKUP($A23, LS_current!$B$4:$AY$138,LS_current!AP$148, FALSE))/2)</f>
        <v>-1244.4554677264005</v>
      </c>
      <c r="CN23" s="180">
        <f t="array" ref="CN23">IF($BT23=0, INDEX(LS_current!$D$4:$AY$138, MATCH('Staging Table'!$A23, LS_current!$B$4:$B$138, 0), MATCH(CN$4&amp;CN$5, LS_current!$D$2:$AY$2&amp;LS_current!$D$3:$AY$3, 0)),SUM(VLOOKUP($A23, LS_current!$B$4:$AY$138, LS_current!S$148, FALSE), VLOOKUP($A23, LS_current!$B$4:$AY$138,LS_current!AQ$148, FALSE))/2)</f>
        <v>-1066.5289666290491</v>
      </c>
      <c r="CO23" s="180">
        <f t="array" ref="CO23">IF($BT23=0, INDEX(LS_current!$D$4:$AY$138, MATCH('Staging Table'!$A23, LS_current!$B$4:$B$138, 0), MATCH(CO$4&amp;CO$5, LS_current!$D$2:$AY$2&amp;LS_current!$D$3:$AY$3, 0)),SUM(VLOOKUP($A23, LS_current!$B$4:$AY$138, LS_current!T$148, FALSE), VLOOKUP($A23, LS_current!$B$4:$AY$138,LS_current!AR$148, FALSE))/2)</f>
        <v>-1686.0467486917996</v>
      </c>
      <c r="CP23" s="180">
        <f t="array" ref="CP23">IF($BT23=0, INDEX(LS_current!$D$4:$AY$138, MATCH('Staging Table'!$A23, LS_current!$B$4:$B$138, 0), MATCH(CP$4&amp;CP$5, LS_current!$D$2:$AY$2&amp;LS_current!$D$3:$AY$3, 0)),SUM(VLOOKUP($A23, LS_current!$B$4:$AY$138, LS_current!U$148, FALSE), VLOOKUP($A23, LS_current!$B$4:$AY$138,LS_current!AS$148, FALSE))/2)</f>
        <v>-1271.6626295418509</v>
      </c>
      <c r="CQ23" s="180">
        <f t="array" ref="CQ23">IF($BT23=0, INDEX(LS_current!$D$4:$AY$138, MATCH('Staging Table'!$A23, LS_current!$B$4:$B$138, 0), MATCH(CQ$4&amp;CQ$5, LS_current!$D$2:$AY$2&amp;LS_current!$D$3:$AY$3, 0)),SUM(VLOOKUP($A23, LS_current!$B$4:$AY$138, LS_current!V$148, FALSE), VLOOKUP($A23, LS_current!$B$4:$AY$138,LS_current!AT$148, FALSE))/2)</f>
        <v>-345.05322912520023</v>
      </c>
      <c r="CR23" s="180">
        <f t="array" ref="CR23">IF($BT23=0, INDEX(LS_current!$D$4:$AY$138, MATCH('Staging Table'!$A23, LS_current!$B$4:$B$138, 0), MATCH(CR$4&amp;CR$5, LS_current!$D$2:$AY$2&amp;LS_current!$D$3:$AY$3, 0)),SUM(VLOOKUP($A23, LS_current!$B$4:$AY$138, LS_current!W$148, FALSE), VLOOKUP($A23, LS_current!$B$4:$AY$138,LS_current!AU$148, FALSE))/2)</f>
        <v>0.45762023924999085</v>
      </c>
      <c r="CS23" s="180">
        <f t="array" ref="CS23">IF($BT23=0, INDEX(LS_current!$D$4:$AY$138, MATCH('Staging Table'!$A23, LS_current!$B$4:$B$138, 0), MATCH(CS$4&amp;CS$5, LS_current!$D$2:$AY$2&amp;LS_current!$D$3:$AY$3, 0)),SUM(VLOOKUP($A23, LS_current!$B$4:$AY$138, LS_current!X$148, FALSE), VLOOKUP($A23, LS_current!$B$4:$AY$138,LS_current!AV$148, FALSE))/2)</f>
        <v>44.698818960049721</v>
      </c>
      <c r="CT23" s="180">
        <f t="array" ref="CT23">IF($BT23=0, INDEX(LS_current!$D$4:$AY$138, MATCH('Staging Table'!$A23, LS_current!$B$4:$B$138, 0), MATCH(CT$4&amp;CT$5, LS_current!$D$2:$AY$2&amp;LS_current!$D$3:$AY$3, 0)),SUM(VLOOKUP($A23, LS_current!$B$4:$AY$138, LS_current!Y$148, FALSE), VLOOKUP($A23, LS_current!$B$4:$AY$138,LS_current!AW$148, FALSE))/2)</f>
        <v>-182.0654822081051</v>
      </c>
      <c r="CU23" s="180">
        <f t="array" ref="CU23">IF($BT23=0, INDEX(LS_current!$D$4:$AY$138, MATCH('Staging Table'!$A23, LS_current!$B$4:$B$138, 0), MATCH(CU$4&amp;CU$5, LS_current!$D$2:$AY$2&amp;LS_current!$D$3:$AY$3, 0)),SUM(VLOOKUP($A23, LS_current!$B$4:$AY$138, LS_current!Z$148, FALSE), VLOOKUP($A23, LS_current!$B$4:$AY$138,LS_current!AX$148, FALSE))/2)</f>
        <v>66.735723031799353</v>
      </c>
      <c r="CV23" s="180">
        <f t="array" ref="CV23">IF($BT23=0, INDEX(LS_current!$D$4:$AY$138, MATCH('Staging Table'!$A23, LS_current!$B$4:$B$138, 0), MATCH(CV$4&amp;CV$5, LS_current!$D$2:$AY$2&amp;LS_current!$D$3:$AY$3, 0)),SUM(VLOOKUP($A23, LS_current!$B$4:$AY$138, LS_current!AA$148, FALSE), VLOOKUP($A23, LS_current!$B$4:$AY$138,LS_current!AY$148, FALSE))/2)</f>
        <v>-367.69843458720061</v>
      </c>
      <c r="CW23" s="182">
        <f t="array" ref="CW23">INDEX(Demand_current!$D$4:$AY$138, MATCH($A23, Demand_current!$B$4:$B$138, 0), MATCH(CW$4&amp;CW$5,Demand_current!$D$2:$AY$2&amp;Demand_current!$D$3:$AY$3, 0))/1000</f>
        <v>3.2825120192307704</v>
      </c>
      <c r="CX23" s="182">
        <f t="array" ref="CX23">INDEX(Demand_current!$D$4:$AY$138, MATCH($A23, Demand_current!$B$4:$B$138, 0), MATCH(CX$4&amp;CX$5,Demand_current!$D$2:$AY$2&amp;Demand_current!$D$3:$AY$3, 0))/1000</f>
        <v>5.0339600000000022</v>
      </c>
      <c r="CY23" s="182">
        <f t="array" ref="CY23">INDEX(Demand_current!$D$4:$AY$138, MATCH($A23, Demand_current!$B$4:$B$138, 0), MATCH(CY$4&amp;CY$5,Demand_current!$D$2:$AY$2&amp;Demand_current!$D$3:$AY$3, 0))/1000</f>
        <v>3.2668750000000029</v>
      </c>
      <c r="CZ23" s="182">
        <f t="array" ref="CZ23">INDEX(Demand_current!$D$4:$AY$138, MATCH($A23, Demand_current!$B$4:$B$138, 0), MATCH(CZ$4&amp;CZ$5,Demand_current!$D$2:$AY$2&amp;Demand_current!$D$3:$AY$3, 0))/1000</f>
        <v>6.2328966346153827</v>
      </c>
      <c r="DA23" s="182">
        <f t="array" ref="DA23">INDEX(Demand_current!$D$4:$AY$138, MATCH($A23, Demand_current!$B$4:$B$138, 0), MATCH(DA$4&amp;DA$5,Demand_current!$D$2:$AY$2&amp;Demand_current!$D$3:$AY$3, 0))/1000</f>
        <v>4.1927075000000027</v>
      </c>
      <c r="DB23" s="182">
        <f t="array" ref="DB23">INDEX(Demand_current!$D$4:$AY$138, MATCH($A23, Demand_current!$B$4:$B$138, 0), MATCH(DB$4&amp;DB$5,Demand_current!$D$2:$AY$2&amp;Demand_current!$D$3:$AY$3, 0))/1000</f>
        <v>4.1512451923076901</v>
      </c>
      <c r="DC23" s="182">
        <f t="array" ref="DC23">INDEX(Demand_current!$D$4:$AY$138, MATCH($A23, Demand_current!$B$4:$B$138, 0), MATCH(DC$4&amp;DC$5,Demand_current!$D$2:$AY$2&amp;Demand_current!$D$3:$AY$3, 0))/1000</f>
        <v>5.4987379807692331</v>
      </c>
      <c r="DD23" s="182">
        <f t="array" ref="DD23">INDEX(Demand_current!$D$4:$AY$138, MATCH($A23, Demand_current!$B$4:$B$138, 0), MATCH(DD$4&amp;DD$5,Demand_current!$D$2:$AY$2&amp;Demand_current!$D$3:$AY$3, 0))/1000</f>
        <v>4.4742163461538471</v>
      </c>
      <c r="DE23" s="182">
        <f t="array" ref="DE23">INDEX(Demand_current!$D$4:$AY$138, MATCH($A23, Demand_current!$B$4:$B$138, 0), MATCH(DE$4&amp;DE$5,Demand_current!$D$2:$AY$2&amp;Demand_current!$D$3:$AY$3, 0))/1000</f>
        <v>3.1453025000000006</v>
      </c>
      <c r="DF23" s="182">
        <f t="array" ref="DF23">INDEX(Demand_current!$D$4:$AY$138, MATCH($A23, Demand_current!$B$4:$B$138, 0), MATCH(DF$4&amp;DF$5,Demand_current!$D$2:$AY$2&amp;Demand_current!$D$3:$AY$3, 0))/1000</f>
        <v>5.6168293269230762</v>
      </c>
      <c r="DG23" s="182">
        <f t="array" ref="DG23">INDEX(Demand_current!$D$4:$AY$138, MATCH($A23, Demand_current!$B$4:$B$138, 0), MATCH(DG$4&amp;DG$5,Demand_current!$D$2:$AY$2&amp;Demand_current!$D$3:$AY$3, 0))/1000</f>
        <v>4.6550277777777742</v>
      </c>
      <c r="DH23" s="182">
        <f t="array" ref="DH23">INDEX(Demand_current!$D$4:$AY$138, MATCH($A23, Demand_current!$B$4:$B$138, 0), MATCH(DH$4&amp;DH$5,Demand_current!$D$2:$AY$2&amp;Demand_current!$D$3:$AY$3, 0))/1000</f>
        <v>4.8081692708333348</v>
      </c>
      <c r="DI23" s="180">
        <f>$BS23*(VLOOKUP(DI$4, Rates_current!$G$6:$Q$29, 10, FALSE)+VLOOKUP(DI$4, Rates_current!$G$6:$Q$29, 11, FALSE))</f>
        <v>9447.1672631269503</v>
      </c>
      <c r="DJ23" s="180">
        <f>$BS23*(VLOOKUP(DJ$4, Rates_current!$G$6:$Q$29, 10, FALSE)+VLOOKUP(DJ$4, Rates_current!$G$6:$Q$29, 11, FALSE))</f>
        <v>12048.253491988702</v>
      </c>
      <c r="DK23" s="180">
        <f>$BS23*(VLOOKUP(DK$4, Rates_current!$G$6:$Q$29, 10, FALSE)+VLOOKUP(DK$4, Rates_current!$G$6:$Q$29, 11, FALSE))</f>
        <v>13002.449398795501</v>
      </c>
      <c r="DL23" s="180">
        <f>$BS23*(VLOOKUP(DL$4, Rates_current!$G$6:$Q$29, 10, FALSE)+VLOOKUP(DL$4, Rates_current!$G$6:$Q$29, 11, FALSE))</f>
        <v>13511.554945739201</v>
      </c>
      <c r="DM23" s="180">
        <f>$BS23*(VLOOKUP(DM$4, Rates_current!$G$6:$Q$29, 10, FALSE)+VLOOKUP(DM$4, Rates_current!$G$6:$Q$29, 11, FALSE))</f>
        <v>11621.7382286334</v>
      </c>
      <c r="DN23" s="180">
        <f>$BS23*(VLOOKUP(DN$4, Rates_current!$G$6:$Q$29, 10, FALSE)+VLOOKUP(DN$4, Rates_current!$G$6:$Q$29, 11, FALSE))</f>
        <v>12688.637157216301</v>
      </c>
      <c r="DO23" s="180">
        <f>$BS23*(VLOOKUP(DO$4, Rates_current!$G$6:$Q$29, 10, FALSE)+VLOOKUP(DO$4, Rates_current!$G$6:$Q$29, 11, FALSE))</f>
        <v>10015.540741052524</v>
      </c>
      <c r="DP23" s="180">
        <f>$BS23*(VLOOKUP(DP$4, Rates_current!$G$6:$Q$29, 10, FALSE)+VLOOKUP(DP$4, Rates_current!$G$6:$Q$29, 11, FALSE))</f>
        <v>12425.620434355451</v>
      </c>
      <c r="DQ23" s="180">
        <f>$BS23*(VLOOKUP(DQ$4, Rates_current!$G$6:$Q$29, 10, FALSE)+VLOOKUP(DQ$4, Rates_current!$G$6:$Q$29, 11, FALSE))</f>
        <v>12695.22537823365</v>
      </c>
      <c r="DR23" s="180">
        <f>$BS23*(VLOOKUP(DR$4, Rates_current!$G$6:$Q$29, 10, FALSE)+VLOOKUP(DR$4, Rates_current!$G$6:$Q$29, 11, FALSE))</f>
        <v>11021.28460888595</v>
      </c>
      <c r="DS23" s="180">
        <f>$BS23*(VLOOKUP(DS$4, Rates_current!$G$6:$Q$29, 10, FALSE)+VLOOKUP(DS$4, Rates_current!$G$6:$Q$29, 11, FALSE))</f>
        <v>10654.652663248056</v>
      </c>
      <c r="DT23" s="180">
        <f>$BS23*(VLOOKUP(DT$4, Rates_current!$G$6:$Q$29, 10, FALSE)+VLOOKUP(DT$4, Rates_current!$G$6:$Q$29, 11, FALSE))</f>
        <v>9804.3437115554007</v>
      </c>
      <c r="DU23" s="402">
        <f>IF(D23=0,IF(C23=0,MAX(0,DW23 - (VLOOKUP($A23,TOCA_current!$A$2:$AI$137,MATCH("RHWM 2024",TOCA_current!$A$2:$AI$2,0),FALSE)*$BS$2)), 0),0)</f>
        <v>0</v>
      </c>
      <c r="DV23" s="403">
        <f>MIN(VLOOKUP($A23,TOCA_current!$A$2:$AI$137,MATCH("TRL - NLSL - Existing Resource "&amp;$BS$1,TOCA_current!$A$2:$AI$2,0),FALSE)*$BS$2, VLOOKUP($A23,TOCA_current!$A$2:$AI$137,MATCH("RHWM 2024",TOCA_current!$A$2:$AI$2,0),FALSE)*$BS$2)</f>
        <v>138936.52799999999</v>
      </c>
      <c r="DW23" s="403">
        <f>SUM(BY23:CV23)+(BS23*RT1SC!$C$4*$BS$2)</f>
        <v>138933.45363685692</v>
      </c>
      <c r="DX23" s="403">
        <f>VLOOKUP($A23,TOCA_current!$A$2:$AI$137,MATCH("Above RHWM Not Served with LS "&amp;$BS$1,TOCA_current!$A$2:$AI$2,0),FALSE)*$BS$2</f>
        <v>14326.704000000002</v>
      </c>
      <c r="DY23" s="403">
        <f t="shared" si="13"/>
        <v>-3.0743631430668756</v>
      </c>
      <c r="DZ23" s="403">
        <f>(VLOOKUP($A23,TOCA_current!$A$2:$AI$137,MATCH("RHWM 2024",TOCA_current!$A$2:$AI$2,0),FALSE)*$BS$2) - $DV23</f>
        <v>0</v>
      </c>
      <c r="EA23" s="403">
        <f t="shared" si="14"/>
        <v>0</v>
      </c>
      <c r="EB23" s="403">
        <f t="shared" si="15"/>
        <v>0</v>
      </c>
      <c r="EC23" s="403">
        <f t="shared" si="16"/>
        <v>0</v>
      </c>
      <c r="ED23" s="403">
        <f t="shared" si="17"/>
        <v>0</v>
      </c>
    </row>
    <row r="24" spans="1:134">
      <c r="A24" s="123">
        <v>10068</v>
      </c>
      <c r="B24" s="124" t="s">
        <v>25</v>
      </c>
      <c r="C24" s="232">
        <f>VLOOKUP(A24, TOCA_current!$A$3:$D$137, 4, FALSE)</f>
        <v>0</v>
      </c>
      <c r="D24" s="191">
        <v>0</v>
      </c>
      <c r="E24" s="107">
        <f>VLOOKUP($A24,TOCA_previous!$A$2:$AI$137,MATCH(E$4,TOCA_previous!$A$2:$AI$2,0),FALSE)</f>
        <v>3.8430000000000002E-4</v>
      </c>
      <c r="F24" s="108">
        <f>VLOOKUP($A24,TOCA_previous!$A$2:$AI$137,MATCH(F$4,TOCA_previous!$A$2:$AI$2,0),FALSE)</f>
        <v>3.8430000000000002E-4</v>
      </c>
      <c r="G24" s="108">
        <f t="shared" si="5"/>
        <v>0</v>
      </c>
      <c r="H24" s="108">
        <f>VLOOKUP($A24,TOCA_previous!$A$2:$AI$137,MATCH(H$4,TOCA_previous!$A$2:$AI$2,0),FALSE)</f>
        <v>0</v>
      </c>
      <c r="I24" s="108">
        <f t="shared" si="6"/>
        <v>0</v>
      </c>
      <c r="J24" s="108">
        <f t="shared" si="7"/>
        <v>0</v>
      </c>
      <c r="K24" s="179">
        <f>VLOOKUP(A24, IRD!$A$5:$C$139, 3, FALSE)</f>
        <v>0</v>
      </c>
      <c r="L24" s="180">
        <f t="array" ref="L24">IF($G24=0, INDEX(LS_previous!$D$4:$AY$138, MATCH('Staging Table'!$A24, LS_previous!$B$4:$B$138, 0), MATCH(L$4&amp;L$5, LS_previous!$D$2:$AY$2&amp;LS_previous!$D$3:$AY$3, 0)),SUM(VLOOKUP($A24, LS_previous!$B$4:$AY$138, LS_previous!D$149, FALSE), VLOOKUP('Staging Table'!$A24, LS_previous!$B$4:$AY$138,LS_previous!AB$149, FALSE))/2)</f>
        <v>-43.491698660992597</v>
      </c>
      <c r="M24" s="180">
        <f t="array" ref="M24">IF($G24=0, INDEX(LS_previous!$D$4:$AY$138, MATCH('Staging Table'!$A24, LS_previous!$B$4:$B$138, 0), MATCH(M$4&amp;M$5, LS_previous!$D$2:$AY$2&amp;LS_previous!$D$3:$AY$3, 0)),SUM(VLOOKUP($A24, LS_previous!$B$4:$AY$138, LS_previous!E$149, FALSE), VLOOKUP('Staging Table'!$A24, LS_previous!$B$4:$AY$138,LS_previous!AC$149, FALSE))/2)</f>
        <v>3.3885437617716434</v>
      </c>
      <c r="N24" s="180">
        <f t="array" ref="N24">IF($G24=0, INDEX(LS_previous!$D$4:$AY$138, MATCH('Staging Table'!$A24, LS_previous!$B$4:$B$138, 0), MATCH(N$4&amp;N$5, LS_previous!$D$2:$AY$2&amp;LS_previous!$D$3:$AY$3, 0)),SUM(VLOOKUP($A24, LS_previous!$B$4:$AY$138, LS_previous!F$149, FALSE), VLOOKUP('Staging Table'!$A24, LS_previous!$B$4:$AY$138,LS_previous!AD$149, FALSE))/2)</f>
        <v>-176.84732904447878</v>
      </c>
      <c r="O24" s="180">
        <f t="array" ref="O24">IF($G24=0, INDEX(LS_previous!$D$4:$AY$138, MATCH('Staging Table'!$A24, LS_previous!$B$4:$B$138, 0), MATCH(O$4&amp;O$5, LS_previous!$D$2:$AY$2&amp;LS_previous!$D$3:$AY$3, 0)),SUM(VLOOKUP($A24, LS_previous!$B$4:$AY$138, LS_previous!G$149, FALSE), VLOOKUP('Staging Table'!$A24, LS_previous!$B$4:$AY$138,LS_previous!AE$149, FALSE))/2)</f>
        <v>-63.455799583490375</v>
      </c>
      <c r="P24" s="180">
        <f t="array" ref="P24">IF($G24=0, INDEX(LS_previous!$D$4:$AY$138, MATCH('Staging Table'!$A24, LS_previous!$B$4:$B$138, 0), MATCH(P$4&amp;P$5, LS_previous!$D$2:$AY$2&amp;LS_previous!$D$3:$AY$3, 0)),SUM(VLOOKUP($A24, LS_previous!$B$4:$AY$138, LS_previous!H$149, FALSE), VLOOKUP('Staging Table'!$A24, LS_previous!$B$4:$AY$138,LS_previous!AF$149, FALSE))/2)</f>
        <v>238.66670767875257</v>
      </c>
      <c r="Q24" s="180">
        <f t="array" ref="Q24">IF($G24=0, INDEX(LS_previous!$D$4:$AY$138, MATCH('Staging Table'!$A24, LS_previous!$B$4:$B$138, 0), MATCH(Q$4&amp;Q$5, LS_previous!$D$2:$AY$2&amp;LS_previous!$D$3:$AY$3, 0)),SUM(VLOOKUP($A24, LS_previous!$B$4:$AY$138, LS_previous!I$149, FALSE), VLOOKUP('Staging Table'!$A24, LS_previous!$B$4:$AY$138,LS_previous!AG$149, FALSE))/2)</f>
        <v>87.090593300914179</v>
      </c>
      <c r="R24" s="180">
        <f t="array" ref="R24">IF($G24=0, INDEX(LS_previous!$D$4:$AY$138, MATCH('Staging Table'!$A24, LS_previous!$B$4:$B$138, 0), MATCH(R$4&amp;R$5, LS_previous!$D$2:$AY$2&amp;LS_previous!$D$3:$AY$3, 0)),SUM(VLOOKUP($A24, LS_previous!$B$4:$AY$138, LS_previous!J$149, FALSE), VLOOKUP('Staging Table'!$A24, LS_previous!$B$4:$AY$138,LS_previous!AH$149, FALSE))/2)</f>
        <v>462.76391160467938</v>
      </c>
      <c r="S24" s="180">
        <f t="array" ref="S24">IF($G24=0, INDEX(LS_previous!$D$4:$AY$138, MATCH('Staging Table'!$A24, LS_previous!$B$4:$B$138, 0), MATCH(S$4&amp;S$5, LS_previous!$D$2:$AY$2&amp;LS_previous!$D$3:$AY$3, 0)),SUM(VLOOKUP($A24, LS_previous!$B$4:$AY$138, LS_previous!K$149, FALSE), VLOOKUP('Staging Table'!$A24, LS_previous!$B$4:$AY$138,LS_previous!AI$149, FALSE))/2)</f>
        <v>234.64674997848056</v>
      </c>
      <c r="T24" s="180">
        <f t="array" ref="T24">IF($G24=0, INDEX(LS_previous!$D$4:$AY$138, MATCH('Staging Table'!$A24, LS_previous!$B$4:$B$138, 0), MATCH(T$4&amp;T$5, LS_previous!$D$2:$AY$2&amp;LS_previous!$D$3:$AY$3, 0)),SUM(VLOOKUP($A24, LS_previous!$B$4:$AY$138, LS_previous!L$149, FALSE), VLOOKUP('Staging Table'!$A24, LS_previous!$B$4:$AY$138,LS_previous!AJ$149, FALSE))/2)</f>
        <v>390.9629862449093</v>
      </c>
      <c r="U24" s="180">
        <f t="array" ref="U24">IF($G24=0, INDEX(LS_previous!$D$4:$AY$138, MATCH('Staging Table'!$A24, LS_previous!$B$4:$B$138, 0), MATCH(U$4&amp;U$5, LS_previous!$D$2:$AY$2&amp;LS_previous!$D$3:$AY$3, 0)),SUM(VLOOKUP($A24, LS_previous!$B$4:$AY$138, LS_previous!M$149, FALSE), VLOOKUP('Staging Table'!$A24, LS_previous!$B$4:$AY$138,LS_previous!AK$149, FALSE))/2)</f>
        <v>158.42888695473744</v>
      </c>
      <c r="V24" s="180">
        <f t="array" ref="V24">IF($G24=0, INDEX(LS_previous!$D$4:$AY$138, MATCH('Staging Table'!$A24, LS_previous!$B$4:$B$138, 0), MATCH(V$4&amp;V$5, LS_previous!$D$2:$AY$2&amp;LS_previous!$D$3:$AY$3, 0)),SUM(VLOOKUP($A24, LS_previous!$B$4:$AY$138, LS_previous!N$149, FALSE), VLOOKUP('Staging Table'!$A24, LS_previous!$B$4:$AY$138,LS_previous!AL$149, FALSE))/2)</f>
        <v>92.357175720990654</v>
      </c>
      <c r="W24" s="180">
        <f t="array" ref="W24">IF($G24=0, INDEX(LS_previous!$D$4:$AY$138, MATCH('Staging Table'!$A24, LS_previous!$B$4:$B$138, 0), MATCH(W$4&amp;W$5, LS_previous!$D$2:$AY$2&amp;LS_previous!$D$3:$AY$3, 0)),SUM(VLOOKUP($A24, LS_previous!$B$4:$AY$138, LS_previous!O$149, FALSE), VLOOKUP('Staging Table'!$A24, LS_previous!$B$4:$AY$138,LS_previous!AM$149, FALSE))/2)</f>
        <v>60.329633201362753</v>
      </c>
      <c r="X24" s="180">
        <f t="array" ref="X24">IF($G24=0, INDEX(LS_previous!$D$4:$AY$138, MATCH('Staging Table'!$A24, LS_previous!$B$4:$B$138, 0), MATCH(X$4&amp;X$5, LS_previous!$D$2:$AY$2&amp;LS_previous!$D$3:$AY$3, 0)),SUM(VLOOKUP($A24, LS_previous!$B$4:$AY$138, LS_previous!P$149, FALSE), VLOOKUP('Staging Table'!$A24, LS_previous!$B$4:$AY$138,LS_previous!AN$149, FALSE))/2)</f>
        <v>151.60637102583064</v>
      </c>
      <c r="Y24" s="180">
        <f t="array" ref="Y24">IF($G24=0, INDEX(LS_previous!$D$4:$AY$138, MATCH('Staging Table'!$A24, LS_previous!$B$4:$B$138, 0), MATCH(Y$4&amp;Y$5, LS_previous!$D$2:$AY$2&amp;LS_previous!$D$3:$AY$3, 0)),SUM(VLOOKUP($A24, LS_previous!$B$4:$AY$138, LS_previous!Q$149, FALSE), VLOOKUP('Staging Table'!$A24, LS_previous!$B$4:$AY$138,LS_previous!AO$149, FALSE))/2)</f>
        <v>83.016872700485351</v>
      </c>
      <c r="Z24" s="180">
        <f t="array" ref="Z24">IF($G24=0, INDEX(LS_previous!$D$4:$AY$138, MATCH('Staging Table'!$A24, LS_previous!$B$4:$B$138, 0), MATCH(Z$4&amp;Z$5, LS_previous!$D$2:$AY$2&amp;LS_previous!$D$3:$AY$3, 0)),SUM(VLOOKUP($A24, LS_previous!$B$4:$AY$138, LS_previous!R$149, FALSE), VLOOKUP('Staging Table'!$A24, LS_previous!$B$4:$AY$138,LS_previous!AP$149, FALSE))/2)</f>
        <v>-446.81222776796687</v>
      </c>
      <c r="AA24" s="180">
        <f t="array" ref="AA24">IF($G24=0, INDEX(LS_previous!$D$4:$AY$138, MATCH('Staging Table'!$A24, LS_previous!$B$4:$B$138, 0), MATCH(AA$4&amp;AA$5, LS_previous!$D$2:$AY$2&amp;LS_previous!$D$3:$AY$3, 0)),SUM(VLOOKUP($A24, LS_previous!$B$4:$AY$138, LS_previous!S$149, FALSE), VLOOKUP('Staging Table'!$A24, LS_previous!$B$4:$AY$138,LS_previous!AQ$149, FALSE))/2)</f>
        <v>-84.49351541912165</v>
      </c>
      <c r="AB24" s="180">
        <f t="array" ref="AB24">IF($G24=0, INDEX(LS_previous!$D$4:$AY$138, MATCH('Staging Table'!$A24, LS_previous!$B$4:$B$138, 0), MATCH(AB$4&amp;AB$5, LS_previous!$D$2:$AY$2&amp;LS_previous!$D$3:$AY$3, 0)),SUM(VLOOKUP($A24, LS_previous!$B$4:$AY$138, LS_previous!T$149, FALSE), VLOOKUP('Staging Table'!$A24, LS_previous!$B$4:$AY$138,LS_previous!AR$149, FALSE))/2)</f>
        <v>-574.27611843554041</v>
      </c>
      <c r="AC24" s="180">
        <f t="array" ref="AC24">IF($G24=0, INDEX(LS_previous!$D$4:$AY$138, MATCH('Staging Table'!$A24, LS_previous!$B$4:$B$138, 0), MATCH(AC$4&amp;AC$5, LS_previous!$D$2:$AY$2&amp;LS_previous!$D$3:$AY$3, 0)),SUM(VLOOKUP($A24, LS_previous!$B$4:$AY$138, LS_previous!U$149, FALSE), VLOOKUP('Staging Table'!$A24, LS_previous!$B$4:$AY$138,LS_previous!AS$149, FALSE))/2)</f>
        <v>-68.001773697747808</v>
      </c>
      <c r="AD24" s="180">
        <f t="array" ref="AD24">IF($G24=0, INDEX(LS_previous!$D$4:$AY$138, MATCH('Staging Table'!$A24, LS_previous!$B$4:$B$138, 0), MATCH(AD$4&amp;AD$5, LS_previous!$D$2:$AY$2&amp;LS_previous!$D$3:$AY$3, 0)),SUM(VLOOKUP($A24, LS_previous!$B$4:$AY$138, LS_previous!V$149, FALSE), VLOOKUP('Staging Table'!$A24, LS_previous!$B$4:$AY$138,LS_previous!AT$149, FALSE))/2)</f>
        <v>-292.05589686470466</v>
      </c>
      <c r="AE24" s="180">
        <f t="array" ref="AE24">IF($G24=0, INDEX(LS_previous!$D$4:$AY$138, MATCH('Staging Table'!$A24, LS_previous!$B$4:$B$138, 0), MATCH(AE$4&amp;AE$5, LS_previous!$D$2:$AY$2&amp;LS_previous!$D$3:$AY$3, 0)),SUM(VLOOKUP($A24, LS_previous!$B$4:$AY$138, LS_previous!W$149, FALSE), VLOOKUP('Staging Table'!$A24, LS_previous!$B$4:$AY$138,LS_previous!AU$149, FALSE))/2)</f>
        <v>-28.803633134614529</v>
      </c>
      <c r="AF24" s="180">
        <f t="array" ref="AF24">IF($G24=0, INDEX(LS_previous!$D$4:$AY$138, MATCH('Staging Table'!$A24, LS_previous!$B$4:$B$138, 0), MATCH(AF$4&amp;AF$5, LS_previous!$D$2:$AY$2&amp;LS_previous!$D$3:$AY$3, 0)),SUM(VLOOKUP($A24, LS_previous!$B$4:$AY$138, LS_previous!X$149, FALSE), VLOOKUP('Staging Table'!$A24, LS_previous!$B$4:$AY$138,LS_previous!AV$149, FALSE))/2)</f>
        <v>-271.48109276479636</v>
      </c>
      <c r="AG24" s="180">
        <f t="array" ref="AG24">IF($G24=0, INDEX(LS_previous!$D$4:$AY$138, MATCH('Staging Table'!$A24, LS_previous!$B$4:$B$138, 0), MATCH(AG$4&amp;AG$5, LS_previous!$D$2:$AY$2&amp;LS_previous!$D$3:$AY$3, 0)),SUM(VLOOKUP($A24, LS_previous!$B$4:$AY$138, LS_previous!Y$149, FALSE), VLOOKUP('Staging Table'!$A24, LS_previous!$B$4:$AY$138,LS_previous!AW$149, FALSE))/2)</f>
        <v>-57.858197864490762</v>
      </c>
      <c r="AH24" s="180">
        <f t="array" ref="AH24">IF($G24=0, INDEX(LS_previous!$D$4:$AY$138, MATCH('Staging Table'!$A24, LS_previous!$B$4:$B$138, 0), MATCH(AH$4&amp;AH$5, LS_previous!$D$2:$AY$2&amp;LS_previous!$D$3:$AY$3, 0)),SUM(VLOOKUP($A24, LS_previous!$B$4:$AY$138, LS_previous!Z$149, FALSE), VLOOKUP('Staging Table'!$A24, LS_previous!$B$4:$AY$138,LS_previous!AX$149, FALSE))/2)</f>
        <v>-281.13194310984625</v>
      </c>
      <c r="AI24" s="180">
        <f t="array" ref="AI24">IF($G24=0, INDEX(LS_previous!$D$4:$AY$138, MATCH('Staging Table'!$A24, LS_previous!$B$4:$B$138, 0), MATCH(AI$4&amp;AI$5, LS_previous!$D$2:$AY$2&amp;LS_previous!$D$3:$AY$3, 0)),SUM(VLOOKUP($A24, LS_previous!$B$4:$AY$138, LS_previous!AA$149, FALSE), VLOOKUP('Staging Table'!$A24, LS_previous!$B$4:$AY$138,LS_previous!AY$149, FALSE))/2)</f>
        <v>-99.540055772810774</v>
      </c>
      <c r="AJ24" s="298">
        <f t="array" ref="AJ24">INDEX(Demand_previous!$D$4:$AY$138, MATCH('Staging Table'!$A24, Demand_previous!$B$4:$B$138, 0), MATCH(AJ$4&amp;AJ$5,Demand_previous!$D$2:$AY$2&amp;Demand_previous!$D$3:$AY$3, 0))/1000</f>
        <v>0</v>
      </c>
      <c r="AK24" s="298">
        <f t="array" ref="AK24">INDEX(Demand_previous!$D$4:$AY$138, MATCH('Staging Table'!$A24, Demand_previous!$B$4:$B$138, 0), MATCH(AK$4&amp;AK$5,Demand_previous!$D$2:$AY$2&amp;Demand_previous!$D$3:$AY$3, 0))/1000</f>
        <v>0.25803749999999948</v>
      </c>
      <c r="AL24" s="298">
        <f t="array" ref="AL24">INDEX(Demand_previous!$D$4:$AY$138, MATCH('Staging Table'!$A24, Demand_previous!$B$4:$B$138, 0), MATCH(AL$4&amp;AL$5,Demand_previous!$D$2:$AY$2&amp;Demand_previous!$D$3:$AY$3, 0))/1000</f>
        <v>0.43807451923076923</v>
      </c>
      <c r="AM24" s="298">
        <f t="array" ref="AM24">INDEX(Demand_previous!$D$4:$AY$138, MATCH('Staging Table'!$A24, Demand_previous!$B$4:$B$138, 0), MATCH(AM$4&amp;AM$5,Demand_previous!$D$2:$AY$2&amp;Demand_previous!$D$3:$AY$3, 0))/1000</f>
        <v>0.48758500000000038</v>
      </c>
      <c r="AN24" s="298">
        <f t="array" ref="AN24">INDEX(Demand_previous!$D$4:$AY$138, MATCH('Staging Table'!$A24, Demand_previous!$B$4:$B$138, 0), MATCH(AN$4&amp;AN$5,Demand_previous!$D$2:$AY$2&amp;Demand_previous!$D$3:$AY$3, 0))/1000</f>
        <v>0.1613437499999999</v>
      </c>
      <c r="AO24" s="298">
        <f t="array" ref="AO24">INDEX(Demand_previous!$D$4:$AY$138, MATCH('Staging Table'!$A24, Demand_previous!$B$4:$B$138, 0), MATCH(AO$4&amp;AO$5,Demand_previous!$D$2:$AY$2&amp;Demand_previous!$D$3:$AY$3, 0))/1000</f>
        <v>0.39840740740740732</v>
      </c>
      <c r="AP24" s="298">
        <f t="array" ref="AP24">INDEX(Demand_previous!$D$4:$AY$138, MATCH('Staging Table'!$A24, Demand_previous!$B$4:$B$138, 0), MATCH(AP$4&amp;AP$5,Demand_previous!$D$2:$AY$2&amp;Demand_previous!$D$3:$AY$3, 0))/1000</f>
        <v>0.48606971153846157</v>
      </c>
      <c r="AQ24" s="298">
        <f t="array" ref="AQ24">INDEX(Demand_previous!$D$4:$AY$138, MATCH('Staging Table'!$A24, Demand_previous!$B$4:$B$138, 0), MATCH(AQ$4&amp;AQ$5,Demand_previous!$D$2:$AY$2&amp;Demand_previous!$D$3:$AY$3, 0))/1000</f>
        <v>0.23852750000000006</v>
      </c>
      <c r="AR24" s="298">
        <f t="array" ref="AR24">INDEX(Demand_previous!$D$4:$AY$138, MATCH('Staging Table'!$A24, Demand_previous!$B$4:$B$138, 0), MATCH(AR$4&amp;AR$5,Demand_previous!$D$2:$AY$2&amp;Demand_previous!$D$3:$AY$3, 0))/1000</f>
        <v>0.27875961538461558</v>
      </c>
      <c r="AS24" s="298">
        <f t="array" ref="AS24">INDEX(Demand_previous!$D$4:$AY$138, MATCH('Staging Table'!$A24, Demand_previous!$B$4:$B$138, 0), MATCH(AS$4&amp;AS$5,Demand_previous!$D$2:$AY$2&amp;Demand_previous!$D$3:$AY$3, 0))/1000</f>
        <v>0.74538499999999952</v>
      </c>
      <c r="AT24" s="298">
        <f t="array" ref="AT24">INDEX(Demand_previous!$D$4:$AY$138, MATCH('Staging Table'!$A24, Demand_previous!$B$4:$B$138, 0), MATCH(AT$4&amp;AT$5,Demand_previous!$D$2:$AY$2&amp;Demand_previous!$D$3:$AY$3, 0))/1000</f>
        <v>0.73537500000000011</v>
      </c>
      <c r="AU24" s="298">
        <f t="array" ref="AU24">INDEX(Demand_previous!$D$4:$AY$138, MATCH('Staging Table'!$A24, Demand_previous!$B$4:$B$138, 0), MATCH(AU$4&amp;AU$5,Demand_previous!$D$2:$AY$2&amp;Demand_previous!$D$3:$AY$3, 0))/1000</f>
        <v>0.35088249999999993</v>
      </c>
      <c r="AV24" s="180">
        <f>$F24*(VLOOKUP(AV$4, Rates_previous!$G$6:$Q$29, 10, FALSE)+VLOOKUP(AV$4, Rates_previous!$G$6:$Q$29, 11, FALSE))</f>
        <v>1750.073154899221</v>
      </c>
      <c r="AW24" s="180">
        <f>$F24*(VLOOKUP(AW$4, Rates_previous!$G$6:$Q$29, 10, FALSE)+VLOOKUP(AW$4, Rates_previous!$G$6:$Q$29, 11, FALSE))</f>
        <v>2215.6561286279693</v>
      </c>
      <c r="AX24" s="180">
        <f>$F24*(VLOOKUP(AX$4, Rates_previous!$G$6:$Q$29, 10, FALSE)+VLOOKUP(AX$4, Rates_previous!$G$6:$Q$29, 11, FALSE))</f>
        <v>2168.6846990203335</v>
      </c>
      <c r="AY24" s="180">
        <f>$F24*(VLOOKUP(AY$4, Rates_previous!$G$6:$Q$29, 10, FALSE)+VLOOKUP(AY$4, Rates_previous!$G$6:$Q$29, 11, FALSE))</f>
        <v>1791.2413384168401</v>
      </c>
      <c r="AZ24" s="180">
        <f>$F24*(VLOOKUP(AZ$4, Rates_previous!$G$6:$Q$29, 10, FALSE)+VLOOKUP(AZ$4, Rates_previous!$G$6:$Q$29, 11, FALSE))</f>
        <v>1552.5081268003535</v>
      </c>
      <c r="BA24" s="180">
        <f>$F24*(VLOOKUP(BA$4, Rates_previous!$G$6:$Q$29, 10, FALSE)+VLOOKUP(BA$4, Rates_previous!$G$6:$Q$29, 11, FALSE))</f>
        <v>1853.3811910776467</v>
      </c>
      <c r="BB24" s="180">
        <f>$F24*(VLOOKUP(BB$4, Rates_previous!$G$6:$Q$29, 10, FALSE)+VLOOKUP(BB$4, Rates_previous!$G$6:$Q$29, 11, FALSE))</f>
        <v>1438.9037562736842</v>
      </c>
      <c r="BC24" s="180">
        <f>$F24*(VLOOKUP(BC$4, Rates_previous!$G$6:$Q$29, 10, FALSE)+VLOOKUP(BC$4, Rates_previous!$G$6:$Q$29, 11, FALSE))</f>
        <v>1993.6117431870885</v>
      </c>
      <c r="BD24" s="180">
        <f>$F24*(VLOOKUP(BD$4, Rates_previous!$G$6:$Q$29, 10, FALSE)+VLOOKUP(BD$4, Rates_previous!$G$6:$Q$29, 11, FALSE))</f>
        <v>2130.215892133288</v>
      </c>
      <c r="BE24" s="180">
        <f>$F24*(VLOOKUP(BE$4, Rates_previous!$G$6:$Q$29, 10, FALSE)+VLOOKUP(BE$4, Rates_previous!$G$6:$Q$29, 11, FALSE))</f>
        <v>2022.5435299993194</v>
      </c>
      <c r="BF24" s="180">
        <f>$F24*(VLOOKUP(BF$4, Rates_previous!$G$6:$Q$29, 10, FALSE)+VLOOKUP(BF$4, Rates_previous!$G$6:$Q$29, 11, FALSE))</f>
        <v>1954.6322906292871</v>
      </c>
      <c r="BG24" s="180">
        <f>$F24*(VLOOKUP(BG$4, Rates_previous!$G$6:$Q$29, 10, FALSE)+VLOOKUP(BG$4, Rates_previous!$G$6:$Q$29, 11, FALSE))</f>
        <v>1806.2839988826572</v>
      </c>
      <c r="BH24" s="298">
        <f>IF($D24=0,IF(C24=0, MAX(BJ24 - (VLOOKUP($A24,TOCA_previous!$A$2:$AI$137,MATCH("RHWM 2022",TOCA_previous!$A$2:$AI$2,0),FALSE)*$F$2*TOCA_previous!C21),0),0), 0)</f>
        <v>0</v>
      </c>
      <c r="BI24" s="192">
        <f>MIN(VLOOKUP($A24,TOCA_previous!$A$2:$AI$137,MATCH("TRL - NLSL - Existing Resource "&amp;$F$1,TOCA_previous!$A$2:$AI$2,0),FALSE)*$F$2,(VLOOKUP($A24,TOCA_previous!$A$2:$AI$137,MATCH("RHWM 2022",TOCA_previous!$A$2:$AI$2,0),FALSE)*$F$2))</f>
        <v>22679.64</v>
      </c>
      <c r="BJ24" s="402">
        <f>SUM(L24:AI24)+(F24*RT1SC!$C$3*$F$2)</f>
        <v>22152.746160064315</v>
      </c>
      <c r="BK24" s="401">
        <f>VLOOKUP($A24,TOCA_previous!$A$2:$AI$137,MATCH("Above RHWM Not Served with LS "&amp;$F$1,TOCA_previous!$A$2:$AI$2,0),FALSE)*$F$2</f>
        <v>0</v>
      </c>
      <c r="BL24" s="402">
        <f t="shared" si="8"/>
        <v>-526.89383993568481</v>
      </c>
      <c r="BM24" s="401">
        <f>(VLOOKUP($A24,TOCA_previous!$A$2:$AI$137,MATCH("RHWM 2022",TOCA_previous!$A$2:$AI$2,0),FALSE)*$F$2) - $BI24</f>
        <v>464.27999999999884</v>
      </c>
      <c r="BN24" s="402">
        <f t="shared" si="9"/>
        <v>0</v>
      </c>
      <c r="BO24" s="401">
        <f t="shared" si="10"/>
        <v>526.89383993568481</v>
      </c>
      <c r="BP24" s="402">
        <f t="shared" si="11"/>
        <v>0</v>
      </c>
      <c r="BQ24" s="401">
        <f t="shared" si="2"/>
        <v>526.89383993568481</v>
      </c>
      <c r="BR24" s="108">
        <f>VLOOKUP($A24,TOCA_current!$A$2:$AI$137,MATCH(BR$4,TOCA_current!$A$2:$AI$2,0),FALSE)</f>
        <v>3.5710000000000001E-4</v>
      </c>
      <c r="BS24" s="108">
        <f>VLOOKUP($A24,TOCA_current!$A$2:$AI$137,MATCH(BS$4,TOCA_current!$A$2:$AI$2,0),FALSE)</f>
        <v>3.5710000000000001E-4</v>
      </c>
      <c r="BT24" s="189">
        <f t="shared" si="12"/>
        <v>0</v>
      </c>
      <c r="BU24" s="108">
        <f>VLOOKUP($A24,TOCA_current!A20:BG155,MATCH(BU$4,TOCA_current!$A$2:$BG$2,0),FALSE)</f>
        <v>0</v>
      </c>
      <c r="BV24" s="108">
        <f t="shared" si="3"/>
        <v>0</v>
      </c>
      <c r="BW24" s="108">
        <f t="shared" si="4"/>
        <v>0</v>
      </c>
      <c r="BX24" s="179">
        <f>VLOOKUP($A24,IRD!$A$4:$G$139, 7, FALSE)</f>
        <v>0</v>
      </c>
      <c r="BY24" s="180">
        <f t="array" ref="BY24">IF($BT24=0, INDEX(LS_current!$D$4:$AY$138, MATCH('Staging Table'!$A24, LS_current!$B$4:$B$138, 0), MATCH(BY$4&amp;BY$5, LS_current!$D$2:$AY$2&amp;LS_current!$D$3:$AY$3, 0)),SUM(VLOOKUP($A24, LS_current!$B$4:$AY$138, LS_current!D$148, FALSE), VLOOKUP($A24, LS_current!$B$4:$AY$138,LS_current!AB$148, FALSE))/2)</f>
        <v>167.49023474439991</v>
      </c>
      <c r="BZ24" s="180">
        <f t="array" ref="BZ24">IF($BT24=0, INDEX(LS_current!$D$4:$AY$138, MATCH('Staging Table'!$A24, LS_current!$B$4:$B$138, 0), MATCH(BZ$4&amp;BZ$5, LS_current!$D$2:$AY$2&amp;LS_current!$D$3:$AY$3, 0)),SUM(VLOOKUP($A24, LS_current!$B$4:$AY$138, LS_current!E$148, FALSE), VLOOKUP($A24, LS_current!$B$4:$AY$138,LS_current!AC$148, FALSE))/2)</f>
        <v>35.94494202394992</v>
      </c>
      <c r="CA24" s="180">
        <f t="array" ref="CA24">IF($BT24=0, INDEX(LS_current!$D$4:$AY$138, MATCH('Staging Table'!$A24, LS_current!$B$4:$B$138, 0), MATCH(CA$4&amp;CA$5, LS_current!$D$2:$AY$2&amp;LS_current!$D$3:$AY$3, 0)),SUM(VLOOKUP($A24, LS_current!$B$4:$AY$138, LS_current!F$148, FALSE), VLOOKUP($A24, LS_current!$B$4:$AY$138,LS_current!AD$148, FALSE))/2)</f>
        <v>17.036575171199956</v>
      </c>
      <c r="CB24" s="180">
        <f t="array" ref="CB24">IF($BT24=0, INDEX(LS_current!$D$4:$AY$138, MATCH('Staging Table'!$A24, LS_current!$B$4:$B$138, 0), MATCH(CB$4&amp;CB$5, LS_current!$D$2:$AY$2&amp;LS_current!$D$3:$AY$3, 0)),SUM(VLOOKUP($A24, LS_current!$B$4:$AY$138, LS_current!G$148, FALSE), VLOOKUP($A24, LS_current!$B$4:$AY$138,LS_current!AE$148, FALSE))/2)</f>
        <v>36.987740869899994</v>
      </c>
      <c r="CC24" s="180">
        <f t="array" ref="CC24">IF($BT24=0, INDEX(LS_current!$D$4:$AY$138, MATCH('Staging Table'!$A24, LS_current!$B$4:$B$138, 0), MATCH(CC$4&amp;CC$5, LS_current!$D$2:$AY$2&amp;LS_current!$D$3:$AY$3, 0)),SUM(VLOOKUP($A24, LS_current!$B$4:$AY$138, LS_current!H$148, FALSE), VLOOKUP($A24, LS_current!$B$4:$AY$138,LS_current!AF$148, FALSE))/2)</f>
        <v>220.43554260309998</v>
      </c>
      <c r="CD24" s="180">
        <f t="array" ref="CD24">IF($BT24=0, INDEX(LS_current!$D$4:$AY$138, MATCH('Staging Table'!$A24, LS_current!$B$4:$B$138, 0), MATCH(CD$4&amp;CD$5, LS_current!$D$2:$AY$2&amp;LS_current!$D$3:$AY$3, 0)),SUM(VLOOKUP($A24, LS_current!$B$4:$AY$138, LS_current!I$148, FALSE), VLOOKUP($A24, LS_current!$B$4:$AY$138,LS_current!AG$148, FALSE))/2)</f>
        <v>200.51265115839999</v>
      </c>
      <c r="CE24" s="180">
        <f t="array" ref="CE24">IF($BT24=0, INDEX(LS_current!$D$4:$AY$138, MATCH('Staging Table'!$A24, LS_current!$B$4:$B$138, 0), MATCH(CE$4&amp;CE$5, LS_current!$D$2:$AY$2&amp;LS_current!$D$3:$AY$3, 0)),SUM(VLOOKUP($A24, LS_current!$B$4:$AY$138, LS_current!J$148, FALSE), VLOOKUP($A24, LS_current!$B$4:$AY$138,LS_current!AH$148, FALSE))/2)</f>
        <v>147.75048857350021</v>
      </c>
      <c r="CF24" s="180">
        <f t="array" ref="CF24">IF($BT24=0, INDEX(LS_current!$D$4:$AY$138, MATCH('Staging Table'!$A24, LS_current!$B$4:$B$138, 0), MATCH(CF$4&amp;CF$5, LS_current!$D$2:$AY$2&amp;LS_current!$D$3:$AY$3, 0)),SUM(VLOOKUP($A24, LS_current!$B$4:$AY$138, LS_current!K$148, FALSE), VLOOKUP($A24, LS_current!$B$4:$AY$138,LS_current!AI$148, FALSE))/2)</f>
        <v>186.22090984409988</v>
      </c>
      <c r="CG24" s="180">
        <f t="array" ref="CG24">IF($BT24=0, INDEX(LS_current!$D$4:$AY$138, MATCH('Staging Table'!$A24, LS_current!$B$4:$B$138, 0), MATCH(CG$4&amp;CG$5, LS_current!$D$2:$AY$2&amp;LS_current!$D$3:$AY$3, 0)),SUM(VLOOKUP($A24, LS_current!$B$4:$AY$138, LS_current!L$148, FALSE), VLOOKUP($A24, LS_current!$B$4:$AY$138,LS_current!AJ$148, FALSE))/2)</f>
        <v>114.36747160910022</v>
      </c>
      <c r="CH24" s="180">
        <f t="array" ref="CH24">IF($BT24=0, INDEX(LS_current!$D$4:$AY$138, MATCH('Staging Table'!$A24, LS_current!$B$4:$B$138, 0), MATCH(CH$4&amp;CH$5, LS_current!$D$2:$AY$2&amp;LS_current!$D$3:$AY$3, 0)),SUM(VLOOKUP($A24, LS_current!$B$4:$AY$138, LS_current!M$148, FALSE), VLOOKUP($A24, LS_current!$B$4:$AY$138,LS_current!AK$148, FALSE))/2)</f>
        <v>134.22001044110004</v>
      </c>
      <c r="CI24" s="180">
        <f t="array" ref="CI24">IF($BT24=0, INDEX(LS_current!$D$4:$AY$138, MATCH('Staging Table'!$A24, LS_current!$B$4:$B$138, 0), MATCH(CI$4&amp;CI$5, LS_current!$D$2:$AY$2&amp;LS_current!$D$3:$AY$3, 0)),SUM(VLOOKUP($A24, LS_current!$B$4:$AY$138, LS_current!N$148, FALSE), VLOOKUP($A24, LS_current!$B$4:$AY$138,LS_current!AL$148, FALSE))/2)</f>
        <v>-1.3741152522998163</v>
      </c>
      <c r="CJ24" s="180">
        <f t="array" ref="CJ24">IF($BT24=0, INDEX(LS_current!$D$4:$AY$138, MATCH('Staging Table'!$A24, LS_current!$B$4:$B$138, 0), MATCH(CJ$4&amp;CJ$5, LS_current!$D$2:$AY$2&amp;LS_current!$D$3:$AY$3, 0)),SUM(VLOOKUP($A24, LS_current!$B$4:$AY$138, LS_current!O$148, FALSE), VLOOKUP($A24, LS_current!$B$4:$AY$138,LS_current!AM$148, FALSE))/2)</f>
        <v>-16.008216923799978</v>
      </c>
      <c r="CK24" s="180">
        <f t="array" ref="CK24">IF($BT24=0, INDEX(LS_current!$D$4:$AY$138, MATCH('Staging Table'!$A24, LS_current!$B$4:$B$138, 0), MATCH(CK$4&amp;CK$5, LS_current!$D$2:$AY$2&amp;LS_current!$D$3:$AY$3, 0)),SUM(VLOOKUP($A24, LS_current!$B$4:$AY$138, LS_current!P$148, FALSE), VLOOKUP($A24, LS_current!$B$4:$AY$138,LS_current!AN$148, FALSE))/2)</f>
        <v>66.135182654749997</v>
      </c>
      <c r="CL24" s="180">
        <f t="array" ref="CL24">IF($BT24=0, INDEX(LS_current!$D$4:$AY$138, MATCH('Staging Table'!$A24, LS_current!$B$4:$B$138, 0), MATCH(CL$4&amp;CL$5, LS_current!$D$2:$AY$2&amp;LS_current!$D$3:$AY$3, 0)),SUM(VLOOKUP($A24, LS_current!$B$4:$AY$138, LS_current!Q$148, FALSE), VLOOKUP($A24, LS_current!$B$4:$AY$138,LS_current!AO$148, FALSE))/2)</f>
        <v>10.218772809075062</v>
      </c>
      <c r="CM24" s="180">
        <f t="array" ref="CM24">IF($BT24=0, INDEX(LS_current!$D$4:$AY$138, MATCH('Staging Table'!$A24, LS_current!$B$4:$B$138, 0), MATCH(CM$4&amp;CM$5, LS_current!$D$2:$AY$2&amp;LS_current!$D$3:$AY$3, 0)),SUM(VLOOKUP($A24, LS_current!$B$4:$AY$138, LS_current!R$148, FALSE), VLOOKUP($A24, LS_current!$B$4:$AY$138,LS_current!AP$148, FALSE))/2)</f>
        <v>-307.48679642080003</v>
      </c>
      <c r="CN24" s="180">
        <f t="array" ref="CN24">IF($BT24=0, INDEX(LS_current!$D$4:$AY$138, MATCH('Staging Table'!$A24, LS_current!$B$4:$B$138, 0), MATCH(CN$4&amp;CN$5, LS_current!$D$2:$AY$2&amp;LS_current!$D$3:$AY$3, 0)),SUM(VLOOKUP($A24, LS_current!$B$4:$AY$138, LS_current!S$148, FALSE), VLOOKUP($A24, LS_current!$B$4:$AY$138,LS_current!AQ$148, FALSE))/2)</f>
        <v>-211.71439650034995</v>
      </c>
      <c r="CO24" s="180">
        <f t="array" ref="CO24">IF($BT24=0, INDEX(LS_current!$D$4:$AY$138, MATCH('Staging Table'!$A24, LS_current!$B$4:$B$138, 0), MATCH(CO$4&amp;CO$5, LS_current!$D$2:$AY$2&amp;LS_current!$D$3:$AY$3, 0)),SUM(VLOOKUP($A24, LS_current!$B$4:$AY$138, LS_current!T$148, FALSE), VLOOKUP($A24, LS_current!$B$4:$AY$138,LS_current!AR$148, FALSE))/2)</f>
        <v>-326.44283037459991</v>
      </c>
      <c r="CP24" s="180">
        <f t="array" ref="CP24">IF($BT24=0, INDEX(LS_current!$D$4:$AY$138, MATCH('Staging Table'!$A24, LS_current!$B$4:$B$138, 0), MATCH(CP$4&amp;CP$5, LS_current!$D$2:$AY$2&amp;LS_current!$D$3:$AY$3, 0)),SUM(VLOOKUP($A24, LS_current!$B$4:$AY$138, LS_current!U$148, FALSE), VLOOKUP($A24, LS_current!$B$4:$AY$138,LS_current!AS$148, FALSE))/2)</f>
        <v>-210.12012196195008</v>
      </c>
      <c r="CQ24" s="180">
        <f t="array" ref="CQ24">IF($BT24=0, INDEX(LS_current!$D$4:$AY$138, MATCH('Staging Table'!$A24, LS_current!$B$4:$B$138, 0), MATCH(CQ$4&amp;CQ$5, LS_current!$D$2:$AY$2&amp;LS_current!$D$3:$AY$3, 0)),SUM(VLOOKUP($A24, LS_current!$B$4:$AY$138, LS_current!V$148, FALSE), VLOOKUP($A24, LS_current!$B$4:$AY$138,LS_current!AT$148, FALSE))/2)</f>
        <v>-40.191042924399881</v>
      </c>
      <c r="CR24" s="180">
        <f t="array" ref="CR24">IF($BT24=0, INDEX(LS_current!$D$4:$AY$138, MATCH('Staging Table'!$A24, LS_current!$B$4:$B$138, 0), MATCH(CR$4&amp;CR$5, LS_current!$D$2:$AY$2&amp;LS_current!$D$3:$AY$3, 0)),SUM(VLOOKUP($A24, LS_current!$B$4:$AY$138, LS_current!W$148, FALSE), VLOOKUP($A24, LS_current!$B$4:$AY$138,LS_current!AU$148, FALSE))/2)</f>
        <v>-15.683450280249986</v>
      </c>
      <c r="CS24" s="180">
        <f t="array" ref="CS24">IF($BT24=0, INDEX(LS_current!$D$4:$AY$138, MATCH('Staging Table'!$A24, LS_current!$B$4:$B$138, 0), MATCH(CS$4&amp;CS$5, LS_current!$D$2:$AY$2&amp;LS_current!$D$3:$AY$3, 0)),SUM(VLOOKUP($A24, LS_current!$B$4:$AY$138, LS_current!X$148, FALSE), VLOOKUP($A24, LS_current!$B$4:$AY$138,LS_current!AV$148, FALSE))/2)</f>
        <v>-32.98542024264998</v>
      </c>
      <c r="CT24" s="180">
        <f t="array" ref="CT24">IF($BT24=0, INDEX(LS_current!$D$4:$AY$138, MATCH('Staging Table'!$A24, LS_current!$B$4:$B$138, 0), MATCH(CT$4&amp;CT$5, LS_current!$D$2:$AY$2&amp;LS_current!$D$3:$AY$3, 0)),SUM(VLOOKUP($A24, LS_current!$B$4:$AY$138, LS_current!Y$148, FALSE), VLOOKUP($A24, LS_current!$B$4:$AY$138,LS_current!AW$148, FALSE))/2)</f>
        <v>-40.813468314434999</v>
      </c>
      <c r="CU24" s="180">
        <f t="array" ref="CU24">IF($BT24=0, INDEX(LS_current!$D$4:$AY$138, MATCH('Staging Table'!$A24, LS_current!$B$4:$B$138, 0), MATCH(CU$4&amp;CU$5, LS_current!$D$2:$AY$2&amp;LS_current!$D$3:$AY$3, 0)),SUM(VLOOKUP($A24, LS_current!$B$4:$AY$138, LS_current!Z$148, FALSE), VLOOKUP($A24, LS_current!$B$4:$AY$138,LS_current!AX$148, FALSE))/2)</f>
        <v>-62.147457645400095</v>
      </c>
      <c r="CV24" s="180">
        <f t="array" ref="CV24">IF($BT24=0, INDEX(LS_current!$D$4:$AY$138, MATCH('Staging Table'!$A24, LS_current!$B$4:$B$138, 0), MATCH(CV$4&amp;CV$5, LS_current!$D$2:$AY$2&amp;LS_current!$D$3:$AY$3, 0)),SUM(VLOOKUP($A24, LS_current!$B$4:$AY$138, LS_current!AA$148, FALSE), VLOOKUP($A24, LS_current!$B$4:$AY$138,LS_current!AY$148, FALSE))/2)</f>
        <v>-75.734107038399998</v>
      </c>
      <c r="CW24" s="182">
        <f t="array" ref="CW24">INDEX(Demand_current!$D$4:$AY$138, MATCH($A24, Demand_current!$B$4:$B$138, 0), MATCH(CW$4&amp;CW$5,Demand_current!$D$2:$AY$2&amp;Demand_current!$D$3:$AY$3, 0))/1000</f>
        <v>0</v>
      </c>
      <c r="CX24" s="182">
        <f t="array" ref="CX24">INDEX(Demand_current!$D$4:$AY$138, MATCH($A24, Demand_current!$B$4:$B$138, 0), MATCH(CX$4&amp;CX$5,Demand_current!$D$2:$AY$2&amp;Demand_current!$D$3:$AY$3, 0))/1000</f>
        <v>0.25803749999999948</v>
      </c>
      <c r="CY24" s="182">
        <f t="array" ref="CY24">INDEX(Demand_current!$D$4:$AY$138, MATCH($A24, Demand_current!$B$4:$B$138, 0), MATCH(CY$4&amp;CY$5,Demand_current!$D$2:$AY$2&amp;Demand_current!$D$3:$AY$3, 0))/1000</f>
        <v>0.2959974999999998</v>
      </c>
      <c r="CZ24" s="182">
        <f t="array" ref="CZ24">INDEX(Demand_current!$D$4:$AY$138, MATCH($A24, Demand_current!$B$4:$B$138, 0), MATCH(CZ$4&amp;CZ$5,Demand_current!$D$2:$AY$2&amp;Demand_current!$D$3:$AY$3, 0))/1000</f>
        <v>0.63006250000000041</v>
      </c>
      <c r="DA24" s="182">
        <f t="array" ref="DA24">INDEX(Demand_current!$D$4:$AY$138, MATCH($A24, Demand_current!$B$4:$B$138, 0), MATCH(DA$4&amp;DA$5,Demand_current!$D$2:$AY$2&amp;Demand_current!$D$3:$AY$3, 0))/1000</f>
        <v>0.29600999999999988</v>
      </c>
      <c r="DB24" s="182">
        <f t="array" ref="DB24">INDEX(Demand_current!$D$4:$AY$138, MATCH($A24, Demand_current!$B$4:$B$138, 0), MATCH(DB$4&amp;DB$5,Demand_current!$D$2:$AY$2&amp;Demand_current!$D$3:$AY$3, 0))/1000</f>
        <v>0.28884615384615375</v>
      </c>
      <c r="DC24" s="182">
        <f t="array" ref="DC24">INDEX(Demand_current!$D$4:$AY$138, MATCH($A24, Demand_current!$B$4:$B$138, 0), MATCH(DC$4&amp;DC$5,Demand_current!$D$2:$AY$2&amp;Demand_current!$D$3:$AY$3, 0))/1000</f>
        <v>0.48606971153846157</v>
      </c>
      <c r="DD24" s="182">
        <f t="array" ref="DD24">INDEX(Demand_current!$D$4:$AY$138, MATCH($A24, Demand_current!$B$4:$B$138, 0), MATCH(DD$4&amp;DD$5,Demand_current!$D$2:$AY$2&amp;Demand_current!$D$3:$AY$3, 0))/1000</f>
        <v>0.32473798076923061</v>
      </c>
      <c r="DE24" s="182">
        <f t="array" ref="DE24">INDEX(Demand_current!$D$4:$AY$138, MATCH($A24, Demand_current!$B$4:$B$138, 0), MATCH(DE$4&amp;DE$5,Demand_current!$D$2:$AY$2&amp;Demand_current!$D$3:$AY$3, 0))/1000</f>
        <v>0.18790999999999991</v>
      </c>
      <c r="DF24" s="182">
        <f t="array" ref="DF24">INDEX(Demand_current!$D$4:$AY$138, MATCH($A24, Demand_current!$B$4:$B$138, 0), MATCH(DF$4&amp;DF$5,Demand_current!$D$2:$AY$2&amp;Demand_current!$D$3:$AY$3, 0))/1000</f>
        <v>0.84683173076923057</v>
      </c>
      <c r="DG24" s="182">
        <f t="array" ref="DG24">INDEX(Demand_current!$D$4:$AY$138, MATCH($A24, Demand_current!$B$4:$B$138, 0), MATCH(DG$4&amp;DG$5,Demand_current!$D$2:$AY$2&amp;Demand_current!$D$3:$AY$3, 0))/1000</f>
        <v>0.73537500000000011</v>
      </c>
      <c r="DH24" s="182">
        <f t="array" ref="DH24">INDEX(Demand_current!$D$4:$AY$138, MATCH($A24, Demand_current!$B$4:$B$138, 0), MATCH(DH$4&amp;DH$5,Demand_current!$D$2:$AY$2&amp;Demand_current!$D$3:$AY$3, 0))/1000</f>
        <v>0.26008593749999992</v>
      </c>
      <c r="DI24" s="180">
        <f>$BS24*(VLOOKUP(DI$4, Rates_current!$G$6:$Q$29, 10, FALSE)+VLOOKUP(DI$4, Rates_current!$G$6:$Q$29, 11, FALSE))</f>
        <v>1506.5348232316501</v>
      </c>
      <c r="DJ24" s="180">
        <f>$BS24*(VLOOKUP(DJ$4, Rates_current!$G$6:$Q$29, 10, FALSE)+VLOOKUP(DJ$4, Rates_current!$G$6:$Q$29, 11, FALSE))</f>
        <v>1921.3286839589002</v>
      </c>
      <c r="DK24" s="180">
        <f>$BS24*(VLOOKUP(DK$4, Rates_current!$G$6:$Q$29, 10, FALSE)+VLOOKUP(DK$4, Rates_current!$G$6:$Q$29, 11, FALSE))</f>
        <v>2073.4938062385004</v>
      </c>
      <c r="DL24" s="180">
        <f>$BS24*(VLOOKUP(DL$4, Rates_current!$G$6:$Q$29, 10, FALSE)+VLOOKUP(DL$4, Rates_current!$G$6:$Q$29, 11, FALSE))</f>
        <v>2154.6806015824</v>
      </c>
      <c r="DM24" s="180">
        <f>$BS24*(VLOOKUP(DM$4, Rates_current!$G$6:$Q$29, 10, FALSE)+VLOOKUP(DM$4, Rates_current!$G$6:$Q$29, 11, FALSE))</f>
        <v>1853.3125179497999</v>
      </c>
      <c r="DN24" s="180">
        <f>$BS24*(VLOOKUP(DN$4, Rates_current!$G$6:$Q$29, 10, FALSE)+VLOOKUP(DN$4, Rates_current!$G$6:$Q$29, 11, FALSE))</f>
        <v>2023.4503321760999</v>
      </c>
      <c r="DO24" s="180">
        <f>$BS24*(VLOOKUP(DO$4, Rates_current!$G$6:$Q$29, 10, FALSE)+VLOOKUP(DO$4, Rates_current!$G$6:$Q$29, 11, FALSE))</f>
        <v>1597.173044536175</v>
      </c>
      <c r="DP24" s="180">
        <f>$BS24*(VLOOKUP(DP$4, Rates_current!$G$6:$Q$29, 10, FALSE)+VLOOKUP(DP$4, Rates_current!$G$6:$Q$29, 11, FALSE))</f>
        <v>1981.5071929211501</v>
      </c>
      <c r="DQ24" s="180">
        <f>$BS24*(VLOOKUP(DQ$4, Rates_current!$G$6:$Q$29, 10, FALSE)+VLOOKUP(DQ$4, Rates_current!$G$6:$Q$29, 11, FALSE))</f>
        <v>2024.50095233655</v>
      </c>
      <c r="DR24" s="180">
        <f>$BS24*(VLOOKUP(DR$4, Rates_current!$G$6:$Q$29, 10, FALSE)+VLOOKUP(DR$4, Rates_current!$G$6:$Q$29, 11, FALSE))</f>
        <v>1757.5584932046499</v>
      </c>
      <c r="DS24" s="180">
        <f>$BS24*(VLOOKUP(DS$4, Rates_current!$G$6:$Q$29, 10, FALSE)+VLOOKUP(DS$4, Rates_current!$G$6:$Q$29, 11, FALSE))</f>
        <v>1699.0918885570852</v>
      </c>
      <c r="DT24" s="180">
        <f>$BS24*(VLOOKUP(DT$4, Rates_current!$G$6:$Q$29, 10, FALSE)+VLOOKUP(DT$4, Rates_current!$G$6:$Q$29, 11, FALSE))</f>
        <v>1563.4935646838003</v>
      </c>
      <c r="DU24" s="402">
        <f>IF(D24=0,IF(C24=0,MAX(0,DW24 - (VLOOKUP($A24,TOCA_current!$A$2:$AI$137,MATCH("RHWM 2024",TOCA_current!$A$2:$AI$2,0),FALSE)*$BS$2)), 0),0)</f>
        <v>0</v>
      </c>
      <c r="DV24" s="403">
        <f>MIN(VLOOKUP($A24,TOCA_current!$A$2:$AI$137,MATCH("TRL - NLSL - Existing Resource "&amp;$BS$1,TOCA_current!$A$2:$AI$2,0),FALSE)*$BS$2, VLOOKUP($A24,TOCA_current!$A$2:$AI$137,MATCH("RHWM 2024",TOCA_current!$A$2:$AI$2,0),FALSE)*$BS$2)</f>
        <v>22153.248</v>
      </c>
      <c r="DW24" s="403">
        <f>SUM(BY24:CV24)+(BS24*RT1SC!$C$4*$BS$2)</f>
        <v>22152.745101559238</v>
      </c>
      <c r="DX24" s="403">
        <f>VLOOKUP($A24,TOCA_current!$A$2:$AI$137,MATCH("Above RHWM Not Served with LS "&amp;$BS$1,TOCA_current!$A$2:$AI$2,0),FALSE)*$BS$2</f>
        <v>0</v>
      </c>
      <c r="DY24" s="403">
        <f t="shared" si="13"/>
        <v>-0.50289844076178269</v>
      </c>
      <c r="DZ24" s="403">
        <f>(VLOOKUP($A24,TOCA_current!$A$2:$AI$137,MATCH("RHWM 2024",TOCA_current!$A$2:$AI$2,0),FALSE)*$BS$2) - $DV24</f>
        <v>2178.4320000000007</v>
      </c>
      <c r="EA24" s="403">
        <f t="shared" si="14"/>
        <v>0</v>
      </c>
      <c r="EB24" s="403">
        <f t="shared" si="15"/>
        <v>0.50289844076178269</v>
      </c>
      <c r="EC24" s="403">
        <f t="shared" si="16"/>
        <v>0</v>
      </c>
      <c r="ED24" s="403">
        <f t="shared" si="17"/>
        <v>0.50289844076178269</v>
      </c>
    </row>
    <row r="25" spans="1:134">
      <c r="A25" s="123">
        <v>10070</v>
      </c>
      <c r="B25" s="124" t="s">
        <v>26</v>
      </c>
      <c r="C25" s="232">
        <f>VLOOKUP(A25, TOCA_current!$A$3:$D$137, 4, FALSE)</f>
        <v>0</v>
      </c>
      <c r="D25" s="191">
        <v>0</v>
      </c>
      <c r="E25" s="107">
        <f>VLOOKUP($A25,TOCA_previous!$A$2:$AI$137,MATCH(E$4,TOCA_previous!$A$2:$AI$2,0),FALSE)</f>
        <v>5.0800000000000002E-5</v>
      </c>
      <c r="F25" s="108">
        <f>VLOOKUP($A25,TOCA_previous!$A$2:$AI$137,MATCH(F$4,TOCA_previous!$A$2:$AI$2,0),FALSE)</f>
        <v>5.0800000000000002E-5</v>
      </c>
      <c r="G25" s="108">
        <f t="shared" si="5"/>
        <v>0</v>
      </c>
      <c r="H25" s="108">
        <f>VLOOKUP($A25,TOCA_previous!$A$2:$AI$137,MATCH(H$4,TOCA_previous!$A$2:$AI$2,0),FALSE)</f>
        <v>0</v>
      </c>
      <c r="I25" s="108">
        <f t="shared" si="6"/>
        <v>0</v>
      </c>
      <c r="J25" s="108">
        <f t="shared" si="7"/>
        <v>0</v>
      </c>
      <c r="K25" s="179">
        <f>VLOOKUP(A25, IRD!$A$5:$C$139, 3, FALSE)</f>
        <v>0</v>
      </c>
      <c r="L25" s="180">
        <f t="array" ref="L25">IF($G25=0, INDEX(LS_previous!$D$4:$AY$138, MATCH('Staging Table'!$A25, LS_previous!$B$4:$B$138, 0), MATCH(L$4&amp;L$5, LS_previous!$D$2:$AY$2&amp;LS_previous!$D$3:$AY$3, 0)),SUM(VLOOKUP($A25, LS_previous!$B$4:$AY$138, LS_previous!D$149, FALSE), VLOOKUP('Staging Table'!$A25, LS_previous!$B$4:$AY$138,LS_previous!AB$149, FALSE))/2)</f>
        <v>11.496854561596592</v>
      </c>
      <c r="M25" s="180">
        <f t="array" ref="M25">IF($G25=0, INDEX(LS_previous!$D$4:$AY$138, MATCH('Staging Table'!$A25, LS_previous!$B$4:$B$138, 0), MATCH(M$4&amp;M$5, LS_previous!$D$2:$AY$2&amp;LS_previous!$D$3:$AY$3, 0)),SUM(VLOOKUP($A25, LS_previous!$B$4:$AY$138, LS_previous!E$149, FALSE), VLOOKUP('Staging Table'!$A25, LS_previous!$B$4:$AY$138,LS_previous!AC$149, FALSE))/2)</f>
        <v>18.045784863642993</v>
      </c>
      <c r="N25" s="180">
        <f t="array" ref="N25">IF($G25=0, INDEX(LS_previous!$D$4:$AY$138, MATCH('Staging Table'!$A25, LS_previous!$B$4:$B$138, 0), MATCH(N$4&amp;N$5, LS_previous!$D$2:$AY$2&amp;LS_previous!$D$3:$AY$3, 0)),SUM(VLOOKUP($A25, LS_previous!$B$4:$AY$138, LS_previous!F$149, FALSE), VLOOKUP('Staging Table'!$A25, LS_previous!$B$4:$AY$138,LS_previous!AD$149, FALSE))/2)</f>
        <v>-5.7936146642194331</v>
      </c>
      <c r="O25" s="180">
        <f t="array" ref="O25">IF($G25=0, INDEX(LS_previous!$D$4:$AY$138, MATCH('Staging Table'!$A25, LS_previous!$B$4:$B$138, 0), MATCH(O$4&amp;O$5, LS_previous!$D$2:$AY$2&amp;LS_previous!$D$3:$AY$3, 0)),SUM(VLOOKUP($A25, LS_previous!$B$4:$AY$138, LS_previous!G$149, FALSE), VLOOKUP('Staging Table'!$A25, LS_previous!$B$4:$AY$138,LS_previous!AE$149, FALSE))/2)</f>
        <v>4.8085882934132087</v>
      </c>
      <c r="P25" s="180">
        <f t="array" ref="P25">IF($G25=0, INDEX(LS_previous!$D$4:$AY$138, MATCH('Staging Table'!$A25, LS_previous!$B$4:$B$138, 0), MATCH(P$4&amp;P$5, LS_previous!$D$2:$AY$2&amp;LS_previous!$D$3:$AY$3, 0)),SUM(VLOOKUP($A25, LS_previous!$B$4:$AY$138, LS_previous!H$149, FALSE), VLOOKUP('Staging Table'!$A25, LS_previous!$B$4:$AY$138,LS_previous!AF$149, FALSE))/2)</f>
        <v>50.302265027532172</v>
      </c>
      <c r="Q25" s="180">
        <f t="array" ref="Q25">IF($G25=0, INDEX(LS_previous!$D$4:$AY$138, MATCH('Staging Table'!$A25, LS_previous!$B$4:$B$138, 0), MATCH(Q$4&amp;Q$5, LS_previous!$D$2:$AY$2&amp;LS_previous!$D$3:$AY$3, 0)),SUM(VLOOKUP($A25, LS_previous!$B$4:$AY$138, LS_previous!I$149, FALSE), VLOOKUP('Staging Table'!$A25, LS_previous!$B$4:$AY$138,LS_previous!AG$149, FALSE))/2)</f>
        <v>41.593786468088595</v>
      </c>
      <c r="R25" s="180">
        <f t="array" ref="R25">IF($G25=0, INDEX(LS_previous!$D$4:$AY$138, MATCH('Staging Table'!$A25, LS_previous!$B$4:$B$138, 0), MATCH(R$4&amp;R$5, LS_previous!$D$2:$AY$2&amp;LS_previous!$D$3:$AY$3, 0)),SUM(VLOOKUP($A25, LS_previous!$B$4:$AY$138, LS_previous!J$149, FALSE), VLOOKUP('Staging Table'!$A25, LS_previous!$B$4:$AY$138,LS_previous!AH$149, FALSE))/2)</f>
        <v>90.88274995971301</v>
      </c>
      <c r="S25" s="180">
        <f t="array" ref="S25">IF($G25=0, INDEX(LS_previous!$D$4:$AY$138, MATCH('Staging Table'!$A25, LS_previous!$B$4:$B$138, 0), MATCH(S$4&amp;S$5, LS_previous!$D$2:$AY$2&amp;LS_previous!$D$3:$AY$3, 0)),SUM(VLOOKUP($A25, LS_previous!$B$4:$AY$138, LS_previous!K$149, FALSE), VLOOKUP('Staging Table'!$A25, LS_previous!$B$4:$AY$138,LS_previous!AI$149, FALSE))/2)</f>
        <v>54.434933382531383</v>
      </c>
      <c r="T25" s="180">
        <f t="array" ref="T25">IF($G25=0, INDEX(LS_previous!$D$4:$AY$138, MATCH('Staging Table'!$A25, LS_previous!$B$4:$B$138, 0), MATCH(T$4&amp;T$5, LS_previous!$D$2:$AY$2&amp;LS_previous!$D$3:$AY$3, 0)),SUM(VLOOKUP($A25, LS_previous!$B$4:$AY$138, LS_previous!L$149, FALSE), VLOOKUP('Staging Table'!$A25, LS_previous!$B$4:$AY$138,LS_previous!AJ$149, FALSE))/2)</f>
        <v>74.985141819519626</v>
      </c>
      <c r="U25" s="180">
        <f t="array" ref="U25">IF($G25=0, INDEX(LS_previous!$D$4:$AY$138, MATCH('Staging Table'!$A25, LS_previous!$B$4:$B$138, 0), MATCH(U$4&amp;U$5, LS_previous!$D$2:$AY$2&amp;LS_previous!$D$3:$AY$3, 0)),SUM(VLOOKUP($A25, LS_previous!$B$4:$AY$138, LS_previous!M$149, FALSE), VLOOKUP('Staging Table'!$A25, LS_previous!$B$4:$AY$138,LS_previous!AK$149, FALSE))/2)</f>
        <v>39.419301476192203</v>
      </c>
      <c r="V25" s="180">
        <f t="array" ref="V25">IF($G25=0, INDEX(LS_previous!$D$4:$AY$138, MATCH('Staging Table'!$A25, LS_previous!$B$4:$B$138, 0), MATCH(V$4&amp;V$5, LS_previous!$D$2:$AY$2&amp;LS_previous!$D$3:$AY$3, 0)),SUM(VLOOKUP($A25, LS_previous!$B$4:$AY$138, LS_previous!N$149, FALSE), VLOOKUP('Staging Table'!$A25, LS_previous!$B$4:$AY$138,LS_previous!AL$149, FALSE))/2)</f>
        <v>23.196566033375802</v>
      </c>
      <c r="W25" s="180">
        <f t="array" ref="W25">IF($G25=0, INDEX(LS_previous!$D$4:$AY$138, MATCH('Staging Table'!$A25, LS_previous!$B$4:$B$138, 0), MATCH(W$4&amp;W$5, LS_previous!$D$2:$AY$2&amp;LS_previous!$D$3:$AY$3, 0)),SUM(VLOOKUP($A25, LS_previous!$B$4:$AY$138, LS_previous!O$149, FALSE), VLOOKUP('Staging Table'!$A25, LS_previous!$B$4:$AY$138,LS_previous!AM$149, FALSE))/2)</f>
        <v>26.608949952196795</v>
      </c>
      <c r="X25" s="180">
        <f t="array" ref="X25">IF($G25=0, INDEX(LS_previous!$D$4:$AY$138, MATCH('Staging Table'!$A25, LS_previous!$B$4:$B$138, 0), MATCH(X$4&amp;X$5, LS_previous!$D$2:$AY$2&amp;LS_previous!$D$3:$AY$3, 0)),SUM(VLOOKUP($A25, LS_previous!$B$4:$AY$138, LS_previous!P$149, FALSE), VLOOKUP('Staging Table'!$A25, LS_previous!$B$4:$AY$138,LS_previous!AN$149, FALSE))/2)</f>
        <v>44.397467468415812</v>
      </c>
      <c r="Y25" s="180">
        <f t="array" ref="Y25">IF($G25=0, INDEX(LS_previous!$D$4:$AY$138, MATCH('Staging Table'!$A25, LS_previous!$B$4:$B$138, 0), MATCH(Y$4&amp;Y$5, LS_previous!$D$2:$AY$2&amp;LS_previous!$D$3:$AY$3, 0)),SUM(VLOOKUP($A25, LS_previous!$B$4:$AY$138, LS_previous!Q$149, FALSE), VLOOKUP('Staging Table'!$A25, LS_previous!$B$4:$AY$138,LS_previous!AO$149, FALSE))/2)</f>
        <v>25.940155173522399</v>
      </c>
      <c r="Z25" s="180">
        <f t="array" ref="Z25">IF($G25=0, INDEX(LS_previous!$D$4:$AY$138, MATCH('Staging Table'!$A25, LS_previous!$B$4:$B$138, 0), MATCH(Z$4&amp;Z$5, LS_previous!$D$2:$AY$2&amp;LS_previous!$D$3:$AY$3, 0)),SUM(VLOOKUP($A25, LS_previous!$B$4:$AY$138, LS_previous!R$149, FALSE), VLOOKUP('Staging Table'!$A25, LS_previous!$B$4:$AY$138,LS_previous!AP$149, FALSE))/2)</f>
        <v>-28.797051445778607</v>
      </c>
      <c r="AA25" s="180">
        <f t="array" ref="AA25">IF($G25=0, INDEX(LS_previous!$D$4:$AY$138, MATCH('Staging Table'!$A25, LS_previous!$B$4:$B$138, 0), MATCH(AA$4&amp;AA$5, LS_previous!$D$2:$AY$2&amp;LS_previous!$D$3:$AY$3, 0)),SUM(VLOOKUP($A25, LS_previous!$B$4:$AY$138, LS_previous!S$149, FALSE), VLOOKUP('Staging Table'!$A25, LS_previous!$B$4:$AY$138,LS_previous!AQ$149, FALSE))/2)</f>
        <v>8.8537158904725999</v>
      </c>
      <c r="AB25" s="180">
        <f t="array" ref="AB25">IF($G25=0, INDEX(LS_previous!$D$4:$AY$138, MATCH('Staging Table'!$A25, LS_previous!$B$4:$B$138, 0), MATCH(AB$4&amp;AB$5, LS_previous!$D$2:$AY$2&amp;LS_previous!$D$3:$AY$3, 0)),SUM(VLOOKUP($A25, LS_previous!$B$4:$AY$138, LS_previous!T$149, FALSE), VLOOKUP('Staging Table'!$A25, LS_previous!$B$4:$AY$138,LS_previous!AR$149, FALSE))/2)</f>
        <v>-59.568991976386798</v>
      </c>
      <c r="AC25" s="180">
        <f t="array" ref="AC25">IF($G25=0, INDEX(LS_previous!$D$4:$AY$138, MATCH('Staging Table'!$A25, LS_previous!$B$4:$B$138, 0), MATCH(AC$4&amp;AC$5, LS_previous!$D$2:$AY$2&amp;LS_previous!$D$3:$AY$3, 0)),SUM(VLOOKUP($A25, LS_previous!$B$4:$AY$138, LS_previous!U$149, FALSE), VLOOKUP('Staging Table'!$A25, LS_previous!$B$4:$AY$138,LS_previous!AS$149, FALSE))/2)</f>
        <v>12.33817329210099</v>
      </c>
      <c r="AD25" s="180">
        <f t="array" ref="AD25">IF($G25=0, INDEX(LS_previous!$D$4:$AY$138, MATCH('Staging Table'!$A25, LS_previous!$B$4:$B$138, 0), MATCH(AD$4&amp;AD$5, LS_previous!$D$2:$AY$2&amp;LS_previous!$D$3:$AY$3, 0)),SUM(VLOOKUP($A25, LS_previous!$B$4:$AY$138, LS_previous!V$149, FALSE), VLOOKUP('Staging Table'!$A25, LS_previous!$B$4:$AY$138,LS_previous!AT$149, FALSE))/2)</f>
        <v>-18.589236952190987</v>
      </c>
      <c r="AE25" s="180">
        <f t="array" ref="AE25">IF($G25=0, INDEX(LS_previous!$D$4:$AY$138, MATCH('Staging Table'!$A25, LS_previous!$B$4:$B$138, 0), MATCH(AE$4&amp;AE$5, LS_previous!$D$2:$AY$2&amp;LS_previous!$D$3:$AY$3, 0)),SUM(VLOOKUP($A25, LS_previous!$B$4:$AY$138, LS_previous!W$149, FALSE), VLOOKUP('Staging Table'!$A25, LS_previous!$B$4:$AY$138,LS_previous!AU$149, FALSE))/2)</f>
        <v>9.0094549486379947</v>
      </c>
      <c r="AF25" s="180">
        <f t="array" ref="AF25">IF($G25=0, INDEX(LS_previous!$D$4:$AY$138, MATCH('Staging Table'!$A25, LS_previous!$B$4:$B$138, 0), MATCH(AF$4&amp;AF$5, LS_previous!$D$2:$AY$2&amp;LS_previous!$D$3:$AY$3, 0)),SUM(VLOOKUP($A25, LS_previous!$B$4:$AY$138, LS_previous!X$149, FALSE), VLOOKUP('Staging Table'!$A25, LS_previous!$B$4:$AY$138,LS_previous!AV$149, FALSE))/2)</f>
        <v>-8.9721650076805872</v>
      </c>
      <c r="AG25" s="180">
        <f t="array" ref="AG25">IF($G25=0, INDEX(LS_previous!$D$4:$AY$138, MATCH('Staging Table'!$A25, LS_previous!$B$4:$B$138, 0), MATCH(AG$4&amp;AG$5, LS_previous!$D$2:$AY$2&amp;LS_previous!$D$3:$AY$3, 0)),SUM(VLOOKUP($A25, LS_previous!$B$4:$AY$138, LS_previous!Y$149, FALSE), VLOOKUP('Staging Table'!$A25, LS_previous!$B$4:$AY$138,LS_previous!AW$149, FALSE))/2)</f>
        <v>6.348460703835201</v>
      </c>
      <c r="AH25" s="180">
        <f t="array" ref="AH25">IF($G25=0, INDEX(LS_previous!$D$4:$AY$138, MATCH('Staging Table'!$A25, LS_previous!$B$4:$B$138, 0), MATCH(AH$4&amp;AH$5, LS_previous!$D$2:$AY$2&amp;LS_previous!$D$3:$AY$3, 0)),SUM(VLOOKUP($A25, LS_previous!$B$4:$AY$138, LS_previous!Z$149, FALSE), VLOOKUP('Staging Table'!$A25, LS_previous!$B$4:$AY$138,LS_previous!AX$149, FALSE))/2)</f>
        <v>-11.639997684049405</v>
      </c>
      <c r="AI25" s="180">
        <f t="array" ref="AI25">IF($G25=0, INDEX(LS_previous!$D$4:$AY$138, MATCH('Staging Table'!$A25, LS_previous!$B$4:$B$138, 0), MATCH(AI$4&amp;AI$5, LS_previous!$D$2:$AY$2&amp;LS_previous!$D$3:$AY$3, 0)),SUM(VLOOKUP($A25, LS_previous!$B$4:$AY$138, LS_previous!AA$149, FALSE), VLOOKUP('Staging Table'!$A25, LS_previous!$B$4:$AY$138,LS_previous!AY$149, FALSE))/2)</f>
        <v>6.9842158905574081</v>
      </c>
      <c r="AJ25" s="298">
        <f t="array" ref="AJ25">INDEX(Demand_previous!$D$4:$AY$138, MATCH('Staging Table'!$A25, Demand_previous!$B$4:$B$138, 0), MATCH(AJ$4&amp;AJ$5,Demand_previous!$D$2:$AY$2&amp;Demand_previous!$D$3:$AY$3, 0))/1000</f>
        <v>7.0689903846153812E-2</v>
      </c>
      <c r="AK25" s="298">
        <f t="array" ref="AK25">INDEX(Demand_previous!$D$4:$AY$138, MATCH('Staging Table'!$A25, Demand_previous!$B$4:$B$138, 0), MATCH(AK$4&amp;AK$5,Demand_previous!$D$2:$AY$2&amp;Demand_previous!$D$3:$AY$3, 0))/1000</f>
        <v>1.8165000000000014E-2</v>
      </c>
      <c r="AL25" s="298">
        <f t="array" ref="AL25">INDEX(Demand_previous!$D$4:$AY$138, MATCH('Staging Table'!$A25, Demand_previous!$B$4:$B$138, 0), MATCH(AL$4&amp;AL$5,Demand_previous!$D$2:$AY$2&amp;Demand_previous!$D$3:$AY$3, 0))/1000</f>
        <v>0.12039663461538465</v>
      </c>
      <c r="AM25" s="298">
        <f t="array" ref="AM25">INDEX(Demand_previous!$D$4:$AY$138, MATCH('Staging Table'!$A25, Demand_previous!$B$4:$B$138, 0), MATCH(AM$4&amp;AM$5,Demand_previous!$D$2:$AY$2&amp;Demand_previous!$D$3:$AY$3, 0))/1000</f>
        <v>4.5042499999999985E-2</v>
      </c>
      <c r="AN25" s="298">
        <f t="array" ref="AN25">INDEX(Demand_previous!$D$4:$AY$138, MATCH('Staging Table'!$A25, Demand_previous!$B$4:$B$138, 0), MATCH(AN$4&amp;AN$5,Demand_previous!$D$2:$AY$2&amp;Demand_previous!$D$3:$AY$3, 0))/1000</f>
        <v>2.0278645833333414E-2</v>
      </c>
      <c r="AO25" s="298">
        <f t="array" ref="AO25">INDEX(Demand_previous!$D$4:$AY$138, MATCH('Staging Table'!$A25, Demand_previous!$B$4:$B$138, 0), MATCH(AO$4&amp;AO$5,Demand_previous!$D$2:$AY$2&amp;Demand_previous!$D$3:$AY$3, 0))/1000</f>
        <v>8.1013888888888885E-2</v>
      </c>
      <c r="AP25" s="298">
        <f t="array" ref="AP25">INDEX(Demand_previous!$D$4:$AY$138, MATCH('Staging Table'!$A25, Demand_previous!$B$4:$B$138, 0), MATCH(AP$4&amp;AP$5,Demand_previous!$D$2:$AY$2&amp;Demand_previous!$D$3:$AY$3, 0))/1000</f>
        <v>3.2516826923076864E-2</v>
      </c>
      <c r="AQ25" s="298">
        <f t="array" ref="AQ25">INDEX(Demand_previous!$D$4:$AY$138, MATCH('Staging Table'!$A25, Demand_previous!$B$4:$B$138, 0), MATCH(AQ$4&amp;AQ$5,Demand_previous!$D$2:$AY$2&amp;Demand_previous!$D$3:$AY$3, 0))/1000</f>
        <v>4.0375000000000549E-3</v>
      </c>
      <c r="AR25" s="298">
        <f t="array" ref="AR25">INDEX(Demand_previous!$D$4:$AY$138, MATCH('Staging Table'!$A25, Demand_previous!$B$4:$B$138, 0), MATCH(AR$4&amp;AR$5,Demand_previous!$D$2:$AY$2&amp;Demand_previous!$D$3:$AY$3, 0))/1000</f>
        <v>6.9480769230769207E-2</v>
      </c>
      <c r="AS25" s="298">
        <f t="array" ref="AS25">INDEX(Demand_previous!$D$4:$AY$138, MATCH('Staging Table'!$A25, Demand_previous!$B$4:$B$138, 0), MATCH(AS$4&amp;AS$5,Demand_previous!$D$2:$AY$2&amp;Demand_previous!$D$3:$AY$3, 0))/1000</f>
        <v>4.329500000000007E-2</v>
      </c>
      <c r="AT25" s="298">
        <f t="array" ref="AT25">INDEX(Demand_previous!$D$4:$AY$138, MATCH('Staging Table'!$A25, Demand_previous!$B$4:$B$138, 0), MATCH(AT$4&amp;AT$5,Demand_previous!$D$2:$AY$2&amp;Demand_previous!$D$3:$AY$3, 0))/1000</f>
        <v>7.4983796296296243E-2</v>
      </c>
      <c r="AU25" s="298">
        <f t="array" ref="AU25">INDEX(Demand_previous!$D$4:$AY$138, MATCH('Staging Table'!$A25, Demand_previous!$B$4:$B$138, 0), MATCH(AU$4&amp;AU$5,Demand_previous!$D$2:$AY$2&amp;Demand_previous!$D$3:$AY$3, 0))/1000</f>
        <v>6.814000000000002E-2</v>
      </c>
      <c r="AV25" s="180">
        <f>$F25*(VLOOKUP(AV$4, Rates_previous!$G$6:$Q$29, 10, FALSE)+VLOOKUP(AV$4, Rates_previous!$G$6:$Q$29, 11, FALSE))</f>
        <v>231.33936057476041</v>
      </c>
      <c r="AW25" s="180">
        <f>$F25*(VLOOKUP(AW$4, Rates_previous!$G$6:$Q$29, 10, FALSE)+VLOOKUP(AW$4, Rates_previous!$G$6:$Q$29, 11, FALSE))</f>
        <v>292.88402637080623</v>
      </c>
      <c r="AX25" s="180">
        <f>$F25*(VLOOKUP(AX$4, Rates_previous!$G$6:$Q$29, 10, FALSE)+VLOOKUP(AX$4, Rates_previous!$G$6:$Q$29, 11, FALSE))</f>
        <v>286.67494850437924</v>
      </c>
      <c r="AY25" s="180">
        <f>$F25*(VLOOKUP(AY$4, Rates_previous!$G$6:$Q$29, 10, FALSE)+VLOOKUP(AY$4, Rates_previous!$G$6:$Q$29, 11, FALSE))</f>
        <v>236.78131665775561</v>
      </c>
      <c r="AZ25" s="180">
        <f>$F25*(VLOOKUP(AZ$4, Rates_previous!$G$6:$Q$29, 10, FALSE)+VLOOKUP(AZ$4, Rates_previous!$G$6:$Q$29, 11, FALSE))</f>
        <v>205.2235567042882</v>
      </c>
      <c r="BA25" s="180">
        <f>$F25*(VLOOKUP(BA$4, Rates_previous!$G$6:$Q$29, 10, FALSE)+VLOOKUP(BA$4, Rates_previous!$G$6:$Q$29, 11, FALSE))</f>
        <v>244.9954840144274</v>
      </c>
      <c r="BB25" s="180">
        <f>$F25*(VLOOKUP(BB$4, Rates_previous!$G$6:$Q$29, 10, FALSE)+VLOOKUP(BB$4, Rates_previous!$G$6:$Q$29, 11, FALSE))</f>
        <v>190.20637735806181</v>
      </c>
      <c r="BC25" s="180">
        <f>$F25*(VLOOKUP(BC$4, Rates_previous!$G$6:$Q$29, 10, FALSE)+VLOOKUP(BC$4, Rates_previous!$G$6:$Q$29, 11, FALSE))</f>
        <v>263.53233555530602</v>
      </c>
      <c r="BD25" s="180">
        <f>$F25*(VLOOKUP(BD$4, Rates_previous!$G$6:$Q$29, 10, FALSE)+VLOOKUP(BD$4, Rates_previous!$G$6:$Q$29, 11, FALSE))</f>
        <v>281.58981868428583</v>
      </c>
      <c r="BE25" s="180">
        <f>$F25*(VLOOKUP(BE$4, Rates_previous!$G$6:$Q$29, 10, FALSE)+VLOOKUP(BE$4, Rates_previous!$G$6:$Q$29, 11, FALSE))</f>
        <v>267.35678200355301</v>
      </c>
      <c r="BF25" s="180">
        <f>$F25*(VLOOKUP(BF$4, Rates_previous!$G$6:$Q$29, 10, FALSE)+VLOOKUP(BF$4, Rates_previous!$G$6:$Q$29, 11, FALSE))</f>
        <v>258.37970430384536</v>
      </c>
      <c r="BG25" s="180">
        <f>$F25*(VLOOKUP(BG$4, Rates_previous!$G$6:$Q$29, 10, FALSE)+VLOOKUP(BG$4, Rates_previous!$G$6:$Q$29, 11, FALSE))</f>
        <v>238.769781793492</v>
      </c>
      <c r="BH25" s="298">
        <f>IF($D25=0,IF(C25=0, MAX(BJ25 - (VLOOKUP($A25,TOCA_previous!$A$2:$AI$137,MATCH("RHWM 2022",TOCA_previous!$A$2:$AI$2,0),FALSE)*$F$2*TOCA_previous!C22),0),0), 0)</f>
        <v>418.09915334703874</v>
      </c>
      <c r="BI25" s="192">
        <f>MIN(VLOOKUP($A25,TOCA_previous!$A$2:$AI$137,MATCH("TRL - NLSL - Existing Resource "&amp;$F$1,TOCA_previous!$A$2:$AI$2,0),FALSE)*$F$2,(VLOOKUP($A25,TOCA_previous!$A$2:$AI$137,MATCH("RHWM 2022",TOCA_previous!$A$2:$AI$2,0),FALSE)*$F$2))</f>
        <v>2995.92</v>
      </c>
      <c r="BJ25" s="402">
        <f>SUM(L25:AI25)+(F25*RT1SC!$C$3*$F$2)</f>
        <v>3414.0191533470388</v>
      </c>
      <c r="BK25" s="401">
        <f>VLOOKUP($A25,TOCA_previous!$A$2:$AI$137,MATCH("Above RHWM Not Served with LS "&amp;$F$1,TOCA_previous!$A$2:$AI$2,0),FALSE)*$F$2</f>
        <v>0</v>
      </c>
      <c r="BL25" s="402">
        <f t="shared" si="8"/>
        <v>418.09915334703874</v>
      </c>
      <c r="BM25" s="401">
        <f>(VLOOKUP($A25,TOCA_previous!$A$2:$AI$137,MATCH("RHWM 2022",TOCA_previous!$A$2:$AI$2,0),FALSE)*$F$2) - $BI25</f>
        <v>0</v>
      </c>
      <c r="BN25" s="402">
        <f t="shared" si="9"/>
        <v>0</v>
      </c>
      <c r="BO25" s="401">
        <f t="shared" si="10"/>
        <v>0</v>
      </c>
      <c r="BP25" s="402">
        <f t="shared" si="11"/>
        <v>0</v>
      </c>
      <c r="BQ25" s="401">
        <f t="shared" si="2"/>
        <v>0</v>
      </c>
      <c r="BR25" s="108">
        <f>VLOOKUP($A25,TOCA_current!$A$2:$AI$137,MATCH(BR$4,TOCA_current!$A$2:$AI$2,0),FALSE)</f>
        <v>5.0800000000000002E-5</v>
      </c>
      <c r="BS25" s="108">
        <f>VLOOKUP($A25,TOCA_current!$A$2:$AI$137,MATCH(BS$4,TOCA_current!$A$2:$AI$2,0),FALSE)</f>
        <v>5.0800000000000002E-5</v>
      </c>
      <c r="BT25" s="189">
        <f t="shared" si="12"/>
        <v>0</v>
      </c>
      <c r="BU25" s="108">
        <f>VLOOKUP($A25,TOCA_current!A21:BG156,MATCH(BU$4,TOCA_current!$A$2:$BG$2,0),FALSE)</f>
        <v>0</v>
      </c>
      <c r="BV25" s="108">
        <f t="shared" si="3"/>
        <v>0</v>
      </c>
      <c r="BW25" s="108">
        <f t="shared" si="4"/>
        <v>0</v>
      </c>
      <c r="BX25" s="179">
        <f>VLOOKUP($A25,IRD!$A$4:$G$139, 7, FALSE)</f>
        <v>0</v>
      </c>
      <c r="BY25" s="180">
        <f t="array" ref="BY25">IF($BT25=0, INDEX(LS_current!$D$4:$AY$138, MATCH('Staging Table'!$A25, LS_current!$B$4:$B$138, 0), MATCH(BY$4&amp;BY$5, LS_current!$D$2:$AY$2&amp;LS_current!$D$3:$AY$3, 0)),SUM(VLOOKUP($A25, LS_current!$B$4:$AY$138, LS_current!D$148, FALSE), VLOOKUP($A25, LS_current!$B$4:$AY$138,LS_current!AB$148, FALSE))/2)</f>
        <v>30.208842971199971</v>
      </c>
      <c r="BZ25" s="180">
        <f t="array" ref="BZ25">IF($BT25=0, INDEX(LS_current!$D$4:$AY$138, MATCH('Staging Table'!$A25, LS_current!$B$4:$B$138, 0), MATCH(BZ$4&amp;BZ$5, LS_current!$D$2:$AY$2&amp;LS_current!$D$3:$AY$3, 0)),SUM(VLOOKUP($A25, LS_current!$B$4:$AY$138, LS_current!E$148, FALSE), VLOOKUP($A25, LS_current!$B$4:$AY$138,LS_current!AC$148, FALSE))/2)</f>
        <v>16.357925944599998</v>
      </c>
      <c r="CA25" s="180">
        <f t="array" ref="CA25">IF($BT25=0, INDEX(LS_current!$D$4:$AY$138, MATCH('Staging Table'!$A25, LS_current!$B$4:$B$138, 0), MATCH(CA$4&amp;CA$5, LS_current!$D$2:$AY$2&amp;LS_current!$D$3:$AY$3, 0)),SUM(VLOOKUP($A25, LS_current!$B$4:$AY$138, LS_current!F$148, FALSE), VLOOKUP($A25, LS_current!$B$4:$AY$138,LS_current!AD$148, FALSE))/2)</f>
        <v>8.0980437375999941</v>
      </c>
      <c r="CB25" s="180">
        <f t="array" ref="CB25">IF($BT25=0, INDEX(LS_current!$D$4:$AY$138, MATCH('Staging Table'!$A25, LS_current!$B$4:$B$138, 0), MATCH(CB$4&amp;CB$5, LS_current!$D$2:$AY$2&amp;LS_current!$D$3:$AY$3, 0)),SUM(VLOOKUP($A25, LS_current!$B$4:$AY$138, LS_current!G$148, FALSE), VLOOKUP($A25, LS_current!$B$4:$AY$138,LS_current!AE$148, FALSE))/2)</f>
        <v>10.478365545199992</v>
      </c>
      <c r="CC25" s="180">
        <f t="array" ref="CC25">IF($BT25=0, INDEX(LS_current!$D$4:$AY$138, MATCH('Staging Table'!$A25, LS_current!$B$4:$B$138, 0), MATCH(CC$4&amp;CC$5, LS_current!$D$2:$AY$2&amp;LS_current!$D$3:$AY$3, 0)),SUM(VLOOKUP($A25, LS_current!$B$4:$AY$138, LS_current!H$148, FALSE), VLOOKUP($A25, LS_current!$B$4:$AY$138,LS_current!AF$148, FALSE))/2)</f>
        <v>35.234324458799989</v>
      </c>
      <c r="CD25" s="180">
        <f t="array" ref="CD25">IF($BT25=0, INDEX(LS_current!$D$4:$AY$138, MATCH('Staging Table'!$A25, LS_current!$B$4:$B$138, 0), MATCH(CD$4&amp;CD$5, LS_current!$D$2:$AY$2&amp;LS_current!$D$3:$AY$3, 0)),SUM(VLOOKUP($A25, LS_current!$B$4:$AY$138, LS_current!I$148, FALSE), VLOOKUP($A25, LS_current!$B$4:$AY$138,LS_current!AG$148, FALSE))/2)</f>
        <v>48.367520243200005</v>
      </c>
      <c r="CE25" s="180">
        <f t="array" ref="CE25">IF($BT25=0, INDEX(LS_current!$D$4:$AY$138, MATCH('Staging Table'!$A25, LS_current!$B$4:$B$138, 0), MATCH(CE$4&amp;CE$5, LS_current!$D$2:$AY$2&amp;LS_current!$D$3:$AY$3, 0)),SUM(VLOOKUP($A25, LS_current!$B$4:$AY$138, LS_current!J$148, FALSE), VLOOKUP($A25, LS_current!$B$4:$AY$138,LS_current!AH$148, FALSE))/2)</f>
        <v>35.809860877999995</v>
      </c>
      <c r="CF25" s="180">
        <f t="array" ref="CF25">IF($BT25=0, INDEX(LS_current!$D$4:$AY$138, MATCH('Staging Table'!$A25, LS_current!$B$4:$B$138, 0), MATCH(CF$4&amp;CF$5, LS_current!$D$2:$AY$2&amp;LS_current!$D$3:$AY$3, 0)),SUM(VLOOKUP($A25, LS_current!$B$4:$AY$138, LS_current!K$148, FALSE), VLOOKUP($A25, LS_current!$B$4:$AY$138,LS_current!AI$148, FALSE))/2)</f>
        <v>39.770588126799979</v>
      </c>
      <c r="CG25" s="180">
        <f t="array" ref="CG25">IF($BT25=0, INDEX(LS_current!$D$4:$AY$138, MATCH('Staging Table'!$A25, LS_current!$B$4:$B$138, 0), MATCH(CG$4&amp;CG$5, LS_current!$D$2:$AY$2&amp;LS_current!$D$3:$AY$3, 0)),SUM(VLOOKUP($A25, LS_current!$B$4:$AY$138, LS_current!L$148, FALSE), VLOOKUP($A25, LS_current!$B$4:$AY$138,LS_current!AJ$148, FALSE))/2)</f>
        <v>26.557209346800022</v>
      </c>
      <c r="CH25" s="180">
        <f t="array" ref="CH25">IF($BT25=0, INDEX(LS_current!$D$4:$AY$138, MATCH('Staging Table'!$A25, LS_current!$B$4:$B$138, 0), MATCH(CH$4&amp;CH$5, LS_current!$D$2:$AY$2&amp;LS_current!$D$3:$AY$3, 0)),SUM(VLOOKUP($A25, LS_current!$B$4:$AY$138, LS_current!M$148, FALSE), VLOOKUP($A25, LS_current!$B$4:$AY$138,LS_current!AK$148, FALSE))/2)</f>
        <v>29.42398048279999</v>
      </c>
      <c r="CI25" s="180">
        <f t="array" ref="CI25">IF($BT25=0, INDEX(LS_current!$D$4:$AY$138, MATCH('Staging Table'!$A25, LS_current!$B$4:$B$138, 0), MATCH(CI$4&amp;CI$5, LS_current!$D$2:$AY$2&amp;LS_current!$D$3:$AY$3, 0)),SUM(VLOOKUP($A25, LS_current!$B$4:$AY$138, LS_current!N$148, FALSE), VLOOKUP($A25, LS_current!$B$4:$AY$138,LS_current!AL$148, FALSE))/2)</f>
        <v>-1.5978909404000206</v>
      </c>
      <c r="CJ25" s="180">
        <f t="array" ref="CJ25">IF($BT25=0, INDEX(LS_current!$D$4:$AY$138, MATCH('Staging Table'!$A25, LS_current!$B$4:$B$138, 0), MATCH(CJ$4&amp;CJ$5, LS_current!$D$2:$AY$2&amp;LS_current!$D$3:$AY$3, 0)),SUM(VLOOKUP($A25, LS_current!$B$4:$AY$138, LS_current!O$148, FALSE), VLOOKUP($A25, LS_current!$B$4:$AY$138,LS_current!AM$148, FALSE))/2)</f>
        <v>8.5487736775999963</v>
      </c>
      <c r="CK25" s="180">
        <f t="array" ref="CK25">IF($BT25=0, INDEX(LS_current!$D$4:$AY$138, MATCH('Staging Table'!$A25, LS_current!$B$4:$B$138, 0), MATCH(CK$4&amp;CK$5, LS_current!$D$2:$AY$2&amp;LS_current!$D$3:$AY$3, 0)),SUM(VLOOKUP($A25, LS_current!$B$4:$AY$138, LS_current!P$148, FALSE), VLOOKUP($A25, LS_current!$B$4:$AY$138,LS_current!AN$148, FALSE))/2)</f>
        <v>23.310684903000009</v>
      </c>
      <c r="CL25" s="180">
        <f t="array" ref="CL25">IF($BT25=0, INDEX(LS_current!$D$4:$AY$138, MATCH('Staging Table'!$A25, LS_current!$B$4:$B$138, 0), MATCH(CL$4&amp;CL$5, LS_current!$D$2:$AY$2&amp;LS_current!$D$3:$AY$3, 0)),SUM(VLOOKUP($A25, LS_current!$B$4:$AY$138, LS_current!Q$148, FALSE), VLOOKUP($A25, LS_current!$B$4:$AY$138,LS_current!AO$148, FALSE))/2)</f>
        <v>10.024156143100015</v>
      </c>
      <c r="CM25" s="180">
        <f t="array" ref="CM25">IF($BT25=0, INDEX(LS_current!$D$4:$AY$138, MATCH('Staging Table'!$A25, LS_current!$B$4:$B$138, 0), MATCH(CM$4&amp;CM$5, LS_current!$D$2:$AY$2&amp;LS_current!$D$3:$AY$3, 0)),SUM(VLOOKUP($A25, LS_current!$B$4:$AY$138, LS_current!R$148, FALSE), VLOOKUP($A25, LS_current!$B$4:$AY$138,LS_current!AP$148, FALSE))/2)</f>
        <v>-22.503295878400024</v>
      </c>
      <c r="CN25" s="180">
        <f t="array" ref="CN25">IF($BT25=0, INDEX(LS_current!$D$4:$AY$138, MATCH('Staging Table'!$A25, LS_current!$B$4:$B$138, 0), MATCH(CN$4&amp;CN$5, LS_current!$D$2:$AY$2&amp;LS_current!$D$3:$AY$3, 0)),SUM(VLOOKUP($A25, LS_current!$B$4:$AY$138, LS_current!S$148, FALSE), VLOOKUP($A25, LS_current!$B$4:$AY$138,LS_current!AQ$148, FALSE))/2)</f>
        <v>-15.791113251799999</v>
      </c>
      <c r="CO25" s="180">
        <f t="array" ref="CO25">IF($BT25=0, INDEX(LS_current!$D$4:$AY$138, MATCH('Staging Table'!$A25, LS_current!$B$4:$B$138, 0), MATCH(CO$4&amp;CO$5, LS_current!$D$2:$AY$2&amp;LS_current!$D$3:$AY$3, 0)),SUM(VLOOKUP($A25, LS_current!$B$4:$AY$138, LS_current!T$148, FALSE), VLOOKUP($A25, LS_current!$B$4:$AY$138,LS_current!AR$148, FALSE))/2)</f>
        <v>-39.608402640799994</v>
      </c>
      <c r="CP25" s="180">
        <f t="array" ref="CP25">IF($BT25=0, INDEX(LS_current!$D$4:$AY$138, MATCH('Staging Table'!$A25, LS_current!$B$4:$B$138, 0), MATCH(CP$4&amp;CP$5, LS_current!$D$2:$AY$2&amp;LS_current!$D$3:$AY$3, 0)),SUM(VLOOKUP($A25, LS_current!$B$4:$AY$138, LS_current!U$148, FALSE), VLOOKUP($A25, LS_current!$B$4:$AY$138,LS_current!AS$148, FALSE))/2)</f>
        <v>-14.032172768600006</v>
      </c>
      <c r="CQ25" s="180">
        <f t="array" ref="CQ25">IF($BT25=0, INDEX(LS_current!$D$4:$AY$138, MATCH('Staging Table'!$A25, LS_current!$B$4:$B$138, 0), MATCH(CQ$4&amp;CQ$5, LS_current!$D$2:$AY$2&amp;LS_current!$D$3:$AY$3, 0)),SUM(VLOOKUP($A25, LS_current!$B$4:$AY$138, LS_current!V$148, FALSE), VLOOKUP($A25, LS_current!$B$4:$AY$138,LS_current!AT$148, FALSE))/2)</f>
        <v>3.6767863887999965</v>
      </c>
      <c r="CR25" s="180">
        <f t="array" ref="CR25">IF($BT25=0, INDEX(LS_current!$D$4:$AY$138, MATCH('Staging Table'!$A25, LS_current!$B$4:$B$138, 0), MATCH(CR$4&amp;CR$5, LS_current!$D$2:$AY$2&amp;LS_current!$D$3:$AY$3, 0)),SUM(VLOOKUP($A25, LS_current!$B$4:$AY$138, LS_current!W$148, FALSE), VLOOKUP($A25, LS_current!$B$4:$AY$138,LS_current!AU$148, FALSE))/2)</f>
        <v>4.0750905230000001</v>
      </c>
      <c r="CS25" s="180">
        <f t="array" ref="CS25">IF($BT25=0, INDEX(LS_current!$D$4:$AY$138, MATCH('Staging Table'!$A25, LS_current!$B$4:$B$138, 0), MATCH(CS$4&amp;CS$5, LS_current!$D$2:$AY$2&amp;LS_current!$D$3:$AY$3, 0)),SUM(VLOOKUP($A25, LS_current!$B$4:$AY$138, LS_current!X$148, FALSE), VLOOKUP($A25, LS_current!$B$4:$AY$138,LS_current!AV$148, FALSE))/2)</f>
        <v>11.701859287800005</v>
      </c>
      <c r="CT25" s="180">
        <f t="array" ref="CT25">IF($BT25=0, INDEX(LS_current!$D$4:$AY$138, MATCH('Staging Table'!$A25, LS_current!$B$4:$B$138, 0), MATCH(CT$4&amp;CT$5, LS_current!$D$2:$AY$2&amp;LS_current!$D$3:$AY$3, 0)),SUM(VLOOKUP($A25, LS_current!$B$4:$AY$138, LS_current!Y$148, FALSE), VLOOKUP($A25, LS_current!$B$4:$AY$138,LS_current!AW$148, FALSE))/2)</f>
        <v>2.3463055436200051</v>
      </c>
      <c r="CU25" s="180">
        <f t="array" ref="CU25">IF($BT25=0, INDEX(LS_current!$D$4:$AY$138, MATCH('Staging Table'!$A25, LS_current!$B$4:$B$138, 0), MATCH(CU$4&amp;CU$5, LS_current!$D$2:$AY$2&amp;LS_current!$D$3:$AY$3, 0)),SUM(VLOOKUP($A25, LS_current!$B$4:$AY$138, LS_current!Z$148, FALSE), VLOOKUP($A25, LS_current!$B$4:$AY$138,LS_current!AX$148, FALSE))/2)</f>
        <v>7.9051356807999866</v>
      </c>
      <c r="CV25" s="180">
        <f t="array" ref="CV25">IF($BT25=0, INDEX(LS_current!$D$4:$AY$138, MATCH('Staging Table'!$A25, LS_current!$B$4:$B$138, 0), MATCH(CV$4&amp;CV$5, LS_current!$D$2:$AY$2&amp;LS_current!$D$3:$AY$3, 0)),SUM(VLOOKUP($A25, LS_current!$B$4:$AY$138, LS_current!AA$148, FALSE), VLOOKUP($A25, LS_current!$B$4:$AY$138,LS_current!AY$148, FALSE))/2)</f>
        <v>3.7908495167999945</v>
      </c>
      <c r="CW25" s="182">
        <f t="array" ref="CW25">INDEX(Demand_current!$D$4:$AY$138, MATCH($A25, Demand_current!$B$4:$B$138, 0), MATCH(CW$4&amp;CW$5,Demand_current!$D$2:$AY$2&amp;Demand_current!$D$3:$AY$3, 0))/1000</f>
        <v>7.0689903846153812E-2</v>
      </c>
      <c r="CX25" s="182">
        <f t="array" ref="CX25">INDEX(Demand_current!$D$4:$AY$138, MATCH($A25, Demand_current!$B$4:$B$138, 0), MATCH(CX$4&amp;CX$5,Demand_current!$D$2:$AY$2&amp;Demand_current!$D$3:$AY$3, 0))/1000</f>
        <v>1.8165000000000014E-2</v>
      </c>
      <c r="CY25" s="182">
        <f t="array" ref="CY25">INDEX(Demand_current!$D$4:$AY$138, MATCH($A25, Demand_current!$B$4:$B$138, 0), MATCH(CY$4&amp;CY$5,Demand_current!$D$2:$AY$2&amp;Demand_current!$D$3:$AY$3, 0))/1000</f>
        <v>9.9812500000000082E-2</v>
      </c>
      <c r="CZ25" s="182">
        <f t="array" ref="CZ25">INDEX(Demand_current!$D$4:$AY$138, MATCH($A25, Demand_current!$B$4:$B$138, 0), MATCH(CZ$4&amp;CZ$5,Demand_current!$D$2:$AY$2&amp;Demand_current!$D$3:$AY$3, 0))/1000</f>
        <v>6.6733173076923058E-2</v>
      </c>
      <c r="DA25" s="182">
        <f t="array" ref="DA25">INDEX(Demand_current!$D$4:$AY$138, MATCH($A25, Demand_current!$B$4:$B$138, 0), MATCH(DA$4&amp;DA$5,Demand_current!$D$2:$AY$2&amp;Demand_current!$D$3:$AY$3, 0))/1000</f>
        <v>4.0507500000000057E-2</v>
      </c>
      <c r="DB25" s="182">
        <f t="array" ref="DB25">INDEX(Demand_current!$D$4:$AY$138, MATCH($A25, Demand_current!$B$4:$B$138, 0), MATCH(DB$4&amp;DB$5,Demand_current!$D$2:$AY$2&amp;Demand_current!$D$3:$AY$3, 0))/1000</f>
        <v>6.555288461538461E-2</v>
      </c>
      <c r="DC25" s="182">
        <f t="array" ref="DC25">INDEX(Demand_current!$D$4:$AY$138, MATCH($A25, Demand_current!$B$4:$B$138, 0), MATCH(DC$4&amp;DC$5,Demand_current!$D$2:$AY$2&amp;Demand_current!$D$3:$AY$3, 0))/1000</f>
        <v>3.2516826923076864E-2</v>
      </c>
      <c r="DD25" s="182">
        <f t="array" ref="DD25">INDEX(Demand_current!$D$4:$AY$138, MATCH($A25, Demand_current!$B$4:$B$138, 0), MATCH(DD$4&amp;DD$5,Demand_current!$D$2:$AY$2&amp;Demand_current!$D$3:$AY$3, 0))/1000</f>
        <v>1.834375000000002E-2</v>
      </c>
      <c r="DE25" s="182">
        <f t="array" ref="DE25">INDEX(Demand_current!$D$4:$AY$138, MATCH($A25, Demand_current!$B$4:$B$138, 0), MATCH(DE$4&amp;DE$5,Demand_current!$D$2:$AY$2&amp;Demand_current!$D$3:$AY$3, 0))/1000</f>
        <v>5.5899999999999977E-2</v>
      </c>
      <c r="DF25" s="182">
        <f t="array" ref="DF25">INDEX(Demand_current!$D$4:$AY$138, MATCH($A25, Demand_current!$B$4:$B$138, 0), MATCH(DF$4&amp;DF$5,Demand_current!$D$2:$AY$2&amp;Demand_current!$D$3:$AY$3, 0))/1000</f>
        <v>5.8629807692307731E-2</v>
      </c>
      <c r="DG25" s="182">
        <f t="array" ref="DG25">INDEX(Demand_current!$D$4:$AY$138, MATCH($A25, Demand_current!$B$4:$B$138, 0), MATCH(DG$4&amp;DG$5,Demand_current!$D$2:$AY$2&amp;Demand_current!$D$3:$AY$3, 0))/1000</f>
        <v>7.4983796296296243E-2</v>
      </c>
      <c r="DH25" s="182">
        <f t="array" ref="DH25">INDEX(Demand_current!$D$4:$AY$138, MATCH($A25, Demand_current!$B$4:$B$138, 0), MATCH(DH$4&amp;DH$5,Demand_current!$D$2:$AY$2&amp;Demand_current!$D$3:$AY$3, 0))/1000</f>
        <v>5.3479166666666675E-2</v>
      </c>
      <c r="DI25" s="180">
        <f>$BS25*(VLOOKUP(DI$4, Rates_current!$G$6:$Q$29, 10, FALSE)+VLOOKUP(DI$4, Rates_current!$G$6:$Q$29, 11, FALSE))</f>
        <v>214.31523108420001</v>
      </c>
      <c r="DJ25" s="180">
        <f>$BS25*(VLOOKUP(DJ$4, Rates_current!$G$6:$Q$29, 10, FALSE)+VLOOKUP(DJ$4, Rates_current!$G$6:$Q$29, 11, FALSE))</f>
        <v>273.32259071720006</v>
      </c>
      <c r="DK25" s="180">
        <f>$BS25*(VLOOKUP(DK$4, Rates_current!$G$6:$Q$29, 10, FALSE)+VLOOKUP(DK$4, Rates_current!$G$6:$Q$29, 11, FALSE))</f>
        <v>294.96915529800003</v>
      </c>
      <c r="DL25" s="180">
        <f>$BS25*(VLOOKUP(DL$4, Rates_current!$G$6:$Q$29, 10, FALSE)+VLOOKUP(DL$4, Rates_current!$G$6:$Q$29, 11, FALSE))</f>
        <v>306.51855099520003</v>
      </c>
      <c r="DM25" s="180">
        <f>$BS25*(VLOOKUP(DM$4, Rates_current!$G$6:$Q$29, 10, FALSE)+VLOOKUP(DM$4, Rates_current!$G$6:$Q$29, 11, FALSE))</f>
        <v>263.64681017039999</v>
      </c>
      <c r="DN25" s="180">
        <f>$BS25*(VLOOKUP(DN$4, Rates_current!$G$6:$Q$29, 10, FALSE)+VLOOKUP(DN$4, Rates_current!$G$6:$Q$29, 11, FALSE))</f>
        <v>287.85011726279998</v>
      </c>
      <c r="DO25" s="180">
        <f>$BS25*(VLOOKUP(DO$4, Rates_current!$G$6:$Q$29, 10, FALSE)+VLOOKUP(DO$4, Rates_current!$G$6:$Q$29, 11, FALSE))</f>
        <v>227.20915895389999</v>
      </c>
      <c r="DP25" s="180">
        <f>$BS25*(VLOOKUP(DP$4, Rates_current!$G$6:$Q$29, 10, FALSE)+VLOOKUP(DP$4, Rates_current!$G$6:$Q$29, 11, FALSE))</f>
        <v>281.88340913019999</v>
      </c>
      <c r="DQ25" s="180">
        <f>$BS25*(VLOOKUP(DQ$4, Rates_current!$G$6:$Q$29, 10, FALSE)+VLOOKUP(DQ$4, Rates_current!$G$6:$Q$29, 11, FALSE))</f>
        <v>287.99957540939999</v>
      </c>
      <c r="DR25" s="180">
        <f>$BS25*(VLOOKUP(DR$4, Rates_current!$G$6:$Q$29, 10, FALSE)+VLOOKUP(DR$4, Rates_current!$G$6:$Q$29, 11, FALSE))</f>
        <v>250.02512308819999</v>
      </c>
      <c r="DS25" s="180">
        <f>$BS25*(VLOOKUP(DS$4, Rates_current!$G$6:$Q$29, 10, FALSE)+VLOOKUP(DS$4, Rates_current!$G$6:$Q$29, 11, FALSE))</f>
        <v>241.70783516858003</v>
      </c>
      <c r="DT25" s="180">
        <f>$BS25*(VLOOKUP(DT$4, Rates_current!$G$6:$Q$29, 10, FALSE)+VLOOKUP(DT$4, Rates_current!$G$6:$Q$29, 11, FALSE))</f>
        <v>222.41801480240002</v>
      </c>
      <c r="DU25" s="402">
        <f>IF(D25=0,IF(C25=0,MAX(0,DW25 - (VLOOKUP($A25,TOCA_current!$A$2:$AI$137,MATCH("RHWM 2024",TOCA_current!$A$2:$AI$2,0),FALSE)*$BS$2)), 0),0)</f>
        <v>260.56301444751989</v>
      </c>
      <c r="DV25" s="403">
        <f>MIN(VLOOKUP($A25,TOCA_current!$A$2:$AI$137,MATCH("TRL - NLSL - Existing Resource "&amp;$BS$1,TOCA_current!$A$2:$AI$2,0),FALSE)*$BS$2, VLOOKUP($A25,TOCA_current!$A$2:$AI$137,MATCH("RHWM 2024",TOCA_current!$A$2:$AI$2,0),FALSE)*$BS$2)</f>
        <v>3153.4559999999997</v>
      </c>
      <c r="DW25" s="403">
        <f>SUM(BY25:CV25)+(BS25*RT1SC!$C$4*$BS$2)</f>
        <v>3414.0190144475196</v>
      </c>
      <c r="DX25" s="403">
        <f>VLOOKUP($A25,TOCA_current!$A$2:$AI$137,MATCH("Above RHWM Not Served with LS "&amp;$BS$1,TOCA_current!$A$2:$AI$2,0),FALSE)*$BS$2</f>
        <v>0</v>
      </c>
      <c r="DY25" s="403">
        <f t="shared" si="13"/>
        <v>260.56301444751989</v>
      </c>
      <c r="DZ25" s="403">
        <f>(VLOOKUP($A25,TOCA_current!$A$2:$AI$137,MATCH("RHWM 2024",TOCA_current!$A$2:$AI$2,0),FALSE)*$BS$2) - $DV25</f>
        <v>0</v>
      </c>
      <c r="EA25" s="403">
        <f t="shared" si="14"/>
        <v>0</v>
      </c>
      <c r="EB25" s="403">
        <f t="shared" si="15"/>
        <v>0</v>
      </c>
      <c r="EC25" s="403">
        <f t="shared" si="16"/>
        <v>0</v>
      </c>
      <c r="ED25" s="403">
        <f t="shared" si="17"/>
        <v>0</v>
      </c>
    </row>
    <row r="26" spans="1:134">
      <c r="A26" s="123">
        <v>10071</v>
      </c>
      <c r="B26" s="124" t="s">
        <v>27</v>
      </c>
      <c r="C26" s="232">
        <f>VLOOKUP(A26, TOCA_current!$A$3:$D$137, 4, FALSE)</f>
        <v>0</v>
      </c>
      <c r="D26" s="191">
        <v>0</v>
      </c>
      <c r="E26" s="107">
        <f>VLOOKUP($A26,TOCA_previous!$A$2:$AI$137,MATCH(E$4,TOCA_previous!$A$2:$AI$2,0),FALSE)</f>
        <v>2.7109999999999998E-4</v>
      </c>
      <c r="F26" s="108">
        <f>VLOOKUP($A26,TOCA_previous!$A$2:$AI$137,MATCH(F$4,TOCA_previous!$A$2:$AI$2,0),FALSE)</f>
        <v>2.7109999999999998E-4</v>
      </c>
      <c r="G26" s="108">
        <f t="shared" si="5"/>
        <v>0</v>
      </c>
      <c r="H26" s="108">
        <f>VLOOKUP($A26,TOCA_previous!$A$2:$AI$137,MATCH(H$4,TOCA_previous!$A$2:$AI$2,0),FALSE)</f>
        <v>0</v>
      </c>
      <c r="I26" s="108">
        <f t="shared" si="6"/>
        <v>0</v>
      </c>
      <c r="J26" s="108">
        <f t="shared" si="7"/>
        <v>0</v>
      </c>
      <c r="K26" s="179">
        <f>VLOOKUP(A26, IRD!$A$5:$C$139, 3, FALSE)</f>
        <v>0</v>
      </c>
      <c r="L26" s="180">
        <f t="array" ref="L26">IF($G26=0, INDEX(LS_previous!$D$4:$AY$138, MATCH('Staging Table'!$A26, LS_previous!$B$4:$B$138, 0), MATCH(L$4&amp;L$5, LS_previous!$D$2:$AY$2&amp;LS_previous!$D$3:$AY$3, 0)),SUM(VLOOKUP($A26, LS_previous!$B$4:$AY$138, LS_previous!D$149, FALSE), VLOOKUP('Staging Table'!$A26, LS_previous!$B$4:$AY$138,LS_previous!AB$149, FALSE))/2)</f>
        <v>16.594759284426118</v>
      </c>
      <c r="M26" s="180">
        <f t="array" ref="M26">IF($G26=0, INDEX(LS_previous!$D$4:$AY$138, MATCH('Staging Table'!$A26, LS_previous!$B$4:$B$138, 0), MATCH(M$4&amp;M$5, LS_previous!$D$2:$AY$2&amp;LS_previous!$D$3:$AY$3, 0)),SUM(VLOOKUP($A26, LS_previous!$B$4:$AY$138, LS_previous!E$149, FALSE), VLOOKUP('Staging Table'!$A26, LS_previous!$B$4:$AY$138,LS_previous!AC$149, FALSE))/2)</f>
        <v>46.700330246724718</v>
      </c>
      <c r="N26" s="180">
        <f t="array" ref="N26">IF($G26=0, INDEX(LS_previous!$D$4:$AY$138, MATCH('Staging Table'!$A26, LS_previous!$B$4:$B$138, 0), MATCH(N$4&amp;N$5, LS_previous!$D$2:$AY$2&amp;LS_previous!$D$3:$AY$3, 0)),SUM(VLOOKUP($A26, LS_previous!$B$4:$AY$138, LS_previous!F$149, FALSE), VLOOKUP('Staging Table'!$A26, LS_previous!$B$4:$AY$138,LS_previous!AD$149, FALSE))/2)</f>
        <v>-122.82493573759609</v>
      </c>
      <c r="O26" s="180">
        <f t="array" ref="O26">IF($G26=0, INDEX(LS_previous!$D$4:$AY$138, MATCH('Staging Table'!$A26, LS_previous!$B$4:$B$138, 0), MATCH(O$4&amp;O$5, LS_previous!$D$2:$AY$2&amp;LS_previous!$D$3:$AY$3, 0)),SUM(VLOOKUP($A26, LS_previous!$B$4:$AY$138, LS_previous!G$149, FALSE), VLOOKUP('Staging Table'!$A26, LS_previous!$B$4:$AY$138,LS_previous!AE$149, FALSE))/2)</f>
        <v>-66.907110505032961</v>
      </c>
      <c r="P26" s="180">
        <f t="array" ref="P26">IF($G26=0, INDEX(LS_previous!$D$4:$AY$138, MATCH('Staging Table'!$A26, LS_previous!$B$4:$B$138, 0), MATCH(P$4&amp;P$5, LS_previous!$D$2:$AY$2&amp;LS_previous!$D$3:$AY$3, 0)),SUM(VLOOKUP($A26, LS_previous!$B$4:$AY$138, LS_previous!H$149, FALSE), VLOOKUP('Staging Table'!$A26, LS_previous!$B$4:$AY$138,LS_previous!AF$149, FALSE))/2)</f>
        <v>238.97410135755865</v>
      </c>
      <c r="Q26" s="180">
        <f t="array" ref="Q26">IF($G26=0, INDEX(LS_previous!$D$4:$AY$138, MATCH('Staging Table'!$A26, LS_previous!$B$4:$B$138, 0), MATCH(Q$4&amp;Q$5, LS_previous!$D$2:$AY$2&amp;LS_previous!$D$3:$AY$3, 0)),SUM(VLOOKUP($A26, LS_previous!$B$4:$AY$138, LS_previous!I$149, FALSE), VLOOKUP('Staging Table'!$A26, LS_previous!$B$4:$AY$138,LS_previous!AG$149, FALSE))/2)</f>
        <v>114.72430534446494</v>
      </c>
      <c r="R26" s="180">
        <f t="array" ref="R26">IF($G26=0, INDEX(LS_previous!$D$4:$AY$138, MATCH('Staging Table'!$A26, LS_previous!$B$4:$B$138, 0), MATCH(R$4&amp;R$5, LS_previous!$D$2:$AY$2&amp;LS_previous!$D$3:$AY$3, 0)),SUM(VLOOKUP($A26, LS_previous!$B$4:$AY$138, LS_previous!J$149, FALSE), VLOOKUP('Staging Table'!$A26, LS_previous!$B$4:$AY$138,LS_previous!AH$149, FALSE))/2)</f>
        <v>434.27473649760225</v>
      </c>
      <c r="S26" s="180">
        <f t="array" ref="S26">IF($G26=0, INDEX(LS_previous!$D$4:$AY$138, MATCH('Staging Table'!$A26, LS_previous!$B$4:$B$138, 0), MATCH(S$4&amp;S$5, LS_previous!$D$2:$AY$2&amp;LS_previous!$D$3:$AY$3, 0)),SUM(VLOOKUP($A26, LS_previous!$B$4:$AY$138, LS_previous!K$149, FALSE), VLOOKUP('Staging Table'!$A26, LS_previous!$B$4:$AY$138,LS_previous!AI$149, FALSE))/2)</f>
        <v>192.73573307095012</v>
      </c>
      <c r="T26" s="180">
        <f t="array" ref="T26">IF($G26=0, INDEX(LS_previous!$D$4:$AY$138, MATCH('Staging Table'!$A26, LS_previous!$B$4:$B$138, 0), MATCH(T$4&amp;T$5, LS_previous!$D$2:$AY$2&amp;LS_previous!$D$3:$AY$3, 0)),SUM(VLOOKUP($A26, LS_previous!$B$4:$AY$138, LS_previous!L$149, FALSE), VLOOKUP('Staging Table'!$A26, LS_previous!$B$4:$AY$138,LS_previous!AJ$149, FALSE))/2)</f>
        <v>334.10630801716093</v>
      </c>
      <c r="U26" s="180">
        <f t="array" ref="U26">IF($G26=0, INDEX(LS_previous!$D$4:$AY$138, MATCH('Staging Table'!$A26, LS_previous!$B$4:$B$138, 0), MATCH(U$4&amp;U$5, LS_previous!$D$2:$AY$2&amp;LS_previous!$D$3:$AY$3, 0)),SUM(VLOOKUP($A26, LS_previous!$B$4:$AY$138, LS_previous!M$149, FALSE), VLOOKUP('Staging Table'!$A26, LS_previous!$B$4:$AY$138,LS_previous!AK$149, FALSE))/2)</f>
        <v>124.69875059440375</v>
      </c>
      <c r="V26" s="180">
        <f t="array" ref="V26">IF($G26=0, INDEX(LS_previous!$D$4:$AY$138, MATCH('Staging Table'!$A26, LS_previous!$B$4:$B$138, 0), MATCH(V$4&amp;V$5, LS_previous!$D$2:$AY$2&amp;LS_previous!$D$3:$AY$3, 0)),SUM(VLOOKUP($A26, LS_previous!$B$4:$AY$138, LS_previous!N$149, FALSE), VLOOKUP('Staging Table'!$A26, LS_previous!$B$4:$AY$138,LS_previous!AL$149, FALSE))/2)</f>
        <v>152.45237896945252</v>
      </c>
      <c r="W26" s="180">
        <f t="array" ref="W26">IF($G26=0, INDEX(LS_previous!$D$4:$AY$138, MATCH('Staging Table'!$A26, LS_previous!$B$4:$B$138, 0), MATCH(W$4&amp;W$5, LS_previous!$D$2:$AY$2&amp;LS_previous!$D$3:$AY$3, 0)),SUM(VLOOKUP($A26, LS_previous!$B$4:$AY$138, LS_previous!O$149, FALSE), VLOOKUP('Staging Table'!$A26, LS_previous!$B$4:$AY$138,LS_previous!AM$149, FALSE))/2)</f>
        <v>108.16924866221558</v>
      </c>
      <c r="X26" s="180">
        <f t="array" ref="X26">IF($G26=0, INDEX(LS_previous!$D$4:$AY$138, MATCH('Staging Table'!$A26, LS_previous!$B$4:$B$138, 0), MATCH(X$4&amp;X$5, LS_previous!$D$2:$AY$2&amp;LS_previous!$D$3:$AY$3, 0)),SUM(VLOOKUP($A26, LS_previous!$B$4:$AY$138, LS_previous!P$149, FALSE), VLOOKUP('Staging Table'!$A26, LS_previous!$B$4:$AY$138,LS_previous!AN$149, FALSE))/2)</f>
        <v>221.5022742261325</v>
      </c>
      <c r="Y26" s="180">
        <f t="array" ref="Y26">IF($G26=0, INDEX(LS_previous!$D$4:$AY$138, MATCH('Staging Table'!$A26, LS_previous!$B$4:$B$138, 0), MATCH(Y$4&amp;Y$5, LS_previous!$D$2:$AY$2&amp;LS_previous!$D$3:$AY$3, 0)),SUM(VLOOKUP($A26, LS_previous!$B$4:$AY$138, LS_previous!Q$149, FALSE), VLOOKUP('Staging Table'!$A26, LS_previous!$B$4:$AY$138,LS_previous!AO$149, FALSE))/2)</f>
        <v>104.97367652641577</v>
      </c>
      <c r="Z26" s="180">
        <f t="array" ref="Z26">IF($G26=0, INDEX(LS_previous!$D$4:$AY$138, MATCH('Staging Table'!$A26, LS_previous!$B$4:$B$138, 0), MATCH(Z$4&amp;Z$5, LS_previous!$D$2:$AY$2&amp;LS_previous!$D$3:$AY$3, 0)),SUM(VLOOKUP($A26, LS_previous!$B$4:$AY$138, LS_previous!R$149, FALSE), VLOOKUP('Staging Table'!$A26, LS_previous!$B$4:$AY$138,LS_previous!AP$149, FALSE))/2)</f>
        <v>-235.12589265650729</v>
      </c>
      <c r="AA26" s="180">
        <f t="array" ref="AA26">IF($G26=0, INDEX(LS_previous!$D$4:$AY$138, MATCH('Staging Table'!$A26, LS_previous!$B$4:$B$138, 0), MATCH(AA$4&amp;AA$5, LS_previous!$D$2:$AY$2&amp;LS_previous!$D$3:$AY$3, 0)),SUM(VLOOKUP($A26, LS_previous!$B$4:$AY$138, LS_previous!S$149, FALSE), VLOOKUP('Staging Table'!$A26, LS_previous!$B$4:$AY$138,LS_previous!AQ$149, FALSE))/2)</f>
        <v>-31.194504371907044</v>
      </c>
      <c r="AB26" s="180">
        <f t="array" ref="AB26">IF($G26=0, INDEX(LS_previous!$D$4:$AY$138, MATCH('Staging Table'!$A26, LS_previous!$B$4:$B$138, 0), MATCH(AB$4&amp;AB$5, LS_previous!$D$2:$AY$2&amp;LS_previous!$D$3:$AY$3, 0)),SUM(VLOOKUP($A26, LS_previous!$B$4:$AY$138, LS_previous!T$149, FALSE), VLOOKUP('Staging Table'!$A26, LS_previous!$B$4:$AY$138,LS_previous!AR$149, FALSE))/2)</f>
        <v>-402.19211269288314</v>
      </c>
      <c r="AC26" s="180">
        <f t="array" ref="AC26">IF($G26=0, INDEX(LS_previous!$D$4:$AY$138, MATCH('Staging Table'!$A26, LS_previous!$B$4:$B$138, 0), MATCH(AC$4&amp;AC$5, LS_previous!$D$2:$AY$2&amp;LS_previous!$D$3:$AY$3, 0)),SUM(VLOOKUP($A26, LS_previous!$B$4:$AY$138, LS_previous!U$149, FALSE), VLOOKUP('Staging Table'!$A26, LS_previous!$B$4:$AY$138,LS_previous!AS$149, FALSE))/2)</f>
        <v>-29.362104734476759</v>
      </c>
      <c r="AD26" s="180">
        <f t="array" ref="AD26">IF($G26=0, INDEX(LS_previous!$D$4:$AY$138, MATCH('Staging Table'!$A26, LS_previous!$B$4:$B$138, 0), MATCH(AD$4&amp;AD$5, LS_previous!$D$2:$AY$2&amp;LS_previous!$D$3:$AY$3, 0)),SUM(VLOOKUP($A26, LS_previous!$B$4:$AY$138, LS_previous!V$149, FALSE), VLOOKUP('Staging Table'!$A26, LS_previous!$B$4:$AY$138,LS_previous!AT$149, FALSE))/2)</f>
        <v>-256.99548696336558</v>
      </c>
      <c r="AE26" s="180">
        <f t="array" ref="AE26">IF($G26=0, INDEX(LS_previous!$D$4:$AY$138, MATCH('Staging Table'!$A26, LS_previous!$B$4:$B$138, 0), MATCH(AE$4&amp;AE$5, LS_previous!$D$2:$AY$2&amp;LS_previous!$D$3:$AY$3, 0)),SUM(VLOOKUP($A26, LS_previous!$B$4:$AY$138, LS_previous!W$149, FALSE), VLOOKUP('Staging Table'!$A26, LS_previous!$B$4:$AY$138,LS_previous!AU$149, FALSE))/2)</f>
        <v>-80.731505185516482</v>
      </c>
      <c r="AF26" s="180">
        <f t="array" ref="AF26">IF($G26=0, INDEX(LS_previous!$D$4:$AY$138, MATCH('Staging Table'!$A26, LS_previous!$B$4:$B$138, 0), MATCH(AF$4&amp;AF$5, LS_previous!$D$2:$AY$2&amp;LS_previous!$D$3:$AY$3, 0)),SUM(VLOOKUP($A26, LS_previous!$B$4:$AY$138, LS_previous!X$149, FALSE), VLOOKUP('Staging Table'!$A26, LS_previous!$B$4:$AY$138,LS_previous!AV$149, FALSE))/2)</f>
        <v>-195.82675656657887</v>
      </c>
      <c r="AG26" s="180">
        <f t="array" ref="AG26">IF($G26=0, INDEX(LS_previous!$D$4:$AY$138, MATCH('Staging Table'!$A26, LS_previous!$B$4:$B$138, 0), MATCH(AG$4&amp;AG$5, LS_previous!$D$2:$AY$2&amp;LS_previous!$D$3:$AY$3, 0)),SUM(VLOOKUP($A26, LS_previous!$B$4:$AY$138, LS_previous!Y$149, FALSE), VLOOKUP('Staging Table'!$A26, LS_previous!$B$4:$AY$138,LS_previous!AW$149, FALSE))/2)</f>
        <v>-65.478035495871495</v>
      </c>
      <c r="AH26" s="180">
        <f t="array" ref="AH26">IF($G26=0, INDEX(LS_previous!$D$4:$AY$138, MATCH('Staging Table'!$A26, LS_previous!$B$4:$B$138, 0), MATCH(AH$4&amp;AH$5, LS_previous!$D$2:$AY$2&amp;LS_previous!$D$3:$AY$3, 0)),SUM(VLOOKUP($A26, LS_previous!$B$4:$AY$138, LS_previous!Z$149, FALSE), VLOOKUP('Staging Table'!$A26, LS_previous!$B$4:$AY$138,LS_previous!AX$149, FALSE))/2)</f>
        <v>-171.48560181389348</v>
      </c>
      <c r="AI26" s="180">
        <f t="array" ref="AI26">IF($G26=0, INDEX(LS_previous!$D$4:$AY$138, MATCH('Staging Table'!$A26, LS_previous!$B$4:$B$138, 0), MATCH(AI$4&amp;AI$5, LS_previous!$D$2:$AY$2&amp;LS_previous!$D$3:$AY$3, 0)),SUM(VLOOKUP($A26, LS_previous!$B$4:$AY$138, LS_previous!AA$149, FALSE), VLOOKUP('Staging Table'!$A26, LS_previous!$B$4:$AY$138,LS_previous!AY$149, FALSE))/2)</f>
        <v>-49.793599843895379</v>
      </c>
      <c r="AJ26" s="298">
        <f t="array" ref="AJ26">INDEX(Demand_previous!$D$4:$AY$138, MATCH('Staging Table'!$A26, Demand_previous!$B$4:$B$138, 0), MATCH(AJ$4&amp;AJ$5,Demand_previous!$D$2:$AY$2&amp;Demand_previous!$D$3:$AY$3, 0))/1000</f>
        <v>4.4680288461538376E-2</v>
      </c>
      <c r="AK26" s="298">
        <f t="array" ref="AK26">INDEX(Demand_previous!$D$4:$AY$138, MATCH('Staging Table'!$A26, Demand_previous!$B$4:$B$138, 0), MATCH(AK$4&amp;AK$5,Demand_previous!$D$2:$AY$2&amp;Demand_previous!$D$3:$AY$3, 0))/1000</f>
        <v>0.1382199999999999</v>
      </c>
      <c r="AL26" s="298">
        <f t="array" ref="AL26">INDEX(Demand_previous!$D$4:$AY$138, MATCH('Staging Table'!$A26, Demand_previous!$B$4:$B$138, 0), MATCH(AL$4&amp;AL$5,Demand_previous!$D$2:$AY$2&amp;Demand_previous!$D$3:$AY$3, 0))/1000</f>
        <v>0.41960096153846216</v>
      </c>
      <c r="AM26" s="298">
        <f t="array" ref="AM26">INDEX(Demand_previous!$D$4:$AY$138, MATCH('Staging Table'!$A26, Demand_previous!$B$4:$B$138, 0), MATCH(AM$4&amp;AM$5,Demand_previous!$D$2:$AY$2&amp;Demand_previous!$D$3:$AY$3, 0))/1000</f>
        <v>0.10420500000000033</v>
      </c>
      <c r="AN26" s="298">
        <f t="array" ref="AN26">INDEX(Demand_previous!$D$4:$AY$138, MATCH('Staging Table'!$A26, Demand_previous!$B$4:$B$138, 0), MATCH(AN$4&amp;AN$5,Demand_previous!$D$2:$AY$2&amp;Demand_previous!$D$3:$AY$3, 0))/1000</f>
        <v>3.2192708333333209E-2</v>
      </c>
      <c r="AO26" s="298">
        <f t="array" ref="AO26">INDEX(Demand_previous!$D$4:$AY$138, MATCH('Staging Table'!$A26, Demand_previous!$B$4:$B$138, 0), MATCH(AO$4&amp;AO$5,Demand_previous!$D$2:$AY$2&amp;Demand_previous!$D$3:$AY$3, 0))/1000</f>
        <v>0.44040972222222208</v>
      </c>
      <c r="AP26" s="298">
        <f t="array" ref="AP26">INDEX(Demand_previous!$D$4:$AY$138, MATCH('Staging Table'!$A26, Demand_previous!$B$4:$B$138, 0), MATCH(AP$4&amp;AP$5,Demand_previous!$D$2:$AY$2&amp;Demand_previous!$D$3:$AY$3, 0))/1000</f>
        <v>0.35690624999999998</v>
      </c>
      <c r="AQ26" s="298">
        <f t="array" ref="AQ26">INDEX(Demand_previous!$D$4:$AY$138, MATCH('Staging Table'!$A26, Demand_previous!$B$4:$B$138, 0), MATCH(AQ$4&amp;AQ$5,Demand_previous!$D$2:$AY$2&amp;Demand_previous!$D$3:$AY$3, 0))/1000</f>
        <v>0</v>
      </c>
      <c r="AR26" s="298">
        <f t="array" ref="AR26">INDEX(Demand_previous!$D$4:$AY$138, MATCH('Staging Table'!$A26, Demand_previous!$B$4:$B$138, 0), MATCH(AR$4&amp;AR$5,Demand_previous!$D$2:$AY$2&amp;Demand_previous!$D$3:$AY$3, 0))/1000</f>
        <v>0.15574999999999994</v>
      </c>
      <c r="AS26" s="298">
        <f t="array" ref="AS26">INDEX(Demand_previous!$D$4:$AY$138, MATCH('Staging Table'!$A26, Demand_previous!$B$4:$B$138, 0), MATCH(AS$4&amp;AS$5,Demand_previous!$D$2:$AY$2&amp;Demand_previous!$D$3:$AY$3, 0))/1000</f>
        <v>2.4745000000000128E-2</v>
      </c>
      <c r="AT26" s="298">
        <f t="array" ref="AT26">INDEX(Demand_previous!$D$4:$AY$138, MATCH('Staging Table'!$A26, Demand_previous!$B$4:$B$138, 0), MATCH(AT$4&amp;AT$5,Demand_previous!$D$2:$AY$2&amp;Demand_previous!$D$3:$AY$3, 0))/1000</f>
        <v>0.21979398148148149</v>
      </c>
      <c r="AU26" s="298">
        <f t="array" ref="AU26">INDEX(Demand_previous!$D$4:$AY$138, MATCH('Staging Table'!$A26, Demand_previous!$B$4:$B$138, 0), MATCH(AU$4&amp;AU$5,Demand_previous!$D$2:$AY$2&amp;Demand_previous!$D$3:$AY$3, 0))/1000</f>
        <v>4.0677499999999811E-2</v>
      </c>
      <c r="AV26" s="180">
        <f>$F26*(VLOOKUP(AV$4, Rates_previous!$G$6:$Q$29, 10, FALSE)+VLOOKUP(AV$4, Rates_previous!$G$6:$Q$29, 11, FALSE))</f>
        <v>1234.5689104688493</v>
      </c>
      <c r="AW26" s="180">
        <f>$F26*(VLOOKUP(AW$4, Rates_previous!$G$6:$Q$29, 10, FALSE)+VLOOKUP(AW$4, Rates_previous!$G$6:$Q$29, 11, FALSE))</f>
        <v>1563.0090462426292</v>
      </c>
      <c r="AX26" s="180">
        <f>$F26*(VLOOKUP(AX$4, Rates_previous!$G$6:$Q$29, 10, FALSE)+VLOOKUP(AX$4, Rates_previous!$G$6:$Q$29, 11, FALSE))</f>
        <v>1529.8735932979764</v>
      </c>
      <c r="AY26" s="180">
        <f>$F26*(VLOOKUP(AY$4, Rates_previous!$G$6:$Q$29, 10, FALSE)+VLOOKUP(AY$4, Rates_previous!$G$6:$Q$29, 11, FALSE))</f>
        <v>1263.6105304314476</v>
      </c>
      <c r="AZ26" s="180">
        <f>$F26*(VLOOKUP(AZ$4, Rates_previous!$G$6:$Q$29, 10, FALSE)+VLOOKUP(AZ$4, Rates_previous!$G$6:$Q$29, 11, FALSE))</f>
        <v>1095.1989413884355</v>
      </c>
      <c r="BA26" s="180">
        <f>$F26*(VLOOKUP(BA$4, Rates_previous!$G$6:$Q$29, 10, FALSE)+VLOOKUP(BA$4, Rates_previous!$G$6:$Q$29, 11, FALSE))</f>
        <v>1307.446372368332</v>
      </c>
      <c r="BB26" s="180">
        <f>$F26*(VLOOKUP(BB$4, Rates_previous!$G$6:$Q$29, 10, FALSE)+VLOOKUP(BB$4, Rates_previous!$G$6:$Q$29, 11, FALSE))</f>
        <v>1015.0580492474518</v>
      </c>
      <c r="BC26" s="180">
        <f>$F26*(VLOOKUP(BC$4, Rates_previous!$G$6:$Q$29, 10, FALSE)+VLOOKUP(BC$4, Rates_previous!$G$6:$Q$29, 11, FALSE))</f>
        <v>1406.3703970284143</v>
      </c>
      <c r="BD26" s="180">
        <f>$F26*(VLOOKUP(BD$4, Rates_previous!$G$6:$Q$29, 10, FALSE)+VLOOKUP(BD$4, Rates_previous!$G$6:$Q$29, 11, FALSE))</f>
        <v>1502.7362174273596</v>
      </c>
      <c r="BE26" s="180">
        <f>$F26*(VLOOKUP(BE$4, Rates_previous!$G$6:$Q$29, 10, FALSE)+VLOOKUP(BE$4, Rates_previous!$G$6:$Q$29, 11, FALSE))</f>
        <v>1426.7799921488822</v>
      </c>
      <c r="BF26" s="180">
        <f>$F26*(VLOOKUP(BF$4, Rates_previous!$G$6:$Q$29, 10, FALSE)+VLOOKUP(BF$4, Rates_previous!$G$6:$Q$29, 11, FALSE))</f>
        <v>1378.8727920624503</v>
      </c>
      <c r="BG26" s="180">
        <f>$F26*(VLOOKUP(BG$4, Rates_previous!$G$6:$Q$29, 10, FALSE)+VLOOKUP(BG$4, Rates_previous!$G$6:$Q$29, 11, FALSE))</f>
        <v>1274.2222016577889</v>
      </c>
      <c r="BH26" s="298">
        <f>IF($D26=0,IF(C26=0, MAX(BJ26 - (VLOOKUP($A26,TOCA_previous!$A$2:$AI$137,MATCH("RHWM 2022",TOCA_previous!$A$2:$AI$2,0),FALSE)*$F$2*TOCA_previous!C23),0),0), 0)</f>
        <v>383.97681835398362</v>
      </c>
      <c r="BI26" s="192">
        <f>MIN(VLOOKUP($A26,TOCA_previous!$A$2:$AI$137,MATCH("TRL - NLSL - Existing Resource "&amp;$F$1,TOCA_previous!$A$2:$AI$2,0),FALSE)*$F$2,(VLOOKUP($A26,TOCA_previous!$A$2:$AI$137,MATCH("RHWM 2022",TOCA_previous!$A$2:$AI$2,0),FALSE)*$F$2))</f>
        <v>15995.76</v>
      </c>
      <c r="BJ26" s="402">
        <f>SUM(L26:AI26)+(F26*RT1SC!$C$3*$F$2)</f>
        <v>16379.736818353984</v>
      </c>
      <c r="BK26" s="401">
        <f>VLOOKUP($A26,TOCA_previous!$A$2:$AI$137,MATCH("Above RHWM Not Served with LS "&amp;$F$1,TOCA_previous!$A$2:$AI$2,0),FALSE)*$F$2</f>
        <v>0</v>
      </c>
      <c r="BL26" s="402">
        <f t="shared" si="8"/>
        <v>383.97681835398362</v>
      </c>
      <c r="BM26" s="401">
        <f>(VLOOKUP($A26,TOCA_previous!$A$2:$AI$137,MATCH("RHWM 2022",TOCA_previous!$A$2:$AI$2,0),FALSE)*$F$2) - $BI26</f>
        <v>0</v>
      </c>
      <c r="BN26" s="402">
        <f t="shared" si="9"/>
        <v>0</v>
      </c>
      <c r="BO26" s="401">
        <f t="shared" si="10"/>
        <v>0</v>
      </c>
      <c r="BP26" s="402">
        <f t="shared" si="11"/>
        <v>0</v>
      </c>
      <c r="BQ26" s="401">
        <f t="shared" si="2"/>
        <v>0</v>
      </c>
      <c r="BR26" s="108">
        <f>VLOOKUP($A26,TOCA_current!$A$2:$AI$137,MATCH(BR$4,TOCA_current!$A$2:$AI$2,0),FALSE)</f>
        <v>2.6400000000000002E-4</v>
      </c>
      <c r="BS26" s="108">
        <f>VLOOKUP($A26,TOCA_current!$A$2:$AI$137,MATCH(BS$4,TOCA_current!$A$2:$AI$2,0),FALSE)</f>
        <v>2.6400000000000002E-4</v>
      </c>
      <c r="BT26" s="189">
        <f t="shared" si="12"/>
        <v>0</v>
      </c>
      <c r="BU26" s="108">
        <f>VLOOKUP($A26,TOCA_current!A22:BG157,MATCH(BU$4,TOCA_current!$A$2:$BG$2,0),FALSE)</f>
        <v>0</v>
      </c>
      <c r="BV26" s="108">
        <f t="shared" si="3"/>
        <v>0</v>
      </c>
      <c r="BW26" s="108">
        <f t="shared" si="4"/>
        <v>0</v>
      </c>
      <c r="BX26" s="179">
        <f>VLOOKUP($A26,IRD!$A$4:$G$139, 7, FALSE)</f>
        <v>0</v>
      </c>
      <c r="BY26" s="180">
        <f t="array" ref="BY26">IF($BT26=0, INDEX(LS_current!$D$4:$AY$138, MATCH('Staging Table'!$A26, LS_current!$B$4:$B$138, 0), MATCH(BY$4&amp;BY$5, LS_current!$D$2:$AY$2&amp;LS_current!$D$3:$AY$3, 0)),SUM(VLOOKUP($A26, LS_current!$B$4:$AY$138, LS_current!D$148, FALSE), VLOOKUP($A26, LS_current!$B$4:$AY$138,LS_current!AB$148, FALSE))/2)</f>
        <v>134.57577449599989</v>
      </c>
      <c r="BZ26" s="180">
        <f t="array" ref="BZ26">IF($BT26=0, INDEX(LS_current!$D$4:$AY$138, MATCH('Staging Table'!$A26, LS_current!$B$4:$B$138, 0), MATCH(BZ$4&amp;BZ$5, LS_current!$D$2:$AY$2&amp;LS_current!$D$3:$AY$3, 0)),SUM(VLOOKUP($A26, LS_current!$B$4:$AY$138, LS_current!E$148, FALSE), VLOOKUP($A26, LS_current!$B$4:$AY$138,LS_current!AC$148, FALSE))/2)</f>
        <v>49.524032467999973</v>
      </c>
      <c r="CA26" s="180">
        <f t="array" ref="CA26">IF($BT26=0, INDEX(LS_current!$D$4:$AY$138, MATCH('Staging Table'!$A26, LS_current!$B$4:$B$138, 0), MATCH(CA$4&amp;CA$5, LS_current!$D$2:$AY$2&amp;LS_current!$D$3:$AY$3, 0)),SUM(VLOOKUP($A26, LS_current!$B$4:$AY$138, LS_current!F$148, FALSE), VLOOKUP($A26, LS_current!$B$4:$AY$138,LS_current!AD$148, FALSE))/2)</f>
        <v>-25.512654592000104</v>
      </c>
      <c r="CB26" s="180">
        <f t="array" ref="CB26">IF($BT26=0, INDEX(LS_current!$D$4:$AY$138, MATCH('Staging Table'!$A26, LS_current!$B$4:$B$138, 0), MATCH(CB$4&amp;CB$5, LS_current!$D$2:$AY$2&amp;LS_current!$D$3:$AY$3, 0)),SUM(VLOOKUP($A26, LS_current!$B$4:$AY$138, LS_current!G$148, FALSE), VLOOKUP($A26, LS_current!$B$4:$AY$138,LS_current!AE$148, FALSE))/2)</f>
        <v>-21.626958584000022</v>
      </c>
      <c r="CC26" s="180">
        <f t="array" ref="CC26">IF($BT26=0, INDEX(LS_current!$D$4:$AY$138, MATCH('Staging Table'!$A26, LS_current!$B$4:$B$138, 0), MATCH(CC$4&amp;CC$5, LS_current!$D$2:$AY$2&amp;LS_current!$D$3:$AY$3, 0)),SUM(VLOOKUP($A26, LS_current!$B$4:$AY$138, LS_current!H$148, FALSE), VLOOKUP($A26, LS_current!$B$4:$AY$138,LS_current!AF$148, FALSE))/2)</f>
        <v>183.55776490399978</v>
      </c>
      <c r="CD26" s="180">
        <f t="array" ref="CD26">IF($BT26=0, INDEX(LS_current!$D$4:$AY$138, MATCH('Staging Table'!$A26, LS_current!$B$4:$B$138, 0), MATCH(CD$4&amp;CD$5, LS_current!$D$2:$AY$2&amp;LS_current!$D$3:$AY$3, 0)),SUM(VLOOKUP($A26, LS_current!$B$4:$AY$138, LS_current!I$148, FALSE), VLOOKUP($A26, LS_current!$B$4:$AY$138,LS_current!AG$148, FALSE))/2)</f>
        <v>167.103664256</v>
      </c>
      <c r="CE26" s="180">
        <f t="array" ref="CE26">IF($BT26=0, INDEX(LS_current!$D$4:$AY$138, MATCH('Staging Table'!$A26, LS_current!$B$4:$B$138, 0), MATCH(CE$4&amp;CE$5, LS_current!$D$2:$AY$2&amp;LS_current!$D$3:$AY$3, 0)),SUM(VLOOKUP($A26, LS_current!$B$4:$AY$138, LS_current!J$148, FALSE), VLOOKUP($A26, LS_current!$B$4:$AY$138,LS_current!AH$148, FALSE))/2)</f>
        <v>166.89538723999988</v>
      </c>
      <c r="CF26" s="180">
        <f t="array" ref="CF26">IF($BT26=0, INDEX(LS_current!$D$4:$AY$138, MATCH('Staging Table'!$A26, LS_current!$B$4:$B$138, 0), MATCH(CF$4&amp;CF$5, LS_current!$D$2:$AY$2&amp;LS_current!$D$3:$AY$3, 0)),SUM(VLOOKUP($A26, LS_current!$B$4:$AY$138, LS_current!K$148, FALSE), VLOOKUP($A26, LS_current!$B$4:$AY$138,LS_current!AI$148, FALSE))/2)</f>
        <v>130.79456034399993</v>
      </c>
      <c r="CG26" s="180">
        <f t="array" ref="CG26">IF($BT26=0, INDEX(LS_current!$D$4:$AY$138, MATCH('Staging Table'!$A26, LS_current!$B$4:$B$138, 0), MATCH(CG$4&amp;CG$5, LS_current!$D$2:$AY$2&amp;LS_current!$D$3:$AY$3, 0)),SUM(VLOOKUP($A26, LS_current!$B$4:$AY$138, LS_current!L$148, FALSE), VLOOKUP($A26, LS_current!$B$4:$AY$138,LS_current!AJ$148, FALSE))/2)</f>
        <v>99.095087943999943</v>
      </c>
      <c r="CH26" s="180">
        <f t="array" ref="CH26">IF($BT26=0, INDEX(LS_current!$D$4:$AY$138, MATCH('Staging Table'!$A26, LS_current!$B$4:$B$138, 0), MATCH(CH$4&amp;CH$5, LS_current!$D$2:$AY$2&amp;LS_current!$D$3:$AY$3, 0)),SUM(VLOOKUP($A26, LS_current!$B$4:$AY$138, LS_current!M$148, FALSE), VLOOKUP($A26, LS_current!$B$4:$AY$138,LS_current!AK$148, FALSE))/2)</f>
        <v>84.775882824000007</v>
      </c>
      <c r="CI26" s="180">
        <f t="array" ref="CI26">IF($BT26=0, INDEX(LS_current!$D$4:$AY$138, MATCH('Staging Table'!$A26, LS_current!$B$4:$B$138, 0), MATCH(CI$4&amp;CI$5, LS_current!$D$2:$AY$2&amp;LS_current!$D$3:$AY$3, 0)),SUM(VLOOKUP($A26, LS_current!$B$4:$AY$138, LS_current!N$148, FALSE), VLOOKUP($A26, LS_current!$B$4:$AY$138,LS_current!AL$148, FALSE))/2)</f>
        <v>44.628354167999987</v>
      </c>
      <c r="CJ26" s="180">
        <f t="array" ref="CJ26">IF($BT26=0, INDEX(LS_current!$D$4:$AY$138, MATCH('Staging Table'!$A26, LS_current!$B$4:$B$138, 0), MATCH(CJ$4&amp;CJ$5, LS_current!$D$2:$AY$2&amp;LS_current!$D$3:$AY$3, 0)),SUM(VLOOKUP($A26, LS_current!$B$4:$AY$138, LS_current!O$148, FALSE), VLOOKUP($A26, LS_current!$B$4:$AY$138,LS_current!AM$148, FALSE))/2)</f>
        <v>27.525650607999864</v>
      </c>
      <c r="CK26" s="180">
        <f t="array" ref="CK26">IF($BT26=0, INDEX(LS_current!$D$4:$AY$138, MATCH('Staging Table'!$A26, LS_current!$B$4:$B$138, 0), MATCH(CK$4&amp;CK$5, LS_current!$D$2:$AY$2&amp;LS_current!$D$3:$AY$3, 0)),SUM(VLOOKUP($A26, LS_current!$B$4:$AY$138, LS_current!P$148, FALSE), VLOOKUP($A26, LS_current!$B$4:$AY$138,LS_current!AN$148, FALSE))/2)</f>
        <v>128.29934673999992</v>
      </c>
      <c r="CL26" s="180">
        <f t="array" ref="CL26">IF($BT26=0, INDEX(LS_current!$D$4:$AY$138, MATCH('Staging Table'!$A26, LS_current!$B$4:$B$138, 0), MATCH(CL$4&amp;CL$5, LS_current!$D$2:$AY$2&amp;LS_current!$D$3:$AY$3, 0)),SUM(VLOOKUP($A26, LS_current!$B$4:$AY$138, LS_current!Q$148, FALSE), VLOOKUP($A26, LS_current!$B$4:$AY$138,LS_current!AO$148, FALSE))/2)</f>
        <v>32.46264609800005</v>
      </c>
      <c r="CM26" s="180">
        <f t="array" ref="CM26">IF($BT26=0, INDEX(LS_current!$D$4:$AY$138, MATCH('Staging Table'!$A26, LS_current!$B$4:$B$138, 0), MATCH(CM$4&amp;CM$5, LS_current!$D$2:$AY$2&amp;LS_current!$D$3:$AY$3, 0)),SUM(VLOOKUP($A26, LS_current!$B$4:$AY$138, LS_current!R$148, FALSE), VLOOKUP($A26, LS_current!$B$4:$AY$138,LS_current!AP$148, FALSE))/2)</f>
        <v>-177.59864787200013</v>
      </c>
      <c r="CN26" s="180">
        <f t="array" ref="CN26">IF($BT26=0, INDEX(LS_current!$D$4:$AY$138, MATCH('Staging Table'!$A26, LS_current!$B$4:$B$138, 0), MATCH(CN$4&amp;CN$5, LS_current!$D$2:$AY$2&amp;LS_current!$D$3:$AY$3, 0)),SUM(VLOOKUP($A26, LS_current!$B$4:$AY$138, LS_current!S$148, FALSE), VLOOKUP($A26, LS_current!$B$4:$AY$138,LS_current!AQ$148, FALSE))/2)</f>
        <v>-147.25725784400009</v>
      </c>
      <c r="CO26" s="180">
        <f t="array" ref="CO26">IF($BT26=0, INDEX(LS_current!$D$4:$AY$138, MATCH('Staging Table'!$A26, LS_current!$B$4:$B$138, 0), MATCH(CO$4&amp;CO$5, LS_current!$D$2:$AY$2&amp;LS_current!$D$3:$AY$3, 0)),SUM(VLOOKUP($A26, LS_current!$B$4:$AY$138, LS_current!T$148, FALSE), VLOOKUP($A26, LS_current!$B$4:$AY$138,LS_current!AR$148, FALSE))/2)</f>
        <v>-270.3940924640001</v>
      </c>
      <c r="CP26" s="180">
        <f t="array" ref="CP26">IF($BT26=0, INDEX(LS_current!$D$4:$AY$138, MATCH('Staging Table'!$A26, LS_current!$B$4:$B$138, 0), MATCH(CP$4&amp;CP$5, LS_current!$D$2:$AY$2&amp;LS_current!$D$3:$AY$3, 0)),SUM(VLOOKUP($A26, LS_current!$B$4:$AY$138, LS_current!U$148, FALSE), VLOOKUP($A26, LS_current!$B$4:$AY$138,LS_current!AS$148, FALSE))/2)</f>
        <v>-155.11461438800012</v>
      </c>
      <c r="CQ26" s="180">
        <f t="array" ref="CQ26">IF($BT26=0, INDEX(LS_current!$D$4:$AY$138, MATCH('Staging Table'!$A26, LS_current!$B$4:$B$138, 0), MATCH(CQ$4&amp;CQ$5, LS_current!$D$2:$AY$2&amp;LS_current!$D$3:$AY$3, 0)),SUM(VLOOKUP($A26, LS_current!$B$4:$AY$138, LS_current!V$148, FALSE), VLOOKUP($A26, LS_current!$B$4:$AY$138,LS_current!AT$148, FALSE))/2)</f>
        <v>-116.39438569600009</v>
      </c>
      <c r="CR26" s="180">
        <f t="array" ref="CR26">IF($BT26=0, INDEX(LS_current!$D$4:$AY$138, MATCH('Staging Table'!$A26, LS_current!$B$4:$B$138, 0), MATCH(CR$4&amp;CR$5, LS_current!$D$2:$AY$2&amp;LS_current!$D$3:$AY$3, 0)),SUM(VLOOKUP($A26, LS_current!$B$4:$AY$138, LS_current!W$148, FALSE), VLOOKUP($A26, LS_current!$B$4:$AY$138,LS_current!AU$148, FALSE))/2)</f>
        <v>-93.895773660000032</v>
      </c>
      <c r="CS26" s="180">
        <f t="array" ref="CS26">IF($BT26=0, INDEX(LS_current!$D$4:$AY$138, MATCH('Staging Table'!$A26, LS_current!$B$4:$B$138, 0), MATCH(CS$4&amp;CS$5, LS_current!$D$2:$AY$2&amp;LS_current!$D$3:$AY$3, 0)),SUM(VLOOKUP($A26, LS_current!$B$4:$AY$138, LS_current!X$148, FALSE), VLOOKUP($A26, LS_current!$B$4:$AY$138,LS_current!AV$148, FALSE))/2)</f>
        <v>-64.067605276000108</v>
      </c>
      <c r="CT26" s="180">
        <f t="array" ref="CT26">IF($BT26=0, INDEX(LS_current!$D$4:$AY$138, MATCH('Staging Table'!$A26, LS_current!$B$4:$B$138, 0), MATCH(CT$4&amp;CT$5, LS_current!$D$2:$AY$2&amp;LS_current!$D$3:$AY$3, 0)),SUM(VLOOKUP($A26, LS_current!$B$4:$AY$138, LS_current!Y$148, FALSE), VLOOKUP($A26, LS_current!$B$4:$AY$138,LS_current!AW$148, FALSE))/2)</f>
        <v>-74.483853080399967</v>
      </c>
      <c r="CU26" s="180">
        <f t="array" ref="CU26">IF($BT26=0, INDEX(LS_current!$D$4:$AY$138, MATCH('Staging Table'!$A26, LS_current!$B$4:$B$138, 0), MATCH(CU$4&amp;CU$5, LS_current!$D$2:$AY$2&amp;LS_current!$D$3:$AY$3, 0)),SUM(VLOOKUP($A26, LS_current!$B$4:$AY$138, LS_current!Z$148, FALSE), VLOOKUP($A26, LS_current!$B$4:$AY$138,LS_current!AX$148, FALSE))/2)</f>
        <v>-48.614704336000045</v>
      </c>
      <c r="CV26" s="180">
        <f t="array" ref="CV26">IF($BT26=0, INDEX(LS_current!$D$4:$AY$138, MATCH('Staging Table'!$A26, LS_current!$B$4:$B$138, 0), MATCH(CV$4&amp;CV$5, LS_current!$D$2:$AY$2&amp;LS_current!$D$3:$AY$3, 0)),SUM(VLOOKUP($A26, LS_current!$B$4:$AY$138, LS_current!AA$148, FALSE), VLOOKUP($A26, LS_current!$B$4:$AY$138,LS_current!AY$148, FALSE))/2)</f>
        <v>-54.315443456000025</v>
      </c>
      <c r="CW26" s="182">
        <f t="array" ref="CW26">INDEX(Demand_current!$D$4:$AY$138, MATCH($A26, Demand_current!$B$4:$B$138, 0), MATCH(CW$4&amp;CW$5,Demand_current!$D$2:$AY$2&amp;Demand_current!$D$3:$AY$3, 0))/1000</f>
        <v>4.4680288461538376E-2</v>
      </c>
      <c r="CX26" s="182">
        <f t="array" ref="CX26">INDEX(Demand_current!$D$4:$AY$138, MATCH($A26, Demand_current!$B$4:$B$138, 0), MATCH(CX$4&amp;CX$5,Demand_current!$D$2:$AY$2&amp;Demand_current!$D$3:$AY$3, 0))/1000</f>
        <v>0.1382199999999999</v>
      </c>
      <c r="CY26" s="182">
        <f t="array" ref="CY26">INDEX(Demand_current!$D$4:$AY$138, MATCH($A26, Demand_current!$B$4:$B$138, 0), MATCH(CY$4&amp;CY$5,Demand_current!$D$2:$AY$2&amp;Demand_current!$D$3:$AY$3, 0))/1000</f>
        <v>0.31258500000000033</v>
      </c>
      <c r="CZ26" s="182">
        <f t="array" ref="CZ26">INDEX(Demand_current!$D$4:$AY$138, MATCH($A26, Demand_current!$B$4:$B$138, 0), MATCH(CZ$4&amp;CZ$5,Demand_current!$D$2:$AY$2&amp;Demand_current!$D$3:$AY$3, 0))/1000</f>
        <v>0.21508173076923098</v>
      </c>
      <c r="DA26" s="182">
        <f t="array" ref="DA26">INDEX(Demand_current!$D$4:$AY$138, MATCH($A26, Demand_current!$B$4:$B$138, 0), MATCH(DA$4&amp;DA$5,Demand_current!$D$2:$AY$2&amp;Demand_current!$D$3:$AY$3, 0))/1000</f>
        <v>0.13326499999999986</v>
      </c>
      <c r="DB26" s="182">
        <f t="array" ref="DB26">INDEX(Demand_current!$D$4:$AY$138, MATCH($A26, Demand_current!$B$4:$B$138, 0), MATCH(DB$4&amp;DB$5,Demand_current!$D$2:$AY$2&amp;Demand_current!$D$3:$AY$3, 0))/1000</f>
        <v>0.35534855769230744</v>
      </c>
      <c r="DC26" s="182">
        <f t="array" ref="DC26">INDEX(Demand_current!$D$4:$AY$138, MATCH($A26, Demand_current!$B$4:$B$138, 0), MATCH(DC$4&amp;DC$5,Demand_current!$D$2:$AY$2&amp;Demand_current!$D$3:$AY$3, 0))/1000</f>
        <v>0.35690624999999998</v>
      </c>
      <c r="DD26" s="182">
        <f t="array" ref="DD26">INDEX(Demand_current!$D$4:$AY$138, MATCH($A26, Demand_current!$B$4:$B$138, 0), MATCH(DD$4&amp;DD$5,Demand_current!$D$2:$AY$2&amp;Demand_current!$D$3:$AY$3, 0))/1000</f>
        <v>0</v>
      </c>
      <c r="DE26" s="182">
        <f t="array" ref="DE26">INDEX(Demand_current!$D$4:$AY$138, MATCH($A26, Demand_current!$B$4:$B$138, 0), MATCH(DE$4&amp;DE$5,Demand_current!$D$2:$AY$2&amp;Demand_current!$D$3:$AY$3, 0))/1000</f>
        <v>9.1379999999999906E-2</v>
      </c>
      <c r="DF26" s="182">
        <f t="array" ref="DF26">INDEX(Demand_current!$D$4:$AY$138, MATCH($A26, Demand_current!$B$4:$B$138, 0), MATCH(DF$4&amp;DF$5,Demand_current!$D$2:$AY$2&amp;Demand_current!$D$3:$AY$3, 0))/1000</f>
        <v>9.1408653846153931E-2</v>
      </c>
      <c r="DG26" s="182">
        <f t="array" ref="DG26">INDEX(Demand_current!$D$4:$AY$138, MATCH($A26, Demand_current!$B$4:$B$138, 0), MATCH(DG$4&amp;DG$5,Demand_current!$D$2:$AY$2&amp;Demand_current!$D$3:$AY$3, 0))/1000</f>
        <v>0.21979398148148149</v>
      </c>
      <c r="DH26" s="182">
        <f t="array" ref="DH26">INDEX(Demand_current!$D$4:$AY$138, MATCH($A26, Demand_current!$B$4:$B$138, 0), MATCH(DH$4&amp;DH$5,Demand_current!$D$2:$AY$2&amp;Demand_current!$D$3:$AY$3, 0))/1000</f>
        <v>0</v>
      </c>
      <c r="DI26" s="180">
        <f>$BS26*(VLOOKUP(DI$4, Rates_current!$G$6:$Q$29, 10, FALSE)+VLOOKUP(DI$4, Rates_current!$G$6:$Q$29, 11, FALSE))</f>
        <v>1113.7641930360001</v>
      </c>
      <c r="DJ26" s="180">
        <f>$BS26*(VLOOKUP(DJ$4, Rates_current!$G$6:$Q$29, 10, FALSE)+VLOOKUP(DJ$4, Rates_current!$G$6:$Q$29, 11, FALSE))</f>
        <v>1420.4166131760003</v>
      </c>
      <c r="DK26" s="180">
        <f>$BS26*(VLOOKUP(DK$4, Rates_current!$G$6:$Q$29, 10, FALSE)+VLOOKUP(DK$4, Rates_current!$G$6:$Q$29, 11, FALSE))</f>
        <v>1532.9105708400002</v>
      </c>
      <c r="DL26" s="180">
        <f>$BS26*(VLOOKUP(DL$4, Rates_current!$G$6:$Q$29, 10, FALSE)+VLOOKUP(DL$4, Rates_current!$G$6:$Q$29, 11, FALSE))</f>
        <v>1592.9310524160001</v>
      </c>
      <c r="DM26" s="180">
        <f>$BS26*(VLOOKUP(DM$4, Rates_current!$G$6:$Q$29, 10, FALSE)+VLOOKUP(DM$4, Rates_current!$G$6:$Q$29, 11, FALSE))</f>
        <v>1370.1330292319999</v>
      </c>
      <c r="DN26" s="180">
        <f>$BS26*(VLOOKUP(DN$4, Rates_current!$G$6:$Q$29, 10, FALSE)+VLOOKUP(DN$4, Rates_current!$G$6:$Q$29, 11, FALSE))</f>
        <v>1495.913995224</v>
      </c>
      <c r="DO26" s="180">
        <f>$BS26*(VLOOKUP(DO$4, Rates_current!$G$6:$Q$29, 10, FALSE)+VLOOKUP(DO$4, Rates_current!$G$6:$Q$29, 11, FALSE))</f>
        <v>1180.7720071619999</v>
      </c>
      <c r="DP26" s="180">
        <f>$BS26*(VLOOKUP(DP$4, Rates_current!$G$6:$Q$29, 10, FALSE)+VLOOKUP(DP$4, Rates_current!$G$6:$Q$29, 11, FALSE))</f>
        <v>1464.9059057160002</v>
      </c>
      <c r="DQ26" s="180">
        <f>$BS26*(VLOOKUP(DQ$4, Rates_current!$G$6:$Q$29, 10, FALSE)+VLOOKUP(DQ$4, Rates_current!$G$6:$Q$29, 11, FALSE))</f>
        <v>1496.6907068519999</v>
      </c>
      <c r="DR26" s="180">
        <f>$BS26*(VLOOKUP(DR$4, Rates_current!$G$6:$Q$29, 10, FALSE)+VLOOKUP(DR$4, Rates_current!$G$6:$Q$29, 11, FALSE))</f>
        <v>1299.3431593560001</v>
      </c>
      <c r="DS26" s="180">
        <f>$BS26*(VLOOKUP(DS$4, Rates_current!$G$6:$Q$29, 10, FALSE)+VLOOKUP(DS$4, Rates_current!$G$6:$Q$29, 11, FALSE))</f>
        <v>1256.1194583564002</v>
      </c>
      <c r="DT26" s="180">
        <f>$BS26*(VLOOKUP(DT$4, Rates_current!$G$6:$Q$29, 10, FALSE)+VLOOKUP(DT$4, Rates_current!$G$6:$Q$29, 11, FALSE))</f>
        <v>1155.8731477920003</v>
      </c>
      <c r="DU26" s="402">
        <f>IF(D26=0,IF(C26=0,MAX(0,DW26 - (VLOOKUP($A26,TOCA_current!$A$2:$AI$137,MATCH("RHWM 2024",TOCA_current!$A$2:$AI$2,0),FALSE)*$BS$2)), 0),0)</f>
        <v>0</v>
      </c>
      <c r="DV26" s="403">
        <f>MIN(VLOOKUP($A26,TOCA_current!$A$2:$AI$137,MATCH("TRL - NLSL - Existing Resource "&amp;$BS$1,TOCA_current!$A$2:$AI$2,0),FALSE)*$BS$2, VLOOKUP($A26,TOCA_current!$A$2:$AI$137,MATCH("RHWM 2024",TOCA_current!$A$2:$AI$2,0),FALSE)*$BS$2)</f>
        <v>16382.16</v>
      </c>
      <c r="DW26" s="403">
        <f>SUM(BY26:CV26)+(BS26*RT1SC!$C$4*$BS$2)</f>
        <v>16379.736075081601</v>
      </c>
      <c r="DX26" s="403">
        <f>VLOOKUP($A26,TOCA_current!$A$2:$AI$137,MATCH("Above RHWM Not Served with LS "&amp;$BS$1,TOCA_current!$A$2:$AI$2,0),FALSE)*$BS$2</f>
        <v>0</v>
      </c>
      <c r="DY26" s="403">
        <f t="shared" si="13"/>
        <v>-2.4239249183992797</v>
      </c>
      <c r="DZ26" s="403">
        <f>(VLOOKUP($A26,TOCA_current!$A$2:$AI$137,MATCH("RHWM 2024",TOCA_current!$A$2:$AI$2,0),FALSE)*$BS$2) - $DV26</f>
        <v>430.41600000000108</v>
      </c>
      <c r="EA26" s="403">
        <f t="shared" si="14"/>
        <v>0</v>
      </c>
      <c r="EB26" s="403">
        <f t="shared" si="15"/>
        <v>2.4239249183992797</v>
      </c>
      <c r="EC26" s="403">
        <f t="shared" si="16"/>
        <v>0</v>
      </c>
      <c r="ED26" s="403">
        <f t="shared" si="17"/>
        <v>2.4239249183992797</v>
      </c>
    </row>
    <row r="27" spans="1:134">
      <c r="A27" s="123">
        <v>10072</v>
      </c>
      <c r="B27" s="124" t="s">
        <v>28</v>
      </c>
      <c r="C27" s="232">
        <f>VLOOKUP(A27, TOCA_current!$A$3:$D$137, 4, FALSE)</f>
        <v>0</v>
      </c>
      <c r="D27" s="191">
        <v>0</v>
      </c>
      <c r="E27" s="107">
        <f>VLOOKUP($A27,TOCA_previous!$A$2:$AI$137,MATCH(E$4,TOCA_previous!$A$2:$AI$2,0),FALSE)</f>
        <v>3.3960000000000001E-3</v>
      </c>
      <c r="F27" s="108">
        <f>VLOOKUP($A27,TOCA_previous!$A$2:$AI$137,MATCH(F$4,TOCA_previous!$A$2:$AI$2,0),FALSE)</f>
        <v>3.3960000000000001E-3</v>
      </c>
      <c r="G27" s="108">
        <f t="shared" si="5"/>
        <v>0</v>
      </c>
      <c r="H27" s="108">
        <f>VLOOKUP($A27,TOCA_previous!$A$2:$AI$137,MATCH(H$4,TOCA_previous!$A$2:$AI$2,0),FALSE)</f>
        <v>0</v>
      </c>
      <c r="I27" s="108">
        <f t="shared" si="6"/>
        <v>0</v>
      </c>
      <c r="J27" s="108">
        <f t="shared" si="7"/>
        <v>0</v>
      </c>
      <c r="K27" s="179">
        <f>VLOOKUP(A27, IRD!$A$5:$C$139, 3, FALSE)</f>
        <v>0</v>
      </c>
      <c r="L27" s="180">
        <f t="array" ref="L27">IF($G27=0, INDEX(LS_previous!$D$4:$AY$138, MATCH('Staging Table'!$A27, LS_previous!$B$4:$B$138, 0), MATCH(L$4&amp;L$5, LS_previous!$D$2:$AY$2&amp;LS_previous!$D$3:$AY$3, 0)),SUM(VLOOKUP($A27, LS_previous!$B$4:$AY$138, LS_previous!D$149, FALSE), VLOOKUP('Staging Table'!$A27, LS_previous!$B$4:$AY$138,LS_previous!AB$149, FALSE))/2)</f>
        <v>1140.7012616374432</v>
      </c>
      <c r="M27" s="180">
        <f t="array" ref="M27">IF($G27=0, INDEX(LS_previous!$D$4:$AY$138, MATCH('Staging Table'!$A27, LS_previous!$B$4:$B$138, 0), MATCH(M$4&amp;M$5, LS_previous!$D$2:$AY$2&amp;LS_previous!$D$3:$AY$3, 0)),SUM(VLOOKUP($A27, LS_previous!$B$4:$AY$138, LS_previous!E$149, FALSE), VLOOKUP('Staging Table'!$A27, LS_previous!$B$4:$AY$138,LS_previous!AC$149, FALSE))/2)</f>
        <v>824.59940545140944</v>
      </c>
      <c r="N27" s="180">
        <f t="array" ref="N27">IF($G27=0, INDEX(LS_previous!$D$4:$AY$138, MATCH('Staging Table'!$A27, LS_previous!$B$4:$B$138, 0), MATCH(N$4&amp;N$5, LS_previous!$D$2:$AY$2&amp;LS_previous!$D$3:$AY$3, 0)),SUM(VLOOKUP($A27, LS_previous!$B$4:$AY$138, LS_previous!F$149, FALSE), VLOOKUP('Staging Table'!$A27, LS_previous!$B$4:$AY$138,LS_previous!AD$149, FALSE))/2)</f>
        <v>-941.6097992064806</v>
      </c>
      <c r="O27" s="180">
        <f t="array" ref="O27">IF($G27=0, INDEX(LS_previous!$D$4:$AY$138, MATCH('Staging Table'!$A27, LS_previous!$B$4:$B$138, 0), MATCH(O$4&amp;O$5, LS_previous!$D$2:$AY$2&amp;LS_previous!$D$3:$AY$3, 0)),SUM(VLOOKUP($A27, LS_previous!$B$4:$AY$138, LS_previous!G$149, FALSE), VLOOKUP('Staging Table'!$A27, LS_previous!$B$4:$AY$138,LS_previous!AE$149, FALSE))/2)</f>
        <v>-272.21967235371631</v>
      </c>
      <c r="P27" s="180">
        <f t="array" ref="P27">IF($G27=0, INDEX(LS_previous!$D$4:$AY$138, MATCH('Staging Table'!$A27, LS_previous!$B$4:$B$138, 0), MATCH(P$4&amp;P$5, LS_previous!$D$2:$AY$2&amp;LS_previous!$D$3:$AY$3, 0)),SUM(VLOOKUP($A27, LS_previous!$B$4:$AY$138, LS_previous!H$149, FALSE), VLOOKUP('Staging Table'!$A27, LS_previous!$B$4:$AY$138,LS_previous!AF$149, FALSE))/2)</f>
        <v>1954.6161896358117</v>
      </c>
      <c r="Q27" s="180">
        <f t="array" ref="Q27">IF($G27=0, INDEX(LS_previous!$D$4:$AY$138, MATCH('Staging Table'!$A27, LS_previous!$B$4:$B$138, 0), MATCH(Q$4&amp;Q$5, LS_previous!$D$2:$AY$2&amp;LS_previous!$D$3:$AY$3, 0)),SUM(VLOOKUP($A27, LS_previous!$B$4:$AY$138, LS_previous!I$149, FALSE), VLOOKUP('Staging Table'!$A27, LS_previous!$B$4:$AY$138,LS_previous!AG$149, FALSE))/2)</f>
        <v>819.15463869348059</v>
      </c>
      <c r="R27" s="180">
        <f t="array" ref="R27">IF($G27=0, INDEX(LS_previous!$D$4:$AY$138, MATCH('Staging Table'!$A27, LS_previous!$B$4:$B$138, 0), MATCH(R$4&amp;R$5, LS_previous!$D$2:$AY$2&amp;LS_previous!$D$3:$AY$3, 0)),SUM(VLOOKUP($A27, LS_previous!$B$4:$AY$138, LS_previous!J$149, FALSE), VLOOKUP('Staging Table'!$A27, LS_previous!$B$4:$AY$138,LS_previous!AH$149, FALSE))/2)</f>
        <v>4686.8412532123093</v>
      </c>
      <c r="S27" s="180">
        <f t="array" ref="S27">IF($G27=0, INDEX(LS_previous!$D$4:$AY$138, MATCH('Staging Table'!$A27, LS_previous!$B$4:$B$138, 0), MATCH(S$4&amp;S$5, LS_previous!$D$2:$AY$2&amp;LS_previous!$D$3:$AY$3, 0)),SUM(VLOOKUP($A27, LS_previous!$B$4:$AY$138, LS_previous!K$149, FALSE), VLOOKUP('Staging Table'!$A27, LS_previous!$B$4:$AY$138,LS_previous!AI$149, FALSE))/2)</f>
        <v>2484.0495072259182</v>
      </c>
      <c r="T27" s="180">
        <f t="array" ref="T27">IF($G27=0, INDEX(LS_previous!$D$4:$AY$138, MATCH('Staging Table'!$A27, LS_previous!$B$4:$B$138, 0), MATCH(T$4&amp;T$5, LS_previous!$D$2:$AY$2&amp;LS_previous!$D$3:$AY$3, 0)),SUM(VLOOKUP($A27, LS_previous!$B$4:$AY$138, LS_previous!L$149, FALSE), VLOOKUP('Staging Table'!$A27, LS_previous!$B$4:$AY$138,LS_previous!AJ$149, FALSE))/2)</f>
        <v>3840.4283468324538</v>
      </c>
      <c r="U27" s="180">
        <f t="array" ref="U27">IF($G27=0, INDEX(LS_previous!$D$4:$AY$138, MATCH('Staging Table'!$A27, LS_previous!$B$4:$B$138, 0), MATCH(U$4&amp;U$5, LS_previous!$D$2:$AY$2&amp;LS_previous!$D$3:$AY$3, 0)),SUM(VLOOKUP($A27, LS_previous!$B$4:$AY$138, LS_previous!M$149, FALSE), VLOOKUP('Staging Table'!$A27, LS_previous!$B$4:$AY$138,LS_previous!AK$149, FALSE))/2)</f>
        <v>1378.3450908100131</v>
      </c>
      <c r="V27" s="180">
        <f t="array" ref="V27">IF($G27=0, INDEX(LS_previous!$D$4:$AY$138, MATCH('Staging Table'!$A27, LS_previous!$B$4:$B$138, 0), MATCH(V$4&amp;V$5, LS_previous!$D$2:$AY$2&amp;LS_previous!$D$3:$AY$3, 0)),SUM(VLOOKUP($A27, LS_previous!$B$4:$AY$138, LS_previous!N$149, FALSE), VLOOKUP('Staging Table'!$A27, LS_previous!$B$4:$AY$138,LS_previous!AL$149, FALSE))/2)</f>
        <v>1199.2409025461475</v>
      </c>
      <c r="W27" s="180">
        <f t="array" ref="W27">IF($G27=0, INDEX(LS_previous!$D$4:$AY$138, MATCH('Staging Table'!$A27, LS_previous!$B$4:$B$138, 0), MATCH(W$4&amp;W$5, LS_previous!$D$2:$AY$2&amp;LS_previous!$D$3:$AY$3, 0)),SUM(VLOOKUP($A27, LS_previous!$B$4:$AY$138, LS_previous!O$149, FALSE), VLOOKUP('Staging Table'!$A27, LS_previous!$B$4:$AY$138,LS_previous!AM$149, FALSE))/2)</f>
        <v>671.9455361744167</v>
      </c>
      <c r="X27" s="180">
        <f t="array" ref="X27">IF($G27=0, INDEX(LS_previous!$D$4:$AY$138, MATCH('Staging Table'!$A27, LS_previous!$B$4:$B$138, 0), MATCH(X$4&amp;X$5, LS_previous!$D$2:$AY$2&amp;LS_previous!$D$3:$AY$3, 0)),SUM(VLOOKUP($A27, LS_previous!$B$4:$AY$138, LS_previous!P$149, FALSE), VLOOKUP('Staging Table'!$A27, LS_previous!$B$4:$AY$138,LS_previous!AN$149, FALSE))/2)</f>
        <v>2215.2309039909469</v>
      </c>
      <c r="Y27" s="180">
        <f t="array" ref="Y27">IF($G27=0, INDEX(LS_previous!$D$4:$AY$138, MATCH('Staging Table'!$A27, LS_previous!$B$4:$B$138, 0), MATCH(Y$4&amp;Y$5, LS_previous!$D$2:$AY$2&amp;LS_previous!$D$3:$AY$3, 0)),SUM(VLOOKUP($A27, LS_previous!$B$4:$AY$138, LS_previous!Q$149, FALSE), VLOOKUP('Staging Table'!$A27, LS_previous!$B$4:$AY$138,LS_previous!AO$149, FALSE))/2)</f>
        <v>1153.4978852220875</v>
      </c>
      <c r="Z27" s="180">
        <f t="array" ref="Z27">IF($G27=0, INDEX(LS_previous!$D$4:$AY$138, MATCH('Staging Table'!$A27, LS_previous!$B$4:$B$138, 0), MATCH(Z$4&amp;Z$5, LS_previous!$D$2:$AY$2&amp;LS_previous!$D$3:$AY$3, 0)),SUM(VLOOKUP($A27, LS_previous!$B$4:$AY$138, LS_previous!R$149, FALSE), VLOOKUP('Staging Table'!$A27, LS_previous!$B$4:$AY$138,LS_previous!AP$149, FALSE))/2)</f>
        <v>-2853.3140533437836</v>
      </c>
      <c r="AA27" s="180">
        <f t="array" ref="AA27">IF($G27=0, INDEX(LS_previous!$D$4:$AY$138, MATCH('Staging Table'!$A27, LS_previous!$B$4:$B$138, 0), MATCH(AA$4&amp;AA$5, LS_previous!$D$2:$AY$2&amp;LS_previous!$D$3:$AY$3, 0)),SUM(VLOOKUP($A27, LS_previous!$B$4:$AY$138, LS_previous!S$149, FALSE), VLOOKUP('Staging Table'!$A27, LS_previous!$B$4:$AY$138,LS_previous!AQ$149, FALSE))/2)</f>
        <v>-150.44433141643822</v>
      </c>
      <c r="AB27" s="180">
        <f t="array" ref="AB27">IF($G27=0, INDEX(LS_previous!$D$4:$AY$138, MATCH('Staging Table'!$A27, LS_previous!$B$4:$B$138, 0), MATCH(AB$4&amp;AB$5, LS_previous!$D$2:$AY$2&amp;LS_previous!$D$3:$AY$3, 0)),SUM(VLOOKUP($A27, LS_previous!$B$4:$AY$138, LS_previous!T$149, FALSE), VLOOKUP('Staging Table'!$A27, LS_previous!$B$4:$AY$138,LS_previous!AR$149, FALSE))/2)</f>
        <v>-4389.1081722797171</v>
      </c>
      <c r="AC27" s="180">
        <f t="array" ref="AC27">IF($G27=0, INDEX(LS_previous!$D$4:$AY$138, MATCH('Staging Table'!$A27, LS_previous!$B$4:$B$138, 0), MATCH(AC$4&amp;AC$5, LS_previous!$D$2:$AY$2&amp;LS_previous!$D$3:$AY$3, 0)),SUM(VLOOKUP($A27, LS_previous!$B$4:$AY$138, LS_previous!U$149, FALSE), VLOOKUP('Staging Table'!$A27, LS_previous!$B$4:$AY$138,LS_previous!AS$149, FALSE))/2)</f>
        <v>-216.18706889813075</v>
      </c>
      <c r="AD27" s="180">
        <f t="array" ref="AD27">IF($G27=0, INDEX(LS_previous!$D$4:$AY$138, MATCH('Staging Table'!$A27, LS_previous!$B$4:$B$138, 0), MATCH(AD$4&amp;AD$5, LS_previous!$D$2:$AY$2&amp;LS_previous!$D$3:$AY$3, 0)),SUM(VLOOKUP($A27, LS_previous!$B$4:$AY$138, LS_previous!V$149, FALSE), VLOOKUP('Staging Table'!$A27, LS_previous!$B$4:$AY$138,LS_previous!AT$149, FALSE))/2)</f>
        <v>-1982.728297040172</v>
      </c>
      <c r="AE27" s="180">
        <f t="array" ref="AE27">IF($G27=0, INDEX(LS_previous!$D$4:$AY$138, MATCH('Staging Table'!$A27, LS_previous!$B$4:$B$138, 0), MATCH(AE$4&amp;AE$5, LS_previous!$D$2:$AY$2&amp;LS_previous!$D$3:$AY$3, 0)),SUM(VLOOKUP($A27, LS_previous!$B$4:$AY$138, LS_previous!W$149, FALSE), VLOOKUP('Staging Table'!$A27, LS_previous!$B$4:$AY$138,LS_previous!AU$149, FALSE))/2)</f>
        <v>79.30216152705998</v>
      </c>
      <c r="AF27" s="180">
        <f t="array" ref="AF27">IF($G27=0, INDEX(LS_previous!$D$4:$AY$138, MATCH('Staging Table'!$A27, LS_previous!$B$4:$B$138, 0), MATCH(AF$4&amp;AF$5, LS_previous!$D$2:$AY$2&amp;LS_previous!$D$3:$AY$3, 0)),SUM(VLOOKUP($A27, LS_previous!$B$4:$AY$138, LS_previous!X$149, FALSE), VLOOKUP('Staging Table'!$A27, LS_previous!$B$4:$AY$138,LS_previous!AV$149, FALSE))/2)</f>
        <v>-1624.6380859465226</v>
      </c>
      <c r="AG27" s="180">
        <f t="array" ref="AG27">IF($G27=0, INDEX(LS_previous!$D$4:$AY$138, MATCH('Staging Table'!$A27, LS_previous!$B$4:$B$138, 0), MATCH(AG$4&amp;AG$5, LS_previous!$D$2:$AY$2&amp;LS_previous!$D$3:$AY$3, 0)),SUM(VLOOKUP($A27, LS_previous!$B$4:$AY$138, LS_previous!Y$149, FALSE), VLOOKUP('Staging Table'!$A27, LS_previous!$B$4:$AY$138,LS_previous!AW$149, FALSE))/2)</f>
        <v>-110.88087105857539</v>
      </c>
      <c r="AH27" s="180">
        <f t="array" ref="AH27">IF($G27=0, INDEX(LS_previous!$D$4:$AY$138, MATCH('Staging Table'!$A27, LS_previous!$B$4:$B$138, 0), MATCH(AH$4&amp;AH$5, LS_previous!$D$2:$AY$2&amp;LS_previous!$D$3:$AY$3, 0)),SUM(VLOOKUP($A27, LS_previous!$B$4:$AY$138, LS_previous!Z$149, FALSE), VLOOKUP('Staging Table'!$A27, LS_previous!$B$4:$AY$138,LS_previous!AX$149, FALSE))/2)</f>
        <v>-1127.6652388785806</v>
      </c>
      <c r="AI27" s="180">
        <f t="array" ref="AI27">IF($G27=0, INDEX(LS_previous!$D$4:$AY$138, MATCH('Staging Table'!$A27, LS_previous!$B$4:$B$138, 0), MATCH(AI$4&amp;AI$5, LS_previous!$D$2:$AY$2&amp;LS_previous!$D$3:$AY$3, 0)),SUM(VLOOKUP($A27, LS_previous!$B$4:$AY$138, LS_previous!AA$149, FALSE), VLOOKUP('Staging Table'!$A27, LS_previous!$B$4:$AY$138,LS_previous!AY$149, FALSE))/2)</f>
        <v>22.024322132539055</v>
      </c>
      <c r="AJ27" s="298">
        <f t="array" ref="AJ27">INDEX(Demand_previous!$D$4:$AY$138, MATCH('Staging Table'!$A27, Demand_previous!$B$4:$B$138, 0), MATCH(AJ$4&amp;AJ$5,Demand_previous!$D$2:$AY$2&amp;Demand_previous!$D$3:$AY$3, 0))/1000</f>
        <v>0</v>
      </c>
      <c r="AK27" s="298">
        <f t="array" ref="AK27">INDEX(Demand_previous!$D$4:$AY$138, MATCH('Staging Table'!$A27, Demand_previous!$B$4:$B$138, 0), MATCH(AK$4&amp;AK$5,Demand_previous!$D$2:$AY$2&amp;Demand_previous!$D$3:$AY$3, 0))/1000</f>
        <v>0</v>
      </c>
      <c r="AL27" s="298">
        <f t="array" ref="AL27">INDEX(Demand_previous!$D$4:$AY$138, MATCH('Staging Table'!$A27, Demand_previous!$B$4:$B$138, 0), MATCH(AL$4&amp;AL$5,Demand_previous!$D$2:$AY$2&amp;Demand_previous!$D$3:$AY$3, 0))/1000</f>
        <v>3.3194423076923063</v>
      </c>
      <c r="AM27" s="298">
        <f t="array" ref="AM27">INDEX(Demand_previous!$D$4:$AY$138, MATCH('Staging Table'!$A27, Demand_previous!$B$4:$B$138, 0), MATCH(AM$4&amp;AM$5,Demand_previous!$D$2:$AY$2&amp;Demand_previous!$D$3:$AY$3, 0))/1000</f>
        <v>1.8389849999999948</v>
      </c>
      <c r="AN27" s="298">
        <f t="array" ref="AN27">INDEX(Demand_previous!$D$4:$AY$138, MATCH('Staging Table'!$A27, Demand_previous!$B$4:$B$138, 0), MATCH(AN$4&amp;AN$5,Demand_previous!$D$2:$AY$2&amp;Demand_previous!$D$3:$AY$3, 0))/1000</f>
        <v>0.6203437500000053</v>
      </c>
      <c r="AO27" s="298">
        <f t="array" ref="AO27">INDEX(Demand_previous!$D$4:$AY$138, MATCH('Staging Table'!$A27, Demand_previous!$B$4:$B$138, 0), MATCH(AO$4&amp;AO$5,Demand_previous!$D$2:$AY$2&amp;Demand_previous!$D$3:$AY$3, 0))/1000</f>
        <v>2.0066319444444449</v>
      </c>
      <c r="AP27" s="298">
        <f t="array" ref="AP27">INDEX(Demand_previous!$D$4:$AY$138, MATCH('Staging Table'!$A27, Demand_previous!$B$4:$B$138, 0), MATCH(AP$4&amp;AP$5,Demand_previous!$D$2:$AY$2&amp;Demand_previous!$D$3:$AY$3, 0))/1000</f>
        <v>2.4102596153846139</v>
      </c>
      <c r="AQ27" s="298">
        <f t="array" ref="AQ27">INDEX(Demand_previous!$D$4:$AY$138, MATCH('Staging Table'!$A27, Demand_previous!$B$4:$B$138, 0), MATCH(AQ$4&amp;AQ$5,Demand_previous!$D$2:$AY$2&amp;Demand_previous!$D$3:$AY$3, 0))/1000</f>
        <v>1.584709999999999</v>
      </c>
      <c r="AR27" s="298">
        <f t="array" ref="AR27">INDEX(Demand_previous!$D$4:$AY$138, MATCH('Staging Table'!$A27, Demand_previous!$B$4:$B$138, 0), MATCH(AR$4&amp;AR$5,Demand_previous!$D$2:$AY$2&amp;Demand_previous!$D$3:$AY$3, 0))/1000</f>
        <v>4.3221249999999989</v>
      </c>
      <c r="AS27" s="298">
        <f t="array" ref="AS27">INDEX(Demand_previous!$D$4:$AY$138, MATCH('Staging Table'!$A27, Demand_previous!$B$4:$B$138, 0), MATCH(AS$4&amp;AS$5,Demand_previous!$D$2:$AY$2&amp;Demand_previous!$D$3:$AY$3, 0))/1000</f>
        <v>2.2134899999999993</v>
      </c>
      <c r="AT27" s="298">
        <f t="array" ref="AT27">INDEX(Demand_previous!$D$4:$AY$138, MATCH('Staging Table'!$A27, Demand_previous!$B$4:$B$138, 0), MATCH(AT$4&amp;AT$5,Demand_previous!$D$2:$AY$2&amp;Demand_previous!$D$3:$AY$3, 0))/1000</f>
        <v>5.8053935185185201</v>
      </c>
      <c r="AU27" s="298">
        <f t="array" ref="AU27">INDEX(Demand_previous!$D$4:$AY$138, MATCH('Staging Table'!$A27, Demand_previous!$B$4:$B$138, 0), MATCH(AU$4&amp;AU$5,Demand_previous!$D$2:$AY$2&amp;Demand_previous!$D$3:$AY$3, 0))/1000</f>
        <v>2.9508374999999987</v>
      </c>
      <c r="AV27" s="180">
        <f>$F27*(VLOOKUP(AV$4, Rates_previous!$G$6:$Q$29, 10, FALSE)+VLOOKUP(AV$4, Rates_previous!$G$6:$Q$29, 11, FALSE))</f>
        <v>15465.127332911148</v>
      </c>
      <c r="AW27" s="180">
        <f>$F27*(VLOOKUP(AW$4, Rates_previous!$G$6:$Q$29, 10, FALSE)+VLOOKUP(AW$4, Rates_previous!$G$6:$Q$29, 11, FALSE))</f>
        <v>19579.412471560197</v>
      </c>
      <c r="AX27" s="180">
        <f>$F27*(VLOOKUP(AX$4, Rates_previous!$G$6:$Q$29, 10, FALSE)+VLOOKUP(AX$4, Rates_previous!$G$6:$Q$29, 11, FALSE))</f>
        <v>19164.333171670707</v>
      </c>
      <c r="AY27" s="180">
        <f>$F27*(VLOOKUP(AY$4, Rates_previous!$G$6:$Q$29, 10, FALSE)+VLOOKUP(AY$4, Rates_previous!$G$6:$Q$29, 11, FALSE))</f>
        <v>15828.924239561773</v>
      </c>
      <c r="AZ27" s="180">
        <f>$F27*(VLOOKUP(AZ$4, Rates_previous!$G$6:$Q$29, 10, FALSE)+VLOOKUP(AZ$4, Rates_previous!$G$6:$Q$29, 11, FALSE))</f>
        <v>13719.275562357534</v>
      </c>
      <c r="BA27" s="180">
        <f>$F27*(VLOOKUP(BA$4, Rates_previous!$G$6:$Q$29, 10, FALSE)+VLOOKUP(BA$4, Rates_previous!$G$6:$Q$29, 11, FALSE))</f>
        <v>16378.044561279439</v>
      </c>
      <c r="BB27" s="180">
        <f>$F27*(VLOOKUP(BB$4, Rates_previous!$G$6:$Q$29, 10, FALSE)+VLOOKUP(BB$4, Rates_previous!$G$6:$Q$29, 11, FALSE))</f>
        <v>12715.371210786967</v>
      </c>
      <c r="BC27" s="180">
        <f>$F27*(VLOOKUP(BC$4, Rates_previous!$G$6:$Q$29, 10, FALSE)+VLOOKUP(BC$4, Rates_previous!$G$6:$Q$29, 11, FALSE))</f>
        <v>17617.240384760222</v>
      </c>
      <c r="BD27" s="180">
        <f>$F27*(VLOOKUP(BD$4, Rates_previous!$G$6:$Q$29, 10, FALSE)+VLOOKUP(BD$4, Rates_previous!$G$6:$Q$29, 11, FALSE))</f>
        <v>18824.390241177847</v>
      </c>
      <c r="BE27" s="180">
        <f>$F27*(VLOOKUP(BE$4, Rates_previous!$G$6:$Q$29, 10, FALSE)+VLOOKUP(BE$4, Rates_previous!$G$6:$Q$29, 11, FALSE))</f>
        <v>17872.906135513113</v>
      </c>
      <c r="BF27" s="180">
        <f>$F27*(VLOOKUP(BF$4, Rates_previous!$G$6:$Q$29, 10, FALSE)+VLOOKUP(BF$4, Rates_previous!$G$6:$Q$29, 11, FALSE))</f>
        <v>17272.784957005097</v>
      </c>
      <c r="BG27" s="180">
        <f>$F27*(VLOOKUP(BG$4, Rates_previous!$G$6:$Q$29, 10, FALSE)+VLOOKUP(BG$4, Rates_previous!$G$6:$Q$29, 11, FALSE))</f>
        <v>15961.85391674604</v>
      </c>
      <c r="BH27" s="298">
        <f>IF($D27=0,IF(C27=0, MAX(BJ27 - (VLOOKUP($A27,TOCA_previous!$A$2:$AI$137,MATCH("RHWM 2022",TOCA_previous!$A$2:$AI$2,0),FALSE)*$F$2*TOCA_previous!C24),0),0), 0)</f>
        <v>8798.3362513099564</v>
      </c>
      <c r="BI27" s="192">
        <f>MIN(VLOOKUP($A27,TOCA_previous!$A$2:$AI$137,MATCH("TRL - NLSL - Existing Resource "&amp;$F$1,TOCA_previous!$A$2:$AI$2,0),FALSE)*$F$2,(VLOOKUP($A27,TOCA_previous!$A$2:$AI$137,MATCH("RHWM 2022",TOCA_previous!$A$2:$AI$2,0),FALSE)*$F$2))</f>
        <v>200402.52</v>
      </c>
      <c r="BJ27" s="402">
        <f>SUM(L27:AI27)+(F27*RT1SC!$C$3*$F$2)</f>
        <v>209200.85625130995</v>
      </c>
      <c r="BK27" s="401">
        <f>VLOOKUP($A27,TOCA_previous!$A$2:$AI$137,MATCH("Above RHWM Not Served with LS "&amp;$F$1,TOCA_previous!$A$2:$AI$2,0),FALSE)*$F$2</f>
        <v>14874.48</v>
      </c>
      <c r="BL27" s="402">
        <f t="shared" si="8"/>
        <v>8798.3362513099564</v>
      </c>
      <c r="BM27" s="401">
        <f>(VLOOKUP($A27,TOCA_previous!$A$2:$AI$137,MATCH("RHWM 2022",TOCA_previous!$A$2:$AI$2,0),FALSE)*$F$2) - $BI27</f>
        <v>0</v>
      </c>
      <c r="BN27" s="402">
        <f t="shared" si="9"/>
        <v>0</v>
      </c>
      <c r="BO27" s="401">
        <f t="shared" si="10"/>
        <v>0</v>
      </c>
      <c r="BP27" s="402">
        <f t="shared" si="11"/>
        <v>0</v>
      </c>
      <c r="BQ27" s="401">
        <f t="shared" si="2"/>
        <v>0</v>
      </c>
      <c r="BR27" s="108">
        <f>VLOOKUP($A27,TOCA_current!$A$2:$AI$137,MATCH(BR$4,TOCA_current!$A$2:$AI$2,0),FALSE)</f>
        <v>3.3953E-3</v>
      </c>
      <c r="BS27" s="108">
        <f>VLOOKUP($A27,TOCA_current!$A$2:$AI$137,MATCH(BS$4,TOCA_current!$A$2:$AI$2,0),FALSE)</f>
        <v>3.3953E-3</v>
      </c>
      <c r="BT27" s="189">
        <f t="shared" si="12"/>
        <v>0</v>
      </c>
      <c r="BU27" s="108">
        <f>VLOOKUP($A27,TOCA_current!A23:BG158,MATCH(BU$4,TOCA_current!$A$2:$BG$2,0),FALSE)</f>
        <v>0</v>
      </c>
      <c r="BV27" s="108">
        <f t="shared" si="3"/>
        <v>0</v>
      </c>
      <c r="BW27" s="108">
        <f t="shared" si="4"/>
        <v>0</v>
      </c>
      <c r="BX27" s="179">
        <f>VLOOKUP($A27,IRD!$A$4:$G$139, 7, FALSE)</f>
        <v>0</v>
      </c>
      <c r="BY27" s="180">
        <f t="array" ref="BY27">IF($BT27=0, INDEX(LS_current!$D$4:$AY$138, MATCH('Staging Table'!$A27, LS_current!$B$4:$B$138, 0), MATCH(BY$4&amp;BY$5, LS_current!$D$2:$AY$2&amp;LS_current!$D$3:$AY$3, 0)),SUM(VLOOKUP($A27, LS_current!$B$4:$AY$138, LS_current!D$148, FALSE), VLOOKUP($A27, LS_current!$B$4:$AY$138,LS_current!AB$148, FALSE))/2)</f>
        <v>2464.5277645691986</v>
      </c>
      <c r="BZ27" s="180">
        <f t="array" ref="BZ27">IF($BT27=0, INDEX(LS_current!$D$4:$AY$138, MATCH('Staging Table'!$A27, LS_current!$B$4:$B$138, 0), MATCH(BZ$4&amp;BZ$5, LS_current!$D$2:$AY$2&amp;LS_current!$D$3:$AY$3, 0)),SUM(VLOOKUP($A27, LS_current!$B$4:$AY$138, LS_current!E$148, FALSE), VLOOKUP($A27, LS_current!$B$4:$AY$138,LS_current!AC$148, FALSE))/2)</f>
        <v>769.01982400985071</v>
      </c>
      <c r="CA27" s="180">
        <f t="array" ref="CA27">IF($BT27=0, INDEX(LS_current!$D$4:$AY$138, MATCH('Staging Table'!$A27, LS_current!$B$4:$B$138, 0), MATCH(CA$4&amp;CA$5, LS_current!$D$2:$AY$2&amp;LS_current!$D$3:$AY$3, 0)),SUM(VLOOKUP($A27, LS_current!$B$4:$AY$138, LS_current!F$148, FALSE), VLOOKUP($A27, LS_current!$B$4:$AY$138,LS_current!AD$148, FALSE))/2)</f>
        <v>57.738175241598583</v>
      </c>
      <c r="CB27" s="180">
        <f t="array" ref="CB27">IF($BT27=0, INDEX(LS_current!$D$4:$AY$138, MATCH('Staging Table'!$A27, LS_current!$B$4:$B$138, 0), MATCH(CB$4&amp;CB$5, LS_current!$D$2:$AY$2&amp;LS_current!$D$3:$AY$3, 0)),SUM(VLOOKUP($A27, LS_current!$B$4:$AY$138, LS_current!G$148, FALSE), VLOOKUP($A27, LS_current!$B$4:$AY$138,LS_current!AE$148, FALSE))/2)</f>
        <v>163.17928416569976</v>
      </c>
      <c r="CC27" s="180">
        <f t="array" ref="CC27">IF($BT27=0, INDEX(LS_current!$D$4:$AY$138, MATCH('Staging Table'!$A27, LS_current!$B$4:$B$138, 0), MATCH(CC$4&amp;CC$5, LS_current!$D$2:$AY$2&amp;LS_current!$D$3:$AY$3, 0)),SUM(VLOOKUP($A27, LS_current!$B$4:$AY$138, LS_current!H$148, FALSE), VLOOKUP($A27, LS_current!$B$4:$AY$138,LS_current!AF$148, FALSE))/2)</f>
        <v>1045.3507703732994</v>
      </c>
      <c r="CD27" s="180">
        <f t="array" ref="CD27">IF($BT27=0, INDEX(LS_current!$D$4:$AY$138, MATCH('Staging Table'!$A27, LS_current!$B$4:$B$138, 0), MATCH(CD$4&amp;CD$5, LS_current!$D$2:$AY$2&amp;LS_current!$D$3:$AY$3, 0)),SUM(VLOOKUP($A27, LS_current!$B$4:$AY$138, LS_current!I$148, FALSE), VLOOKUP($A27, LS_current!$B$4:$AY$138,LS_current!AG$148, FALSE))/2)</f>
        <v>1305.2376039711999</v>
      </c>
      <c r="CE27" s="180">
        <f t="array" ref="CE27">IF($BT27=0, INDEX(LS_current!$D$4:$AY$138, MATCH('Staging Table'!$A27, LS_current!$B$4:$B$138, 0), MATCH(CE$4&amp;CE$5, LS_current!$D$2:$AY$2&amp;LS_current!$D$3:$AY$3, 0)),SUM(VLOOKUP($A27, LS_current!$B$4:$AY$138, LS_current!J$148, FALSE), VLOOKUP($A27, LS_current!$B$4:$AY$138,LS_current!AH$148, FALSE))/2)</f>
        <v>1051.7799200605004</v>
      </c>
      <c r="CF27" s="180">
        <f t="array" ref="CF27">IF($BT27=0, INDEX(LS_current!$D$4:$AY$138, MATCH('Staging Table'!$A27, LS_current!$B$4:$B$138, 0), MATCH(CF$4&amp;CF$5, LS_current!$D$2:$AY$2&amp;LS_current!$D$3:$AY$3, 0)),SUM(VLOOKUP($A27, LS_current!$B$4:$AY$138, LS_current!K$148, FALSE), VLOOKUP($A27, LS_current!$B$4:$AY$138,LS_current!AI$148, FALSE))/2)</f>
        <v>1588.5969501362997</v>
      </c>
      <c r="CG27" s="180">
        <f t="array" ref="CG27">IF($BT27=0, INDEX(LS_current!$D$4:$AY$138, MATCH('Staging Table'!$A27, LS_current!$B$4:$B$138, 0), MATCH(CG$4&amp;CG$5, LS_current!$D$2:$AY$2&amp;LS_current!$D$3:$AY$3, 0)),SUM(VLOOKUP($A27, LS_current!$B$4:$AY$138, LS_current!L$148, FALSE), VLOOKUP($A27, LS_current!$B$4:$AY$138,LS_current!AJ$148, FALSE))/2)</f>
        <v>646.54399203130197</v>
      </c>
      <c r="CH27" s="180">
        <f t="array" ref="CH27">IF($BT27=0, INDEX(LS_current!$D$4:$AY$138, MATCH('Staging Table'!$A27, LS_current!$B$4:$B$138, 0), MATCH(CH$4&amp;CH$5, LS_current!$D$2:$AY$2&amp;LS_current!$D$3:$AY$3, 0)),SUM(VLOOKUP($A27, LS_current!$B$4:$AY$138, LS_current!M$148, FALSE), VLOOKUP($A27, LS_current!$B$4:$AY$138,LS_current!AK$148, FALSE))/2)</f>
        <v>748.50887860729927</v>
      </c>
      <c r="CI27" s="180">
        <f t="array" ref="CI27">IF($BT27=0, INDEX(LS_current!$D$4:$AY$138, MATCH('Staging Table'!$A27, LS_current!$B$4:$B$138, 0), MATCH(CI$4&amp;CI$5, LS_current!$D$2:$AY$2&amp;LS_current!$D$3:$AY$3, 0)),SUM(VLOOKUP($A27, LS_current!$B$4:$AY$138, LS_current!N$148, FALSE), VLOOKUP($A27, LS_current!$B$4:$AY$138,LS_current!AL$148, FALSE))/2)</f>
        <v>-357.55936436889897</v>
      </c>
      <c r="CJ27" s="180">
        <f t="array" ref="CJ27">IF($BT27=0, INDEX(LS_current!$D$4:$AY$138, MATCH('Staging Table'!$A27, LS_current!$B$4:$B$138, 0), MATCH(CJ$4&amp;CJ$5, LS_current!$D$2:$AY$2&amp;LS_current!$D$3:$AY$3, 0)),SUM(VLOOKUP($A27, LS_current!$B$4:$AY$138, LS_current!O$148, FALSE), VLOOKUP($A27, LS_current!$B$4:$AY$138,LS_current!AM$148, FALSE))/2)</f>
        <v>-505.0838628433994</v>
      </c>
      <c r="CK27" s="180">
        <f t="array" ref="CK27">IF($BT27=0, INDEX(LS_current!$D$4:$AY$138, MATCH('Staging Table'!$A27, LS_current!$B$4:$B$138, 0), MATCH(CK$4&amp;CK$5, LS_current!$D$2:$AY$2&amp;LS_current!$D$3:$AY$3, 0)),SUM(VLOOKUP($A27, LS_current!$B$4:$AY$138, LS_current!P$148, FALSE), VLOOKUP($A27, LS_current!$B$4:$AY$138,LS_current!AN$148, FALSE))/2)</f>
        <v>878.61287305425139</v>
      </c>
      <c r="CL27" s="180">
        <f t="array" ref="CL27">IF($BT27=0, INDEX(LS_current!$D$4:$AY$138, MATCH('Staging Table'!$A27, LS_current!$B$4:$B$138, 0), MATCH(CL$4&amp;CL$5, LS_current!$D$2:$AY$2&amp;LS_current!$D$3:$AY$3, 0)),SUM(VLOOKUP($A27, LS_current!$B$4:$AY$138, LS_current!Q$148, FALSE), VLOOKUP($A27, LS_current!$B$4:$AY$138,LS_current!AO$148, FALSE))/2)</f>
        <v>142.71623332022591</v>
      </c>
      <c r="CM27" s="180">
        <f t="array" ref="CM27">IF($BT27=0, INDEX(LS_current!$D$4:$AY$138, MATCH('Staging Table'!$A27, LS_current!$B$4:$B$138, 0), MATCH(CM$4&amp;CM$5, LS_current!$D$2:$AY$2&amp;LS_current!$D$3:$AY$3, 0)),SUM(VLOOKUP($A27, LS_current!$B$4:$AY$138, LS_current!R$148, FALSE), VLOOKUP($A27, LS_current!$B$4:$AY$138,LS_current!AP$148, FALSE))/2)</f>
        <v>-2386.2457440144008</v>
      </c>
      <c r="CN27" s="180">
        <f t="array" ref="CN27">IF($BT27=0, INDEX(LS_current!$D$4:$AY$138, MATCH('Staging Table'!$A27, LS_current!$B$4:$B$138, 0), MATCH(CN$4&amp;CN$5, LS_current!$D$2:$AY$2&amp;LS_current!$D$3:$AY$3, 0)),SUM(VLOOKUP($A27, LS_current!$B$4:$AY$138, LS_current!S$148, FALSE), VLOOKUP($A27, LS_current!$B$4:$AY$138,LS_current!AQ$148, FALSE))/2)</f>
        <v>-1713.1809138550489</v>
      </c>
      <c r="CO27" s="180">
        <f t="array" ref="CO27">IF($BT27=0, INDEX(LS_current!$D$4:$AY$138, MATCH('Staging Table'!$A27, LS_current!$B$4:$B$138, 0), MATCH(CO$4&amp;CO$5, LS_current!$D$2:$AY$2&amp;LS_current!$D$3:$AY$3, 0)),SUM(VLOOKUP($A27, LS_current!$B$4:$AY$138, LS_current!T$148, FALSE), VLOOKUP($A27, LS_current!$B$4:$AY$138,LS_current!AR$148, FALSE))/2)</f>
        <v>-2956.6749111477984</v>
      </c>
      <c r="CP27" s="180">
        <f t="array" ref="CP27">IF($BT27=0, INDEX(LS_current!$D$4:$AY$138, MATCH('Staging Table'!$A27, LS_current!$B$4:$B$138, 0), MATCH(CP$4&amp;CP$5, LS_current!$D$2:$AY$2&amp;LS_current!$D$3:$AY$3, 0)),SUM(VLOOKUP($A27, LS_current!$B$4:$AY$138, LS_current!U$148, FALSE), VLOOKUP($A27, LS_current!$B$4:$AY$138,LS_current!AS$148, FALSE))/2)</f>
        <v>-1950.0265925438507</v>
      </c>
      <c r="CQ27" s="180">
        <f t="array" ref="CQ27">IF($BT27=0, INDEX(LS_current!$D$4:$AY$138, MATCH('Staging Table'!$A27, LS_current!$B$4:$B$138, 0), MATCH(CQ$4&amp;CQ$5, LS_current!$D$2:$AY$2&amp;LS_current!$D$3:$AY$3, 0)),SUM(VLOOKUP($A27, LS_current!$B$4:$AY$138, LS_current!V$148, FALSE), VLOOKUP($A27, LS_current!$B$4:$AY$138,LS_current!AT$148, FALSE))/2)</f>
        <v>-448.12094830920068</v>
      </c>
      <c r="CR27" s="180">
        <f t="array" ref="CR27">IF($BT27=0, INDEX(LS_current!$D$4:$AY$138, MATCH('Staging Table'!$A27, LS_current!$B$4:$B$138, 0), MATCH(CR$4&amp;CR$5, LS_current!$D$2:$AY$2&amp;LS_current!$D$3:$AY$3, 0)),SUM(VLOOKUP($A27, LS_current!$B$4:$AY$138, LS_current!W$148, FALSE), VLOOKUP($A27, LS_current!$B$4:$AY$138,LS_current!AU$148, FALSE))/2)</f>
        <v>-166.00773715074956</v>
      </c>
      <c r="CS27" s="180">
        <f t="array" ref="CS27">IF($BT27=0, INDEX(LS_current!$D$4:$AY$138, MATCH('Staging Table'!$A27, LS_current!$B$4:$B$138, 0), MATCH(CS$4&amp;CS$5, LS_current!$D$2:$AY$2&amp;LS_current!$D$3:$AY$3, 0)),SUM(VLOOKUP($A27, LS_current!$B$4:$AY$138, LS_current!X$148, FALSE), VLOOKUP($A27, LS_current!$B$4:$AY$138,LS_current!AV$148, FALSE))/2)</f>
        <v>-166.58661929395203</v>
      </c>
      <c r="CT27" s="180">
        <f t="array" ref="CT27">IF($BT27=0, INDEX(LS_current!$D$4:$AY$138, MATCH('Staging Table'!$A27, LS_current!$B$4:$B$138, 0), MATCH(CT$4&amp;CT$5, LS_current!$D$2:$AY$2&amp;LS_current!$D$3:$AY$3, 0)),SUM(VLOOKUP($A27, LS_current!$B$4:$AY$138, LS_current!Y$148, FALSE), VLOOKUP($A27, LS_current!$B$4:$AY$138,LS_current!AW$148, FALSE))/2)</f>
        <v>-323.85670251470401</v>
      </c>
      <c r="CU27" s="180">
        <f t="array" ref="CU27">IF($BT27=0, INDEX(LS_current!$D$4:$AY$138, MATCH('Staging Table'!$A27, LS_current!$B$4:$B$138, 0), MATCH(CU$4&amp;CU$5, LS_current!$D$2:$AY$2&amp;LS_current!$D$3:$AY$3, 0)),SUM(VLOOKUP($A27, LS_current!$B$4:$AY$138, LS_current!Z$148, FALSE), VLOOKUP($A27, LS_current!$B$4:$AY$138,LS_current!AX$148, FALSE))/2)</f>
        <v>273.59707828779938</v>
      </c>
      <c r="CV27" s="180">
        <f t="array" ref="CV27">IF($BT27=0, INDEX(LS_current!$D$4:$AY$138, MATCH('Staging Table'!$A27, LS_current!$B$4:$B$138, 0), MATCH(CV$4&amp;CV$5, LS_current!$D$2:$AY$2&amp;LS_current!$D$3:$AY$3, 0)),SUM(VLOOKUP($A27, LS_current!$B$4:$AY$138, LS_current!AA$148, FALSE), VLOOKUP($A27, LS_current!$B$4:$AY$138,LS_current!AY$148, FALSE))/2)</f>
        <v>-159.93111881120058</v>
      </c>
      <c r="CW27" s="182">
        <f t="array" ref="CW27">INDEX(Demand_current!$D$4:$AY$138, MATCH($A27, Demand_current!$B$4:$B$138, 0), MATCH(CW$4&amp;CW$5,Demand_current!$D$2:$AY$2&amp;Demand_current!$D$3:$AY$3, 0))/1000</f>
        <v>0</v>
      </c>
      <c r="CX27" s="182">
        <f t="array" ref="CX27">INDEX(Demand_current!$D$4:$AY$138, MATCH($A27, Demand_current!$B$4:$B$138, 0), MATCH(CX$4&amp;CX$5,Demand_current!$D$2:$AY$2&amp;Demand_current!$D$3:$AY$3, 0))/1000</f>
        <v>0</v>
      </c>
      <c r="CY27" s="182">
        <f t="array" ref="CY27">INDEX(Demand_current!$D$4:$AY$138, MATCH($A27, Demand_current!$B$4:$B$138, 0), MATCH(CY$4&amp;CY$5,Demand_current!$D$2:$AY$2&amp;Demand_current!$D$3:$AY$3, 0))/1000</f>
        <v>2.0108600000000014</v>
      </c>
      <c r="CZ27" s="182">
        <f t="array" ref="CZ27">INDEX(Demand_current!$D$4:$AY$138, MATCH($A27, Demand_current!$B$4:$B$138, 0), MATCH(CZ$4&amp;CZ$5,Demand_current!$D$2:$AY$2&amp;Demand_current!$D$3:$AY$3, 0))/1000</f>
        <v>3.2207932692307688</v>
      </c>
      <c r="DA27" s="182">
        <f t="array" ref="DA27">INDEX(Demand_current!$D$4:$AY$138, MATCH($A27, Demand_current!$B$4:$B$138, 0), MATCH(DA$4&amp;DA$5,Demand_current!$D$2:$AY$2&amp;Demand_current!$D$3:$AY$3, 0))/1000</f>
        <v>1.9184500000000018</v>
      </c>
      <c r="DB27" s="182">
        <f t="array" ref="DB27">INDEX(Demand_current!$D$4:$AY$138, MATCH($A27, Demand_current!$B$4:$B$138, 0), MATCH(DB$4&amp;DB$5,Demand_current!$D$2:$AY$2&amp;Demand_current!$D$3:$AY$3, 0))/1000</f>
        <v>0.93904086538461407</v>
      </c>
      <c r="DC27" s="182">
        <f t="array" ref="DC27">INDEX(Demand_current!$D$4:$AY$138, MATCH($A27, Demand_current!$B$4:$B$138, 0), MATCH(DC$4&amp;DC$5,Demand_current!$D$2:$AY$2&amp;Demand_current!$D$3:$AY$3, 0))/1000</f>
        <v>2.4102596153846139</v>
      </c>
      <c r="DD27" s="182">
        <f t="array" ref="DD27">INDEX(Demand_current!$D$4:$AY$138, MATCH($A27, Demand_current!$B$4:$B$138, 0), MATCH(DD$4&amp;DD$5,Demand_current!$D$2:$AY$2&amp;Demand_current!$D$3:$AY$3, 0))/1000</f>
        <v>2.5171442307692309</v>
      </c>
      <c r="DE27" s="182">
        <f t="array" ref="DE27">INDEX(Demand_current!$D$4:$AY$138, MATCH($A27, Demand_current!$B$4:$B$138, 0), MATCH(DE$4&amp;DE$5,Demand_current!$D$2:$AY$2&amp;Demand_current!$D$3:$AY$3, 0))/1000</f>
        <v>3.3854500000000014</v>
      </c>
      <c r="DF27" s="182">
        <f t="array" ref="DF27">INDEX(Demand_current!$D$4:$AY$138, MATCH($A27, Demand_current!$B$4:$B$138, 0), MATCH(DF$4&amp;DF$5,Demand_current!$D$2:$AY$2&amp;Demand_current!$D$3:$AY$3, 0))/1000</f>
        <v>3.232778846153848</v>
      </c>
      <c r="DG27" s="182">
        <f t="array" ref="DG27">INDEX(Demand_current!$D$4:$AY$138, MATCH($A27, Demand_current!$B$4:$B$138, 0), MATCH(DG$4&amp;DG$5,Demand_current!$D$2:$AY$2&amp;Demand_current!$D$3:$AY$3, 0))/1000</f>
        <v>5.8053935185185201</v>
      </c>
      <c r="DH27" s="182">
        <f t="array" ref="DH27">INDEX(Demand_current!$D$4:$AY$138, MATCH($A27, Demand_current!$B$4:$B$138, 0), MATCH(DH$4&amp;DH$5,Demand_current!$D$2:$AY$2&amp;Demand_current!$D$3:$AY$3, 0))/1000</f>
        <v>1.936414062499999</v>
      </c>
      <c r="DI27" s="180">
        <f>$BS27*(VLOOKUP(DI$4, Rates_current!$G$6:$Q$29, 10, FALSE)+VLOOKUP(DI$4, Rates_current!$G$6:$Q$29, 11, FALSE))</f>
        <v>14324.104411420951</v>
      </c>
      <c r="DJ27" s="180">
        <f>$BS27*(VLOOKUP(DJ$4, Rates_current!$G$6:$Q$29, 10, FALSE)+VLOOKUP(DJ$4, Rates_current!$G$6:$Q$29, 11, FALSE))</f>
        <v>18267.956540592702</v>
      </c>
      <c r="DK27" s="180">
        <f>$BS27*(VLOOKUP(DK$4, Rates_current!$G$6:$Q$29, 10, FALSE)+VLOOKUP(DK$4, Rates_current!$G$6:$Q$29, 11, FALSE))</f>
        <v>19714.7396256555</v>
      </c>
      <c r="DL27" s="180">
        <f>$BS27*(VLOOKUP(DL$4, Rates_current!$G$6:$Q$29, 10, FALSE)+VLOOKUP(DL$4, Rates_current!$G$6:$Q$29, 11, FALSE))</f>
        <v>20486.662129803201</v>
      </c>
      <c r="DM27" s="180">
        <f>$BS27*(VLOOKUP(DM$4, Rates_current!$G$6:$Q$29, 10, FALSE)+VLOOKUP(DM$4, Rates_current!$G$6:$Q$29, 11, FALSE))</f>
        <v>17621.260129361399</v>
      </c>
      <c r="DN27" s="180">
        <f>$BS27*(VLOOKUP(DN$4, Rates_current!$G$6:$Q$29, 10, FALSE)+VLOOKUP(DN$4, Rates_current!$G$6:$Q$29, 11, FALSE))</f>
        <v>19238.927227212298</v>
      </c>
      <c r="DO27" s="180">
        <f>$BS27*(VLOOKUP(DO$4, Rates_current!$G$6:$Q$29, 10, FALSE)+VLOOKUP(DO$4, Rates_current!$G$6:$Q$29, 11, FALSE))</f>
        <v>15185.890893625523</v>
      </c>
      <c r="DP27" s="180">
        <f>$BS27*(VLOOKUP(DP$4, Rates_current!$G$6:$Q$29, 10, FALSE)+VLOOKUP(DP$4, Rates_current!$G$6:$Q$29, 11, FALSE))</f>
        <v>18840.13265786945</v>
      </c>
      <c r="DQ27" s="180">
        <f>$BS27*(VLOOKUP(DQ$4, Rates_current!$G$6:$Q$29, 10, FALSE)+VLOOKUP(DQ$4, Rates_current!$G$6:$Q$29, 11, FALSE))</f>
        <v>19248.916503691649</v>
      </c>
      <c r="DR27" s="180">
        <f>$BS27*(VLOOKUP(DR$4, Rates_current!$G$6:$Q$29, 10, FALSE)+VLOOKUP(DR$4, Rates_current!$G$6:$Q$29, 11, FALSE))</f>
        <v>16710.832685459951</v>
      </c>
      <c r="DS27" s="180">
        <f>$BS27*(VLOOKUP(DS$4, Rates_current!$G$6:$Q$29, 10, FALSE)+VLOOKUP(DS$4, Rates_current!$G$6:$Q$29, 11, FALSE))</f>
        <v>16154.933321808656</v>
      </c>
      <c r="DT27" s="180">
        <f>$BS27*(VLOOKUP(DT$4, Rates_current!$G$6:$Q$29, 10, FALSE)+VLOOKUP(DT$4, Rates_current!$G$6:$Q$29, 11, FALSE))</f>
        <v>14865.667040523402</v>
      </c>
      <c r="DU27" s="402">
        <f>IF(D27=0,IF(C27=0,MAX(0,DW27 - (VLOOKUP($A27,TOCA_current!$A$2:$AI$137,MATCH("RHWM 2024",TOCA_current!$A$2:$AI$2,0),FALSE)*$BS$2)), 0),0)</f>
        <v>4.2709656232909765</v>
      </c>
      <c r="DV27" s="403">
        <f>MIN(VLOOKUP($A27,TOCA_current!$A$2:$AI$137,MATCH("TRL - NLSL - Existing Resource "&amp;$BS$1,TOCA_current!$A$2:$AI$2,0),FALSE)*$BS$2, VLOOKUP($A27,TOCA_current!$A$2:$AI$137,MATCH("RHWM 2024",TOCA_current!$A$2:$AI$2,0),FALSE)*$BS$2)</f>
        <v>210657.88800000001</v>
      </c>
      <c r="DW27" s="403">
        <f>SUM(BY27:CV27)+(BS27*RT1SC!$C$4*$BS$2)</f>
        <v>210662.1589656233</v>
      </c>
      <c r="DX27" s="403">
        <f>VLOOKUP($A27,TOCA_current!$A$2:$AI$137,MATCH("Above RHWM Not Served with LS "&amp;$BS$1,TOCA_current!$A$2:$AI$2,0),FALSE)*$BS$2</f>
        <v>13413.168</v>
      </c>
      <c r="DY27" s="403">
        <f t="shared" si="13"/>
        <v>4.2709656232909765</v>
      </c>
      <c r="DZ27" s="403">
        <f>(VLOOKUP($A27,TOCA_current!$A$2:$AI$137,MATCH("RHWM 2024",TOCA_current!$A$2:$AI$2,0),FALSE)*$BS$2) - $DV27</f>
        <v>0</v>
      </c>
      <c r="EA27" s="403">
        <f t="shared" si="14"/>
        <v>0</v>
      </c>
      <c r="EB27" s="403">
        <f t="shared" si="15"/>
        <v>0</v>
      </c>
      <c r="EC27" s="403">
        <f t="shared" si="16"/>
        <v>0</v>
      </c>
      <c r="ED27" s="403">
        <f t="shared" si="17"/>
        <v>0</v>
      </c>
    </row>
    <row r="28" spans="1:134">
      <c r="A28" s="123">
        <v>10074</v>
      </c>
      <c r="B28" s="124" t="s">
        <v>29</v>
      </c>
      <c r="C28" s="232">
        <f>VLOOKUP(A28, TOCA_current!$A$3:$D$137, 4, FALSE)</f>
        <v>0</v>
      </c>
      <c r="D28" s="191">
        <v>0</v>
      </c>
      <c r="E28" s="107">
        <f>VLOOKUP($A28,TOCA_previous!$A$2:$AI$137,MATCH(E$4,TOCA_previous!$A$2:$AI$2,0),FALSE)</f>
        <v>3.7783000000000001E-3</v>
      </c>
      <c r="F28" s="108">
        <f>VLOOKUP($A28,TOCA_previous!$A$2:$AI$137,MATCH(F$4,TOCA_previous!$A$2:$AI$2,0),FALSE)</f>
        <v>3.7783000000000001E-3</v>
      </c>
      <c r="G28" s="108">
        <f t="shared" si="5"/>
        <v>0</v>
      </c>
      <c r="H28" s="108">
        <f>VLOOKUP($A28,TOCA_previous!$A$2:$AI$137,MATCH(H$4,TOCA_previous!$A$2:$AI$2,0),FALSE)</f>
        <v>0</v>
      </c>
      <c r="I28" s="108">
        <f t="shared" si="6"/>
        <v>0</v>
      </c>
      <c r="J28" s="108">
        <f t="shared" si="7"/>
        <v>0</v>
      </c>
      <c r="K28" s="179">
        <f>VLOOKUP(A28, IRD!$A$5:$C$139, 3, FALSE)</f>
        <v>0</v>
      </c>
      <c r="L28" s="180">
        <f t="array" ref="L28">IF($G28=0, INDEX(LS_previous!$D$4:$AY$138, MATCH('Staging Table'!$A28, LS_previous!$B$4:$B$138, 0), MATCH(L$4&amp;L$5, LS_previous!$D$2:$AY$2&amp;LS_previous!$D$3:$AY$3, 0)),SUM(VLOOKUP($A28, LS_previous!$B$4:$AY$138, LS_previous!D$149, FALSE), VLOOKUP('Staging Table'!$A28, LS_previous!$B$4:$AY$138,LS_previous!AB$149, FALSE))/2)</f>
        <v>1183.2111435055212</v>
      </c>
      <c r="M28" s="180">
        <f t="array" ref="M28">IF($G28=0, INDEX(LS_previous!$D$4:$AY$138, MATCH('Staging Table'!$A28, LS_previous!$B$4:$B$138, 0), MATCH(M$4&amp;M$5, LS_previous!$D$2:$AY$2&amp;LS_previous!$D$3:$AY$3, 0)),SUM(VLOOKUP($A28, LS_previous!$B$4:$AY$138, LS_previous!E$149, FALSE), VLOOKUP('Staging Table'!$A28, LS_previous!$B$4:$AY$138,LS_previous!AC$149, FALSE))/2)</f>
        <v>809.86121752563668</v>
      </c>
      <c r="N28" s="180">
        <f t="array" ref="N28">IF($G28=0, INDEX(LS_previous!$D$4:$AY$138, MATCH('Staging Table'!$A28, LS_previous!$B$4:$B$138, 0), MATCH(N$4&amp;N$5, LS_previous!$D$2:$AY$2&amp;LS_previous!$D$3:$AY$3, 0)),SUM(VLOOKUP($A28, LS_previous!$B$4:$AY$138, LS_previous!F$149, FALSE), VLOOKUP('Staging Table'!$A28, LS_previous!$B$4:$AY$138,LS_previous!AD$149, FALSE))/2)</f>
        <v>-584.77823790984803</v>
      </c>
      <c r="O28" s="180">
        <f t="array" ref="O28">IF($G28=0, INDEX(LS_previous!$D$4:$AY$138, MATCH('Staging Table'!$A28, LS_previous!$B$4:$B$138, 0), MATCH(O$4&amp;O$5, LS_previous!$D$2:$AY$2&amp;LS_previous!$D$3:$AY$3, 0)),SUM(VLOOKUP($A28, LS_previous!$B$4:$AY$138, LS_previous!G$149, FALSE), VLOOKUP('Staging Table'!$A28, LS_previous!$B$4:$AY$138,LS_previous!AE$149, FALSE))/2)</f>
        <v>-753.09749509836547</v>
      </c>
      <c r="P28" s="180">
        <f t="array" ref="P28">IF($G28=0, INDEX(LS_previous!$D$4:$AY$138, MATCH('Staging Table'!$A28, LS_previous!$B$4:$B$138, 0), MATCH(P$4&amp;P$5, LS_previous!$D$2:$AY$2&amp;LS_previous!$D$3:$AY$3, 0)),SUM(VLOOKUP($A28, LS_previous!$B$4:$AY$138, LS_previous!H$149, FALSE), VLOOKUP('Staging Table'!$A28, LS_previous!$B$4:$AY$138,LS_previous!AF$149, FALSE))/2)</f>
        <v>2101.9476427859227</v>
      </c>
      <c r="Q28" s="180">
        <f t="array" ref="Q28">IF($G28=0, INDEX(LS_previous!$D$4:$AY$138, MATCH('Staging Table'!$A28, LS_previous!$B$4:$B$138, 0), MATCH(Q$4&amp;Q$5, LS_previous!$D$2:$AY$2&amp;LS_previous!$D$3:$AY$3, 0)),SUM(VLOOKUP($A28, LS_previous!$B$4:$AY$138, LS_previous!I$149, FALSE), VLOOKUP('Staging Table'!$A28, LS_previous!$B$4:$AY$138,LS_previous!AG$149, FALSE))/2)</f>
        <v>416.49190181848644</v>
      </c>
      <c r="R28" s="180">
        <f t="array" ref="R28">IF($G28=0, INDEX(LS_previous!$D$4:$AY$138, MATCH('Staging Table'!$A28, LS_previous!$B$4:$B$138, 0), MATCH(R$4&amp;R$5, LS_previous!$D$2:$AY$2&amp;LS_previous!$D$3:$AY$3, 0)),SUM(VLOOKUP($A28, LS_previous!$B$4:$AY$138, LS_previous!J$149, FALSE), VLOOKUP('Staging Table'!$A28, LS_previous!$B$4:$AY$138,LS_previous!AH$149, FALSE))/2)</f>
        <v>5265.1663242673949</v>
      </c>
      <c r="S28" s="180">
        <f t="array" ref="S28">IF($G28=0, INDEX(LS_previous!$D$4:$AY$138, MATCH('Staging Table'!$A28, LS_previous!$B$4:$B$138, 0), MATCH(S$4&amp;S$5, LS_previous!$D$2:$AY$2&amp;LS_previous!$D$3:$AY$3, 0)),SUM(VLOOKUP($A28, LS_previous!$B$4:$AY$138, LS_previous!K$149, FALSE), VLOOKUP('Staging Table'!$A28, LS_previous!$B$4:$AY$138,LS_previous!AI$149, FALSE))/2)</f>
        <v>1669.8451968350073</v>
      </c>
      <c r="T28" s="180">
        <f t="array" ref="T28">IF($G28=0, INDEX(LS_previous!$D$4:$AY$138, MATCH('Staging Table'!$A28, LS_previous!$B$4:$B$138, 0), MATCH(T$4&amp;T$5, LS_previous!$D$2:$AY$2&amp;LS_previous!$D$3:$AY$3, 0)),SUM(VLOOKUP($A28, LS_previous!$B$4:$AY$138, LS_previous!L$149, FALSE), VLOOKUP('Staging Table'!$A28, LS_previous!$B$4:$AY$138,LS_previous!AJ$149, FALSE))/2)</f>
        <v>5822.4947133206915</v>
      </c>
      <c r="U28" s="180">
        <f t="array" ref="U28">IF($G28=0, INDEX(LS_previous!$D$4:$AY$138, MATCH('Staging Table'!$A28, LS_previous!$B$4:$B$138, 0), MATCH(U$4&amp;U$5, LS_previous!$D$2:$AY$2&amp;LS_previous!$D$3:$AY$3, 0)),SUM(VLOOKUP($A28, LS_previous!$B$4:$AY$138, LS_previous!M$149, FALSE), VLOOKUP('Staging Table'!$A28, LS_previous!$B$4:$AY$138,LS_previous!AK$149, FALSE))/2)</f>
        <v>1933.0722651082087</v>
      </c>
      <c r="V28" s="180">
        <f t="array" ref="V28">IF($G28=0, INDEX(LS_previous!$D$4:$AY$138, MATCH('Staging Table'!$A28, LS_previous!$B$4:$B$138, 0), MATCH(V$4&amp;V$5, LS_previous!$D$2:$AY$2&amp;LS_previous!$D$3:$AY$3, 0)),SUM(VLOOKUP($A28, LS_previous!$B$4:$AY$138, LS_previous!N$149, FALSE), VLOOKUP('Staging Table'!$A28, LS_previous!$B$4:$AY$138,LS_previous!AL$149, FALSE))/2)</f>
        <v>2731.7197567697604</v>
      </c>
      <c r="W28" s="180">
        <f t="array" ref="W28">IF($G28=0, INDEX(LS_previous!$D$4:$AY$138, MATCH('Staging Table'!$A28, LS_previous!$B$4:$B$138, 0), MATCH(W$4&amp;W$5, LS_previous!$D$2:$AY$2&amp;LS_previous!$D$3:$AY$3, 0)),SUM(VLOOKUP($A28, LS_previous!$B$4:$AY$138, LS_previous!O$149, FALSE), VLOOKUP('Staging Table'!$A28, LS_previous!$B$4:$AY$138,LS_previous!AM$149, FALSE))/2)</f>
        <v>1530.2239823697873</v>
      </c>
      <c r="X28" s="180">
        <f t="array" ref="X28">IF($G28=0, INDEX(LS_previous!$D$4:$AY$138, MATCH('Staging Table'!$A28, LS_previous!$B$4:$B$138, 0), MATCH(X$4&amp;X$5, LS_previous!$D$2:$AY$2&amp;LS_previous!$D$3:$AY$3, 0)),SUM(VLOOKUP($A28, LS_previous!$B$4:$AY$138, LS_previous!P$149, FALSE), VLOOKUP('Staging Table'!$A28, LS_previous!$B$4:$AY$138,LS_previous!AN$149, FALSE))/2)</f>
        <v>4072.8349022818002</v>
      </c>
      <c r="Y28" s="180">
        <f t="array" ref="Y28">IF($G28=0, INDEX(LS_previous!$D$4:$AY$138, MATCH('Staging Table'!$A28, LS_previous!$B$4:$B$138, 0), MATCH(Y$4&amp;Y$5, LS_previous!$D$2:$AY$2&amp;LS_previous!$D$3:$AY$3, 0)),SUM(VLOOKUP($A28, LS_previous!$B$4:$AY$138, LS_previous!Q$149, FALSE), VLOOKUP('Staging Table'!$A28, LS_previous!$B$4:$AY$138,LS_previous!AO$149, FALSE))/2)</f>
        <v>1628.0225707110167</v>
      </c>
      <c r="Z28" s="180">
        <f t="array" ref="Z28">IF($G28=0, INDEX(LS_previous!$D$4:$AY$138, MATCH('Staging Table'!$A28, LS_previous!$B$4:$B$138, 0), MATCH(Z$4&amp;Z$5, LS_previous!$D$2:$AY$2&amp;LS_previous!$D$3:$AY$3, 0)),SUM(VLOOKUP($A28, LS_previous!$B$4:$AY$138, LS_previous!R$149, FALSE), VLOOKUP('Staging Table'!$A28, LS_previous!$B$4:$AY$138,LS_previous!AP$149, FALSE))/2)</f>
        <v>-2552.0838617634909</v>
      </c>
      <c r="AA28" s="180">
        <f t="array" ref="AA28">IF($G28=0, INDEX(LS_previous!$D$4:$AY$138, MATCH('Staging Table'!$A28, LS_previous!$B$4:$B$138, 0), MATCH(AA$4&amp;AA$5, LS_previous!$D$2:$AY$2&amp;LS_previous!$D$3:$AY$3, 0)),SUM(VLOOKUP($A28, LS_previous!$B$4:$AY$138, LS_previous!S$149, FALSE), VLOOKUP('Staging Table'!$A28, LS_previous!$B$4:$AY$138,LS_previous!AQ$149, FALSE))/2)</f>
        <v>-603.87597738242857</v>
      </c>
      <c r="AB28" s="180">
        <f t="array" ref="AB28">IF($G28=0, INDEX(LS_previous!$D$4:$AY$138, MATCH('Staging Table'!$A28, LS_previous!$B$4:$B$138, 0), MATCH(AB$4&amp;AB$5, LS_previous!$D$2:$AY$2&amp;LS_previous!$D$3:$AY$3, 0)),SUM(VLOOKUP($A28, LS_previous!$B$4:$AY$138, LS_previous!T$149, FALSE), VLOOKUP('Staging Table'!$A28, LS_previous!$B$4:$AY$138,LS_previous!AR$149, FALSE))/2)</f>
        <v>-4099.6364248894151</v>
      </c>
      <c r="AC28" s="180">
        <f t="array" ref="AC28">IF($G28=0, INDEX(LS_previous!$D$4:$AY$138, MATCH('Staging Table'!$A28, LS_previous!$B$4:$B$138, 0), MATCH(AC$4&amp;AC$5, LS_previous!$D$2:$AY$2&amp;LS_previous!$D$3:$AY$3, 0)),SUM(VLOOKUP($A28, LS_previous!$B$4:$AY$138, LS_previous!U$149, FALSE), VLOOKUP('Staging Table'!$A28, LS_previous!$B$4:$AY$138,LS_previous!AS$149, FALSE))/2)</f>
        <v>107.51850491230744</v>
      </c>
      <c r="AD28" s="180">
        <f t="array" ref="AD28">IF($G28=0, INDEX(LS_previous!$D$4:$AY$138, MATCH('Staging Table'!$A28, LS_previous!$B$4:$B$138, 0), MATCH(AD$4&amp;AD$5, LS_previous!$D$2:$AY$2&amp;LS_previous!$D$3:$AY$3, 0)),SUM(VLOOKUP($A28, LS_previous!$B$4:$AY$138, LS_previous!V$149, FALSE), VLOOKUP('Staging Table'!$A28, LS_previous!$B$4:$AY$138,LS_previous!AT$149, FALSE))/2)</f>
        <v>-1128.9075152847108</v>
      </c>
      <c r="AE28" s="180">
        <f t="array" ref="AE28">IF($G28=0, INDEX(LS_previous!$D$4:$AY$138, MATCH('Staging Table'!$A28, LS_previous!$B$4:$B$138, 0), MATCH(AE$4&amp;AE$5, LS_previous!$D$2:$AY$2&amp;LS_previous!$D$3:$AY$3, 0)),SUM(VLOOKUP($A28, LS_previous!$B$4:$AY$138, LS_previous!W$149, FALSE), VLOOKUP('Staging Table'!$A28, LS_previous!$B$4:$AY$138,LS_previous!AU$149, FALSE))/2)</f>
        <v>-165.8752926685238</v>
      </c>
      <c r="AF28" s="180">
        <f t="array" ref="AF28">IF($G28=0, INDEX(LS_previous!$D$4:$AY$138, MATCH('Staging Table'!$A28, LS_previous!$B$4:$B$138, 0), MATCH(AF$4&amp;AF$5, LS_previous!$D$2:$AY$2&amp;LS_previous!$D$3:$AY$3, 0)),SUM(VLOOKUP($A28, LS_previous!$B$4:$AY$138, LS_previous!X$149, FALSE), VLOOKUP('Staging Table'!$A28, LS_previous!$B$4:$AY$138,LS_previous!AV$149, FALSE))/2)</f>
        <v>-22.021660403928763</v>
      </c>
      <c r="AG28" s="180">
        <f t="array" ref="AG28">IF($G28=0, INDEX(LS_previous!$D$4:$AY$138, MATCH('Staging Table'!$A28, LS_previous!$B$4:$B$138, 0), MATCH(AG$4&amp;AG$5, LS_previous!$D$2:$AY$2&amp;LS_previous!$D$3:$AY$3, 0)),SUM(VLOOKUP($A28, LS_previous!$B$4:$AY$138, LS_previous!Y$149, FALSE), VLOOKUP('Staging Table'!$A28, LS_previous!$B$4:$AY$138,LS_previous!AW$149, FALSE))/2)</f>
        <v>42.682842072845233</v>
      </c>
      <c r="AH28" s="180">
        <f t="array" ref="AH28">IF($G28=0, INDEX(LS_previous!$D$4:$AY$138, MATCH('Staging Table'!$A28, LS_previous!$B$4:$B$138, 0), MATCH(AH$4&amp;AH$5, LS_previous!$D$2:$AY$2&amp;LS_previous!$D$3:$AY$3, 0)),SUM(VLOOKUP($A28, LS_previous!$B$4:$AY$138, LS_previous!Z$149, FALSE), VLOOKUP('Staging Table'!$A28, LS_previous!$B$4:$AY$138,LS_previous!AX$149, FALSE))/2)</f>
        <v>-822.8998120008655</v>
      </c>
      <c r="AI28" s="180">
        <f t="array" ref="AI28">IF($G28=0, INDEX(LS_previous!$D$4:$AY$138, MATCH('Staging Table'!$A28, LS_previous!$B$4:$B$138, 0), MATCH(AI$4&amp;AI$5, LS_previous!$D$2:$AY$2&amp;LS_previous!$D$3:$AY$3, 0)),SUM(VLOOKUP($A28, LS_previous!$B$4:$AY$138, LS_previous!AA$149, FALSE), VLOOKUP('Staging Table'!$A28, LS_previous!$B$4:$AY$138,LS_previous!AY$149, FALSE))/2)</f>
        <v>65.485281482147002</v>
      </c>
      <c r="AJ28" s="298">
        <f t="array" ref="AJ28">INDEX(Demand_previous!$D$4:$AY$138, MATCH('Staging Table'!$A28, Demand_previous!$B$4:$B$138, 0), MATCH(AJ$4&amp;AJ$5,Demand_previous!$D$2:$AY$2&amp;Demand_previous!$D$3:$AY$3, 0))/1000</f>
        <v>0</v>
      </c>
      <c r="AK28" s="298">
        <f t="array" ref="AK28">INDEX(Demand_previous!$D$4:$AY$138, MATCH('Staging Table'!$A28, Demand_previous!$B$4:$B$138, 0), MATCH(AK$4&amp;AK$5,Demand_previous!$D$2:$AY$2&amp;Demand_previous!$D$3:$AY$3, 0))/1000</f>
        <v>1.0839000000000016</v>
      </c>
      <c r="AL28" s="298">
        <f t="array" ref="AL28">INDEX(Demand_previous!$D$4:$AY$138, MATCH('Staging Table'!$A28, Demand_previous!$B$4:$B$138, 0), MATCH(AL$4&amp;AL$5,Demand_previous!$D$2:$AY$2&amp;Demand_previous!$D$3:$AY$3, 0))/1000</f>
        <v>1.6526875000000043</v>
      </c>
      <c r="AM28" s="298">
        <f t="array" ref="AM28">INDEX(Demand_previous!$D$4:$AY$138, MATCH('Staging Table'!$A28, Demand_previous!$B$4:$B$138, 0), MATCH(AM$4&amp;AM$5,Demand_previous!$D$2:$AY$2&amp;Demand_previous!$D$3:$AY$3, 0))/1000</f>
        <v>0</v>
      </c>
      <c r="AN28" s="298">
        <f t="array" ref="AN28">INDEX(Demand_previous!$D$4:$AY$138, MATCH('Staging Table'!$A28, Demand_previous!$B$4:$B$138, 0), MATCH(AN$4&amp;AN$5,Demand_previous!$D$2:$AY$2&amp;Demand_previous!$D$3:$AY$3, 0))/1000</f>
        <v>0.96824479166665789</v>
      </c>
      <c r="AO28" s="298">
        <f t="array" ref="AO28">INDEX(Demand_previous!$D$4:$AY$138, MATCH('Staging Table'!$A28, Demand_previous!$B$4:$B$138, 0), MATCH(AO$4&amp;AO$5,Demand_previous!$D$2:$AY$2&amp;Demand_previous!$D$3:$AY$3, 0))/1000</f>
        <v>4.0326921296296296</v>
      </c>
      <c r="AP28" s="298">
        <f t="array" ref="AP28">INDEX(Demand_previous!$D$4:$AY$138, MATCH('Staging Table'!$A28, Demand_previous!$B$4:$B$138, 0), MATCH(AP$4&amp;AP$5,Demand_previous!$D$2:$AY$2&amp;Demand_previous!$D$3:$AY$3, 0))/1000</f>
        <v>0.55188942307692557</v>
      </c>
      <c r="AQ28" s="298">
        <f t="array" ref="AQ28">INDEX(Demand_previous!$D$4:$AY$138, MATCH('Staging Table'!$A28, Demand_previous!$B$4:$B$138, 0), MATCH(AQ$4&amp;AQ$5,Demand_previous!$D$2:$AY$2&amp;Demand_previous!$D$3:$AY$3, 0))/1000</f>
        <v>0.46260999999999708</v>
      </c>
      <c r="AR28" s="298">
        <f t="array" ref="AR28">INDEX(Demand_previous!$D$4:$AY$138, MATCH('Staging Table'!$A28, Demand_previous!$B$4:$B$138, 0), MATCH(AR$4&amp;AR$5,Demand_previous!$D$2:$AY$2&amp;Demand_previous!$D$3:$AY$3, 0))/1000</f>
        <v>11.707822115384619</v>
      </c>
      <c r="AS28" s="298">
        <f t="array" ref="AS28">INDEX(Demand_previous!$D$4:$AY$138, MATCH('Staging Table'!$A28, Demand_previous!$B$4:$B$138, 0), MATCH(AS$4&amp;AS$5,Demand_previous!$D$2:$AY$2&amp;Demand_previous!$D$3:$AY$3, 0))/1000</f>
        <v>6.3567100000000032</v>
      </c>
      <c r="AT28" s="298">
        <f t="array" ref="AT28">INDEX(Demand_previous!$D$4:$AY$138, MATCH('Staging Table'!$A28, Demand_previous!$B$4:$B$138, 0), MATCH(AT$4&amp;AT$5,Demand_previous!$D$2:$AY$2&amp;Demand_previous!$D$3:$AY$3, 0))/1000</f>
        <v>6.6246041666666633</v>
      </c>
      <c r="AU28" s="298">
        <f t="array" ref="AU28">INDEX(Demand_previous!$D$4:$AY$138, MATCH('Staging Table'!$A28, Demand_previous!$B$4:$B$138, 0), MATCH(AU$4&amp;AU$5,Demand_previous!$D$2:$AY$2&amp;Demand_previous!$D$3:$AY$3, 0))/1000</f>
        <v>10.378974999999999</v>
      </c>
      <c r="AV28" s="180">
        <f>$F28*(VLOOKUP(AV$4, Rates_previous!$G$6:$Q$29, 10, FALSE)+VLOOKUP(AV$4, Rates_previous!$G$6:$Q$29, 11, FALSE))</f>
        <v>17206.092638968843</v>
      </c>
      <c r="AW28" s="180">
        <f>$F28*(VLOOKUP(AW$4, Rates_previous!$G$6:$Q$29, 10, FALSE)+VLOOKUP(AW$4, Rates_previous!$G$6:$Q$29, 11, FALSE))</f>
        <v>21783.537733008212</v>
      </c>
      <c r="AX28" s="180">
        <f>$F28*(VLOOKUP(AX$4, Rates_previous!$G$6:$Q$29, 10, FALSE)+VLOOKUP(AX$4, Rates_previous!$G$6:$Q$29, 11, FALSE))</f>
        <v>21321.731455395591</v>
      </c>
      <c r="AY28" s="180">
        <f>$F28*(VLOOKUP(AY$4, Rates_previous!$G$6:$Q$29, 10, FALSE)+VLOOKUP(AY$4, Rates_previous!$G$6:$Q$29, 11, FALSE))</f>
        <v>17610.843478897597</v>
      </c>
      <c r="AZ28" s="180">
        <f>$F28*(VLOOKUP(AZ$4, Rates_previous!$G$6:$Q$29, 10, FALSE)+VLOOKUP(AZ$4, Rates_previous!$G$6:$Q$29, 11, FALSE))</f>
        <v>15263.704021571104</v>
      </c>
      <c r="BA28" s="180">
        <f>$F28*(VLOOKUP(BA$4, Rates_previous!$G$6:$Q$29, 10, FALSE)+VLOOKUP(BA$4, Rates_previous!$G$6:$Q$29, 11, FALSE))</f>
        <v>18221.780260860454</v>
      </c>
      <c r="BB28" s="180">
        <f>$F28*(VLOOKUP(BB$4, Rates_previous!$G$6:$Q$29, 10, FALSE)+VLOOKUP(BB$4, Rates_previous!$G$6:$Q$29, 11, FALSE))</f>
        <v>14146.786527007183</v>
      </c>
      <c r="BC28" s="180">
        <f>$F28*(VLOOKUP(BC$4, Rates_previous!$G$6:$Q$29, 10, FALSE)+VLOOKUP(BC$4, Rates_previous!$G$6:$Q$29, 11, FALSE))</f>
        <v>19600.476839145918</v>
      </c>
      <c r="BD28" s="180">
        <f>$F28*(VLOOKUP(BD$4, Rates_previous!$G$6:$Q$29, 10, FALSE)+VLOOKUP(BD$4, Rates_previous!$G$6:$Q$29, 11, FALSE))</f>
        <v>20943.519919977109</v>
      </c>
      <c r="BE28" s="180">
        <f>$F28*(VLOOKUP(BE$4, Rates_previous!$G$6:$Q$29, 10, FALSE)+VLOOKUP(BE$4, Rates_previous!$G$6:$Q$29, 11, FALSE))</f>
        <v>19884.923807953237</v>
      </c>
      <c r="BF28" s="180">
        <f>$F28*(VLOOKUP(BF$4, Rates_previous!$G$6:$Q$29, 10, FALSE)+VLOOKUP(BF$4, Rates_previous!$G$6:$Q$29, 11, FALSE))</f>
        <v>19217.244818331084</v>
      </c>
      <c r="BG28" s="180">
        <f>$F28*(VLOOKUP(BG$4, Rates_previous!$G$6:$Q$29, 10, FALSE)+VLOOKUP(BG$4, Rates_previous!$G$6:$Q$29, 11, FALSE))</f>
        <v>17758.737530518716</v>
      </c>
      <c r="BH28" s="298">
        <f>IF($D28=0,IF(C28=0, MAX(BJ28 - (VLOOKUP($A28,TOCA_previous!$A$2:$AI$137,MATCH("RHWM 2022",TOCA_previous!$A$2:$AI$2,0),FALSE)*$F$2*TOCA_previous!C25),0),0), 0)</f>
        <v>18647.27240533696</v>
      </c>
      <c r="BI28" s="192">
        <f>MIN(VLOOKUP($A28,TOCA_previous!$A$2:$AI$137,MATCH("TRL - NLSL - Existing Resource "&amp;$F$1,TOCA_previous!$A$2:$AI$2,0),FALSE)*$F$2,(VLOOKUP($A28,TOCA_previous!$A$2:$AI$137,MATCH("RHWM 2022",TOCA_previous!$A$2:$AI$2,0),FALSE)*$F$2))</f>
        <v>222959.52000000002</v>
      </c>
      <c r="BJ28" s="402">
        <f>SUM(L28:AI28)+(F28*RT1SC!$C$3*$F$2)</f>
        <v>241606.79240533698</v>
      </c>
      <c r="BK28" s="401">
        <f>VLOOKUP($A28,TOCA_previous!$A$2:$AI$137,MATCH("Above RHWM Not Served with LS "&amp;$F$1,TOCA_previous!$A$2:$AI$2,0),FALSE)*$F$2</f>
        <v>16022.039999999999</v>
      </c>
      <c r="BL28" s="402">
        <f t="shared" si="8"/>
        <v>18647.27240533696</v>
      </c>
      <c r="BM28" s="401">
        <f>(VLOOKUP($A28,TOCA_previous!$A$2:$AI$137,MATCH("RHWM 2022",TOCA_previous!$A$2:$AI$2,0),FALSE)*$F$2) - $BI28</f>
        <v>0</v>
      </c>
      <c r="BN28" s="402">
        <f t="shared" si="9"/>
        <v>0</v>
      </c>
      <c r="BO28" s="401">
        <f t="shared" si="10"/>
        <v>0</v>
      </c>
      <c r="BP28" s="402">
        <f t="shared" si="11"/>
        <v>0</v>
      </c>
      <c r="BQ28" s="401">
        <f t="shared" si="2"/>
        <v>0</v>
      </c>
      <c r="BR28" s="108">
        <f>VLOOKUP($A28,TOCA_current!$A$2:$AI$137,MATCH(BR$4,TOCA_current!$A$2:$AI$2,0),FALSE)</f>
        <v>3.7775E-3</v>
      </c>
      <c r="BS28" s="108">
        <f>VLOOKUP($A28,TOCA_current!$A$2:$AI$137,MATCH(BS$4,TOCA_current!$A$2:$AI$2,0),FALSE)</f>
        <v>3.7775E-3</v>
      </c>
      <c r="BT28" s="189">
        <f t="shared" si="12"/>
        <v>0</v>
      </c>
      <c r="BU28" s="108">
        <f>VLOOKUP($A28,TOCA_current!A24:BG159,MATCH(BU$4,TOCA_current!$A$2:$BG$2,0),FALSE)</f>
        <v>0</v>
      </c>
      <c r="BV28" s="108">
        <f t="shared" si="3"/>
        <v>0</v>
      </c>
      <c r="BW28" s="108">
        <f t="shared" si="4"/>
        <v>0</v>
      </c>
      <c r="BX28" s="179">
        <f>VLOOKUP($A28,IRD!$A$4:$G$139, 7, FALSE)</f>
        <v>0</v>
      </c>
      <c r="BY28" s="180">
        <f t="array" ref="BY28">IF($BT28=0, INDEX(LS_current!$D$4:$AY$138, MATCH('Staging Table'!$A28, LS_current!$B$4:$B$138, 0), MATCH(BY$4&amp;BY$5, LS_current!$D$2:$AY$2&amp;LS_current!$D$3:$AY$3, 0)),SUM(VLOOKUP($A28, LS_current!$B$4:$AY$138, LS_current!D$148, FALSE), VLOOKUP($A28, LS_current!$B$4:$AY$138,LS_current!AB$148, FALSE))/2)</f>
        <v>2236.2716540099991</v>
      </c>
      <c r="BZ28" s="180">
        <f t="array" ref="BZ28">IF($BT28=0, INDEX(LS_current!$D$4:$AY$138, MATCH('Staging Table'!$A28, LS_current!$B$4:$B$138, 0), MATCH(BZ$4&amp;BZ$5, LS_current!$D$2:$AY$2&amp;LS_current!$D$3:$AY$3, 0)),SUM(VLOOKUP($A28, LS_current!$B$4:$AY$138, LS_current!E$148, FALSE), VLOOKUP($A28, LS_current!$B$4:$AY$138,LS_current!AC$148, FALSE))/2)</f>
        <v>417.02613692375053</v>
      </c>
      <c r="CA28" s="180">
        <f t="array" ref="CA28">IF($BT28=0, INDEX(LS_current!$D$4:$AY$138, MATCH('Staging Table'!$A28, LS_current!$B$4:$B$138, 0), MATCH(CA$4&amp;CA$5, LS_current!$D$2:$AY$2&amp;LS_current!$D$3:$AY$3, 0)),SUM(VLOOKUP($A28, LS_current!$B$4:$AY$138, LS_current!F$148, FALSE), VLOOKUP($A28, LS_current!$B$4:$AY$138,LS_current!AD$148, FALSE))/2)</f>
        <v>123.4391184799988</v>
      </c>
      <c r="CB28" s="180">
        <f t="array" ref="CB28">IF($BT28=0, INDEX(LS_current!$D$4:$AY$138, MATCH('Staging Table'!$A28, LS_current!$B$4:$B$138, 0), MATCH(CB$4&amp;CB$5, LS_current!$D$2:$AY$2&amp;LS_current!$D$3:$AY$3, 0)),SUM(VLOOKUP($A28, LS_current!$B$4:$AY$138, LS_current!G$148, FALSE), VLOOKUP($A28, LS_current!$B$4:$AY$138,LS_current!AE$148, FALSE))/2)</f>
        <v>-592.60852860250088</v>
      </c>
      <c r="CC28" s="180">
        <f t="array" ref="CC28">IF($BT28=0, INDEX(LS_current!$D$4:$AY$138, MATCH('Staging Table'!$A28, LS_current!$B$4:$B$138, 0), MATCH(CC$4&amp;CC$5, LS_current!$D$2:$AY$2&amp;LS_current!$D$3:$AY$3, 0)),SUM(VLOOKUP($A28, LS_current!$B$4:$AY$138, LS_current!H$148, FALSE), VLOOKUP($A28, LS_current!$B$4:$AY$138,LS_current!AF$148, FALSE))/2)</f>
        <v>685.73512092749843</v>
      </c>
      <c r="CD28" s="180">
        <f t="array" ref="CD28">IF($BT28=0, INDEX(LS_current!$D$4:$AY$138, MATCH('Staging Table'!$A28, LS_current!$B$4:$B$138, 0), MATCH(CD$4&amp;CD$5, LS_current!$D$2:$AY$2&amp;LS_current!$D$3:$AY$3, 0)),SUM(VLOOKUP($A28, LS_current!$B$4:$AY$138, LS_current!I$148, FALSE), VLOOKUP($A28, LS_current!$B$4:$AY$138,LS_current!AG$148, FALSE))/2)</f>
        <v>611.12381335999999</v>
      </c>
      <c r="CE28" s="180">
        <f t="array" ref="CE28">IF($BT28=0, INDEX(LS_current!$D$4:$AY$138, MATCH('Staging Table'!$A28, LS_current!$B$4:$B$138, 0), MATCH(CE$4&amp;CE$5, LS_current!$D$2:$AY$2&amp;LS_current!$D$3:$AY$3, 0)),SUM(VLOOKUP($A28, LS_current!$B$4:$AY$138, LS_current!J$148, FALSE), VLOOKUP($A28, LS_current!$B$4:$AY$138,LS_current!AH$148, FALSE))/2)</f>
        <v>802.08654658750129</v>
      </c>
      <c r="CF28" s="180">
        <f t="array" ref="CF28">IF($BT28=0, INDEX(LS_current!$D$4:$AY$138, MATCH('Staging Table'!$A28, LS_current!$B$4:$B$138, 0), MATCH(CF$4&amp;CF$5, LS_current!$D$2:$AY$2&amp;LS_current!$D$3:$AY$3, 0)),SUM(VLOOKUP($A28, LS_current!$B$4:$AY$138, LS_current!K$148, FALSE), VLOOKUP($A28, LS_current!$B$4:$AY$138,LS_current!AI$148, FALSE))/2)</f>
        <v>341.64059545249984</v>
      </c>
      <c r="CG28" s="180">
        <f t="array" ref="CG28">IF($BT28=0, INDEX(LS_current!$D$4:$AY$138, MATCH('Staging Table'!$A28, LS_current!$B$4:$B$138, 0), MATCH(CG$4&amp;CG$5, LS_current!$D$2:$AY$2&amp;LS_current!$D$3:$AY$3, 0)),SUM(VLOOKUP($A28, LS_current!$B$4:$AY$138, LS_current!L$148, FALSE), VLOOKUP($A28, LS_current!$B$4:$AY$138,LS_current!AJ$148, FALSE))/2)</f>
        <v>1866.3955670775013</v>
      </c>
      <c r="CH28" s="180">
        <f t="array" ref="CH28">IF($BT28=0, INDEX(LS_current!$D$4:$AY$138, MATCH('Staging Table'!$A28, LS_current!$B$4:$B$138, 0), MATCH(CH$4&amp;CH$5, LS_current!$D$2:$AY$2&amp;LS_current!$D$3:$AY$3, 0)),SUM(VLOOKUP($A28, LS_current!$B$4:$AY$138, LS_current!M$148, FALSE), VLOOKUP($A28, LS_current!$B$4:$AY$138,LS_current!AK$148, FALSE))/2)</f>
        <v>934.11634987750131</v>
      </c>
      <c r="CI28" s="180">
        <f t="array" ref="CI28">IF($BT28=0, INDEX(LS_current!$D$4:$AY$138, MATCH('Staging Table'!$A28, LS_current!$B$4:$B$138, 0), MATCH(CI$4&amp;CI$5, LS_current!$D$2:$AY$2&amp;LS_current!$D$3:$AY$3, 0)),SUM(VLOOKUP($A28, LS_current!$B$4:$AY$138, LS_current!N$148, FALSE), VLOOKUP($A28, LS_current!$B$4:$AY$138,LS_current!AL$148, FALSE))/2)</f>
        <v>578.92755064250196</v>
      </c>
      <c r="CJ28" s="180">
        <f t="array" ref="CJ28">IF($BT28=0, INDEX(LS_current!$D$4:$AY$138, MATCH('Staging Table'!$A28, LS_current!$B$4:$B$138, 0), MATCH(CJ$4&amp;CJ$5, LS_current!$D$2:$AY$2&amp;LS_current!$D$3:$AY$3, 0)),SUM(VLOOKUP($A28, LS_current!$B$4:$AY$138, LS_current!O$148, FALSE), VLOOKUP($A28, LS_current!$B$4:$AY$138,LS_current!AM$148, FALSE))/2)</f>
        <v>-108.32326639500025</v>
      </c>
      <c r="CK28" s="180">
        <f t="array" ref="CK28">IF($BT28=0, INDEX(LS_current!$D$4:$AY$138, MATCH('Staging Table'!$A28, LS_current!$B$4:$B$138, 0), MATCH(CK$4&amp;CK$5, LS_current!$D$2:$AY$2&amp;LS_current!$D$3:$AY$3, 0)),SUM(VLOOKUP($A28, LS_current!$B$4:$AY$138, LS_current!P$148, FALSE), VLOOKUP($A28, LS_current!$B$4:$AY$138,LS_current!AN$148, FALSE))/2)</f>
        <v>2165.9586204937514</v>
      </c>
      <c r="CL28" s="180">
        <f t="array" ref="CL28">IF($BT28=0, INDEX(LS_current!$D$4:$AY$138, MATCH('Staging Table'!$A28, LS_current!$B$4:$B$138, 0), MATCH(CL$4&amp;CL$5, LS_current!$D$2:$AY$2&amp;LS_current!$D$3:$AY$3, 0)),SUM(VLOOKUP($A28, LS_current!$B$4:$AY$138, LS_current!Q$148, FALSE), VLOOKUP($A28, LS_current!$B$4:$AY$138,LS_current!AO$148, FALSE))/2)</f>
        <v>196.67864823937543</v>
      </c>
      <c r="CM28" s="180">
        <f t="array" ref="CM28">IF($BT28=0, INDEX(LS_current!$D$4:$AY$138, MATCH('Staging Table'!$A28, LS_current!$B$4:$B$138, 0), MATCH(CM$4&amp;CM$5, LS_current!$D$2:$AY$2&amp;LS_current!$D$3:$AY$3, 0)),SUM(VLOOKUP($A28, LS_current!$B$4:$AY$138, LS_current!R$148, FALSE), VLOOKUP($A28, LS_current!$B$4:$AY$138,LS_current!AP$148, FALSE))/2)</f>
        <v>-2451.2501433200014</v>
      </c>
      <c r="CN28" s="180">
        <f t="array" ref="CN28">IF($BT28=0, INDEX(LS_current!$D$4:$AY$138, MATCH('Staging Table'!$A28, LS_current!$B$4:$B$138, 0), MATCH(CN$4&amp;CN$5, LS_current!$D$2:$AY$2&amp;LS_current!$D$3:$AY$3, 0)),SUM(VLOOKUP($A28, LS_current!$B$4:$AY$138, LS_current!S$148, FALSE), VLOOKUP($A28, LS_current!$B$4:$AY$138,LS_current!AQ$148, FALSE))/2)</f>
        <v>-2674.4857462337495</v>
      </c>
      <c r="CO28" s="180">
        <f t="array" ref="CO28">IF($BT28=0, INDEX(LS_current!$D$4:$AY$138, MATCH('Staging Table'!$A28, LS_current!$B$4:$B$138, 0), MATCH(CO$4&amp;CO$5, LS_current!$D$2:$AY$2&amp;LS_current!$D$3:$AY$3, 0)),SUM(VLOOKUP($A28, LS_current!$B$4:$AY$138, LS_current!T$148, FALSE), VLOOKUP($A28, LS_current!$B$4:$AY$138,LS_current!AR$148, FALSE))/2)</f>
        <v>-2910.5359404650007</v>
      </c>
      <c r="CP28" s="180">
        <f t="array" ref="CP28">IF($BT28=0, INDEX(LS_current!$D$4:$AY$138, MATCH('Staging Table'!$A28, LS_current!$B$4:$B$138, 0), MATCH(CP$4&amp;CP$5, LS_current!$D$2:$AY$2&amp;LS_current!$D$3:$AY$3, 0)),SUM(VLOOKUP($A28, LS_current!$B$4:$AY$138, LS_current!U$148, FALSE), VLOOKUP($A28, LS_current!$B$4:$AY$138,LS_current!AS$148, FALSE))/2)</f>
        <v>-2143.4585183737499</v>
      </c>
      <c r="CQ28" s="180">
        <f t="array" ref="CQ28">IF($BT28=0, INDEX(LS_current!$D$4:$AY$138, MATCH('Staging Table'!$A28, LS_current!$B$4:$B$138, 0), MATCH(CQ$4&amp;CQ$5, LS_current!$D$2:$AY$2&amp;LS_current!$D$3:$AY$3, 0)),SUM(VLOOKUP($A28, LS_current!$B$4:$AY$138, LS_current!V$148, FALSE), VLOOKUP($A28, LS_current!$B$4:$AY$138,LS_current!AT$148, FALSE))/2)</f>
        <v>159.63551148999977</v>
      </c>
      <c r="CR28" s="180">
        <f t="array" ref="CR28">IF($BT28=0, INDEX(LS_current!$D$4:$AY$138, MATCH('Staging Table'!$A28, LS_current!$B$4:$B$138, 0), MATCH(CR$4&amp;CR$5, LS_current!$D$2:$AY$2&amp;LS_current!$D$3:$AY$3, 0)),SUM(VLOOKUP($A28, LS_current!$B$4:$AY$138, LS_current!W$148, FALSE), VLOOKUP($A28, LS_current!$B$4:$AY$138,LS_current!AU$148, FALSE))/2)</f>
        <v>-770.75772538124966</v>
      </c>
      <c r="CS28" s="180">
        <f t="array" ref="CS28">IF($BT28=0, INDEX(LS_current!$D$4:$AY$138, MATCH('Staging Table'!$A28, LS_current!$B$4:$B$138, 0), MATCH(CS$4&amp;CS$5, LS_current!$D$2:$AY$2&amp;LS_current!$D$3:$AY$3, 0)),SUM(VLOOKUP($A28, LS_current!$B$4:$AY$138, LS_current!X$148, FALSE), VLOOKUP($A28, LS_current!$B$4:$AY$138,LS_current!AV$148, FALSE))/2)</f>
        <v>1164.2358771587496</v>
      </c>
      <c r="CT28" s="180">
        <f t="array" ref="CT28">IF($BT28=0, INDEX(LS_current!$D$4:$AY$138, MATCH('Staging Table'!$A28, LS_current!$B$4:$B$138, 0), MATCH(CT$4&amp;CT$5, LS_current!$D$2:$AY$2&amp;LS_current!$D$3:$AY$3, 0)),SUM(VLOOKUP($A28, LS_current!$B$4:$AY$138, LS_current!Y$148, FALSE), VLOOKUP($A28, LS_current!$B$4:$AY$138,LS_current!AW$148, FALSE))/2)</f>
        <v>-509.11759663337489</v>
      </c>
      <c r="CU28" s="180">
        <f t="array" ref="CU28">IF($BT28=0, INDEX(LS_current!$D$4:$AY$138, MATCH('Staging Table'!$A28, LS_current!$B$4:$B$138, 0), MATCH(CU$4&amp;CU$5, LS_current!$D$2:$AY$2&amp;LS_current!$D$3:$AY$3, 0)),SUM(VLOOKUP($A28, LS_current!$B$4:$AY$138, LS_current!Z$148, FALSE), VLOOKUP($A28, LS_current!$B$4:$AY$138,LS_current!AX$148, FALSE))/2)</f>
        <v>347.6486699649995</v>
      </c>
      <c r="CV28" s="180">
        <f t="array" ref="CV28">IF($BT28=0, INDEX(LS_current!$D$4:$AY$138, MATCH('Staging Table'!$A28, LS_current!$B$4:$B$138, 0), MATCH(CV$4&amp;CV$5, LS_current!$D$2:$AY$2&amp;LS_current!$D$3:$AY$3, 0)),SUM(VLOOKUP($A28, LS_current!$B$4:$AY$138, LS_current!AA$148, FALSE), VLOOKUP($A28, LS_current!$B$4:$AY$138,LS_current!AY$148, FALSE))/2)</f>
        <v>-475.06179036000049</v>
      </c>
      <c r="CW28" s="182">
        <f t="array" ref="CW28">INDEX(Demand_current!$D$4:$AY$138, MATCH($A28, Demand_current!$B$4:$B$138, 0), MATCH(CW$4&amp;CW$5,Demand_current!$D$2:$AY$2&amp;Demand_current!$D$3:$AY$3, 0))/1000</f>
        <v>0</v>
      </c>
      <c r="CX28" s="182">
        <f t="array" ref="CX28">INDEX(Demand_current!$D$4:$AY$138, MATCH($A28, Demand_current!$B$4:$B$138, 0), MATCH(CX$4&amp;CX$5,Demand_current!$D$2:$AY$2&amp;Demand_current!$D$3:$AY$3, 0))/1000</f>
        <v>1.0839000000000016</v>
      </c>
      <c r="CY28" s="182">
        <f t="array" ref="CY28">INDEX(Demand_current!$D$4:$AY$138, MATCH($A28, Demand_current!$B$4:$B$138, 0), MATCH(CY$4&amp;CY$5,Demand_current!$D$2:$AY$2&amp;Demand_current!$D$3:$AY$3, 0))/1000</f>
        <v>5.9074999999998212E-2</v>
      </c>
      <c r="CZ28" s="182">
        <f t="array" ref="CZ28">INDEX(Demand_current!$D$4:$AY$138, MATCH($A28, Demand_current!$B$4:$B$138, 0), MATCH(CZ$4&amp;CZ$5,Demand_current!$D$2:$AY$2&amp;Demand_current!$D$3:$AY$3, 0))/1000</f>
        <v>0</v>
      </c>
      <c r="DA28" s="182">
        <f t="array" ref="DA28">INDEX(Demand_current!$D$4:$AY$138, MATCH($A28, Demand_current!$B$4:$B$138, 0), MATCH(DA$4&amp;DA$5,Demand_current!$D$2:$AY$2&amp;Demand_current!$D$3:$AY$3, 0))/1000</f>
        <v>2.6756749999999929</v>
      </c>
      <c r="DB28" s="182">
        <f t="array" ref="DB28">INDEX(Demand_current!$D$4:$AY$138, MATCH($A28, Demand_current!$B$4:$B$138, 0), MATCH(DB$4&amp;DB$5,Demand_current!$D$2:$AY$2&amp;Demand_current!$D$3:$AY$3, 0))/1000</f>
        <v>2.6528341346153814</v>
      </c>
      <c r="DC28" s="182">
        <f t="array" ref="DC28">INDEX(Demand_current!$D$4:$AY$138, MATCH($A28, Demand_current!$B$4:$B$138, 0), MATCH(DC$4&amp;DC$5,Demand_current!$D$2:$AY$2&amp;Demand_current!$D$3:$AY$3, 0))/1000</f>
        <v>0.55188942307692557</v>
      </c>
      <c r="DD28" s="182">
        <f t="array" ref="DD28">INDEX(Demand_current!$D$4:$AY$138, MATCH($A28, Demand_current!$B$4:$B$138, 0), MATCH(DD$4&amp;DD$5,Demand_current!$D$2:$AY$2&amp;Demand_current!$D$3:$AY$3, 0))/1000</f>
        <v>1.6623557692307669</v>
      </c>
      <c r="DE28" s="182">
        <f t="array" ref="DE28">INDEX(Demand_current!$D$4:$AY$138, MATCH($A28, Demand_current!$B$4:$B$138, 0), MATCH(DE$4&amp;DE$5,Demand_current!$D$2:$AY$2&amp;Demand_current!$D$3:$AY$3, 0))/1000</f>
        <v>10.449015000000006</v>
      </c>
      <c r="DF28" s="182">
        <f t="array" ref="DF28">INDEX(Demand_current!$D$4:$AY$138, MATCH($A28, Demand_current!$B$4:$B$138, 0), MATCH(DF$4&amp;DF$5,Demand_current!$D$2:$AY$2&amp;Demand_current!$D$3:$AY$3, 0))/1000</f>
        <v>7.7131442307692346</v>
      </c>
      <c r="DG28" s="182">
        <f t="array" ref="DG28">INDEX(Demand_current!$D$4:$AY$138, MATCH($A28, Demand_current!$B$4:$B$138, 0), MATCH(DG$4&amp;DG$5,Demand_current!$D$2:$AY$2&amp;Demand_current!$D$3:$AY$3, 0))/1000</f>
        <v>6.6246041666666633</v>
      </c>
      <c r="DH28" s="182">
        <f t="array" ref="DH28">INDEX(Demand_current!$D$4:$AY$138, MATCH($A28, Demand_current!$B$4:$B$138, 0), MATCH(DH$4&amp;DH$5,Demand_current!$D$2:$AY$2&amp;Demand_current!$D$3:$AY$3, 0))/1000</f>
        <v>9.1151822916666649</v>
      </c>
      <c r="DI28" s="180">
        <f>$BS28*(VLOOKUP(DI$4, Rates_current!$G$6:$Q$29, 10, FALSE)+VLOOKUP(DI$4, Rates_current!$G$6:$Q$29, 11, FALSE))</f>
        <v>15936.53120906625</v>
      </c>
      <c r="DJ28" s="180">
        <f>$BS28*(VLOOKUP(DJ$4, Rates_current!$G$6:$Q$29, 10, FALSE)+VLOOKUP(DJ$4, Rates_current!$G$6:$Q$29, 11, FALSE))</f>
        <v>20324.332410122504</v>
      </c>
      <c r="DK28" s="180">
        <f>$BS28*(VLOOKUP(DK$4, Rates_current!$G$6:$Q$29, 10, FALSE)+VLOOKUP(DK$4, Rates_current!$G$6:$Q$29, 11, FALSE))</f>
        <v>21933.976065712501</v>
      </c>
      <c r="DL28" s="180">
        <f>$BS28*(VLOOKUP(DL$4, Rates_current!$G$6:$Q$29, 10, FALSE)+VLOOKUP(DL$4, Rates_current!$G$6:$Q$29, 11, FALSE))</f>
        <v>22792.791857960001</v>
      </c>
      <c r="DM28" s="180">
        <f>$BS28*(VLOOKUP(DM$4, Rates_current!$G$6:$Q$29, 10, FALSE)+VLOOKUP(DM$4, Rates_current!$G$6:$Q$29, 11, FALSE))</f>
        <v>19604.839083044997</v>
      </c>
      <c r="DN28" s="180">
        <f>$BS28*(VLOOKUP(DN$4, Rates_current!$G$6:$Q$29, 10, FALSE)+VLOOKUP(DN$4, Rates_current!$G$6:$Q$29, 11, FALSE))</f>
        <v>21404.602715752499</v>
      </c>
      <c r="DO28" s="180">
        <f>$BS28*(VLOOKUP(DO$4, Rates_current!$G$6:$Q$29, 10, FALSE)+VLOOKUP(DO$4, Rates_current!$G$6:$Q$29, 11, FALSE))</f>
        <v>16895.326731266872</v>
      </c>
      <c r="DP28" s="180">
        <f>$BS28*(VLOOKUP(DP$4, Rates_current!$G$6:$Q$29, 10, FALSE)+VLOOKUP(DP$4, Rates_current!$G$6:$Q$29, 11, FALSE))</f>
        <v>20960.916889553751</v>
      </c>
      <c r="DQ28" s="180">
        <f>$BS28*(VLOOKUP(DQ$4, Rates_current!$G$6:$Q$29, 10, FALSE)+VLOOKUP(DQ$4, Rates_current!$G$6:$Q$29, 11, FALSE))</f>
        <v>21415.71645883875</v>
      </c>
      <c r="DR28" s="180">
        <f>$BS28*(VLOOKUP(DR$4, Rates_current!$G$6:$Q$29, 10, FALSE)+VLOOKUP(DR$4, Rates_current!$G$6:$Q$29, 11, FALSE))</f>
        <v>18591.927213891249</v>
      </c>
      <c r="DS28" s="180">
        <f>$BS28*(VLOOKUP(DS$4, Rates_current!$G$6:$Q$29, 10, FALSE)+VLOOKUP(DS$4, Rates_current!$G$6:$Q$29, 11, FALSE))</f>
        <v>17973.451719474626</v>
      </c>
      <c r="DT28" s="180">
        <f>$BS28*(VLOOKUP(DT$4, Rates_current!$G$6:$Q$29, 10, FALSE)+VLOOKUP(DT$4, Rates_current!$G$6:$Q$29, 11, FALSE))</f>
        <v>16539.056120395002</v>
      </c>
      <c r="DU28" s="402">
        <f>IF(D28=0,IF(C28=0,MAX(0,DW28 - (VLOOKUP($A28,TOCA_current!$A$2:$AI$137,MATCH("RHWM 2024",TOCA_current!$A$2:$AI$2,0),FALSE)*$BS$2)), 0),0)</f>
        <v>0</v>
      </c>
      <c r="DV28" s="403">
        <f>MIN(VLOOKUP($A28,TOCA_current!$A$2:$AI$137,MATCH("TRL - NLSL - Existing Resource "&amp;$BS$1,TOCA_current!$A$2:$AI$2,0),FALSE)*$BS$2, VLOOKUP($A28,TOCA_current!$A$2:$AI$137,MATCH("RHWM 2024",TOCA_current!$A$2:$AI$2,0),FALSE)*$BS$2)</f>
        <v>234374.68799999999</v>
      </c>
      <c r="DW28" s="403">
        <f>SUM(BY28:CV28)+(BS28*RT1SC!$C$4*$BS$2)</f>
        <v>234368.79007432098</v>
      </c>
      <c r="DX28" s="403">
        <f>VLOOKUP($A28,TOCA_current!$A$2:$AI$137,MATCH("Above RHWM Not Served with LS "&amp;$BS$1,TOCA_current!$A$2:$AI$2,0),FALSE)*$BS$2</f>
        <v>23260.032000000003</v>
      </c>
      <c r="DY28" s="403">
        <f t="shared" si="13"/>
        <v>-5.8979256790189538</v>
      </c>
      <c r="DZ28" s="403">
        <f>(VLOOKUP($A28,TOCA_current!$A$2:$AI$137,MATCH("RHWM 2024",TOCA_current!$A$2:$AI$2,0),FALSE)*$BS$2) - $DV28</f>
        <v>0</v>
      </c>
      <c r="EA28" s="403">
        <f t="shared" si="14"/>
        <v>0</v>
      </c>
      <c r="EB28" s="403">
        <f t="shared" si="15"/>
        <v>0</v>
      </c>
      <c r="EC28" s="403">
        <f t="shared" si="16"/>
        <v>0</v>
      </c>
      <c r="ED28" s="403">
        <f t="shared" si="17"/>
        <v>0</v>
      </c>
    </row>
    <row r="29" spans="1:134">
      <c r="A29" s="123">
        <v>10076</v>
      </c>
      <c r="B29" s="124" t="s">
        <v>30</v>
      </c>
      <c r="C29" s="232">
        <f>VLOOKUP(A29, TOCA_current!$A$3:$D$137, 4, FALSE)</f>
        <v>0</v>
      </c>
      <c r="D29" s="191">
        <v>0</v>
      </c>
      <c r="E29" s="107">
        <f>VLOOKUP($A29,TOCA_previous!$A$2:$AI$137,MATCH(E$4,TOCA_previous!$A$2:$AI$2,0),FALSE)</f>
        <v>6.8210000000000005E-4</v>
      </c>
      <c r="F29" s="108">
        <f>VLOOKUP($A29,TOCA_previous!$A$2:$AI$137,MATCH(F$4,TOCA_previous!$A$2:$AI$2,0),FALSE)</f>
        <v>6.8210000000000005E-4</v>
      </c>
      <c r="G29" s="108">
        <f t="shared" si="5"/>
        <v>0</v>
      </c>
      <c r="H29" s="108">
        <f>VLOOKUP($A29,TOCA_previous!$A$2:$AI$137,MATCH(H$4,TOCA_previous!$A$2:$AI$2,0),FALSE)</f>
        <v>0</v>
      </c>
      <c r="I29" s="108">
        <f t="shared" si="6"/>
        <v>0</v>
      </c>
      <c r="J29" s="108">
        <f t="shared" si="7"/>
        <v>0</v>
      </c>
      <c r="K29" s="179">
        <f>VLOOKUP(A29, IRD!$A$5:$C$139, 3, FALSE)</f>
        <v>0</v>
      </c>
      <c r="L29" s="180">
        <f t="array" ref="L29">IF($G29=0, INDEX(LS_previous!$D$4:$AY$138, MATCH('Staging Table'!$A29, LS_previous!$B$4:$B$138, 0), MATCH(L$4&amp;L$5, LS_previous!$D$2:$AY$2&amp;LS_previous!$D$3:$AY$3, 0)),SUM(VLOOKUP($A29, LS_previous!$B$4:$AY$138, LS_previous!D$149, FALSE), VLOOKUP('Staging Table'!$A29, LS_previous!$B$4:$AY$138,LS_previous!AB$149, FALSE))/2)</f>
        <v>-61.694039439664493</v>
      </c>
      <c r="M29" s="180">
        <f t="array" ref="M29">IF($G29=0, INDEX(LS_previous!$D$4:$AY$138, MATCH('Staging Table'!$A29, LS_previous!$B$4:$B$138, 0), MATCH(M$4&amp;M$5, LS_previous!$D$2:$AY$2&amp;LS_previous!$D$3:$AY$3, 0)),SUM(VLOOKUP($A29, LS_previous!$B$4:$AY$138, LS_previous!E$149, FALSE), VLOOKUP('Staging Table'!$A29, LS_previous!$B$4:$AY$138,LS_previous!AC$149, FALSE))/2)</f>
        <v>190.94619203722209</v>
      </c>
      <c r="N29" s="180">
        <f t="array" ref="N29">IF($G29=0, INDEX(LS_previous!$D$4:$AY$138, MATCH('Staging Table'!$A29, LS_previous!$B$4:$B$138, 0), MATCH(N$4&amp;N$5, LS_previous!$D$2:$AY$2&amp;LS_previous!$D$3:$AY$3, 0)),SUM(VLOOKUP($A29, LS_previous!$B$4:$AY$138, LS_previous!F$149, FALSE), VLOOKUP('Staging Table'!$A29, LS_previous!$B$4:$AY$138,LS_previous!AD$149, FALSE))/2)</f>
        <v>-407.24840083590698</v>
      </c>
      <c r="O29" s="180">
        <f t="array" ref="O29">IF($G29=0, INDEX(LS_previous!$D$4:$AY$138, MATCH('Staging Table'!$A29, LS_previous!$B$4:$B$138, 0), MATCH(O$4&amp;O$5, LS_previous!$D$2:$AY$2&amp;LS_previous!$D$3:$AY$3, 0)),SUM(VLOOKUP($A29, LS_previous!$B$4:$AY$138, LS_previous!G$149, FALSE), VLOOKUP('Staging Table'!$A29, LS_previous!$B$4:$AY$138,LS_previous!AE$149, FALSE))/2)</f>
        <v>-64.963850887064382</v>
      </c>
      <c r="P29" s="180">
        <f t="array" ref="P29">IF($G29=0, INDEX(LS_previous!$D$4:$AY$138, MATCH('Staging Table'!$A29, LS_previous!$B$4:$B$138, 0), MATCH(P$4&amp;P$5, LS_previous!$D$2:$AY$2&amp;LS_previous!$D$3:$AY$3, 0)),SUM(VLOOKUP($A29, LS_previous!$B$4:$AY$138, LS_previous!H$149, FALSE), VLOOKUP('Staging Table'!$A29, LS_previous!$B$4:$AY$138,LS_previous!AF$149, FALSE))/2)</f>
        <v>281.75740699369453</v>
      </c>
      <c r="Q29" s="180">
        <f t="array" ref="Q29">IF($G29=0, INDEX(LS_previous!$D$4:$AY$138, MATCH('Staging Table'!$A29, LS_previous!$B$4:$B$138, 0), MATCH(Q$4&amp;Q$5, LS_previous!$D$2:$AY$2&amp;LS_previous!$D$3:$AY$3, 0)),SUM(VLOOKUP($A29, LS_previous!$B$4:$AY$138, LS_previous!I$149, FALSE), VLOOKUP('Staging Table'!$A29, LS_previous!$B$4:$AY$138,LS_previous!AG$149, FALSE))/2)</f>
        <v>341.02965649376415</v>
      </c>
      <c r="R29" s="180">
        <f t="array" ref="R29">IF($G29=0, INDEX(LS_previous!$D$4:$AY$138, MATCH('Staging Table'!$A29, LS_previous!$B$4:$B$138, 0), MATCH(R$4&amp;R$5, LS_previous!$D$2:$AY$2&amp;LS_previous!$D$3:$AY$3, 0)),SUM(VLOOKUP($A29, LS_previous!$B$4:$AY$138, LS_previous!J$149, FALSE), VLOOKUP('Staging Table'!$A29, LS_previous!$B$4:$AY$138,LS_previous!AH$149, FALSE))/2)</f>
        <v>879.92846943937457</v>
      </c>
      <c r="S29" s="180">
        <f t="array" ref="S29">IF($G29=0, INDEX(LS_previous!$D$4:$AY$138, MATCH('Staging Table'!$A29, LS_previous!$B$4:$B$138, 0), MATCH(S$4&amp;S$5, LS_previous!$D$2:$AY$2&amp;LS_previous!$D$3:$AY$3, 0)),SUM(VLOOKUP($A29, LS_previous!$B$4:$AY$138, LS_previous!K$149, FALSE), VLOOKUP('Staging Table'!$A29, LS_previous!$B$4:$AY$138,LS_previous!AI$149, FALSE))/2)</f>
        <v>502.53463898080054</v>
      </c>
      <c r="T29" s="180">
        <f t="array" ref="T29">IF($G29=0, INDEX(LS_previous!$D$4:$AY$138, MATCH('Staging Table'!$A29, LS_previous!$B$4:$B$138, 0), MATCH(T$4&amp;T$5, LS_previous!$D$2:$AY$2&amp;LS_previous!$D$3:$AY$3, 0)),SUM(VLOOKUP($A29, LS_previous!$B$4:$AY$138, LS_previous!L$149, FALSE), VLOOKUP('Staging Table'!$A29, LS_previous!$B$4:$AY$138,LS_previous!AJ$149, FALSE))/2)</f>
        <v>766.08166801366792</v>
      </c>
      <c r="U29" s="180">
        <f t="array" ref="U29">IF($G29=0, INDEX(LS_previous!$D$4:$AY$138, MATCH('Staging Table'!$A29, LS_previous!$B$4:$B$138, 0), MATCH(U$4&amp;U$5, LS_previous!$D$2:$AY$2&amp;LS_previous!$D$3:$AY$3, 0)),SUM(VLOOKUP($A29, LS_previous!$B$4:$AY$138, LS_previous!M$149, FALSE), VLOOKUP('Staging Table'!$A29, LS_previous!$B$4:$AY$138,LS_previous!AK$149, FALSE))/2)</f>
        <v>453.41370151399019</v>
      </c>
      <c r="V29" s="180">
        <f t="array" ref="V29">IF($G29=0, INDEX(LS_previous!$D$4:$AY$138, MATCH('Staging Table'!$A29, LS_previous!$B$4:$B$138, 0), MATCH(V$4&amp;V$5, LS_previous!$D$2:$AY$2&amp;LS_previous!$D$3:$AY$3, 0)),SUM(VLOOKUP($A29, LS_previous!$B$4:$AY$138, LS_previous!N$149, FALSE), VLOOKUP('Staging Table'!$A29, LS_previous!$B$4:$AY$138,LS_previous!AL$149, FALSE))/2)</f>
        <v>64.836446680425979</v>
      </c>
      <c r="W29" s="180">
        <f t="array" ref="W29">IF($G29=0, INDEX(LS_previous!$D$4:$AY$138, MATCH('Staging Table'!$A29, LS_previous!$B$4:$B$138, 0), MATCH(W$4&amp;W$5, LS_previous!$D$2:$AY$2&amp;LS_previous!$D$3:$AY$3, 0)),SUM(VLOOKUP($A29, LS_previous!$B$4:$AY$138, LS_previous!O$149, FALSE), VLOOKUP('Staging Table'!$A29, LS_previous!$B$4:$AY$138,LS_previous!AM$149, FALSE))/2)</f>
        <v>322.74467839357158</v>
      </c>
      <c r="X29" s="180">
        <f t="array" ref="X29">IF($G29=0, INDEX(LS_previous!$D$4:$AY$138, MATCH('Staging Table'!$A29, LS_previous!$B$4:$B$138, 0), MATCH(X$4&amp;X$5, LS_previous!$D$2:$AY$2&amp;LS_previous!$D$3:$AY$3, 0)),SUM(VLOOKUP($A29, LS_previous!$B$4:$AY$138, LS_previous!P$149, FALSE), VLOOKUP('Staging Table'!$A29, LS_previous!$B$4:$AY$138,LS_previous!AN$149, FALSE))/2)</f>
        <v>376.67337126390589</v>
      </c>
      <c r="Y29" s="180">
        <f t="array" ref="Y29">IF($G29=0, INDEX(LS_previous!$D$4:$AY$138, MATCH('Staging Table'!$A29, LS_previous!$B$4:$B$138, 0), MATCH(Y$4&amp;Y$5, LS_previous!$D$2:$AY$2&amp;LS_previous!$D$3:$AY$3, 0)),SUM(VLOOKUP($A29, LS_previous!$B$4:$AY$138, LS_previous!Q$149, FALSE), VLOOKUP('Staging Table'!$A29, LS_previous!$B$4:$AY$138,LS_previous!AO$149, FALSE))/2)</f>
        <v>268.05014850117334</v>
      </c>
      <c r="Z29" s="180">
        <f t="array" ref="Z29">IF($G29=0, INDEX(LS_previous!$D$4:$AY$138, MATCH('Staging Table'!$A29, LS_previous!$B$4:$B$138, 0), MATCH(Z$4&amp;Z$5, LS_previous!$D$2:$AY$2&amp;LS_previous!$D$3:$AY$3, 0)),SUM(VLOOKUP($A29, LS_previous!$B$4:$AY$138, LS_previous!R$149, FALSE), VLOOKUP('Staging Table'!$A29, LS_previous!$B$4:$AY$138,LS_previous!AP$149, FALSE))/2)</f>
        <v>-469.67656872373209</v>
      </c>
      <c r="AA29" s="180">
        <f t="array" ref="AA29">IF($G29=0, INDEX(LS_previous!$D$4:$AY$138, MATCH('Staging Table'!$A29, LS_previous!$B$4:$B$138, 0), MATCH(AA$4&amp;AA$5, LS_previous!$D$2:$AY$2&amp;LS_previous!$D$3:$AY$3, 0)),SUM(VLOOKUP($A29, LS_previous!$B$4:$AY$138, LS_previous!S$149, FALSE), VLOOKUP('Staging Table'!$A29, LS_previous!$B$4:$AY$138,LS_previous!AQ$149, FALSE))/2)</f>
        <v>16.681323009672496</v>
      </c>
      <c r="AB29" s="180">
        <f t="array" ref="AB29">IF($G29=0, INDEX(LS_previous!$D$4:$AY$138, MATCH('Staging Table'!$A29, LS_previous!$B$4:$B$138, 0), MATCH(AB$4&amp;AB$5, LS_previous!$D$2:$AY$2&amp;LS_previous!$D$3:$AY$3, 0)),SUM(VLOOKUP($A29, LS_previous!$B$4:$AY$138, LS_previous!T$149, FALSE), VLOOKUP('Staging Table'!$A29, LS_previous!$B$4:$AY$138,LS_previous!AR$149, FALSE))/2)</f>
        <v>-830.83153990341475</v>
      </c>
      <c r="AC29" s="180">
        <f t="array" ref="AC29">IF($G29=0, INDEX(LS_previous!$D$4:$AY$138, MATCH('Staging Table'!$A29, LS_previous!$B$4:$B$138, 0), MATCH(AC$4&amp;AC$5, LS_previous!$D$2:$AY$2&amp;LS_previous!$D$3:$AY$3, 0)),SUM(VLOOKUP($A29, LS_previous!$B$4:$AY$138, LS_previous!U$149, FALSE), VLOOKUP('Staging Table'!$A29, LS_previous!$B$4:$AY$138,LS_previous!AS$149, FALSE))/2)</f>
        <v>187.93048233350532</v>
      </c>
      <c r="AD29" s="180">
        <f t="array" ref="AD29">IF($G29=0, INDEX(LS_previous!$D$4:$AY$138, MATCH('Staging Table'!$A29, LS_previous!$B$4:$B$138, 0), MATCH(AD$4&amp;AD$5, LS_previous!$D$2:$AY$2&amp;LS_previous!$D$3:$AY$3, 0)),SUM(VLOOKUP($A29, LS_previous!$B$4:$AY$138, LS_previous!V$149, FALSE), VLOOKUP('Staging Table'!$A29, LS_previous!$B$4:$AY$138,LS_previous!AT$149, FALSE))/2)</f>
        <v>-208.11994340727369</v>
      </c>
      <c r="AE29" s="180">
        <f t="array" ref="AE29">IF($G29=0, INDEX(LS_previous!$D$4:$AY$138, MATCH('Staging Table'!$A29, LS_previous!$B$4:$B$138, 0), MATCH(AE$4&amp;AE$5, LS_previous!$D$2:$AY$2&amp;LS_previous!$D$3:$AY$3, 0)),SUM(VLOOKUP($A29, LS_previous!$B$4:$AY$138, LS_previous!W$149, FALSE), VLOOKUP('Staging Table'!$A29, LS_previous!$B$4:$AY$138,LS_previous!AU$149, FALSE))/2)</f>
        <v>65.572222843818736</v>
      </c>
      <c r="AF29" s="180">
        <f t="array" ref="AF29">IF($G29=0, INDEX(LS_previous!$D$4:$AY$138, MATCH('Staging Table'!$A29, LS_previous!$B$4:$B$138, 0), MATCH(AF$4&amp;AF$5, LS_previous!$D$2:$AY$2&amp;LS_previous!$D$3:$AY$3, 0)),SUM(VLOOKUP($A29, LS_previous!$B$4:$AY$138, LS_previous!X$149, FALSE), VLOOKUP('Staging Table'!$A29, LS_previous!$B$4:$AY$138,LS_previous!AV$149, FALSE))/2)</f>
        <v>-329.23826873501844</v>
      </c>
      <c r="AG29" s="180">
        <f t="array" ref="AG29">IF($G29=0, INDEX(LS_previous!$D$4:$AY$138, MATCH('Staging Table'!$A29, LS_previous!$B$4:$B$138, 0), MATCH(AG$4&amp;AG$5, LS_previous!$D$2:$AY$2&amp;LS_previous!$D$3:$AY$3, 0)),SUM(VLOOKUP($A29, LS_previous!$B$4:$AY$138, LS_previous!Y$149, FALSE), VLOOKUP('Staging Table'!$A29, LS_previous!$B$4:$AY$138,LS_previous!AW$149, FALSE))/2)</f>
        <v>-17.614745155787659</v>
      </c>
      <c r="AH29" s="180">
        <f t="array" ref="AH29">IF($G29=0, INDEX(LS_previous!$D$4:$AY$138, MATCH('Staging Table'!$A29, LS_previous!$B$4:$B$138, 0), MATCH(AH$4&amp;AH$5, LS_previous!$D$2:$AY$2&amp;LS_previous!$D$3:$AY$3, 0)),SUM(VLOOKUP($A29, LS_previous!$B$4:$AY$138, LS_previous!Z$149, FALSE), VLOOKUP('Staging Table'!$A29, LS_previous!$B$4:$AY$138,LS_previous!AX$149, FALSE))/2)</f>
        <v>-412.45113425767931</v>
      </c>
      <c r="AI29" s="180">
        <f t="array" ref="AI29">IF($G29=0, INDEX(LS_previous!$D$4:$AY$138, MATCH('Staging Table'!$A29, LS_previous!$B$4:$B$138, 0), MATCH(AI$4&amp;AI$5, LS_previous!$D$2:$AY$2&amp;LS_previous!$D$3:$AY$3, 0)),SUM(VLOOKUP($A29, LS_previous!$B$4:$AY$138, LS_previous!AA$149, FALSE), VLOOKUP('Staging Table'!$A29, LS_previous!$B$4:$AY$138,LS_previous!AY$149, FALSE))/2)</f>
        <v>74.914792499000214</v>
      </c>
      <c r="AJ29" s="298">
        <f t="array" ref="AJ29">INDEX(Demand_previous!$D$4:$AY$138, MATCH('Staging Table'!$A29, Demand_previous!$B$4:$B$138, 0), MATCH(AJ$4&amp;AJ$5,Demand_previous!$D$2:$AY$2&amp;Demand_previous!$D$3:$AY$3, 0))/1000</f>
        <v>0.66118990384615384</v>
      </c>
      <c r="AK29" s="298">
        <f t="array" ref="AK29">INDEX(Demand_previous!$D$4:$AY$138, MATCH('Staging Table'!$A29, Demand_previous!$B$4:$B$138, 0), MATCH(AK$4&amp;AK$5,Demand_previous!$D$2:$AY$2&amp;Demand_previous!$D$3:$AY$3, 0))/1000</f>
        <v>0</v>
      </c>
      <c r="AL29" s="298">
        <f t="array" ref="AL29">INDEX(Demand_previous!$D$4:$AY$138, MATCH('Staging Table'!$A29, Demand_previous!$B$4:$B$138, 0), MATCH(AL$4&amp;AL$5,Demand_previous!$D$2:$AY$2&amp;Demand_previous!$D$3:$AY$3, 0))/1000</f>
        <v>0.91063221153846241</v>
      </c>
      <c r="AM29" s="298">
        <f t="array" ref="AM29">INDEX(Demand_previous!$D$4:$AY$138, MATCH('Staging Table'!$A29, Demand_previous!$B$4:$B$138, 0), MATCH(AM$4&amp;AM$5,Demand_previous!$D$2:$AY$2&amp;Demand_previous!$D$3:$AY$3, 0))/1000</f>
        <v>0</v>
      </c>
      <c r="AN29" s="298">
        <f t="array" ref="AN29">INDEX(Demand_previous!$D$4:$AY$138, MATCH('Staging Table'!$A29, Demand_previous!$B$4:$B$138, 0), MATCH(AN$4&amp;AN$5,Demand_previous!$D$2:$AY$2&amp;Demand_previous!$D$3:$AY$3, 0))/1000</f>
        <v>0</v>
      </c>
      <c r="AO29" s="298">
        <f t="array" ref="AO29">INDEX(Demand_previous!$D$4:$AY$138, MATCH('Staging Table'!$A29, Demand_previous!$B$4:$B$138, 0), MATCH(AO$4&amp;AO$5,Demand_previous!$D$2:$AY$2&amp;Demand_previous!$D$3:$AY$3, 0))/1000</f>
        <v>0.4443634259259257</v>
      </c>
      <c r="AP29" s="298">
        <f t="array" ref="AP29">INDEX(Demand_previous!$D$4:$AY$138, MATCH('Staging Table'!$A29, Demand_previous!$B$4:$B$138, 0), MATCH(AP$4&amp;AP$5,Demand_previous!$D$2:$AY$2&amp;Demand_previous!$D$3:$AY$3, 0))/1000</f>
        <v>0.13431730769230787</v>
      </c>
      <c r="AQ29" s="298">
        <f t="array" ref="AQ29">INDEX(Demand_previous!$D$4:$AY$138, MATCH('Staging Table'!$A29, Demand_previous!$B$4:$B$138, 0), MATCH(AQ$4&amp;AQ$5,Demand_previous!$D$2:$AY$2&amp;Demand_previous!$D$3:$AY$3, 0))/1000</f>
        <v>0</v>
      </c>
      <c r="AR29" s="298">
        <f t="array" ref="AR29">INDEX(Demand_previous!$D$4:$AY$138, MATCH('Staging Table'!$A29, Demand_previous!$B$4:$B$138, 0), MATCH(AR$4&amp;AR$5,Demand_previous!$D$2:$AY$2&amp;Demand_previous!$D$3:$AY$3, 0))/1000</f>
        <v>1.1447115384615398</v>
      </c>
      <c r="AS29" s="298">
        <f t="array" ref="AS29">INDEX(Demand_previous!$D$4:$AY$138, MATCH('Staging Table'!$A29, Demand_previous!$B$4:$B$138, 0), MATCH(AS$4&amp;AS$5,Demand_previous!$D$2:$AY$2&amp;Demand_previous!$D$3:$AY$3, 0))/1000</f>
        <v>0.38981999999999928</v>
      </c>
      <c r="AT29" s="298">
        <f t="array" ref="AT29">INDEX(Demand_previous!$D$4:$AY$138, MATCH('Staging Table'!$A29, Demand_previous!$B$4:$B$138, 0), MATCH(AT$4&amp;AT$5,Demand_previous!$D$2:$AY$2&amp;Demand_previous!$D$3:$AY$3, 0))/1000</f>
        <v>0.71386342592592467</v>
      </c>
      <c r="AU29" s="298">
        <f t="array" ref="AU29">INDEX(Demand_previous!$D$4:$AY$138, MATCH('Staging Table'!$A29, Demand_previous!$B$4:$B$138, 0), MATCH(AU$4&amp;AU$5,Demand_previous!$D$2:$AY$2&amp;Demand_previous!$D$3:$AY$3, 0))/1000</f>
        <v>0.87791499999999956</v>
      </c>
      <c r="AV29" s="180">
        <f>$F29*(VLOOKUP(AV$4, Rates_previous!$G$6:$Q$29, 10, FALSE)+VLOOKUP(AV$4, Rates_previous!$G$6:$Q$29, 11, FALSE))</f>
        <v>3106.2318474024423</v>
      </c>
      <c r="AW29" s="180">
        <f>$F29*(VLOOKUP(AW$4, Rates_previous!$G$6:$Q$29, 10, FALSE)+VLOOKUP(AW$4, Rates_previous!$G$6:$Q$29, 11, FALSE))</f>
        <v>3932.6022517229712</v>
      </c>
      <c r="AX29" s="180">
        <f>$F29*(VLOOKUP(AX$4, Rates_previous!$G$6:$Q$29, 10, FALSE)+VLOOKUP(AX$4, Rates_previous!$G$6:$Q$29, 11, FALSE))</f>
        <v>3849.2319365125413</v>
      </c>
      <c r="AY29" s="180">
        <f>$F29*(VLOOKUP(AY$4, Rates_previous!$G$6:$Q$29, 10, FALSE)+VLOOKUP(AY$4, Rates_previous!$G$6:$Q$29, 11, FALSE))</f>
        <v>3179.3018915798248</v>
      </c>
      <c r="AZ29" s="180">
        <f>$F29*(VLOOKUP(AZ$4, Rates_previous!$G$6:$Q$29, 10, FALSE)+VLOOKUP(AZ$4, Rates_previous!$G$6:$Q$29, 11, FALSE))</f>
        <v>2755.5706304723421</v>
      </c>
      <c r="BA29" s="180">
        <f>$F29*(VLOOKUP(BA$4, Rates_previous!$G$6:$Q$29, 10, FALSE)+VLOOKUP(BA$4, Rates_previous!$G$6:$Q$29, 11, FALSE))</f>
        <v>3289.5948749260028</v>
      </c>
      <c r="BB29" s="180">
        <f>$F29*(VLOOKUP(BB$4, Rates_previous!$G$6:$Q$29, 10, FALSE)+VLOOKUP(BB$4, Rates_previous!$G$6:$Q$29, 11, FALSE))</f>
        <v>2553.9324802349206</v>
      </c>
      <c r="BC29" s="180">
        <f>$F29*(VLOOKUP(BC$4, Rates_previous!$G$6:$Q$29, 10, FALSE)+VLOOKUP(BC$4, Rates_previous!$G$6:$Q$29, 11, FALSE))</f>
        <v>3538.4922457140597</v>
      </c>
      <c r="BD29" s="180">
        <f>$F29*(VLOOKUP(BD$4, Rates_previous!$G$6:$Q$29, 10, FALSE)+VLOOKUP(BD$4, Rates_previous!$G$6:$Q$29, 11, FALSE))</f>
        <v>3780.9530575699087</v>
      </c>
      <c r="BE29" s="180">
        <f>$F29*(VLOOKUP(BE$4, Rates_previous!$G$6:$Q$29, 10, FALSE)+VLOOKUP(BE$4, Rates_previous!$G$6:$Q$29, 11, FALSE))</f>
        <v>3589.843720563455</v>
      </c>
      <c r="BF29" s="180">
        <f>$F29*(VLOOKUP(BF$4, Rates_previous!$G$6:$Q$29, 10, FALSE)+VLOOKUP(BF$4, Rates_previous!$G$6:$Q$29, 11, FALSE))</f>
        <v>3469.307013890806</v>
      </c>
      <c r="BG29" s="180">
        <f>$F29*(VLOOKUP(BG$4, Rates_previous!$G$6:$Q$29, 10, FALSE)+VLOOKUP(BG$4, Rates_previous!$G$6:$Q$29, 11, FALSE))</f>
        <v>3206.0013417586792</v>
      </c>
      <c r="BH29" s="298">
        <f>IF($D29=0,IF(C29=0, MAX(BJ29 - (VLOOKUP($A29,TOCA_previous!$A$2:$AI$137,MATCH("RHWM 2022",TOCA_previous!$A$2:$AI$2,0),FALSE)*$F$2*TOCA_previous!C26),0),0), 0)</f>
        <v>1990.1220590160519</v>
      </c>
      <c r="BI29" s="192">
        <f>MIN(VLOOKUP($A29,TOCA_previous!$A$2:$AI$137,MATCH("TRL - NLSL - Existing Resource "&amp;$F$1,TOCA_previous!$A$2:$AI$2,0),FALSE)*$F$2,(VLOOKUP($A29,TOCA_previous!$A$2:$AI$137,MATCH("RHWM 2022",TOCA_previous!$A$2:$AI$2,0),FALSE)*$F$2))</f>
        <v>40252.199999999997</v>
      </c>
      <c r="BJ29" s="402">
        <f>SUM(L29:AI29)+(F29*RT1SC!$C$3*$F$2)</f>
        <v>42242.322059016049</v>
      </c>
      <c r="BK29" s="401">
        <f>VLOOKUP($A29,TOCA_previous!$A$2:$AI$137,MATCH("Above RHWM Not Served with LS "&amp;$F$1,TOCA_previous!$A$2:$AI$2,0),FALSE)*$F$2</f>
        <v>28347.360000000001</v>
      </c>
      <c r="BL29" s="402">
        <f t="shared" si="8"/>
        <v>1990.1220590160519</v>
      </c>
      <c r="BM29" s="401">
        <f>(VLOOKUP($A29,TOCA_previous!$A$2:$AI$137,MATCH("RHWM 2022",TOCA_previous!$A$2:$AI$2,0),FALSE)*$F$2) - $BI29</f>
        <v>0</v>
      </c>
      <c r="BN29" s="402">
        <f t="shared" si="9"/>
        <v>0</v>
      </c>
      <c r="BO29" s="401">
        <f t="shared" si="10"/>
        <v>0</v>
      </c>
      <c r="BP29" s="402">
        <f t="shared" si="11"/>
        <v>0</v>
      </c>
      <c r="BQ29" s="401">
        <f t="shared" si="2"/>
        <v>0</v>
      </c>
      <c r="BR29" s="108">
        <f>VLOOKUP($A29,TOCA_current!$A$2:$AI$137,MATCH(BR$4,TOCA_current!$A$2:$AI$2,0),FALSE)</f>
        <v>6.8199999999999999E-4</v>
      </c>
      <c r="BS29" s="108">
        <f>VLOOKUP($A29,TOCA_current!$A$2:$AI$137,MATCH(BS$4,TOCA_current!$A$2:$AI$2,0),FALSE)</f>
        <v>6.8199999999999999E-4</v>
      </c>
      <c r="BT29" s="189">
        <f t="shared" si="12"/>
        <v>0</v>
      </c>
      <c r="BU29" s="108">
        <f>VLOOKUP($A29,TOCA_current!A25:BG160,MATCH(BU$4,TOCA_current!$A$2:$BG$2,0),FALSE)</f>
        <v>0</v>
      </c>
      <c r="BV29" s="108">
        <f t="shared" si="3"/>
        <v>0</v>
      </c>
      <c r="BW29" s="108">
        <f t="shared" si="4"/>
        <v>0</v>
      </c>
      <c r="BX29" s="179">
        <f>VLOOKUP($A29,IRD!$A$4:$G$139, 7, FALSE)</f>
        <v>0</v>
      </c>
      <c r="BY29" s="180">
        <f t="array" ref="BY29">IF($BT29=0, INDEX(LS_current!$D$4:$AY$138, MATCH('Staging Table'!$A29, LS_current!$B$4:$B$138, 0), MATCH(BY$4&amp;BY$5, LS_current!$D$2:$AY$2&amp;LS_current!$D$3:$AY$3, 0)),SUM(VLOOKUP($A29, LS_current!$B$4:$AY$138, LS_current!D$148, FALSE), VLOOKUP($A29, LS_current!$B$4:$AY$138,LS_current!AB$148, FALSE))/2)</f>
        <v>196.88216744800002</v>
      </c>
      <c r="BZ29" s="180">
        <f t="array" ref="BZ29">IF($BT29=0, INDEX(LS_current!$D$4:$AY$138, MATCH('Staging Table'!$A29, LS_current!$B$4:$B$138, 0), MATCH(BZ$4&amp;BZ$5, LS_current!$D$2:$AY$2&amp;LS_current!$D$3:$AY$3, 0)),SUM(VLOOKUP($A29, LS_current!$B$4:$AY$138, LS_current!E$148, FALSE), VLOOKUP($A29, LS_current!$B$4:$AY$138,LS_current!AC$148, FALSE))/2)</f>
        <v>174.02566720900018</v>
      </c>
      <c r="CA29" s="180">
        <f t="array" ref="CA29">IF($BT29=0, INDEX(LS_current!$D$4:$AY$138, MATCH('Staging Table'!$A29, LS_current!$B$4:$B$138, 0), MATCH(CA$4&amp;CA$5, LS_current!$D$2:$AY$2&amp;LS_current!$D$3:$AY$3, 0)),SUM(VLOOKUP($A29, LS_current!$B$4:$AY$138, LS_current!F$148, FALSE), VLOOKUP($A29, LS_current!$B$4:$AY$138,LS_current!AD$148, FALSE))/2)</f>
        <v>-213.59635769599981</v>
      </c>
      <c r="CB29" s="180">
        <f t="array" ref="CB29">IF($BT29=0, INDEX(LS_current!$D$4:$AY$138, MATCH('Staging Table'!$A29, LS_current!$B$4:$B$138, 0), MATCH(CB$4&amp;CB$5, LS_current!$D$2:$AY$2&amp;LS_current!$D$3:$AY$3, 0)),SUM(VLOOKUP($A29, LS_current!$B$4:$AY$138, LS_current!G$148, FALSE), VLOOKUP($A29, LS_current!$B$4:$AY$138,LS_current!AE$148, FALSE))/2)</f>
        <v>16.833773657999927</v>
      </c>
      <c r="CC29" s="180">
        <f t="array" ref="CC29">IF($BT29=0, INDEX(LS_current!$D$4:$AY$138, MATCH('Staging Table'!$A29, LS_current!$B$4:$B$138, 0), MATCH(CC$4&amp;CC$5, LS_current!$D$2:$AY$2&amp;LS_current!$D$3:$AY$3, 0)),SUM(VLOOKUP($A29, LS_current!$B$4:$AY$138, LS_current!H$148, FALSE), VLOOKUP($A29, LS_current!$B$4:$AY$138,LS_current!AF$148, FALSE))/2)</f>
        <v>138.36572600199997</v>
      </c>
      <c r="CD29" s="180">
        <f t="array" ref="CD29">IF($BT29=0, INDEX(LS_current!$D$4:$AY$138, MATCH('Staging Table'!$A29, LS_current!$B$4:$B$138, 0), MATCH(CD$4&amp;CD$5, LS_current!$D$2:$AY$2&amp;LS_current!$D$3:$AY$3, 0)),SUM(VLOOKUP($A29, LS_current!$B$4:$AY$138, LS_current!I$148, FALSE), VLOOKUP($A29, LS_current!$B$4:$AY$138,LS_current!AG$148, FALSE))/2)</f>
        <v>386.28229932800014</v>
      </c>
      <c r="CE29" s="180">
        <f t="array" ref="CE29">IF($BT29=0, INDEX(LS_current!$D$4:$AY$138, MATCH('Staging Table'!$A29, LS_current!$B$4:$B$138, 0), MATCH(CE$4&amp;CE$5, LS_current!$D$2:$AY$2&amp;LS_current!$D$3:$AY$3, 0)),SUM(VLOOKUP($A29, LS_current!$B$4:$AY$138, LS_current!J$148, FALSE), VLOOKUP($A29, LS_current!$B$4:$AY$138,LS_current!AH$148, FALSE))/2)</f>
        <v>96.125250370000231</v>
      </c>
      <c r="CF29" s="180">
        <f t="array" ref="CF29">IF($BT29=0, INDEX(LS_current!$D$4:$AY$138, MATCH('Staging Table'!$A29, LS_current!$B$4:$B$138, 0), MATCH(CF$4&amp;CF$5, LS_current!$D$2:$AY$2&amp;LS_current!$D$3:$AY$3, 0)),SUM(VLOOKUP($A29, LS_current!$B$4:$AY$138, LS_current!K$148, FALSE), VLOOKUP($A29, LS_current!$B$4:$AY$138,LS_current!AI$148, FALSE))/2)</f>
        <v>363.21586422200016</v>
      </c>
      <c r="CG29" s="180">
        <f t="array" ref="CG29">IF($BT29=0, INDEX(LS_current!$D$4:$AY$138, MATCH('Staging Table'!$A29, LS_current!$B$4:$B$138, 0), MATCH(CG$4&amp;CG$5, LS_current!$D$2:$AY$2&amp;LS_current!$D$3:$AY$3, 0)),SUM(VLOOKUP($A29, LS_current!$B$4:$AY$138, LS_current!L$148, FALSE), VLOOKUP($A29, LS_current!$B$4:$AY$138,LS_current!AJ$148, FALSE))/2)</f>
        <v>71.185810522000338</v>
      </c>
      <c r="CH29" s="180">
        <f t="array" ref="CH29">IF($BT29=0, INDEX(LS_current!$D$4:$AY$138, MATCH('Staging Table'!$A29, LS_current!$B$4:$B$138, 0), MATCH(CH$4&amp;CH$5, LS_current!$D$2:$AY$2&amp;LS_current!$D$3:$AY$3, 0)),SUM(VLOOKUP($A29, LS_current!$B$4:$AY$138, LS_current!M$148, FALSE), VLOOKUP($A29, LS_current!$B$4:$AY$138,LS_current!AK$148, FALSE))/2)</f>
        <v>298.53786396200007</v>
      </c>
      <c r="CI29" s="180">
        <f t="array" ref="CI29">IF($BT29=0, INDEX(LS_current!$D$4:$AY$138, MATCH('Staging Table'!$A29, LS_current!$B$4:$B$138, 0), MATCH(CI$4&amp;CI$5, LS_current!$D$2:$AY$2&amp;LS_current!$D$3:$AY$3, 0)),SUM(VLOOKUP($A29, LS_current!$B$4:$AY$138, LS_current!N$148, FALSE), VLOOKUP($A29, LS_current!$B$4:$AY$138,LS_current!AL$148, FALSE))/2)</f>
        <v>-208.88983506600016</v>
      </c>
      <c r="CJ29" s="180">
        <f t="array" ref="CJ29">IF($BT29=0, INDEX(LS_current!$D$4:$AY$138, MATCH('Staging Table'!$A29, LS_current!$B$4:$B$138, 0), MATCH(CJ$4&amp;CJ$5, LS_current!$D$2:$AY$2&amp;LS_current!$D$3:$AY$3, 0)),SUM(VLOOKUP($A29, LS_current!$B$4:$AY$138, LS_current!O$148, FALSE), VLOOKUP($A29, LS_current!$B$4:$AY$138,LS_current!AM$148, FALSE))/2)</f>
        <v>34.252347404000147</v>
      </c>
      <c r="CK29" s="180">
        <f t="array" ref="CK29">IF($BT29=0, INDEX(LS_current!$D$4:$AY$138, MATCH('Staging Table'!$A29, LS_current!$B$4:$B$138, 0), MATCH(CK$4&amp;CK$5, LS_current!$D$2:$AY$2&amp;LS_current!$D$3:$AY$3, 0)),SUM(VLOOKUP($A29, LS_current!$B$4:$AY$138, LS_current!P$148, FALSE), VLOOKUP($A29, LS_current!$B$4:$AY$138,LS_current!AN$148, FALSE))/2)</f>
        <v>100.88189574500029</v>
      </c>
      <c r="CL29" s="180">
        <f t="array" ref="CL29">IF($BT29=0, INDEX(LS_current!$D$4:$AY$138, MATCH('Staging Table'!$A29, LS_current!$B$4:$B$138, 0), MATCH(CL$4&amp;CL$5, LS_current!$D$2:$AY$2&amp;LS_current!$D$3:$AY$3, 0)),SUM(VLOOKUP($A29, LS_current!$B$4:$AY$138, LS_current!Q$148, FALSE), VLOOKUP($A29, LS_current!$B$4:$AY$138,LS_current!AO$148, FALSE))/2)</f>
        <v>59.686419086500109</v>
      </c>
      <c r="CM29" s="180">
        <f t="array" ref="CM29">IF($BT29=0, INDEX(LS_current!$D$4:$AY$138, MATCH('Staging Table'!$A29, LS_current!$B$4:$B$138, 0), MATCH(CM$4&amp;CM$5, LS_current!$D$2:$AY$2&amp;LS_current!$D$3:$AY$3, 0)),SUM(VLOOKUP($A29, LS_current!$B$4:$AY$138, LS_current!R$148, FALSE), VLOOKUP($A29, LS_current!$B$4:$AY$138,LS_current!AP$148, FALSE))/2)</f>
        <v>-429.53609033600037</v>
      </c>
      <c r="CN29" s="180">
        <f t="array" ref="CN29">IF($BT29=0, INDEX(LS_current!$D$4:$AY$138, MATCH('Staging Table'!$A29, LS_current!$B$4:$B$138, 0), MATCH(CN$4&amp;CN$5, LS_current!$D$2:$AY$2&amp;LS_current!$D$3:$AY$3, 0)),SUM(VLOOKUP($A29, LS_current!$B$4:$AY$138, LS_current!S$148, FALSE), VLOOKUP($A29, LS_current!$B$4:$AY$138,LS_current!AQ$148, FALSE))/2)</f>
        <v>-256.65916609699957</v>
      </c>
      <c r="CO29" s="180">
        <f t="array" ref="CO29">IF($BT29=0, INDEX(LS_current!$D$4:$AY$138, MATCH('Staging Table'!$A29, LS_current!$B$4:$B$138, 0), MATCH(CO$4&amp;CO$5, LS_current!$D$2:$AY$2&amp;LS_current!$D$3:$AY$3, 0)),SUM(VLOOKUP($A29, LS_current!$B$4:$AY$138, LS_current!T$148, FALSE), VLOOKUP($A29, LS_current!$B$4:$AY$138,LS_current!AR$148, FALSE))/2)</f>
        <v>-503.88540553199982</v>
      </c>
      <c r="CP29" s="180">
        <f t="array" ref="CP29">IF($BT29=0, INDEX(LS_current!$D$4:$AY$138, MATCH('Staging Table'!$A29, LS_current!$B$4:$B$138, 0), MATCH(CP$4&amp;CP$5, LS_current!$D$2:$AY$2&amp;LS_current!$D$3:$AY$3, 0)),SUM(VLOOKUP($A29, LS_current!$B$4:$AY$138, LS_current!U$148, FALSE), VLOOKUP($A29, LS_current!$B$4:$AY$138,LS_current!AS$148, FALSE))/2)</f>
        <v>-212.27358716900017</v>
      </c>
      <c r="CQ29" s="180">
        <f t="array" ref="CQ29">IF($BT29=0, INDEX(LS_current!$D$4:$AY$138, MATCH('Staging Table'!$A29, LS_current!$B$4:$B$138, 0), MATCH(CQ$4&amp;CQ$5, LS_current!$D$2:$AY$2&amp;LS_current!$D$3:$AY$3, 0)),SUM(VLOOKUP($A29, LS_current!$B$4:$AY$138, LS_current!V$148, FALSE), VLOOKUP($A29, LS_current!$B$4:$AY$138,LS_current!AT$148, FALSE))/2)</f>
        <v>46.452336951999769</v>
      </c>
      <c r="CR29" s="180">
        <f t="array" ref="CR29">IF($BT29=0, INDEX(LS_current!$D$4:$AY$138, MATCH('Staging Table'!$A29, LS_current!$B$4:$B$138, 0), MATCH(CR$4&amp;CR$5, LS_current!$D$2:$AY$2&amp;LS_current!$D$3:$AY$3, 0)),SUM(VLOOKUP($A29, LS_current!$B$4:$AY$138, LS_current!W$148, FALSE), VLOOKUP($A29, LS_current!$B$4:$AY$138,LS_current!AU$148, FALSE))/2)</f>
        <v>56.855168045000255</v>
      </c>
      <c r="CS29" s="180">
        <f t="array" ref="CS29">IF($BT29=0, INDEX(LS_current!$D$4:$AY$138, MATCH('Staging Table'!$A29, LS_current!$B$4:$B$138, 0), MATCH(CS$4&amp;CS$5, LS_current!$D$2:$AY$2&amp;LS_current!$D$3:$AY$3, 0)),SUM(VLOOKUP($A29, LS_current!$B$4:$AY$138, LS_current!X$148, FALSE), VLOOKUP($A29, LS_current!$B$4:$AY$138,LS_current!AV$148, FALSE))/2)</f>
        <v>-43.998896963000107</v>
      </c>
      <c r="CT29" s="180">
        <f t="array" ref="CT29">IF($BT29=0, INDEX(LS_current!$D$4:$AY$138, MATCH('Staging Table'!$A29, LS_current!$B$4:$B$138, 0), MATCH(CT$4&amp;CT$5, LS_current!$D$2:$AY$2&amp;LS_current!$D$3:$AY$3, 0)),SUM(VLOOKUP($A29, LS_current!$B$4:$AY$138, LS_current!Y$148, FALSE), VLOOKUP($A29, LS_current!$B$4:$AY$138,LS_current!AW$148, FALSE))/2)</f>
        <v>-65.874370457700024</v>
      </c>
      <c r="CU29" s="180">
        <f t="array" ref="CU29">IF($BT29=0, INDEX(LS_current!$D$4:$AY$138, MATCH('Staging Table'!$A29, LS_current!$B$4:$B$138, 0), MATCH(CU$4&amp;CU$5, LS_current!$D$2:$AY$2&amp;LS_current!$D$3:$AY$3, 0)),SUM(VLOOKUP($A29, LS_current!$B$4:$AY$138, LS_current!Z$148, FALSE), VLOOKUP($A29, LS_current!$B$4:$AY$138,LS_current!AX$148, FALSE))/2)</f>
        <v>-91.449902867999981</v>
      </c>
      <c r="CV29" s="180">
        <f t="array" ref="CV29">IF($BT29=0, INDEX(LS_current!$D$4:$AY$138, MATCH('Staging Table'!$A29, LS_current!$B$4:$B$138, 0), MATCH(CV$4&amp;CV$5, LS_current!$D$2:$AY$2&amp;LS_current!$D$3:$AY$3, 0)),SUM(VLOOKUP($A29, LS_current!$B$4:$AY$138, LS_current!AA$148, FALSE), VLOOKUP($A29, LS_current!$B$4:$AY$138,LS_current!AY$148, FALSE))/2)</f>
        <v>-13.850728927999853</v>
      </c>
      <c r="CW29" s="182">
        <f t="array" ref="CW29">INDEX(Demand_current!$D$4:$AY$138, MATCH($A29, Demand_current!$B$4:$B$138, 0), MATCH(CW$4&amp;CW$5,Demand_current!$D$2:$AY$2&amp;Demand_current!$D$3:$AY$3, 0))/1000</f>
        <v>0.66118990384615384</v>
      </c>
      <c r="CX29" s="182">
        <f t="array" ref="CX29">INDEX(Demand_current!$D$4:$AY$138, MATCH($A29, Demand_current!$B$4:$B$138, 0), MATCH(CX$4&amp;CX$5,Demand_current!$D$2:$AY$2&amp;Demand_current!$D$3:$AY$3, 0))/1000</f>
        <v>0</v>
      </c>
      <c r="CY29" s="182">
        <f t="array" ref="CY29">INDEX(Demand_current!$D$4:$AY$138, MATCH($A29, Demand_current!$B$4:$B$138, 0), MATCH(CY$4&amp;CY$5,Demand_current!$D$2:$AY$2&amp;Demand_current!$D$3:$AY$3, 0))/1000</f>
        <v>0.54265750000000024</v>
      </c>
      <c r="CZ29" s="182">
        <f t="array" ref="CZ29">INDEX(Demand_current!$D$4:$AY$138, MATCH($A29, Demand_current!$B$4:$B$138, 0), MATCH(CZ$4&amp;CZ$5,Demand_current!$D$2:$AY$2&amp;Demand_current!$D$3:$AY$3, 0))/1000</f>
        <v>0.29855048076923041</v>
      </c>
      <c r="DA29" s="182">
        <f t="array" ref="DA29">INDEX(Demand_current!$D$4:$AY$138, MATCH($A29, Demand_current!$B$4:$B$138, 0), MATCH(DA$4&amp;DA$5,Demand_current!$D$2:$AY$2&amp;Demand_current!$D$3:$AY$3, 0))/1000</f>
        <v>0</v>
      </c>
      <c r="DB29" s="182">
        <f t="array" ref="DB29">INDEX(Demand_current!$D$4:$AY$138, MATCH($A29, Demand_current!$B$4:$B$138, 0), MATCH(DB$4&amp;DB$5,Demand_current!$D$2:$AY$2&amp;Demand_current!$D$3:$AY$3, 0))/1000</f>
        <v>0.13426201923076864</v>
      </c>
      <c r="DC29" s="182">
        <f t="array" ref="DC29">INDEX(Demand_current!$D$4:$AY$138, MATCH($A29, Demand_current!$B$4:$B$138, 0), MATCH(DC$4&amp;DC$5,Demand_current!$D$2:$AY$2&amp;Demand_current!$D$3:$AY$3, 0))/1000</f>
        <v>0.13431730769230787</v>
      </c>
      <c r="DD29" s="182">
        <f t="array" ref="DD29">INDEX(Demand_current!$D$4:$AY$138, MATCH($A29, Demand_current!$B$4:$B$138, 0), MATCH(DD$4&amp;DD$5,Demand_current!$D$2:$AY$2&amp;Demand_current!$D$3:$AY$3, 0))/1000</f>
        <v>0.22670432692307757</v>
      </c>
      <c r="DE29" s="182">
        <f t="array" ref="DE29">INDEX(Demand_current!$D$4:$AY$138, MATCH($A29, Demand_current!$B$4:$B$138, 0), MATCH(DE$4&amp;DE$5,Demand_current!$D$2:$AY$2&amp;Demand_current!$D$3:$AY$3, 0))/1000</f>
        <v>0.83590000000000086</v>
      </c>
      <c r="DF29" s="182">
        <f t="array" ref="DF29">INDEX(Demand_current!$D$4:$AY$138, MATCH($A29, Demand_current!$B$4:$B$138, 0), MATCH(DF$4&amp;DF$5,Demand_current!$D$2:$AY$2&amp;Demand_current!$D$3:$AY$3, 0))/1000</f>
        <v>0.72417307692307709</v>
      </c>
      <c r="DG29" s="182">
        <f t="array" ref="DG29">INDEX(Demand_current!$D$4:$AY$138, MATCH($A29, Demand_current!$B$4:$B$138, 0), MATCH(DG$4&amp;DG$5,Demand_current!$D$2:$AY$2&amp;Demand_current!$D$3:$AY$3, 0))/1000</f>
        <v>0.71386342592592467</v>
      </c>
      <c r="DH29" s="182">
        <f t="array" ref="DH29">INDEX(Demand_current!$D$4:$AY$138, MATCH($A29, Demand_current!$B$4:$B$138, 0), MATCH(DH$4&amp;DH$5,Demand_current!$D$2:$AY$2&amp;Demand_current!$D$3:$AY$3, 0))/1000</f>
        <v>0.57291145833333323</v>
      </c>
      <c r="DI29" s="180">
        <f>$BS29*(VLOOKUP(DI$4, Rates_current!$G$6:$Q$29, 10, FALSE)+VLOOKUP(DI$4, Rates_current!$G$6:$Q$29, 11, FALSE))</f>
        <v>2877.2241653430001</v>
      </c>
      <c r="DJ29" s="180">
        <f>$BS29*(VLOOKUP(DJ$4, Rates_current!$G$6:$Q$29, 10, FALSE)+VLOOKUP(DJ$4, Rates_current!$G$6:$Q$29, 11, FALSE))</f>
        <v>3669.4095840380005</v>
      </c>
      <c r="DK29" s="180">
        <f>$BS29*(VLOOKUP(DK$4, Rates_current!$G$6:$Q$29, 10, FALSE)+VLOOKUP(DK$4, Rates_current!$G$6:$Q$29, 11, FALSE))</f>
        <v>3960.0189746700003</v>
      </c>
      <c r="DL29" s="180">
        <f>$BS29*(VLOOKUP(DL$4, Rates_current!$G$6:$Q$29, 10, FALSE)+VLOOKUP(DL$4, Rates_current!$G$6:$Q$29, 11, FALSE))</f>
        <v>4115.0718854079996</v>
      </c>
      <c r="DM29" s="180">
        <f>$BS29*(VLOOKUP(DM$4, Rates_current!$G$6:$Q$29, 10, FALSE)+VLOOKUP(DM$4, Rates_current!$G$6:$Q$29, 11, FALSE))</f>
        <v>3539.5103255159997</v>
      </c>
      <c r="DN29" s="180">
        <f>$BS29*(VLOOKUP(DN$4, Rates_current!$G$6:$Q$29, 10, FALSE)+VLOOKUP(DN$4, Rates_current!$G$6:$Q$29, 11, FALSE))</f>
        <v>3864.444487662</v>
      </c>
      <c r="DO29" s="180">
        <f>$BS29*(VLOOKUP(DO$4, Rates_current!$G$6:$Q$29, 10, FALSE)+VLOOKUP(DO$4, Rates_current!$G$6:$Q$29, 11, FALSE))</f>
        <v>3050.3276851684996</v>
      </c>
      <c r="DP29" s="180">
        <f>$BS29*(VLOOKUP(DP$4, Rates_current!$G$6:$Q$29, 10, FALSE)+VLOOKUP(DP$4, Rates_current!$G$6:$Q$29, 11, FALSE))</f>
        <v>3784.3402564329999</v>
      </c>
      <c r="DQ29" s="180">
        <f>$BS29*(VLOOKUP(DQ$4, Rates_current!$G$6:$Q$29, 10, FALSE)+VLOOKUP(DQ$4, Rates_current!$G$6:$Q$29, 11, FALSE))</f>
        <v>3866.4509927009994</v>
      </c>
      <c r="DR29" s="180">
        <f>$BS29*(VLOOKUP(DR$4, Rates_current!$G$6:$Q$29, 10, FALSE)+VLOOKUP(DR$4, Rates_current!$G$6:$Q$29, 11, FALSE))</f>
        <v>3356.6364950029997</v>
      </c>
      <c r="DS29" s="180">
        <f>$BS29*(VLOOKUP(DS$4, Rates_current!$G$6:$Q$29, 10, FALSE)+VLOOKUP(DS$4, Rates_current!$G$6:$Q$29, 11, FALSE))</f>
        <v>3244.9752674207002</v>
      </c>
      <c r="DT29" s="180">
        <f>$BS29*(VLOOKUP(DT$4, Rates_current!$G$6:$Q$29, 10, FALSE)+VLOOKUP(DT$4, Rates_current!$G$6:$Q$29, 11, FALSE))</f>
        <v>2986.0056317960002</v>
      </c>
      <c r="DU29" s="402">
        <f>IF(D29=0,IF(C29=0,MAX(0,DW29 - (VLOOKUP($A29,TOCA_current!$A$2:$AI$137,MATCH("RHWM 2024",TOCA_current!$A$2:$AI$2,0),FALSE)*$BS$2)), 0),0)</f>
        <v>1.4561939607956447</v>
      </c>
      <c r="DV29" s="403">
        <f>MIN(VLOOKUP($A29,TOCA_current!$A$2:$AI$137,MATCH("TRL - NLSL - Existing Resource "&amp;$BS$1,TOCA_current!$A$2:$AI$2,0),FALSE)*$BS$2, VLOOKUP($A29,TOCA_current!$A$2:$AI$137,MATCH("RHWM 2024",TOCA_current!$A$2:$AI$2,0),FALSE)*$BS$2)</f>
        <v>42312.527999999998</v>
      </c>
      <c r="DW29" s="403">
        <f>SUM(BY29:CV29)+(BS29*RT1SC!$C$4*$BS$2)</f>
        <v>42313.984193960794</v>
      </c>
      <c r="DX29" s="403">
        <f>VLOOKUP($A29,TOCA_current!$A$2:$AI$137,MATCH("Above RHWM Not Served with LS "&amp;$BS$1,TOCA_current!$A$2:$AI$2,0),FALSE)*$BS$2</f>
        <v>28275.696</v>
      </c>
      <c r="DY29" s="403">
        <f t="shared" si="13"/>
        <v>1.4561939607956447</v>
      </c>
      <c r="DZ29" s="403">
        <f>(VLOOKUP($A29,TOCA_current!$A$2:$AI$137,MATCH("RHWM 2024",TOCA_current!$A$2:$AI$2,0),FALSE)*$BS$2) - $DV29</f>
        <v>0</v>
      </c>
      <c r="EA29" s="403">
        <f t="shared" si="14"/>
        <v>0</v>
      </c>
      <c r="EB29" s="403">
        <f t="shared" si="15"/>
        <v>0</v>
      </c>
      <c r="EC29" s="403">
        <f t="shared" si="16"/>
        <v>0</v>
      </c>
      <c r="ED29" s="403">
        <f t="shared" si="17"/>
        <v>0</v>
      </c>
    </row>
    <row r="30" spans="1:134">
      <c r="A30" s="123">
        <v>10078</v>
      </c>
      <c r="B30" s="124" t="s">
        <v>31</v>
      </c>
      <c r="C30" s="232">
        <f>VLOOKUP(A30, TOCA_current!$A$3:$D$137, 4, FALSE)</f>
        <v>0</v>
      </c>
      <c r="D30" s="191">
        <v>0</v>
      </c>
      <c r="E30" s="107">
        <f>VLOOKUP($A30,TOCA_previous!$A$2:$AI$137,MATCH(E$4,TOCA_previous!$A$2:$AI$2,0),FALSE)</f>
        <v>5.264E-4</v>
      </c>
      <c r="F30" s="108">
        <f>VLOOKUP($A30,TOCA_previous!$A$2:$AI$137,MATCH(F$4,TOCA_previous!$A$2:$AI$2,0),FALSE)</f>
        <v>5.264E-4</v>
      </c>
      <c r="G30" s="108">
        <f t="shared" si="5"/>
        <v>0</v>
      </c>
      <c r="H30" s="108">
        <f>VLOOKUP($A30,TOCA_previous!$A$2:$AI$137,MATCH(H$4,TOCA_previous!$A$2:$AI$2,0),FALSE)</f>
        <v>0</v>
      </c>
      <c r="I30" s="108">
        <f t="shared" si="6"/>
        <v>0</v>
      </c>
      <c r="J30" s="108">
        <f t="shared" si="7"/>
        <v>0</v>
      </c>
      <c r="K30" s="179">
        <f>VLOOKUP(A30, IRD!$A$5:$C$139, 3, FALSE)</f>
        <v>0</v>
      </c>
      <c r="L30" s="180">
        <f t="array" ref="L30">IF($G30=0, INDEX(LS_previous!$D$4:$AY$138, MATCH('Staging Table'!$A30, LS_previous!$B$4:$B$138, 0), MATCH(L$4&amp;L$5, LS_previous!$D$2:$AY$2&amp;LS_previous!$D$3:$AY$3, 0)),SUM(VLOOKUP($A30, LS_previous!$B$4:$AY$138, LS_previous!D$149, FALSE), VLOOKUP('Staging Table'!$A30, LS_previous!$B$4:$AY$138,LS_previous!AB$149, FALSE))/2)</f>
        <v>423.67400474851297</v>
      </c>
      <c r="M30" s="180">
        <f t="array" ref="M30">IF($G30=0, INDEX(LS_previous!$D$4:$AY$138, MATCH('Staging Table'!$A30, LS_previous!$B$4:$B$138, 0), MATCH(M$4&amp;M$5, LS_previous!$D$2:$AY$2&amp;LS_previous!$D$3:$AY$3, 0)),SUM(VLOOKUP($A30, LS_previous!$B$4:$AY$138, LS_previous!E$149, FALSE), VLOOKUP('Staging Table'!$A30, LS_previous!$B$4:$AY$138,LS_previous!AC$149, FALSE))/2)</f>
        <v>140.01918016184391</v>
      </c>
      <c r="N30" s="180">
        <f t="array" ref="N30">IF($G30=0, INDEX(LS_previous!$D$4:$AY$138, MATCH('Staging Table'!$A30, LS_previous!$B$4:$B$138, 0), MATCH(N$4&amp;N$5, LS_previous!$D$2:$AY$2&amp;LS_previous!$D$3:$AY$3, 0)),SUM(VLOOKUP($A30, LS_previous!$B$4:$AY$138, LS_previous!F$149, FALSE), VLOOKUP('Staging Table'!$A30, LS_previous!$B$4:$AY$138,LS_previous!AD$149, FALSE))/2)</f>
        <v>296.1966622195846</v>
      </c>
      <c r="O30" s="180">
        <f t="array" ref="O30">IF($G30=0, INDEX(LS_previous!$D$4:$AY$138, MATCH('Staging Table'!$A30, LS_previous!$B$4:$B$138, 0), MATCH(O$4&amp;O$5, LS_previous!$D$2:$AY$2&amp;LS_previous!$D$3:$AY$3, 0)),SUM(VLOOKUP($A30, LS_previous!$B$4:$AY$138, LS_previous!G$149, FALSE), VLOOKUP('Staging Table'!$A30, LS_previous!$B$4:$AY$138,LS_previous!AE$149, FALSE))/2)</f>
        <v>16.298096016785621</v>
      </c>
      <c r="P30" s="180">
        <f t="array" ref="P30">IF($G30=0, INDEX(LS_previous!$D$4:$AY$138, MATCH('Staging Table'!$A30, LS_previous!$B$4:$B$138, 0), MATCH(P$4&amp;P$5, LS_previous!$D$2:$AY$2&amp;LS_previous!$D$3:$AY$3, 0)),SUM(VLOOKUP($A30, LS_previous!$B$4:$AY$138, LS_previous!H$149, FALSE), VLOOKUP('Staging Table'!$A30, LS_previous!$B$4:$AY$138,LS_previous!AF$149, FALSE))/2)</f>
        <v>756.30739193883733</v>
      </c>
      <c r="Q30" s="180">
        <f t="array" ref="Q30">IF($G30=0, INDEX(LS_previous!$D$4:$AY$138, MATCH('Staging Table'!$A30, LS_previous!$B$4:$B$138, 0), MATCH(Q$4&amp;Q$5, LS_previous!$D$2:$AY$2&amp;LS_previous!$D$3:$AY$3, 0)),SUM(VLOOKUP($A30, LS_previous!$B$4:$AY$138, LS_previous!I$149, FALSE), VLOOKUP('Staging Table'!$A30, LS_previous!$B$4:$AY$138,LS_previous!AG$149, FALSE))/2)</f>
        <v>173.76610229924881</v>
      </c>
      <c r="R30" s="180">
        <f t="array" ref="R30">IF($G30=0, INDEX(LS_previous!$D$4:$AY$138, MATCH('Staging Table'!$A30, LS_previous!$B$4:$B$138, 0), MATCH(R$4&amp;R$5, LS_previous!$D$2:$AY$2&amp;LS_previous!$D$3:$AY$3, 0)),SUM(VLOOKUP($A30, LS_previous!$B$4:$AY$138, LS_previous!J$149, FALSE), VLOOKUP('Staging Table'!$A30, LS_previous!$B$4:$AY$138,LS_previous!AH$149, FALSE))/2)</f>
        <v>1333.0844326534043</v>
      </c>
      <c r="S30" s="180">
        <f t="array" ref="S30">IF($G30=0, INDEX(LS_previous!$D$4:$AY$138, MATCH('Staging Table'!$A30, LS_previous!$B$4:$B$138, 0), MATCH(S$4&amp;S$5, LS_previous!$D$2:$AY$2&amp;LS_previous!$D$3:$AY$3, 0)),SUM(VLOOKUP($A30, LS_previous!$B$4:$AY$138, LS_previous!K$149, FALSE), VLOOKUP('Staging Table'!$A30, LS_previous!$B$4:$AY$138,LS_previous!AI$149, FALSE))/2)</f>
        <v>440.87108922371112</v>
      </c>
      <c r="T30" s="180">
        <f t="array" ref="T30">IF($G30=0, INDEX(LS_previous!$D$4:$AY$138, MATCH('Staging Table'!$A30, LS_previous!$B$4:$B$138, 0), MATCH(T$4&amp;T$5, LS_previous!$D$2:$AY$2&amp;LS_previous!$D$3:$AY$3, 0)),SUM(VLOOKUP($A30, LS_previous!$B$4:$AY$138, LS_previous!L$149, FALSE), VLOOKUP('Staging Table'!$A30, LS_previous!$B$4:$AY$138,LS_previous!AJ$149, FALSE))/2)</f>
        <v>1137.189319956597</v>
      </c>
      <c r="U30" s="180">
        <f t="array" ref="U30">IF($G30=0, INDEX(LS_previous!$D$4:$AY$138, MATCH('Staging Table'!$A30, LS_previous!$B$4:$B$138, 0), MATCH(U$4&amp;U$5, LS_previous!$D$2:$AY$2&amp;LS_previous!$D$3:$AY$3, 0)),SUM(VLOOKUP($A30, LS_previous!$B$4:$AY$138, LS_previous!M$149, FALSE), VLOOKUP('Staging Table'!$A30, LS_previous!$B$4:$AY$138,LS_previous!AK$149, FALSE))/2)</f>
        <v>370.97017120211763</v>
      </c>
      <c r="V30" s="180">
        <f t="array" ref="V30">IF($G30=0, INDEX(LS_previous!$D$4:$AY$138, MATCH('Staging Table'!$A30, LS_previous!$B$4:$B$138, 0), MATCH(V$4&amp;V$5, LS_previous!$D$2:$AY$2&amp;LS_previous!$D$3:$AY$3, 0)),SUM(VLOOKUP($A30, LS_previous!$B$4:$AY$138, LS_previous!N$149, FALSE), VLOOKUP('Staging Table'!$A30, LS_previous!$B$4:$AY$138,LS_previous!AL$149, FALSE))/2)</f>
        <v>722.66481810962659</v>
      </c>
      <c r="W30" s="180">
        <f t="array" ref="W30">IF($G30=0, INDEX(LS_previous!$D$4:$AY$138, MATCH('Staging Table'!$A30, LS_previous!$B$4:$B$138, 0), MATCH(W$4&amp;W$5, LS_previous!$D$2:$AY$2&amp;LS_previous!$D$3:$AY$3, 0)),SUM(VLOOKUP($A30, LS_previous!$B$4:$AY$138, LS_previous!O$149, FALSE), VLOOKUP('Staging Table'!$A30, LS_previous!$B$4:$AY$138,LS_previous!AM$149, FALSE))/2)</f>
        <v>282.80381997709435</v>
      </c>
      <c r="X30" s="180">
        <f t="array" ref="X30">IF($G30=0, INDEX(LS_previous!$D$4:$AY$138, MATCH('Staging Table'!$A30, LS_previous!$B$4:$B$138, 0), MATCH(X$4&amp;X$5, LS_previous!$D$2:$AY$2&amp;LS_previous!$D$3:$AY$3, 0)),SUM(VLOOKUP($A30, LS_previous!$B$4:$AY$138, LS_previous!P$149, FALSE), VLOOKUP('Staging Table'!$A30, LS_previous!$B$4:$AY$138,LS_previous!AN$149, FALSE))/2)</f>
        <v>884.97610384594623</v>
      </c>
      <c r="Y30" s="180">
        <f t="array" ref="Y30">IF($G30=0, INDEX(LS_previous!$D$4:$AY$138, MATCH('Staging Table'!$A30, LS_previous!$B$4:$B$138, 0), MATCH(Y$4&amp;Y$5, LS_previous!$D$2:$AY$2&amp;LS_previous!$D$3:$AY$3, 0)),SUM(VLOOKUP($A30, LS_previous!$B$4:$AY$138, LS_previous!Q$149, FALSE), VLOOKUP('Staging Table'!$A30, LS_previous!$B$4:$AY$138,LS_previous!AO$149, FALSE))/2)</f>
        <v>273.30447408153918</v>
      </c>
      <c r="Z30" s="180">
        <f t="array" ref="Z30">IF($G30=0, INDEX(LS_previous!$D$4:$AY$138, MATCH('Staging Table'!$A30, LS_previous!$B$4:$B$138, 0), MATCH(Z$4&amp;Z$5, LS_previous!$D$2:$AY$2&amp;LS_previous!$D$3:$AY$3, 0)),SUM(VLOOKUP($A30, LS_previous!$B$4:$AY$138, LS_previous!R$149, FALSE), VLOOKUP('Staging Table'!$A30, LS_previous!$B$4:$AY$138,LS_previous!AP$149, FALSE))/2)</f>
        <v>5.2304275382311971</v>
      </c>
      <c r="AA30" s="180">
        <f t="array" ref="AA30">IF($G30=0, INDEX(LS_previous!$D$4:$AY$138, MATCH('Staging Table'!$A30, LS_previous!$B$4:$B$138, 0), MATCH(AA$4&amp;AA$5, LS_previous!$D$2:$AY$2&amp;LS_previous!$D$3:$AY$3, 0)),SUM(VLOOKUP($A30, LS_previous!$B$4:$AY$138, LS_previous!S$149, FALSE), VLOOKUP('Staging Table'!$A30, LS_previous!$B$4:$AY$138,LS_previous!AQ$149, FALSE))/2)</f>
        <v>8.9805599359208372</v>
      </c>
      <c r="AB30" s="180">
        <f t="array" ref="AB30">IF($G30=0, INDEX(LS_previous!$D$4:$AY$138, MATCH('Staging Table'!$A30, LS_previous!$B$4:$B$138, 0), MATCH(AB$4&amp;AB$5, LS_previous!$D$2:$AY$2&amp;LS_previous!$D$3:$AY$3, 0)),SUM(VLOOKUP($A30, LS_previous!$B$4:$AY$138, LS_previous!T$149, FALSE), VLOOKUP('Staging Table'!$A30, LS_previous!$B$4:$AY$138,LS_previous!AR$149, FALSE))/2)</f>
        <v>-300.93988536161442</v>
      </c>
      <c r="AC30" s="180">
        <f t="array" ref="AC30">IF($G30=0, INDEX(LS_previous!$D$4:$AY$138, MATCH('Staging Table'!$A30, LS_previous!$B$4:$B$138, 0), MATCH(AC$4&amp;AC$5, LS_previous!$D$2:$AY$2&amp;LS_previous!$D$3:$AY$3, 0)),SUM(VLOOKUP($A30, LS_previous!$B$4:$AY$138, LS_previous!U$149, FALSE), VLOOKUP('Staging Table'!$A30, LS_previous!$B$4:$AY$138,LS_previous!AS$149, FALSE))/2)</f>
        <v>17.932535845708003</v>
      </c>
      <c r="AD30" s="180">
        <f t="array" ref="AD30">IF($G30=0, INDEX(LS_previous!$D$4:$AY$138, MATCH('Staging Table'!$A30, LS_previous!$B$4:$B$138, 0), MATCH(AD$4&amp;AD$5, LS_previous!$D$2:$AY$2&amp;LS_previous!$D$3:$AY$3, 0)),SUM(VLOOKUP($A30, LS_previous!$B$4:$AY$138, LS_previous!V$149, FALSE), VLOOKUP('Staging Table'!$A30, LS_previous!$B$4:$AY$138,LS_previous!AT$149, FALSE))/2)</f>
        <v>-19.42361282742786</v>
      </c>
      <c r="AE30" s="180">
        <f t="array" ref="AE30">IF($G30=0, INDEX(LS_previous!$D$4:$AY$138, MATCH('Staging Table'!$A30, LS_previous!$B$4:$B$138, 0), MATCH(AE$4&amp;AE$5, LS_previous!$D$2:$AY$2&amp;LS_previous!$D$3:$AY$3, 0)),SUM(VLOOKUP($A30, LS_previous!$B$4:$AY$138, LS_previous!W$149, FALSE), VLOOKUP('Staging Table'!$A30, LS_previous!$B$4:$AY$138,LS_previous!AU$149, FALSE))/2)</f>
        <v>-77.334096752696041</v>
      </c>
      <c r="AF30" s="180">
        <f t="array" ref="AF30">IF($G30=0, INDEX(LS_previous!$D$4:$AY$138, MATCH('Staging Table'!$A30, LS_previous!$B$4:$B$138, 0), MATCH(AF$4&amp;AF$5, LS_previous!$D$2:$AY$2&amp;LS_previous!$D$3:$AY$3, 0)),SUM(VLOOKUP($A30, LS_previous!$B$4:$AY$138, LS_previous!X$149, FALSE), VLOOKUP('Staging Table'!$A30, LS_previous!$B$4:$AY$138,LS_previous!AV$149, FALSE))/2)</f>
        <v>102.69158149521536</v>
      </c>
      <c r="AG30" s="180">
        <f t="array" ref="AG30">IF($G30=0, INDEX(LS_previous!$D$4:$AY$138, MATCH('Staging Table'!$A30, LS_previous!$B$4:$B$138, 0), MATCH(AG$4&amp;AG$5, LS_previous!$D$2:$AY$2&amp;LS_previous!$D$3:$AY$3, 0)),SUM(VLOOKUP($A30, LS_previous!$B$4:$AY$138, LS_previous!Y$149, FALSE), VLOOKUP('Staging Table'!$A30, LS_previous!$B$4:$AY$138,LS_previous!AW$149, FALSE))/2)</f>
        <v>-50.046974124038343</v>
      </c>
      <c r="AH30" s="180">
        <f t="array" ref="AH30">IF($G30=0, INDEX(LS_previous!$D$4:$AY$138, MATCH('Staging Table'!$A30, LS_previous!$B$4:$B$138, 0), MATCH(AH$4&amp;AH$5, LS_previous!$D$2:$AY$2&amp;LS_previous!$D$3:$AY$3, 0)),SUM(VLOOKUP($A30, LS_previous!$B$4:$AY$138, LS_previous!Z$149, FALSE), VLOOKUP('Staging Table'!$A30, LS_previous!$B$4:$AY$138,LS_previous!AX$149, FALSE))/2)</f>
        <v>198.87381927394449</v>
      </c>
      <c r="AI30" s="180">
        <f t="array" ref="AI30">IF($G30=0, INDEX(LS_previous!$D$4:$AY$138, MATCH('Staging Table'!$A30, LS_previous!$B$4:$B$138, 0), MATCH(AI$4&amp;AI$5, LS_previous!$D$2:$AY$2&amp;LS_previous!$D$3:$AY$3, 0)),SUM(VLOOKUP($A30, LS_previous!$B$4:$AY$138, LS_previous!AA$149, FALSE), VLOOKUP('Staging Table'!$A30, LS_previous!$B$4:$AY$138,LS_previous!AY$149, FALSE))/2)</f>
        <v>5.8768197793192485</v>
      </c>
      <c r="AJ30" s="298">
        <f t="array" ref="AJ30">INDEX(Demand_previous!$D$4:$AY$138, MATCH('Staging Table'!$A30, Demand_previous!$B$4:$B$138, 0), MATCH(AJ$4&amp;AJ$5,Demand_previous!$D$2:$AY$2&amp;Demand_previous!$D$3:$AY$3, 0))/1000</f>
        <v>1.2056298076923082</v>
      </c>
      <c r="AK30" s="298">
        <f t="array" ref="AK30">INDEX(Demand_previous!$D$4:$AY$138, MATCH('Staging Table'!$A30, Demand_previous!$B$4:$B$138, 0), MATCH(AK$4&amp;AK$5,Demand_previous!$D$2:$AY$2&amp;Demand_previous!$D$3:$AY$3, 0))/1000</f>
        <v>1.6335725000000001</v>
      </c>
      <c r="AL30" s="298">
        <f t="array" ref="AL30">INDEX(Demand_previous!$D$4:$AY$138, MATCH('Staging Table'!$A30, Demand_previous!$B$4:$B$138, 0), MATCH(AL$4&amp;AL$5,Demand_previous!$D$2:$AY$2&amp;Demand_previous!$D$3:$AY$3, 0))/1000</f>
        <v>1.4845144230769241</v>
      </c>
      <c r="AM30" s="298">
        <f t="array" ref="AM30">INDEX(Demand_previous!$D$4:$AY$138, MATCH('Staging Table'!$A30, Demand_previous!$B$4:$B$138, 0), MATCH(AM$4&amp;AM$5,Demand_previous!$D$2:$AY$2&amp;Demand_previous!$D$3:$AY$3, 0))/1000</f>
        <v>0.95280999999999971</v>
      </c>
      <c r="AN30" s="298">
        <f t="array" ref="AN30">INDEX(Demand_previous!$D$4:$AY$138, MATCH('Staging Table'!$A30, Demand_previous!$B$4:$B$138, 0), MATCH(AN$4&amp;AN$5,Demand_previous!$D$2:$AY$2&amp;Demand_previous!$D$3:$AY$3, 0))/1000</f>
        <v>1.2296484374999994</v>
      </c>
      <c r="AO30" s="298">
        <f t="array" ref="AO30">INDEX(Demand_previous!$D$4:$AY$138, MATCH('Staging Table'!$A30, Demand_previous!$B$4:$B$138, 0), MATCH(AO$4&amp;AO$5,Demand_previous!$D$2:$AY$2&amp;Demand_previous!$D$3:$AY$3, 0))/1000</f>
        <v>1.687108796296297</v>
      </c>
      <c r="AP30" s="298">
        <f t="array" ref="AP30">INDEX(Demand_previous!$D$4:$AY$138, MATCH('Staging Table'!$A30, Demand_previous!$B$4:$B$138, 0), MATCH(AP$4&amp;AP$5,Demand_previous!$D$2:$AY$2&amp;Demand_previous!$D$3:$AY$3, 0))/1000</f>
        <v>0.9180144230769236</v>
      </c>
      <c r="AQ30" s="298">
        <f t="array" ref="AQ30">INDEX(Demand_previous!$D$4:$AY$138, MATCH('Staging Table'!$A30, Demand_previous!$B$4:$B$138, 0), MATCH(AQ$4&amp;AQ$5,Demand_previous!$D$2:$AY$2&amp;Demand_previous!$D$3:$AY$3, 0))/1000</f>
        <v>0.94256999999999946</v>
      </c>
      <c r="AR30" s="298">
        <f t="array" ref="AR30">INDEX(Demand_previous!$D$4:$AY$138, MATCH('Staging Table'!$A30, Demand_previous!$B$4:$B$138, 0), MATCH(AR$4&amp;AR$5,Demand_previous!$D$2:$AY$2&amp;Demand_previous!$D$3:$AY$3, 0))/1000</f>
        <v>0.84443269230769236</v>
      </c>
      <c r="AS30" s="298">
        <f t="array" ref="AS30">INDEX(Demand_previous!$D$4:$AY$138, MATCH('Staging Table'!$A30, Demand_previous!$B$4:$B$138, 0), MATCH(AS$4&amp;AS$5,Demand_previous!$D$2:$AY$2&amp;Demand_previous!$D$3:$AY$3, 0))/1000</f>
        <v>0.13753250000000028</v>
      </c>
      <c r="AT30" s="298">
        <f t="array" ref="AT30">INDEX(Demand_previous!$D$4:$AY$138, MATCH('Staging Table'!$A30, Demand_previous!$B$4:$B$138, 0), MATCH(AT$4&amp;AT$5,Demand_previous!$D$2:$AY$2&amp;Demand_previous!$D$3:$AY$3, 0))/1000</f>
        <v>1.0405462962962961</v>
      </c>
      <c r="AU30" s="298">
        <f t="array" ref="AU30">INDEX(Demand_previous!$D$4:$AY$138, MATCH('Staging Table'!$A30, Demand_previous!$B$4:$B$138, 0), MATCH(AU$4&amp;AU$5,Demand_previous!$D$2:$AY$2&amp;Demand_previous!$D$3:$AY$3, 0))/1000</f>
        <v>1.0922299999999996</v>
      </c>
      <c r="AV30" s="180">
        <f>$F30*(VLOOKUP(AV$4, Rates_previous!$G$6:$Q$29, 10, FALSE)+VLOOKUP(AV$4, Rates_previous!$G$6:$Q$29, 11, FALSE))</f>
        <v>2397.1858150896433</v>
      </c>
      <c r="AW30" s="180">
        <f>$F30*(VLOOKUP(AW$4, Rates_previous!$G$6:$Q$29, 10, FALSE)+VLOOKUP(AW$4, Rates_previous!$G$6:$Q$29, 11, FALSE))</f>
        <v>3034.9242417636301</v>
      </c>
      <c r="AX30" s="180">
        <f>$F30*(VLOOKUP(AX$4, Rates_previous!$G$6:$Q$29, 10, FALSE)+VLOOKUP(AX$4, Rates_previous!$G$6:$Q$29, 11, FALSE))</f>
        <v>2970.584505761914</v>
      </c>
      <c r="AY30" s="180">
        <f>$F30*(VLOOKUP(AY$4, Rates_previous!$G$6:$Q$29, 10, FALSE)+VLOOKUP(AY$4, Rates_previous!$G$6:$Q$29, 11, FALSE))</f>
        <v>2453.576478122885</v>
      </c>
      <c r="AZ30" s="180">
        <f>$F30*(VLOOKUP(AZ$4, Rates_previous!$G$6:$Q$29, 10, FALSE)+VLOOKUP(AZ$4, Rates_previous!$G$6:$Q$29, 11, FALSE))</f>
        <v>2126.5685088412856</v>
      </c>
      <c r="BA30" s="180">
        <f>$F30*(VLOOKUP(BA$4, Rates_previous!$G$6:$Q$29, 10, FALSE)+VLOOKUP(BA$4, Rates_previous!$G$6:$Q$29, 11, FALSE))</f>
        <v>2538.6933619132792</v>
      </c>
      <c r="BB30" s="180">
        <f>$F30*(VLOOKUP(BB$4, Rates_previous!$G$6:$Q$29, 10, FALSE)+VLOOKUP(BB$4, Rates_previous!$G$6:$Q$29, 11, FALSE))</f>
        <v>1970.9574220725144</v>
      </c>
      <c r="BC30" s="180">
        <f>$F30*(VLOOKUP(BC$4, Rates_previous!$G$6:$Q$29, 10, FALSE)+VLOOKUP(BC$4, Rates_previous!$G$6:$Q$29, 11, FALSE))</f>
        <v>2730.7760125258478</v>
      </c>
      <c r="BD30" s="180">
        <f>$F30*(VLOOKUP(BD$4, Rates_previous!$G$6:$Q$29, 10, FALSE)+VLOOKUP(BD$4, Rates_previous!$G$6:$Q$29, 11, FALSE))</f>
        <v>2917.8913495159063</v>
      </c>
      <c r="BE30" s="180">
        <f>$F30*(VLOOKUP(BE$4, Rates_previous!$G$6:$Q$29, 10, FALSE)+VLOOKUP(BE$4, Rates_previous!$G$6:$Q$29, 11, FALSE))</f>
        <v>2770.405709580124</v>
      </c>
      <c r="BF30" s="180">
        <f>$F30*(VLOOKUP(BF$4, Rates_previous!$G$6:$Q$29, 10, FALSE)+VLOOKUP(BF$4, Rates_previous!$G$6:$Q$29, 11, FALSE))</f>
        <v>2677.383392628823</v>
      </c>
      <c r="BG30" s="180">
        <f>$F30*(VLOOKUP(BG$4, Rates_previous!$G$6:$Q$29, 10, FALSE)+VLOOKUP(BG$4, Rates_previous!$G$6:$Q$29, 11, FALSE))</f>
        <v>2474.1813609467363</v>
      </c>
      <c r="BH30" s="298">
        <f>IF($D30=0,IF(C30=0, MAX(BJ30 - (VLOOKUP($A30,TOCA_previous!$A$2:$AI$137,MATCH("RHWM 2022",TOCA_previous!$A$2:$AI$2,0),FALSE)*$F$2*TOCA_previous!C27),0),0), 0)</f>
        <v>7144.1365890134184</v>
      </c>
      <c r="BI30" s="192">
        <f>MIN(VLOOKUP($A30,TOCA_previous!$A$2:$AI$137,MATCH("TRL - NLSL - Existing Resource "&amp;$F$1,TOCA_previous!$A$2:$AI$2,0),FALSE)*$F$2,(VLOOKUP($A30,TOCA_previous!$A$2:$AI$137,MATCH("RHWM 2022",TOCA_previous!$A$2:$AI$2,0),FALSE)*$F$2))</f>
        <v>31062.959999999999</v>
      </c>
      <c r="BJ30" s="402">
        <f>SUM(L30:AI30)+(F30*RT1SC!$C$3*$F$2)</f>
        <v>38207.096589013418</v>
      </c>
      <c r="BK30" s="401">
        <f>VLOOKUP($A30,TOCA_previous!$A$2:$AI$137,MATCH("Above RHWM Not Served with LS "&amp;$F$1,TOCA_previous!$A$2:$AI$2,0),FALSE)*$F$2</f>
        <v>0</v>
      </c>
      <c r="BL30" s="402">
        <f t="shared" si="8"/>
        <v>7144.1365890134184</v>
      </c>
      <c r="BM30" s="401">
        <f>(VLOOKUP($A30,TOCA_previous!$A$2:$AI$137,MATCH("RHWM 2022",TOCA_previous!$A$2:$AI$2,0),FALSE)*$F$2) - $BI30</f>
        <v>0</v>
      </c>
      <c r="BN30" s="402">
        <f t="shared" si="9"/>
        <v>0</v>
      </c>
      <c r="BO30" s="401">
        <f t="shared" si="10"/>
        <v>0</v>
      </c>
      <c r="BP30" s="402">
        <f t="shared" si="11"/>
        <v>0</v>
      </c>
      <c r="BQ30" s="401">
        <f t="shared" si="2"/>
        <v>0</v>
      </c>
      <c r="BR30" s="108">
        <f>VLOOKUP($A30,TOCA_current!$A$2:$AI$137,MATCH(BR$4,TOCA_current!$A$2:$AI$2,0),FALSE)</f>
        <v>5.264E-4</v>
      </c>
      <c r="BS30" s="108">
        <f>VLOOKUP($A30,TOCA_current!$A$2:$AI$137,MATCH(BS$4,TOCA_current!$A$2:$AI$2,0),FALSE)</f>
        <v>5.264E-4</v>
      </c>
      <c r="BT30" s="189">
        <f t="shared" si="12"/>
        <v>0</v>
      </c>
      <c r="BU30" s="108">
        <f>VLOOKUP($A30,TOCA_current!A26:BG161,MATCH(BU$4,TOCA_current!$A$2:$BG$2,0),FALSE)</f>
        <v>0</v>
      </c>
      <c r="BV30" s="108">
        <f t="shared" si="3"/>
        <v>0</v>
      </c>
      <c r="BW30" s="108">
        <f t="shared" si="4"/>
        <v>0</v>
      </c>
      <c r="BX30" s="179">
        <f>VLOOKUP($A30,IRD!$A$4:$G$139, 7, FALSE)</f>
        <v>0</v>
      </c>
      <c r="BY30" s="180">
        <f t="array" ref="BY30">IF($BT30=0, INDEX(LS_current!$D$4:$AY$138, MATCH('Staging Table'!$A30, LS_current!$B$4:$B$138, 0), MATCH(BY$4&amp;BY$5, LS_current!$D$2:$AY$2&amp;LS_current!$D$3:$AY$3, 0)),SUM(VLOOKUP($A30, LS_current!$B$4:$AY$138, LS_current!D$148, FALSE), VLOOKUP($A30, LS_current!$B$4:$AY$138,LS_current!AB$148, FALSE))/2)</f>
        <v>617.57145944959984</v>
      </c>
      <c r="BZ30" s="180">
        <f t="array" ref="BZ30">IF($BT30=0, INDEX(LS_current!$D$4:$AY$138, MATCH('Staging Table'!$A30, LS_current!$B$4:$B$138, 0), MATCH(BZ$4&amp;BZ$5, LS_current!$D$2:$AY$2&amp;LS_current!$D$3:$AY$3, 0)),SUM(VLOOKUP($A30, LS_current!$B$4:$AY$138, LS_current!E$148, FALSE), VLOOKUP($A30, LS_current!$B$4:$AY$138,LS_current!AC$148, FALSE))/2)</f>
        <v>122.52924049680007</v>
      </c>
      <c r="CA30" s="180">
        <f t="array" ref="CA30">IF($BT30=0, INDEX(LS_current!$D$4:$AY$138, MATCH('Staging Table'!$A30, LS_current!$B$4:$B$138, 0), MATCH(CA$4&amp;CA$5, LS_current!$D$2:$AY$2&amp;LS_current!$D$3:$AY$3, 0)),SUM(VLOOKUP($A30, LS_current!$B$4:$AY$138, LS_current!F$148, FALSE), VLOOKUP($A30, LS_current!$B$4:$AY$138,LS_current!AD$148, FALSE))/2)</f>
        <v>440.14487054079973</v>
      </c>
      <c r="CB30" s="180">
        <f t="array" ref="CB30">IF($BT30=0, INDEX(LS_current!$D$4:$AY$138, MATCH('Staging Table'!$A30, LS_current!$B$4:$B$138, 0), MATCH(CB$4&amp;CB$5, LS_current!$D$2:$AY$2&amp;LS_current!$D$3:$AY$3, 0)),SUM(VLOOKUP($A30, LS_current!$B$4:$AY$138, LS_current!G$148, FALSE), VLOOKUP($A30, LS_current!$B$4:$AY$138,LS_current!AE$148, FALSE))/2)</f>
        <v>75.049488641599964</v>
      </c>
      <c r="CC30" s="180">
        <f t="array" ref="CC30">IF($BT30=0, INDEX(LS_current!$D$4:$AY$138, MATCH('Staging Table'!$A30, LS_current!$B$4:$B$138, 0), MATCH(CC$4&amp;CC$5, LS_current!$D$2:$AY$2&amp;LS_current!$D$3:$AY$3, 0)),SUM(VLOOKUP($A30, LS_current!$B$4:$AY$138, LS_current!H$148, FALSE), VLOOKUP($A30, LS_current!$B$4:$AY$138,LS_current!AF$148, FALSE))/2)</f>
        <v>600.17030699039969</v>
      </c>
      <c r="CD30" s="180">
        <f t="array" ref="CD30">IF($BT30=0, INDEX(LS_current!$D$4:$AY$138, MATCH('Staging Table'!$A30, LS_current!$B$4:$B$138, 0), MATCH(CD$4&amp;CD$5, LS_current!$D$2:$AY$2&amp;LS_current!$D$3:$AY$3, 0)),SUM(VLOOKUP($A30, LS_current!$B$4:$AY$138, LS_current!I$148, FALSE), VLOOKUP($A30, LS_current!$B$4:$AY$138,LS_current!AG$148, FALSE))/2)</f>
        <v>243.95691842560018</v>
      </c>
      <c r="CE30" s="180">
        <f t="array" ref="CE30">IF($BT30=0, INDEX(LS_current!$D$4:$AY$138, MATCH('Staging Table'!$A30, LS_current!$B$4:$B$138, 0), MATCH(CE$4&amp;CE$5, LS_current!$D$2:$AY$2&amp;LS_current!$D$3:$AY$3, 0)),SUM(VLOOKUP($A30, LS_current!$B$4:$AY$138, LS_current!J$148, FALSE), VLOOKUP($A30, LS_current!$B$4:$AY$138,LS_current!AH$148, FALSE))/2)</f>
        <v>762.40788122400022</v>
      </c>
      <c r="CF30" s="180">
        <f t="array" ref="CF30">IF($BT30=0, INDEX(LS_current!$D$4:$AY$138, MATCH('Staging Table'!$A30, LS_current!$B$4:$B$138, 0), MATCH(CF$4&amp;CF$5, LS_current!$D$2:$AY$2&amp;LS_current!$D$3:$AY$3, 0)),SUM(VLOOKUP($A30, LS_current!$B$4:$AY$138, LS_current!K$148, FALSE), VLOOKUP($A30, LS_current!$B$4:$AY$138,LS_current!AI$148, FALSE))/2)</f>
        <v>288.91614153439991</v>
      </c>
      <c r="CG30" s="180">
        <f t="array" ref="CG30">IF($BT30=0, INDEX(LS_current!$D$4:$AY$138, MATCH('Staging Table'!$A30, LS_current!$B$4:$B$138, 0), MATCH(CG$4&amp;CG$5, LS_current!$D$2:$AY$2&amp;LS_current!$D$3:$AY$3, 0)),SUM(VLOOKUP($A30, LS_current!$B$4:$AY$138, LS_current!L$148, FALSE), VLOOKUP($A30, LS_current!$B$4:$AY$138,LS_current!AJ$148, FALSE))/2)</f>
        <v>635.36916929440031</v>
      </c>
      <c r="CH30" s="180">
        <f t="array" ref="CH30">IF($BT30=0, INDEX(LS_current!$D$4:$AY$138, MATCH('Staging Table'!$A30, LS_current!$B$4:$B$138, 0), MATCH(CH$4&amp;CH$5, LS_current!$D$2:$AY$2&amp;LS_current!$D$3:$AY$3, 0)),SUM(VLOOKUP($A30, LS_current!$B$4:$AY$138, LS_current!M$148, FALSE), VLOOKUP($A30, LS_current!$B$4:$AY$138,LS_current!AK$148, FALSE))/2)</f>
        <v>267.39660878239999</v>
      </c>
      <c r="CI30" s="180">
        <f t="array" ref="CI30">IF($BT30=0, INDEX(LS_current!$D$4:$AY$138, MATCH('Staging Table'!$A30, LS_current!$B$4:$B$138, 0), MATCH(CI$4&amp;CI$5, LS_current!$D$2:$AY$2&amp;LS_current!$D$3:$AY$3, 0)),SUM(VLOOKUP($A30, LS_current!$B$4:$AY$138, LS_current!N$148, FALSE), VLOOKUP($A30, LS_current!$B$4:$AY$138,LS_current!AL$148, FALSE))/2)</f>
        <v>465.73957891680016</v>
      </c>
      <c r="CJ30" s="180">
        <f t="array" ref="CJ30">IF($BT30=0, INDEX(LS_current!$D$4:$AY$138, MATCH('Staging Table'!$A30, LS_current!$B$4:$B$138, 0), MATCH(CJ$4&amp;CJ$5, LS_current!$D$2:$AY$2&amp;LS_current!$D$3:$AY$3, 0)),SUM(VLOOKUP($A30, LS_current!$B$4:$AY$138, LS_current!O$148, FALSE), VLOOKUP($A30, LS_current!$B$4:$AY$138,LS_current!AM$148, FALSE))/2)</f>
        <v>95.66057606079994</v>
      </c>
      <c r="CK30" s="180">
        <f t="array" ref="CK30">IF($BT30=0, INDEX(LS_current!$D$4:$AY$138, MATCH('Staging Table'!$A30, LS_current!$B$4:$B$138, 0), MATCH(CK$4&amp;CK$5, LS_current!$D$2:$AY$2&amp;LS_current!$D$3:$AY$3, 0)),SUM(VLOOKUP($A30, LS_current!$B$4:$AY$138, LS_current!P$148, FALSE), VLOOKUP($A30, LS_current!$B$4:$AY$138,LS_current!AN$148, FALSE))/2)</f>
        <v>666.47054592399991</v>
      </c>
      <c r="CL30" s="180">
        <f t="array" ref="CL30">IF($BT30=0, INDEX(LS_current!$D$4:$AY$138, MATCH('Staging Table'!$A30, LS_current!$B$4:$B$138, 0), MATCH(CL$4&amp;CL$5, LS_current!$D$2:$AY$2&amp;LS_current!$D$3:$AY$3, 0)),SUM(VLOOKUP($A30, LS_current!$B$4:$AY$138, LS_current!Q$148, FALSE), VLOOKUP($A30, LS_current!$B$4:$AY$138,LS_current!AO$148, FALSE))/2)</f>
        <v>108.37963373480011</v>
      </c>
      <c r="CM30" s="180">
        <f t="array" ref="CM30">IF($BT30=0, INDEX(LS_current!$D$4:$AY$138, MATCH('Staging Table'!$A30, LS_current!$B$4:$B$138, 0), MATCH(CM$4&amp;CM$5, LS_current!$D$2:$AY$2&amp;LS_current!$D$3:$AY$3, 0)),SUM(VLOOKUP($A30, LS_current!$B$4:$AY$138, LS_current!R$148, FALSE), VLOOKUP($A30, LS_current!$B$4:$AY$138,LS_current!AP$148, FALSE))/2)</f>
        <v>70.447611212799984</v>
      </c>
      <c r="CN30" s="180">
        <f t="array" ref="CN30">IF($BT30=0, INDEX(LS_current!$D$4:$AY$138, MATCH('Staging Table'!$A30, LS_current!$B$4:$B$138, 0), MATCH(CN$4&amp;CN$5, LS_current!$D$2:$AY$2&amp;LS_current!$D$3:$AY$3, 0)),SUM(VLOOKUP($A30, LS_current!$B$4:$AY$138, LS_current!S$148, FALSE), VLOOKUP($A30, LS_current!$B$4:$AY$138,LS_current!AQ$148, FALSE))/2)</f>
        <v>-246.39420503439987</v>
      </c>
      <c r="CO30" s="180">
        <f t="array" ref="CO30">IF($BT30=0, INDEX(LS_current!$D$4:$AY$138, MATCH('Staging Table'!$A30, LS_current!$B$4:$B$138, 0), MATCH(CO$4&amp;CO$5, LS_current!$D$2:$AY$2&amp;LS_current!$D$3:$AY$3, 0)),SUM(VLOOKUP($A30, LS_current!$B$4:$AY$138, LS_current!T$148, FALSE), VLOOKUP($A30, LS_current!$B$4:$AY$138,LS_current!AR$148, FALSE))/2)</f>
        <v>-94.104172246399912</v>
      </c>
      <c r="CP30" s="180">
        <f t="array" ref="CP30">IF($BT30=0, INDEX(LS_current!$D$4:$AY$138, MATCH('Staging Table'!$A30, LS_current!$B$4:$B$138, 0), MATCH(CP$4&amp;CP$5, LS_current!$D$2:$AY$2&amp;LS_current!$D$3:$AY$3, 0)),SUM(VLOOKUP($A30, LS_current!$B$4:$AY$138, LS_current!U$148, FALSE), VLOOKUP($A30, LS_current!$B$4:$AY$138,LS_current!AS$148, FALSE))/2)</f>
        <v>-255.32238868879995</v>
      </c>
      <c r="CQ30" s="180">
        <f t="array" ref="CQ30">IF($BT30=0, INDEX(LS_current!$D$4:$AY$138, MATCH('Staging Table'!$A30, LS_current!$B$4:$B$138, 0), MATCH(CQ$4&amp;CQ$5, LS_current!$D$2:$AY$2&amp;LS_current!$D$3:$AY$3, 0)),SUM(VLOOKUP($A30, LS_current!$B$4:$AY$138, LS_current!V$148, FALSE), VLOOKUP($A30, LS_current!$B$4:$AY$138,LS_current!AT$148, FALSE))/2)</f>
        <v>211.30147943040015</v>
      </c>
      <c r="CR30" s="180">
        <f t="array" ref="CR30">IF($BT30=0, INDEX(LS_current!$D$4:$AY$138, MATCH('Staging Table'!$A30, LS_current!$B$4:$B$138, 0), MATCH(CR$4&amp;CR$5, LS_current!$D$2:$AY$2&amp;LS_current!$D$3:$AY$3, 0)),SUM(VLOOKUP($A30, LS_current!$B$4:$AY$138, LS_current!W$148, FALSE), VLOOKUP($A30, LS_current!$B$4:$AY$138,LS_current!AU$148, FALSE))/2)</f>
        <v>-128.46499111599996</v>
      </c>
      <c r="CS30" s="180">
        <f t="array" ref="CS30">IF($BT30=0, INDEX(LS_current!$D$4:$AY$138, MATCH('Staging Table'!$A30, LS_current!$B$4:$B$138, 0), MATCH(CS$4&amp;CS$5, LS_current!$D$2:$AY$2&amp;LS_current!$D$3:$AY$3, 0)),SUM(VLOOKUP($A30, LS_current!$B$4:$AY$138, LS_current!X$148, FALSE), VLOOKUP($A30, LS_current!$B$4:$AY$138,LS_current!AV$148, FALSE))/2)</f>
        <v>316.92005372239987</v>
      </c>
      <c r="CT30" s="180">
        <f t="array" ref="CT30">IF($BT30=0, INDEX(LS_current!$D$4:$AY$138, MATCH('Staging Table'!$A30, LS_current!$B$4:$B$138, 0), MATCH(CT$4&amp;CT$5, LS_current!$D$2:$AY$2&amp;LS_current!$D$3:$AY$3, 0)),SUM(VLOOKUP($A30, LS_current!$B$4:$AY$138, LS_current!Y$148, FALSE), VLOOKUP($A30, LS_current!$B$4:$AY$138,LS_current!AW$148, FALSE))/2)</f>
        <v>-91.518125233039996</v>
      </c>
      <c r="CU30" s="180">
        <f t="array" ref="CU30">IF($BT30=0, INDEX(LS_current!$D$4:$AY$138, MATCH('Staging Table'!$A30, LS_current!$B$4:$B$138, 0), MATCH(CU$4&amp;CU$5, LS_current!$D$2:$AY$2&amp;LS_current!$D$3:$AY$3, 0)),SUM(VLOOKUP($A30, LS_current!$B$4:$AY$138, LS_current!Z$148, FALSE), VLOOKUP($A30, LS_current!$B$4:$AY$138,LS_current!AX$148, FALSE))/2)</f>
        <v>401.40449256639977</v>
      </c>
      <c r="CV30" s="180">
        <f t="array" ref="CV30">IF($BT30=0, INDEX(LS_current!$D$4:$AY$138, MATCH('Staging Table'!$A30, LS_current!$B$4:$B$138, 0), MATCH(CV$4&amp;CV$5, LS_current!$D$2:$AY$2&amp;LS_current!$D$3:$AY$3, 0)),SUM(VLOOKUP($A30, LS_current!$B$4:$AY$138, LS_current!AA$148, FALSE), VLOOKUP($A30, LS_current!$B$4:$AY$138,LS_current!AY$148, FALSE))/2)</f>
        <v>-27.213496345599992</v>
      </c>
      <c r="CW30" s="182">
        <f t="array" ref="CW30">INDEX(Demand_current!$D$4:$AY$138, MATCH($A30, Demand_current!$B$4:$B$138, 0), MATCH(CW$4&amp;CW$5,Demand_current!$D$2:$AY$2&amp;Demand_current!$D$3:$AY$3, 0))/1000</f>
        <v>1.2056298076923082</v>
      </c>
      <c r="CX30" s="182">
        <f t="array" ref="CX30">INDEX(Demand_current!$D$4:$AY$138, MATCH($A30, Demand_current!$B$4:$B$138, 0), MATCH(CX$4&amp;CX$5,Demand_current!$D$2:$AY$2&amp;Demand_current!$D$3:$AY$3, 0))/1000</f>
        <v>1.6335725000000001</v>
      </c>
      <c r="CY30" s="182">
        <f t="array" ref="CY30">INDEX(Demand_current!$D$4:$AY$138, MATCH($A30, Demand_current!$B$4:$B$138, 0), MATCH(CY$4&amp;CY$5,Demand_current!$D$2:$AY$2&amp;Demand_current!$D$3:$AY$3, 0))/1000</f>
        <v>1.2486150000000005</v>
      </c>
      <c r="CZ30" s="182">
        <f t="array" ref="CZ30">INDEX(Demand_current!$D$4:$AY$138, MATCH($A30, Demand_current!$B$4:$B$138, 0), MATCH(CZ$4&amp;CZ$5,Demand_current!$D$2:$AY$2&amp;Demand_current!$D$3:$AY$3, 0))/1000</f>
        <v>1.2152019230769231</v>
      </c>
      <c r="DA30" s="182">
        <f t="array" ref="DA30">INDEX(Demand_current!$D$4:$AY$138, MATCH($A30, Demand_current!$B$4:$B$138, 0), MATCH(DA$4&amp;DA$5,Demand_current!$D$2:$AY$2&amp;Demand_current!$D$3:$AY$3, 0))/1000</f>
        <v>1.4767825000000001</v>
      </c>
      <c r="DB30" s="182">
        <f t="array" ref="DB30">INDEX(Demand_current!$D$4:$AY$138, MATCH($A30, Demand_current!$B$4:$B$138, 0), MATCH(DB$4&amp;DB$5,Demand_current!$D$2:$AY$2&amp;Demand_current!$D$3:$AY$3, 0))/1000</f>
        <v>1.4839591346153853</v>
      </c>
      <c r="DC30" s="182">
        <f t="array" ref="DC30">INDEX(Demand_current!$D$4:$AY$138, MATCH($A30, Demand_current!$B$4:$B$138, 0), MATCH(DC$4&amp;DC$5,Demand_current!$D$2:$AY$2&amp;Demand_current!$D$3:$AY$3, 0))/1000</f>
        <v>0.9180144230769236</v>
      </c>
      <c r="DD30" s="182">
        <f t="array" ref="DD30">INDEX(Demand_current!$D$4:$AY$138, MATCH($A30, Demand_current!$B$4:$B$138, 0), MATCH(DD$4&amp;DD$5,Demand_current!$D$2:$AY$2&amp;Demand_current!$D$3:$AY$3, 0))/1000</f>
        <v>1.1200096153846144</v>
      </c>
      <c r="DE30" s="182">
        <f t="array" ref="DE30">INDEX(Demand_current!$D$4:$AY$138, MATCH($A30, Demand_current!$B$4:$B$138, 0), MATCH(DE$4&amp;DE$5,Demand_current!$D$2:$AY$2&amp;Demand_current!$D$3:$AY$3, 0))/1000</f>
        <v>0.67329000000000061</v>
      </c>
      <c r="DF30" s="182">
        <f t="array" ref="DF30">INDEX(Demand_current!$D$4:$AY$138, MATCH($A30, Demand_current!$B$4:$B$138, 0), MATCH(DF$4&amp;DF$5,Demand_current!$D$2:$AY$2&amp;Demand_current!$D$3:$AY$3, 0))/1000</f>
        <v>0.31308894230769235</v>
      </c>
      <c r="DG30" s="182">
        <f t="array" ref="DG30">INDEX(Demand_current!$D$4:$AY$138, MATCH($A30, Demand_current!$B$4:$B$138, 0), MATCH(DG$4&amp;DG$5,Demand_current!$D$2:$AY$2&amp;Demand_current!$D$3:$AY$3, 0))/1000</f>
        <v>1.0405462962962961</v>
      </c>
      <c r="DH30" s="182">
        <f t="array" ref="DH30">INDEX(Demand_current!$D$4:$AY$138, MATCH($A30, Demand_current!$B$4:$B$138, 0), MATCH(DH$4&amp;DH$5,Demand_current!$D$2:$AY$2&amp;Demand_current!$D$3:$AY$3, 0))/1000</f>
        <v>0.90703124999999996</v>
      </c>
      <c r="DI30" s="180">
        <f>$BS30*(VLOOKUP(DI$4, Rates_current!$G$6:$Q$29, 10, FALSE)+VLOOKUP(DI$4, Rates_current!$G$6:$Q$29, 11, FALSE))</f>
        <v>2220.7783000536001</v>
      </c>
      <c r="DJ30" s="180">
        <f>$BS30*(VLOOKUP(DJ$4, Rates_current!$G$6:$Q$29, 10, FALSE)+VLOOKUP(DJ$4, Rates_current!$G$6:$Q$29, 11, FALSE))</f>
        <v>2832.2246408176002</v>
      </c>
      <c r="DK30" s="180">
        <f>$BS30*(VLOOKUP(DK$4, Rates_current!$G$6:$Q$29, 10, FALSE)+VLOOKUP(DK$4, Rates_current!$G$6:$Q$29, 11, FALSE))</f>
        <v>3056.5307745840005</v>
      </c>
      <c r="DL30" s="180">
        <f>$BS30*(VLOOKUP(DL$4, Rates_current!$G$6:$Q$29, 10, FALSE)+VLOOKUP(DL$4, Rates_current!$G$6:$Q$29, 11, FALSE))</f>
        <v>3176.2079772416</v>
      </c>
      <c r="DM30" s="180">
        <f>$BS30*(VLOOKUP(DM$4, Rates_current!$G$6:$Q$29, 10, FALSE)+VLOOKUP(DM$4, Rates_current!$G$6:$Q$29, 11, FALSE))</f>
        <v>2731.9622219231996</v>
      </c>
      <c r="DN30" s="180">
        <f>$BS30*(VLOOKUP(DN$4, Rates_current!$G$6:$Q$29, 10, FALSE)+VLOOKUP(DN$4, Rates_current!$G$6:$Q$29, 11, FALSE))</f>
        <v>2982.7618450223999</v>
      </c>
      <c r="DO30" s="180">
        <f>$BS30*(VLOOKUP(DO$4, Rates_current!$G$6:$Q$29, 10, FALSE)+VLOOKUP(DO$4, Rates_current!$G$6:$Q$29, 11, FALSE))</f>
        <v>2354.3878203412</v>
      </c>
      <c r="DP30" s="180">
        <f>$BS30*(VLOOKUP(DP$4, Rates_current!$G$6:$Q$29, 10, FALSE)+VLOOKUP(DP$4, Rates_current!$G$6:$Q$29, 11, FALSE))</f>
        <v>2920.9335938216</v>
      </c>
      <c r="DQ30" s="180">
        <f>$BS30*(VLOOKUP(DQ$4, Rates_current!$G$6:$Q$29, 10, FALSE)+VLOOKUP(DQ$4, Rates_current!$G$6:$Q$29, 11, FALSE))</f>
        <v>2984.3105609351996</v>
      </c>
      <c r="DR30" s="180">
        <f>$BS30*(VLOOKUP(DR$4, Rates_current!$G$6:$Q$29, 10, FALSE)+VLOOKUP(DR$4, Rates_current!$G$6:$Q$29, 11, FALSE))</f>
        <v>2590.8115116856002</v>
      </c>
      <c r="DS30" s="180">
        <f>$BS30*(VLOOKUP(DS$4, Rates_current!$G$6:$Q$29, 10, FALSE)+VLOOKUP(DS$4, Rates_current!$G$6:$Q$29, 11, FALSE))</f>
        <v>2504.6260715106405</v>
      </c>
      <c r="DT30" s="180">
        <f>$BS30*(VLOOKUP(DT$4, Rates_current!$G$6:$Q$29, 10, FALSE)+VLOOKUP(DT$4, Rates_current!$G$6:$Q$29, 11, FALSE))</f>
        <v>2304.7410037792001</v>
      </c>
      <c r="DU30" s="402">
        <f>IF(D30=0,IF(C30=0,MAX(0,DW30 - (VLOOKUP($A30,TOCA_current!$A$2:$AI$137,MATCH("RHWM 2024",TOCA_current!$A$2:$AI$2,0),FALSE)*$BS$2)), 0),0)</f>
        <v>5548.1831497081548</v>
      </c>
      <c r="DV30" s="403">
        <f>MIN(VLOOKUP($A30,TOCA_current!$A$2:$AI$137,MATCH("TRL - NLSL - Existing Resource "&amp;$BS$1,TOCA_current!$A$2:$AI$2,0),FALSE)*$BS$2, VLOOKUP($A30,TOCA_current!$A$2:$AI$137,MATCH("RHWM 2024",TOCA_current!$A$2:$AI$2,0),FALSE)*$BS$2)</f>
        <v>32658.912</v>
      </c>
      <c r="DW30" s="403">
        <f>SUM(BY30:CV30)+(BS30*RT1SC!$C$4*$BS$2)</f>
        <v>38207.095149708155</v>
      </c>
      <c r="DX30" s="403">
        <f>VLOOKUP($A30,TOCA_current!$A$2:$AI$137,MATCH("Above RHWM Not Served with LS "&amp;$BS$1,TOCA_current!$A$2:$AI$2,0),FALSE)*$BS$2</f>
        <v>0</v>
      </c>
      <c r="DY30" s="403">
        <f t="shared" si="13"/>
        <v>5548.1831497081548</v>
      </c>
      <c r="DZ30" s="403">
        <f>(VLOOKUP($A30,TOCA_current!$A$2:$AI$137,MATCH("RHWM 2024",TOCA_current!$A$2:$AI$2,0),FALSE)*$BS$2) - $DV30</f>
        <v>0</v>
      </c>
      <c r="EA30" s="403">
        <f t="shared" si="14"/>
        <v>0</v>
      </c>
      <c r="EB30" s="403">
        <f t="shared" si="15"/>
        <v>0</v>
      </c>
      <c r="EC30" s="403">
        <f t="shared" si="16"/>
        <v>0</v>
      </c>
      <c r="ED30" s="403">
        <f t="shared" si="17"/>
        <v>0</v>
      </c>
    </row>
    <row r="31" spans="1:134">
      <c r="A31" s="123">
        <v>10079</v>
      </c>
      <c r="B31" s="124" t="s">
        <v>32</v>
      </c>
      <c r="C31" s="232">
        <f>VLOOKUP(A31, TOCA_current!$A$3:$D$137, 4, FALSE)</f>
        <v>0</v>
      </c>
      <c r="D31" s="191">
        <v>0</v>
      </c>
      <c r="E31" s="107">
        <f>VLOOKUP($A31,TOCA_previous!$A$2:$AI$137,MATCH(E$4,TOCA_previous!$A$2:$AI$2,0),FALSE)</f>
        <v>1.20546E-2</v>
      </c>
      <c r="F31" s="108">
        <f>VLOOKUP($A31,TOCA_previous!$A$2:$AI$137,MATCH(F$4,TOCA_previous!$A$2:$AI$2,0),FALSE)</f>
        <v>1.20546E-2</v>
      </c>
      <c r="G31" s="108">
        <f t="shared" si="5"/>
        <v>0</v>
      </c>
      <c r="H31" s="108">
        <f>VLOOKUP($A31,TOCA_previous!$A$2:$AI$137,MATCH(H$4,TOCA_previous!$A$2:$AI$2,0),FALSE)</f>
        <v>0</v>
      </c>
      <c r="I31" s="108">
        <f t="shared" si="6"/>
        <v>0</v>
      </c>
      <c r="J31" s="108">
        <f t="shared" si="7"/>
        <v>0</v>
      </c>
      <c r="K31" s="179">
        <f>VLOOKUP(A31, IRD!$A$5:$C$139, 3, FALSE)</f>
        <v>0</v>
      </c>
      <c r="L31" s="180">
        <f t="array" ref="L31">IF($G31=0, INDEX(LS_previous!$D$4:$AY$138, MATCH('Staging Table'!$A31, LS_previous!$B$4:$B$138, 0), MATCH(L$4&amp;L$5, LS_previous!$D$2:$AY$2&amp;LS_previous!$D$3:$AY$3, 0)),SUM(VLOOKUP($A31, LS_previous!$B$4:$AY$138, LS_previous!D$149, FALSE), VLOOKUP('Staging Table'!$A31, LS_previous!$B$4:$AY$138,LS_previous!AB$149, FALSE))/2)</f>
        <v>2397.5216771303676</v>
      </c>
      <c r="M31" s="180">
        <f t="array" ref="M31">IF($G31=0, INDEX(LS_previous!$D$4:$AY$138, MATCH('Staging Table'!$A31, LS_previous!$B$4:$B$138, 0), MATCH(M$4&amp;M$5, LS_previous!$D$2:$AY$2&amp;LS_previous!$D$3:$AY$3, 0)),SUM(VLOOKUP($A31, LS_previous!$B$4:$AY$138, LS_previous!E$149, FALSE), VLOOKUP('Staging Table'!$A31, LS_previous!$B$4:$AY$138,LS_previous!AC$149, FALSE))/2)</f>
        <v>2851.6060003399725</v>
      </c>
      <c r="N31" s="180">
        <f t="array" ref="N31">IF($G31=0, INDEX(LS_previous!$D$4:$AY$138, MATCH('Staging Table'!$A31, LS_previous!$B$4:$B$138, 0), MATCH(N$4&amp;N$5, LS_previous!$D$2:$AY$2&amp;LS_previous!$D$3:$AY$3, 0)),SUM(VLOOKUP($A31, LS_previous!$B$4:$AY$138, LS_previous!F$149, FALSE), VLOOKUP('Staging Table'!$A31, LS_previous!$B$4:$AY$138,LS_previous!AD$149, FALSE))/2)</f>
        <v>-5644.4588529783359</v>
      </c>
      <c r="O31" s="180">
        <f t="array" ref="O31">IF($G31=0, INDEX(LS_previous!$D$4:$AY$138, MATCH('Staging Table'!$A31, LS_previous!$B$4:$B$138, 0), MATCH(O$4&amp;O$5, LS_previous!$D$2:$AY$2&amp;LS_previous!$D$3:$AY$3, 0)),SUM(VLOOKUP($A31, LS_previous!$B$4:$AY$138, LS_previous!G$149, FALSE), VLOOKUP('Staging Table'!$A31, LS_previous!$B$4:$AY$138,LS_previous!AE$149, FALSE))/2)</f>
        <v>-4692.3769007523879</v>
      </c>
      <c r="P31" s="180">
        <f t="array" ref="P31">IF($G31=0, INDEX(LS_previous!$D$4:$AY$138, MATCH('Staging Table'!$A31, LS_previous!$B$4:$B$138, 0), MATCH(P$4&amp;P$5, LS_previous!$D$2:$AY$2&amp;LS_previous!$D$3:$AY$3, 0)),SUM(VLOOKUP($A31, LS_previous!$B$4:$AY$138, LS_previous!H$149, FALSE), VLOOKUP('Staging Table'!$A31, LS_previous!$B$4:$AY$138,LS_previous!AF$149, FALSE))/2)</f>
        <v>1818.4877204899458</v>
      </c>
      <c r="Q31" s="180">
        <f t="array" ref="Q31">IF($G31=0, INDEX(LS_previous!$D$4:$AY$138, MATCH('Staging Table'!$A31, LS_previous!$B$4:$B$138, 0), MATCH(Q$4&amp;Q$5, LS_previous!$D$2:$AY$2&amp;LS_previous!$D$3:$AY$3, 0)),SUM(VLOOKUP($A31, LS_previous!$B$4:$AY$138, LS_previous!I$149, FALSE), VLOOKUP('Staging Table'!$A31, LS_previous!$B$4:$AY$138,LS_previous!AG$149, FALSE))/2)</f>
        <v>-2702.4446307436883</v>
      </c>
      <c r="R31" s="180">
        <f t="array" ref="R31">IF($G31=0, INDEX(LS_previous!$D$4:$AY$138, MATCH('Staging Table'!$A31, LS_previous!$B$4:$B$138, 0), MATCH(R$4&amp;R$5, LS_previous!$D$2:$AY$2&amp;LS_previous!$D$3:$AY$3, 0)),SUM(VLOOKUP($A31, LS_previous!$B$4:$AY$138, LS_previous!J$149, FALSE), VLOOKUP('Staging Table'!$A31, LS_previous!$B$4:$AY$138,LS_previous!AH$149, FALSE))/2)</f>
        <v>12413.36104457394</v>
      </c>
      <c r="S31" s="180">
        <f t="array" ref="S31">IF($G31=0, INDEX(LS_previous!$D$4:$AY$138, MATCH('Staging Table'!$A31, LS_previous!$B$4:$B$138, 0), MATCH(S$4&amp;S$5, LS_previous!$D$2:$AY$2&amp;LS_previous!$D$3:$AY$3, 0)),SUM(VLOOKUP($A31, LS_previous!$B$4:$AY$138, LS_previous!K$149, FALSE), VLOOKUP('Staging Table'!$A31, LS_previous!$B$4:$AY$138,LS_previous!AI$149, FALSE))/2)</f>
        <v>2664.7431644303761</v>
      </c>
      <c r="T31" s="180">
        <f t="array" ref="T31">IF($G31=0, INDEX(LS_previous!$D$4:$AY$138, MATCH('Staging Table'!$A31, LS_previous!$B$4:$B$138, 0), MATCH(T$4&amp;T$5, LS_previous!$D$2:$AY$2&amp;LS_previous!$D$3:$AY$3, 0)),SUM(VLOOKUP($A31, LS_previous!$B$4:$AY$138, LS_previous!L$149, FALSE), VLOOKUP('Staging Table'!$A31, LS_previous!$B$4:$AY$138,LS_previous!AJ$149, FALSE))/2)</f>
        <v>11486.890259401203</v>
      </c>
      <c r="U31" s="180">
        <f t="array" ref="U31">IF($G31=0, INDEX(LS_previous!$D$4:$AY$138, MATCH('Staging Table'!$A31, LS_previous!$B$4:$B$138, 0), MATCH(U$4&amp;U$5, LS_previous!$D$2:$AY$2&amp;LS_previous!$D$3:$AY$3, 0)),SUM(VLOOKUP($A31, LS_previous!$B$4:$AY$138, LS_previous!M$149, FALSE), VLOOKUP('Staging Table'!$A31, LS_previous!$B$4:$AY$138,LS_previous!AK$149, FALSE))/2)</f>
        <v>2656.3502947816232</v>
      </c>
      <c r="V31" s="180">
        <f t="array" ref="V31">IF($G31=0, INDEX(LS_previous!$D$4:$AY$138, MATCH('Staging Table'!$A31, LS_previous!$B$4:$B$138, 0), MATCH(V$4&amp;V$5, LS_previous!$D$2:$AY$2&amp;LS_previous!$D$3:$AY$3, 0)),SUM(VLOOKUP($A31, LS_previous!$B$4:$AY$138, LS_previous!N$149, FALSE), VLOOKUP('Staging Table'!$A31, LS_previous!$B$4:$AY$138,LS_previous!AL$149, FALSE))/2)</f>
        <v>4304.0875611403972</v>
      </c>
      <c r="W31" s="180">
        <f t="array" ref="W31">IF($G31=0, INDEX(LS_previous!$D$4:$AY$138, MATCH('Staging Table'!$A31, LS_previous!$B$4:$B$138, 0), MATCH(W$4&amp;W$5, LS_previous!$D$2:$AY$2&amp;LS_previous!$D$3:$AY$3, 0)),SUM(VLOOKUP($A31, LS_previous!$B$4:$AY$138, LS_previous!O$149, FALSE), VLOOKUP('Staging Table'!$A31, LS_previous!$B$4:$AY$138,LS_previous!AM$149, FALSE))/2)</f>
        <v>2036.2455412155796</v>
      </c>
      <c r="X31" s="180">
        <f t="array" ref="X31">IF($G31=0, INDEX(LS_previous!$D$4:$AY$138, MATCH('Staging Table'!$A31, LS_previous!$B$4:$B$138, 0), MATCH(X$4&amp;X$5, LS_previous!$D$2:$AY$2&amp;LS_previous!$D$3:$AY$3, 0)),SUM(VLOOKUP($A31, LS_previous!$B$4:$AY$138, LS_previous!P$149, FALSE), VLOOKUP('Staging Table'!$A31, LS_previous!$B$4:$AY$138,LS_previous!AN$149, FALSE))/2)</f>
        <v>9145.4330855268745</v>
      </c>
      <c r="Y31" s="180">
        <f t="array" ref="Y31">IF($G31=0, INDEX(LS_previous!$D$4:$AY$138, MATCH('Staging Table'!$A31, LS_previous!$B$4:$B$138, 0), MATCH(Y$4&amp;Y$5, LS_previous!$D$2:$AY$2&amp;LS_previous!$D$3:$AY$3, 0)),SUM(VLOOKUP($A31, LS_previous!$B$4:$AY$138, LS_previous!Q$149, FALSE), VLOOKUP('Staging Table'!$A31, LS_previous!$B$4:$AY$138,LS_previous!AO$149, FALSE))/2)</f>
        <v>3372.7191802114758</v>
      </c>
      <c r="Z31" s="180">
        <f t="array" ref="Z31">IF($G31=0, INDEX(LS_previous!$D$4:$AY$138, MATCH('Staging Table'!$A31, LS_previous!$B$4:$B$138, 0), MATCH(Z$4&amp;Z$5, LS_previous!$D$2:$AY$2&amp;LS_previous!$D$3:$AY$3, 0)),SUM(VLOOKUP($A31, LS_previous!$B$4:$AY$138, LS_previous!R$149, FALSE), VLOOKUP('Staging Table'!$A31, LS_previous!$B$4:$AY$138,LS_previous!AP$149, FALSE))/2)</f>
        <v>-7537.8588377614724</v>
      </c>
      <c r="AA31" s="180">
        <f t="array" ref="AA31">IF($G31=0, INDEX(LS_previous!$D$4:$AY$138, MATCH('Staging Table'!$A31, LS_previous!$B$4:$B$138, 0), MATCH(AA$4&amp;AA$5, LS_previous!$D$2:$AY$2&amp;LS_previous!$D$3:$AY$3, 0)),SUM(VLOOKUP($A31, LS_previous!$B$4:$AY$138, LS_previous!S$149, FALSE), VLOOKUP('Staging Table'!$A31, LS_previous!$B$4:$AY$138,LS_previous!AQ$149, FALSE))/2)</f>
        <v>-556.17035485647648</v>
      </c>
      <c r="AB31" s="180">
        <f t="array" ref="AB31">IF($G31=0, INDEX(LS_previous!$D$4:$AY$138, MATCH('Staging Table'!$A31, LS_previous!$B$4:$B$138, 0), MATCH(AB$4&amp;AB$5, LS_previous!$D$2:$AY$2&amp;LS_previous!$D$3:$AY$3, 0)),SUM(VLOOKUP($A31, LS_previous!$B$4:$AY$138, LS_previous!T$149, FALSE), VLOOKUP('Staging Table'!$A31, LS_previous!$B$4:$AY$138,LS_previous!AR$149, FALSE))/2)</f>
        <v>-14179.927092097496</v>
      </c>
      <c r="AC31" s="180">
        <f t="array" ref="AC31">IF($G31=0, INDEX(LS_previous!$D$4:$AY$138, MATCH('Staging Table'!$A31, LS_previous!$B$4:$B$138, 0), MATCH(AC$4&amp;AC$5, LS_previous!$D$2:$AY$2&amp;LS_previous!$D$3:$AY$3, 0)),SUM(VLOOKUP($A31, LS_previous!$B$4:$AY$138, LS_previous!U$149, FALSE), VLOOKUP('Staging Table'!$A31, LS_previous!$B$4:$AY$138,LS_previous!AS$149, FALSE))/2)</f>
        <v>448.99146391655086</v>
      </c>
      <c r="AD31" s="180">
        <f t="array" ref="AD31">IF($G31=0, INDEX(LS_previous!$D$4:$AY$138, MATCH('Staging Table'!$A31, LS_previous!$B$4:$B$138, 0), MATCH(AD$4&amp;AD$5, LS_previous!$D$2:$AY$2&amp;LS_previous!$D$3:$AY$3, 0)),SUM(VLOOKUP($A31, LS_previous!$B$4:$AY$138, LS_previous!V$149, FALSE), VLOOKUP('Staging Table'!$A31, LS_previous!$B$4:$AY$138,LS_previous!AT$149, FALSE))/2)</f>
        <v>-6640.8542473205089</v>
      </c>
      <c r="AE31" s="180">
        <f t="array" ref="AE31">IF($G31=0, INDEX(LS_previous!$D$4:$AY$138, MATCH('Staging Table'!$A31, LS_previous!$B$4:$B$138, 0), MATCH(AE$4&amp;AE$5, LS_previous!$D$2:$AY$2&amp;LS_previous!$D$3:$AY$3, 0)),SUM(VLOOKUP($A31, LS_previous!$B$4:$AY$138, LS_previous!W$149, FALSE), VLOOKUP('Staging Table'!$A31, LS_previous!$B$4:$AY$138,LS_previous!AU$149, FALSE))/2)</f>
        <v>-1106.1260192155205</v>
      </c>
      <c r="AF31" s="180">
        <f t="array" ref="AF31">IF($G31=0, INDEX(LS_previous!$D$4:$AY$138, MATCH('Staging Table'!$A31, LS_previous!$B$4:$B$138, 0), MATCH(AF$4&amp;AF$5, LS_previous!$D$2:$AY$2&amp;LS_previous!$D$3:$AY$3, 0)),SUM(VLOOKUP($A31, LS_previous!$B$4:$AY$138, LS_previous!X$149, FALSE), VLOOKUP('Staging Table'!$A31, LS_previous!$B$4:$AY$138,LS_previous!AV$149, FALSE))/2)</f>
        <v>-3678.3359941257222</v>
      </c>
      <c r="AG31" s="180">
        <f t="array" ref="AG31">IF($G31=0, INDEX(LS_previous!$D$4:$AY$138, MATCH('Staging Table'!$A31, LS_previous!$B$4:$B$138, 0), MATCH(AG$4&amp;AG$5, LS_previous!$D$2:$AY$2&amp;LS_previous!$D$3:$AY$3, 0)),SUM(VLOOKUP($A31, LS_previous!$B$4:$AY$138, LS_previous!Y$149, FALSE), VLOOKUP('Staging Table'!$A31, LS_previous!$B$4:$AY$138,LS_previous!AW$149, FALSE))/2)</f>
        <v>286.97285433960496</v>
      </c>
      <c r="AH31" s="180">
        <f t="array" ref="AH31">IF($G31=0, INDEX(LS_previous!$D$4:$AY$138, MATCH('Staging Table'!$A31, LS_previous!$B$4:$B$138, 0), MATCH(AH$4&amp;AH$5, LS_previous!$D$2:$AY$2&amp;LS_previous!$D$3:$AY$3, 0)),SUM(VLOOKUP($A31, LS_previous!$B$4:$AY$138, LS_previous!Z$149, FALSE), VLOOKUP('Staging Table'!$A31, LS_previous!$B$4:$AY$138,LS_previous!AX$149, FALSE))/2)</f>
        <v>-2697.4127260264213</v>
      </c>
      <c r="AI31" s="180">
        <f t="array" ref="AI31">IF($G31=0, INDEX(LS_previous!$D$4:$AY$138, MATCH('Staging Table'!$A31, LS_previous!$B$4:$B$138, 0), MATCH(AI$4&amp;AI$5, LS_previous!$D$2:$AY$2&amp;LS_previous!$D$3:$AY$3, 0)),SUM(VLOOKUP($A31, LS_previous!$B$4:$AY$138, LS_previous!AA$149, FALSE), VLOOKUP('Staging Table'!$A31, LS_previous!$B$4:$AY$138,LS_previous!AY$149, FALSE))/2)</f>
        <v>496.63955264396282</v>
      </c>
      <c r="AJ31" s="298">
        <f t="array" ref="AJ31">INDEX(Demand_previous!$D$4:$AY$138, MATCH('Staging Table'!$A31, Demand_previous!$B$4:$B$138, 0), MATCH(AJ$4&amp;AJ$5,Demand_previous!$D$2:$AY$2&amp;Demand_previous!$D$3:$AY$3, 0))/1000</f>
        <v>19.481846153846135</v>
      </c>
      <c r="AK31" s="298">
        <f t="array" ref="AK31">INDEX(Demand_previous!$D$4:$AY$138, MATCH('Staging Table'!$A31, Demand_previous!$B$4:$B$138, 0), MATCH(AK$4&amp;AK$5,Demand_previous!$D$2:$AY$2&amp;Demand_previous!$D$3:$AY$3, 0))/1000</f>
        <v>29.683362500000001</v>
      </c>
      <c r="AL31" s="298">
        <f t="array" ref="AL31">INDEX(Demand_previous!$D$4:$AY$138, MATCH('Staging Table'!$A31, Demand_previous!$B$4:$B$138, 0), MATCH(AL$4&amp;AL$5,Demand_previous!$D$2:$AY$2&amp;Demand_previous!$D$3:$AY$3, 0))/1000</f>
        <v>24.422288461538479</v>
      </c>
      <c r="AM31" s="298">
        <f t="array" ref="AM31">INDEX(Demand_previous!$D$4:$AY$138, MATCH('Staging Table'!$A31, Demand_previous!$B$4:$B$138, 0), MATCH(AM$4&amp;AM$5,Demand_previous!$D$2:$AY$2&amp;Demand_previous!$D$3:$AY$3, 0))/1000</f>
        <v>14.057765000000003</v>
      </c>
      <c r="AN31" s="298">
        <f t="array" ref="AN31">INDEX(Demand_previous!$D$4:$AY$138, MATCH('Staging Table'!$A31, Demand_previous!$B$4:$B$138, 0), MATCH(AN$4&amp;AN$5,Demand_previous!$D$2:$AY$2&amp;Demand_previous!$D$3:$AY$3, 0))/1000</f>
        <v>3.0093203125000016</v>
      </c>
      <c r="AO31" s="298">
        <f t="array" ref="AO31">INDEX(Demand_previous!$D$4:$AY$138, MATCH('Staging Table'!$A31, Demand_previous!$B$4:$B$138, 0), MATCH(AO$4&amp;AO$5,Demand_previous!$D$2:$AY$2&amp;Demand_previous!$D$3:$AY$3, 0))/1000</f>
        <v>27.136733796296298</v>
      </c>
      <c r="AP31" s="298">
        <f t="array" ref="AP31">INDEX(Demand_previous!$D$4:$AY$138, MATCH('Staging Table'!$A31, Demand_previous!$B$4:$B$138, 0), MATCH(AP$4&amp;AP$5,Demand_previous!$D$2:$AY$2&amp;Demand_previous!$D$3:$AY$3, 0))/1000</f>
        <v>21.789249999999996</v>
      </c>
      <c r="AQ31" s="298">
        <f t="array" ref="AQ31">INDEX(Demand_previous!$D$4:$AY$138, MATCH('Staging Table'!$A31, Demand_previous!$B$4:$B$138, 0), MATCH(AQ$4&amp;AQ$5,Demand_previous!$D$2:$AY$2&amp;Demand_previous!$D$3:$AY$3, 0))/1000</f>
        <v>19.229192500000003</v>
      </c>
      <c r="AR31" s="298">
        <f t="array" ref="AR31">INDEX(Demand_previous!$D$4:$AY$138, MATCH('Staging Table'!$A31, Demand_previous!$B$4:$B$138, 0), MATCH(AR$4&amp;AR$5,Demand_previous!$D$2:$AY$2&amp;Demand_previous!$D$3:$AY$3, 0))/1000</f>
        <v>33.205879807692305</v>
      </c>
      <c r="AS31" s="298">
        <f t="array" ref="AS31">INDEX(Demand_previous!$D$4:$AY$138, MATCH('Staging Table'!$A31, Demand_previous!$B$4:$B$138, 0), MATCH(AS$4&amp;AS$5,Demand_previous!$D$2:$AY$2&amp;Demand_previous!$D$3:$AY$3, 0))/1000</f>
        <v>21.215477499999992</v>
      </c>
      <c r="AT31" s="298">
        <f t="array" ref="AT31">INDEX(Demand_previous!$D$4:$AY$138, MATCH('Staging Table'!$A31, Demand_previous!$B$4:$B$138, 0), MATCH(AT$4&amp;AT$5,Demand_previous!$D$2:$AY$2&amp;Demand_previous!$D$3:$AY$3, 0))/1000</f>
        <v>24.52183101851854</v>
      </c>
      <c r="AU31" s="298">
        <f t="array" ref="AU31">INDEX(Demand_previous!$D$4:$AY$138, MATCH('Staging Table'!$A31, Demand_previous!$B$4:$B$138, 0), MATCH(AU$4&amp;AU$5,Demand_previous!$D$2:$AY$2&amp;Demand_previous!$D$3:$AY$3, 0))/1000</f>
        <v>18.334525000000014</v>
      </c>
      <c r="AV31" s="180">
        <f>$F31*(VLOOKUP(AV$4, Rates_previous!$G$6:$Q$29, 10, FALSE)+VLOOKUP(AV$4, Rates_previous!$G$6:$Q$29, 11, FALSE))</f>
        <v>54895.737322529661</v>
      </c>
      <c r="AW31" s="180">
        <f>$F31*(VLOOKUP(AW$4, Rates_previous!$G$6:$Q$29, 10, FALSE)+VLOOKUP(AW$4, Rates_previous!$G$6:$Q$29, 11, FALSE))</f>
        <v>69499.995753730735</v>
      </c>
      <c r="AX31" s="180">
        <f>$F31*(VLOOKUP(AX$4, Rates_previous!$G$6:$Q$29, 10, FALSE)+VLOOKUP(AX$4, Rates_previous!$G$6:$Q$29, 11, FALSE))</f>
        <v>68026.610910253745</v>
      </c>
      <c r="AY31" s="180">
        <f>$F31*(VLOOKUP(AY$4, Rates_previous!$G$6:$Q$29, 10, FALSE)+VLOOKUP(AY$4, Rates_previous!$G$6:$Q$29, 11, FALSE))</f>
        <v>56187.087790995683</v>
      </c>
      <c r="AZ31" s="180">
        <f>$F31*(VLOOKUP(AZ$4, Rates_previous!$G$6:$Q$29, 10, FALSE)+VLOOKUP(AZ$4, Rates_previous!$G$6:$Q$29, 11, FALSE))</f>
        <v>48698.580445817177</v>
      </c>
      <c r="BA31" s="180">
        <f>$F31*(VLOOKUP(BA$4, Rates_previous!$G$6:$Q$29, 10, FALSE)+VLOOKUP(BA$4, Rates_previous!$G$6:$Q$29, 11, FALSE))</f>
        <v>58136.270897644026</v>
      </c>
      <c r="BB31" s="180">
        <f>$F31*(VLOOKUP(BB$4, Rates_previous!$G$6:$Q$29, 10, FALSE)+VLOOKUP(BB$4, Rates_previous!$G$6:$Q$29, 11, FALSE))</f>
        <v>45135.074734261652</v>
      </c>
      <c r="BC31" s="180">
        <f>$F31*(VLOOKUP(BC$4, Rates_previous!$G$6:$Q$29, 10, FALSE)+VLOOKUP(BC$4, Rates_previous!$G$6:$Q$29, 11, FALSE))</f>
        <v>62534.978192617949</v>
      </c>
      <c r="BD31" s="180">
        <f>$F31*(VLOOKUP(BD$4, Rates_previous!$G$6:$Q$29, 10, FALSE)+VLOOKUP(BD$4, Rates_previous!$G$6:$Q$29, 11, FALSE))</f>
        <v>66819.933628180937</v>
      </c>
      <c r="BE31" s="180">
        <f>$F31*(VLOOKUP(BE$4, Rates_previous!$G$6:$Q$29, 10, FALSE)+VLOOKUP(BE$4, Rates_previous!$G$6:$Q$29, 11, FALSE))</f>
        <v>63442.501266536026</v>
      </c>
      <c r="BF31" s="180">
        <f>$F31*(VLOOKUP(BF$4, Rates_previous!$G$6:$Q$29, 10, FALSE)+VLOOKUP(BF$4, Rates_previous!$G$6:$Q$29, 11, FALSE))</f>
        <v>61312.283139786115</v>
      </c>
      <c r="BG31" s="180">
        <f>$F31*(VLOOKUP(BG$4, Rates_previous!$G$6:$Q$29, 10, FALSE)+VLOOKUP(BG$4, Rates_previous!$G$6:$Q$29, 11, FALSE))</f>
        <v>56658.94117338246</v>
      </c>
      <c r="BH31" s="298">
        <f>IF($D31=0,IF(C31=0, MAX(BJ31 - (VLOOKUP($A31,TOCA_previous!$A$2:$AI$137,MATCH("RHWM 2022",TOCA_previous!$A$2:$AI$2,0),FALSE)*$F$2*TOCA_previous!C28),0),0), 0)</f>
        <v>0</v>
      </c>
      <c r="BI31" s="192">
        <f>MIN(VLOOKUP($A31,TOCA_previous!$A$2:$AI$137,MATCH("TRL - NLSL - Existing Resource "&amp;$F$1,TOCA_previous!$A$2:$AI$2,0),FALSE)*$F$2,(VLOOKUP($A31,TOCA_previous!$A$2:$AI$137,MATCH("RHWM 2022",TOCA_previous!$A$2:$AI$2,0),FALSE)*$F$2))</f>
        <v>711347.03999999992</v>
      </c>
      <c r="BJ31" s="402">
        <f>SUM(L31:AI31)+(F31*RT1SC!$C$3*$F$2)</f>
        <v>718292.11538852786</v>
      </c>
      <c r="BK31" s="401">
        <f>VLOOKUP($A31,TOCA_previous!$A$2:$AI$137,MATCH("Above RHWM Not Served with LS "&amp;$F$1,TOCA_previous!$A$2:$AI$2,0),FALSE)*$F$2</f>
        <v>0</v>
      </c>
      <c r="BL31" s="402">
        <f t="shared" si="8"/>
        <v>6945.075388527941</v>
      </c>
      <c r="BM31" s="401">
        <f>(VLOOKUP($A31,TOCA_previous!$A$2:$AI$137,MATCH("RHWM 2022",TOCA_previous!$A$2:$AI$2,0),FALSE)*$F$2) - $BI31</f>
        <v>25491.600000000093</v>
      </c>
      <c r="BN31" s="402">
        <f t="shared" si="9"/>
        <v>-6945.075388527941</v>
      </c>
      <c r="BO31" s="401">
        <f t="shared" si="10"/>
        <v>0</v>
      </c>
      <c r="BP31" s="402">
        <f t="shared" si="11"/>
        <v>0</v>
      </c>
      <c r="BQ31" s="401">
        <f t="shared" si="2"/>
        <v>-6945.075388527941</v>
      </c>
      <c r="BR31" s="108">
        <f>VLOOKUP($A31,TOCA_current!$A$2:$AI$137,MATCH(BR$4,TOCA_current!$A$2:$AI$2,0),FALSE)</f>
        <v>1.15771E-2</v>
      </c>
      <c r="BS31" s="108">
        <f>VLOOKUP($A31,TOCA_current!$A$2:$AI$137,MATCH(BS$4,TOCA_current!$A$2:$AI$2,0),FALSE)</f>
        <v>1.15771E-2</v>
      </c>
      <c r="BT31" s="189">
        <f t="shared" si="12"/>
        <v>0</v>
      </c>
      <c r="BU31" s="108">
        <f>VLOOKUP($A31,TOCA_current!A27:BG162,MATCH(BU$4,TOCA_current!$A$2:$BG$2,0),FALSE)</f>
        <v>0</v>
      </c>
      <c r="BV31" s="108">
        <f t="shared" si="3"/>
        <v>0</v>
      </c>
      <c r="BW31" s="108">
        <f t="shared" si="4"/>
        <v>0</v>
      </c>
      <c r="BX31" s="179">
        <f>VLOOKUP($A31,IRD!$A$4:$G$139, 7, FALSE)</f>
        <v>0</v>
      </c>
      <c r="BY31" s="180">
        <f t="array" ref="BY31">IF($BT31=0, INDEX(LS_current!$D$4:$AY$138, MATCH('Staging Table'!$A31, LS_current!$B$4:$B$138, 0), MATCH(BY$4&amp;BY$5, LS_current!$D$2:$AY$2&amp;LS_current!$D$3:$AY$3, 0)),SUM(VLOOKUP($A31, LS_current!$B$4:$AY$138, LS_current!D$148, FALSE), VLOOKUP($A31, LS_current!$B$4:$AY$138,LS_current!AB$148, FALSE))/2)</f>
        <v>8056.5801508244003</v>
      </c>
      <c r="BZ31" s="180">
        <f t="array" ref="BZ31">IF($BT31=0, INDEX(LS_current!$D$4:$AY$138, MATCH('Staging Table'!$A31, LS_current!$B$4:$B$138, 0), MATCH(BZ$4&amp;BZ$5, LS_current!$D$2:$AY$2&amp;LS_current!$D$3:$AY$3, 0)),SUM(VLOOKUP($A31, LS_current!$B$4:$AY$138, LS_current!E$148, FALSE), VLOOKUP($A31, LS_current!$B$4:$AY$138,LS_current!AC$148, FALSE))/2)</f>
        <v>3246.7718219139497</v>
      </c>
      <c r="CA31" s="180">
        <f t="array" ref="CA31">IF($BT31=0, INDEX(LS_current!$D$4:$AY$138, MATCH('Staging Table'!$A31, LS_current!$B$4:$B$138, 0), MATCH(CA$4&amp;CA$5, LS_current!$D$2:$AY$2&amp;LS_current!$D$3:$AY$3, 0)),SUM(VLOOKUP($A31, LS_current!$B$4:$AY$138, LS_current!F$148, FALSE), VLOOKUP($A31, LS_current!$B$4:$AY$138,LS_current!AD$148, FALSE))/2)</f>
        <v>-789.24124498879974</v>
      </c>
      <c r="CB31" s="180">
        <f t="array" ref="CB31">IF($BT31=0, INDEX(LS_current!$D$4:$AY$138, MATCH('Staging Table'!$A31, LS_current!$B$4:$B$138, 0), MATCH(CB$4&amp;CB$5, LS_current!$D$2:$AY$2&amp;LS_current!$D$3:$AY$3, 0)),SUM(VLOOKUP($A31, LS_current!$B$4:$AY$138, LS_current!G$148, FALSE), VLOOKUP($A31, LS_current!$B$4:$AY$138,LS_current!AE$148, FALSE))/2)</f>
        <v>-2336.6334989501011</v>
      </c>
      <c r="CC31" s="180">
        <f t="array" ref="CC31">IF($BT31=0, INDEX(LS_current!$D$4:$AY$138, MATCH('Staging Table'!$A31, LS_current!$B$4:$B$138, 0), MATCH(CC$4&amp;CC$5, LS_current!$D$2:$AY$2&amp;LS_current!$D$3:$AY$3, 0)),SUM(VLOOKUP($A31, LS_current!$B$4:$AY$138, LS_current!H$148, FALSE), VLOOKUP($A31, LS_current!$B$4:$AY$138,LS_current!AF$148, FALSE))/2)</f>
        <v>-76.03144897690072</v>
      </c>
      <c r="CD31" s="180">
        <f t="array" ref="CD31">IF($BT31=0, INDEX(LS_current!$D$4:$AY$138, MATCH('Staging Table'!$A31, LS_current!$B$4:$B$138, 0), MATCH(CD$4&amp;CD$5, LS_current!$D$2:$AY$2&amp;LS_current!$D$3:$AY$3, 0)),SUM(VLOOKUP($A31, LS_current!$B$4:$AY$138, LS_current!I$148, FALSE), VLOOKUP($A31, LS_current!$B$4:$AY$138,LS_current!AG$148, FALSE))/2)</f>
        <v>-3.5076179616007721</v>
      </c>
      <c r="CE31" s="180">
        <f t="array" ref="CE31">IF($BT31=0, INDEX(LS_current!$D$4:$AY$138, MATCH('Staging Table'!$A31, LS_current!$B$4:$B$138, 0), MATCH(CE$4&amp;CE$5, LS_current!$D$2:$AY$2&amp;LS_current!$D$3:$AY$3, 0)),SUM(VLOOKUP($A31, LS_current!$B$4:$AY$138, LS_current!J$148, FALSE), VLOOKUP($A31, LS_current!$B$4:$AY$138,LS_current!AH$148, FALSE))/2)</f>
        <v>1128.6174462734998</v>
      </c>
      <c r="CF31" s="180">
        <f t="array" ref="CF31">IF($BT31=0, INDEX(LS_current!$D$4:$AY$138, MATCH('Staging Table'!$A31, LS_current!$B$4:$B$138, 0), MATCH(CF$4&amp;CF$5, LS_current!$D$2:$AY$2&amp;LS_current!$D$3:$AY$3, 0)),SUM(VLOOKUP($A31, LS_current!$B$4:$AY$138, LS_current!K$148, FALSE), VLOOKUP($A31, LS_current!$B$4:$AY$138,LS_current!AI$148, FALSE))/2)</f>
        <v>282.32422446410055</v>
      </c>
      <c r="CG31" s="180">
        <f t="array" ref="CG31">IF($BT31=0, INDEX(LS_current!$D$4:$AY$138, MATCH('Staging Table'!$A31, LS_current!$B$4:$B$138, 0), MATCH(CG$4&amp;CG$5, LS_current!$D$2:$AY$2&amp;LS_current!$D$3:$AY$3, 0)),SUM(VLOOKUP($A31, LS_current!$B$4:$AY$138, LS_current!L$148, FALSE), VLOOKUP($A31, LS_current!$B$4:$AY$138,LS_current!AJ$148, FALSE))/2)</f>
        <v>1570.9187092291031</v>
      </c>
      <c r="CH31" s="180">
        <f t="array" ref="CH31">IF($BT31=0, INDEX(LS_current!$D$4:$AY$138, MATCH('Staging Table'!$A31, LS_current!$B$4:$B$138, 0), MATCH(CH$4&amp;CH$5, LS_current!$D$2:$AY$2&amp;LS_current!$D$3:$AY$3, 0)),SUM(VLOOKUP($A31, LS_current!$B$4:$AY$138, LS_current!M$148, FALSE), VLOOKUP($A31, LS_current!$B$4:$AY$138,LS_current!AK$148, FALSE))/2)</f>
        <v>1186.9360304611</v>
      </c>
      <c r="CI31" s="180">
        <f t="array" ref="CI31">IF($BT31=0, INDEX(LS_current!$D$4:$AY$138, MATCH('Staging Table'!$A31, LS_current!$B$4:$B$138, 0), MATCH(CI$4&amp;CI$5, LS_current!$D$2:$AY$2&amp;LS_current!$D$3:$AY$3, 0)),SUM(VLOOKUP($A31, LS_current!$B$4:$AY$138, LS_current!N$148, FALSE), VLOOKUP($A31, LS_current!$B$4:$AY$138,LS_current!AL$148, FALSE))/2)</f>
        <v>67.816436887704185</v>
      </c>
      <c r="CJ31" s="180">
        <f t="array" ref="CJ31">IF($BT31=0, INDEX(LS_current!$D$4:$AY$138, MATCH('Staging Table'!$A31, LS_current!$B$4:$B$138, 0), MATCH(CJ$4&amp;CJ$5, LS_current!$D$2:$AY$2&amp;LS_current!$D$3:$AY$3, 0)),SUM(VLOOKUP($A31, LS_current!$B$4:$AY$138, LS_current!O$148, FALSE), VLOOKUP($A31, LS_current!$B$4:$AY$138,LS_current!AM$148, FALSE))/2)</f>
        <v>-1191.0075660838011</v>
      </c>
      <c r="CK31" s="180">
        <f t="array" ref="CK31">IF($BT31=0, INDEX(LS_current!$D$4:$AY$138, MATCH('Staging Table'!$A31, LS_current!$B$4:$B$138, 0), MATCH(CK$4&amp;CK$5, LS_current!$D$2:$AY$2&amp;LS_current!$D$3:$AY$3, 0)),SUM(VLOOKUP($A31, LS_current!$B$4:$AY$138, LS_current!P$148, FALSE), VLOOKUP($A31, LS_current!$B$4:$AY$138,LS_current!AN$148, FALSE))/2)</f>
        <v>5441.5889191047499</v>
      </c>
      <c r="CL31" s="180">
        <f t="array" ref="CL31">IF($BT31=0, INDEX(LS_current!$D$4:$AY$138, MATCH('Staging Table'!$A31, LS_current!$B$4:$B$138, 0), MATCH(CL$4&amp;CL$5, LS_current!$D$2:$AY$2&amp;LS_current!$D$3:$AY$3, 0)),SUM(VLOOKUP($A31, LS_current!$B$4:$AY$138, LS_current!Q$148, FALSE), VLOOKUP($A31, LS_current!$B$4:$AY$138,LS_current!AO$148, FALSE))/2)</f>
        <v>431.65473197407846</v>
      </c>
      <c r="CM31" s="180">
        <f t="array" ref="CM31">IF($BT31=0, INDEX(LS_current!$D$4:$AY$138, MATCH('Staging Table'!$A31, LS_current!$B$4:$B$138, 0), MATCH(CM$4&amp;CM$5, LS_current!$D$2:$AY$2&amp;LS_current!$D$3:$AY$3, 0)),SUM(VLOOKUP($A31, LS_current!$B$4:$AY$138, LS_current!R$148, FALSE), VLOOKUP($A31, LS_current!$B$4:$AY$138,LS_current!AP$148, FALSE))/2)</f>
        <v>-4434.3378309808031</v>
      </c>
      <c r="CN31" s="180">
        <f t="array" ref="CN31">IF($BT31=0, INDEX(LS_current!$D$4:$AY$138, MATCH('Staging Table'!$A31, LS_current!$B$4:$B$138, 0), MATCH(CN$4&amp;CN$5, LS_current!$D$2:$AY$2&amp;LS_current!$D$3:$AY$3, 0)),SUM(VLOOKUP($A31, LS_current!$B$4:$AY$138, LS_current!S$148, FALSE), VLOOKUP($A31, LS_current!$B$4:$AY$138,LS_current!AQ$148, FALSE))/2)</f>
        <v>-5364.7213548703476</v>
      </c>
      <c r="CO31" s="180">
        <f t="array" ref="CO31">IF($BT31=0, INDEX(LS_current!$D$4:$AY$138, MATCH('Staging Table'!$A31, LS_current!$B$4:$B$138, 0), MATCH(CO$4&amp;CO$5, LS_current!$D$2:$AY$2&amp;LS_current!$D$3:$AY$3, 0)),SUM(VLOOKUP($A31, LS_current!$B$4:$AY$138, LS_current!T$148, FALSE), VLOOKUP($A31, LS_current!$B$4:$AY$138,LS_current!AR$148, FALSE))/2)</f>
        <v>-7743.469760094602</v>
      </c>
      <c r="CP31" s="180">
        <f t="array" ref="CP31">IF($BT31=0, INDEX(LS_current!$D$4:$AY$138, MATCH('Staging Table'!$A31, LS_current!$B$4:$B$138, 0), MATCH(CP$4&amp;CP$5, LS_current!$D$2:$AY$2&amp;LS_current!$D$3:$AY$3, 0)),SUM(VLOOKUP($A31, LS_current!$B$4:$AY$138, LS_current!U$148, FALSE), VLOOKUP($A31, LS_current!$B$4:$AY$138,LS_current!AS$148, FALSE))/2)</f>
        <v>-4801.3882334519476</v>
      </c>
      <c r="CQ31" s="180">
        <f t="array" ref="CQ31">IF($BT31=0, INDEX(LS_current!$D$4:$AY$138, MATCH('Staging Table'!$A31, LS_current!$B$4:$B$138, 0), MATCH(CQ$4&amp;CQ$5, LS_current!$D$2:$AY$2&amp;LS_current!$D$3:$AY$3, 0)),SUM(VLOOKUP($A31, LS_current!$B$4:$AY$138, LS_current!V$148, FALSE), VLOOKUP($A31, LS_current!$B$4:$AY$138,LS_current!AT$148, FALSE))/2)</f>
        <v>107.27556499559432</v>
      </c>
      <c r="CR31" s="180">
        <f t="array" ref="CR31">IF($BT31=0, INDEX(LS_current!$D$4:$AY$138, MATCH('Staging Table'!$A31, LS_current!$B$4:$B$138, 0), MATCH(CR$4&amp;CR$5, LS_current!$D$2:$AY$2&amp;LS_current!$D$3:$AY$3, 0)),SUM(VLOOKUP($A31, LS_current!$B$4:$AY$138, LS_current!W$148, FALSE), VLOOKUP($A31, LS_current!$B$4:$AY$138,LS_current!AU$148, FALSE))/2)</f>
        <v>-1391.3973308302484</v>
      </c>
      <c r="CS31" s="180">
        <f t="array" ref="CS31">IF($BT31=0, INDEX(LS_current!$D$4:$AY$138, MATCH('Staging Table'!$A31, LS_current!$B$4:$B$138, 0), MATCH(CS$4&amp;CS$5, LS_current!$D$2:$AY$2&amp;LS_current!$D$3:$AY$3, 0)),SUM(VLOOKUP($A31, LS_current!$B$4:$AY$138, LS_current!X$148, FALSE), VLOOKUP($A31, LS_current!$B$4:$AY$138,LS_current!AV$148, FALSE))/2)</f>
        <v>2668.7458555273479</v>
      </c>
      <c r="CT31" s="180">
        <f t="array" ref="CT31">IF($BT31=0, INDEX(LS_current!$D$4:$AY$138, MATCH('Staging Table'!$A31, LS_current!$B$4:$B$138, 0), MATCH(CT$4&amp;CT$5, LS_current!$D$2:$AY$2&amp;LS_current!$D$3:$AY$3, 0)),SUM(VLOOKUP($A31, LS_current!$B$4:$AY$138, LS_current!Y$148, FALSE), VLOOKUP($A31, LS_current!$B$4:$AY$138,LS_current!AW$148, FALSE))/2)</f>
        <v>168.00527576856621</v>
      </c>
      <c r="CU31" s="180">
        <f t="array" ref="CU31">IF($BT31=0, INDEX(LS_current!$D$4:$AY$138, MATCH('Staging Table'!$A31, LS_current!$B$4:$B$138, 0), MATCH(CU$4&amp;CU$5, LS_current!$D$2:$AY$2&amp;LS_current!$D$3:$AY$3, 0)),SUM(VLOOKUP($A31, LS_current!$B$4:$AY$138, LS_current!Z$148, FALSE), VLOOKUP($A31, LS_current!$B$4:$AY$138,LS_current!AX$148, FALSE))/2)</f>
        <v>3189.1881080745952</v>
      </c>
      <c r="CV31" s="180">
        <f t="array" ref="CV31">IF($BT31=0, INDEX(LS_current!$D$4:$AY$138, MATCH('Staging Table'!$A31, LS_current!$B$4:$B$138, 0), MATCH(CV$4&amp;CV$5, LS_current!$D$2:$AY$2&amp;LS_current!$D$3:$AY$3, 0)),SUM(VLOOKUP($A31, LS_current!$B$4:$AY$138, LS_current!AA$148, FALSE), VLOOKUP($A31, LS_current!$B$4:$AY$138,LS_current!AY$148, FALSE))/2)</f>
        <v>580.87754608159958</v>
      </c>
      <c r="CW31" s="182">
        <f t="array" ref="CW31">INDEX(Demand_current!$D$4:$AY$138, MATCH($A31, Demand_current!$B$4:$B$138, 0), MATCH(CW$4&amp;CW$5,Demand_current!$D$2:$AY$2&amp;Demand_current!$D$3:$AY$3, 0))/1000</f>
        <v>19.481846153846135</v>
      </c>
      <c r="CX31" s="182">
        <f t="array" ref="CX31">INDEX(Demand_current!$D$4:$AY$138, MATCH($A31, Demand_current!$B$4:$B$138, 0), MATCH(CX$4&amp;CX$5,Demand_current!$D$2:$AY$2&amp;Demand_current!$D$3:$AY$3, 0))/1000</f>
        <v>29.683362500000001</v>
      </c>
      <c r="CY31" s="182">
        <f t="array" ref="CY31">INDEX(Demand_current!$D$4:$AY$138, MATCH($A31, Demand_current!$B$4:$B$138, 0), MATCH(CY$4&amp;CY$5,Demand_current!$D$2:$AY$2&amp;Demand_current!$D$3:$AY$3, 0))/1000</f>
        <v>20.363540000000022</v>
      </c>
      <c r="CZ31" s="182">
        <f t="array" ref="CZ31">INDEX(Demand_current!$D$4:$AY$138, MATCH($A31, Demand_current!$B$4:$B$138, 0), MATCH(CZ$4&amp;CZ$5,Demand_current!$D$2:$AY$2&amp;Demand_current!$D$3:$AY$3, 0))/1000</f>
        <v>18.451427884615384</v>
      </c>
      <c r="DA31" s="182">
        <f t="array" ref="DA31">INDEX(Demand_current!$D$4:$AY$138, MATCH($A31, Demand_current!$B$4:$B$138, 0), MATCH(DA$4&amp;DA$5,Demand_current!$D$2:$AY$2&amp;Demand_current!$D$3:$AY$3, 0))/1000</f>
        <v>7.2567474999999959</v>
      </c>
      <c r="DB31" s="182">
        <f t="array" ref="DB31">INDEX(Demand_current!$D$4:$AY$138, MATCH($A31, Demand_current!$B$4:$B$138, 0), MATCH(DB$4&amp;DB$5,Demand_current!$D$2:$AY$2&amp;Demand_current!$D$3:$AY$3, 0))/1000</f>
        <v>23.504800480769234</v>
      </c>
      <c r="DC31" s="182">
        <f t="array" ref="DC31">INDEX(Demand_current!$D$4:$AY$138, MATCH($A31, Demand_current!$B$4:$B$138, 0), MATCH(DC$4&amp;DC$5,Demand_current!$D$2:$AY$2&amp;Demand_current!$D$3:$AY$3, 0))/1000</f>
        <v>21.789249999999996</v>
      </c>
      <c r="DD31" s="182">
        <f t="array" ref="DD31">INDEX(Demand_current!$D$4:$AY$138, MATCH($A31, Demand_current!$B$4:$B$138, 0), MATCH(DD$4&amp;DD$5,Demand_current!$D$2:$AY$2&amp;Demand_current!$D$3:$AY$3, 0))/1000</f>
        <v>22.661069711538467</v>
      </c>
      <c r="DE31" s="182">
        <f t="array" ref="DE31">INDEX(Demand_current!$D$4:$AY$138, MATCH($A31, Demand_current!$B$4:$B$138, 0), MATCH(DE$4&amp;DE$5,Demand_current!$D$2:$AY$2&amp;Demand_current!$D$3:$AY$3, 0))/1000</f>
        <v>29.843754999999994</v>
      </c>
      <c r="DF31" s="182">
        <f t="array" ref="DF31">INDEX(Demand_current!$D$4:$AY$138, MATCH($A31, Demand_current!$B$4:$B$138, 0), MATCH(DF$4&amp;DF$5,Demand_current!$D$2:$AY$2&amp;Demand_current!$D$3:$AY$3, 0))/1000</f>
        <v>24.761112980769227</v>
      </c>
      <c r="DG31" s="182">
        <f t="array" ref="DG31">INDEX(Demand_current!$D$4:$AY$138, MATCH($A31, Demand_current!$B$4:$B$138, 0), MATCH(DG$4&amp;DG$5,Demand_current!$D$2:$AY$2&amp;Demand_current!$D$3:$AY$3, 0))/1000</f>
        <v>24.52183101851854</v>
      </c>
      <c r="DH31" s="182">
        <f t="array" ref="DH31">INDEX(Demand_current!$D$4:$AY$138, MATCH($A31, Demand_current!$B$4:$B$138, 0), MATCH(DH$4&amp;DH$5,Demand_current!$D$2:$AY$2&amp;Demand_current!$D$3:$AY$3, 0))/1000</f>
        <v>14.756130208333346</v>
      </c>
      <c r="DI31" s="180">
        <f>$BS31*(VLOOKUP(DI$4, Rates_current!$G$6:$Q$29, 10, FALSE)+VLOOKUP(DI$4, Rates_current!$G$6:$Q$29, 11, FALSE))</f>
        <v>48841.513027261652</v>
      </c>
      <c r="DJ31" s="180">
        <f>$BS31*(VLOOKUP(DJ$4, Rates_current!$G$6:$Q$29, 10, FALSE)+VLOOKUP(DJ$4, Rates_current!$G$6:$Q$29, 11, FALSE))</f>
        <v>62289.034743938908</v>
      </c>
      <c r="DK31" s="180">
        <f>$BS31*(VLOOKUP(DK$4, Rates_current!$G$6:$Q$29, 10, FALSE)+VLOOKUP(DK$4, Rates_current!$G$6:$Q$29, 11, FALSE))</f>
        <v>67222.193066938504</v>
      </c>
      <c r="DL31" s="180">
        <f>$BS31*(VLOOKUP(DL$4, Rates_current!$G$6:$Q$29, 10, FALSE)+VLOOKUP(DL$4, Rates_current!$G$6:$Q$29, 11, FALSE))</f>
        <v>69854.250329262402</v>
      </c>
      <c r="DM31" s="180">
        <f>$BS31*(VLOOKUP(DM$4, Rates_current!$G$6:$Q$29, 10, FALSE)+VLOOKUP(DM$4, Rates_current!$G$6:$Q$29, 11, FALSE))</f>
        <v>60083.966260309797</v>
      </c>
      <c r="DN31" s="180">
        <f>$BS31*(VLOOKUP(DN$4, Rates_current!$G$6:$Q$29, 10, FALSE)+VLOOKUP(DN$4, Rates_current!$G$6:$Q$29, 11, FALSE))</f>
        <v>65599.795129196093</v>
      </c>
      <c r="DO31" s="180">
        <f>$BS31*(VLOOKUP(DO$4, Rates_current!$G$6:$Q$29, 10, FALSE)+VLOOKUP(DO$4, Rates_current!$G$6:$Q$29, 11, FALSE))</f>
        <v>51779.983348921167</v>
      </c>
      <c r="DP31" s="180">
        <f>$BS31*(VLOOKUP(DP$4, Rates_current!$G$6:$Q$29, 10, FALSE)+VLOOKUP(DP$4, Rates_current!$G$6:$Q$29, 11, FALSE))</f>
        <v>64240.008185851148</v>
      </c>
      <c r="DQ31" s="180">
        <f>$BS31*(VLOOKUP(DQ$4, Rates_current!$G$6:$Q$29, 10, FALSE)+VLOOKUP(DQ$4, Rates_current!$G$6:$Q$29, 11, FALSE))</f>
        <v>65633.855993546546</v>
      </c>
      <c r="DR31" s="180">
        <f>$BS31*(VLOOKUP(DR$4, Rates_current!$G$6:$Q$29, 10, FALSE)+VLOOKUP(DR$4, Rates_current!$G$6:$Q$29, 11, FALSE))</f>
        <v>56979.642765834651</v>
      </c>
      <c r="DS31" s="180">
        <f>$BS31*(VLOOKUP(DS$4, Rates_current!$G$6:$Q$29, 10, FALSE)+VLOOKUP(DS$4, Rates_current!$G$6:$Q$29, 11, FALSE))</f>
        <v>55084.168868704088</v>
      </c>
      <c r="DT31" s="180">
        <f>$BS31*(VLOOKUP(DT$4, Rates_current!$G$6:$Q$29, 10, FALSE)+VLOOKUP(DT$4, Rates_current!$G$6:$Q$29, 11, FALSE))</f>
        <v>50688.102345843807</v>
      </c>
      <c r="DU31" s="402">
        <f>IF(D31=0,IF(C31=0,MAX(0,DW31 - (VLOOKUP($A31,TOCA_current!$A$2:$AI$137,MATCH("RHWM 2024",TOCA_current!$A$2:$AI$2,0),FALSE)*$BS$2)), 0),0)</f>
        <v>0</v>
      </c>
      <c r="DV31" s="403">
        <f>MIN(VLOOKUP($A31,TOCA_current!$A$2:$AI$137,MATCH("TRL - NLSL - Existing Resource "&amp;$BS$1,TOCA_current!$A$2:$AI$2,0),FALSE)*$BS$2, VLOOKUP($A31,TOCA_current!$A$2:$AI$137,MATCH("RHWM 2024",TOCA_current!$A$2:$AI$2,0),FALSE)*$BS$2)</f>
        <v>718294.03200000001</v>
      </c>
      <c r="DW31" s="403">
        <f>SUM(BY31:CV31)+(BS31*RT1SC!$C$4*$BS$2)</f>
        <v>718292.08229252719</v>
      </c>
      <c r="DX31" s="403">
        <f>VLOOKUP($A31,TOCA_current!$A$2:$AI$137,MATCH("Above RHWM Not Served with LS "&amp;$BS$1,TOCA_current!$A$2:$AI$2,0),FALSE)*$BS$2</f>
        <v>0</v>
      </c>
      <c r="DY31" s="403">
        <f t="shared" si="13"/>
        <v>-1.9497074728133157</v>
      </c>
      <c r="DZ31" s="403">
        <f>(VLOOKUP($A31,TOCA_current!$A$2:$AI$137,MATCH("RHWM 2024",TOCA_current!$A$2:$AI$2,0),FALSE)*$BS$2) - $DV31</f>
        <v>56270.304000000004</v>
      </c>
      <c r="EA31" s="403">
        <f t="shared" si="14"/>
        <v>0</v>
      </c>
      <c r="EB31" s="403">
        <f t="shared" si="15"/>
        <v>1.9497074728133157</v>
      </c>
      <c r="EC31" s="403">
        <f t="shared" si="16"/>
        <v>0</v>
      </c>
      <c r="ED31" s="403">
        <f t="shared" si="17"/>
        <v>1.9497074728133157</v>
      </c>
    </row>
    <row r="32" spans="1:134">
      <c r="A32" s="123">
        <v>10080</v>
      </c>
      <c r="B32" s="124" t="s">
        <v>33</v>
      </c>
      <c r="C32" s="232">
        <f>VLOOKUP(A32, TOCA_current!$A$3:$D$137, 4, FALSE)</f>
        <v>0</v>
      </c>
      <c r="D32" s="191">
        <v>0</v>
      </c>
      <c r="E32" s="107">
        <f>VLOOKUP($A32,TOCA_previous!$A$2:$AI$137,MATCH(E$4,TOCA_previous!$A$2:$AI$2,0),FALSE)</f>
        <v>1.0184E-3</v>
      </c>
      <c r="F32" s="108">
        <f>VLOOKUP($A32,TOCA_previous!$A$2:$AI$137,MATCH(F$4,TOCA_previous!$A$2:$AI$2,0),FALSE)</f>
        <v>1.0184E-3</v>
      </c>
      <c r="G32" s="108">
        <f t="shared" si="5"/>
        <v>0</v>
      </c>
      <c r="H32" s="108">
        <f>VLOOKUP($A32,TOCA_previous!$A$2:$AI$137,MATCH(H$4,TOCA_previous!$A$2:$AI$2,0),FALSE)</f>
        <v>0</v>
      </c>
      <c r="I32" s="108">
        <f t="shared" si="6"/>
        <v>0</v>
      </c>
      <c r="J32" s="108">
        <f t="shared" si="7"/>
        <v>0</v>
      </c>
      <c r="K32" s="179">
        <f>VLOOKUP(A32, IRD!$A$5:$C$139, 3, FALSE)</f>
        <v>0</v>
      </c>
      <c r="L32" s="180">
        <f t="array" ref="L32">IF($G32=0, INDEX(LS_previous!$D$4:$AY$138, MATCH('Staging Table'!$A32, LS_previous!$B$4:$B$138, 0), MATCH(L$4&amp;L$5, LS_previous!$D$2:$AY$2&amp;LS_previous!$D$3:$AY$3, 0)),SUM(VLOOKUP($A32, LS_previous!$B$4:$AY$138, LS_previous!D$149, FALSE), VLOOKUP('Staging Table'!$A32, LS_previous!$B$4:$AY$138,LS_previous!AB$149, FALSE))/2)</f>
        <v>-14.850805402953029</v>
      </c>
      <c r="M32" s="180">
        <f t="array" ref="M32">IF($G32=0, INDEX(LS_previous!$D$4:$AY$138, MATCH('Staging Table'!$A32, LS_previous!$B$4:$B$138, 0), MATCH(M$4&amp;M$5, LS_previous!$D$2:$AY$2&amp;LS_previous!$D$3:$AY$3, 0)),SUM(VLOOKUP($A32, LS_previous!$B$4:$AY$138, LS_previous!E$149, FALSE), VLOOKUP('Staging Table'!$A32, LS_previous!$B$4:$AY$138,LS_previous!AC$149, FALSE))/2)</f>
        <v>210.08717529791375</v>
      </c>
      <c r="N32" s="180">
        <f t="array" ref="N32">IF($G32=0, INDEX(LS_previous!$D$4:$AY$138, MATCH('Staging Table'!$A32, LS_previous!$B$4:$B$138, 0), MATCH(N$4&amp;N$5, LS_previous!$D$2:$AY$2&amp;LS_previous!$D$3:$AY$3, 0)),SUM(VLOOKUP($A32, LS_previous!$B$4:$AY$138, LS_previous!F$149, FALSE), VLOOKUP('Staging Table'!$A32, LS_previous!$B$4:$AY$138,LS_previous!AD$149, FALSE))/2)</f>
        <v>-248.80236169372165</v>
      </c>
      <c r="O32" s="180">
        <f t="array" ref="O32">IF($G32=0, INDEX(LS_previous!$D$4:$AY$138, MATCH('Staging Table'!$A32, LS_previous!$B$4:$B$138, 0), MATCH(O$4&amp;O$5, LS_previous!$D$2:$AY$2&amp;LS_previous!$D$3:$AY$3, 0)),SUM(VLOOKUP($A32, LS_previous!$B$4:$AY$138, LS_previous!G$149, FALSE), VLOOKUP('Staging Table'!$A32, LS_previous!$B$4:$AY$138,LS_previous!AE$149, FALSE))/2)</f>
        <v>-52.870206338346634</v>
      </c>
      <c r="P32" s="180">
        <f t="array" ref="P32">IF($G32=0, INDEX(LS_previous!$D$4:$AY$138, MATCH('Staging Table'!$A32, LS_previous!$B$4:$B$138, 0), MATCH(P$4&amp;P$5, LS_previous!$D$2:$AY$2&amp;LS_previous!$D$3:$AY$3, 0)),SUM(VLOOKUP($A32, LS_previous!$B$4:$AY$138, LS_previous!H$149, FALSE), VLOOKUP('Staging Table'!$A32, LS_previous!$B$4:$AY$138,LS_previous!AF$149, FALSE))/2)</f>
        <v>388.25000598501538</v>
      </c>
      <c r="Q32" s="180">
        <f t="array" ref="Q32">IF($G32=0, INDEX(LS_previous!$D$4:$AY$138, MATCH('Staging Table'!$A32, LS_previous!$B$4:$B$138, 0), MATCH(Q$4&amp;Q$5, LS_previous!$D$2:$AY$2&amp;LS_previous!$D$3:$AY$3, 0)),SUM(VLOOKUP($A32, LS_previous!$B$4:$AY$138, LS_previous!I$149, FALSE), VLOOKUP('Staging Table'!$A32, LS_previous!$B$4:$AY$138,LS_previous!AG$149, FALSE))/2)</f>
        <v>149.20032557286231</v>
      </c>
      <c r="R32" s="180">
        <f t="array" ref="R32">IF($G32=0, INDEX(LS_previous!$D$4:$AY$138, MATCH('Staging Table'!$A32, LS_previous!$B$4:$B$138, 0), MATCH(R$4&amp;R$5, LS_previous!$D$2:$AY$2&amp;LS_previous!$D$3:$AY$3, 0)),SUM(VLOOKUP($A32, LS_previous!$B$4:$AY$138, LS_previous!J$149, FALSE), VLOOKUP('Staging Table'!$A32, LS_previous!$B$4:$AY$138,LS_previous!AH$149, FALSE))/2)</f>
        <v>1191.7442078537738</v>
      </c>
      <c r="S32" s="180">
        <f t="array" ref="S32">IF($G32=0, INDEX(LS_previous!$D$4:$AY$138, MATCH('Staging Table'!$A32, LS_previous!$B$4:$B$138, 0), MATCH(S$4&amp;S$5, LS_previous!$D$2:$AY$2&amp;LS_previous!$D$3:$AY$3, 0)),SUM(VLOOKUP($A32, LS_previous!$B$4:$AY$138, LS_previous!K$149, FALSE), VLOOKUP('Staging Table'!$A32, LS_previous!$B$4:$AY$138,LS_previous!AI$149, FALSE))/2)</f>
        <v>512.51994009389705</v>
      </c>
      <c r="T32" s="180">
        <f t="array" ref="T32">IF($G32=0, INDEX(LS_previous!$D$4:$AY$138, MATCH('Staging Table'!$A32, LS_previous!$B$4:$B$138, 0), MATCH(T$4&amp;T$5, LS_previous!$D$2:$AY$2&amp;LS_previous!$D$3:$AY$3, 0)),SUM(VLOOKUP($A32, LS_previous!$B$4:$AY$138, LS_previous!L$149, FALSE), VLOOKUP('Staging Table'!$A32, LS_previous!$B$4:$AY$138,LS_previous!AJ$149, FALSE))/2)</f>
        <v>1103.6487800984014</v>
      </c>
      <c r="U32" s="180">
        <f t="array" ref="U32">IF($G32=0, INDEX(LS_previous!$D$4:$AY$138, MATCH('Staging Table'!$A32, LS_previous!$B$4:$B$138, 0), MATCH(U$4&amp;U$5, LS_previous!$D$2:$AY$2&amp;LS_previous!$D$3:$AY$3, 0)),SUM(VLOOKUP($A32, LS_previous!$B$4:$AY$138, LS_previous!M$149, FALSE), VLOOKUP('Staging Table'!$A32, LS_previous!$B$4:$AY$138,LS_previous!AK$149, FALSE))/2)</f>
        <v>430.18848471169554</v>
      </c>
      <c r="V32" s="180">
        <f t="array" ref="V32">IF($G32=0, INDEX(LS_previous!$D$4:$AY$138, MATCH('Staging Table'!$A32, LS_previous!$B$4:$B$138, 0), MATCH(V$4&amp;V$5, LS_previous!$D$2:$AY$2&amp;LS_previous!$D$3:$AY$3, 0)),SUM(VLOOKUP($A32, LS_previous!$B$4:$AY$138, LS_previous!N$149, FALSE), VLOOKUP('Staging Table'!$A32, LS_previous!$B$4:$AY$138,LS_previous!AL$149, FALSE))/2)</f>
        <v>215.41790646436857</v>
      </c>
      <c r="W32" s="180">
        <f t="array" ref="W32">IF($G32=0, INDEX(LS_previous!$D$4:$AY$138, MATCH('Staging Table'!$A32, LS_previous!$B$4:$B$138, 0), MATCH(W$4&amp;W$5, LS_previous!$D$2:$AY$2&amp;LS_previous!$D$3:$AY$3, 0)),SUM(VLOOKUP($A32, LS_previous!$B$4:$AY$138, LS_previous!O$149, FALSE), VLOOKUP('Staging Table'!$A32, LS_previous!$B$4:$AY$138,LS_previous!AM$149, FALSE))/2)</f>
        <v>241.76582345112638</v>
      </c>
      <c r="X32" s="180">
        <f t="array" ref="X32">IF($G32=0, INDEX(LS_previous!$D$4:$AY$138, MATCH('Staging Table'!$A32, LS_previous!$B$4:$B$138, 0), MATCH(X$4&amp;X$5, LS_previous!$D$2:$AY$2&amp;LS_previous!$D$3:$AY$3, 0)),SUM(VLOOKUP($A32, LS_previous!$B$4:$AY$138, LS_previous!P$149, FALSE), VLOOKUP('Staging Table'!$A32, LS_previous!$B$4:$AY$138,LS_previous!AN$149, FALSE))/2)</f>
        <v>557.22979665028879</v>
      </c>
      <c r="Y32" s="180">
        <f t="array" ref="Y32">IF($G32=0, INDEX(LS_previous!$D$4:$AY$138, MATCH('Staging Table'!$A32, LS_previous!$B$4:$B$138, 0), MATCH(Y$4&amp;Y$5, LS_previous!$D$2:$AY$2&amp;LS_previous!$D$3:$AY$3, 0)),SUM(VLOOKUP($A32, LS_previous!$B$4:$AY$138, LS_previous!Q$149, FALSE), VLOOKUP('Staging Table'!$A32, LS_previous!$B$4:$AY$138,LS_previous!AO$149, FALSE))/2)</f>
        <v>291.57952812431495</v>
      </c>
      <c r="Z32" s="180">
        <f t="array" ref="Z32">IF($G32=0, INDEX(LS_previous!$D$4:$AY$138, MATCH('Staging Table'!$A32, LS_previous!$B$4:$B$138, 0), MATCH(Z$4&amp;Z$5, LS_previous!$D$2:$AY$2&amp;LS_previous!$D$3:$AY$3, 0)),SUM(VLOOKUP($A32, LS_previous!$B$4:$AY$138, LS_previous!R$149, FALSE), VLOOKUP('Staging Table'!$A32, LS_previous!$B$4:$AY$138,LS_previous!AP$149, FALSE))/2)</f>
        <v>-1173.1997321334829</v>
      </c>
      <c r="AA32" s="180">
        <f t="array" ref="AA32">IF($G32=0, INDEX(LS_previous!$D$4:$AY$138, MATCH('Staging Table'!$A32, LS_previous!$B$4:$B$138, 0), MATCH(AA$4&amp;AA$5, LS_previous!$D$2:$AY$2&amp;LS_previous!$D$3:$AY$3, 0)),SUM(VLOOKUP($A32, LS_previous!$B$4:$AY$138, LS_previous!S$149, FALSE), VLOOKUP('Staging Table'!$A32, LS_previous!$B$4:$AY$138,LS_previous!AQ$149, FALSE))/2)</f>
        <v>-197.55732553430516</v>
      </c>
      <c r="AB32" s="180">
        <f t="array" ref="AB32">IF($G32=0, INDEX(LS_previous!$D$4:$AY$138, MATCH('Staging Table'!$A32, LS_previous!$B$4:$B$138, 0), MATCH(AB$4&amp;AB$5, LS_previous!$D$2:$AY$2&amp;LS_previous!$D$3:$AY$3, 0)),SUM(VLOOKUP($A32, LS_previous!$B$4:$AY$138, LS_previous!T$149, FALSE), VLOOKUP('Staging Table'!$A32, LS_previous!$B$4:$AY$138,LS_previous!AR$149, FALSE))/2)</f>
        <v>-1842.5418785187467</v>
      </c>
      <c r="AC32" s="180">
        <f t="array" ref="AC32">IF($G32=0, INDEX(LS_previous!$D$4:$AY$138, MATCH('Staging Table'!$A32, LS_previous!$B$4:$B$138, 0), MATCH(AC$4&amp;AC$5, LS_previous!$D$2:$AY$2&amp;LS_previous!$D$3:$AY$3, 0)),SUM(VLOOKUP($A32, LS_previous!$B$4:$AY$138, LS_previous!U$149, FALSE), VLOOKUP('Staging Table'!$A32, LS_previous!$B$4:$AY$138,LS_previous!AS$149, FALSE))/2)</f>
        <v>-205.81995116780217</v>
      </c>
      <c r="AD32" s="180">
        <f t="array" ref="AD32">IF($G32=0, INDEX(LS_previous!$D$4:$AY$138, MATCH('Staging Table'!$A32, LS_previous!$B$4:$B$138, 0), MATCH(AD$4&amp;AD$5, LS_previous!$D$2:$AY$2&amp;LS_previous!$D$3:$AY$3, 0)),SUM(VLOOKUP($A32, LS_previous!$B$4:$AY$138, LS_previous!V$149, FALSE), VLOOKUP('Staging Table'!$A32, LS_previous!$B$4:$AY$138,LS_previous!AT$149, FALSE))/2)</f>
        <v>-1126.4365533880182</v>
      </c>
      <c r="AE32" s="180">
        <f t="array" ref="AE32">IF($G32=0, INDEX(LS_previous!$D$4:$AY$138, MATCH('Staging Table'!$A32, LS_previous!$B$4:$B$138, 0), MATCH(AE$4&amp;AE$5, LS_previous!$D$2:$AY$2&amp;LS_previous!$D$3:$AY$3, 0)),SUM(VLOOKUP($A32, LS_previous!$B$4:$AY$138, LS_previous!W$149, FALSE), VLOOKUP('Staging Table'!$A32, LS_previous!$B$4:$AY$138,LS_previous!AU$149, FALSE))/2)</f>
        <v>-234.4181157540761</v>
      </c>
      <c r="AF32" s="180">
        <f t="array" ref="AF32">IF($G32=0, INDEX(LS_previous!$D$4:$AY$138, MATCH('Staging Table'!$A32, LS_previous!$B$4:$B$138, 0), MATCH(AF$4&amp;AF$5, LS_previous!$D$2:$AY$2&amp;LS_previous!$D$3:$AY$3, 0)),SUM(VLOOKUP($A32, LS_previous!$B$4:$AY$138, LS_previous!X$149, FALSE), VLOOKUP('Staging Table'!$A32, LS_previous!$B$4:$AY$138,LS_previous!AV$149, FALSE))/2)</f>
        <v>-946.80892212247863</v>
      </c>
      <c r="AG32" s="180">
        <f t="array" ref="AG32">IF($G32=0, INDEX(LS_previous!$D$4:$AY$138, MATCH('Staging Table'!$A32, LS_previous!$B$4:$B$138, 0), MATCH(AG$4&amp;AG$5, LS_previous!$D$2:$AY$2&amp;LS_previous!$D$3:$AY$3, 0)),SUM(VLOOKUP($A32, LS_previous!$B$4:$AY$138, LS_previous!Y$149, FALSE), VLOOKUP('Staging Table'!$A32, LS_previous!$B$4:$AY$138,LS_previous!AW$149, FALSE))/2)</f>
        <v>-223.13107911839029</v>
      </c>
      <c r="AH32" s="180">
        <f t="array" ref="AH32">IF($G32=0, INDEX(LS_previous!$D$4:$AY$138, MATCH('Staging Table'!$A32, LS_previous!$B$4:$B$138, 0), MATCH(AH$4&amp;AH$5, LS_previous!$D$2:$AY$2&amp;LS_previous!$D$3:$AY$3, 0)),SUM(VLOOKUP($A32, LS_previous!$B$4:$AY$138, LS_previous!Z$149, FALSE), VLOOKUP('Staging Table'!$A32, LS_previous!$B$4:$AY$138,LS_previous!AX$149, FALSE))/2)</f>
        <v>-864.75319766606117</v>
      </c>
      <c r="AI32" s="180">
        <f t="array" ref="AI32">IF($G32=0, INDEX(LS_previous!$D$4:$AY$138, MATCH('Staging Table'!$A32, LS_previous!$B$4:$B$138, 0), MATCH(AI$4&amp;AI$5, LS_previous!$D$2:$AY$2&amp;LS_previous!$D$3:$AY$3, 0)),SUM(VLOOKUP($A32, LS_previous!$B$4:$AY$138, LS_previous!AA$149, FALSE), VLOOKUP('Staging Table'!$A32, LS_previous!$B$4:$AY$138,LS_previous!AY$149, FALSE))/2)</f>
        <v>-208.39890033575489</v>
      </c>
      <c r="AJ32" s="298">
        <f t="array" ref="AJ32">INDEX(Demand_previous!$D$4:$AY$138, MATCH('Staging Table'!$A32, Demand_previous!$B$4:$B$138, 0), MATCH(AJ$4&amp;AJ$5,Demand_previous!$D$2:$AY$2&amp;Demand_previous!$D$3:$AY$3, 0))/1000</f>
        <v>0</v>
      </c>
      <c r="AK32" s="298">
        <f t="array" ref="AK32">INDEX(Demand_previous!$D$4:$AY$138, MATCH('Staging Table'!$A32, Demand_previous!$B$4:$B$138, 0), MATCH(AK$4&amp;AK$5,Demand_previous!$D$2:$AY$2&amp;Demand_previous!$D$3:$AY$3, 0))/1000</f>
        <v>0</v>
      </c>
      <c r="AL32" s="298">
        <f t="array" ref="AL32">INDEX(Demand_previous!$D$4:$AY$138, MATCH('Staging Table'!$A32, Demand_previous!$B$4:$B$138, 0), MATCH(AL$4&amp;AL$5,Demand_previous!$D$2:$AY$2&amp;Demand_previous!$D$3:$AY$3, 0))/1000</f>
        <v>1.9144182692307681</v>
      </c>
      <c r="AM32" s="298">
        <f t="array" ref="AM32">INDEX(Demand_previous!$D$4:$AY$138, MATCH('Staging Table'!$A32, Demand_previous!$B$4:$B$138, 0), MATCH(AM$4&amp;AM$5,Demand_previous!$D$2:$AY$2&amp;Demand_previous!$D$3:$AY$3, 0))/1000</f>
        <v>1.0387175000000002</v>
      </c>
      <c r="AN32" s="298">
        <f t="array" ref="AN32">INDEX(Demand_previous!$D$4:$AY$138, MATCH('Staging Table'!$A32, Demand_previous!$B$4:$B$138, 0), MATCH(AN$4&amp;AN$5,Demand_previous!$D$2:$AY$2&amp;Demand_previous!$D$3:$AY$3, 0))/1000</f>
        <v>0.21029687499999913</v>
      </c>
      <c r="AO32" s="298">
        <f t="array" ref="AO32">INDEX(Demand_previous!$D$4:$AY$138, MATCH('Staging Table'!$A32, Demand_previous!$B$4:$B$138, 0), MATCH(AO$4&amp;AO$5,Demand_previous!$D$2:$AY$2&amp;Demand_previous!$D$3:$AY$3, 0))/1000</f>
        <v>0.457085648148148</v>
      </c>
      <c r="AP32" s="298">
        <f t="array" ref="AP32">INDEX(Demand_previous!$D$4:$AY$138, MATCH('Staging Table'!$A32, Demand_previous!$B$4:$B$138, 0), MATCH(AP$4&amp;AP$5,Demand_previous!$D$2:$AY$2&amp;Demand_previous!$D$3:$AY$3, 0))/1000</f>
        <v>0.55502403846153769</v>
      </c>
      <c r="AQ32" s="298">
        <f t="array" ref="AQ32">INDEX(Demand_previous!$D$4:$AY$138, MATCH('Staging Table'!$A32, Demand_previous!$B$4:$B$138, 0), MATCH(AQ$4&amp;AQ$5,Demand_previous!$D$2:$AY$2&amp;Demand_previous!$D$3:$AY$3, 0))/1000</f>
        <v>0.88892250000000017</v>
      </c>
      <c r="AR32" s="298">
        <f t="array" ref="AR32">INDEX(Demand_previous!$D$4:$AY$138, MATCH('Staging Table'!$A32, Demand_previous!$B$4:$B$138, 0), MATCH(AR$4&amp;AR$5,Demand_previous!$D$2:$AY$2&amp;Demand_previous!$D$3:$AY$3, 0))/1000</f>
        <v>2.0801033653846153</v>
      </c>
      <c r="AS32" s="298">
        <f t="array" ref="AS32">INDEX(Demand_previous!$D$4:$AY$138, MATCH('Staging Table'!$A32, Demand_previous!$B$4:$B$138, 0), MATCH(AS$4&amp;AS$5,Demand_previous!$D$2:$AY$2&amp;Demand_previous!$D$3:$AY$3, 0))/1000</f>
        <v>1.3734975000000007</v>
      </c>
      <c r="AT32" s="298">
        <f t="array" ref="AT32">INDEX(Demand_previous!$D$4:$AY$138, MATCH('Staging Table'!$A32, Demand_previous!$B$4:$B$138, 0), MATCH(AT$4&amp;AT$5,Demand_previous!$D$2:$AY$2&amp;Demand_previous!$D$3:$AY$3, 0))/1000</f>
        <v>1.8679560185185178</v>
      </c>
      <c r="AU32" s="298">
        <f t="array" ref="AU32">INDEX(Demand_previous!$D$4:$AY$138, MATCH('Staging Table'!$A32, Demand_previous!$B$4:$B$138, 0), MATCH(AU$4&amp;AU$5,Demand_previous!$D$2:$AY$2&amp;Demand_previous!$D$3:$AY$3, 0))/1000</f>
        <v>1.3826849999999999</v>
      </c>
      <c r="AV32" s="180">
        <f>$F32*(VLOOKUP(AV$4, Rates_previous!$G$6:$Q$29, 10, FALSE)+VLOOKUP(AV$4, Rates_previous!$G$6:$Q$29, 11, FALSE))</f>
        <v>4637.7166301050393</v>
      </c>
      <c r="AW32" s="180">
        <f>$F32*(VLOOKUP(AW$4, Rates_previous!$G$6:$Q$29, 10, FALSE)+VLOOKUP(AW$4, Rates_previous!$G$6:$Q$29, 11, FALSE))</f>
        <v>5871.5175680320681</v>
      </c>
      <c r="AX32" s="180">
        <f>$F32*(VLOOKUP(AX$4, Rates_previous!$G$6:$Q$29, 10, FALSE)+VLOOKUP(AX$4, Rates_previous!$G$6:$Q$29, 11, FALSE))</f>
        <v>5747.0426684421227</v>
      </c>
      <c r="AY32" s="180">
        <f>$F32*(VLOOKUP(AY$4, Rates_previous!$G$6:$Q$29, 10, FALSE)+VLOOKUP(AY$4, Rates_previous!$G$6:$Q$29, 11, FALSE))</f>
        <v>4746.8128520523287</v>
      </c>
      <c r="AZ32" s="180">
        <f>$F32*(VLOOKUP(AZ$4, Rates_previous!$G$6:$Q$29, 10, FALSE)+VLOOKUP(AZ$4, Rates_previous!$G$6:$Q$29, 11, FALSE))</f>
        <v>4114.1667351899032</v>
      </c>
      <c r="BA32" s="180">
        <f>$F32*(VLOOKUP(BA$4, Rates_previous!$G$6:$Q$29, 10, FALSE)+VLOOKUP(BA$4, Rates_previous!$G$6:$Q$29, 11, FALSE))</f>
        <v>4911.4842700845056</v>
      </c>
      <c r="BB32" s="180">
        <f>$F32*(VLOOKUP(BB$4, Rates_previous!$G$6:$Q$29, 10, FALSE)+VLOOKUP(BB$4, Rates_previous!$G$6:$Q$29, 11, FALSE))</f>
        <v>3813.1136752253965</v>
      </c>
      <c r="BC32" s="180">
        <f>$F32*(VLOOKUP(BC$4, Rates_previous!$G$6:$Q$29, 10, FALSE)+VLOOKUP(BC$4, Rates_previous!$G$6:$Q$29, 11, FALSE))</f>
        <v>5283.0970576677882</v>
      </c>
      <c r="BD32" s="180">
        <f>$F32*(VLOOKUP(BD$4, Rates_previous!$G$6:$Q$29, 10, FALSE)+VLOOKUP(BD$4, Rates_previous!$G$6:$Q$29, 11, FALSE))</f>
        <v>5645.0998296865482</v>
      </c>
      <c r="BE32" s="180">
        <f>$F32*(VLOOKUP(BE$4, Rates_previous!$G$6:$Q$29, 10, FALSE)+VLOOKUP(BE$4, Rates_previous!$G$6:$Q$29, 11, FALSE))</f>
        <v>5359.7666691420945</v>
      </c>
      <c r="BF32" s="180">
        <f>$F32*(VLOOKUP(BF$4, Rates_previous!$G$6:$Q$29, 10, FALSE)+VLOOKUP(BF$4, Rates_previous!$G$6:$Q$29, 11, FALSE))</f>
        <v>5179.8010012408686</v>
      </c>
      <c r="BG32" s="180">
        <f>$F32*(VLOOKUP(BG$4, Rates_previous!$G$6:$Q$29, 10, FALSE)+VLOOKUP(BG$4, Rates_previous!$G$6:$Q$29, 11, FALSE))</f>
        <v>4786.6760980018162</v>
      </c>
      <c r="BH32" s="298">
        <f>IF($D32=0,IF(C32=0, MAX(BJ32 - (VLOOKUP($A32,TOCA_previous!$A$2:$AI$137,MATCH("RHWM 2022",TOCA_previous!$A$2:$AI$2,0),FALSE)*$F$2*TOCA_previous!C29),0),0), 0)</f>
        <v>0</v>
      </c>
      <c r="BI32" s="192">
        <f>MIN(VLOOKUP($A32,TOCA_previous!$A$2:$AI$137,MATCH("TRL - NLSL - Existing Resource "&amp;$F$1,TOCA_previous!$A$2:$AI$2,0),FALSE)*$F$2,(VLOOKUP($A32,TOCA_previous!$A$2:$AI$137,MATCH("RHWM 2022",TOCA_previous!$A$2:$AI$2,0),FALSE)*$F$2))</f>
        <v>60093.600000000006</v>
      </c>
      <c r="BJ32" s="402">
        <f>SUM(L32:AI32)+(F32*RT1SC!$C$3*$F$2)</f>
        <v>58048.341074185526</v>
      </c>
      <c r="BK32" s="401">
        <f>VLOOKUP($A32,TOCA_previous!$A$2:$AI$137,MATCH("Above RHWM Not Served with LS "&amp;$F$1,TOCA_previous!$A$2:$AI$2,0),FALSE)*$F$2</f>
        <v>0</v>
      </c>
      <c r="BL32" s="402">
        <f t="shared" si="8"/>
        <v>-2045.2589258144799</v>
      </c>
      <c r="BM32" s="401">
        <f>(VLOOKUP($A32,TOCA_previous!$A$2:$AI$137,MATCH("RHWM 2022",TOCA_previous!$A$2:$AI$2,0),FALSE)*$F$2) - $BI32</f>
        <v>2049.8399999999965</v>
      </c>
      <c r="BN32" s="402">
        <f t="shared" si="9"/>
        <v>0</v>
      </c>
      <c r="BO32" s="401">
        <f t="shared" si="10"/>
        <v>2045.2589258144799</v>
      </c>
      <c r="BP32" s="402">
        <f t="shared" si="11"/>
        <v>0</v>
      </c>
      <c r="BQ32" s="401">
        <f t="shared" si="2"/>
        <v>2045.2589258144799</v>
      </c>
      <c r="BR32" s="108">
        <f>VLOOKUP($A32,TOCA_current!$A$2:$AI$137,MATCH(BR$4,TOCA_current!$A$2:$AI$2,0),FALSE)</f>
        <v>9.3550000000000003E-4</v>
      </c>
      <c r="BS32" s="108">
        <f>VLOOKUP($A32,TOCA_current!$A$2:$AI$137,MATCH(BS$4,TOCA_current!$A$2:$AI$2,0),FALSE)</f>
        <v>9.3550000000000003E-4</v>
      </c>
      <c r="BT32" s="189">
        <f t="shared" si="12"/>
        <v>0</v>
      </c>
      <c r="BU32" s="108">
        <f>VLOOKUP($A32,TOCA_current!A28:BG163,MATCH(BU$4,TOCA_current!$A$2:$BG$2,0),FALSE)</f>
        <v>0</v>
      </c>
      <c r="BV32" s="108">
        <f t="shared" si="3"/>
        <v>0</v>
      </c>
      <c r="BW32" s="108">
        <f t="shared" si="4"/>
        <v>0</v>
      </c>
      <c r="BX32" s="179">
        <f>VLOOKUP($A32,IRD!$A$4:$G$139, 7, FALSE)</f>
        <v>0</v>
      </c>
      <c r="BY32" s="180">
        <f t="array" ref="BY32">IF($BT32=0, INDEX(LS_current!$D$4:$AY$138, MATCH('Staging Table'!$A32, LS_current!$B$4:$B$138, 0), MATCH(BY$4&amp;BY$5, LS_current!$D$2:$AY$2&amp;LS_current!$D$3:$AY$3, 0)),SUM(VLOOKUP($A32, LS_current!$B$4:$AY$138, LS_current!D$148, FALSE), VLOOKUP($A32, LS_current!$B$4:$AY$138,LS_current!AB$148, FALSE))/2)</f>
        <v>571.87060432199951</v>
      </c>
      <c r="BZ32" s="180">
        <f t="array" ref="BZ32">IF($BT32=0, INDEX(LS_current!$D$4:$AY$138, MATCH('Staging Table'!$A32, LS_current!$B$4:$B$138, 0), MATCH(BZ$4&amp;BZ$5, LS_current!$D$2:$AY$2&amp;LS_current!$D$3:$AY$3, 0)),SUM(VLOOKUP($A32, LS_current!$B$4:$AY$138, LS_current!E$148, FALSE), VLOOKUP($A32, LS_current!$B$4:$AY$138,LS_current!AC$148, FALSE))/2)</f>
        <v>314.39147679474991</v>
      </c>
      <c r="CA32" s="180">
        <f t="array" ref="CA32">IF($BT32=0, INDEX(LS_current!$D$4:$AY$138, MATCH('Staging Table'!$A32, LS_current!$B$4:$B$138, 0), MATCH(CA$4&amp;CA$5, LS_current!$D$2:$AY$2&amp;LS_current!$D$3:$AY$3, 0)),SUM(VLOOKUP($A32, LS_current!$B$4:$AY$138, LS_current!F$148, FALSE), VLOOKUP($A32, LS_current!$B$4:$AY$138,LS_current!AD$148, FALSE))/2)</f>
        <v>300.31310465599972</v>
      </c>
      <c r="CB32" s="180">
        <f t="array" ref="CB32">IF($BT32=0, INDEX(LS_current!$D$4:$AY$138, MATCH('Staging Table'!$A32, LS_current!$B$4:$B$138, 0), MATCH(CB$4&amp;CB$5, LS_current!$D$2:$AY$2&amp;LS_current!$D$3:$AY$3, 0)),SUM(VLOOKUP($A32, LS_current!$B$4:$AY$138, LS_current!G$148, FALSE), VLOOKUP($A32, LS_current!$B$4:$AY$138,LS_current!AE$148, FALSE))/2)</f>
        <v>236.19954069949972</v>
      </c>
      <c r="CC32" s="180">
        <f t="array" ref="CC32">IF($BT32=0, INDEX(LS_current!$D$4:$AY$138, MATCH('Staging Table'!$A32, LS_current!$B$4:$B$138, 0), MATCH(CC$4&amp;CC$5, LS_current!$D$2:$AY$2&amp;LS_current!$D$3:$AY$3, 0)),SUM(VLOOKUP($A32, LS_current!$B$4:$AY$138, LS_current!H$148, FALSE), VLOOKUP($A32, LS_current!$B$4:$AY$138,LS_current!AF$148, FALSE))/2)</f>
        <v>378.02759116549987</v>
      </c>
      <c r="CD32" s="180">
        <f t="array" ref="CD32">IF($BT32=0, INDEX(LS_current!$D$4:$AY$138, MATCH('Staging Table'!$A32, LS_current!$B$4:$B$138, 0), MATCH(CD$4&amp;CD$5, LS_current!$D$2:$AY$2&amp;LS_current!$D$3:$AY$3, 0)),SUM(VLOOKUP($A32, LS_current!$B$4:$AY$138, LS_current!I$148, FALSE), VLOOKUP($A32, LS_current!$B$4:$AY$138,LS_current!AG$148, FALSE))/2)</f>
        <v>474.503897392</v>
      </c>
      <c r="CE32" s="180">
        <f t="array" ref="CE32">IF($BT32=0, INDEX(LS_current!$D$4:$AY$138, MATCH('Staging Table'!$A32, LS_current!$B$4:$B$138, 0), MATCH(CE$4&amp;CE$5, LS_current!$D$2:$AY$2&amp;LS_current!$D$3:$AY$3, 0)),SUM(VLOOKUP($A32, LS_current!$B$4:$AY$138, LS_current!J$148, FALSE), VLOOKUP($A32, LS_current!$B$4:$AY$138,LS_current!AH$148, FALSE))/2)</f>
        <v>397.37340061750001</v>
      </c>
      <c r="CF32" s="180">
        <f t="array" ref="CF32">IF($BT32=0, INDEX(LS_current!$D$4:$AY$138, MATCH('Staging Table'!$A32, LS_current!$B$4:$B$138, 0), MATCH(CF$4&amp;CF$5, LS_current!$D$2:$AY$2&amp;LS_current!$D$3:$AY$3, 0)),SUM(VLOOKUP($A32, LS_current!$B$4:$AY$138, LS_current!K$148, FALSE), VLOOKUP($A32, LS_current!$B$4:$AY$138,LS_current!AI$148, FALSE))/2)</f>
        <v>409.05587387049991</v>
      </c>
      <c r="CG32" s="180">
        <f t="array" ref="CG32">IF($BT32=0, INDEX(LS_current!$D$4:$AY$138, MATCH('Staging Table'!$A32, LS_current!$B$4:$B$138, 0), MATCH(CG$4&amp;CG$5, LS_current!$D$2:$AY$2&amp;LS_current!$D$3:$AY$3, 0)),SUM(VLOOKUP($A32, LS_current!$B$4:$AY$138, LS_current!L$148, FALSE), VLOOKUP($A32, LS_current!$B$4:$AY$138,LS_current!AJ$148, FALSE))/2)</f>
        <v>406.3718551955003</v>
      </c>
      <c r="CH32" s="180">
        <f t="array" ref="CH32">IF($BT32=0, INDEX(LS_current!$D$4:$AY$138, MATCH('Staging Table'!$A32, LS_current!$B$4:$B$138, 0), MATCH(CH$4&amp;CH$5, LS_current!$D$2:$AY$2&amp;LS_current!$D$3:$AY$3, 0)),SUM(VLOOKUP($A32, LS_current!$B$4:$AY$138, LS_current!M$148, FALSE), VLOOKUP($A32, LS_current!$B$4:$AY$138,LS_current!AK$148, FALSE))/2)</f>
        <v>386.48271735549974</v>
      </c>
      <c r="CI32" s="180">
        <f t="array" ref="CI32">IF($BT32=0, INDEX(LS_current!$D$4:$AY$138, MATCH('Staging Table'!$A32, LS_current!$B$4:$B$138, 0), MATCH(CI$4&amp;CI$5, LS_current!$D$2:$AY$2&amp;LS_current!$D$3:$AY$3, 0)),SUM(VLOOKUP($A32, LS_current!$B$4:$AY$138, LS_current!N$148, FALSE), VLOOKUP($A32, LS_current!$B$4:$AY$138,LS_current!AL$148, FALSE))/2)</f>
        <v>4.3556697885001086</v>
      </c>
      <c r="CJ32" s="180">
        <f t="array" ref="CJ32">IF($BT32=0, INDEX(LS_current!$D$4:$AY$138, MATCH('Staging Table'!$A32, LS_current!$B$4:$B$138, 0), MATCH(CJ$4&amp;CJ$5, LS_current!$D$2:$AY$2&amp;LS_current!$D$3:$AY$3, 0)),SUM(VLOOKUP($A32, LS_current!$B$4:$AY$138, LS_current!O$148, FALSE), VLOOKUP($A32, LS_current!$B$4:$AY$138,LS_current!AM$148, FALSE))/2)</f>
        <v>63.450426680999954</v>
      </c>
      <c r="CK32" s="180">
        <f t="array" ref="CK32">IF($BT32=0, INDEX(LS_current!$D$4:$AY$138, MATCH('Staging Table'!$A32, LS_current!$B$4:$B$138, 0), MATCH(CK$4&amp;CK$5, LS_current!$D$2:$AY$2&amp;LS_current!$D$3:$AY$3, 0)),SUM(VLOOKUP($A32, LS_current!$B$4:$AY$138, LS_current!P$148, FALSE), VLOOKUP($A32, LS_current!$B$4:$AY$138,LS_current!AN$148, FALSE))/2)</f>
        <v>360.18552414875012</v>
      </c>
      <c r="CL32" s="180">
        <f t="array" ref="CL32">IF($BT32=0, INDEX(LS_current!$D$4:$AY$138, MATCH('Staging Table'!$A32, LS_current!$B$4:$B$138, 0), MATCH(CL$4&amp;CL$5, LS_current!$D$2:$AY$2&amp;LS_current!$D$3:$AY$3, 0)),SUM(VLOOKUP($A32, LS_current!$B$4:$AY$138, LS_current!Q$148, FALSE), VLOOKUP($A32, LS_current!$B$4:$AY$138,LS_current!AO$148, FALSE))/2)</f>
        <v>117.60030653287504</v>
      </c>
      <c r="CM32" s="180">
        <f t="array" ref="CM32">IF($BT32=0, INDEX(LS_current!$D$4:$AY$138, MATCH('Staging Table'!$A32, LS_current!$B$4:$B$138, 0), MATCH(CM$4&amp;CM$5, LS_current!$D$2:$AY$2&amp;LS_current!$D$3:$AY$3, 0)),SUM(VLOOKUP($A32, LS_current!$B$4:$AY$138, LS_current!R$148, FALSE), VLOOKUP($A32, LS_current!$B$4:$AY$138,LS_current!AP$148, FALSE))/2)</f>
        <v>-767.50366130400016</v>
      </c>
      <c r="CN32" s="180">
        <f t="array" ref="CN32">IF($BT32=0, INDEX(LS_current!$D$4:$AY$138, MATCH('Staging Table'!$A32, LS_current!$B$4:$B$138, 0), MATCH(CN$4&amp;CN$5, LS_current!$D$2:$AY$2&amp;LS_current!$D$3:$AY$3, 0)),SUM(VLOOKUP($A32, LS_current!$B$4:$AY$138, LS_current!S$148, FALSE), VLOOKUP($A32, LS_current!$B$4:$AY$138,LS_current!AQ$148, FALSE))/2)</f>
        <v>-511.13919777675005</v>
      </c>
      <c r="CO32" s="180">
        <f t="array" ref="CO32">IF($BT32=0, INDEX(LS_current!$D$4:$AY$138, MATCH('Staging Table'!$A32, LS_current!$B$4:$B$138, 0), MATCH(CO$4&amp;CO$5, LS_current!$D$2:$AY$2&amp;LS_current!$D$3:$AY$3, 0)),SUM(VLOOKUP($A32, LS_current!$B$4:$AY$138, LS_current!T$148, FALSE), VLOOKUP($A32, LS_current!$B$4:$AY$138,LS_current!AR$148, FALSE))/2)</f>
        <v>-1147.2624147730003</v>
      </c>
      <c r="CP32" s="180">
        <f t="array" ref="CP32">IF($BT32=0, INDEX(LS_current!$D$4:$AY$138, MATCH('Staging Table'!$A32, LS_current!$B$4:$B$138, 0), MATCH(CP$4&amp;CP$5, LS_current!$D$2:$AY$2&amp;LS_current!$D$3:$AY$3, 0)),SUM(VLOOKUP($A32, LS_current!$B$4:$AY$138, LS_current!U$148, FALSE), VLOOKUP($A32, LS_current!$B$4:$AY$138,LS_current!AS$148, FALSE))/2)</f>
        <v>-559.61381348475015</v>
      </c>
      <c r="CQ32" s="180">
        <f t="array" ref="CQ32">IF($BT32=0, INDEX(LS_current!$D$4:$AY$138, MATCH('Staging Table'!$A32, LS_current!$B$4:$B$138, 0), MATCH(CQ$4&amp;CQ$5, LS_current!$D$2:$AY$2&amp;LS_current!$D$3:$AY$3, 0)),SUM(VLOOKUP($A32, LS_current!$B$4:$AY$138, LS_current!V$148, FALSE), VLOOKUP($A32, LS_current!$B$4:$AY$138,LS_current!AT$148, FALSE))/2)</f>
        <v>-425.8072152220002</v>
      </c>
      <c r="CR32" s="180">
        <f t="array" ref="CR32">IF($BT32=0, INDEX(LS_current!$D$4:$AY$138, MATCH('Staging Table'!$A32, LS_current!$B$4:$B$138, 0), MATCH(CR$4&amp;CR$5, LS_current!$D$2:$AY$2&amp;LS_current!$D$3:$AY$3, 0)),SUM(VLOOKUP($A32, LS_current!$B$4:$AY$138, LS_current!W$148, FALSE), VLOOKUP($A32, LS_current!$B$4:$AY$138,LS_current!AU$148, FALSE))/2)</f>
        <v>-179.58201802625013</v>
      </c>
      <c r="CS32" s="180">
        <f t="array" ref="CS32">IF($BT32=0, INDEX(LS_current!$D$4:$AY$138, MATCH('Staging Table'!$A32, LS_current!$B$4:$B$138, 0), MATCH(CS$4&amp;CS$5, LS_current!$D$2:$AY$2&amp;LS_current!$D$3:$AY$3, 0)),SUM(VLOOKUP($A32, LS_current!$B$4:$AY$138, LS_current!X$148, FALSE), VLOOKUP($A32, LS_current!$B$4:$AY$138,LS_current!AV$148, FALSE))/2)</f>
        <v>-282.13545543825012</v>
      </c>
      <c r="CT32" s="180">
        <f t="array" ref="CT32">IF($BT32=0, INDEX(LS_current!$D$4:$AY$138, MATCH('Staging Table'!$A32, LS_current!$B$4:$B$138, 0), MATCH(CT$4&amp;CT$5, LS_current!$D$2:$AY$2&amp;LS_current!$D$3:$AY$3, 0)),SUM(VLOOKUP($A32, LS_current!$B$4:$AY$138, LS_current!Y$148, FALSE), VLOOKUP($A32, LS_current!$B$4:$AY$138,LS_current!AW$148, FALSE))/2)</f>
        <v>-159.13897369967503</v>
      </c>
      <c r="CU32" s="180">
        <f t="array" ref="CU32">IF($BT32=0, INDEX(LS_current!$D$4:$AY$138, MATCH('Staging Table'!$A32, LS_current!$B$4:$B$138, 0), MATCH(CU$4&amp;CU$5, LS_current!$D$2:$AY$2&amp;LS_current!$D$3:$AY$3, 0)),SUM(VLOOKUP($A32, LS_current!$B$4:$AY$138, LS_current!Z$148, FALSE), VLOOKUP($A32, LS_current!$B$4:$AY$138,LS_current!AX$148, FALSE))/2)</f>
        <v>-256.14875532699989</v>
      </c>
      <c r="CV32" s="180">
        <f t="array" ref="CV32">IF($BT32=0, INDEX(LS_current!$D$4:$AY$138, MATCH('Staging Table'!$A32, LS_current!$B$4:$B$138, 0), MATCH(CV$4&amp;CV$5, LS_current!$D$2:$AY$2&amp;LS_current!$D$3:$AY$3, 0)),SUM(VLOOKUP($A32, LS_current!$B$4:$AY$138, LS_current!AA$148, FALSE), VLOOKUP($A32, LS_current!$B$4:$AY$138,LS_current!AY$148, FALSE))/2)</f>
        <v>-126.23379679200025</v>
      </c>
      <c r="CW32" s="182">
        <f t="array" ref="CW32">INDEX(Demand_current!$D$4:$AY$138, MATCH($A32, Demand_current!$B$4:$B$138, 0), MATCH(CW$4&amp;CW$5,Demand_current!$D$2:$AY$2&amp;Demand_current!$D$3:$AY$3, 0))/1000</f>
        <v>0</v>
      </c>
      <c r="CX32" s="182">
        <f t="array" ref="CX32">INDEX(Demand_current!$D$4:$AY$138, MATCH($A32, Demand_current!$B$4:$B$138, 0), MATCH(CX$4&amp;CX$5,Demand_current!$D$2:$AY$2&amp;Demand_current!$D$3:$AY$3, 0))/1000</f>
        <v>0</v>
      </c>
      <c r="CY32" s="182">
        <f t="array" ref="CY32">INDEX(Demand_current!$D$4:$AY$138, MATCH($A32, Demand_current!$B$4:$B$138, 0), MATCH(CY$4&amp;CY$5,Demand_current!$D$2:$AY$2&amp;Demand_current!$D$3:$AY$3, 0))/1000</f>
        <v>1.5613950000000003</v>
      </c>
      <c r="CZ32" s="182">
        <f t="array" ref="CZ32">INDEX(Demand_current!$D$4:$AY$138, MATCH($A32, Demand_current!$B$4:$B$138, 0), MATCH(CZ$4&amp;CZ$5,Demand_current!$D$2:$AY$2&amp;Demand_current!$D$3:$AY$3, 0))/1000</f>
        <v>1.412959134615384</v>
      </c>
      <c r="DA32" s="182">
        <f t="array" ref="DA32">INDEX(Demand_current!$D$4:$AY$138, MATCH($A32, Demand_current!$B$4:$B$138, 0), MATCH(DA$4&amp;DA$5,Demand_current!$D$2:$AY$2&amp;Demand_current!$D$3:$AY$3, 0))/1000</f>
        <v>0.5742049999999993</v>
      </c>
      <c r="DB32" s="182">
        <f t="array" ref="DB32">INDEX(Demand_current!$D$4:$AY$138, MATCH($A32, Demand_current!$B$4:$B$138, 0), MATCH(DB$4&amp;DB$5,Demand_current!$D$2:$AY$2&amp;Demand_current!$D$3:$AY$3, 0))/1000</f>
        <v>0.16935817307692269</v>
      </c>
      <c r="DC32" s="182">
        <f t="array" ref="DC32">INDEX(Demand_current!$D$4:$AY$138, MATCH($A32, Demand_current!$B$4:$B$138, 0), MATCH(DC$4&amp;DC$5,Demand_current!$D$2:$AY$2&amp;Demand_current!$D$3:$AY$3, 0))/1000</f>
        <v>0.55502403846153769</v>
      </c>
      <c r="DD32" s="182">
        <f t="array" ref="DD32">INDEX(Demand_current!$D$4:$AY$138, MATCH($A32, Demand_current!$B$4:$B$138, 0), MATCH(DD$4&amp;DD$5,Demand_current!$D$2:$AY$2&amp;Demand_current!$D$3:$AY$3, 0))/1000</f>
        <v>1.1184254807692304</v>
      </c>
      <c r="DE32" s="182">
        <f t="array" ref="DE32">INDEX(Demand_current!$D$4:$AY$138, MATCH($A32, Demand_current!$B$4:$B$138, 0), MATCH(DE$4&amp;DE$5,Demand_current!$D$2:$AY$2&amp;Demand_current!$D$3:$AY$3, 0))/1000</f>
        <v>1.8701874999999999</v>
      </c>
      <c r="DF32" s="182">
        <f t="array" ref="DF32">INDEX(Demand_current!$D$4:$AY$138, MATCH($A32, Demand_current!$B$4:$B$138, 0), MATCH(DF$4&amp;DF$5,Demand_current!$D$2:$AY$2&amp;Demand_current!$D$3:$AY$3, 0))/1000</f>
        <v>1.6084399038461539</v>
      </c>
      <c r="DG32" s="182">
        <f t="array" ref="DG32">INDEX(Demand_current!$D$4:$AY$138, MATCH($A32, Demand_current!$B$4:$B$138, 0), MATCH(DG$4&amp;DG$5,Demand_current!$D$2:$AY$2&amp;Demand_current!$D$3:$AY$3, 0))/1000</f>
        <v>1.8679560185185178</v>
      </c>
      <c r="DH32" s="182">
        <f t="array" ref="DH32">INDEX(Demand_current!$D$4:$AY$138, MATCH($A32, Demand_current!$B$4:$B$138, 0), MATCH(DH$4&amp;DH$5,Demand_current!$D$2:$AY$2&amp;Demand_current!$D$3:$AY$3, 0))/1000</f>
        <v>1.1545468749999999</v>
      </c>
      <c r="DI32" s="180">
        <f>$BS32*(VLOOKUP(DI$4, Rates_current!$G$6:$Q$29, 10, FALSE)+VLOOKUP(DI$4, Rates_current!$G$6:$Q$29, 11, FALSE))</f>
        <v>3946.6909188832501</v>
      </c>
      <c r="DJ32" s="180">
        <f>$BS32*(VLOOKUP(DJ$4, Rates_current!$G$6:$Q$29, 10, FALSE)+VLOOKUP(DJ$4, Rates_current!$G$6:$Q$29, 11, FALSE))</f>
        <v>5033.3323546445008</v>
      </c>
      <c r="DK32" s="180">
        <f>$BS32*(VLOOKUP(DK$4, Rates_current!$G$6:$Q$29, 10, FALSE)+VLOOKUP(DK$4, Rates_current!$G$6:$Q$29, 11, FALSE))</f>
        <v>5431.9615114425005</v>
      </c>
      <c r="DL32" s="180">
        <f>$BS32*(VLOOKUP(DL$4, Rates_current!$G$6:$Q$29, 10, FALSE)+VLOOKUP(DL$4, Rates_current!$G$6:$Q$29, 11, FALSE))</f>
        <v>5644.6477255119999</v>
      </c>
      <c r="DM32" s="180">
        <f>$BS32*(VLOOKUP(DM$4, Rates_current!$G$6:$Q$29, 10, FALSE)+VLOOKUP(DM$4, Rates_current!$G$6:$Q$29, 11, FALSE))</f>
        <v>4855.1494274489996</v>
      </c>
      <c r="DN32" s="180">
        <f>$BS32*(VLOOKUP(DN$4, Rates_current!$G$6:$Q$29, 10, FALSE)+VLOOKUP(DN$4, Rates_current!$G$6:$Q$29, 11, FALSE))</f>
        <v>5300.8619035305001</v>
      </c>
      <c r="DO32" s="180">
        <f>$BS32*(VLOOKUP(DO$4, Rates_current!$G$6:$Q$29, 10, FALSE)+VLOOKUP(DO$4, Rates_current!$G$6:$Q$29, 11, FALSE))</f>
        <v>4184.1371693183746</v>
      </c>
      <c r="DP32" s="180">
        <f>$BS32*(VLOOKUP(DP$4, Rates_current!$G$6:$Q$29, 10, FALSE)+VLOOKUP(DP$4, Rates_current!$G$6:$Q$29, 11, FALSE))</f>
        <v>5190.9828590807501</v>
      </c>
      <c r="DQ32" s="180">
        <f>$BS32*(VLOOKUP(DQ$4, Rates_current!$G$6:$Q$29, 10, FALSE)+VLOOKUP(DQ$4, Rates_current!$G$6:$Q$29, 11, FALSE))</f>
        <v>5303.6142282577493</v>
      </c>
      <c r="DR32" s="180">
        <f>$BS32*(VLOOKUP(DR$4, Rates_current!$G$6:$Q$29, 10, FALSE)+VLOOKUP(DR$4, Rates_current!$G$6:$Q$29, 11, FALSE))</f>
        <v>4604.3012332482504</v>
      </c>
      <c r="DS32" s="180">
        <f>$BS32*(VLOOKUP(DS$4, Rates_current!$G$6:$Q$29, 10, FALSE)+VLOOKUP(DS$4, Rates_current!$G$6:$Q$29, 11, FALSE))</f>
        <v>4451.1354291379257</v>
      </c>
      <c r="DT32" s="180">
        <f>$BS32*(VLOOKUP(DT$4, Rates_current!$G$6:$Q$29, 10, FALSE)+VLOOKUP(DT$4, Rates_current!$G$6:$Q$29, 11, FALSE))</f>
        <v>4095.9065521190005</v>
      </c>
      <c r="DU32" s="402">
        <f>IF(D32=0,IF(C32=0,MAX(0,DW32 - (VLOOKUP($A32,TOCA_current!$A$2:$AI$137,MATCH("RHWM 2024",TOCA_current!$A$2:$AI$2,0),FALSE)*$BS$2)), 0),0)</f>
        <v>0</v>
      </c>
      <c r="DV32" s="403">
        <f>MIN(VLOOKUP($A32,TOCA_current!$A$2:$AI$137,MATCH("TRL - NLSL - Existing Resource "&amp;$BS$1,TOCA_current!$A$2:$AI$2,0),FALSE)*$BS$2, VLOOKUP($A32,TOCA_current!$A$2:$AI$137,MATCH("RHWM 2024",TOCA_current!$A$2:$AI$2,0),FALSE)*$BS$2)</f>
        <v>58044.671999999999</v>
      </c>
      <c r="DW32" s="403">
        <f>SUM(BY32:CV32)+(BS32*RT1SC!$C$4*$BS$2)</f>
        <v>58048.338266056198</v>
      </c>
      <c r="DX32" s="403">
        <f>VLOOKUP($A32,TOCA_current!$A$2:$AI$137,MATCH("Above RHWM Not Served with LS "&amp;$BS$1,TOCA_current!$A$2:$AI$2,0),FALSE)*$BS$2</f>
        <v>0</v>
      </c>
      <c r="DY32" s="403">
        <f t="shared" si="13"/>
        <v>3.6662660561996745</v>
      </c>
      <c r="DZ32" s="403">
        <f>(VLOOKUP($A32,TOCA_current!$A$2:$AI$137,MATCH("RHWM 2024",TOCA_current!$A$2:$AI$2,0),FALSE)*$BS$2) - $DV32</f>
        <v>7281.9360000000015</v>
      </c>
      <c r="EA32" s="403">
        <f t="shared" si="14"/>
        <v>-3.6662660561996745</v>
      </c>
      <c r="EB32" s="403">
        <f t="shared" si="15"/>
        <v>0</v>
      </c>
      <c r="EC32" s="403">
        <f t="shared" si="16"/>
        <v>0</v>
      </c>
      <c r="ED32" s="403">
        <f t="shared" si="17"/>
        <v>-3.6662660561996745</v>
      </c>
    </row>
    <row r="33" spans="1:134">
      <c r="A33" s="123">
        <v>10081</v>
      </c>
      <c r="B33" s="124" t="s">
        <v>34</v>
      </c>
      <c r="C33" s="232">
        <f>VLOOKUP(A33, TOCA_current!$A$3:$D$137, 4, FALSE)</f>
        <v>0</v>
      </c>
      <c r="D33" s="191">
        <v>0</v>
      </c>
      <c r="E33" s="107">
        <f>VLOOKUP($A33,TOCA_previous!$A$2:$AI$137,MATCH(E$4,TOCA_previous!$A$2:$AI$2,0),FALSE)</f>
        <v>1.3691E-3</v>
      </c>
      <c r="F33" s="108">
        <f>VLOOKUP($A33,TOCA_previous!$A$2:$AI$137,MATCH(F$4,TOCA_previous!$A$2:$AI$2,0),FALSE)</f>
        <v>1.3691E-3</v>
      </c>
      <c r="G33" s="108">
        <f t="shared" si="5"/>
        <v>0</v>
      </c>
      <c r="H33" s="108">
        <f>VLOOKUP($A33,TOCA_previous!$A$2:$AI$137,MATCH(H$4,TOCA_previous!$A$2:$AI$2,0),FALSE)</f>
        <v>0</v>
      </c>
      <c r="I33" s="108">
        <f t="shared" si="6"/>
        <v>0</v>
      </c>
      <c r="J33" s="108">
        <f t="shared" si="7"/>
        <v>0</v>
      </c>
      <c r="K33" s="179">
        <f>VLOOKUP(A33, IRD!$A$5:$C$139, 3, FALSE)</f>
        <v>0</v>
      </c>
      <c r="L33" s="180">
        <f t="array" ref="L33">IF($G33=0, INDEX(LS_previous!$D$4:$AY$138, MATCH('Staging Table'!$A33, LS_previous!$B$4:$B$138, 0), MATCH(L$4&amp;L$5, LS_previous!$D$2:$AY$2&amp;LS_previous!$D$3:$AY$3, 0)),SUM(VLOOKUP($A33, LS_previous!$B$4:$AY$138, LS_previous!D$149, FALSE), VLOOKUP('Staging Table'!$A33, LS_previous!$B$4:$AY$138,LS_previous!AB$149, FALSE))/2)</f>
        <v>-532.10395117555299</v>
      </c>
      <c r="M33" s="180">
        <f t="array" ref="M33">IF($G33=0, INDEX(LS_previous!$D$4:$AY$138, MATCH('Staging Table'!$A33, LS_previous!$B$4:$B$138, 0), MATCH(M$4&amp;M$5, LS_previous!$D$2:$AY$2&amp;LS_previous!$D$3:$AY$3, 0)),SUM(VLOOKUP($A33, LS_previous!$B$4:$AY$138, LS_previous!E$149, FALSE), VLOOKUP('Staging Table'!$A33, LS_previous!$B$4:$AY$138,LS_previous!AC$149, FALSE))/2)</f>
        <v>-258.30497329107038</v>
      </c>
      <c r="N33" s="180">
        <f t="array" ref="N33">IF($G33=0, INDEX(LS_previous!$D$4:$AY$138, MATCH('Staging Table'!$A33, LS_previous!$B$4:$B$138, 0), MATCH(N$4&amp;N$5, LS_previous!$D$2:$AY$2&amp;LS_previous!$D$3:$AY$3, 0)),SUM(VLOOKUP($A33, LS_previous!$B$4:$AY$138, LS_previous!F$149, FALSE), VLOOKUP('Staging Table'!$A33, LS_previous!$B$4:$AY$138,LS_previous!AD$149, FALSE))/2)</f>
        <v>-672.70473300753565</v>
      </c>
      <c r="O33" s="180">
        <f t="array" ref="O33">IF($G33=0, INDEX(LS_previous!$D$4:$AY$138, MATCH('Staging Table'!$A33, LS_previous!$B$4:$B$138, 0), MATCH(O$4&amp;O$5, LS_previous!$D$2:$AY$2&amp;LS_previous!$D$3:$AY$3, 0)),SUM(VLOOKUP($A33, LS_previous!$B$4:$AY$138, LS_previous!G$149, FALSE), VLOOKUP('Staging Table'!$A33, LS_previous!$B$4:$AY$138,LS_previous!AE$149, FALSE))/2)</f>
        <v>-426.60339502929128</v>
      </c>
      <c r="P33" s="180">
        <f t="array" ref="P33">IF($G33=0, INDEX(LS_previous!$D$4:$AY$138, MATCH('Staging Table'!$A33, LS_previous!$B$4:$B$138, 0), MATCH(P$4&amp;P$5, LS_previous!$D$2:$AY$2&amp;LS_previous!$D$3:$AY$3, 0)),SUM(VLOOKUP($A33, LS_previous!$B$4:$AY$138, LS_previous!H$149, FALSE), VLOOKUP('Staging Table'!$A33, LS_previous!$B$4:$AY$138,LS_previous!AF$149, FALSE))/2)</f>
        <v>1209.6338375825653</v>
      </c>
      <c r="Q33" s="180">
        <f t="array" ref="Q33">IF($G33=0, INDEX(LS_previous!$D$4:$AY$138, MATCH('Staging Table'!$A33, LS_previous!$B$4:$B$138, 0), MATCH(Q$4&amp;Q$5, LS_previous!$D$2:$AY$2&amp;LS_previous!$D$3:$AY$3, 0)),SUM(VLOOKUP($A33, LS_previous!$B$4:$AY$138, LS_previous!I$149, FALSE), VLOOKUP('Staging Table'!$A33, LS_previous!$B$4:$AY$138,LS_previous!AG$149, FALSE))/2)</f>
        <v>759.24957191850535</v>
      </c>
      <c r="R33" s="180">
        <f t="array" ref="R33">IF($G33=0, INDEX(LS_previous!$D$4:$AY$138, MATCH('Staging Table'!$A33, LS_previous!$B$4:$B$138, 0), MATCH(R$4&amp;R$5, LS_previous!$D$2:$AY$2&amp;LS_previous!$D$3:$AY$3, 0)),SUM(VLOOKUP($A33, LS_previous!$B$4:$AY$138, LS_previous!J$149, FALSE), VLOOKUP('Staging Table'!$A33, LS_previous!$B$4:$AY$138,LS_previous!AH$149, FALSE))/2)</f>
        <v>2173.9511982252575</v>
      </c>
      <c r="S33" s="180">
        <f t="array" ref="S33">IF($G33=0, INDEX(LS_previous!$D$4:$AY$138, MATCH('Staging Table'!$A33, LS_previous!$B$4:$B$138, 0), MATCH(S$4&amp;S$5, LS_previous!$D$2:$AY$2&amp;LS_previous!$D$3:$AY$3, 0)),SUM(VLOOKUP($A33, LS_previous!$B$4:$AY$138, LS_previous!K$149, FALSE), VLOOKUP('Staging Table'!$A33, LS_previous!$B$4:$AY$138,LS_previous!AI$149, FALSE))/2)</f>
        <v>1026.0778758666092</v>
      </c>
      <c r="T33" s="180">
        <f t="array" ref="T33">IF($G33=0, INDEX(LS_previous!$D$4:$AY$138, MATCH('Staging Table'!$A33, LS_previous!$B$4:$B$138, 0), MATCH(T$4&amp;T$5, LS_previous!$D$2:$AY$2&amp;LS_previous!$D$3:$AY$3, 0)),SUM(VLOOKUP($A33, LS_previous!$B$4:$AY$138, LS_previous!L$149, FALSE), VLOOKUP('Staging Table'!$A33, LS_previous!$B$4:$AY$138,LS_previous!AJ$149, FALSE))/2)</f>
        <v>1397.3445544311876</v>
      </c>
      <c r="U33" s="180">
        <f t="array" ref="U33">IF($G33=0, INDEX(LS_previous!$D$4:$AY$138, MATCH('Staging Table'!$A33, LS_previous!$B$4:$B$138, 0), MATCH(U$4&amp;U$5, LS_previous!$D$2:$AY$2&amp;LS_previous!$D$3:$AY$3, 0)),SUM(VLOOKUP($A33, LS_previous!$B$4:$AY$138, LS_previous!M$149, FALSE), VLOOKUP('Staging Table'!$A33, LS_previous!$B$4:$AY$138,LS_previous!AK$149, FALSE))/2)</f>
        <v>531.82799903651085</v>
      </c>
      <c r="V33" s="180">
        <f t="array" ref="V33">IF($G33=0, INDEX(LS_previous!$D$4:$AY$138, MATCH('Staging Table'!$A33, LS_previous!$B$4:$B$138, 0), MATCH(V$4&amp;V$5, LS_previous!$D$2:$AY$2&amp;LS_previous!$D$3:$AY$3, 0)),SUM(VLOOKUP($A33, LS_previous!$B$4:$AY$138, LS_previous!N$149, FALSE), VLOOKUP('Staging Table'!$A33, LS_previous!$B$4:$AY$138,LS_previous!AL$149, FALSE))/2)</f>
        <v>185.5158810294256</v>
      </c>
      <c r="W33" s="180">
        <f t="array" ref="W33">IF($G33=0, INDEX(LS_previous!$D$4:$AY$138, MATCH('Staging Table'!$A33, LS_previous!$B$4:$B$138, 0), MATCH(W$4&amp;W$5, LS_previous!$D$2:$AY$2&amp;LS_previous!$D$3:$AY$3, 0)),SUM(VLOOKUP($A33, LS_previous!$B$4:$AY$138, LS_previous!O$149, FALSE), VLOOKUP('Staging Table'!$A33, LS_previous!$B$4:$AY$138,LS_previous!AM$149, FALSE))/2)</f>
        <v>272.75491495182359</v>
      </c>
      <c r="X33" s="180">
        <f t="array" ref="X33">IF($G33=0, INDEX(LS_previous!$D$4:$AY$138, MATCH('Staging Table'!$A33, LS_previous!$B$4:$B$138, 0), MATCH(X$4&amp;X$5, LS_previous!$D$2:$AY$2&amp;LS_previous!$D$3:$AY$3, 0)),SUM(VLOOKUP($A33, LS_previous!$B$4:$AY$138, LS_previous!P$149, FALSE), VLOOKUP('Staging Table'!$A33, LS_previous!$B$4:$AY$138,LS_previous!AN$149, FALSE))/2)</f>
        <v>781.92190572850541</v>
      </c>
      <c r="Y33" s="180">
        <f t="array" ref="Y33">IF($G33=0, INDEX(LS_previous!$D$4:$AY$138, MATCH('Staging Table'!$A33, LS_previous!$B$4:$B$138, 0), MATCH(Y$4&amp;Y$5, LS_previous!$D$2:$AY$2&amp;LS_previous!$D$3:$AY$3, 0)),SUM(VLOOKUP($A33, LS_previous!$B$4:$AY$138, LS_previous!Q$149, FALSE), VLOOKUP('Staging Table'!$A33, LS_previous!$B$4:$AY$138,LS_previous!AO$149, FALSE))/2)</f>
        <v>240.15945567065933</v>
      </c>
      <c r="Z33" s="180">
        <f t="array" ref="Z33">IF($G33=0, INDEX(LS_previous!$D$4:$AY$138, MATCH('Staging Table'!$A33, LS_previous!$B$4:$B$138, 0), MATCH(Z$4&amp;Z$5, LS_previous!$D$2:$AY$2&amp;LS_previous!$D$3:$AY$3, 0)),SUM(VLOOKUP($A33, LS_previous!$B$4:$AY$138, LS_previous!R$149, FALSE), VLOOKUP('Staging Table'!$A33, LS_previous!$B$4:$AY$138,LS_previous!AP$149, FALSE))/2)</f>
        <v>-1509.2351148506987</v>
      </c>
      <c r="AA33" s="180">
        <f t="array" ref="AA33">IF($G33=0, INDEX(LS_previous!$D$4:$AY$138, MATCH('Staging Table'!$A33, LS_previous!$B$4:$B$138, 0), MATCH(AA$4&amp;AA$5, LS_previous!$D$2:$AY$2&amp;LS_previous!$D$3:$AY$3, 0)),SUM(VLOOKUP($A33, LS_previous!$B$4:$AY$138, LS_previous!S$149, FALSE), VLOOKUP('Staging Table'!$A33, LS_previous!$B$4:$AY$138,LS_previous!AQ$149, FALSE))/2)</f>
        <v>-629.79483414082642</v>
      </c>
      <c r="AB33" s="180">
        <f t="array" ref="AB33">IF($G33=0, INDEX(LS_previous!$D$4:$AY$138, MATCH('Staging Table'!$A33, LS_previous!$B$4:$B$138, 0), MATCH(AB$4&amp;AB$5, LS_previous!$D$2:$AY$2&amp;LS_previous!$D$3:$AY$3, 0)),SUM(VLOOKUP($A33, LS_previous!$B$4:$AY$138, LS_previous!T$149, FALSE), VLOOKUP('Staging Table'!$A33, LS_previous!$B$4:$AY$138,LS_previous!AR$149, FALSE))/2)</f>
        <v>-2427.6284510801415</v>
      </c>
      <c r="AC33" s="180">
        <f t="array" ref="AC33">IF($G33=0, INDEX(LS_previous!$D$4:$AY$138, MATCH('Staging Table'!$A33, LS_previous!$B$4:$B$138, 0), MATCH(AC$4&amp;AC$5, LS_previous!$D$2:$AY$2&amp;LS_previous!$D$3:$AY$3, 0)),SUM(VLOOKUP($A33, LS_previous!$B$4:$AY$138, LS_previous!U$149, FALSE), VLOOKUP('Staging Table'!$A33, LS_previous!$B$4:$AY$138,LS_previous!AS$149, FALSE))/2)</f>
        <v>-761.65888672804203</v>
      </c>
      <c r="AD33" s="180">
        <f t="array" ref="AD33">IF($G33=0, INDEX(LS_previous!$D$4:$AY$138, MATCH('Staging Table'!$A33, LS_previous!$B$4:$B$138, 0), MATCH(AD$4&amp;AD$5, LS_previous!$D$2:$AY$2&amp;LS_previous!$D$3:$AY$3, 0)),SUM(VLOOKUP($A33, LS_previous!$B$4:$AY$138, LS_previous!V$149, FALSE), VLOOKUP('Staging Table'!$A33, LS_previous!$B$4:$AY$138,LS_previous!AT$149, FALSE))/2)</f>
        <v>-441.87904943395097</v>
      </c>
      <c r="AE33" s="180">
        <f t="array" ref="AE33">IF($G33=0, INDEX(LS_previous!$D$4:$AY$138, MATCH('Staging Table'!$A33, LS_previous!$B$4:$B$138, 0), MATCH(AE$4&amp;AE$5, LS_previous!$D$2:$AY$2&amp;LS_previous!$D$3:$AY$3, 0)),SUM(VLOOKUP($A33, LS_previous!$B$4:$AY$138, LS_previous!W$149, FALSE), VLOOKUP('Staging Table'!$A33, LS_previous!$B$4:$AY$138,LS_previous!AU$149, FALSE))/2)</f>
        <v>-296.12574271298672</v>
      </c>
      <c r="AF33" s="180">
        <f t="array" ref="AF33">IF($G33=0, INDEX(LS_previous!$D$4:$AY$138, MATCH('Staging Table'!$A33, LS_previous!$B$4:$B$138, 0), MATCH(AF$4&amp;AF$5, LS_previous!$D$2:$AY$2&amp;LS_previous!$D$3:$AY$3, 0)),SUM(VLOOKUP($A33, LS_previous!$B$4:$AY$138, LS_previous!X$149, FALSE), VLOOKUP('Staging Table'!$A33, LS_previous!$B$4:$AY$138,LS_previous!AV$149, FALSE))/2)</f>
        <v>-212.36330732314036</v>
      </c>
      <c r="AG33" s="180">
        <f t="array" ref="AG33">IF($G33=0, INDEX(LS_previous!$D$4:$AY$138, MATCH('Staging Table'!$A33, LS_previous!$B$4:$B$138, 0), MATCH(AG$4&amp;AG$5, LS_previous!$D$2:$AY$2&amp;LS_previous!$D$3:$AY$3, 0)),SUM(VLOOKUP($A33, LS_previous!$B$4:$AY$138, LS_previous!Y$149, FALSE), VLOOKUP('Staging Table'!$A33, LS_previous!$B$4:$AY$138,LS_previous!AW$149, FALSE))/2)</f>
        <v>-309.11717225155962</v>
      </c>
      <c r="AH33" s="180">
        <f t="array" ref="AH33">IF($G33=0, INDEX(LS_previous!$D$4:$AY$138, MATCH('Staging Table'!$A33, LS_previous!$B$4:$B$138, 0), MATCH(AH$4&amp;AH$5, LS_previous!$D$2:$AY$2&amp;LS_previous!$D$3:$AY$3, 0)),SUM(VLOOKUP($A33, LS_previous!$B$4:$AY$138, LS_previous!Z$149, FALSE), VLOOKUP('Staging Table'!$A33, LS_previous!$B$4:$AY$138,LS_previous!AX$149, FALSE))/2)</f>
        <v>-651.36772498488244</v>
      </c>
      <c r="AI33" s="180">
        <f t="array" ref="AI33">IF($G33=0, INDEX(LS_previous!$D$4:$AY$138, MATCH('Staging Table'!$A33, LS_previous!$B$4:$B$138, 0), MATCH(AI$4&amp;AI$5, LS_previous!$D$2:$AY$2&amp;LS_previous!$D$3:$AY$3, 0)),SUM(VLOOKUP($A33, LS_previous!$B$4:$AY$138, LS_previous!AA$149, FALSE), VLOOKUP('Staging Table'!$A33, LS_previous!$B$4:$AY$138,LS_previous!AY$149, FALSE))/2)</f>
        <v>-191.66790205192638</v>
      </c>
      <c r="AJ33" s="298">
        <f t="array" ref="AJ33">INDEX(Demand_previous!$D$4:$AY$138, MATCH('Staging Table'!$A33, Demand_previous!$B$4:$B$138, 0), MATCH(AJ$4&amp;AJ$5,Demand_previous!$D$2:$AY$2&amp;Demand_previous!$D$3:$AY$3, 0))/1000</f>
        <v>0</v>
      </c>
      <c r="AK33" s="298">
        <f t="array" ref="AK33">INDEX(Demand_previous!$D$4:$AY$138, MATCH('Staging Table'!$A33, Demand_previous!$B$4:$B$138, 0), MATCH(AK$4&amp;AK$5,Demand_previous!$D$2:$AY$2&amp;Demand_previous!$D$3:$AY$3, 0))/1000</f>
        <v>0</v>
      </c>
      <c r="AL33" s="298">
        <f t="array" ref="AL33">INDEX(Demand_previous!$D$4:$AY$138, MATCH('Staging Table'!$A33, Demand_previous!$B$4:$B$138, 0), MATCH(AL$4&amp;AL$5,Demand_previous!$D$2:$AY$2&amp;Demand_previous!$D$3:$AY$3, 0))/1000</f>
        <v>4.1992355769230763</v>
      </c>
      <c r="AM33" s="298">
        <f t="array" ref="AM33">INDEX(Demand_previous!$D$4:$AY$138, MATCH('Staging Table'!$A33, Demand_previous!$B$4:$B$138, 0), MATCH(AM$4&amp;AM$5,Demand_previous!$D$2:$AY$2&amp;Demand_previous!$D$3:$AY$3, 0))/1000</f>
        <v>0</v>
      </c>
      <c r="AN33" s="298">
        <f t="array" ref="AN33">INDEX(Demand_previous!$D$4:$AY$138, MATCH('Staging Table'!$A33, Demand_previous!$B$4:$B$138, 0), MATCH(AN$4&amp;AN$5,Demand_previous!$D$2:$AY$2&amp;Demand_previous!$D$3:$AY$3, 0))/1000</f>
        <v>0.25510937499999908</v>
      </c>
      <c r="AO33" s="298">
        <f t="array" ref="AO33">INDEX(Demand_previous!$D$4:$AY$138, MATCH('Staging Table'!$A33, Demand_previous!$B$4:$B$138, 0), MATCH(AO$4&amp;AO$5,Demand_previous!$D$2:$AY$2&amp;Demand_previous!$D$3:$AY$3, 0))/1000</f>
        <v>2.5944212962962991</v>
      </c>
      <c r="AP33" s="298">
        <f t="array" ref="AP33">INDEX(Demand_previous!$D$4:$AY$138, MATCH('Staging Table'!$A33, Demand_previous!$B$4:$B$138, 0), MATCH(AP$4&amp;AP$5,Demand_previous!$D$2:$AY$2&amp;Demand_previous!$D$3:$AY$3, 0))/1000</f>
        <v>1.4701899038461539</v>
      </c>
      <c r="AQ33" s="298">
        <f t="array" ref="AQ33">INDEX(Demand_previous!$D$4:$AY$138, MATCH('Staging Table'!$A33, Demand_previous!$B$4:$B$138, 0), MATCH(AQ$4&amp;AQ$5,Demand_previous!$D$2:$AY$2&amp;Demand_previous!$D$3:$AY$3, 0))/1000</f>
        <v>0</v>
      </c>
      <c r="AR33" s="298">
        <f t="array" ref="AR33">INDEX(Demand_previous!$D$4:$AY$138, MATCH('Staging Table'!$A33, Demand_previous!$B$4:$B$138, 0), MATCH(AR$4&amp;AR$5,Demand_previous!$D$2:$AY$2&amp;Demand_previous!$D$3:$AY$3, 0))/1000</f>
        <v>3.6993749999999999</v>
      </c>
      <c r="AS33" s="298">
        <f t="array" ref="AS33">INDEX(Demand_previous!$D$4:$AY$138, MATCH('Staging Table'!$A33, Demand_previous!$B$4:$B$138, 0), MATCH(AS$4&amp;AS$5,Demand_previous!$D$2:$AY$2&amp;Demand_previous!$D$3:$AY$3, 0))/1000</f>
        <v>1.567797500000002</v>
      </c>
      <c r="AT33" s="298">
        <f t="array" ref="AT33">INDEX(Demand_previous!$D$4:$AY$138, MATCH('Staging Table'!$A33, Demand_previous!$B$4:$B$138, 0), MATCH(AT$4&amp;AT$5,Demand_previous!$D$2:$AY$2&amp;Demand_previous!$D$3:$AY$3, 0))/1000</f>
        <v>2.0023726851851862</v>
      </c>
      <c r="AU33" s="298">
        <f t="array" ref="AU33">INDEX(Demand_previous!$D$4:$AY$138, MATCH('Staging Table'!$A33, Demand_previous!$B$4:$B$138, 0), MATCH(AU$4&amp;AU$5,Demand_previous!$D$2:$AY$2&amp;Demand_previous!$D$3:$AY$3, 0))/1000</f>
        <v>1.3722474999999994</v>
      </c>
      <c r="AV33" s="180">
        <f>$F33*(VLOOKUP(AV$4, Rates_previous!$G$6:$Q$29, 10, FALSE)+VLOOKUP(AV$4, Rates_previous!$G$6:$Q$29, 11, FALSE))</f>
        <v>6234.7779244666235</v>
      </c>
      <c r="AW33" s="180">
        <f>$F33*(VLOOKUP(AW$4, Rates_previous!$G$6:$Q$29, 10, FALSE)+VLOOKUP(AW$4, Rates_previous!$G$6:$Q$29, 11, FALSE))</f>
        <v>7893.4551280368278</v>
      </c>
      <c r="AX33" s="180">
        <f>$F33*(VLOOKUP(AX$4, Rates_previous!$G$6:$Q$29, 10, FALSE)+VLOOKUP(AX$4, Rates_previous!$G$6:$Q$29, 11, FALSE))</f>
        <v>7726.11559049893</v>
      </c>
      <c r="AY33" s="180">
        <f>$F33*(VLOOKUP(AY$4, Rates_previous!$G$6:$Q$29, 10, FALSE)+VLOOKUP(AY$4, Rates_previous!$G$6:$Q$29, 11, FALSE))</f>
        <v>6381.4429259081335</v>
      </c>
      <c r="AZ33" s="180">
        <f>$F33*(VLOOKUP(AZ$4, Rates_previous!$G$6:$Q$29, 10, FALSE)+VLOOKUP(AZ$4, Rates_previous!$G$6:$Q$29, 11, FALSE))</f>
        <v>5530.9364465323024</v>
      </c>
      <c r="BA33" s="180">
        <f>$F33*(VLOOKUP(BA$4, Rates_previous!$G$6:$Q$29, 10, FALSE)+VLOOKUP(BA$4, Rates_previous!$G$6:$Q$29, 11, FALSE))</f>
        <v>6602.8212040187518</v>
      </c>
      <c r="BB33" s="180">
        <f>$F33*(VLOOKUP(BB$4, Rates_previous!$G$6:$Q$29, 10, FALSE)+VLOOKUP(BB$4, Rates_previous!$G$6:$Q$29, 11, FALSE))</f>
        <v>5126.2116386008347</v>
      </c>
      <c r="BC33" s="180">
        <f>$F33*(VLOOKUP(BC$4, Rates_previous!$G$6:$Q$29, 10, FALSE)+VLOOKUP(BC$4, Rates_previous!$G$6:$Q$29, 11, FALSE))</f>
        <v>7102.4039489915249</v>
      </c>
      <c r="BD33" s="180">
        <f>$F33*(VLOOKUP(BD$4, Rates_previous!$G$6:$Q$29, 10, FALSE)+VLOOKUP(BD$4, Rates_previous!$G$6:$Q$29, 11, FALSE))</f>
        <v>7589.0673378081829</v>
      </c>
      <c r="BE33" s="180">
        <f>$F33*(VLOOKUP(BE$4, Rates_previous!$G$6:$Q$29, 10, FALSE)+VLOOKUP(BE$4, Rates_previous!$G$6:$Q$29, 11, FALSE))</f>
        <v>7205.4757921469381</v>
      </c>
      <c r="BF33" s="180">
        <f>$F33*(VLOOKUP(BF$4, Rates_previous!$G$6:$Q$29, 10, FALSE)+VLOOKUP(BF$4, Rates_previous!$G$6:$Q$29, 11, FALSE))</f>
        <v>6963.5364795746991</v>
      </c>
      <c r="BG33" s="180">
        <f>$F33*(VLOOKUP(BG$4, Rates_previous!$G$6:$Q$29, 10, FALSE)+VLOOKUP(BG$4, Rates_previous!$G$6:$Q$29, 11, FALSE))</f>
        <v>6435.0336270368098</v>
      </c>
      <c r="BH33" s="298">
        <f>IF($D33=0,IF(C33=0, MAX(BJ33 - (VLOOKUP($A33,TOCA_previous!$A$2:$AI$137,MATCH("RHWM 2022",TOCA_previous!$A$2:$AI$2,0),FALSE)*$F$2*TOCA_previous!C30),0),0), 0)</f>
        <v>0</v>
      </c>
      <c r="BI33" s="192">
        <f>MIN(VLOOKUP($A33,TOCA_previous!$A$2:$AI$137,MATCH("TRL - NLSL - Existing Resource "&amp;$F$1,TOCA_previous!$A$2:$AI$2,0),FALSE)*$F$2,(VLOOKUP($A33,TOCA_previous!$A$2:$AI$137,MATCH("RHWM 2022",TOCA_previous!$A$2:$AI$2,0),FALSE)*$F$2))</f>
        <v>80793.48000000001</v>
      </c>
      <c r="BJ33" s="402">
        <f>SUM(L33:AI33)+(F33*RT1SC!$C$3*$F$2)</f>
        <v>80049.16413282344</v>
      </c>
      <c r="BK33" s="401">
        <f>VLOOKUP($A33,TOCA_previous!$A$2:$AI$137,MATCH("Above RHWM Not Served with LS "&amp;$F$1,TOCA_previous!$A$2:$AI$2,0),FALSE)*$F$2</f>
        <v>0</v>
      </c>
      <c r="BL33" s="402">
        <f t="shared" si="8"/>
        <v>-744.31586717657046</v>
      </c>
      <c r="BM33" s="401">
        <f>(VLOOKUP($A33,TOCA_previous!$A$2:$AI$137,MATCH("RHWM 2022",TOCA_previous!$A$2:$AI$2,0),FALSE)*$F$2) - $BI33</f>
        <v>6570</v>
      </c>
      <c r="BN33" s="402">
        <f t="shared" si="9"/>
        <v>0</v>
      </c>
      <c r="BO33" s="401">
        <f t="shared" si="10"/>
        <v>744.31586717657046</v>
      </c>
      <c r="BP33" s="402">
        <f t="shared" si="11"/>
        <v>0</v>
      </c>
      <c r="BQ33" s="401">
        <f t="shared" si="2"/>
        <v>744.31586717657046</v>
      </c>
      <c r="BR33" s="108">
        <f>VLOOKUP($A33,TOCA_current!$A$2:$AI$137,MATCH(BR$4,TOCA_current!$A$2:$AI$2,0),FALSE)</f>
        <v>1.2902E-3</v>
      </c>
      <c r="BS33" s="108">
        <f>VLOOKUP($A33,TOCA_current!$A$2:$AI$137,MATCH(BS$4,TOCA_current!$A$2:$AI$2,0),FALSE)</f>
        <v>1.2902E-3</v>
      </c>
      <c r="BT33" s="189">
        <f t="shared" si="12"/>
        <v>0</v>
      </c>
      <c r="BU33" s="108">
        <f>VLOOKUP($A33,TOCA_current!A29:BG164,MATCH(BU$4,TOCA_current!$A$2:$BG$2,0),FALSE)</f>
        <v>0</v>
      </c>
      <c r="BV33" s="108">
        <f t="shared" si="3"/>
        <v>0</v>
      </c>
      <c r="BW33" s="108">
        <f t="shared" si="4"/>
        <v>0</v>
      </c>
      <c r="BX33" s="179">
        <f>VLOOKUP($A33,IRD!$A$4:$G$139, 7, FALSE)</f>
        <v>0</v>
      </c>
      <c r="BY33" s="180">
        <f t="array" ref="BY33">IF($BT33=0, INDEX(LS_current!$D$4:$AY$138, MATCH('Staging Table'!$A33, LS_current!$B$4:$B$138, 0), MATCH(BY$4&amp;BY$5, LS_current!$D$2:$AY$2&amp;LS_current!$D$3:$AY$3, 0)),SUM(VLOOKUP($A33, LS_current!$B$4:$AY$138, LS_current!D$148, FALSE), VLOOKUP($A33, LS_current!$B$4:$AY$138,LS_current!AB$148, FALSE))/2)</f>
        <v>173.58670475279951</v>
      </c>
      <c r="BZ33" s="180">
        <f t="array" ref="BZ33">IF($BT33=0, INDEX(LS_current!$D$4:$AY$138, MATCH('Staging Table'!$A33, LS_current!$B$4:$B$138, 0), MATCH(BZ$4&amp;BZ$5, LS_current!$D$2:$AY$2&amp;LS_current!$D$3:$AY$3, 0)),SUM(VLOOKUP($A33, LS_current!$B$4:$AY$138, LS_current!E$148, FALSE), VLOOKUP($A33, LS_current!$B$4:$AY$138,LS_current!AC$148, FALSE))/2)</f>
        <v>-172.31831784010001</v>
      </c>
      <c r="CA33" s="180">
        <f t="array" ref="CA33">IF($BT33=0, INDEX(LS_current!$D$4:$AY$138, MATCH('Staging Table'!$A33, LS_current!$B$4:$B$138, 0), MATCH(CA$4&amp;CA$5, LS_current!$D$2:$AY$2&amp;LS_current!$D$3:$AY$3, 0)),SUM(VLOOKUP($A33, LS_current!$B$4:$AY$138, LS_current!F$148, FALSE), VLOOKUP($A33, LS_current!$B$4:$AY$138,LS_current!AD$148, FALSE))/2)</f>
        <v>-40.74555058560054</v>
      </c>
      <c r="CB33" s="180">
        <f t="array" ref="CB33">IF($BT33=0, INDEX(LS_current!$D$4:$AY$138, MATCH('Staging Table'!$A33, LS_current!$B$4:$B$138, 0), MATCH(CB$4&amp;CB$5, LS_current!$D$2:$AY$2&amp;LS_current!$D$3:$AY$3, 0)),SUM(VLOOKUP($A33, LS_current!$B$4:$AY$138, LS_current!G$148, FALSE), VLOOKUP($A33, LS_current!$B$4:$AY$138,LS_current!AE$148, FALSE))/2)</f>
        <v>-106.85560971619998</v>
      </c>
      <c r="CC33" s="180">
        <f t="array" ref="CC33">IF($BT33=0, INDEX(LS_current!$D$4:$AY$138, MATCH('Staging Table'!$A33, LS_current!$B$4:$B$138, 0), MATCH(CC$4&amp;CC$5, LS_current!$D$2:$AY$2&amp;LS_current!$D$3:$AY$3, 0)),SUM(VLOOKUP($A33, LS_current!$B$4:$AY$138, LS_current!H$148, FALSE), VLOOKUP($A33, LS_current!$B$4:$AY$138,LS_current!AF$148, FALSE))/2)</f>
        <v>1081.3072995421999</v>
      </c>
      <c r="CD33" s="180">
        <f t="array" ref="CD33">IF($BT33=0, INDEX(LS_current!$D$4:$AY$138, MATCH('Staging Table'!$A33, LS_current!$B$4:$B$138, 0), MATCH(CD$4&amp;CD$5, LS_current!$D$2:$AY$2&amp;LS_current!$D$3:$AY$3, 0)),SUM(VLOOKUP($A33, LS_current!$B$4:$AY$138, LS_current!I$148, FALSE), VLOOKUP($A33, LS_current!$B$4:$AY$138,LS_current!AG$148, FALSE))/2)</f>
        <v>1122.1719334207996</v>
      </c>
      <c r="CE33" s="180">
        <f t="array" ref="CE33">IF($BT33=0, INDEX(LS_current!$D$4:$AY$138, MATCH('Staging Table'!$A33, LS_current!$B$4:$B$138, 0), MATCH(CE$4&amp;CE$5, LS_current!$D$2:$AY$2&amp;LS_current!$D$3:$AY$3, 0)),SUM(VLOOKUP($A33, LS_current!$B$4:$AY$138, LS_current!J$148, FALSE), VLOOKUP($A33, LS_current!$B$4:$AY$138,LS_current!AH$148, FALSE))/2)</f>
        <v>984.43954930700056</v>
      </c>
      <c r="CF33" s="180">
        <f t="array" ref="CF33">IF($BT33=0, INDEX(LS_current!$D$4:$AY$138, MATCH('Staging Table'!$A33, LS_current!$B$4:$B$138, 0), MATCH(CF$4&amp;CF$5, LS_current!$D$2:$AY$2&amp;LS_current!$D$3:$AY$3, 0)),SUM(VLOOKUP($A33, LS_current!$B$4:$AY$138, LS_current!K$148, FALSE), VLOOKUP($A33, LS_current!$B$4:$AY$138,LS_current!AI$148, FALSE))/2)</f>
        <v>812.18531498420043</v>
      </c>
      <c r="CG33" s="180">
        <f t="array" ref="CG33">IF($BT33=0, INDEX(LS_current!$D$4:$AY$138, MATCH('Staging Table'!$A33, LS_current!$B$4:$B$138, 0), MATCH(CG$4&amp;CG$5, LS_current!$D$2:$AY$2&amp;LS_current!$D$3:$AY$3, 0)),SUM(VLOOKUP($A33, LS_current!$B$4:$AY$138, LS_current!L$148, FALSE), VLOOKUP($A33, LS_current!$B$4:$AY$138,LS_current!AJ$148, FALSE))/2)</f>
        <v>352.54331691420066</v>
      </c>
      <c r="CH33" s="180">
        <f t="array" ref="CH33">IF($BT33=0, INDEX(LS_current!$D$4:$AY$138, MATCH('Staging Table'!$A33, LS_current!$B$4:$B$138, 0), MATCH(CH$4&amp;CH$5, LS_current!$D$2:$AY$2&amp;LS_current!$D$3:$AY$3, 0)),SUM(VLOOKUP($A33, LS_current!$B$4:$AY$138, LS_current!M$148, FALSE), VLOOKUP($A33, LS_current!$B$4:$AY$138,LS_current!AK$148, FALSE))/2)</f>
        <v>411.55949249820014</v>
      </c>
      <c r="CI33" s="180">
        <f t="array" ref="CI33">IF($BT33=0, INDEX(LS_current!$D$4:$AY$138, MATCH('Staging Table'!$A33, LS_current!$B$4:$B$138, 0), MATCH(CI$4&amp;CI$5, LS_current!$D$2:$AY$2&amp;LS_current!$D$3:$AY$3, 0)),SUM(VLOOKUP($A33, LS_current!$B$4:$AY$138, LS_current!N$148, FALSE), VLOOKUP($A33, LS_current!$B$4:$AY$138,LS_current!AL$148, FALSE))/2)</f>
        <v>-210.51563959260056</v>
      </c>
      <c r="CJ33" s="180">
        <f t="array" ref="CJ33">IF($BT33=0, INDEX(LS_current!$D$4:$AY$138, MATCH('Staging Table'!$A33, LS_current!$B$4:$B$138, 0), MATCH(CJ$4&amp;CJ$5, LS_current!$D$2:$AY$2&amp;LS_current!$D$3:$AY$3, 0)),SUM(VLOOKUP($A33, LS_current!$B$4:$AY$138, LS_current!O$148, FALSE), VLOOKUP($A33, LS_current!$B$4:$AY$138,LS_current!AM$148, FALSE))/2)</f>
        <v>-39.105377975599822</v>
      </c>
      <c r="CK33" s="180">
        <f t="array" ref="CK33">IF($BT33=0, INDEX(LS_current!$D$4:$AY$138, MATCH('Staging Table'!$A33, LS_current!$B$4:$B$138, 0), MATCH(CK$4&amp;CK$5, LS_current!$D$2:$AY$2&amp;LS_current!$D$3:$AY$3, 0)),SUM(VLOOKUP($A33, LS_current!$B$4:$AY$138, LS_current!P$148, FALSE), VLOOKUP($A33, LS_current!$B$4:$AY$138,LS_current!AN$148, FALSE))/2)</f>
        <v>428.41448546950005</v>
      </c>
      <c r="CL33" s="180">
        <f t="array" ref="CL33">IF($BT33=0, INDEX(LS_current!$D$4:$AY$138, MATCH('Staging Table'!$A33, LS_current!$B$4:$B$138, 0), MATCH(CL$4&amp;CL$5, LS_current!$D$2:$AY$2&amp;LS_current!$D$3:$AY$3, 0)),SUM(VLOOKUP($A33, LS_current!$B$4:$AY$138, LS_current!Q$148, FALSE), VLOOKUP($A33, LS_current!$B$4:$AY$138,LS_current!AO$148, FALSE))/2)</f>
        <v>-50.697408349849866</v>
      </c>
      <c r="CM33" s="180">
        <f t="array" ref="CM33">IF($BT33=0, INDEX(LS_current!$D$4:$AY$138, MATCH('Staging Table'!$A33, LS_current!$B$4:$B$138, 0), MATCH(CM$4&amp;CM$5, LS_current!$D$2:$AY$2&amp;LS_current!$D$3:$AY$3, 0)),SUM(VLOOKUP($A33, LS_current!$B$4:$AY$138, LS_current!R$148, FALSE), VLOOKUP($A33, LS_current!$B$4:$AY$138,LS_current!AP$148, FALSE))/2)</f>
        <v>-1073.5770972896007</v>
      </c>
      <c r="CN33" s="180">
        <f t="array" ref="CN33">IF($BT33=0, INDEX(LS_current!$D$4:$AY$138, MATCH('Staging Table'!$A33, LS_current!$B$4:$B$138, 0), MATCH(CN$4&amp;CN$5, LS_current!$D$2:$AY$2&amp;LS_current!$D$3:$AY$3, 0)),SUM(VLOOKUP($A33, LS_current!$B$4:$AY$138, LS_current!S$148, FALSE), VLOOKUP($A33, LS_current!$B$4:$AY$138,LS_current!AQ$148, FALSE))/2)</f>
        <v>-1122.2216282967001</v>
      </c>
      <c r="CO33" s="180">
        <f t="array" ref="CO33">IF($BT33=0, INDEX(LS_current!$D$4:$AY$138, MATCH('Staging Table'!$A33, LS_current!$B$4:$B$138, 0), MATCH(CO$4&amp;CO$5, LS_current!$D$2:$AY$2&amp;LS_current!$D$3:$AY$3, 0)),SUM(VLOOKUP($A33, LS_current!$B$4:$AY$138, LS_current!T$148, FALSE), VLOOKUP($A33, LS_current!$B$4:$AY$138,LS_current!AR$148, FALSE))/2)</f>
        <v>-1608.7902261251993</v>
      </c>
      <c r="CP33" s="180">
        <f t="array" ref="CP33">IF($BT33=0, INDEX(LS_current!$D$4:$AY$138, MATCH('Staging Table'!$A33, LS_current!$B$4:$B$138, 0), MATCH(CP$4&amp;CP$5, LS_current!$D$2:$AY$2&amp;LS_current!$D$3:$AY$3, 0)),SUM(VLOOKUP($A33, LS_current!$B$4:$AY$138, LS_current!U$148, FALSE), VLOOKUP($A33, LS_current!$B$4:$AY$138,LS_current!AS$148, FALSE))/2)</f>
        <v>-1305.9386753159001</v>
      </c>
      <c r="CQ33" s="180">
        <f t="array" ref="CQ33">IF($BT33=0, INDEX(LS_current!$D$4:$AY$138, MATCH('Staging Table'!$A33, LS_current!$B$4:$B$138, 0), MATCH(CQ$4&amp;CQ$5, LS_current!$D$2:$AY$2&amp;LS_current!$D$3:$AY$3, 0)),SUM(VLOOKUP($A33, LS_current!$B$4:$AY$138, LS_current!V$148, FALSE), VLOOKUP($A33, LS_current!$B$4:$AY$138,LS_current!AT$148, FALSE))/2)</f>
        <v>400.19661808720002</v>
      </c>
      <c r="CR33" s="180">
        <f t="array" ref="CR33">IF($BT33=0, INDEX(LS_current!$D$4:$AY$138, MATCH('Staging Table'!$A33, LS_current!$B$4:$B$138, 0), MATCH(CR$4&amp;CR$5, LS_current!$D$2:$AY$2&amp;LS_current!$D$3:$AY$3, 0)),SUM(VLOOKUP($A33, LS_current!$B$4:$AY$138, LS_current!W$148, FALSE), VLOOKUP($A33, LS_current!$B$4:$AY$138,LS_current!AU$148, FALSE))/2)</f>
        <v>-282.77313400049979</v>
      </c>
      <c r="CS33" s="180">
        <f t="array" ref="CS33">IF($BT33=0, INDEX(LS_current!$D$4:$AY$138, MATCH('Staging Table'!$A33, LS_current!$B$4:$B$138, 0), MATCH(CS$4&amp;CS$5, LS_current!$D$2:$AY$2&amp;LS_current!$D$3:$AY$3, 0)),SUM(VLOOKUP($A33, LS_current!$B$4:$AY$138, LS_current!X$148, FALSE), VLOOKUP($A33, LS_current!$B$4:$AY$138,LS_current!AV$148, FALSE))/2)</f>
        <v>582.96102073069915</v>
      </c>
      <c r="CT33" s="180">
        <f t="array" ref="CT33">IF($BT33=0, INDEX(LS_current!$D$4:$AY$138, MATCH('Staging Table'!$A33, LS_current!$B$4:$B$138, 0), MATCH(CT$4&amp;CT$5, LS_current!$D$2:$AY$2&amp;LS_current!$D$3:$AY$3, 0)),SUM(VLOOKUP($A33, LS_current!$B$4:$AY$138, LS_current!Y$148, FALSE), VLOOKUP($A33, LS_current!$B$4:$AY$138,LS_current!AW$148, FALSE))/2)</f>
        <v>-279.71307062246979</v>
      </c>
      <c r="CU33" s="180">
        <f t="array" ref="CU33">IF($BT33=0, INDEX(LS_current!$D$4:$AY$138, MATCH('Staging Table'!$A33, LS_current!$B$4:$B$138, 0), MATCH(CU$4&amp;CU$5, LS_current!$D$2:$AY$2&amp;LS_current!$D$3:$AY$3, 0)),SUM(VLOOKUP($A33, LS_current!$B$4:$AY$138, LS_current!Z$148, FALSE), VLOOKUP($A33, LS_current!$B$4:$AY$138,LS_current!AX$148, FALSE))/2)</f>
        <v>81.707638885199685</v>
      </c>
      <c r="CV33" s="180">
        <f t="array" ref="CV33">IF($BT33=0, INDEX(LS_current!$D$4:$AY$138, MATCH('Staging Table'!$A33, LS_current!$B$4:$B$138, 0), MATCH(CV$4&amp;CV$5, LS_current!$D$2:$AY$2&amp;LS_current!$D$3:$AY$3, 0)),SUM(VLOOKUP($A33, LS_current!$B$4:$AY$138, LS_current!AA$148, FALSE), VLOOKUP($A33, LS_current!$B$4:$AY$138,LS_current!AY$148, FALSE))/2)</f>
        <v>-138.60181798080021</v>
      </c>
      <c r="CW33" s="182">
        <f t="array" ref="CW33">INDEX(Demand_current!$D$4:$AY$138, MATCH($A33, Demand_current!$B$4:$B$138, 0), MATCH(CW$4&amp;CW$5,Demand_current!$D$2:$AY$2&amp;Demand_current!$D$3:$AY$3, 0))/1000</f>
        <v>0</v>
      </c>
      <c r="CX33" s="182">
        <f t="array" ref="CX33">INDEX(Demand_current!$D$4:$AY$138, MATCH($A33, Demand_current!$B$4:$B$138, 0), MATCH(CX$4&amp;CX$5,Demand_current!$D$2:$AY$2&amp;Demand_current!$D$3:$AY$3, 0))/1000</f>
        <v>0</v>
      </c>
      <c r="CY33" s="182">
        <f t="array" ref="CY33">INDEX(Demand_current!$D$4:$AY$138, MATCH($A33, Demand_current!$B$4:$B$138, 0), MATCH(CY$4&amp;CY$5,Demand_current!$D$2:$AY$2&amp;Demand_current!$D$3:$AY$3, 0))/1000</f>
        <v>3.5114050000000003</v>
      </c>
      <c r="CZ33" s="182">
        <f t="array" ref="CZ33">INDEX(Demand_current!$D$4:$AY$138, MATCH($A33, Demand_current!$B$4:$B$138, 0), MATCH(CZ$4&amp;CZ$5,Demand_current!$D$2:$AY$2&amp;Demand_current!$D$3:$AY$3, 0))/1000</f>
        <v>0.57466105769230591</v>
      </c>
      <c r="DA33" s="182">
        <f t="array" ref="DA33">INDEX(Demand_current!$D$4:$AY$138, MATCH($A33, Demand_current!$B$4:$B$138, 0), MATCH(DA$4&amp;DA$5,Demand_current!$D$2:$AY$2&amp;Demand_current!$D$3:$AY$3, 0))/1000</f>
        <v>0.83950499999999817</v>
      </c>
      <c r="DB33" s="182">
        <f t="array" ref="DB33">INDEX(Demand_current!$D$4:$AY$138, MATCH($A33, Demand_current!$B$4:$B$138, 0), MATCH(DB$4&amp;DB$5,Demand_current!$D$2:$AY$2&amp;Demand_current!$D$3:$AY$3, 0))/1000</f>
        <v>2.1468990384615401</v>
      </c>
      <c r="DC33" s="182">
        <f t="array" ref="DC33">INDEX(Demand_current!$D$4:$AY$138, MATCH($A33, Demand_current!$B$4:$B$138, 0), MATCH(DC$4&amp;DC$5,Demand_current!$D$2:$AY$2&amp;Demand_current!$D$3:$AY$3, 0))/1000</f>
        <v>1.4701899038461539</v>
      </c>
      <c r="DD33" s="182">
        <f t="array" ref="DD33">INDEX(Demand_current!$D$4:$AY$138, MATCH($A33, Demand_current!$B$4:$B$138, 0), MATCH(DD$4&amp;DD$5,Demand_current!$D$2:$AY$2&amp;Demand_current!$D$3:$AY$3, 0))/1000</f>
        <v>0</v>
      </c>
      <c r="DE33" s="182">
        <f t="array" ref="DE33">INDEX(Demand_current!$D$4:$AY$138, MATCH($A33, Demand_current!$B$4:$B$138, 0), MATCH(DE$4&amp;DE$5,Demand_current!$D$2:$AY$2&amp;Demand_current!$D$3:$AY$3, 0))/1000</f>
        <v>3.2686700000000002</v>
      </c>
      <c r="DF33" s="182">
        <f t="array" ref="DF33">INDEX(Demand_current!$D$4:$AY$138, MATCH($A33, Demand_current!$B$4:$B$138, 0), MATCH(DF$4&amp;DF$5,Demand_current!$D$2:$AY$2&amp;Demand_current!$D$3:$AY$3, 0))/1000</f>
        <v>2.1079206730769249</v>
      </c>
      <c r="DG33" s="182">
        <f t="array" ref="DG33">INDEX(Demand_current!$D$4:$AY$138, MATCH($A33, Demand_current!$B$4:$B$138, 0), MATCH(DG$4&amp;DG$5,Demand_current!$D$2:$AY$2&amp;Demand_current!$D$3:$AY$3, 0))/1000</f>
        <v>2.0023726851851862</v>
      </c>
      <c r="DH33" s="182">
        <f t="array" ref="DH33">INDEX(Demand_current!$D$4:$AY$138, MATCH($A33, Demand_current!$B$4:$B$138, 0), MATCH(DH$4&amp;DH$5,Demand_current!$D$2:$AY$2&amp;Demand_current!$D$3:$AY$3, 0))/1000</f>
        <v>0.91959114583333257</v>
      </c>
      <c r="DI33" s="180">
        <f>$BS33*(VLOOKUP(DI$4, Rates_current!$G$6:$Q$29, 10, FALSE)+VLOOKUP(DI$4, Rates_current!$G$6:$Q$29, 11, FALSE))</f>
        <v>5443.1006130873002</v>
      </c>
      <c r="DJ33" s="180">
        <f>$BS33*(VLOOKUP(DJ$4, Rates_current!$G$6:$Q$29, 10, FALSE)+VLOOKUP(DJ$4, Rates_current!$G$6:$Q$29, 11, FALSE))</f>
        <v>6941.7481603018014</v>
      </c>
      <c r="DK33" s="180">
        <f>$BS33*(VLOOKUP(DK$4, Rates_current!$G$6:$Q$29, 10, FALSE)+VLOOKUP(DK$4, Rates_current!$G$6:$Q$29, 11, FALSE))</f>
        <v>7491.5197670370007</v>
      </c>
      <c r="DL33" s="180">
        <f>$BS33*(VLOOKUP(DL$4, Rates_current!$G$6:$Q$29, 10, FALSE)+VLOOKUP(DL$4, Rates_current!$G$6:$Q$29, 11, FALSE))</f>
        <v>7784.8471357088001</v>
      </c>
      <c r="DM33" s="180">
        <f>$BS33*(VLOOKUP(DM$4, Rates_current!$G$6:$Q$29, 10, FALSE)+VLOOKUP(DM$4, Rates_current!$G$6:$Q$29, 11, FALSE))</f>
        <v>6696.0061905875991</v>
      </c>
      <c r="DN33" s="180">
        <f>$BS33*(VLOOKUP(DN$4, Rates_current!$G$6:$Q$29, 10, FALSE)+VLOOKUP(DN$4, Rates_current!$G$6:$Q$29, 11, FALSE))</f>
        <v>7310.7130175681996</v>
      </c>
      <c r="DO33" s="180">
        <f>$BS33*(VLOOKUP(DO$4, Rates_current!$G$6:$Q$29, 10, FALSE)+VLOOKUP(DO$4, Rates_current!$G$6:$Q$29, 11, FALSE))</f>
        <v>5770.5759228803499</v>
      </c>
      <c r="DP33" s="180">
        <f>$BS33*(VLOOKUP(DP$4, Rates_current!$G$6:$Q$29, 10, FALSE)+VLOOKUP(DP$4, Rates_current!$G$6:$Q$29, 11, FALSE))</f>
        <v>7159.1727255863007</v>
      </c>
      <c r="DQ33" s="180">
        <f>$BS33*(VLOOKUP(DQ$4, Rates_current!$G$6:$Q$29, 10, FALSE)+VLOOKUP(DQ$4, Rates_current!$G$6:$Q$29, 11, FALSE))</f>
        <v>7314.5089014410996</v>
      </c>
      <c r="DR33" s="180">
        <f>$BS33*(VLOOKUP(DR$4, Rates_current!$G$6:$Q$29, 10, FALSE)+VLOOKUP(DR$4, Rates_current!$G$6:$Q$29, 11, FALSE))</f>
        <v>6350.0475159133002</v>
      </c>
      <c r="DS33" s="180">
        <f>$BS33*(VLOOKUP(DS$4, Rates_current!$G$6:$Q$29, 10, FALSE)+VLOOKUP(DS$4, Rates_current!$G$6:$Q$29, 11, FALSE))</f>
        <v>6138.8080498917707</v>
      </c>
      <c r="DT33" s="180">
        <f>$BS33*(VLOOKUP(DT$4, Rates_current!$G$6:$Q$29, 10, FALSE)+VLOOKUP(DT$4, Rates_current!$G$6:$Q$29, 11, FALSE))</f>
        <v>5648.892179095601</v>
      </c>
      <c r="DU33" s="402">
        <f>IF(D33=0,IF(C33=0,MAX(0,DW33 - (VLOOKUP($A33,TOCA_current!$A$2:$AI$137,MATCH("RHWM 2024",TOCA_current!$A$2:$AI$2,0),FALSE)*$BS$2)), 0),0)</f>
        <v>0</v>
      </c>
      <c r="DV33" s="403">
        <f>MIN(VLOOKUP($A33,TOCA_current!$A$2:$AI$137,MATCH("TRL - NLSL - Existing Resource "&amp;$BS$1,TOCA_current!$A$2:$AI$2,0),FALSE)*$BS$2, VLOOKUP($A33,TOCA_current!$A$2:$AI$137,MATCH("RHWM 2024",TOCA_current!$A$2:$AI$2,0),FALSE)*$BS$2)</f>
        <v>80048.59199999999</v>
      </c>
      <c r="DW33" s="403">
        <f>SUM(BY33:CV33)+(BS33*RT1SC!$C$4*$BS$2)</f>
        <v>80049.160366932876</v>
      </c>
      <c r="DX33" s="403">
        <f>VLOOKUP($A33,TOCA_current!$A$2:$AI$137,MATCH("Above RHWM Not Served with LS "&amp;$BS$1,TOCA_current!$A$2:$AI$2,0),FALSE)*$BS$2</f>
        <v>0</v>
      </c>
      <c r="DY33" s="403">
        <f t="shared" si="13"/>
        <v>0.56836693288641982</v>
      </c>
      <c r="DZ33" s="403">
        <f>(VLOOKUP($A33,TOCA_current!$A$2:$AI$137,MATCH("RHWM 2024",TOCA_current!$A$2:$AI$2,0),FALSE)*$BS$2) - $DV33</f>
        <v>11788.128000000012</v>
      </c>
      <c r="EA33" s="403">
        <f t="shared" si="14"/>
        <v>-0.56836693288641982</v>
      </c>
      <c r="EB33" s="403">
        <f t="shared" si="15"/>
        <v>0</v>
      </c>
      <c r="EC33" s="403">
        <f t="shared" si="16"/>
        <v>0</v>
      </c>
      <c r="ED33" s="403">
        <f t="shared" si="17"/>
        <v>-0.56836693288641982</v>
      </c>
    </row>
    <row r="34" spans="1:134">
      <c r="A34" s="123">
        <v>10082</v>
      </c>
      <c r="B34" s="124" t="s">
        <v>35</v>
      </c>
      <c r="C34" s="232">
        <f>VLOOKUP(A34, TOCA_current!$A$3:$D$137, 4, FALSE)</f>
        <v>0</v>
      </c>
      <c r="D34" s="191">
        <v>0</v>
      </c>
      <c r="E34" s="107">
        <f>VLOOKUP($A34,TOCA_previous!$A$2:$AI$137,MATCH(E$4,TOCA_previous!$A$2:$AI$2,0),FALSE)</f>
        <v>1.4100000000000001E-5</v>
      </c>
      <c r="F34" s="108">
        <f>VLOOKUP($A34,TOCA_previous!$A$2:$AI$137,MATCH(F$4,TOCA_previous!$A$2:$AI$2,0),FALSE)</f>
        <v>1.4100000000000001E-5</v>
      </c>
      <c r="G34" s="108">
        <f t="shared" si="5"/>
        <v>0</v>
      </c>
      <c r="H34" s="108">
        <f>VLOOKUP($A34,TOCA_previous!$A$2:$AI$137,MATCH(H$4,TOCA_previous!$A$2:$AI$2,0),FALSE)</f>
        <v>0</v>
      </c>
      <c r="I34" s="108">
        <f t="shared" si="6"/>
        <v>0</v>
      </c>
      <c r="J34" s="108">
        <f t="shared" si="7"/>
        <v>0</v>
      </c>
      <c r="K34" s="179">
        <f>VLOOKUP(A34, IRD!$A$5:$C$139, 3, FALSE)</f>
        <v>0</v>
      </c>
      <c r="L34" s="180">
        <f t="array" ref="L34">IF($G34=0, INDEX(LS_previous!$D$4:$AY$138, MATCH('Staging Table'!$A34, LS_previous!$B$4:$B$138, 0), MATCH(L$4&amp;L$5, LS_previous!$D$2:$AY$2&amp;LS_previous!$D$3:$AY$3, 0)),SUM(VLOOKUP($A34, LS_previous!$B$4:$AY$138, LS_previous!D$149, FALSE), VLOOKUP('Staging Table'!$A34, LS_previous!$B$4:$AY$138,LS_previous!AB$149, FALSE))/2)</f>
        <v>-3.5251427299505451</v>
      </c>
      <c r="M34" s="180">
        <f t="array" ref="M34">IF($G34=0, INDEX(LS_previous!$D$4:$AY$138, MATCH('Staging Table'!$A34, LS_previous!$B$4:$B$138, 0), MATCH(M$4&amp;M$5, LS_previous!$D$2:$AY$2&amp;LS_previous!$D$3:$AY$3, 0)),SUM(VLOOKUP($A34, LS_previous!$B$4:$AY$138, LS_previous!E$149, FALSE), VLOOKUP('Staging Table'!$A34, LS_previous!$B$4:$AY$138,LS_previous!AC$149, FALSE))/2)</f>
        <v>5.2438083971922467</v>
      </c>
      <c r="N34" s="180">
        <f t="array" ref="N34">IF($G34=0, INDEX(LS_previous!$D$4:$AY$138, MATCH('Staging Table'!$A34, LS_previous!$B$4:$B$138, 0), MATCH(N$4&amp;N$5, LS_previous!$D$2:$AY$2&amp;LS_previous!$D$3:$AY$3, 0)),SUM(VLOOKUP($A34, LS_previous!$B$4:$AY$138, LS_previous!F$149, FALSE), VLOOKUP('Staging Table'!$A34, LS_previous!$B$4:$AY$138,LS_previous!AD$149, FALSE))/2)</f>
        <v>-1.5500269048325563</v>
      </c>
      <c r="O34" s="180">
        <f t="array" ref="O34">IF($G34=0, INDEX(LS_previous!$D$4:$AY$138, MATCH('Staging Table'!$A34, LS_previous!$B$4:$B$138, 0), MATCH(O$4&amp;O$5, LS_previous!$D$2:$AY$2&amp;LS_previous!$D$3:$AY$3, 0)),SUM(VLOOKUP($A34, LS_previous!$B$4:$AY$138, LS_previous!G$149, FALSE), VLOOKUP('Staging Table'!$A34, LS_previous!$B$4:$AY$138,LS_previous!AE$149, FALSE))/2)</f>
        <v>5.7074132861639022</v>
      </c>
      <c r="P34" s="180">
        <f t="array" ref="P34">IF($G34=0, INDEX(LS_previous!$D$4:$AY$138, MATCH('Staging Table'!$A34, LS_previous!$B$4:$B$138, 0), MATCH(P$4&amp;P$5, LS_previous!$D$2:$AY$2&amp;LS_previous!$D$3:$AY$3, 0)),SUM(VLOOKUP($A34, LS_previous!$B$4:$AY$138, LS_previous!H$149, FALSE), VLOOKUP('Staging Table'!$A34, LS_previous!$B$4:$AY$138,LS_previous!AF$149, FALSE))/2)</f>
        <v>12.340394426933145</v>
      </c>
      <c r="Q34" s="180">
        <f t="array" ref="Q34">IF($G34=0, INDEX(LS_previous!$D$4:$AY$138, MATCH('Staging Table'!$A34, LS_previous!$B$4:$B$138, 0), MATCH(Q$4&amp;Q$5, LS_previous!$D$2:$AY$2&amp;LS_previous!$D$3:$AY$3, 0)),SUM(VLOOKUP($A34, LS_previous!$B$4:$AY$138, LS_previous!I$149, FALSE), VLOOKUP('Staging Table'!$A34, LS_previous!$B$4:$AY$138,LS_previous!AG$149, FALSE))/2)</f>
        <v>12.748377740158439</v>
      </c>
      <c r="R34" s="180">
        <f t="array" ref="R34">IF($G34=0, INDEX(LS_previous!$D$4:$AY$138, MATCH('Staging Table'!$A34, LS_previous!$B$4:$B$138, 0), MATCH(R$4&amp;R$5, LS_previous!$D$2:$AY$2&amp;LS_previous!$D$3:$AY$3, 0)),SUM(VLOOKUP($A34, LS_previous!$B$4:$AY$138, LS_previous!J$149, FALSE), VLOOKUP('Staging Table'!$A34, LS_previous!$B$4:$AY$138,LS_previous!AH$149, FALSE))/2)</f>
        <v>21.126725874644755</v>
      </c>
      <c r="S34" s="180">
        <f t="array" ref="S34">IF($G34=0, INDEX(LS_previous!$D$4:$AY$138, MATCH('Staging Table'!$A34, LS_previous!$B$4:$B$138, 0), MATCH(S$4&amp;S$5, LS_previous!$D$2:$AY$2&amp;LS_previous!$D$3:$AY$3, 0)),SUM(VLOOKUP($A34, LS_previous!$B$4:$AY$138, LS_previous!K$149, FALSE), VLOOKUP('Staging Table'!$A34, LS_previous!$B$4:$AY$138,LS_previous!AI$149, FALSE))/2)</f>
        <v>16.182475604206548</v>
      </c>
      <c r="T34" s="180">
        <f t="array" ref="T34">IF($G34=0, INDEX(LS_previous!$D$4:$AY$138, MATCH('Staging Table'!$A34, LS_previous!$B$4:$B$138, 0), MATCH(T$4&amp;T$5, LS_previous!$D$2:$AY$2&amp;LS_previous!$D$3:$AY$3, 0)),SUM(VLOOKUP($A34, LS_previous!$B$4:$AY$138, LS_previous!L$149, FALSE), VLOOKUP('Staging Table'!$A34, LS_previous!$B$4:$AY$138,LS_previous!AJ$149, FALSE))/2)</f>
        <v>20.647669284551704</v>
      </c>
      <c r="U34" s="180">
        <f t="array" ref="U34">IF($G34=0, INDEX(LS_previous!$D$4:$AY$138, MATCH('Staging Table'!$A34, LS_previous!$B$4:$B$138, 0), MATCH(U$4&amp;U$5, LS_previous!$D$2:$AY$2&amp;LS_previous!$D$3:$AY$3, 0)),SUM(VLOOKUP($A34, LS_previous!$B$4:$AY$138, LS_previous!M$149, FALSE), VLOOKUP('Staging Table'!$A34, LS_previous!$B$4:$AY$138,LS_previous!AK$149, FALSE))/2)</f>
        <v>14.218674228628149</v>
      </c>
      <c r="V34" s="180">
        <f t="array" ref="V34">IF($G34=0, INDEX(LS_previous!$D$4:$AY$138, MATCH('Staging Table'!$A34, LS_previous!$B$4:$B$138, 0), MATCH(V$4&amp;V$5, LS_previous!$D$2:$AY$2&amp;LS_previous!$D$3:$AY$3, 0)),SUM(VLOOKUP($A34, LS_previous!$B$4:$AY$138, LS_previous!N$149, FALSE), VLOOKUP('Staging Table'!$A34, LS_previous!$B$4:$AY$138,LS_previous!AL$149, FALSE))/2)</f>
        <v>4.9300665565078532</v>
      </c>
      <c r="W34" s="180">
        <f t="array" ref="W34">IF($G34=0, INDEX(LS_previous!$D$4:$AY$138, MATCH('Staging Table'!$A34, LS_previous!$B$4:$B$138, 0), MATCH(W$4&amp;W$5, LS_previous!$D$2:$AY$2&amp;LS_previous!$D$3:$AY$3, 0)),SUM(VLOOKUP($A34, LS_previous!$B$4:$AY$138, LS_previous!O$149, FALSE), VLOOKUP('Staging Table'!$A34, LS_previous!$B$4:$AY$138,LS_previous!AM$149, FALSE))/2)</f>
        <v>9.6102183922435955</v>
      </c>
      <c r="X34" s="180">
        <f t="array" ref="X34">IF($G34=0, INDEX(LS_previous!$D$4:$AY$138, MATCH('Staging Table'!$A34, LS_previous!$B$4:$B$138, 0), MATCH(X$4&amp;X$5, LS_previous!$D$2:$AY$2&amp;LS_previous!$D$3:$AY$3, 0)),SUM(VLOOKUP($A34, LS_previous!$B$4:$AY$138, LS_previous!P$149, FALSE), VLOOKUP('Staging Table'!$A34, LS_previous!$B$4:$AY$138,LS_previous!AN$149, FALSE))/2)</f>
        <v>6.5038777815878532</v>
      </c>
      <c r="Y34" s="180">
        <f t="array" ref="Y34">IF($G34=0, INDEX(LS_previous!$D$4:$AY$138, MATCH('Staging Table'!$A34, LS_previous!$B$4:$B$138, 0), MATCH(Y$4&amp;Y$5, LS_previous!$D$2:$AY$2&amp;LS_previous!$D$3:$AY$3, 0)),SUM(VLOOKUP($A34, LS_previous!$B$4:$AY$138, LS_previous!Q$149, FALSE), VLOOKUP('Staging Table'!$A34, LS_previous!$B$4:$AY$138,LS_previous!AO$149, FALSE))/2)</f>
        <v>7.7986198414697974</v>
      </c>
      <c r="Z34" s="180">
        <f t="array" ref="Z34">IF($G34=0, INDEX(LS_previous!$D$4:$AY$138, MATCH('Staging Table'!$A34, LS_previous!$B$4:$B$138, 0), MATCH(Z$4&amp;Z$5, LS_previous!$D$2:$AY$2&amp;LS_previous!$D$3:$AY$3, 0)),SUM(VLOOKUP($A34, LS_previous!$B$4:$AY$138, LS_previous!R$149, FALSE), VLOOKUP('Staging Table'!$A34, LS_previous!$B$4:$AY$138,LS_previous!AP$149, FALSE))/2)</f>
        <v>-15.896506405225949</v>
      </c>
      <c r="AA34" s="180">
        <f t="array" ref="AA34">IF($G34=0, INDEX(LS_previous!$D$4:$AY$138, MATCH('Staging Table'!$A34, LS_previous!$B$4:$B$138, 0), MATCH(AA$4&amp;AA$5, LS_previous!$D$2:$AY$2&amp;LS_previous!$D$3:$AY$3, 0)),SUM(VLOOKUP($A34, LS_previous!$B$4:$AY$138, LS_previous!S$149, FALSE), VLOOKUP('Staging Table'!$A34, LS_previous!$B$4:$AY$138,LS_previous!AQ$149, FALSE))/2)</f>
        <v>1.0067203554264488</v>
      </c>
      <c r="AB34" s="180">
        <f t="array" ref="AB34">IF($G34=0, INDEX(LS_previous!$D$4:$AY$138, MATCH('Staging Table'!$A34, LS_previous!$B$4:$B$138, 0), MATCH(AB$4&amp;AB$5, LS_previous!$D$2:$AY$2&amp;LS_previous!$D$3:$AY$3, 0)),SUM(VLOOKUP($A34, LS_previous!$B$4:$AY$138, LS_previous!T$149, FALSE), VLOOKUP('Staging Table'!$A34, LS_previous!$B$4:$AY$138,LS_previous!AR$149, FALSE))/2)</f>
        <v>-24.957354072186103</v>
      </c>
      <c r="AC34" s="180">
        <f t="array" ref="AC34">IF($G34=0, INDEX(LS_previous!$D$4:$AY$138, MATCH('Staging Table'!$A34, LS_previous!$B$4:$B$138, 0), MATCH(AC$4&amp;AC$5, LS_previous!$D$2:$AY$2&amp;LS_previous!$D$3:$AY$3, 0)),SUM(VLOOKUP($A34, LS_previous!$B$4:$AY$138, LS_previous!U$149, FALSE), VLOOKUP('Staging Table'!$A34, LS_previous!$B$4:$AY$138,LS_previous!AS$149, FALSE))/2)</f>
        <v>-0.3004499327042538</v>
      </c>
      <c r="AD34" s="180">
        <f t="array" ref="AD34">IF($G34=0, INDEX(LS_previous!$D$4:$AY$138, MATCH('Staging Table'!$A34, LS_previous!$B$4:$B$138, 0), MATCH(AD$4&amp;AD$5, LS_previous!$D$2:$AY$2&amp;LS_previous!$D$3:$AY$3, 0)),SUM(VLOOKUP($A34, LS_previous!$B$4:$AY$138, LS_previous!V$149, FALSE), VLOOKUP('Staging Table'!$A34, LS_previous!$B$4:$AY$138,LS_previous!AT$149, FALSE))/2)</f>
        <v>-16.33528427216325</v>
      </c>
      <c r="AE34" s="180">
        <f t="array" ref="AE34">IF($G34=0, INDEX(LS_previous!$D$4:$AY$138, MATCH('Staging Table'!$A34, LS_previous!$B$4:$B$138, 0), MATCH(AE$4&amp;AE$5, LS_previous!$D$2:$AY$2&amp;LS_previous!$D$3:$AY$3, 0)),SUM(VLOOKUP($A34, LS_previous!$B$4:$AY$138, LS_previous!W$149, FALSE), VLOOKUP('Staging Table'!$A34, LS_previous!$B$4:$AY$138,LS_previous!AU$149, FALSE))/2)</f>
        <v>-1.2650115201615009</v>
      </c>
      <c r="AF34" s="180">
        <f t="array" ref="AF34">IF($G34=0, INDEX(LS_previous!$D$4:$AY$138, MATCH('Staging Table'!$A34, LS_previous!$B$4:$B$138, 0), MATCH(AF$4&amp;AF$5, LS_previous!$D$2:$AY$2&amp;LS_previous!$D$3:$AY$3, 0)),SUM(VLOOKUP($A34, LS_previous!$B$4:$AY$138, LS_previous!X$149, FALSE), VLOOKUP('Staging Table'!$A34, LS_previous!$B$4:$AY$138,LS_previous!AV$149, FALSE))/2)</f>
        <v>-15.009154067092446</v>
      </c>
      <c r="AG34" s="180">
        <f t="array" ref="AG34">IF($G34=0, INDEX(LS_previous!$D$4:$AY$138, MATCH('Staging Table'!$A34, LS_previous!$B$4:$B$138, 0), MATCH(AG$4&amp;AG$5, LS_previous!$D$2:$AY$2&amp;LS_previous!$D$3:$AY$3, 0)),SUM(VLOOKUP($A34, LS_previous!$B$4:$AY$138, LS_previous!Y$149, FALSE), VLOOKUP('Staging Table'!$A34, LS_previous!$B$4:$AY$138,LS_previous!AW$149, FALSE))/2)</f>
        <v>-2.1194725211795991</v>
      </c>
      <c r="AH34" s="180">
        <f t="array" ref="AH34">IF($G34=0, INDEX(LS_previous!$D$4:$AY$138, MATCH('Staging Table'!$A34, LS_previous!$B$4:$B$138, 0), MATCH(AH$4&amp;AH$5, LS_previous!$D$2:$AY$2&amp;LS_previous!$D$3:$AY$3, 0)),SUM(VLOOKUP($A34, LS_previous!$B$4:$AY$138, LS_previous!Z$149, FALSE), VLOOKUP('Staging Table'!$A34, LS_previous!$B$4:$AY$138,LS_previous!AX$149, FALSE))/2)</f>
        <v>-14.022558412305056</v>
      </c>
      <c r="AI34" s="180">
        <f t="array" ref="AI34">IF($G34=0, INDEX(LS_previous!$D$4:$AY$138, MATCH('Staging Table'!$A34, LS_previous!$B$4:$B$138, 0), MATCH(AI$4&amp;AI$5, LS_previous!$D$2:$AY$2&amp;LS_previous!$D$3:$AY$3, 0)),SUM(VLOOKUP($A34, LS_previous!$B$4:$AY$138, LS_previous!AA$149, FALSE), VLOOKUP('Staging Table'!$A34, LS_previous!$B$4:$AY$138,LS_previous!AY$149, FALSE))/2)</f>
        <v>-1.1391566130539488</v>
      </c>
      <c r="AJ34" s="298">
        <f t="array" ref="AJ34">INDEX(Demand_previous!$D$4:$AY$138, MATCH('Staging Table'!$A34, Demand_previous!$B$4:$B$138, 0), MATCH(AJ$4&amp;AJ$5,Demand_previous!$D$2:$AY$2&amp;Demand_previous!$D$3:$AY$3, 0))/1000</f>
        <v>9.4759615384615442E-3</v>
      </c>
      <c r="AK34" s="298">
        <f t="array" ref="AK34">INDEX(Demand_previous!$D$4:$AY$138, MATCH('Staging Table'!$A34, Demand_previous!$B$4:$B$138, 0), MATCH(AK$4&amp;AK$5,Demand_previous!$D$2:$AY$2&amp;Demand_previous!$D$3:$AY$3, 0))/1000</f>
        <v>1.3162499999999994E-2</v>
      </c>
      <c r="AL34" s="298">
        <f t="array" ref="AL34">INDEX(Demand_previous!$D$4:$AY$138, MATCH('Staging Table'!$A34, Demand_previous!$B$4:$B$138, 0), MATCH(AL$4&amp;AL$5,Demand_previous!$D$2:$AY$2&amp;Demand_previous!$D$3:$AY$3, 0))/1000</f>
        <v>3.2064903846153868E-2</v>
      </c>
      <c r="AM34" s="298">
        <f t="array" ref="AM34">INDEX(Demand_previous!$D$4:$AY$138, MATCH('Staging Table'!$A34, Demand_previous!$B$4:$B$138, 0), MATCH(AM$4&amp;AM$5,Demand_previous!$D$2:$AY$2&amp;Demand_previous!$D$3:$AY$3, 0))/1000</f>
        <v>5.3714999999999999E-2</v>
      </c>
      <c r="AN34" s="298">
        <f t="array" ref="AN34">INDEX(Demand_previous!$D$4:$AY$138, MATCH('Staging Table'!$A34, Demand_previous!$B$4:$B$138, 0), MATCH(AN$4&amp;AN$5,Demand_previous!$D$2:$AY$2&amp;Demand_previous!$D$3:$AY$3, 0))/1000</f>
        <v>1.3062500000000005E-2</v>
      </c>
      <c r="AO34" s="298">
        <f t="array" ref="AO34">INDEX(Demand_previous!$D$4:$AY$138, MATCH('Staging Table'!$A34, Demand_previous!$B$4:$B$138, 0), MATCH(AO$4&amp;AO$5,Demand_previous!$D$2:$AY$2&amp;Demand_previous!$D$3:$AY$3, 0))/1000</f>
        <v>1.4916666666666661E-2</v>
      </c>
      <c r="AP34" s="298">
        <f t="array" ref="AP34">INDEX(Demand_previous!$D$4:$AY$138, MATCH('Staging Table'!$A34, Demand_previous!$B$4:$B$138, 0), MATCH(AP$4&amp;AP$5,Demand_previous!$D$2:$AY$2&amp;Demand_previous!$D$3:$AY$3, 0))/1000</f>
        <v>1.1610576923076765E-3</v>
      </c>
      <c r="AQ34" s="298">
        <f t="array" ref="AQ34">INDEX(Demand_previous!$D$4:$AY$138, MATCH('Staging Table'!$A34, Demand_previous!$B$4:$B$138, 0), MATCH(AQ$4&amp;AQ$5,Demand_previous!$D$2:$AY$2&amp;Demand_previous!$D$3:$AY$3, 0))/1000</f>
        <v>0</v>
      </c>
      <c r="AR34" s="298">
        <f t="array" ref="AR34">INDEX(Demand_previous!$D$4:$AY$138, MATCH('Staging Table'!$A34, Demand_previous!$B$4:$B$138, 0), MATCH(AR$4&amp;AR$5,Demand_previous!$D$2:$AY$2&amp;Demand_previous!$D$3:$AY$3, 0))/1000</f>
        <v>1.2019230769232114E-5</v>
      </c>
      <c r="AS34" s="298">
        <f t="array" ref="AS34">INDEX(Demand_previous!$D$4:$AY$138, MATCH('Staging Table'!$A34, Demand_previous!$B$4:$B$138, 0), MATCH(AS$4&amp;AS$5,Demand_previous!$D$2:$AY$2&amp;Demand_previous!$D$3:$AY$3, 0))/1000</f>
        <v>5.2749999999999984E-3</v>
      </c>
      <c r="AT34" s="298">
        <f t="array" ref="AT34">INDEX(Demand_previous!$D$4:$AY$138, MATCH('Staging Table'!$A34, Demand_previous!$B$4:$B$138, 0), MATCH(AT$4&amp;AT$5,Demand_previous!$D$2:$AY$2&amp;Demand_previous!$D$3:$AY$3, 0))/1000</f>
        <v>8.9467592592592533E-3</v>
      </c>
      <c r="AU34" s="298">
        <f t="array" ref="AU34">INDEX(Demand_previous!$D$4:$AY$138, MATCH('Staging Table'!$A34, Demand_previous!$B$4:$B$138, 0), MATCH(AU$4&amp;AU$5,Demand_previous!$D$2:$AY$2&amp;Demand_previous!$D$3:$AY$3, 0))/1000</f>
        <v>1.0317500000000007E-2</v>
      </c>
      <c r="AV34" s="180">
        <f>$F34*(VLOOKUP(AV$4, Rates_previous!$G$6:$Q$29, 10, FALSE)+VLOOKUP(AV$4, Rates_previous!$G$6:$Q$29, 11, FALSE))</f>
        <v>64.210334332758308</v>
      </c>
      <c r="AW34" s="180">
        <f>$F34*(VLOOKUP(AW$4, Rates_previous!$G$6:$Q$29, 10, FALSE)+VLOOKUP(AW$4, Rates_previous!$G$6:$Q$29, 11, FALSE))</f>
        <v>81.292613618668668</v>
      </c>
      <c r="AX34" s="180">
        <f>$F34*(VLOOKUP(AX$4, Rates_previous!$G$6:$Q$29, 10, FALSE)+VLOOKUP(AX$4, Rates_previous!$G$6:$Q$29, 11, FALSE))</f>
        <v>79.56922783290841</v>
      </c>
      <c r="AY34" s="180">
        <f>$F34*(VLOOKUP(AY$4, Rates_previous!$G$6:$Q$29, 10, FALSE)+VLOOKUP(AY$4, Rates_previous!$G$6:$Q$29, 11, FALSE))</f>
        <v>65.720798521148708</v>
      </c>
      <c r="AZ34" s="180">
        <f>$F34*(VLOOKUP(AZ$4, Rates_previous!$G$6:$Q$29, 10, FALSE)+VLOOKUP(AZ$4, Rates_previous!$G$6:$Q$29, 11, FALSE))</f>
        <v>56.961656486820146</v>
      </c>
      <c r="BA34" s="180">
        <f>$F34*(VLOOKUP(BA$4, Rates_previous!$G$6:$Q$29, 10, FALSE)+VLOOKUP(BA$4, Rates_previous!$G$6:$Q$29, 11, FALSE))</f>
        <v>68.000715051248548</v>
      </c>
      <c r="BB34" s="180">
        <f>$F34*(VLOOKUP(BB$4, Rates_previous!$G$6:$Q$29, 10, FALSE)+VLOOKUP(BB$4, Rates_previous!$G$6:$Q$29, 11, FALSE))</f>
        <v>52.793502376942349</v>
      </c>
      <c r="BC34" s="180">
        <f>$F34*(VLOOKUP(BC$4, Rates_previous!$G$6:$Q$29, 10, FALSE)+VLOOKUP(BC$4, Rates_previous!$G$6:$Q$29, 11, FALSE))</f>
        <v>73.145786049799497</v>
      </c>
      <c r="BD34" s="180">
        <f>$F34*(VLOOKUP(BD$4, Rates_previous!$G$6:$Q$29, 10, FALSE)+VLOOKUP(BD$4, Rates_previous!$G$6:$Q$29, 11, FALSE))</f>
        <v>78.157804004890352</v>
      </c>
      <c r="BE34" s="180">
        <f>$F34*(VLOOKUP(BE$4, Rates_previous!$G$6:$Q$29, 10, FALSE)+VLOOKUP(BE$4, Rates_previous!$G$6:$Q$29, 11, FALSE))</f>
        <v>74.207295792324757</v>
      </c>
      <c r="BF34" s="180">
        <f>$F34*(VLOOKUP(BF$4, Rates_previous!$G$6:$Q$29, 10, FALSE)+VLOOKUP(BF$4, Rates_previous!$G$6:$Q$29, 11, FALSE))</f>
        <v>71.715626588272045</v>
      </c>
      <c r="BG34" s="180">
        <f>$F34*(VLOOKUP(BG$4, Rates_previous!$G$6:$Q$29, 10, FALSE)+VLOOKUP(BG$4, Rates_previous!$G$6:$Q$29, 11, FALSE))</f>
        <v>66.272715025359005</v>
      </c>
      <c r="BH34" s="298">
        <f>IF($D34=0,IF(C34=0, MAX(BJ34 - (VLOOKUP($A34,TOCA_previous!$A$2:$AI$137,MATCH("RHWM 2022",TOCA_previous!$A$2:$AI$2,0),FALSE)*$F$2*TOCA_previous!C31),0),0), 0)</f>
        <v>0</v>
      </c>
      <c r="BI34" s="192">
        <f>MIN(VLOOKUP($A34,TOCA_previous!$A$2:$AI$137,MATCH("TRL - NLSL - Existing Resource "&amp;$F$1,TOCA_previous!$A$2:$AI$2,0),FALSE)*$F$2,(VLOOKUP($A34,TOCA_previous!$A$2:$AI$137,MATCH("RHWM 2022",TOCA_previous!$A$2:$AI$2,0),FALSE)*$F$2))</f>
        <v>832.2</v>
      </c>
      <c r="BJ34" s="402">
        <f>SUM(L34:AI34)+(F34*RT1SC!$C$3*$F$2)</f>
        <v>873.99304256285927</v>
      </c>
      <c r="BK34" s="401">
        <f>VLOOKUP($A34,TOCA_previous!$A$2:$AI$137,MATCH("Above RHWM Not Served with LS "&amp;$F$1,TOCA_previous!$A$2:$AI$2,0),FALSE)*$F$2</f>
        <v>0</v>
      </c>
      <c r="BL34" s="402">
        <f t="shared" si="8"/>
        <v>41.793042562859227</v>
      </c>
      <c r="BM34" s="401">
        <f>(VLOOKUP($A34,TOCA_previous!$A$2:$AI$137,MATCH("RHWM 2022",TOCA_previous!$A$2:$AI$2,0),FALSE)*$F$2) - $BI34</f>
        <v>157.67999999999995</v>
      </c>
      <c r="BN34" s="402">
        <f t="shared" si="9"/>
        <v>-41.793042562859227</v>
      </c>
      <c r="BO34" s="401">
        <f t="shared" si="10"/>
        <v>0</v>
      </c>
      <c r="BP34" s="402">
        <f t="shared" si="11"/>
        <v>0</v>
      </c>
      <c r="BQ34" s="401">
        <f t="shared" si="2"/>
        <v>-41.793042562859227</v>
      </c>
      <c r="BR34" s="108">
        <f>VLOOKUP($A34,TOCA_current!$A$2:$AI$137,MATCH(BR$4,TOCA_current!$A$2:$AI$2,0),FALSE)</f>
        <v>1.4E-5</v>
      </c>
      <c r="BS34" s="108">
        <f>VLOOKUP($A34,TOCA_current!$A$2:$AI$137,MATCH(BS$4,TOCA_current!$A$2:$AI$2,0),FALSE)</f>
        <v>1.4E-5</v>
      </c>
      <c r="BT34" s="189">
        <f t="shared" si="12"/>
        <v>0</v>
      </c>
      <c r="BU34" s="108">
        <f>VLOOKUP($A34,TOCA_current!A30:BG165,MATCH(BU$4,TOCA_current!$A$2:$BG$2,0),FALSE)</f>
        <v>0</v>
      </c>
      <c r="BV34" s="108">
        <f t="shared" si="3"/>
        <v>0</v>
      </c>
      <c r="BW34" s="108">
        <f t="shared" si="4"/>
        <v>0</v>
      </c>
      <c r="BX34" s="179">
        <f>VLOOKUP($A34,IRD!$A$4:$G$139, 7, FALSE)</f>
        <v>0</v>
      </c>
      <c r="BY34" s="180">
        <f t="array" ref="BY34">IF($BT34=0, INDEX(LS_current!$D$4:$AY$138, MATCH('Staging Table'!$A34, LS_current!$B$4:$B$138, 0), MATCH(BY$4&amp;BY$5, LS_current!$D$2:$AY$2&amp;LS_current!$D$3:$AY$3, 0)),SUM(VLOOKUP($A34, LS_current!$B$4:$AY$138, LS_current!D$148, FALSE), VLOOKUP($A34, LS_current!$B$4:$AY$138,LS_current!AB$148, FALSE))/2)</f>
        <v>1.9237834959999986</v>
      </c>
      <c r="BZ34" s="180">
        <f t="array" ref="BZ34">IF($BT34=0, INDEX(LS_current!$D$4:$AY$138, MATCH('Staging Table'!$A34, LS_current!$B$4:$B$138, 0), MATCH(BZ$4&amp;BZ$5, LS_current!$D$2:$AY$2&amp;LS_current!$D$3:$AY$3, 0)),SUM(VLOOKUP($A34, LS_current!$B$4:$AY$138, LS_current!E$148, FALSE), VLOOKUP($A34, LS_current!$B$4:$AY$138,LS_current!AC$148, FALSE))/2)</f>
        <v>4.9419638430000035</v>
      </c>
      <c r="CA34" s="180">
        <f t="array" ref="CA34">IF($BT34=0, INDEX(LS_current!$D$4:$AY$138, MATCH('Staging Table'!$A34, LS_current!$B$4:$B$138, 0), MATCH(CA$4&amp;CA$5, LS_current!$D$2:$AY$2&amp;LS_current!$D$3:$AY$3, 0)),SUM(VLOOKUP($A34, LS_current!$B$4:$AY$138, LS_current!F$148, FALSE), VLOOKUP($A34, LS_current!$B$4:$AY$138,LS_current!AD$148, FALSE))/2)</f>
        <v>2.6321774079999969</v>
      </c>
      <c r="CB34" s="180">
        <f t="array" ref="CB34">IF($BT34=0, INDEX(LS_current!$D$4:$AY$138, MATCH('Staging Table'!$A34, LS_current!$B$4:$B$138, 0), MATCH(CB$4&amp;CB$5, LS_current!$D$2:$AY$2&amp;LS_current!$D$3:$AY$3, 0)),SUM(VLOOKUP($A34, LS_current!$B$4:$AY$138, LS_current!G$148, FALSE), VLOOKUP($A34, LS_current!$B$4:$AY$138,LS_current!AE$148, FALSE))/2)</f>
        <v>7.4926991660000013</v>
      </c>
      <c r="CC34" s="180">
        <f t="array" ref="CC34">IF($BT34=0, INDEX(LS_current!$D$4:$AY$138, MATCH('Staging Table'!$A34, LS_current!$B$4:$B$138, 0), MATCH(CC$4&amp;CC$5, LS_current!$D$2:$AY$2&amp;LS_current!$D$3:$AY$3, 0)),SUM(VLOOKUP($A34, LS_current!$B$4:$AY$138, LS_current!H$148, FALSE), VLOOKUP($A34, LS_current!$B$4:$AY$138,LS_current!AF$148, FALSE))/2)</f>
        <v>8.5101996539999973</v>
      </c>
      <c r="CD34" s="180">
        <f t="array" ref="CD34">IF($BT34=0, INDEX(LS_current!$D$4:$AY$138, MATCH('Staging Table'!$A34, LS_current!$B$4:$B$138, 0), MATCH(CD$4&amp;CD$5, LS_current!$D$2:$AY$2&amp;LS_current!$D$3:$AY$3, 0)),SUM(VLOOKUP($A34, LS_current!$B$4:$AY$138, LS_current!I$148, FALSE), VLOOKUP($A34, LS_current!$B$4:$AY$138,LS_current!AG$148, FALSE))/2)</f>
        <v>14.857088255999997</v>
      </c>
      <c r="CE34" s="180">
        <f t="array" ref="CE34">IF($BT34=0, INDEX(LS_current!$D$4:$AY$138, MATCH('Staging Table'!$A34, LS_current!$B$4:$B$138, 0), MATCH(CE$4&amp;CE$5, LS_current!$D$2:$AY$2&amp;LS_current!$D$3:$AY$3, 0)),SUM(VLOOKUP($A34, LS_current!$B$4:$AY$138, LS_current!J$148, FALSE), VLOOKUP($A34, LS_current!$B$4:$AY$138,LS_current!AH$148, FALSE))/2)</f>
        <v>6.2143159900000029</v>
      </c>
      <c r="CF34" s="180">
        <f t="array" ref="CF34">IF($BT34=0, INDEX(LS_current!$D$4:$AY$138, MATCH('Staging Table'!$A34, LS_current!$B$4:$B$138, 0), MATCH(CF$4&amp;CF$5, LS_current!$D$2:$AY$2&amp;LS_current!$D$3:$AY$3, 0)),SUM(VLOOKUP($A34, LS_current!$B$4:$AY$138, LS_current!K$148, FALSE), VLOOKUP($A34, LS_current!$B$4:$AY$138,LS_current!AI$148, FALSE))/2)</f>
        <v>12.342067594</v>
      </c>
      <c r="CG34" s="180">
        <f t="array" ref="CG34">IF($BT34=0, INDEX(LS_current!$D$4:$AY$138, MATCH('Staging Table'!$A34, LS_current!$B$4:$B$138, 0), MATCH(CG$4&amp;CG$5, LS_current!$D$2:$AY$2&amp;LS_current!$D$3:$AY$3, 0)),SUM(VLOOKUP($A34, LS_current!$B$4:$AY$138, LS_current!L$148, FALSE), VLOOKUP($A34, LS_current!$B$4:$AY$138,LS_current!AJ$148, FALSE))/2)</f>
        <v>7.5360576940000001</v>
      </c>
      <c r="CH34" s="180">
        <f t="array" ref="CH34">IF($BT34=0, INDEX(LS_current!$D$4:$AY$138, MATCH('Staging Table'!$A34, LS_current!$B$4:$B$138, 0), MATCH(CH$4&amp;CH$5, LS_current!$D$2:$AY$2&amp;LS_current!$D$3:$AY$3, 0)),SUM(VLOOKUP($A34, LS_current!$B$4:$AY$138, LS_current!M$148, FALSE), VLOOKUP($A34, LS_current!$B$4:$AY$138,LS_current!AK$148, FALSE))/2)</f>
        <v>11.633372573999999</v>
      </c>
      <c r="CI34" s="180">
        <f t="array" ref="CI34">IF($BT34=0, INDEX(LS_current!$D$4:$AY$138, MATCH('Staging Table'!$A34, LS_current!$B$4:$B$138, 0), MATCH(CI$4&amp;CI$5, LS_current!$D$2:$AY$2&amp;LS_current!$D$3:$AY$3, 0)),SUM(VLOOKUP($A34, LS_current!$B$4:$AY$138, LS_current!N$148, FALSE), VLOOKUP($A34, LS_current!$B$4:$AY$138,LS_current!AL$148, FALSE))/2)</f>
        <v>-1.6068675819999996</v>
      </c>
      <c r="CJ34" s="180">
        <f t="array" ref="CJ34">IF($BT34=0, INDEX(LS_current!$D$4:$AY$138, MATCH('Staging Table'!$A34, LS_current!$B$4:$B$138, 0), MATCH(CJ$4&amp;CJ$5, LS_current!$D$2:$AY$2&amp;LS_current!$D$3:$AY$3, 0)),SUM(VLOOKUP($A34, LS_current!$B$4:$AY$138, LS_current!O$148, FALSE), VLOOKUP($A34, LS_current!$B$4:$AY$138,LS_current!AM$148, FALSE))/2)</f>
        <v>4.8190951079999991</v>
      </c>
      <c r="CK34" s="180">
        <f t="array" ref="CK34">IF($BT34=0, INDEX(LS_current!$D$4:$AY$138, MATCH('Staging Table'!$A34, LS_current!$B$4:$B$138, 0), MATCH(CK$4&amp;CK$5, LS_current!$D$2:$AY$2&amp;LS_current!$D$3:$AY$3, 0)),SUM(VLOOKUP($A34, LS_current!$B$4:$AY$138, LS_current!P$148, FALSE), VLOOKUP($A34, LS_current!$B$4:$AY$138,LS_current!AN$148, FALSE))/2)</f>
        <v>0.92329111500000494</v>
      </c>
      <c r="CL34" s="180">
        <f t="array" ref="CL34">IF($BT34=0, INDEX(LS_current!$D$4:$AY$138, MATCH('Staging Table'!$A34, LS_current!$B$4:$B$138, 0), MATCH(CL$4&amp;CL$5, LS_current!$D$2:$AY$2&amp;LS_current!$D$3:$AY$3, 0)),SUM(VLOOKUP($A34, LS_current!$B$4:$AY$138, LS_current!Q$148, FALSE), VLOOKUP($A34, LS_current!$B$4:$AY$138,LS_current!AO$148, FALSE))/2)</f>
        <v>3.556011535500005</v>
      </c>
      <c r="CM34" s="180">
        <f t="array" ref="CM34">IF($BT34=0, INDEX(LS_current!$D$4:$AY$138, MATCH('Staging Table'!$A34, LS_current!$B$4:$B$138, 0), MATCH(CM$4&amp;CM$5, LS_current!$D$2:$AY$2&amp;LS_current!$D$3:$AY$3, 0)),SUM(VLOOKUP($A34, LS_current!$B$4:$AY$138, LS_current!R$148, FALSE), VLOOKUP($A34, LS_current!$B$4:$AY$138,LS_current!AP$148, FALSE))/2)</f>
        <v>-13.812435872000002</v>
      </c>
      <c r="CN34" s="180">
        <f t="array" ref="CN34">IF($BT34=0, INDEX(LS_current!$D$4:$AY$138, MATCH('Staging Table'!$A34, LS_current!$B$4:$B$138, 0), MATCH(CN$4&amp;CN$5, LS_current!$D$2:$AY$2&amp;LS_current!$D$3:$AY$3, 0)),SUM(VLOOKUP($A34, LS_current!$B$4:$AY$138, LS_current!S$148, FALSE), VLOOKUP($A34, LS_current!$B$4:$AY$138,LS_current!AQ$148, FALSE))/2)</f>
        <v>-5.6159682189999991</v>
      </c>
      <c r="CO34" s="180">
        <f t="array" ref="CO34">IF($BT34=0, INDEX(LS_current!$D$4:$AY$138, MATCH('Staging Table'!$A34, LS_current!$B$4:$B$138, 0), MATCH(CO$4&amp;CO$5, LS_current!$D$2:$AY$2&amp;LS_current!$D$3:$AY$3, 0)),SUM(VLOOKUP($A34, LS_current!$B$4:$AY$138, LS_current!T$148, FALSE), VLOOKUP($A34, LS_current!$B$4:$AY$138,LS_current!AR$148, FALSE))/2)</f>
        <v>-19.061110963999997</v>
      </c>
      <c r="CP34" s="180">
        <f t="array" ref="CP34">IF($BT34=0, INDEX(LS_current!$D$4:$AY$138, MATCH('Staging Table'!$A34, LS_current!$B$4:$B$138, 0), MATCH(CP$4&amp;CP$5, LS_current!$D$2:$AY$2&amp;LS_current!$D$3:$AY$3, 0)),SUM(VLOOKUP($A34, LS_current!$B$4:$AY$138, LS_current!U$148, FALSE), VLOOKUP($A34, LS_current!$B$4:$AY$138,LS_current!AS$148, FALSE))/2)</f>
        <v>-7.4088507630000038</v>
      </c>
      <c r="CQ34" s="180">
        <f t="array" ref="CQ34">IF($BT34=0, INDEX(LS_current!$D$4:$AY$138, MATCH('Staging Table'!$A34, LS_current!$B$4:$B$138, 0), MATCH(CQ$4&amp;CQ$5, LS_current!$D$2:$AY$2&amp;LS_current!$D$3:$AY$3, 0)),SUM(VLOOKUP($A34, LS_current!$B$4:$AY$138, LS_current!V$148, FALSE), VLOOKUP($A34, LS_current!$B$4:$AY$138,LS_current!AT$148, FALSE))/2)</f>
        <v>-9.8484446959999943</v>
      </c>
      <c r="CR34" s="180">
        <f t="array" ref="CR34">IF($BT34=0, INDEX(LS_current!$D$4:$AY$138, MATCH('Staging Table'!$A34, LS_current!$B$4:$B$138, 0), MATCH(CR$4&amp;CR$5, LS_current!$D$2:$AY$2&amp;LS_current!$D$3:$AY$3, 0)),SUM(VLOOKUP($A34, LS_current!$B$4:$AY$138, LS_current!W$148, FALSE), VLOOKUP($A34, LS_current!$B$4:$AY$138,LS_current!AU$148, FALSE))/2)</f>
        <v>-2.4491167850000011</v>
      </c>
      <c r="CS34" s="180">
        <f t="array" ref="CS34">IF($BT34=0, INDEX(LS_current!$D$4:$AY$138, MATCH('Staging Table'!$A34, LS_current!$B$4:$B$138, 0), MATCH(CS$4&amp;CS$5, LS_current!$D$2:$AY$2&amp;LS_current!$D$3:$AY$3, 0)),SUM(VLOOKUP($A34, LS_current!$B$4:$AY$138, LS_current!X$148, FALSE), VLOOKUP($A34, LS_current!$B$4:$AY$138,LS_current!AV$148, FALSE))/2)</f>
        <v>-8.9690624010000022</v>
      </c>
      <c r="CT34" s="180">
        <f t="array" ref="CT34">IF($BT34=0, INDEX(LS_current!$D$4:$AY$138, MATCH('Staging Table'!$A34, LS_current!$B$4:$B$138, 0), MATCH(CT$4&amp;CT$5, LS_current!$D$2:$AY$2&amp;LS_current!$D$3:$AY$3, 0)),SUM(VLOOKUP($A34, LS_current!$B$4:$AY$138, LS_current!Y$148, FALSE), VLOOKUP($A34, LS_current!$B$4:$AY$138,LS_current!AW$148, FALSE))/2)</f>
        <v>-3.056333117899996</v>
      </c>
      <c r="CU34" s="180">
        <f t="array" ref="CU34">IF($BT34=0, INDEX(LS_current!$D$4:$AY$138, MATCH('Staging Table'!$A34, LS_current!$B$4:$B$138, 0), MATCH(CU$4&amp;CU$5, LS_current!$D$2:$AY$2&amp;LS_current!$D$3:$AY$3, 0)),SUM(VLOOKUP($A34, LS_current!$B$4:$AY$138, LS_current!Z$148, FALSE), VLOOKUP($A34, LS_current!$B$4:$AY$138,LS_current!AX$148, FALSE))/2)</f>
        <v>-8.3361358360000004</v>
      </c>
      <c r="CV34" s="180">
        <f t="array" ref="CV34">IF($BT34=0, INDEX(LS_current!$D$4:$AY$138, MATCH('Staging Table'!$A34, LS_current!$B$4:$B$138, 0), MATCH(CV$4&amp;CV$5, LS_current!$D$2:$AY$2&amp;LS_current!$D$3:$AY$3, 0)),SUM(VLOOKUP($A34, LS_current!$B$4:$AY$138, LS_current!AA$148, FALSE), VLOOKUP($A34, LS_current!$B$4:$AY$138,LS_current!AY$148, FALSE))/2)</f>
        <v>-1.849167456</v>
      </c>
      <c r="CW34" s="182">
        <f t="array" ref="CW34">INDEX(Demand_current!$D$4:$AY$138, MATCH($A34, Demand_current!$B$4:$B$138, 0), MATCH(CW$4&amp;CW$5,Demand_current!$D$2:$AY$2&amp;Demand_current!$D$3:$AY$3, 0))/1000</f>
        <v>9.4759615384615442E-3</v>
      </c>
      <c r="CX34" s="182">
        <f t="array" ref="CX34">INDEX(Demand_current!$D$4:$AY$138, MATCH($A34, Demand_current!$B$4:$B$138, 0), MATCH(CX$4&amp;CX$5,Demand_current!$D$2:$AY$2&amp;Demand_current!$D$3:$AY$3, 0))/1000</f>
        <v>1.3162499999999994E-2</v>
      </c>
      <c r="CY34" s="182">
        <f t="array" ref="CY34">INDEX(Demand_current!$D$4:$AY$138, MATCH($A34, Demand_current!$B$4:$B$138, 0), MATCH(CY$4&amp;CY$5,Demand_current!$D$2:$AY$2&amp;Demand_current!$D$3:$AY$3, 0))/1000</f>
        <v>2.650750000000001E-2</v>
      </c>
      <c r="CZ34" s="182">
        <f t="array" ref="CZ34">INDEX(Demand_current!$D$4:$AY$138, MATCH($A34, Demand_current!$B$4:$B$138, 0), MATCH(CZ$4&amp;CZ$5,Demand_current!$D$2:$AY$2&amp;Demand_current!$D$3:$AY$3, 0))/1000</f>
        <v>5.9341346153846133E-2</v>
      </c>
      <c r="DA34" s="182">
        <f t="array" ref="DA34">INDEX(Demand_current!$D$4:$AY$138, MATCH($A34, Demand_current!$B$4:$B$138, 0), MATCH(DA$4&amp;DA$5,Demand_current!$D$2:$AY$2&amp;Demand_current!$D$3:$AY$3, 0))/1000</f>
        <v>1.866000000000001E-2</v>
      </c>
      <c r="DB34" s="182">
        <f t="array" ref="DB34">INDEX(Demand_current!$D$4:$AY$138, MATCH($A34, Demand_current!$B$4:$B$138, 0), MATCH(DB$4&amp;DB$5,Demand_current!$D$2:$AY$2&amp;Demand_current!$D$3:$AY$3, 0))/1000</f>
        <v>1.0759615384615381E-2</v>
      </c>
      <c r="DC34" s="182">
        <f t="array" ref="DC34">INDEX(Demand_current!$D$4:$AY$138, MATCH($A34, Demand_current!$B$4:$B$138, 0), MATCH(DC$4&amp;DC$5,Demand_current!$D$2:$AY$2&amp;Demand_current!$D$3:$AY$3, 0))/1000</f>
        <v>1.1610576923076765E-3</v>
      </c>
      <c r="DD34" s="182">
        <f t="array" ref="DD34">INDEX(Demand_current!$D$4:$AY$138, MATCH($A34, Demand_current!$B$4:$B$138, 0), MATCH(DD$4&amp;DD$5,Demand_current!$D$2:$AY$2&amp;Demand_current!$D$3:$AY$3, 0))/1000</f>
        <v>0</v>
      </c>
      <c r="DE34" s="182">
        <f t="array" ref="DE34">INDEX(Demand_current!$D$4:$AY$138, MATCH($A34, Demand_current!$B$4:$B$138, 0), MATCH(DE$4&amp;DE$5,Demand_current!$D$2:$AY$2&amp;Demand_current!$D$3:$AY$3, 0))/1000</f>
        <v>0</v>
      </c>
      <c r="DF34" s="182">
        <f t="array" ref="DF34">INDEX(Demand_current!$D$4:$AY$138, MATCH($A34, Demand_current!$B$4:$B$138, 0), MATCH(DF$4&amp;DF$5,Demand_current!$D$2:$AY$2&amp;Demand_current!$D$3:$AY$3, 0))/1000</f>
        <v>8.4567307692307685E-3</v>
      </c>
      <c r="DG34" s="182">
        <f t="array" ref="DG34">INDEX(Demand_current!$D$4:$AY$138, MATCH($A34, Demand_current!$B$4:$B$138, 0), MATCH(DG$4&amp;DG$5,Demand_current!$D$2:$AY$2&amp;Demand_current!$D$3:$AY$3, 0))/1000</f>
        <v>8.9467592592592533E-3</v>
      </c>
      <c r="DH34" s="182">
        <f t="array" ref="DH34">INDEX(Demand_current!$D$4:$AY$138, MATCH($A34, Demand_current!$B$4:$B$138, 0), MATCH(DH$4&amp;DH$5,Demand_current!$D$2:$AY$2&amp;Demand_current!$D$3:$AY$3, 0))/1000</f>
        <v>7.3723958333333367E-3</v>
      </c>
      <c r="DI34" s="180">
        <f>$BS34*(VLOOKUP(DI$4, Rates_current!$G$6:$Q$29, 10, FALSE)+VLOOKUP(DI$4, Rates_current!$G$6:$Q$29, 11, FALSE))</f>
        <v>59.063252661</v>
      </c>
      <c r="DJ34" s="180">
        <f>$BS34*(VLOOKUP(DJ$4, Rates_current!$G$6:$Q$29, 10, FALSE)+VLOOKUP(DJ$4, Rates_current!$G$6:$Q$29, 11, FALSE))</f>
        <v>75.325123426000005</v>
      </c>
      <c r="DK34" s="180">
        <f>$BS34*(VLOOKUP(DK$4, Rates_current!$G$6:$Q$29, 10, FALSE)+VLOOKUP(DK$4, Rates_current!$G$6:$Q$29, 11, FALSE))</f>
        <v>81.29071209</v>
      </c>
      <c r="DL34" s="180">
        <f>$BS34*(VLOOKUP(DL$4, Rates_current!$G$6:$Q$29, 10, FALSE)+VLOOKUP(DL$4, Rates_current!$G$6:$Q$29, 11, FALSE))</f>
        <v>84.473616415999999</v>
      </c>
      <c r="DM34" s="180">
        <f>$BS34*(VLOOKUP(DM$4, Rates_current!$G$6:$Q$29, 10, FALSE)+VLOOKUP(DM$4, Rates_current!$G$6:$Q$29, 11, FALSE))</f>
        <v>72.658569731999989</v>
      </c>
      <c r="DN34" s="180">
        <f>$BS34*(VLOOKUP(DN$4, Rates_current!$G$6:$Q$29, 10, FALSE)+VLOOKUP(DN$4, Rates_current!$G$6:$Q$29, 11, FALSE))</f>
        <v>79.32877247399999</v>
      </c>
      <c r="DO34" s="180">
        <f>$BS34*(VLOOKUP(DO$4, Rates_current!$G$6:$Q$29, 10, FALSE)+VLOOKUP(DO$4, Rates_current!$G$6:$Q$29, 11, FALSE))</f>
        <v>62.616697349499994</v>
      </c>
      <c r="DP34" s="180">
        <f>$BS34*(VLOOKUP(DP$4, Rates_current!$G$6:$Q$29, 10, FALSE)+VLOOKUP(DP$4, Rates_current!$G$6:$Q$29, 11, FALSE))</f>
        <v>77.684404091000005</v>
      </c>
      <c r="DQ34" s="180">
        <f>$BS34*(VLOOKUP(DQ$4, Rates_current!$G$6:$Q$29, 10, FALSE)+VLOOKUP(DQ$4, Rates_current!$G$6:$Q$29, 11, FALSE))</f>
        <v>79.369961726999989</v>
      </c>
      <c r="DR34" s="180">
        <f>$BS34*(VLOOKUP(DR$4, Rates_current!$G$6:$Q$29, 10, FALSE)+VLOOKUP(DR$4, Rates_current!$G$6:$Q$29, 11, FALSE))</f>
        <v>68.904561481000002</v>
      </c>
      <c r="DS34" s="180">
        <f>$BS34*(VLOOKUP(DS$4, Rates_current!$G$6:$Q$29, 10, FALSE)+VLOOKUP(DS$4, Rates_current!$G$6:$Q$29, 11, FALSE))</f>
        <v>66.612395518900001</v>
      </c>
      <c r="DT34" s="180">
        <f>$BS34*(VLOOKUP(DT$4, Rates_current!$G$6:$Q$29, 10, FALSE)+VLOOKUP(DT$4, Rates_current!$G$6:$Q$29, 11, FALSE))</f>
        <v>61.296303292000005</v>
      </c>
      <c r="DU34" s="402">
        <f>IF(D34=0,IF(C34=0,MAX(0,DW34 - (VLOOKUP($A34,TOCA_current!$A$2:$AI$137,MATCH("RHWM 2024",TOCA_current!$A$2:$AI$2,0),FALSE)*$BS$2)), 0),0)</f>
        <v>0</v>
      </c>
      <c r="DV34" s="403">
        <f>MIN(VLOOKUP($A34,TOCA_current!$A$2:$AI$137,MATCH("TRL - NLSL - Existing Resource "&amp;$BS$1,TOCA_current!$A$2:$AI$2,0),FALSE)*$BS$2, VLOOKUP($A34,TOCA_current!$A$2:$AI$137,MATCH("RHWM 2024",TOCA_current!$A$2:$AI$2,0),FALSE)*$BS$2)</f>
        <v>869.61599999999999</v>
      </c>
      <c r="DW34" s="403">
        <f>SUM(BY34:CV34)+(BS34*RT1SC!$C$4*$BS$2)</f>
        <v>873.99300398159994</v>
      </c>
      <c r="DX34" s="403">
        <f>VLOOKUP($A34,TOCA_current!$A$2:$AI$137,MATCH("Above RHWM Not Served with LS "&amp;$BS$1,TOCA_current!$A$2:$AI$2,0),FALSE)*$BS$2</f>
        <v>0</v>
      </c>
      <c r="DY34" s="403">
        <f t="shared" si="13"/>
        <v>4.3770039815999553</v>
      </c>
      <c r="DZ34" s="403">
        <f>(VLOOKUP($A34,TOCA_current!$A$2:$AI$137,MATCH("RHWM 2024",TOCA_current!$A$2:$AI$2,0),FALSE)*$BS$2) - $DV34</f>
        <v>166.89599999999996</v>
      </c>
      <c r="EA34" s="403">
        <f t="shared" si="14"/>
        <v>-4.3770039815999553</v>
      </c>
      <c r="EB34" s="403">
        <f t="shared" si="15"/>
        <v>0</v>
      </c>
      <c r="EC34" s="403">
        <f t="shared" si="16"/>
        <v>0</v>
      </c>
      <c r="ED34" s="403">
        <f t="shared" si="17"/>
        <v>-4.3770039815999553</v>
      </c>
    </row>
    <row r="35" spans="1:134">
      <c r="A35" s="123">
        <v>10083</v>
      </c>
      <c r="B35" s="124" t="s">
        <v>36</v>
      </c>
      <c r="C35" s="232">
        <f>VLOOKUP(A35, TOCA_current!$A$3:$D$137, 4, FALSE)</f>
        <v>0</v>
      </c>
      <c r="D35" s="191">
        <v>0</v>
      </c>
      <c r="E35" s="107">
        <f>VLOOKUP($A35,TOCA_previous!$A$2:$AI$137,MATCH(E$4,TOCA_previous!$A$2:$AI$2,0),FALSE)</f>
        <v>1.1842999999999999E-3</v>
      </c>
      <c r="F35" s="108">
        <f>VLOOKUP($A35,TOCA_previous!$A$2:$AI$137,MATCH(F$4,TOCA_previous!$A$2:$AI$2,0),FALSE)</f>
        <v>1.1842999999999999E-3</v>
      </c>
      <c r="G35" s="108">
        <f t="shared" si="5"/>
        <v>0</v>
      </c>
      <c r="H35" s="108">
        <f>VLOOKUP($A35,TOCA_previous!$A$2:$AI$137,MATCH(H$4,TOCA_previous!$A$2:$AI$2,0),FALSE)</f>
        <v>0</v>
      </c>
      <c r="I35" s="108">
        <f t="shared" si="6"/>
        <v>0</v>
      </c>
      <c r="J35" s="108">
        <f t="shared" si="7"/>
        <v>0</v>
      </c>
      <c r="K35" s="179">
        <f>VLOOKUP(A35, IRD!$A$5:$C$139, 3, FALSE)</f>
        <v>0</v>
      </c>
      <c r="L35" s="180">
        <f t="array" ref="L35">IF($G35=0, INDEX(LS_previous!$D$4:$AY$138, MATCH('Staging Table'!$A35, LS_previous!$B$4:$B$138, 0), MATCH(L$4&amp;L$5, LS_previous!$D$2:$AY$2&amp;LS_previous!$D$3:$AY$3, 0)),SUM(VLOOKUP($A35, LS_previous!$B$4:$AY$138, LS_previous!D$149, FALSE), VLOOKUP('Staging Table'!$A35, LS_previous!$B$4:$AY$138,LS_previous!AB$149, FALSE))/2)</f>
        <v>231.822089710608</v>
      </c>
      <c r="M35" s="180">
        <f t="array" ref="M35">IF($G35=0, INDEX(LS_previous!$D$4:$AY$138, MATCH('Staging Table'!$A35, LS_previous!$B$4:$B$138, 0), MATCH(M$4&amp;M$5, LS_previous!$D$2:$AY$2&amp;LS_previous!$D$3:$AY$3, 0)),SUM(VLOOKUP($A35, LS_previous!$B$4:$AY$138, LS_previous!E$149, FALSE), VLOOKUP('Staging Table'!$A35, LS_previous!$B$4:$AY$138,LS_previous!AC$149, FALSE))/2)</f>
        <v>282.74621877977188</v>
      </c>
      <c r="N35" s="180">
        <f t="array" ref="N35">IF($G35=0, INDEX(LS_previous!$D$4:$AY$138, MATCH('Staging Table'!$A35, LS_previous!$B$4:$B$138, 0), MATCH(N$4&amp;N$5, LS_previous!$D$2:$AY$2&amp;LS_previous!$D$3:$AY$3, 0)),SUM(VLOOKUP($A35, LS_previous!$B$4:$AY$138, LS_previous!F$149, FALSE), VLOOKUP('Staging Table'!$A35, LS_previous!$B$4:$AY$138,LS_previous!AD$149, FALSE))/2)</f>
        <v>-109.6344654888785</v>
      </c>
      <c r="O35" s="180">
        <f t="array" ref="O35">IF($G35=0, INDEX(LS_previous!$D$4:$AY$138, MATCH('Staging Table'!$A35, LS_previous!$B$4:$B$138, 0), MATCH(O$4&amp;O$5, LS_previous!$D$2:$AY$2&amp;LS_previous!$D$3:$AY$3, 0)),SUM(VLOOKUP($A35, LS_previous!$B$4:$AY$138, LS_previous!G$149, FALSE), VLOOKUP('Staging Table'!$A35, LS_previous!$B$4:$AY$138,LS_previous!AE$149, FALSE))/2)</f>
        <v>-34.506535120290209</v>
      </c>
      <c r="P35" s="180">
        <f t="array" ref="P35">IF($G35=0, INDEX(LS_previous!$D$4:$AY$138, MATCH('Staging Table'!$A35, LS_previous!$B$4:$B$138, 0), MATCH(P$4&amp;P$5, LS_previous!$D$2:$AY$2&amp;LS_previous!$D$3:$AY$3, 0)),SUM(VLOOKUP($A35, LS_previous!$B$4:$AY$138, LS_previous!H$149, FALSE), VLOOKUP('Staging Table'!$A35, LS_previous!$B$4:$AY$138,LS_previous!AF$149, FALSE))/2)</f>
        <v>898.89651913595299</v>
      </c>
      <c r="Q35" s="180">
        <f t="array" ref="Q35">IF($G35=0, INDEX(LS_previous!$D$4:$AY$138, MATCH('Staging Table'!$A35, LS_previous!$B$4:$B$138, 0), MATCH(Q$4&amp;Q$5, LS_previous!$D$2:$AY$2&amp;LS_previous!$D$3:$AY$3, 0)),SUM(VLOOKUP($A35, LS_previous!$B$4:$AY$138, LS_previous!I$149, FALSE), VLOOKUP('Staging Table'!$A35, LS_previous!$B$4:$AY$138,LS_previous!AG$149, FALSE))/2)</f>
        <v>464.5136636645143</v>
      </c>
      <c r="R35" s="180">
        <f t="array" ref="R35">IF($G35=0, INDEX(LS_previous!$D$4:$AY$138, MATCH('Staging Table'!$A35, LS_previous!$B$4:$B$138, 0), MATCH(R$4&amp;R$5, LS_previous!$D$2:$AY$2&amp;LS_previous!$D$3:$AY$3, 0)),SUM(VLOOKUP($A35, LS_previous!$B$4:$AY$138, LS_previous!J$149, FALSE), VLOOKUP('Staging Table'!$A35, LS_previous!$B$4:$AY$138,LS_previous!AH$149, FALSE))/2)</f>
        <v>2030.0171314426802</v>
      </c>
      <c r="S35" s="180">
        <f t="array" ref="S35">IF($G35=0, INDEX(LS_previous!$D$4:$AY$138, MATCH('Staging Table'!$A35, LS_previous!$B$4:$B$138, 0), MATCH(S$4&amp;S$5, LS_previous!$D$2:$AY$2&amp;LS_previous!$D$3:$AY$3, 0)),SUM(VLOOKUP($A35, LS_previous!$B$4:$AY$138, LS_previous!K$149, FALSE), VLOOKUP('Staging Table'!$A35, LS_previous!$B$4:$AY$138,LS_previous!AI$149, FALSE))/2)</f>
        <v>969.94489773488112</v>
      </c>
      <c r="T35" s="180">
        <f t="array" ref="T35">IF($G35=0, INDEX(LS_previous!$D$4:$AY$138, MATCH('Staging Table'!$A35, LS_previous!$B$4:$B$138, 0), MATCH(T$4&amp;T$5, LS_previous!$D$2:$AY$2&amp;LS_previous!$D$3:$AY$3, 0)),SUM(VLOOKUP($A35, LS_previous!$B$4:$AY$138, LS_previous!L$149, FALSE), VLOOKUP('Staging Table'!$A35, LS_previous!$B$4:$AY$138,LS_previous!AJ$149, FALSE))/2)</f>
        <v>1663.5788889145101</v>
      </c>
      <c r="U35" s="180">
        <f t="array" ref="U35">IF($G35=0, INDEX(LS_previous!$D$4:$AY$138, MATCH('Staging Table'!$A35, LS_previous!$B$4:$B$138, 0), MATCH(U$4&amp;U$5, LS_previous!$D$2:$AY$2&amp;LS_previous!$D$3:$AY$3, 0)),SUM(VLOOKUP($A35, LS_previous!$B$4:$AY$138, LS_previous!M$149, FALSE), VLOOKUP('Staging Table'!$A35, LS_previous!$B$4:$AY$138,LS_previous!AK$149, FALSE))/2)</f>
        <v>660.49194957193754</v>
      </c>
      <c r="V35" s="180">
        <f t="array" ref="V35">IF($G35=0, INDEX(LS_previous!$D$4:$AY$138, MATCH('Staging Table'!$A35, LS_previous!$B$4:$B$138, 0), MATCH(V$4&amp;V$5, LS_previous!$D$2:$AY$2&amp;LS_previous!$D$3:$AY$3, 0)),SUM(VLOOKUP($A35, LS_previous!$B$4:$AY$138, LS_previous!N$149, FALSE), VLOOKUP('Staging Table'!$A35, LS_previous!$B$4:$AY$138,LS_previous!AL$149, FALSE))/2)</f>
        <v>471.74577467179142</v>
      </c>
      <c r="W35" s="180">
        <f t="array" ref="W35">IF($G35=0, INDEX(LS_previous!$D$4:$AY$138, MATCH('Staging Table'!$A35, LS_previous!$B$4:$B$138, 0), MATCH(W$4&amp;W$5, LS_previous!$D$2:$AY$2&amp;LS_previous!$D$3:$AY$3, 0)),SUM(VLOOKUP($A35, LS_previous!$B$4:$AY$138, LS_previous!O$149, FALSE), VLOOKUP('Staging Table'!$A35, LS_previous!$B$4:$AY$138,LS_previous!AM$149, FALSE))/2)</f>
        <v>349.4264355981627</v>
      </c>
      <c r="X35" s="180">
        <f t="array" ref="X35">IF($G35=0, INDEX(LS_previous!$D$4:$AY$138, MATCH('Staging Table'!$A35, LS_previous!$B$4:$B$138, 0), MATCH(X$4&amp;X$5, LS_previous!$D$2:$AY$2&amp;LS_previous!$D$3:$AY$3, 0)),SUM(VLOOKUP($A35, LS_previous!$B$4:$AY$138, LS_previous!P$149, FALSE), VLOOKUP('Staging Table'!$A35, LS_previous!$B$4:$AY$138,LS_previous!AN$149, FALSE))/2)</f>
        <v>1036.803465016631</v>
      </c>
      <c r="Y35" s="180">
        <f t="array" ref="Y35">IF($G35=0, INDEX(LS_previous!$D$4:$AY$138, MATCH('Staging Table'!$A35, LS_previous!$B$4:$B$138, 0), MATCH(Y$4&amp;Y$5, LS_previous!$D$2:$AY$2&amp;LS_previous!$D$3:$AY$3, 0)),SUM(VLOOKUP($A35, LS_previous!$B$4:$AY$138, LS_previous!Q$149, FALSE), VLOOKUP('Staging Table'!$A35, LS_previous!$B$4:$AY$138,LS_previous!AO$149, FALSE))/2)</f>
        <v>476.79075732288516</v>
      </c>
      <c r="Z35" s="180">
        <f t="array" ref="Z35">IF($G35=0, INDEX(LS_previous!$D$4:$AY$138, MATCH('Staging Table'!$A35, LS_previous!$B$4:$B$138, 0), MATCH(Z$4&amp;Z$5, LS_previous!$D$2:$AY$2&amp;LS_previous!$D$3:$AY$3, 0)),SUM(VLOOKUP($A35, LS_previous!$B$4:$AY$138, LS_previous!R$149, FALSE), VLOOKUP('Staging Table'!$A35, LS_previous!$B$4:$AY$138,LS_previous!AP$149, FALSE))/2)</f>
        <v>-685.48196707156603</v>
      </c>
      <c r="AA35" s="180">
        <f t="array" ref="AA35">IF($G35=0, INDEX(LS_previous!$D$4:$AY$138, MATCH('Staging Table'!$A35, LS_previous!$B$4:$B$138, 0), MATCH(AA$4&amp;AA$5, LS_previous!$D$2:$AY$2&amp;LS_previous!$D$3:$AY$3, 0)),SUM(VLOOKUP($A35, LS_previous!$B$4:$AY$138, LS_previous!S$149, FALSE), VLOOKUP('Staging Table'!$A35, LS_previous!$B$4:$AY$138,LS_previous!AQ$149, FALSE))/2)</f>
        <v>52.995703328478385</v>
      </c>
      <c r="AB35" s="180">
        <f t="array" ref="AB35">IF($G35=0, INDEX(LS_previous!$D$4:$AY$138, MATCH('Staging Table'!$A35, LS_previous!$B$4:$B$138, 0), MATCH(AB$4&amp;AB$5, LS_previous!$D$2:$AY$2&amp;LS_previous!$D$3:$AY$3, 0)),SUM(VLOOKUP($A35, LS_previous!$B$4:$AY$138, LS_previous!T$149, FALSE), VLOOKUP('Staging Table'!$A35, LS_previous!$B$4:$AY$138,LS_previous!AR$149, FALSE))/2)</f>
        <v>-1365.0924487723405</v>
      </c>
      <c r="AC35" s="180">
        <f t="array" ref="AC35">IF($G35=0, INDEX(LS_previous!$D$4:$AY$138, MATCH('Staging Table'!$A35, LS_previous!$B$4:$B$138, 0), MATCH(AC$4&amp;AC$5, LS_previous!$D$2:$AY$2&amp;LS_previous!$D$3:$AY$3, 0)),SUM(VLOOKUP($A35, LS_previous!$B$4:$AY$138, LS_previous!U$149, FALSE), VLOOKUP('Staging Table'!$A35, LS_previous!$B$4:$AY$138,LS_previous!AS$149, FALSE))/2)</f>
        <v>134.05222302825246</v>
      </c>
      <c r="AD35" s="180">
        <f t="array" ref="AD35">IF($G35=0, INDEX(LS_previous!$D$4:$AY$138, MATCH('Staging Table'!$A35, LS_previous!$B$4:$B$138, 0), MATCH(AD$4&amp;AD$5, LS_previous!$D$2:$AY$2&amp;LS_previous!$D$3:$AY$3, 0)),SUM(VLOOKUP($A35, LS_previous!$B$4:$AY$138, LS_previous!V$149, FALSE), VLOOKUP('Staging Table'!$A35, LS_previous!$B$4:$AY$138,LS_previous!AT$149, FALSE))/2)</f>
        <v>-453.41834493070473</v>
      </c>
      <c r="AE35" s="180">
        <f t="array" ref="AE35">IF($G35=0, INDEX(LS_previous!$D$4:$AY$138, MATCH('Staging Table'!$A35, LS_previous!$B$4:$B$138, 0), MATCH(AE$4&amp;AE$5, LS_previous!$D$2:$AY$2&amp;LS_previous!$D$3:$AY$3, 0)),SUM(VLOOKUP($A35, LS_previous!$B$4:$AY$138, LS_previous!W$149, FALSE), VLOOKUP('Staging Table'!$A35, LS_previous!$B$4:$AY$138,LS_previous!AU$149, FALSE))/2)</f>
        <v>60.408791253385516</v>
      </c>
      <c r="AF35" s="180">
        <f t="array" ref="AF35">IF($G35=0, INDEX(LS_previous!$D$4:$AY$138, MATCH('Staging Table'!$A35, LS_previous!$B$4:$B$138, 0), MATCH(AF$4&amp;AF$5, LS_previous!$D$2:$AY$2&amp;LS_previous!$D$3:$AY$3, 0)),SUM(VLOOKUP($A35, LS_previous!$B$4:$AY$138, LS_previous!X$149, FALSE), VLOOKUP('Staging Table'!$A35, LS_previous!$B$4:$AY$138,LS_previous!AV$149, FALSE))/2)</f>
        <v>-350.89041572039605</v>
      </c>
      <c r="AG35" s="180">
        <f t="array" ref="AG35">IF($G35=0, INDEX(LS_previous!$D$4:$AY$138, MATCH('Staging Table'!$A35, LS_previous!$B$4:$B$138, 0), MATCH(AG$4&amp;AG$5, LS_previous!$D$2:$AY$2&amp;LS_previous!$D$3:$AY$3, 0)),SUM(VLOOKUP($A35, LS_previous!$B$4:$AY$138, LS_previous!Y$149, FALSE), VLOOKUP('Staging Table'!$A35, LS_previous!$B$4:$AY$138,LS_previous!AW$149, FALSE))/2)</f>
        <v>-29.34359622929037</v>
      </c>
      <c r="AH35" s="180">
        <f t="array" ref="AH35">IF($G35=0, INDEX(LS_previous!$D$4:$AY$138, MATCH('Staging Table'!$A35, LS_previous!$B$4:$B$138, 0), MATCH(AH$4&amp;AH$5, LS_previous!$D$2:$AY$2&amp;LS_previous!$D$3:$AY$3, 0)),SUM(VLOOKUP($A35, LS_previous!$B$4:$AY$138, LS_previous!Z$149, FALSE), VLOOKUP('Staging Table'!$A35, LS_previous!$B$4:$AY$138,LS_previous!AX$149, FALSE))/2)</f>
        <v>-341.18093813424593</v>
      </c>
      <c r="AI35" s="180">
        <f t="array" ref="AI35">IF($G35=0, INDEX(LS_previous!$D$4:$AY$138, MATCH('Staging Table'!$A35, LS_previous!$B$4:$B$138, 0), MATCH(AI$4&amp;AI$5, LS_previous!$D$2:$AY$2&amp;LS_previous!$D$3:$AY$3, 0)),SUM(VLOOKUP($A35, LS_previous!$B$4:$AY$138, LS_previous!AA$149, FALSE), VLOOKUP('Staging Table'!$A35, LS_previous!$B$4:$AY$138,LS_previous!AY$149, FALSE))/2)</f>
        <v>112.47289525958945</v>
      </c>
      <c r="AJ35" s="298">
        <f t="array" ref="AJ35">INDEX(Demand_previous!$D$4:$AY$138, MATCH('Staging Table'!$A35, Demand_previous!$B$4:$B$138, 0), MATCH(AJ$4&amp;AJ$5,Demand_previous!$D$2:$AY$2&amp;Demand_previous!$D$3:$AY$3, 0))/1000</f>
        <v>1.6105769230776446E-3</v>
      </c>
      <c r="AK35" s="298">
        <f t="array" ref="AK35">INDEX(Demand_previous!$D$4:$AY$138, MATCH('Staging Table'!$A35, Demand_previous!$B$4:$B$138, 0), MATCH(AK$4&amp;AK$5,Demand_previous!$D$2:$AY$2&amp;Demand_previous!$D$3:$AY$3, 0))/1000</f>
        <v>0</v>
      </c>
      <c r="AL35" s="298">
        <f t="array" ref="AL35">INDEX(Demand_previous!$D$4:$AY$138, MATCH('Staging Table'!$A35, Demand_previous!$B$4:$B$138, 0), MATCH(AL$4&amp;AL$5,Demand_previous!$D$2:$AY$2&amp;Demand_previous!$D$3:$AY$3, 0))/1000</f>
        <v>0.88822836538461436</v>
      </c>
      <c r="AM35" s="298">
        <f t="array" ref="AM35">INDEX(Demand_previous!$D$4:$AY$138, MATCH('Staging Table'!$A35, Demand_previous!$B$4:$B$138, 0), MATCH(AM$4&amp;AM$5,Demand_previous!$D$2:$AY$2&amp;Demand_previous!$D$3:$AY$3, 0))/1000</f>
        <v>8.2924999999982596E-3</v>
      </c>
      <c r="AN35" s="298">
        <f t="array" ref="AN35">INDEX(Demand_previous!$D$4:$AY$138, MATCH('Staging Table'!$A35, Demand_previous!$B$4:$B$138, 0), MATCH(AN$4&amp;AN$5,Demand_previous!$D$2:$AY$2&amp;Demand_previous!$D$3:$AY$3, 0))/1000</f>
        <v>1.2683020833333321</v>
      </c>
      <c r="AO35" s="298">
        <f t="array" ref="AO35">INDEX(Demand_previous!$D$4:$AY$138, MATCH('Staging Table'!$A35, Demand_previous!$B$4:$B$138, 0), MATCH(AO$4&amp;AO$5,Demand_previous!$D$2:$AY$2&amp;Demand_previous!$D$3:$AY$3, 0))/1000</f>
        <v>1.9383055555555551</v>
      </c>
      <c r="AP35" s="298">
        <f t="array" ref="AP35">INDEX(Demand_previous!$D$4:$AY$138, MATCH('Staging Table'!$A35, Demand_previous!$B$4:$B$138, 0), MATCH(AP$4&amp;AP$5,Demand_previous!$D$2:$AY$2&amp;Demand_previous!$D$3:$AY$3, 0))/1000</f>
        <v>0.45205048076923005</v>
      </c>
      <c r="AQ35" s="298">
        <f t="array" ref="AQ35">INDEX(Demand_previous!$D$4:$AY$138, MATCH('Staging Table'!$A35, Demand_previous!$B$4:$B$138, 0), MATCH(AQ$4&amp;AQ$5,Demand_previous!$D$2:$AY$2&amp;Demand_previous!$D$3:$AY$3, 0))/1000</f>
        <v>0.79978249999999984</v>
      </c>
      <c r="AR35" s="298">
        <f t="array" ref="AR35">INDEX(Demand_previous!$D$4:$AY$138, MATCH('Staging Table'!$A35, Demand_previous!$B$4:$B$138, 0), MATCH(AR$4&amp;AR$5,Demand_previous!$D$2:$AY$2&amp;Demand_previous!$D$3:$AY$3, 0))/1000</f>
        <v>4.6259663461538469</v>
      </c>
      <c r="AS35" s="298">
        <f t="array" ref="AS35">INDEX(Demand_previous!$D$4:$AY$138, MATCH('Staging Table'!$A35, Demand_previous!$B$4:$B$138, 0), MATCH(AS$4&amp;AS$5,Demand_previous!$D$2:$AY$2&amp;Demand_previous!$D$3:$AY$3, 0))/1000</f>
        <v>1.6971125000000002</v>
      </c>
      <c r="AT35" s="298">
        <f t="array" ref="AT35">INDEX(Demand_previous!$D$4:$AY$138, MATCH('Staging Table'!$A35, Demand_previous!$B$4:$B$138, 0), MATCH(AT$4&amp;AT$5,Demand_previous!$D$2:$AY$2&amp;Demand_previous!$D$3:$AY$3, 0))/1000</f>
        <v>3.2041203703703705</v>
      </c>
      <c r="AU35" s="298">
        <f t="array" ref="AU35">INDEX(Demand_previous!$D$4:$AY$138, MATCH('Staging Table'!$A35, Demand_previous!$B$4:$B$138, 0), MATCH(AU$4&amp;AU$5,Demand_previous!$D$2:$AY$2&amp;Demand_previous!$D$3:$AY$3, 0))/1000</f>
        <v>1.899635</v>
      </c>
      <c r="AV35" s="180">
        <f>$F35*(VLOOKUP(AV$4, Rates_previous!$G$6:$Q$29, 10, FALSE)+VLOOKUP(AV$4, Rates_previous!$G$6:$Q$29, 11, FALSE))</f>
        <v>5393.2126915096205</v>
      </c>
      <c r="AW35" s="180">
        <f>$F35*(VLOOKUP(AW$4, Rates_previous!$G$6:$Q$29, 10, FALSE)+VLOOKUP(AW$4, Rates_previous!$G$6:$Q$29, 11, FALSE))</f>
        <v>6828.0030006091692</v>
      </c>
      <c r="AX35" s="180">
        <f>$F35*(VLOOKUP(AX$4, Rates_previous!$G$6:$Q$29, 10, FALSE)+VLOOKUP(AX$4, Rates_previous!$G$6:$Q$29, 11, FALSE))</f>
        <v>6683.2508171995332</v>
      </c>
      <c r="AY35" s="180">
        <f>$F35*(VLOOKUP(AY$4, Rates_previous!$G$6:$Q$29, 10, FALSE)+VLOOKUP(AY$4, Rates_previous!$G$6:$Q$29, 11, FALSE))</f>
        <v>5520.0809708224397</v>
      </c>
      <c r="AZ35" s="180">
        <f>$F35*(VLOOKUP(AZ$4, Rates_previous!$G$6:$Q$29, 10, FALSE)+VLOOKUP(AZ$4, Rates_previous!$G$6:$Q$29, 11, FALSE))</f>
        <v>4784.3751615135525</v>
      </c>
      <c r="BA35" s="180">
        <f>$F35*(VLOOKUP(BA$4, Rates_previous!$G$6:$Q$29, 10, FALSE)+VLOOKUP(BA$4, Rates_previous!$G$6:$Q$29, 11, FALSE))</f>
        <v>5711.5777897300459</v>
      </c>
      <c r="BB35" s="180">
        <f>$F35*(VLOOKUP(BB$4, Rates_previous!$G$6:$Q$29, 10, FALSE)+VLOOKUP(BB$4, Rates_previous!$G$6:$Q$29, 11, FALSE))</f>
        <v>4434.2797776604839</v>
      </c>
      <c r="BC35" s="180">
        <f>$F35*(VLOOKUP(BC$4, Rates_previous!$G$6:$Q$29, 10, FALSE)+VLOOKUP(BC$4, Rates_previous!$G$6:$Q$29, 11, FALSE))</f>
        <v>6143.7272637430879</v>
      </c>
      <c r="BD35" s="180">
        <f>$F35*(VLOOKUP(BD$4, Rates_previous!$G$6:$Q$29, 10, FALSE)+VLOOKUP(BD$4, Rates_previous!$G$6:$Q$29, 11, FALSE))</f>
        <v>6564.7012257440874</v>
      </c>
      <c r="BE35" s="180">
        <f>$F35*(VLOOKUP(BE$4, Rates_previous!$G$6:$Q$29, 10, FALSE)+VLOOKUP(BE$4, Rates_previous!$G$6:$Q$29, 11, FALSE))</f>
        <v>6232.8865536773192</v>
      </c>
      <c r="BF35" s="180">
        <f>$F35*(VLOOKUP(BF$4, Rates_previous!$G$6:$Q$29, 10, FALSE)+VLOOKUP(BF$4, Rates_previous!$G$6:$Q$29, 11, FALSE))</f>
        <v>6023.6040119496856</v>
      </c>
      <c r="BG35" s="180">
        <f>$F35*(VLOOKUP(BG$4, Rates_previous!$G$6:$Q$29, 10, FALSE)+VLOOKUP(BG$4, Rates_previous!$G$6:$Q$29, 11, FALSE))</f>
        <v>5566.4380428746563</v>
      </c>
      <c r="BH35" s="298">
        <f>IF($D35=0,IF(C35=0, MAX(BJ35 - (VLOOKUP($A35,TOCA_previous!$A$2:$AI$137,MATCH("RHWM 2022",TOCA_previous!$A$2:$AI$2,0),FALSE)*$F$2*TOCA_previous!C32),0),0), 0)</f>
        <v>6526.0195749783161</v>
      </c>
      <c r="BI35" s="192">
        <f>MIN(VLOOKUP($A35,TOCA_previous!$A$2:$AI$137,MATCH("TRL - NLSL - Existing Resource "&amp;$F$1,TOCA_previous!$A$2:$AI$2,0),FALSE)*$F$2,(VLOOKUP($A35,TOCA_previous!$A$2:$AI$137,MATCH("RHWM 2022",TOCA_previous!$A$2:$AI$2,0),FALSE)*$F$2))</f>
        <v>69887.28</v>
      </c>
      <c r="BJ35" s="402">
        <f>SUM(L35:AI35)+(F35*RT1SC!$C$3*$F$2)</f>
        <v>76413.299574978315</v>
      </c>
      <c r="BK35" s="401">
        <f>VLOOKUP($A35,TOCA_previous!$A$2:$AI$137,MATCH("Above RHWM Not Served with LS "&amp;$F$1,TOCA_previous!$A$2:$AI$2,0),FALSE)*$F$2</f>
        <v>0</v>
      </c>
      <c r="BL35" s="402">
        <f t="shared" si="8"/>
        <v>6526.0195749783161</v>
      </c>
      <c r="BM35" s="401">
        <f>(VLOOKUP($A35,TOCA_previous!$A$2:$AI$137,MATCH("RHWM 2022",TOCA_previous!$A$2:$AI$2,0),FALSE)*$F$2) - $BI35</f>
        <v>0</v>
      </c>
      <c r="BN35" s="402">
        <f t="shared" si="9"/>
        <v>0</v>
      </c>
      <c r="BO35" s="401">
        <f t="shared" si="10"/>
        <v>0</v>
      </c>
      <c r="BP35" s="402">
        <f t="shared" si="11"/>
        <v>0</v>
      </c>
      <c r="BQ35" s="401">
        <f t="shared" si="2"/>
        <v>0</v>
      </c>
      <c r="BR35" s="108">
        <f>VLOOKUP($A35,TOCA_current!$A$2:$AI$137,MATCH(BR$4,TOCA_current!$A$2:$AI$2,0),FALSE)</f>
        <v>1.1839999999999999E-3</v>
      </c>
      <c r="BS35" s="108">
        <f>VLOOKUP($A35,TOCA_current!$A$2:$AI$137,MATCH(BS$4,TOCA_current!$A$2:$AI$2,0),FALSE)</f>
        <v>1.1839999999999999E-3</v>
      </c>
      <c r="BT35" s="189">
        <f t="shared" si="12"/>
        <v>0</v>
      </c>
      <c r="BU35" s="108">
        <f>VLOOKUP($A35,TOCA_current!A31:BG166,MATCH(BU$4,TOCA_current!$A$2:$BG$2,0),FALSE)</f>
        <v>0</v>
      </c>
      <c r="BV35" s="108">
        <f t="shared" si="3"/>
        <v>0</v>
      </c>
      <c r="BW35" s="108">
        <f t="shared" si="4"/>
        <v>0</v>
      </c>
      <c r="BX35" s="179">
        <f>VLOOKUP($A35,IRD!$A$4:$G$139, 7, FALSE)</f>
        <v>0</v>
      </c>
      <c r="BY35" s="180">
        <f t="array" ref="BY35">IF($BT35=0, INDEX(LS_current!$D$4:$AY$138, MATCH('Staging Table'!$A35, LS_current!$B$4:$B$138, 0), MATCH(BY$4&amp;BY$5, LS_current!$D$2:$AY$2&amp;LS_current!$D$3:$AY$3, 0)),SUM(VLOOKUP($A35, LS_current!$B$4:$AY$138, LS_current!D$148, FALSE), VLOOKUP($A35, LS_current!$B$4:$AY$138,LS_current!AB$148, FALSE))/2)</f>
        <v>668.82026137599996</v>
      </c>
      <c r="BZ35" s="180">
        <f t="array" ref="BZ35">IF($BT35=0, INDEX(LS_current!$D$4:$AY$138, MATCH('Staging Table'!$A35, LS_current!$B$4:$B$138, 0), MATCH(BZ$4&amp;BZ$5, LS_current!$D$2:$AY$2&amp;LS_current!$D$3:$AY$3, 0)),SUM(VLOOKUP($A35, LS_current!$B$4:$AY$138, LS_current!E$148, FALSE), VLOOKUP($A35, LS_current!$B$4:$AY$138,LS_current!AC$148, FALSE))/2)</f>
        <v>243.89708500800043</v>
      </c>
      <c r="CA35" s="180">
        <f t="array" ref="CA35">IF($BT35=0, INDEX(LS_current!$D$4:$AY$138, MATCH('Staging Table'!$A35, LS_current!$B$4:$B$138, 0), MATCH(CA$4&amp;CA$5, LS_current!$D$2:$AY$2&amp;LS_current!$D$3:$AY$3, 0)),SUM(VLOOKUP($A35, LS_current!$B$4:$AY$138, LS_current!F$148, FALSE), VLOOKUP($A35, LS_current!$B$4:$AY$138,LS_current!AD$148, FALSE))/2)</f>
        <v>215.20100364799964</v>
      </c>
      <c r="CB35" s="180">
        <f t="array" ref="CB35">IF($BT35=0, INDEX(LS_current!$D$4:$AY$138, MATCH('Staging Table'!$A35, LS_current!$B$4:$B$138, 0), MATCH(CB$4&amp;CB$5, LS_current!$D$2:$AY$2&amp;LS_current!$D$3:$AY$3, 0)),SUM(VLOOKUP($A35, LS_current!$B$4:$AY$138, LS_current!G$148, FALSE), VLOOKUP($A35, LS_current!$B$4:$AY$138,LS_current!AE$148, FALSE))/2)</f>
        <v>98.307700895999915</v>
      </c>
      <c r="CC35" s="180">
        <f t="array" ref="CC35">IF($BT35=0, INDEX(LS_current!$D$4:$AY$138, MATCH('Staging Table'!$A35, LS_current!$B$4:$B$138, 0), MATCH(CC$4&amp;CC$5, LS_current!$D$2:$AY$2&amp;LS_current!$D$3:$AY$3, 0)),SUM(VLOOKUP($A35, LS_current!$B$4:$AY$138, LS_current!H$148, FALSE), VLOOKUP($A35, LS_current!$B$4:$AY$138,LS_current!AF$148, FALSE))/2)</f>
        <v>548.6738850239999</v>
      </c>
      <c r="CD35" s="180">
        <f t="array" ref="CD35">IF($BT35=0, INDEX(LS_current!$D$4:$AY$138, MATCH('Staging Table'!$A35, LS_current!$B$4:$B$138, 0), MATCH(CD$4&amp;CD$5, LS_current!$D$2:$AY$2&amp;LS_current!$D$3:$AY$3, 0)),SUM(VLOOKUP($A35, LS_current!$B$4:$AY$138, LS_current!I$148, FALSE), VLOOKUP($A35, LS_current!$B$4:$AY$138,LS_current!AG$148, FALSE))/2)</f>
        <v>623.1154639360002</v>
      </c>
      <c r="CE35" s="180">
        <f t="array" ref="CE35">IF($BT35=0, INDEX(LS_current!$D$4:$AY$138, MATCH('Staging Table'!$A35, LS_current!$B$4:$B$138, 0), MATCH(CE$4&amp;CE$5, LS_current!$D$2:$AY$2&amp;LS_current!$D$3:$AY$3, 0)),SUM(VLOOKUP($A35, LS_current!$B$4:$AY$138, LS_current!J$148, FALSE), VLOOKUP($A35, LS_current!$B$4:$AY$138,LS_current!AH$148, FALSE))/2)</f>
        <v>747.22400944000037</v>
      </c>
      <c r="CF35" s="180">
        <f t="array" ref="CF35">IF($BT35=0, INDEX(LS_current!$D$4:$AY$138, MATCH('Staging Table'!$A35, LS_current!$B$4:$B$138, 0), MATCH(CF$4&amp;CF$5, LS_current!$D$2:$AY$2&amp;LS_current!$D$3:$AY$3, 0)),SUM(VLOOKUP($A35, LS_current!$B$4:$AY$138, LS_current!K$148, FALSE), VLOOKUP($A35, LS_current!$B$4:$AY$138,LS_current!AI$148, FALSE))/2)</f>
        <v>628.76457366400018</v>
      </c>
      <c r="CG35" s="180">
        <f t="array" ref="CG35">IF($BT35=0, INDEX(LS_current!$D$4:$AY$138, MATCH('Staging Table'!$A35, LS_current!$B$4:$B$138, 0), MATCH(CG$4&amp;CG$5, LS_current!$D$2:$AY$2&amp;LS_current!$D$3:$AY$3, 0)),SUM(VLOOKUP($A35, LS_current!$B$4:$AY$138, LS_current!L$148, FALSE), VLOOKUP($A35, LS_current!$B$4:$AY$138,LS_current!AJ$148, FALSE))/2)</f>
        <v>535.56887926400077</v>
      </c>
      <c r="CH35" s="180">
        <f t="array" ref="CH35">IF($BT35=0, INDEX(LS_current!$D$4:$AY$138, MATCH('Staging Table'!$A35, LS_current!$B$4:$B$138, 0), MATCH(CH$4&amp;CH$5, LS_current!$D$2:$AY$2&amp;LS_current!$D$3:$AY$3, 0)),SUM(VLOOKUP($A35, LS_current!$B$4:$AY$138, LS_current!M$148, FALSE), VLOOKUP($A35, LS_current!$B$4:$AY$138,LS_current!AK$148, FALSE))/2)</f>
        <v>428.03808054399997</v>
      </c>
      <c r="CI35" s="180">
        <f t="array" ref="CI35">IF($BT35=0, INDEX(LS_current!$D$4:$AY$138, MATCH('Staging Table'!$A35, LS_current!$B$4:$B$138, 0), MATCH(CI$4&amp;CI$5, LS_current!$D$2:$AY$2&amp;LS_current!$D$3:$AY$3, 0)),SUM(VLOOKUP($A35, LS_current!$B$4:$AY$138, LS_current!N$148, FALSE), VLOOKUP($A35, LS_current!$B$4:$AY$138,LS_current!AL$148, FALSE))/2)</f>
        <v>-105.25222979199953</v>
      </c>
      <c r="CJ35" s="180">
        <f t="array" ref="CJ35">IF($BT35=0, INDEX(LS_current!$D$4:$AY$138, MATCH('Staging Table'!$A35, LS_current!$B$4:$B$138, 0), MATCH(CJ$4&amp;CJ$5, LS_current!$D$2:$AY$2&amp;LS_current!$D$3:$AY$3, 0)),SUM(VLOOKUP($A35, LS_current!$B$4:$AY$138, LS_current!O$148, FALSE), VLOOKUP($A35, LS_current!$B$4:$AY$138,LS_current!AM$148, FALSE))/2)</f>
        <v>-70.945385152000199</v>
      </c>
      <c r="CK35" s="180">
        <f t="array" ref="CK35">IF($BT35=0, INDEX(LS_current!$D$4:$AY$138, MATCH('Staging Table'!$A35, LS_current!$B$4:$B$138, 0), MATCH(CK$4&amp;CK$5, LS_current!$D$2:$AY$2&amp;LS_current!$D$3:$AY$3, 0)),SUM(VLOOKUP($A35, LS_current!$B$4:$AY$138, LS_current!P$148, FALSE), VLOOKUP($A35, LS_current!$B$4:$AY$138,LS_current!AN$148, FALSE))/2)</f>
        <v>546.02419144000032</v>
      </c>
      <c r="CL35" s="180">
        <f t="array" ref="CL35">IF($BT35=0, INDEX(LS_current!$D$4:$AY$138, MATCH('Staging Table'!$A35, LS_current!$B$4:$B$138, 0), MATCH(CL$4&amp;CL$5, LS_current!$D$2:$AY$2&amp;LS_current!$D$3:$AY$3, 0)),SUM(VLOOKUP($A35, LS_current!$B$4:$AY$138, LS_current!Q$148, FALSE), VLOOKUP($A35, LS_current!$B$4:$AY$138,LS_current!AO$148, FALSE))/2)</f>
        <v>106.26626128800035</v>
      </c>
      <c r="CM35" s="180">
        <f t="array" ref="CM35">IF($BT35=0, INDEX(LS_current!$D$4:$AY$138, MATCH('Staging Table'!$A35, LS_current!$B$4:$B$138, 0), MATCH(CM$4&amp;CM$5, LS_current!$D$2:$AY$2&amp;LS_current!$D$3:$AY$3, 0)),SUM(VLOOKUP($A35, LS_current!$B$4:$AY$138, LS_current!R$148, FALSE), VLOOKUP($A35, LS_current!$B$4:$AY$138,LS_current!AP$148, FALSE))/2)</f>
        <v>-537.74414803199988</v>
      </c>
      <c r="CN35" s="180">
        <f t="array" ref="CN35">IF($BT35=0, INDEX(LS_current!$D$4:$AY$138, MATCH('Staging Table'!$A35, LS_current!$B$4:$B$138, 0), MATCH(CN$4&amp;CN$5, LS_current!$D$2:$AY$2&amp;LS_current!$D$3:$AY$3, 0)),SUM(VLOOKUP($A35, LS_current!$B$4:$AY$138, LS_current!S$148, FALSE), VLOOKUP($A35, LS_current!$B$4:$AY$138,LS_current!AQ$148, FALSE))/2)</f>
        <v>-520.89588366399994</v>
      </c>
      <c r="CO35" s="180">
        <f t="array" ref="CO35">IF($BT35=0, INDEX(LS_current!$D$4:$AY$138, MATCH('Staging Table'!$A35, LS_current!$B$4:$B$138, 0), MATCH(CO$4&amp;CO$5, LS_current!$D$2:$AY$2&amp;LS_current!$D$3:$AY$3, 0)),SUM(VLOOKUP($A35, LS_current!$B$4:$AY$138, LS_current!T$148, FALSE), VLOOKUP($A35, LS_current!$B$4:$AY$138,LS_current!AR$148, FALSE))/2)</f>
        <v>-898.68338438399951</v>
      </c>
      <c r="CP35" s="180">
        <f t="array" ref="CP35">IF($BT35=0, INDEX(LS_current!$D$4:$AY$138, MATCH('Staging Table'!$A35, LS_current!$B$4:$B$138, 0), MATCH(CP$4&amp;CP$5, LS_current!$D$2:$AY$2&amp;LS_current!$D$3:$AY$3, 0)),SUM(VLOOKUP($A35, LS_current!$B$4:$AY$138, LS_current!U$148, FALSE), VLOOKUP($A35, LS_current!$B$4:$AY$138,LS_current!AS$148, FALSE))/2)</f>
        <v>-480.0866645279998</v>
      </c>
      <c r="CQ35" s="180">
        <f t="array" ref="CQ35">IF($BT35=0, INDEX(LS_current!$D$4:$AY$138, MATCH('Staging Table'!$A35, LS_current!$B$4:$B$138, 0), MATCH(CQ$4&amp;CQ$5, LS_current!$D$2:$AY$2&amp;LS_current!$D$3:$AY$3, 0)),SUM(VLOOKUP($A35, LS_current!$B$4:$AY$138, LS_current!V$148, FALSE), VLOOKUP($A35, LS_current!$B$4:$AY$138,LS_current!AT$148, FALSE))/2)</f>
        <v>66.589391424000041</v>
      </c>
      <c r="CR35" s="180">
        <f t="array" ref="CR35">IF($BT35=0, INDEX(LS_current!$D$4:$AY$138, MATCH('Staging Table'!$A35, LS_current!$B$4:$B$138, 0), MATCH(CR$4&amp;CR$5, LS_current!$D$2:$AY$2&amp;LS_current!$D$3:$AY$3, 0)),SUM(VLOOKUP($A35, LS_current!$B$4:$AY$138, LS_current!W$148, FALSE), VLOOKUP($A35, LS_current!$B$4:$AY$138,LS_current!AU$148, FALSE))/2)</f>
        <v>-54.069590959999914</v>
      </c>
      <c r="CS35" s="180">
        <f t="array" ref="CS35">IF($BT35=0, INDEX(LS_current!$D$4:$AY$138, MATCH('Staging Table'!$A35, LS_current!$B$4:$B$138, 0), MATCH(CS$4&amp;CS$5, LS_current!$D$2:$AY$2&amp;LS_current!$D$3:$AY$3, 0)),SUM(VLOOKUP($A35, LS_current!$B$4:$AY$138, LS_current!X$148, FALSE), VLOOKUP($A35, LS_current!$B$4:$AY$138,LS_current!AV$148, FALSE))/2)</f>
        <v>131.98843694399966</v>
      </c>
      <c r="CT35" s="180">
        <f t="array" ref="CT35">IF($BT35=0, INDEX(LS_current!$D$4:$AY$138, MATCH('Staging Table'!$A35, LS_current!$B$4:$B$138, 0), MATCH(CT$4&amp;CT$5, LS_current!$D$2:$AY$2&amp;LS_current!$D$3:$AY$3, 0)),SUM(VLOOKUP($A35, LS_current!$B$4:$AY$138, LS_current!Y$148, FALSE), VLOOKUP($A35, LS_current!$B$4:$AY$138,LS_current!AW$148, FALSE))/2)</f>
        <v>-122.12388654239976</v>
      </c>
      <c r="CU35" s="180">
        <f t="array" ref="CU35">IF($BT35=0, INDEX(LS_current!$D$4:$AY$138, MATCH('Staging Table'!$A35, LS_current!$B$4:$B$138, 0), MATCH(CU$4&amp;CU$5, LS_current!$D$2:$AY$2&amp;LS_current!$D$3:$AY$3, 0)),SUM(VLOOKUP($A35, LS_current!$B$4:$AY$138, LS_current!Z$148, FALSE), VLOOKUP($A35, LS_current!$B$4:$AY$138,LS_current!AX$148, FALSE))/2)</f>
        <v>115.25908358400011</v>
      </c>
      <c r="CV35" s="180">
        <f t="array" ref="CV35">IF($BT35=0, INDEX(LS_current!$D$4:$AY$138, MATCH('Staging Table'!$A35, LS_current!$B$4:$B$138, 0), MATCH(CV$4&amp;CV$5, LS_current!$D$2:$AY$2&amp;LS_current!$D$3:$AY$3, 0)),SUM(VLOOKUP($A35, LS_current!$B$4:$AY$138, LS_current!AA$148, FALSE), VLOOKUP($A35, LS_current!$B$4:$AY$138,LS_current!AY$148, FALSE))/2)</f>
        <v>38.554980863999845</v>
      </c>
      <c r="CW35" s="182">
        <f t="array" ref="CW35">INDEX(Demand_current!$D$4:$AY$138, MATCH($A35, Demand_current!$B$4:$B$138, 0), MATCH(CW$4&amp;CW$5,Demand_current!$D$2:$AY$2&amp;Demand_current!$D$3:$AY$3, 0))/1000</f>
        <v>1.6105769230776446E-3</v>
      </c>
      <c r="CX35" s="182">
        <f t="array" ref="CX35">INDEX(Demand_current!$D$4:$AY$138, MATCH($A35, Demand_current!$B$4:$B$138, 0), MATCH(CX$4&amp;CX$5,Demand_current!$D$2:$AY$2&amp;Demand_current!$D$3:$AY$3, 0))/1000</f>
        <v>0</v>
      </c>
      <c r="CY35" s="182">
        <f t="array" ref="CY35">INDEX(Demand_current!$D$4:$AY$138, MATCH($A35, Demand_current!$B$4:$B$138, 0), MATCH(CY$4&amp;CY$5,Demand_current!$D$2:$AY$2&amp;Demand_current!$D$3:$AY$3, 0))/1000</f>
        <v>0.43467749999999894</v>
      </c>
      <c r="CZ35" s="182">
        <f t="array" ref="CZ35">INDEX(Demand_current!$D$4:$AY$138, MATCH($A35, Demand_current!$B$4:$B$138, 0), MATCH(CZ$4&amp;CZ$5,Demand_current!$D$2:$AY$2&amp;Demand_current!$D$3:$AY$3, 0))/1000</f>
        <v>0.50543509615384474</v>
      </c>
      <c r="DA35" s="182">
        <f t="array" ref="DA35">INDEX(Demand_current!$D$4:$AY$138, MATCH($A35, Demand_current!$B$4:$B$138, 0), MATCH(DA$4&amp;DA$5,Demand_current!$D$2:$AY$2&amp;Demand_current!$D$3:$AY$3, 0))/1000</f>
        <v>1.7310899999999987</v>
      </c>
      <c r="DB35" s="182">
        <f t="array" ref="DB35">INDEX(Demand_current!$D$4:$AY$138, MATCH($A35, Demand_current!$B$4:$B$138, 0), MATCH(DB$4&amp;DB$5,Demand_current!$D$2:$AY$2&amp;Demand_current!$D$3:$AY$3, 0))/1000</f>
        <v>1.5840096153846144</v>
      </c>
      <c r="DC35" s="182">
        <f t="array" ref="DC35">INDEX(Demand_current!$D$4:$AY$138, MATCH($A35, Demand_current!$B$4:$B$138, 0), MATCH(DC$4&amp;DC$5,Demand_current!$D$2:$AY$2&amp;Demand_current!$D$3:$AY$3, 0))/1000</f>
        <v>0.45205048076923005</v>
      </c>
      <c r="DD35" s="182">
        <f t="array" ref="DD35">INDEX(Demand_current!$D$4:$AY$138, MATCH($A35, Demand_current!$B$4:$B$138, 0), MATCH(DD$4&amp;DD$5,Demand_current!$D$2:$AY$2&amp;Demand_current!$D$3:$AY$3, 0))/1000</f>
        <v>1.1319447115384613</v>
      </c>
      <c r="DE35" s="182">
        <f t="array" ref="DE35">INDEX(Demand_current!$D$4:$AY$138, MATCH($A35, Demand_current!$B$4:$B$138, 0), MATCH(DE$4&amp;DE$5,Demand_current!$D$2:$AY$2&amp;Demand_current!$D$3:$AY$3, 0))/1000</f>
        <v>4.3070850000000007</v>
      </c>
      <c r="DF35" s="182">
        <f t="array" ref="DF35">INDEX(Demand_current!$D$4:$AY$138, MATCH($A35, Demand_current!$B$4:$B$138, 0), MATCH(DF$4&amp;DF$5,Demand_current!$D$2:$AY$2&amp;Demand_current!$D$3:$AY$3, 0))/1000</f>
        <v>2.0526850961538452</v>
      </c>
      <c r="DG35" s="182">
        <f t="array" ref="DG35">INDEX(Demand_current!$D$4:$AY$138, MATCH($A35, Demand_current!$B$4:$B$138, 0), MATCH(DG$4&amp;DG$5,Demand_current!$D$2:$AY$2&amp;Demand_current!$D$3:$AY$3, 0))/1000</f>
        <v>3.2041203703703705</v>
      </c>
      <c r="DH35" s="182">
        <f t="array" ref="DH35">INDEX(Demand_current!$D$4:$AY$138, MATCH($A35, Demand_current!$B$4:$B$138, 0), MATCH(DH$4&amp;DH$5,Demand_current!$D$2:$AY$2&amp;Demand_current!$D$3:$AY$3, 0))/1000</f>
        <v>1.5651197916666675</v>
      </c>
      <c r="DI35" s="180">
        <f>$BS35*(VLOOKUP(DI$4, Rates_current!$G$6:$Q$29, 10, FALSE)+VLOOKUP(DI$4, Rates_current!$G$6:$Q$29, 11, FALSE))</f>
        <v>4995.063653616</v>
      </c>
      <c r="DJ35" s="180">
        <f>$BS35*(VLOOKUP(DJ$4, Rates_current!$G$6:$Q$29, 10, FALSE)+VLOOKUP(DJ$4, Rates_current!$G$6:$Q$29, 11, FALSE))</f>
        <v>6370.3532954560005</v>
      </c>
      <c r="DK35" s="180">
        <f>$BS35*(VLOOKUP(DK$4, Rates_current!$G$6:$Q$29, 10, FALSE)+VLOOKUP(DK$4, Rates_current!$G$6:$Q$29, 11, FALSE))</f>
        <v>6874.87165104</v>
      </c>
      <c r="DL35" s="180">
        <f>$BS35*(VLOOKUP(DL$4, Rates_current!$G$6:$Q$29, 10, FALSE)+VLOOKUP(DL$4, Rates_current!$G$6:$Q$29, 11, FALSE))</f>
        <v>7144.0544168959996</v>
      </c>
      <c r="DM35" s="180">
        <f>$BS35*(VLOOKUP(DM$4, Rates_current!$G$6:$Q$29, 10, FALSE)+VLOOKUP(DM$4, Rates_current!$G$6:$Q$29, 11, FALSE))</f>
        <v>6144.8390401919987</v>
      </c>
      <c r="DN35" s="180">
        <f>$BS35*(VLOOKUP(DN$4, Rates_current!$G$6:$Q$29, 10, FALSE)+VLOOKUP(DN$4, Rates_current!$G$6:$Q$29, 11, FALSE))</f>
        <v>6708.9476149439997</v>
      </c>
      <c r="DO35" s="180">
        <f>$BS35*(VLOOKUP(DO$4, Rates_current!$G$6:$Q$29, 10, FALSE)+VLOOKUP(DO$4, Rates_current!$G$6:$Q$29, 11, FALSE))</f>
        <v>5295.5835472719991</v>
      </c>
      <c r="DP35" s="180">
        <f>$BS35*(VLOOKUP(DP$4, Rates_current!$G$6:$Q$29, 10, FALSE)+VLOOKUP(DP$4, Rates_current!$G$6:$Q$29, 11, FALSE))</f>
        <v>6569.8810316959998</v>
      </c>
      <c r="DQ35" s="180">
        <f>$BS35*(VLOOKUP(DQ$4, Rates_current!$G$6:$Q$29, 10, FALSE)+VLOOKUP(DQ$4, Rates_current!$G$6:$Q$29, 11, FALSE))</f>
        <v>6712.4310489119989</v>
      </c>
      <c r="DR35" s="180">
        <f>$BS35*(VLOOKUP(DR$4, Rates_current!$G$6:$Q$29, 10, FALSE)+VLOOKUP(DR$4, Rates_current!$G$6:$Q$29, 11, FALSE))</f>
        <v>5827.3571995359998</v>
      </c>
      <c r="DS35" s="180">
        <f>$BS35*(VLOOKUP(DS$4, Rates_current!$G$6:$Q$29, 10, FALSE)+VLOOKUP(DS$4, Rates_current!$G$6:$Q$29, 11, FALSE))</f>
        <v>5633.5054495984004</v>
      </c>
      <c r="DT35" s="180">
        <f>$BS35*(VLOOKUP(DT$4, Rates_current!$G$6:$Q$29, 10, FALSE)+VLOOKUP(DT$4, Rates_current!$G$6:$Q$29, 11, FALSE))</f>
        <v>5183.9159355520005</v>
      </c>
      <c r="DU35" s="402">
        <f>IF(D35=0,IF(C35=0,MAX(0,DW35 - (VLOOKUP($A35,TOCA_current!$A$2:$AI$137,MATCH("RHWM 2024",TOCA_current!$A$2:$AI$2,0),FALSE)*$BS$2)), 0),0)</f>
        <v>2952.7043367296137</v>
      </c>
      <c r="DV35" s="403">
        <f>MIN(VLOOKUP($A35,TOCA_current!$A$2:$AI$137,MATCH("TRL - NLSL - Existing Resource "&amp;$BS$1,TOCA_current!$A$2:$AI$2,0),FALSE)*$BS$2, VLOOKUP($A35,TOCA_current!$A$2:$AI$137,MATCH("RHWM 2024",TOCA_current!$A$2:$AI$2,0),FALSE)*$BS$2)</f>
        <v>73460.59199999999</v>
      </c>
      <c r="DW35" s="403">
        <f>SUM(BY35:CV35)+(BS35*RT1SC!$C$4*$BS$2)</f>
        <v>76413.296336729603</v>
      </c>
      <c r="DX35" s="403">
        <f>VLOOKUP($A35,TOCA_current!$A$2:$AI$137,MATCH("Above RHWM Not Served with LS "&amp;$BS$1,TOCA_current!$A$2:$AI$2,0),FALSE)*$BS$2</f>
        <v>0</v>
      </c>
      <c r="DY35" s="403">
        <f t="shared" si="13"/>
        <v>2952.7043367296137</v>
      </c>
      <c r="DZ35" s="403">
        <f>(VLOOKUP($A35,TOCA_current!$A$2:$AI$137,MATCH("RHWM 2024",TOCA_current!$A$2:$AI$2,0),FALSE)*$BS$2) - $DV35</f>
        <v>0</v>
      </c>
      <c r="EA35" s="403">
        <f t="shared" si="14"/>
        <v>0</v>
      </c>
      <c r="EB35" s="403">
        <f t="shared" si="15"/>
        <v>0</v>
      </c>
      <c r="EC35" s="403">
        <f t="shared" si="16"/>
        <v>0</v>
      </c>
      <c r="ED35" s="403">
        <f t="shared" si="17"/>
        <v>0</v>
      </c>
    </row>
    <row r="36" spans="1:134">
      <c r="A36" s="123">
        <v>10086</v>
      </c>
      <c r="B36" s="124" t="s">
        <v>37</v>
      </c>
      <c r="C36" s="232">
        <f>VLOOKUP(A36, TOCA_current!$A$3:$D$137, 4, FALSE)</f>
        <v>0</v>
      </c>
      <c r="D36" s="191">
        <v>0</v>
      </c>
      <c r="E36" s="107">
        <f>VLOOKUP($A36,TOCA_previous!$A$2:$AI$137,MATCH(E$4,TOCA_previous!$A$2:$AI$2,0),FALSE)</f>
        <v>5.5860000000000003E-4</v>
      </c>
      <c r="F36" s="108">
        <f>VLOOKUP($A36,TOCA_previous!$A$2:$AI$137,MATCH(F$4,TOCA_previous!$A$2:$AI$2,0),FALSE)</f>
        <v>5.5860000000000003E-4</v>
      </c>
      <c r="G36" s="108">
        <f t="shared" si="5"/>
        <v>0</v>
      </c>
      <c r="H36" s="108">
        <f>VLOOKUP($A36,TOCA_previous!$A$2:$AI$137,MATCH(H$4,TOCA_previous!$A$2:$AI$2,0),FALSE)</f>
        <v>0</v>
      </c>
      <c r="I36" s="108">
        <f t="shared" si="6"/>
        <v>0</v>
      </c>
      <c r="J36" s="108">
        <f t="shared" si="7"/>
        <v>0</v>
      </c>
      <c r="K36" s="179">
        <f>VLOOKUP(A36, IRD!$A$5:$C$139, 3, FALSE)</f>
        <v>0</v>
      </c>
      <c r="L36" s="180">
        <f t="array" ref="L36">IF($G36=0, INDEX(LS_previous!$D$4:$AY$138, MATCH('Staging Table'!$A36, LS_previous!$B$4:$B$138, 0), MATCH(L$4&amp;L$5, LS_previous!$D$2:$AY$2&amp;LS_previous!$D$3:$AY$3, 0)),SUM(VLOOKUP($A36, LS_previous!$B$4:$AY$138, LS_previous!D$149, FALSE), VLOOKUP('Staging Table'!$A36, LS_previous!$B$4:$AY$138,LS_previous!AB$149, FALSE))/2)</f>
        <v>42.560558230469724</v>
      </c>
      <c r="M36" s="180">
        <f t="array" ref="M36">IF($G36=0, INDEX(LS_previous!$D$4:$AY$138, MATCH('Staging Table'!$A36, LS_previous!$B$4:$B$138, 0), MATCH(M$4&amp;M$5, LS_previous!$D$2:$AY$2&amp;LS_previous!$D$3:$AY$3, 0)),SUM(VLOOKUP($A36, LS_previous!$B$4:$AY$138, LS_previous!E$149, FALSE), VLOOKUP('Staging Table'!$A36, LS_previous!$B$4:$AY$138,LS_previous!AC$149, FALSE))/2)</f>
        <v>159.77226033131831</v>
      </c>
      <c r="N36" s="180">
        <f t="array" ref="N36">IF($G36=0, INDEX(LS_previous!$D$4:$AY$138, MATCH('Staging Table'!$A36, LS_previous!$B$4:$B$138, 0), MATCH(N$4&amp;N$5, LS_previous!$D$2:$AY$2&amp;LS_previous!$D$3:$AY$3, 0)),SUM(VLOOKUP($A36, LS_previous!$B$4:$AY$138, LS_previous!F$149, FALSE), VLOOKUP('Staging Table'!$A36, LS_previous!$B$4:$AY$138,LS_previous!AD$149, FALSE))/2)</f>
        <v>-178.73417227230266</v>
      </c>
      <c r="O36" s="180">
        <f t="array" ref="O36">IF($G36=0, INDEX(LS_previous!$D$4:$AY$138, MATCH('Staging Table'!$A36, LS_previous!$B$4:$B$138, 0), MATCH(O$4&amp;O$5, LS_previous!$D$2:$AY$2&amp;LS_previous!$D$3:$AY$3, 0)),SUM(VLOOKUP($A36, LS_previous!$B$4:$AY$138, LS_previous!G$149, FALSE), VLOOKUP('Staging Table'!$A36, LS_previous!$B$4:$AY$138,LS_previous!AE$149, FALSE))/2)</f>
        <v>-34.291031088570662</v>
      </c>
      <c r="P36" s="180">
        <f t="array" ref="P36">IF($G36=0, INDEX(LS_previous!$D$4:$AY$138, MATCH('Staging Table'!$A36, LS_previous!$B$4:$B$138, 0), MATCH(P$4&amp;P$5, LS_previous!$D$2:$AY$2&amp;LS_previous!$D$3:$AY$3, 0)),SUM(VLOOKUP($A36, LS_previous!$B$4:$AY$138, LS_previous!H$149, FALSE), VLOOKUP('Staging Table'!$A36, LS_previous!$B$4:$AY$138,LS_previous!AF$149, FALSE))/2)</f>
        <v>349.91868984998973</v>
      </c>
      <c r="Q36" s="180">
        <f t="array" ref="Q36">IF($G36=0, INDEX(LS_previous!$D$4:$AY$138, MATCH('Staging Table'!$A36, LS_previous!$B$4:$B$138, 0), MATCH(Q$4&amp;Q$5, LS_previous!$D$2:$AY$2&amp;LS_previous!$D$3:$AY$3, 0)),SUM(VLOOKUP($A36, LS_previous!$B$4:$AY$138, LS_previous!I$149, FALSE), VLOOKUP('Staging Table'!$A36, LS_previous!$B$4:$AY$138,LS_previous!AG$149, FALSE))/2)</f>
        <v>220.22051813138364</v>
      </c>
      <c r="R36" s="180">
        <f t="array" ref="R36">IF($G36=0, INDEX(LS_previous!$D$4:$AY$138, MATCH('Staging Table'!$A36, LS_previous!$B$4:$B$138, 0), MATCH(R$4&amp;R$5, LS_previous!$D$2:$AY$2&amp;LS_previous!$D$3:$AY$3, 0)),SUM(VLOOKUP($A36, LS_previous!$B$4:$AY$138, LS_previous!J$149, FALSE), VLOOKUP('Staging Table'!$A36, LS_previous!$B$4:$AY$138,LS_previous!AH$149, FALSE))/2)</f>
        <v>769.38556550188355</v>
      </c>
      <c r="S36" s="180">
        <f t="array" ref="S36">IF($G36=0, INDEX(LS_previous!$D$4:$AY$138, MATCH('Staging Table'!$A36, LS_previous!$B$4:$B$138, 0), MATCH(S$4&amp;S$5, LS_previous!$D$2:$AY$2&amp;LS_previous!$D$3:$AY$3, 0)),SUM(VLOOKUP($A36, LS_previous!$B$4:$AY$138, LS_previous!K$149, FALSE), VLOOKUP('Staging Table'!$A36, LS_previous!$B$4:$AY$138,LS_previous!AI$149, FALSE))/2)</f>
        <v>385.54216117090618</v>
      </c>
      <c r="T36" s="180">
        <f t="array" ref="T36">IF($G36=0, INDEX(LS_previous!$D$4:$AY$138, MATCH('Staging Table'!$A36, LS_previous!$B$4:$B$138, 0), MATCH(T$4&amp;T$5, LS_previous!$D$2:$AY$2&amp;LS_previous!$D$3:$AY$3, 0)),SUM(VLOOKUP($A36, LS_previous!$B$4:$AY$138, LS_previous!L$149, FALSE), VLOOKUP('Staging Table'!$A36, LS_previous!$B$4:$AY$138,LS_previous!AJ$149, FALSE))/2)</f>
        <v>702.87289803904832</v>
      </c>
      <c r="U36" s="180">
        <f t="array" ref="U36">IF($G36=0, INDEX(LS_previous!$D$4:$AY$138, MATCH('Staging Table'!$A36, LS_previous!$B$4:$B$138, 0), MATCH(U$4&amp;U$5, LS_previous!$D$2:$AY$2&amp;LS_previous!$D$3:$AY$3, 0)),SUM(VLOOKUP($A36, LS_previous!$B$4:$AY$138, LS_previous!M$149, FALSE), VLOOKUP('Staging Table'!$A36, LS_previous!$B$4:$AY$138,LS_previous!AK$149, FALSE))/2)</f>
        <v>335.16494497245981</v>
      </c>
      <c r="V36" s="180">
        <f t="array" ref="V36">IF($G36=0, INDEX(LS_previous!$D$4:$AY$138, MATCH('Staging Table'!$A36, LS_previous!$B$4:$B$138, 0), MATCH(V$4&amp;V$5, LS_previous!$D$2:$AY$2&amp;LS_previous!$D$3:$AY$3, 0)),SUM(VLOOKUP($A36, LS_previous!$B$4:$AY$138, LS_previous!N$149, FALSE), VLOOKUP('Staging Table'!$A36, LS_previous!$B$4:$AY$138,LS_previous!AL$149, FALSE))/2)</f>
        <v>294.56359421739626</v>
      </c>
      <c r="W36" s="180">
        <f t="array" ref="W36">IF($G36=0, INDEX(LS_previous!$D$4:$AY$138, MATCH('Staging Table'!$A36, LS_previous!$B$4:$B$138, 0), MATCH(W$4&amp;W$5, LS_previous!$D$2:$AY$2&amp;LS_previous!$D$3:$AY$3, 0)),SUM(VLOOKUP($A36, LS_previous!$B$4:$AY$138, LS_previous!O$149, FALSE), VLOOKUP('Staging Table'!$A36, LS_previous!$B$4:$AY$138,LS_previous!AM$149, FALSE))/2)</f>
        <v>273.04263077356563</v>
      </c>
      <c r="X36" s="180">
        <f t="array" ref="X36">IF($G36=0, INDEX(LS_previous!$D$4:$AY$138, MATCH('Staging Table'!$A36, LS_previous!$B$4:$B$138, 0), MATCH(X$4&amp;X$5, LS_previous!$D$2:$AY$2&amp;LS_previous!$D$3:$AY$3, 0)),SUM(VLOOKUP($A36, LS_previous!$B$4:$AY$138, LS_previous!P$149, FALSE), VLOOKUP('Staging Table'!$A36, LS_previous!$B$4:$AY$138,LS_previous!AN$149, FALSE))/2)</f>
        <v>377.4016048790761</v>
      </c>
      <c r="Y36" s="180">
        <f t="array" ref="Y36">IF($G36=0, INDEX(LS_previous!$D$4:$AY$138, MATCH('Staging Table'!$A36, LS_previous!$B$4:$B$138, 0), MATCH(Y$4&amp;Y$5, LS_previous!$D$2:$AY$2&amp;LS_previous!$D$3:$AY$3, 0)),SUM(VLOOKUP($A36, LS_previous!$B$4:$AY$138, LS_previous!Q$149, FALSE), VLOOKUP('Staging Table'!$A36, LS_previous!$B$4:$AY$138,LS_previous!AO$149, FALSE))/2)</f>
        <v>229.63108818759076</v>
      </c>
      <c r="Z36" s="180">
        <f t="array" ref="Z36">IF($G36=0, INDEX(LS_previous!$D$4:$AY$138, MATCH('Staging Table'!$A36, LS_previous!$B$4:$B$138, 0), MATCH(Z$4&amp;Z$5, LS_previous!$D$2:$AY$2&amp;LS_previous!$D$3:$AY$3, 0)),SUM(VLOOKUP($A36, LS_previous!$B$4:$AY$138, LS_previous!R$149, FALSE), VLOOKUP('Staging Table'!$A36, LS_previous!$B$4:$AY$138,LS_previous!AP$149, FALSE))/2)</f>
        <v>-472.72342396873887</v>
      </c>
      <c r="AA36" s="180">
        <f t="array" ref="AA36">IF($G36=0, INDEX(LS_previous!$D$4:$AY$138, MATCH('Staging Table'!$A36, LS_previous!$B$4:$B$138, 0), MATCH(AA$4&amp;AA$5, LS_previous!$D$2:$AY$2&amp;LS_previous!$D$3:$AY$3, 0)),SUM(VLOOKUP($A36, LS_previous!$B$4:$AY$138, LS_previous!S$149, FALSE), VLOOKUP('Staging Table'!$A36, LS_previous!$B$4:$AY$138,LS_previous!AQ$149, FALSE))/2)</f>
        <v>-3.4327382594883602</v>
      </c>
      <c r="AB36" s="180">
        <f t="array" ref="AB36">IF($G36=0, INDEX(LS_previous!$D$4:$AY$138, MATCH('Staging Table'!$A36, LS_previous!$B$4:$B$138, 0), MATCH(AB$4&amp;AB$5, LS_previous!$D$2:$AY$2&amp;LS_previous!$D$3:$AY$3, 0)),SUM(VLOOKUP($A36, LS_previous!$B$4:$AY$138, LS_previous!T$149, FALSE), VLOOKUP('Staging Table'!$A36, LS_previous!$B$4:$AY$138,LS_previous!AR$149, FALSE))/2)</f>
        <v>-814.31732515767112</v>
      </c>
      <c r="AC36" s="180">
        <f t="array" ref="AC36">IF($G36=0, INDEX(LS_previous!$D$4:$AY$138, MATCH('Staging Table'!$A36, LS_previous!$B$4:$B$138, 0), MATCH(AC$4&amp;AC$5, LS_previous!$D$2:$AY$2&amp;LS_previous!$D$3:$AY$3, 0)),SUM(VLOOKUP($A36, LS_previous!$B$4:$AY$138, LS_previous!U$149, FALSE), VLOOKUP('Staging Table'!$A36, LS_previous!$B$4:$AY$138,LS_previous!AS$149, FALSE))/2)</f>
        <v>-25.320059036070575</v>
      </c>
      <c r="AD36" s="180">
        <f t="array" ref="AD36">IF($G36=0, INDEX(LS_previous!$D$4:$AY$138, MATCH('Staging Table'!$A36, LS_previous!$B$4:$B$138, 0), MATCH(AD$4&amp;AD$5, LS_previous!$D$2:$AY$2&amp;LS_previous!$D$3:$AY$3, 0)),SUM(VLOOKUP($A36, LS_previous!$B$4:$AY$138, LS_previous!V$149, FALSE), VLOOKUP('Staging Table'!$A36, LS_previous!$B$4:$AY$138,LS_previous!AT$149, FALSE))/2)</f>
        <v>-523.41153861208454</v>
      </c>
      <c r="AE36" s="180">
        <f t="array" ref="AE36">IF($G36=0, INDEX(LS_previous!$D$4:$AY$138, MATCH('Staging Table'!$A36, LS_previous!$B$4:$B$138, 0), MATCH(AE$4&amp;AE$5, LS_previous!$D$2:$AY$2&amp;LS_previous!$D$3:$AY$3, 0)),SUM(VLOOKUP($A36, LS_previous!$B$4:$AY$138, LS_previous!W$149, FALSE), VLOOKUP('Staging Table'!$A36, LS_previous!$B$4:$AY$138,LS_previous!AU$149, FALSE))/2)</f>
        <v>-125.22047767107904</v>
      </c>
      <c r="AF36" s="180">
        <f t="array" ref="AF36">IF($G36=0, INDEX(LS_previous!$D$4:$AY$138, MATCH('Staging Table'!$A36, LS_previous!$B$4:$B$138, 0), MATCH(AF$4&amp;AF$5, LS_previous!$D$2:$AY$2&amp;LS_previous!$D$3:$AY$3, 0)),SUM(VLOOKUP($A36, LS_previous!$B$4:$AY$138, LS_previous!X$149, FALSE), VLOOKUP('Staging Table'!$A36, LS_previous!$B$4:$AY$138,LS_previous!AV$149, FALSE))/2)</f>
        <v>-415.06276325374756</v>
      </c>
      <c r="AG36" s="180">
        <f t="array" ref="AG36">IF($G36=0, INDEX(LS_previous!$D$4:$AY$138, MATCH('Staging Table'!$A36, LS_previous!$B$4:$B$138, 0), MATCH(AG$4&amp;AG$5, LS_previous!$D$2:$AY$2&amp;LS_previous!$D$3:$AY$3, 0)),SUM(VLOOKUP($A36, LS_previous!$B$4:$AY$138, LS_previous!Y$149, FALSE), VLOOKUP('Staging Table'!$A36, LS_previous!$B$4:$AY$138,LS_previous!AW$149, FALSE))/2)</f>
        <v>-120.87874115822149</v>
      </c>
      <c r="AH36" s="180">
        <f t="array" ref="AH36">IF($G36=0, INDEX(LS_previous!$D$4:$AY$138, MATCH('Staging Table'!$A36, LS_previous!$B$4:$B$138, 0), MATCH(AH$4&amp;AH$5, LS_previous!$D$2:$AY$2&amp;LS_previous!$D$3:$AY$3, 0)),SUM(VLOOKUP($A36, LS_previous!$B$4:$AY$138, LS_previous!Z$149, FALSE), VLOOKUP('Staging Table'!$A36, LS_previous!$B$4:$AY$138,LS_previous!AX$149, FALSE))/2)</f>
        <v>-343.9730375257875</v>
      </c>
      <c r="AI36" s="180">
        <f t="array" ref="AI36">IF($G36=0, INDEX(LS_previous!$D$4:$AY$138, MATCH('Staging Table'!$A36, LS_previous!$B$4:$B$138, 0), MATCH(AI$4&amp;AI$5, LS_previous!$D$2:$AY$2&amp;LS_previous!$D$3:$AY$3, 0)),SUM(VLOOKUP($A36, LS_previous!$B$4:$AY$138, LS_previous!AA$149, FALSE), VLOOKUP('Staging Table'!$A36, LS_previous!$B$4:$AY$138,LS_previous!AY$149, FALSE))/2)</f>
        <v>-60.521523691626726</v>
      </c>
      <c r="AJ36" s="298">
        <f t="array" ref="AJ36">INDEX(Demand_previous!$D$4:$AY$138, MATCH('Staging Table'!$A36, Demand_previous!$B$4:$B$138, 0), MATCH(AJ$4&amp;AJ$5,Demand_previous!$D$2:$AY$2&amp;Demand_previous!$D$3:$AY$3, 0))/1000</f>
        <v>0.52868750000000042</v>
      </c>
      <c r="AK36" s="298">
        <f t="array" ref="AK36">INDEX(Demand_previous!$D$4:$AY$138, MATCH('Staging Table'!$A36, Demand_previous!$B$4:$B$138, 0), MATCH(AK$4&amp;AK$5,Demand_previous!$D$2:$AY$2&amp;Demand_previous!$D$3:$AY$3, 0))/1000</f>
        <v>0.54509500000000011</v>
      </c>
      <c r="AL36" s="298">
        <f t="array" ref="AL36">INDEX(Demand_previous!$D$4:$AY$138, MATCH('Staging Table'!$A36, Demand_previous!$B$4:$B$138, 0), MATCH(AL$4&amp;AL$5,Demand_previous!$D$2:$AY$2&amp;Demand_previous!$D$3:$AY$3, 0))/1000</f>
        <v>0.84487019230769267</v>
      </c>
      <c r="AM36" s="298">
        <f t="array" ref="AM36">INDEX(Demand_previous!$D$4:$AY$138, MATCH('Staging Table'!$A36, Demand_previous!$B$4:$B$138, 0), MATCH(AM$4&amp;AM$5,Demand_previous!$D$2:$AY$2&amp;Demand_previous!$D$3:$AY$3, 0))/1000</f>
        <v>0.64460500000000054</v>
      </c>
      <c r="AN36" s="298">
        <f t="array" ref="AN36">INDEX(Demand_previous!$D$4:$AY$138, MATCH('Staging Table'!$A36, Demand_previous!$B$4:$B$138, 0), MATCH(AN$4&amp;AN$5,Demand_previous!$D$2:$AY$2&amp;Demand_previous!$D$3:$AY$3, 0))/1000</f>
        <v>0.45790104166666756</v>
      </c>
      <c r="AO36" s="298">
        <f t="array" ref="AO36">INDEX(Demand_previous!$D$4:$AY$138, MATCH('Staging Table'!$A36, Demand_previous!$B$4:$B$138, 0), MATCH(AO$4&amp;AO$5,Demand_previous!$D$2:$AY$2&amp;Demand_previous!$D$3:$AY$3, 0))/1000</f>
        <v>0.91331712962962963</v>
      </c>
      <c r="AP36" s="298">
        <f t="array" ref="AP36">INDEX(Demand_previous!$D$4:$AY$138, MATCH('Staging Table'!$A36, Demand_previous!$B$4:$B$138, 0), MATCH(AP$4&amp;AP$5,Demand_previous!$D$2:$AY$2&amp;Demand_previous!$D$3:$AY$3, 0))/1000</f>
        <v>1.1785504807692309</v>
      </c>
      <c r="AQ36" s="298">
        <f t="array" ref="AQ36">INDEX(Demand_previous!$D$4:$AY$138, MATCH('Staging Table'!$A36, Demand_previous!$B$4:$B$138, 0), MATCH(AQ$4&amp;AQ$5,Demand_previous!$D$2:$AY$2&amp;Demand_previous!$D$3:$AY$3, 0))/1000</f>
        <v>0.42005000000000048</v>
      </c>
      <c r="AR36" s="298">
        <f t="array" ref="AR36">INDEX(Demand_previous!$D$4:$AY$138, MATCH('Staging Table'!$A36, Demand_previous!$B$4:$B$138, 0), MATCH(AR$4&amp;AR$5,Demand_previous!$D$2:$AY$2&amp;Demand_previous!$D$3:$AY$3, 0))/1000</f>
        <v>0.5805408653846158</v>
      </c>
      <c r="AS36" s="298">
        <f t="array" ref="AS36">INDEX(Demand_previous!$D$4:$AY$138, MATCH('Staging Table'!$A36, Demand_previous!$B$4:$B$138, 0), MATCH(AS$4&amp;AS$5,Demand_previous!$D$2:$AY$2&amp;Demand_previous!$D$3:$AY$3, 0))/1000</f>
        <v>0.37232249999999967</v>
      </c>
      <c r="AT36" s="298">
        <f t="array" ref="AT36">INDEX(Demand_previous!$D$4:$AY$138, MATCH('Staging Table'!$A36, Demand_previous!$B$4:$B$138, 0), MATCH(AT$4&amp;AT$5,Demand_previous!$D$2:$AY$2&amp;Demand_previous!$D$3:$AY$3, 0))/1000</f>
        <v>0.63174305555555499</v>
      </c>
      <c r="AU36" s="298">
        <f t="array" ref="AU36">INDEX(Demand_previous!$D$4:$AY$138, MATCH('Staging Table'!$A36, Demand_previous!$B$4:$B$138, 0), MATCH(AU$4&amp;AU$5,Demand_previous!$D$2:$AY$2&amp;Demand_previous!$D$3:$AY$3, 0))/1000</f>
        <v>0.71887249999999991</v>
      </c>
      <c r="AV36" s="180">
        <f>$F36*(VLOOKUP(AV$4, Rates_previous!$G$6:$Q$29, 10, FALSE)+VLOOKUP(AV$4, Rates_previous!$G$6:$Q$29, 11, FALSE))</f>
        <v>2543.8221814382118</v>
      </c>
      <c r="AW36" s="180">
        <f>$F36*(VLOOKUP(AW$4, Rates_previous!$G$6:$Q$29, 10, FALSE)+VLOOKUP(AW$4, Rates_previous!$G$6:$Q$29, 11, FALSE))</f>
        <v>3220.5712033608734</v>
      </c>
      <c r="AX36" s="180">
        <f>$F36*(VLOOKUP(AX$4, Rates_previous!$G$6:$Q$29, 10, FALSE)+VLOOKUP(AX$4, Rates_previous!$G$6:$Q$29, 11, FALSE))</f>
        <v>3152.2957920186268</v>
      </c>
      <c r="AY36" s="180">
        <f>$F36*(VLOOKUP(AY$4, Rates_previous!$G$6:$Q$29, 10, FALSE)+VLOOKUP(AY$4, Rates_previous!$G$6:$Q$29, 11, FALSE))</f>
        <v>2603.6622733272102</v>
      </c>
      <c r="AZ36" s="180">
        <f>$F36*(VLOOKUP(AZ$4, Rates_previous!$G$6:$Q$29, 10, FALSE)+VLOOKUP(AZ$4, Rates_previous!$G$6:$Q$29, 11, FALSE))</f>
        <v>2256.6511569884919</v>
      </c>
      <c r="BA36" s="180">
        <f>$F36*(VLOOKUP(BA$4, Rates_previous!$G$6:$Q$29, 10, FALSE)+VLOOKUP(BA$4, Rates_previous!$G$6:$Q$29, 11, FALSE))</f>
        <v>2693.9857750090387</v>
      </c>
      <c r="BB36" s="180">
        <f>$F36*(VLOOKUP(BB$4, Rates_previous!$G$6:$Q$29, 10, FALSE)+VLOOKUP(BB$4, Rates_previous!$G$6:$Q$29, 11, FALSE))</f>
        <v>2091.5213069333331</v>
      </c>
      <c r="BC36" s="180">
        <f>$F36*(VLOOKUP(BC$4, Rates_previous!$G$6:$Q$29, 10, FALSE)+VLOOKUP(BC$4, Rates_previous!$G$6:$Q$29, 11, FALSE))</f>
        <v>2897.8181622282273</v>
      </c>
      <c r="BD36" s="180">
        <f>$F36*(VLOOKUP(BD$4, Rates_previous!$G$6:$Q$29, 10, FALSE)+VLOOKUP(BD$4, Rates_previous!$G$6:$Q$29, 11, FALSE))</f>
        <v>3096.3793841937413</v>
      </c>
      <c r="BE36" s="180">
        <f>$F36*(VLOOKUP(BE$4, Rates_previous!$G$6:$Q$29, 10, FALSE)+VLOOKUP(BE$4, Rates_previous!$G$6:$Q$29, 11, FALSE))</f>
        <v>2939.8720162831637</v>
      </c>
      <c r="BF36" s="180">
        <f>$F36*(VLOOKUP(BF$4, Rates_previous!$G$6:$Q$29, 10, FALSE)+VLOOKUP(BF$4, Rates_previous!$G$6:$Q$29, 11, FALSE))</f>
        <v>2841.159504411969</v>
      </c>
      <c r="BG36" s="180">
        <f>$F36*(VLOOKUP(BG$4, Rates_previous!$G$6:$Q$29, 10, FALSE)+VLOOKUP(BG$4, Rates_previous!$G$6:$Q$29, 11, FALSE))</f>
        <v>2625.5275612174141</v>
      </c>
      <c r="BH36" s="298">
        <f>IF($D36=0,IF(C36=0, MAX(BJ36 - (VLOOKUP($A36,TOCA_previous!$A$2:$AI$137,MATCH("RHWM 2022",TOCA_previous!$A$2:$AI$2,0),FALSE)*$F$2*TOCA_previous!C33),0),0), 0)</f>
        <v>1021.5776862137063</v>
      </c>
      <c r="BI36" s="192">
        <f>MIN(VLOOKUP($A36,TOCA_previous!$A$2:$AI$137,MATCH("TRL - NLSL - Existing Resource "&amp;$F$1,TOCA_previous!$A$2:$AI$2,0),FALSE)*$F$2,(VLOOKUP($A36,TOCA_previous!$A$2:$AI$137,MATCH("RHWM 2022",TOCA_previous!$A$2:$AI$2,0),FALSE)*$F$2))</f>
        <v>32963.879999999997</v>
      </c>
      <c r="BJ36" s="402">
        <f>SUM(L36:AI36)+(F36*RT1SC!$C$3*$F$2)</f>
        <v>33985.457686213704</v>
      </c>
      <c r="BK36" s="401">
        <f>VLOOKUP($A36,TOCA_previous!$A$2:$AI$137,MATCH("Above RHWM Not Served with LS "&amp;$F$1,TOCA_previous!$A$2:$AI$2,0),FALSE)*$F$2</f>
        <v>0</v>
      </c>
      <c r="BL36" s="402">
        <f t="shared" si="8"/>
        <v>1021.5776862137063</v>
      </c>
      <c r="BM36" s="401">
        <f>(VLOOKUP($A36,TOCA_previous!$A$2:$AI$137,MATCH("RHWM 2022",TOCA_previous!$A$2:$AI$2,0),FALSE)*$F$2) - $BI36</f>
        <v>0</v>
      </c>
      <c r="BN36" s="402">
        <f t="shared" si="9"/>
        <v>0</v>
      </c>
      <c r="BO36" s="401">
        <f t="shared" si="10"/>
        <v>0</v>
      </c>
      <c r="BP36" s="402">
        <f t="shared" si="11"/>
        <v>0</v>
      </c>
      <c r="BQ36" s="401">
        <f t="shared" si="2"/>
        <v>0</v>
      </c>
      <c r="BR36" s="108">
        <f>VLOOKUP($A36,TOCA_current!$A$2:$AI$137,MATCH(BR$4,TOCA_current!$A$2:$AI$2,0),FALSE)</f>
        <v>5.4779999999999998E-4</v>
      </c>
      <c r="BS36" s="108">
        <f>VLOOKUP($A36,TOCA_current!$A$2:$AI$137,MATCH(BS$4,TOCA_current!$A$2:$AI$2,0),FALSE)</f>
        <v>5.4779999999999998E-4</v>
      </c>
      <c r="BT36" s="189">
        <f t="shared" si="12"/>
        <v>0</v>
      </c>
      <c r="BU36" s="108">
        <f>VLOOKUP($A36,TOCA_current!A32:BG167,MATCH(BU$4,TOCA_current!$A$2:$BG$2,0),FALSE)</f>
        <v>0</v>
      </c>
      <c r="BV36" s="108">
        <f t="shared" si="3"/>
        <v>0</v>
      </c>
      <c r="BW36" s="108">
        <f t="shared" si="4"/>
        <v>0</v>
      </c>
      <c r="BX36" s="179">
        <f>VLOOKUP($A36,IRD!$A$4:$G$139, 7, FALSE)</f>
        <v>0</v>
      </c>
      <c r="BY36" s="180">
        <f t="array" ref="BY36">IF($BT36=0, INDEX(LS_current!$D$4:$AY$138, MATCH('Staging Table'!$A36, LS_current!$B$4:$B$138, 0), MATCH(BY$4&amp;BY$5, LS_current!$D$2:$AY$2&amp;LS_current!$D$3:$AY$3, 0)),SUM(VLOOKUP($A36, LS_current!$B$4:$AY$138, LS_current!D$148, FALSE), VLOOKUP($A36, LS_current!$B$4:$AY$138,LS_current!AB$148, FALSE))/2)</f>
        <v>275.88515707919987</v>
      </c>
      <c r="BZ36" s="180">
        <f t="array" ref="BZ36">IF($BT36=0, INDEX(LS_current!$D$4:$AY$138, MATCH('Staging Table'!$A36, LS_current!$B$4:$B$138, 0), MATCH(BZ$4&amp;BZ$5, LS_current!$D$2:$AY$2&amp;LS_current!$D$3:$AY$3, 0)),SUM(VLOOKUP($A36, LS_current!$B$4:$AY$138, LS_current!E$148, FALSE), VLOOKUP($A36, LS_current!$B$4:$AY$138,LS_current!AC$148, FALSE))/2)</f>
        <v>159.20914237110003</v>
      </c>
      <c r="CA36" s="180">
        <f t="array" ref="CA36">IF($BT36=0, INDEX(LS_current!$D$4:$AY$138, MATCH('Staging Table'!$A36, LS_current!$B$4:$B$138, 0), MATCH(CA$4&amp;CA$5, LS_current!$D$2:$AY$2&amp;LS_current!$D$3:$AY$3, 0)),SUM(VLOOKUP($A36, LS_current!$B$4:$AY$138, LS_current!F$148, FALSE), VLOOKUP($A36, LS_current!$B$4:$AY$138,LS_current!AD$148, FALSE))/2)</f>
        <v>9.2758417215998179</v>
      </c>
      <c r="CB36" s="180">
        <f t="array" ref="CB36">IF($BT36=0, INDEX(LS_current!$D$4:$AY$138, MATCH('Staging Table'!$A36, LS_current!$B$4:$B$138, 0), MATCH(CB$4&amp;CB$5, LS_current!$D$2:$AY$2&amp;LS_current!$D$3:$AY$3, 0)),SUM(VLOOKUP($A36, LS_current!$B$4:$AY$138, LS_current!G$148, FALSE), VLOOKUP($A36, LS_current!$B$4:$AY$138,LS_current!AE$148, FALSE))/2)</f>
        <v>50.905685938199895</v>
      </c>
      <c r="CC36" s="180">
        <f t="array" ref="CC36">IF($BT36=0, INDEX(LS_current!$D$4:$AY$138, MATCH('Staging Table'!$A36, LS_current!$B$4:$B$138, 0), MATCH(CC$4&amp;CC$5, LS_current!$D$2:$AY$2&amp;LS_current!$D$3:$AY$3, 0)),SUM(VLOOKUP($A36, LS_current!$B$4:$AY$138, LS_current!H$148, FALSE), VLOOKUP($A36, LS_current!$B$4:$AY$138,LS_current!AF$148, FALSE))/2)</f>
        <v>222.25191217579982</v>
      </c>
      <c r="CD36" s="180">
        <f t="array" ref="CD36">IF($BT36=0, INDEX(LS_current!$D$4:$AY$138, MATCH('Staging Table'!$A36, LS_current!$B$4:$B$138, 0), MATCH(CD$4&amp;CD$5, LS_current!$D$2:$AY$2&amp;LS_current!$D$3:$AY$3, 0)),SUM(VLOOKUP($A36, LS_current!$B$4:$AY$138, LS_current!I$148, FALSE), VLOOKUP($A36, LS_current!$B$4:$AY$138,LS_current!AG$148, FALSE))/2)</f>
        <v>319.39365333120008</v>
      </c>
      <c r="CE36" s="180">
        <f t="array" ref="CE36">IF($BT36=0, INDEX(LS_current!$D$4:$AY$138, MATCH('Staging Table'!$A36, LS_current!$B$4:$B$138, 0), MATCH(CE$4&amp;CE$5, LS_current!$D$2:$AY$2&amp;LS_current!$D$3:$AY$3, 0)),SUM(VLOOKUP($A36, LS_current!$B$4:$AY$138, LS_current!J$148, FALSE), VLOOKUP($A36, LS_current!$B$4:$AY$138,LS_current!AH$148, FALSE))/2)</f>
        <v>204.14607852300014</v>
      </c>
      <c r="CF36" s="180">
        <f t="array" ref="CF36">IF($BT36=0, INDEX(LS_current!$D$4:$AY$138, MATCH('Staging Table'!$A36, LS_current!$B$4:$B$138, 0), MATCH(CF$4&amp;CF$5, LS_current!$D$2:$AY$2&amp;LS_current!$D$3:$AY$3, 0)),SUM(VLOOKUP($A36, LS_current!$B$4:$AY$138, LS_current!K$148, FALSE), VLOOKUP($A36, LS_current!$B$4:$AY$138,LS_current!AI$148, FALSE))/2)</f>
        <v>249.11198771379986</v>
      </c>
      <c r="CG36" s="180">
        <f t="array" ref="CG36">IF($BT36=0, INDEX(LS_current!$D$4:$AY$138, MATCH('Staging Table'!$A36, LS_current!$B$4:$B$138, 0), MATCH(CG$4&amp;CG$5, LS_current!$D$2:$AY$2&amp;LS_current!$D$3:$AY$3, 0)),SUM(VLOOKUP($A36, LS_current!$B$4:$AY$138, LS_current!L$148, FALSE), VLOOKUP($A36, LS_current!$B$4:$AY$138,LS_current!AJ$148, FALSE))/2)</f>
        <v>205.99625748380004</v>
      </c>
      <c r="CH36" s="180">
        <f t="array" ref="CH36">IF($BT36=0, INDEX(LS_current!$D$4:$AY$138, MATCH('Staging Table'!$A36, LS_current!$B$4:$B$138, 0), MATCH(CH$4&amp;CH$5, LS_current!$D$2:$AY$2&amp;LS_current!$D$3:$AY$3, 0)),SUM(VLOOKUP($A36, LS_current!$B$4:$AY$138, LS_current!M$148, FALSE), VLOOKUP($A36, LS_current!$B$4:$AY$138,LS_current!AK$148, FALSE))/2)</f>
        <v>245.66670685979989</v>
      </c>
      <c r="CI36" s="180">
        <f t="array" ref="CI36">IF($BT36=0, INDEX(LS_current!$D$4:$AY$138, MATCH('Staging Table'!$A36, LS_current!$B$4:$B$138, 0), MATCH(CI$4&amp;CI$5, LS_current!$D$2:$AY$2&amp;LS_current!$D$3:$AY$3, 0)),SUM(VLOOKUP($A36, LS_current!$B$4:$AY$138, LS_current!N$148, FALSE), VLOOKUP($A36, LS_current!$B$4:$AY$138,LS_current!AL$148, FALSE))/2)</f>
        <v>59.181309898600148</v>
      </c>
      <c r="CJ36" s="180">
        <f t="array" ref="CJ36">IF($BT36=0, INDEX(LS_current!$D$4:$AY$138, MATCH('Staging Table'!$A36, LS_current!$B$4:$B$138, 0), MATCH(CJ$4&amp;CJ$5, LS_current!$D$2:$AY$2&amp;LS_current!$D$3:$AY$3, 0)),SUM(VLOOKUP($A36, LS_current!$B$4:$AY$138, LS_current!O$148, FALSE), VLOOKUP($A36, LS_current!$B$4:$AY$138,LS_current!AM$148, FALSE))/2)</f>
        <v>98.389150011600123</v>
      </c>
      <c r="CK36" s="180">
        <f t="array" ref="CK36">IF($BT36=0, INDEX(LS_current!$D$4:$AY$138, MATCH('Staging Table'!$A36, LS_current!$B$4:$B$138, 0), MATCH(CK$4&amp;CK$5, LS_current!$D$2:$AY$2&amp;LS_current!$D$3:$AY$3, 0)),SUM(VLOOKUP($A36, LS_current!$B$4:$AY$138, LS_current!P$148, FALSE), VLOOKUP($A36, LS_current!$B$4:$AY$138,LS_current!AN$148, FALSE))/2)</f>
        <v>174.93201948550018</v>
      </c>
      <c r="CL36" s="180">
        <f t="array" ref="CL36">IF($BT36=0, INDEX(LS_current!$D$4:$AY$138, MATCH('Staging Table'!$A36, LS_current!$B$4:$B$138, 0), MATCH(CL$4&amp;CL$5, LS_current!$D$2:$AY$2&amp;LS_current!$D$3:$AY$3, 0)),SUM(VLOOKUP($A36, LS_current!$B$4:$AY$138, LS_current!Q$148, FALSE), VLOOKUP($A36, LS_current!$B$4:$AY$138,LS_current!AO$148, FALSE))/2)</f>
        <v>73.52006565335023</v>
      </c>
      <c r="CM36" s="180">
        <f t="array" ref="CM36">IF($BT36=0, INDEX(LS_current!$D$4:$AY$138, MATCH('Staging Table'!$A36, LS_current!$B$4:$B$138, 0), MATCH(CM$4&amp;CM$5, LS_current!$D$2:$AY$2&amp;LS_current!$D$3:$AY$3, 0)),SUM(VLOOKUP($A36, LS_current!$B$4:$AY$138, LS_current!R$148, FALSE), VLOOKUP($A36, LS_current!$B$4:$AY$138,LS_current!AP$148, FALSE))/2)</f>
        <v>-367.10126933440006</v>
      </c>
      <c r="CN36" s="180">
        <f t="array" ref="CN36">IF($BT36=0, INDEX(LS_current!$D$4:$AY$138, MATCH('Staging Table'!$A36, LS_current!$B$4:$B$138, 0), MATCH(CN$4&amp;CN$5, LS_current!$D$2:$AY$2&amp;LS_current!$D$3:$AY$3, 0)),SUM(VLOOKUP($A36, LS_current!$B$4:$AY$138, LS_current!S$148, FALSE), VLOOKUP($A36, LS_current!$B$4:$AY$138,LS_current!AQ$148, FALSE))/2)</f>
        <v>-250.91648502629982</v>
      </c>
      <c r="CO36" s="180">
        <f t="array" ref="CO36">IF($BT36=0, INDEX(LS_current!$D$4:$AY$138, MATCH('Staging Table'!$A36, LS_current!$B$4:$B$138, 0), MATCH(CO$4&amp;CO$5, LS_current!$D$2:$AY$2&amp;LS_current!$D$3:$AY$3, 0)),SUM(VLOOKUP($A36, LS_current!$B$4:$AY$138, LS_current!T$148, FALSE), VLOOKUP($A36, LS_current!$B$4:$AY$138,LS_current!AR$148, FALSE))/2)</f>
        <v>-556.3813418627999</v>
      </c>
      <c r="CP36" s="180">
        <f t="array" ref="CP36">IF($BT36=0, INDEX(LS_current!$D$4:$AY$138, MATCH('Staging Table'!$A36, LS_current!$B$4:$B$138, 0), MATCH(CP$4&amp;CP$5, LS_current!$D$2:$AY$2&amp;LS_current!$D$3:$AY$3, 0)),SUM(VLOOKUP($A36, LS_current!$B$4:$AY$138, LS_current!U$148, FALSE), VLOOKUP($A36, LS_current!$B$4:$AY$138,LS_current!AS$148, FALSE))/2)</f>
        <v>-292.50987485509995</v>
      </c>
      <c r="CQ36" s="180">
        <f t="array" ref="CQ36">IF($BT36=0, INDEX(LS_current!$D$4:$AY$138, MATCH('Staging Table'!$A36, LS_current!$B$4:$B$138, 0), MATCH(CQ$4&amp;CQ$5, LS_current!$D$2:$AY$2&amp;LS_current!$D$3:$AY$3, 0)),SUM(VLOOKUP($A36, LS_current!$B$4:$AY$138, LS_current!V$148, FALSE), VLOOKUP($A36, LS_current!$B$4:$AY$138,LS_current!AT$148, FALSE))/2)</f>
        <v>-245.44900031919997</v>
      </c>
      <c r="CR36" s="180">
        <f t="array" ref="CR36">IF($BT36=0, INDEX(LS_current!$D$4:$AY$138, MATCH('Staging Table'!$A36, LS_current!$B$4:$B$138, 0), MATCH(CR$4&amp;CR$5, LS_current!$D$2:$AY$2&amp;LS_current!$D$3:$AY$3, 0)),SUM(VLOOKUP($A36, LS_current!$B$4:$AY$138, LS_current!W$148, FALSE), VLOOKUP($A36, LS_current!$B$4:$AY$138,LS_current!AU$148, FALSE))/2)</f>
        <v>-159.44805534449995</v>
      </c>
      <c r="CS36" s="180">
        <f t="array" ref="CS36">IF($BT36=0, INDEX(LS_current!$D$4:$AY$138, MATCH('Staging Table'!$A36, LS_current!$B$4:$B$138, 0), MATCH(CS$4&amp;CS$5, LS_current!$D$2:$AY$2&amp;LS_current!$D$3:$AY$3, 0)),SUM(VLOOKUP($A36, LS_current!$B$4:$AY$138, LS_current!X$148, FALSE), VLOOKUP($A36, LS_current!$B$4:$AY$138,LS_current!AV$148, FALSE))/2)</f>
        <v>-155.13235594770003</v>
      </c>
      <c r="CT36" s="180">
        <f t="array" ref="CT36">IF($BT36=0, INDEX(LS_current!$D$4:$AY$138, MATCH('Staging Table'!$A36, LS_current!$B$4:$B$138, 0), MATCH(CT$4&amp;CT$5, LS_current!$D$2:$AY$2&amp;LS_current!$D$3:$AY$3, 0)),SUM(VLOOKUP($A36, LS_current!$B$4:$AY$138, LS_current!Y$148, FALSE), VLOOKUP($A36, LS_current!$B$4:$AY$138,LS_current!AW$148, FALSE))/2)</f>
        <v>-146.09752014182982</v>
      </c>
      <c r="CU36" s="180">
        <f t="array" ref="CU36">IF($BT36=0, INDEX(LS_current!$D$4:$AY$138, MATCH('Staging Table'!$A36, LS_current!$B$4:$B$138, 0), MATCH(CU$4&amp;CU$5, LS_current!$D$2:$AY$2&amp;LS_current!$D$3:$AY$3, 0)),SUM(VLOOKUP($A36, LS_current!$B$4:$AY$138, LS_current!Z$148, FALSE), VLOOKUP($A36, LS_current!$B$4:$AY$138,LS_current!AX$148, FALSE))/2)</f>
        <v>-100.81218649719995</v>
      </c>
      <c r="CV36" s="180">
        <f t="array" ref="CV36">IF($BT36=0, INDEX(LS_current!$D$4:$AY$138, MATCH('Staging Table'!$A36, LS_current!$B$4:$B$138, 0), MATCH(CV$4&amp;CV$5, LS_current!$D$2:$AY$2&amp;LS_current!$D$3:$AY$3, 0)),SUM(VLOOKUP($A36, LS_current!$B$4:$AY$138, LS_current!AA$148, FALSE), VLOOKUP($A36, LS_current!$B$4:$AY$138,LS_current!AY$148, FALSE))/2)</f>
        <v>-76.591595171200083</v>
      </c>
      <c r="CW36" s="182">
        <f t="array" ref="CW36">INDEX(Demand_current!$D$4:$AY$138, MATCH($A36, Demand_current!$B$4:$B$138, 0), MATCH(CW$4&amp;CW$5,Demand_current!$D$2:$AY$2&amp;Demand_current!$D$3:$AY$3, 0))/1000</f>
        <v>0.52868750000000042</v>
      </c>
      <c r="CX36" s="182">
        <f t="array" ref="CX36">INDEX(Demand_current!$D$4:$AY$138, MATCH($A36, Demand_current!$B$4:$B$138, 0), MATCH(CX$4&amp;CX$5,Demand_current!$D$2:$AY$2&amp;Demand_current!$D$3:$AY$3, 0))/1000</f>
        <v>0.54509500000000011</v>
      </c>
      <c r="CY36" s="182">
        <f t="array" ref="CY36">INDEX(Demand_current!$D$4:$AY$138, MATCH($A36, Demand_current!$B$4:$B$138, 0), MATCH(CY$4&amp;CY$5,Demand_current!$D$2:$AY$2&amp;Demand_current!$D$3:$AY$3, 0))/1000</f>
        <v>0.6380650000000001</v>
      </c>
      <c r="CZ36" s="182">
        <f t="array" ref="CZ36">INDEX(Demand_current!$D$4:$AY$138, MATCH($A36, Demand_current!$B$4:$B$138, 0), MATCH(CZ$4&amp;CZ$5,Demand_current!$D$2:$AY$2&amp;Demand_current!$D$3:$AY$3, 0))/1000</f>
        <v>0.86100480769230825</v>
      </c>
      <c r="DA36" s="182">
        <f t="array" ref="DA36">INDEX(Demand_current!$D$4:$AY$138, MATCH($A36, Demand_current!$B$4:$B$138, 0), MATCH(DA$4&amp;DA$5,Demand_current!$D$2:$AY$2&amp;Demand_current!$D$3:$AY$3, 0))/1000</f>
        <v>0.66766500000000084</v>
      </c>
      <c r="DB36" s="182">
        <f t="array" ref="DB36">INDEX(Demand_current!$D$4:$AY$138, MATCH($A36, Demand_current!$B$4:$B$138, 0), MATCH(DB$4&amp;DB$5,Demand_current!$D$2:$AY$2&amp;Demand_current!$D$3:$AY$3, 0))/1000</f>
        <v>0.73979086538461547</v>
      </c>
      <c r="DC36" s="182">
        <f t="array" ref="DC36">INDEX(Demand_current!$D$4:$AY$138, MATCH($A36, Demand_current!$B$4:$B$138, 0), MATCH(DC$4&amp;DC$5,Demand_current!$D$2:$AY$2&amp;Demand_current!$D$3:$AY$3, 0))/1000</f>
        <v>1.1785504807692309</v>
      </c>
      <c r="DD36" s="182">
        <f t="array" ref="DD36">INDEX(Demand_current!$D$4:$AY$138, MATCH($A36, Demand_current!$B$4:$B$138, 0), MATCH(DD$4&amp;DD$5,Demand_current!$D$2:$AY$2&amp;Demand_current!$D$3:$AY$3, 0))/1000</f>
        <v>0.56235576923076969</v>
      </c>
      <c r="DE36" s="182">
        <f t="array" ref="DE36">INDEX(Demand_current!$D$4:$AY$138, MATCH($A36, Demand_current!$B$4:$B$138, 0), MATCH(DE$4&amp;DE$5,Demand_current!$D$2:$AY$2&amp;Demand_current!$D$3:$AY$3, 0))/1000</f>
        <v>0.4465225000000006</v>
      </c>
      <c r="DF36" s="182">
        <f t="array" ref="DF36">INDEX(Demand_current!$D$4:$AY$138, MATCH($A36, Demand_current!$B$4:$B$138, 0), MATCH(DF$4&amp;DF$5,Demand_current!$D$2:$AY$2&amp;Demand_current!$D$3:$AY$3, 0))/1000</f>
        <v>0.51027163461538416</v>
      </c>
      <c r="DG36" s="182">
        <f t="array" ref="DG36">INDEX(Demand_current!$D$4:$AY$138, MATCH($A36, Demand_current!$B$4:$B$138, 0), MATCH(DG$4&amp;DG$5,Demand_current!$D$2:$AY$2&amp;Demand_current!$D$3:$AY$3, 0))/1000</f>
        <v>0.63174305555555499</v>
      </c>
      <c r="DH36" s="182">
        <f t="array" ref="DH36">INDEX(Demand_current!$D$4:$AY$138, MATCH($A36, Demand_current!$B$4:$B$138, 0), MATCH(DH$4&amp;DH$5,Demand_current!$D$2:$AY$2&amp;Demand_current!$D$3:$AY$3, 0))/1000</f>
        <v>0.58015885416666679</v>
      </c>
      <c r="DI36" s="180">
        <f>$BS36*(VLOOKUP(DI$4, Rates_current!$G$6:$Q$29, 10, FALSE)+VLOOKUP(DI$4, Rates_current!$G$6:$Q$29, 11, FALSE))</f>
        <v>2311.0607005497</v>
      </c>
      <c r="DJ36" s="180">
        <f>$BS36*(VLOOKUP(DJ$4, Rates_current!$G$6:$Q$29, 10, FALSE)+VLOOKUP(DJ$4, Rates_current!$G$6:$Q$29, 11, FALSE))</f>
        <v>2947.3644723402003</v>
      </c>
      <c r="DK36" s="180">
        <f>$BS36*(VLOOKUP(DK$4, Rates_current!$G$6:$Q$29, 10, FALSE)+VLOOKUP(DK$4, Rates_current!$G$6:$Q$29, 11, FALSE))</f>
        <v>3180.789434493</v>
      </c>
      <c r="DL36" s="180">
        <f>$BS36*(VLOOKUP(DL$4, Rates_current!$G$6:$Q$29, 10, FALSE)+VLOOKUP(DL$4, Rates_current!$G$6:$Q$29, 11, FALSE))</f>
        <v>3305.3319337631997</v>
      </c>
      <c r="DM36" s="180">
        <f>$BS36*(VLOOKUP(DM$4, Rates_current!$G$6:$Q$29, 10, FALSE)+VLOOKUP(DM$4, Rates_current!$G$6:$Q$29, 11, FALSE))</f>
        <v>2843.0260356563995</v>
      </c>
      <c r="DN36" s="180">
        <f>$BS36*(VLOOKUP(DN$4, Rates_current!$G$6:$Q$29, 10, FALSE)+VLOOKUP(DN$4, Rates_current!$G$6:$Q$29, 11, FALSE))</f>
        <v>3104.0215400897996</v>
      </c>
      <c r="DO36" s="180">
        <f>$BS36*(VLOOKUP(DO$4, Rates_current!$G$6:$Q$29, 10, FALSE)+VLOOKUP(DO$4, Rates_current!$G$6:$Q$29, 11, FALSE))</f>
        <v>2450.1019148611499</v>
      </c>
      <c r="DP36" s="180">
        <f>$BS36*(VLOOKUP(DP$4, Rates_current!$G$6:$Q$29, 10, FALSE)+VLOOKUP(DP$4, Rates_current!$G$6:$Q$29, 11, FALSE))</f>
        <v>3039.6797543606999</v>
      </c>
      <c r="DQ36" s="180">
        <f>$BS36*(VLOOKUP(DQ$4, Rates_current!$G$6:$Q$29, 10, FALSE)+VLOOKUP(DQ$4, Rates_current!$G$6:$Q$29, 11, FALSE))</f>
        <v>3105.6332167178998</v>
      </c>
      <c r="DR36" s="180">
        <f>$BS36*(VLOOKUP(DR$4, Rates_current!$G$6:$Q$29, 10, FALSE)+VLOOKUP(DR$4, Rates_current!$G$6:$Q$29, 11, FALSE))</f>
        <v>2696.1370556636998</v>
      </c>
      <c r="DS36" s="180">
        <f>$BS36*(VLOOKUP(DS$4, Rates_current!$G$6:$Q$29, 10, FALSE)+VLOOKUP(DS$4, Rates_current!$G$6:$Q$29, 11, FALSE))</f>
        <v>2606.4478760895304</v>
      </c>
      <c r="DT36" s="180">
        <f>$BS36*(VLOOKUP(DT$4, Rates_current!$G$6:$Q$29, 10, FALSE)+VLOOKUP(DT$4, Rates_current!$G$6:$Q$29, 11, FALSE))</f>
        <v>2398.4367816684003</v>
      </c>
      <c r="DU36" s="402">
        <f>IF(D36=0,IF(C36=0,MAX(0,DW36 - (VLOOKUP($A36,TOCA_current!$A$2:$AI$137,MATCH("RHWM 2024",TOCA_current!$A$2:$AI$2,0),FALSE)*$BS$2)), 0),0)</f>
        <v>0</v>
      </c>
      <c r="DV36" s="403">
        <f>MIN(VLOOKUP($A36,TOCA_current!$A$2:$AI$137,MATCH("TRL - NLSL - Existing Resource "&amp;$BS$1,TOCA_current!$A$2:$AI$2,0),FALSE)*$BS$2, VLOOKUP($A36,TOCA_current!$A$2:$AI$137,MATCH("RHWM 2024",TOCA_current!$A$2:$AI$2,0),FALSE)*$BS$2)</f>
        <v>33985.296000000002</v>
      </c>
      <c r="DW36" s="403">
        <f>SUM(BY36:CV36)+(BS36*RT1SC!$C$4*$BS$2)</f>
        <v>33985.456155794316</v>
      </c>
      <c r="DX36" s="403">
        <f>VLOOKUP($A36,TOCA_current!$A$2:$AI$137,MATCH("Above RHWM Not Served with LS "&amp;$BS$1,TOCA_current!$A$2:$AI$2,0),FALSE)*$BS$2</f>
        <v>0</v>
      </c>
      <c r="DY36" s="403">
        <f t="shared" si="13"/>
        <v>0.16015579431405058</v>
      </c>
      <c r="DZ36" s="403">
        <f>(VLOOKUP($A36,TOCA_current!$A$2:$AI$137,MATCH("RHWM 2024",TOCA_current!$A$2:$AI$2,0),FALSE)*$BS$2) - $DV36</f>
        <v>667.58399999999529</v>
      </c>
      <c r="EA36" s="403">
        <f t="shared" si="14"/>
        <v>-0.16015579431405058</v>
      </c>
      <c r="EB36" s="403">
        <f t="shared" si="15"/>
        <v>0</v>
      </c>
      <c r="EC36" s="403">
        <f t="shared" si="16"/>
        <v>0</v>
      </c>
      <c r="ED36" s="403">
        <f t="shared" si="17"/>
        <v>-0.16015579431405058</v>
      </c>
    </row>
    <row r="37" spans="1:134">
      <c r="A37" s="123">
        <v>10087</v>
      </c>
      <c r="B37" s="124" t="s">
        <v>38</v>
      </c>
      <c r="C37" s="232">
        <f>VLOOKUP(A37, TOCA_current!$A$3:$D$137, 4, FALSE)</f>
        <v>0</v>
      </c>
      <c r="D37" s="191">
        <v>0</v>
      </c>
      <c r="E37" s="107">
        <f>VLOOKUP($A37,TOCA_previous!$A$2:$AI$137,MATCH(E$4,TOCA_previous!$A$2:$AI$2,0),FALSE)</f>
        <v>8.3526999999999994E-3</v>
      </c>
      <c r="F37" s="108">
        <f>VLOOKUP($A37,TOCA_previous!$A$2:$AI$137,MATCH(F$4,TOCA_previous!$A$2:$AI$2,0),FALSE)</f>
        <v>8.3526999999999994E-3</v>
      </c>
      <c r="G37" s="108">
        <f t="shared" si="5"/>
        <v>0</v>
      </c>
      <c r="H37" s="108">
        <f>VLOOKUP($A37,TOCA_previous!$A$2:$AI$137,MATCH(H$4,TOCA_previous!$A$2:$AI$2,0),FALSE)</f>
        <v>0</v>
      </c>
      <c r="I37" s="108">
        <f t="shared" si="6"/>
        <v>0</v>
      </c>
      <c r="J37" s="108">
        <f t="shared" si="7"/>
        <v>0</v>
      </c>
      <c r="K37" s="179">
        <f>VLOOKUP(A37, IRD!$A$5:$C$139, 3, FALSE)</f>
        <v>0</v>
      </c>
      <c r="L37" s="180">
        <f t="array" ref="L37">IF($G37=0, INDEX(LS_previous!$D$4:$AY$138, MATCH('Staging Table'!$A37, LS_previous!$B$4:$B$138, 0), MATCH(L$4&amp;L$5, LS_previous!$D$2:$AY$2&amp;LS_previous!$D$3:$AY$3, 0)),SUM(VLOOKUP($A37, LS_previous!$B$4:$AY$138, LS_previous!D$149, FALSE), VLOOKUP('Staging Table'!$A37, LS_previous!$B$4:$AY$138,LS_previous!AB$149, FALSE))/2)</f>
        <v>-4877.8868425856635</v>
      </c>
      <c r="M37" s="180">
        <f t="array" ref="M37">IF($G37=0, INDEX(LS_previous!$D$4:$AY$138, MATCH('Staging Table'!$A37, LS_previous!$B$4:$B$138, 0), MATCH(M$4&amp;M$5, LS_previous!$D$2:$AY$2&amp;LS_previous!$D$3:$AY$3, 0)),SUM(VLOOKUP($A37, LS_previous!$B$4:$AY$138, LS_previous!E$149, FALSE), VLOOKUP('Staging Table'!$A37, LS_previous!$B$4:$AY$138,LS_previous!AC$149, FALSE))/2)</f>
        <v>25.027333278560036</v>
      </c>
      <c r="N37" s="180">
        <f t="array" ref="N37">IF($G37=0, INDEX(LS_previous!$D$4:$AY$138, MATCH('Staging Table'!$A37, LS_previous!$B$4:$B$138, 0), MATCH(N$4&amp;N$5, LS_previous!$D$2:$AY$2&amp;LS_previous!$D$3:$AY$3, 0)),SUM(VLOOKUP($A37, LS_previous!$B$4:$AY$138, LS_previous!F$149, FALSE), VLOOKUP('Staging Table'!$A37, LS_previous!$B$4:$AY$138,LS_previous!AD$149, FALSE))/2)</f>
        <v>-8478.6756260989241</v>
      </c>
      <c r="O37" s="180">
        <f t="array" ref="O37">IF($G37=0, INDEX(LS_previous!$D$4:$AY$138, MATCH('Staging Table'!$A37, LS_previous!$B$4:$B$138, 0), MATCH(O$4&amp;O$5, LS_previous!$D$2:$AY$2&amp;LS_previous!$D$3:$AY$3, 0)),SUM(VLOOKUP($A37, LS_previous!$B$4:$AY$138, LS_previous!G$149, FALSE), VLOOKUP('Staging Table'!$A37, LS_previous!$B$4:$AY$138,LS_previous!AE$149, FALSE))/2)</f>
        <v>-2785.3915208977833</v>
      </c>
      <c r="P37" s="180">
        <f t="array" ref="P37">IF($G37=0, INDEX(LS_previous!$D$4:$AY$138, MATCH('Staging Table'!$A37, LS_previous!$B$4:$B$138, 0), MATCH(P$4&amp;P$5, LS_previous!$D$2:$AY$2&amp;LS_previous!$D$3:$AY$3, 0)),SUM(VLOOKUP($A37, LS_previous!$B$4:$AY$138, LS_previous!H$149, FALSE), VLOOKUP('Staging Table'!$A37, LS_previous!$B$4:$AY$138,LS_previous!AF$149, FALSE))/2)</f>
        <v>-2550.9947993018068</v>
      </c>
      <c r="Q37" s="180">
        <f t="array" ref="Q37">IF($G37=0, INDEX(LS_previous!$D$4:$AY$138, MATCH('Staging Table'!$A37, LS_previous!$B$4:$B$138, 0), MATCH(Q$4&amp;Q$5, LS_previous!$D$2:$AY$2&amp;LS_previous!$D$3:$AY$3, 0)),SUM(VLOOKUP($A37, LS_previous!$B$4:$AY$138, LS_previous!I$149, FALSE), VLOOKUP('Staging Table'!$A37, LS_previous!$B$4:$AY$138,LS_previous!AG$149, FALSE))/2)</f>
        <v>-968.64271984244988</v>
      </c>
      <c r="R37" s="180">
        <f t="array" ref="R37">IF($G37=0, INDEX(LS_previous!$D$4:$AY$138, MATCH('Staging Table'!$A37, LS_previous!$B$4:$B$138, 0), MATCH(R$4&amp;R$5, LS_previous!$D$2:$AY$2&amp;LS_previous!$D$3:$AY$3, 0)),SUM(VLOOKUP($A37, LS_previous!$B$4:$AY$138, LS_previous!J$149, FALSE), VLOOKUP('Staging Table'!$A37, LS_previous!$B$4:$AY$138,LS_previous!AH$149, FALSE))/2)</f>
        <v>3558.7830293010811</v>
      </c>
      <c r="S37" s="180">
        <f t="array" ref="S37">IF($G37=0, INDEX(LS_previous!$D$4:$AY$138, MATCH('Staging Table'!$A37, LS_previous!$B$4:$B$138, 0), MATCH(S$4&amp;S$5, LS_previous!$D$2:$AY$2&amp;LS_previous!$D$3:$AY$3, 0)),SUM(VLOOKUP($A37, LS_previous!$B$4:$AY$138, LS_previous!K$149, FALSE), VLOOKUP('Staging Table'!$A37, LS_previous!$B$4:$AY$138,LS_previous!AI$149, FALSE))/2)</f>
        <v>2000.0464737061011</v>
      </c>
      <c r="T37" s="180">
        <f t="array" ref="T37">IF($G37=0, INDEX(LS_previous!$D$4:$AY$138, MATCH('Staging Table'!$A37, LS_previous!$B$4:$B$138, 0), MATCH(T$4&amp;T$5, LS_previous!$D$2:$AY$2&amp;LS_previous!$D$3:$AY$3, 0)),SUM(VLOOKUP($A37, LS_previous!$B$4:$AY$138, LS_previous!L$149, FALSE), VLOOKUP('Staging Table'!$A37, LS_previous!$B$4:$AY$138,LS_previous!AJ$149, FALSE))/2)</f>
        <v>3982.2934207854632</v>
      </c>
      <c r="U37" s="180">
        <f t="array" ref="U37">IF($G37=0, INDEX(LS_previous!$D$4:$AY$138, MATCH('Staging Table'!$A37, LS_previous!$B$4:$B$138, 0), MATCH(U$4&amp;U$5, LS_previous!$D$2:$AY$2&amp;LS_previous!$D$3:$AY$3, 0)),SUM(VLOOKUP($A37, LS_previous!$B$4:$AY$138, LS_previous!M$149, FALSE), VLOOKUP('Staging Table'!$A37, LS_previous!$B$4:$AY$138,LS_previous!AK$149, FALSE))/2)</f>
        <v>2626.8078531533611</v>
      </c>
      <c r="V37" s="180">
        <f t="array" ref="V37">IF($G37=0, INDEX(LS_previous!$D$4:$AY$138, MATCH('Staging Table'!$A37, LS_previous!$B$4:$B$138, 0), MATCH(V$4&amp;V$5, LS_previous!$D$2:$AY$2&amp;LS_previous!$D$3:$AY$3, 0)),SUM(VLOOKUP($A37, LS_previous!$B$4:$AY$138, LS_previous!N$149, FALSE), VLOOKUP('Staging Table'!$A37, LS_previous!$B$4:$AY$138,LS_previous!AL$149, FALSE))/2)</f>
        <v>-1486.7377144295642</v>
      </c>
      <c r="W37" s="180">
        <f t="array" ref="W37">IF($G37=0, INDEX(LS_previous!$D$4:$AY$138, MATCH('Staging Table'!$A37, LS_previous!$B$4:$B$138, 0), MATCH(W$4&amp;W$5, LS_previous!$D$2:$AY$2&amp;LS_previous!$D$3:$AY$3, 0)),SUM(VLOOKUP($A37, LS_previous!$B$4:$AY$138, LS_previous!O$149, FALSE), VLOOKUP('Staging Table'!$A37, LS_previous!$B$4:$AY$138,LS_previous!AM$149, FALSE))/2)</f>
        <v>1030.035302474691</v>
      </c>
      <c r="X37" s="180">
        <f t="array" ref="X37">IF($G37=0, INDEX(LS_previous!$D$4:$AY$138, MATCH('Staging Table'!$A37, LS_previous!$B$4:$B$138, 0), MATCH(X$4&amp;X$5, LS_previous!$D$2:$AY$2&amp;LS_previous!$D$3:$AY$3, 0)),SUM(VLOOKUP($A37, LS_previous!$B$4:$AY$138, LS_previous!P$149, FALSE), VLOOKUP('Staging Table'!$A37, LS_previous!$B$4:$AY$138,LS_previous!AN$149, FALSE))/2)</f>
        <v>379.07442172119772</v>
      </c>
      <c r="Y37" s="180">
        <f t="array" ref="Y37">IF($G37=0, INDEX(LS_previous!$D$4:$AY$138, MATCH('Staging Table'!$A37, LS_previous!$B$4:$B$138, 0), MATCH(Y$4&amp;Y$5, LS_previous!$D$2:$AY$2&amp;LS_previous!$D$3:$AY$3, 0)),SUM(VLOOKUP($A37, LS_previous!$B$4:$AY$138, LS_previous!Q$149, FALSE), VLOOKUP('Staging Table'!$A37, LS_previous!$B$4:$AY$138,LS_previous!AO$149, FALSE))/2)</f>
        <v>2046.6959609819005</v>
      </c>
      <c r="Z37" s="180">
        <f t="array" ref="Z37">IF($G37=0, INDEX(LS_previous!$D$4:$AY$138, MATCH('Staging Table'!$A37, LS_previous!$B$4:$B$138, 0), MATCH(Z$4&amp;Z$5, LS_previous!$D$2:$AY$2&amp;LS_previous!$D$3:$AY$3, 0)),SUM(VLOOKUP($A37, LS_previous!$B$4:$AY$138, LS_previous!R$149, FALSE), VLOOKUP('Staging Table'!$A37, LS_previous!$B$4:$AY$138,LS_previous!AP$149, FALSE))/2)</f>
        <v>-12238.798195101474</v>
      </c>
      <c r="AA37" s="180">
        <f t="array" ref="AA37">IF($G37=0, INDEX(LS_previous!$D$4:$AY$138, MATCH('Staging Table'!$A37, LS_previous!$B$4:$B$138, 0), MATCH(AA$4&amp;AA$5, LS_previous!$D$2:$AY$2&amp;LS_previous!$D$3:$AY$3, 0)),SUM(VLOOKUP($A37, LS_previous!$B$4:$AY$138, LS_previous!S$149, FALSE), VLOOKUP('Staging Table'!$A37, LS_previous!$B$4:$AY$138,LS_previous!AQ$149, FALSE))/2)</f>
        <v>-1417.8911905836503</v>
      </c>
      <c r="AB37" s="180">
        <f t="array" ref="AB37">IF($G37=0, INDEX(LS_previous!$D$4:$AY$138, MATCH('Staging Table'!$A37, LS_previous!$B$4:$B$138, 0), MATCH(AB$4&amp;AB$5, LS_previous!$D$2:$AY$2&amp;LS_previous!$D$3:$AY$3, 0)),SUM(VLOOKUP($A37, LS_previous!$B$4:$AY$138, LS_previous!T$149, FALSE), VLOOKUP('Staging Table'!$A37, LS_previous!$B$4:$AY$138,LS_previous!AR$149, FALSE))/2)</f>
        <v>-16720.654741755236</v>
      </c>
      <c r="AC37" s="180">
        <f t="array" ref="AC37">IF($G37=0, INDEX(LS_previous!$D$4:$AY$138, MATCH('Staging Table'!$A37, LS_previous!$B$4:$B$138, 0), MATCH(AC$4&amp;AC$5, LS_previous!$D$2:$AY$2&amp;LS_previous!$D$3:$AY$3, 0)),SUM(VLOOKUP($A37, LS_previous!$B$4:$AY$138, LS_previous!U$149, FALSE), VLOOKUP('Staging Table'!$A37, LS_previous!$B$4:$AY$138,LS_previous!AS$149, FALSE))/2)</f>
        <v>-2302.3363158084248</v>
      </c>
      <c r="AD37" s="180">
        <f t="array" ref="AD37">IF($G37=0, INDEX(LS_previous!$D$4:$AY$138, MATCH('Staging Table'!$A37, LS_previous!$B$4:$B$138, 0), MATCH(AD$4&amp;AD$5, LS_previous!$D$2:$AY$2&amp;LS_previous!$D$3:$AY$3, 0)),SUM(VLOOKUP($A37, LS_previous!$B$4:$AY$138, LS_previous!V$149, FALSE), VLOOKUP('Staging Table'!$A37, LS_previous!$B$4:$AY$138,LS_previous!AT$149, FALSE))/2)</f>
        <v>-13766.141655326095</v>
      </c>
      <c r="AE37" s="180">
        <f t="array" ref="AE37">IF($G37=0, INDEX(LS_previous!$D$4:$AY$138, MATCH('Staging Table'!$A37, LS_previous!$B$4:$B$138, 0), MATCH(AE$4&amp;AE$5, LS_previous!$D$2:$AY$2&amp;LS_previous!$D$3:$AY$3, 0)),SUM(VLOOKUP($A37, LS_previous!$B$4:$AY$138, LS_previous!W$149, FALSE), VLOOKUP('Staging Table'!$A37, LS_previous!$B$4:$AY$138,LS_previous!AU$149, FALSE))/2)</f>
        <v>-2833.6035620179409</v>
      </c>
      <c r="AF37" s="180">
        <f t="array" ref="AF37">IF($G37=0, INDEX(LS_previous!$D$4:$AY$138, MATCH('Staging Table'!$A37, LS_previous!$B$4:$B$138, 0), MATCH(AF$4&amp;AF$5, LS_previous!$D$2:$AY$2&amp;LS_previous!$D$3:$AY$3, 0)),SUM(VLOOKUP($A37, LS_previous!$B$4:$AY$138, LS_previous!X$149, FALSE), VLOOKUP('Staging Table'!$A37, LS_previous!$B$4:$AY$138,LS_previous!AV$149, FALSE))/2)</f>
        <v>-12242.891133064044</v>
      </c>
      <c r="AG37" s="180">
        <f t="array" ref="AG37">IF($G37=0, INDEX(LS_previous!$D$4:$AY$138, MATCH('Staging Table'!$A37, LS_previous!$B$4:$B$138, 0), MATCH(AG$4&amp;AG$5, LS_previous!$D$2:$AY$2&amp;LS_previous!$D$3:$AY$3, 0)),SUM(VLOOKUP($A37, LS_previous!$B$4:$AY$138, LS_previous!Y$149, FALSE), VLOOKUP('Staging Table'!$A37, LS_previous!$B$4:$AY$138,LS_previous!AW$149, FALSE))/2)</f>
        <v>-2907.4319877770777</v>
      </c>
      <c r="AH37" s="180">
        <f t="array" ref="AH37">IF($G37=0, INDEX(LS_previous!$D$4:$AY$138, MATCH('Staging Table'!$A37, LS_previous!$B$4:$B$138, 0), MATCH(AH$4&amp;AH$5, LS_previous!$D$2:$AY$2&amp;LS_previous!$D$3:$AY$3, 0)),SUM(VLOOKUP($A37, LS_previous!$B$4:$AY$138, LS_previous!Z$149, FALSE), VLOOKUP('Staging Table'!$A37, LS_previous!$B$4:$AY$138,LS_previous!AX$149, FALSE))/2)</f>
        <v>-9641.0308475503825</v>
      </c>
      <c r="AI37" s="180">
        <f t="array" ref="AI37">IF($G37=0, INDEX(LS_previous!$D$4:$AY$138, MATCH('Staging Table'!$A37, LS_previous!$B$4:$B$138, 0), MATCH(AI$4&amp;AI$5, LS_previous!$D$2:$AY$2&amp;LS_previous!$D$3:$AY$3, 0)),SUM(VLOOKUP($A37, LS_previous!$B$4:$AY$138, LS_previous!AA$149, FALSE), VLOOKUP('Staging Table'!$A37, LS_previous!$B$4:$AY$138,LS_previous!AY$149, FALSE))/2)</f>
        <v>-2311.0615065145885</v>
      </c>
      <c r="AJ37" s="298">
        <f t="array" ref="AJ37">INDEX(Demand_previous!$D$4:$AY$138, MATCH('Staging Table'!$A37, Demand_previous!$B$4:$B$138, 0), MATCH(AJ$4&amp;AJ$5,Demand_previous!$D$2:$AY$2&amp;Demand_previous!$D$3:$AY$3, 0))/1000</f>
        <v>0</v>
      </c>
      <c r="AK37" s="298">
        <f t="array" ref="AK37">INDEX(Demand_previous!$D$4:$AY$138, MATCH('Staging Table'!$A37, Demand_previous!$B$4:$B$138, 0), MATCH(AK$4&amp;AK$5,Demand_previous!$D$2:$AY$2&amp;Demand_previous!$D$3:$AY$3, 0))/1000</f>
        <v>0</v>
      </c>
      <c r="AL37" s="298">
        <f t="array" ref="AL37">INDEX(Demand_previous!$D$4:$AY$138, MATCH('Staging Table'!$A37, Demand_previous!$B$4:$B$138, 0), MATCH(AL$4&amp;AL$5,Demand_previous!$D$2:$AY$2&amp;Demand_previous!$D$3:$AY$3, 0))/1000</f>
        <v>4.2053293269230814</v>
      </c>
      <c r="AM37" s="298">
        <f t="array" ref="AM37">INDEX(Demand_previous!$D$4:$AY$138, MATCH('Staging Table'!$A37, Demand_previous!$B$4:$B$138, 0), MATCH(AM$4&amp;AM$5,Demand_previous!$D$2:$AY$2&amp;Demand_previous!$D$3:$AY$3, 0))/1000</f>
        <v>0</v>
      </c>
      <c r="AN37" s="298">
        <f t="array" ref="AN37">INDEX(Demand_previous!$D$4:$AY$138, MATCH('Staging Table'!$A37, Demand_previous!$B$4:$B$138, 0), MATCH(AN$4&amp;AN$5,Demand_previous!$D$2:$AY$2&amp;Demand_previous!$D$3:$AY$3, 0))/1000</f>
        <v>0</v>
      </c>
      <c r="AO37" s="298">
        <f t="array" ref="AO37">INDEX(Demand_previous!$D$4:$AY$138, MATCH('Staging Table'!$A37, Demand_previous!$B$4:$B$138, 0), MATCH(AO$4&amp;AO$5,Demand_previous!$D$2:$AY$2&amp;Demand_previous!$D$3:$AY$3, 0))/1000</f>
        <v>0</v>
      </c>
      <c r="AP37" s="298">
        <f t="array" ref="AP37">INDEX(Demand_previous!$D$4:$AY$138, MATCH('Staging Table'!$A37, Demand_previous!$B$4:$B$138, 0), MATCH(AP$4&amp;AP$5,Demand_previous!$D$2:$AY$2&amp;Demand_previous!$D$3:$AY$3, 0))/1000</f>
        <v>0</v>
      </c>
      <c r="AQ37" s="298">
        <f t="array" ref="AQ37">INDEX(Demand_previous!$D$4:$AY$138, MATCH('Staging Table'!$A37, Demand_previous!$B$4:$B$138, 0), MATCH(AQ$4&amp;AQ$5,Demand_previous!$D$2:$AY$2&amp;Demand_previous!$D$3:$AY$3, 0))/1000</f>
        <v>0</v>
      </c>
      <c r="AR37" s="298">
        <f t="array" ref="AR37">INDEX(Demand_previous!$D$4:$AY$138, MATCH('Staging Table'!$A37, Demand_previous!$B$4:$B$138, 0), MATCH(AR$4&amp;AR$5,Demand_previous!$D$2:$AY$2&amp;Demand_previous!$D$3:$AY$3, 0))/1000</f>
        <v>0</v>
      </c>
      <c r="AS37" s="298">
        <f t="array" ref="AS37">INDEX(Demand_previous!$D$4:$AY$138, MATCH('Staging Table'!$A37, Demand_previous!$B$4:$B$138, 0), MATCH(AS$4&amp;AS$5,Demand_previous!$D$2:$AY$2&amp;Demand_previous!$D$3:$AY$3, 0))/1000</f>
        <v>0</v>
      </c>
      <c r="AT37" s="298">
        <f t="array" ref="AT37">INDEX(Demand_previous!$D$4:$AY$138, MATCH('Staging Table'!$A37, Demand_previous!$B$4:$B$138, 0), MATCH(AT$4&amp;AT$5,Demand_previous!$D$2:$AY$2&amp;Demand_previous!$D$3:$AY$3, 0))/1000</f>
        <v>0</v>
      </c>
      <c r="AU37" s="298">
        <f t="array" ref="AU37">INDEX(Demand_previous!$D$4:$AY$138, MATCH('Staging Table'!$A37, Demand_previous!$B$4:$B$138, 0), MATCH(AU$4&amp;AU$5,Demand_previous!$D$2:$AY$2&amp;Demand_previous!$D$3:$AY$3, 0))/1000</f>
        <v>0</v>
      </c>
      <c r="AV37" s="180">
        <f>$F37*(VLOOKUP(AV$4, Rates_previous!$G$6:$Q$29, 10, FALSE)+VLOOKUP(AV$4, Rates_previous!$G$6:$Q$29, 11, FALSE))</f>
        <v>38037.564509307107</v>
      </c>
      <c r="AW37" s="180">
        <f>$F37*(VLOOKUP(AW$4, Rates_previous!$G$6:$Q$29, 10, FALSE)+VLOOKUP(AW$4, Rates_previous!$G$6:$Q$29, 11, FALSE))</f>
        <v>48156.937146996715</v>
      </c>
      <c r="AX37" s="180">
        <f>$F37*(VLOOKUP(AX$4, Rates_previous!$G$6:$Q$29, 10, FALSE)+VLOOKUP(AX$4, Rates_previous!$G$6:$Q$29, 11, FALSE))</f>
        <v>47136.020519144258</v>
      </c>
      <c r="AY37" s="180">
        <f>$F37*(VLOOKUP(AY$4, Rates_previous!$G$6:$Q$29, 10, FALSE)+VLOOKUP(AY$4, Rates_previous!$G$6:$Q$29, 11, FALSE))</f>
        <v>38932.348496992818</v>
      </c>
      <c r="AZ37" s="180">
        <f>$F37*(VLOOKUP(AZ$4, Rates_previous!$G$6:$Q$29, 10, FALSE)+VLOOKUP(AZ$4, Rates_previous!$G$6:$Q$29, 11, FALSE))</f>
        <v>33743.519726061175</v>
      </c>
      <c r="BA37" s="180">
        <f>$F37*(VLOOKUP(BA$4, Rates_previous!$G$6:$Q$29, 10, FALSE)+VLOOKUP(BA$4, Rates_previous!$G$6:$Q$29, 11, FALSE))</f>
        <v>40282.948411954872</v>
      </c>
      <c r="BB37" s="180">
        <f>$F37*(VLOOKUP(BB$4, Rates_previous!$G$6:$Q$29, 10, FALSE)+VLOOKUP(BB$4, Rates_previous!$G$6:$Q$29, 11, FALSE))</f>
        <v>31274.346617296902</v>
      </c>
      <c r="BC37" s="180">
        <f>$F37*(VLOOKUP(BC$4, Rates_previous!$G$6:$Q$29, 10, FALSE)+VLOOKUP(BC$4, Rates_previous!$G$6:$Q$29, 11, FALSE))</f>
        <v>43330.837385685125</v>
      </c>
      <c r="BD37" s="180">
        <f>$F37*(VLOOKUP(BD$4, Rates_previous!$G$6:$Q$29, 10, FALSE)+VLOOKUP(BD$4, Rates_previous!$G$6:$Q$29, 11, FALSE))</f>
        <v>46299.907057563658</v>
      </c>
      <c r="BE37" s="180">
        <f>$F37*(VLOOKUP(BE$4, Rates_previous!$G$6:$Q$29, 10, FALSE)+VLOOKUP(BE$4, Rates_previous!$G$6:$Q$29, 11, FALSE))</f>
        <v>43959.665217344038</v>
      </c>
      <c r="BF37" s="180">
        <f>$F37*(VLOOKUP(BF$4, Rates_previous!$G$6:$Q$29, 10, FALSE)+VLOOKUP(BF$4, Rates_previous!$G$6:$Q$29, 11, FALSE))</f>
        <v>42483.625120841127</v>
      </c>
      <c r="BG37" s="180">
        <f>$F37*(VLOOKUP(BG$4, Rates_previous!$G$6:$Q$29, 10, FALSE)+VLOOKUP(BG$4, Rates_previous!$G$6:$Q$29, 11, FALSE))</f>
        <v>39259.298354064973</v>
      </c>
      <c r="BH37" s="298">
        <f>IF($D37=0,IF(C37=0, MAX(BJ37 - (VLOOKUP($A37,TOCA_previous!$A$2:$AI$137,MATCH("RHWM 2022",TOCA_previous!$A$2:$AI$2,0),FALSE)*$F$2*TOCA_previous!C34),0),0), 0)</f>
        <v>0</v>
      </c>
      <c r="BI37" s="192">
        <f>MIN(VLOOKUP($A37,TOCA_previous!$A$2:$AI$137,MATCH("TRL - NLSL - Existing Resource "&amp;$F$1,TOCA_previous!$A$2:$AI$2,0),FALSE)*$F$2,(VLOOKUP($A37,TOCA_previous!$A$2:$AI$137,MATCH("RHWM 2022",TOCA_previous!$A$2:$AI$2,0),FALSE)*$F$2))</f>
        <v>492898.92000000004</v>
      </c>
      <c r="BJ37" s="402">
        <f>SUM(L37:AI37)+(F37*RT1SC!$C$3*$F$2)</f>
        <v>411015.63721381524</v>
      </c>
      <c r="BK37" s="401">
        <f>VLOOKUP($A37,TOCA_previous!$A$2:$AI$137,MATCH("Above RHWM Not Served with LS "&amp;$F$1,TOCA_previous!$A$2:$AI$2,0),FALSE)*$F$2</f>
        <v>0</v>
      </c>
      <c r="BL37" s="402">
        <f t="shared" si="8"/>
        <v>-81883.282786184805</v>
      </c>
      <c r="BM37" s="401">
        <f>(VLOOKUP($A37,TOCA_previous!$A$2:$AI$137,MATCH("RHWM 2022",TOCA_previous!$A$2:$AI$2,0),FALSE)*$F$2) - $BI37</f>
        <v>221382.71999999997</v>
      </c>
      <c r="BN37" s="402">
        <f t="shared" si="9"/>
        <v>0</v>
      </c>
      <c r="BO37" s="401">
        <f t="shared" si="10"/>
        <v>81883.282786184805</v>
      </c>
      <c r="BP37" s="402">
        <f t="shared" si="11"/>
        <v>0</v>
      </c>
      <c r="BQ37" s="401">
        <f t="shared" si="2"/>
        <v>81883.282786184805</v>
      </c>
      <c r="BR37" s="108">
        <f>VLOOKUP($A37,TOCA_current!$A$2:$AI$137,MATCH(BR$4,TOCA_current!$A$2:$AI$2,0),FALSE)</f>
        <v>6.6245000000000002E-3</v>
      </c>
      <c r="BS37" s="108">
        <f>VLOOKUP($A37,TOCA_current!$A$2:$AI$137,MATCH(BS$4,TOCA_current!$A$2:$AI$2,0),FALSE)</f>
        <v>6.6245000000000002E-3</v>
      </c>
      <c r="BT37" s="189">
        <f t="shared" si="12"/>
        <v>0</v>
      </c>
      <c r="BU37" s="108">
        <f>VLOOKUP($A37,TOCA_current!A33:BG168,MATCH(BU$4,TOCA_current!$A$2:$BG$2,0),FALSE)</f>
        <v>0</v>
      </c>
      <c r="BV37" s="108">
        <f t="shared" si="3"/>
        <v>0</v>
      </c>
      <c r="BW37" s="108">
        <f t="shared" si="4"/>
        <v>0</v>
      </c>
      <c r="BX37" s="179">
        <f>VLOOKUP($A37,IRD!$A$4:$G$139, 7, FALSE)</f>
        <v>0</v>
      </c>
      <c r="BY37" s="180">
        <f t="array" ref="BY37">IF($BT37=0, INDEX(LS_current!$D$4:$AY$138, MATCH('Staging Table'!$A37, LS_current!$B$4:$B$138, 0), MATCH(BY$4&amp;BY$5, LS_current!$D$2:$AY$2&amp;LS_current!$D$3:$AY$3, 0)),SUM(VLOOKUP($A37, LS_current!$B$4:$AY$138, LS_current!D$148, FALSE), VLOOKUP($A37, LS_current!$B$4:$AY$138,LS_current!AB$148, FALSE))/2)</f>
        <v>2609.9324835179978</v>
      </c>
      <c r="BZ37" s="180">
        <f t="array" ref="BZ37">IF($BT37=0, INDEX(LS_current!$D$4:$AY$138, MATCH('Staging Table'!$A37, LS_current!$B$4:$B$138, 0), MATCH(BZ$4&amp;BZ$5, LS_current!$D$2:$AY$2&amp;LS_current!$D$3:$AY$3, 0)),SUM(VLOOKUP($A37, LS_current!$B$4:$AY$138, LS_current!E$148, FALSE), VLOOKUP($A37, LS_current!$B$4:$AY$138,LS_current!AC$148, FALSE))/2)</f>
        <v>2627.3069984252506</v>
      </c>
      <c r="CA37" s="180">
        <f t="array" ref="CA37">IF($BT37=0, INDEX(LS_current!$D$4:$AY$138, MATCH('Staging Table'!$A37, LS_current!$B$4:$B$138, 0), MATCH(CA$4&amp;CA$5, LS_current!$D$2:$AY$2&amp;LS_current!$D$3:$AY$3, 0)),SUM(VLOOKUP($A37, LS_current!$B$4:$AY$138, LS_current!F$148, FALSE), VLOOKUP($A37, LS_current!$B$4:$AY$138,LS_current!AD$148, FALSE))/2)</f>
        <v>-552.87730433600154</v>
      </c>
      <c r="CB37" s="180">
        <f t="array" ref="CB37">IF($BT37=0, INDEX(LS_current!$D$4:$AY$138, MATCH('Staging Table'!$A37, LS_current!$B$4:$B$138, 0), MATCH(CB$4&amp;CB$5, LS_current!$D$2:$AY$2&amp;LS_current!$D$3:$AY$3, 0)),SUM(VLOOKUP($A37, LS_current!$B$4:$AY$138, LS_current!G$148, FALSE), VLOOKUP($A37, LS_current!$B$4:$AY$138,LS_current!AE$148, FALSE))/2)</f>
        <v>1803.5130089404993</v>
      </c>
      <c r="CC37" s="180">
        <f t="array" ref="CC37">IF($BT37=0, INDEX(LS_current!$D$4:$AY$138, MATCH('Staging Table'!$A37, LS_current!$B$4:$B$138, 0), MATCH(CC$4&amp;CC$5, LS_current!$D$2:$AY$2&amp;LS_current!$D$3:$AY$3, 0)),SUM(VLOOKUP($A37, LS_current!$B$4:$AY$138, LS_current!H$148, FALSE), VLOOKUP($A37, LS_current!$B$4:$AY$138,LS_current!AF$148, FALSE))/2)</f>
        <v>1055.5892219944981</v>
      </c>
      <c r="CD37" s="180">
        <f t="array" ref="CD37">IF($BT37=0, INDEX(LS_current!$D$4:$AY$138, MATCH('Staging Table'!$A37, LS_current!$B$4:$B$138, 0), MATCH(CD$4&amp;CD$5, LS_current!$D$2:$AY$2&amp;LS_current!$D$3:$AY$3, 0)),SUM(VLOOKUP($A37, LS_current!$B$4:$AY$138, LS_current!I$148, FALSE), VLOOKUP($A37, LS_current!$B$4:$AY$138,LS_current!AG$148, FALSE))/2)</f>
        <v>4095.7707608479996</v>
      </c>
      <c r="CE37" s="180">
        <f t="array" ref="CE37">IF($BT37=0, INDEX(LS_current!$D$4:$AY$138, MATCH('Staging Table'!$A37, LS_current!$B$4:$B$138, 0), MATCH(CE$4&amp;CE$5, LS_current!$D$2:$AY$2&amp;LS_current!$D$3:$AY$3, 0)),SUM(VLOOKUP($A37, LS_current!$B$4:$AY$138, LS_current!J$148, FALSE), VLOOKUP($A37, LS_current!$B$4:$AY$138,LS_current!AH$148, FALSE))/2)</f>
        <v>959.54323398250199</v>
      </c>
      <c r="CF37" s="180">
        <f t="array" ref="CF37">IF($BT37=0, INDEX(LS_current!$D$4:$AY$138, MATCH('Staging Table'!$A37, LS_current!$B$4:$B$138, 0), MATCH(CF$4&amp;CF$5, LS_current!$D$2:$AY$2&amp;LS_current!$D$3:$AY$3, 0)),SUM(VLOOKUP($A37, LS_current!$B$4:$AY$138, LS_current!K$148, FALSE), VLOOKUP($A37, LS_current!$B$4:$AY$138,LS_current!AI$148, FALSE))/2)</f>
        <v>3560.5296268894981</v>
      </c>
      <c r="CG37" s="180">
        <f t="array" ref="CG37">IF($BT37=0, INDEX(LS_current!$D$4:$AY$138, MATCH('Staging Table'!$A37, LS_current!$B$4:$B$138, 0), MATCH(CG$4&amp;CG$5, LS_current!$D$2:$AY$2&amp;LS_current!$D$3:$AY$3, 0)),SUM(VLOOKUP($A37, LS_current!$B$4:$AY$138, LS_current!L$148, FALSE), VLOOKUP($A37, LS_current!$B$4:$AY$138,LS_current!AJ$148, FALSE))/2)</f>
        <v>1722.6692995644989</v>
      </c>
      <c r="CH37" s="180">
        <f t="array" ref="CH37">IF($BT37=0, INDEX(LS_current!$D$4:$AY$138, MATCH('Staging Table'!$A37, LS_current!$B$4:$B$138, 0), MATCH(CH$4&amp;CH$5, LS_current!$D$2:$AY$2&amp;LS_current!$D$3:$AY$3, 0)),SUM(VLOOKUP($A37, LS_current!$B$4:$AY$138, LS_current!M$148, FALSE), VLOOKUP($A37, LS_current!$B$4:$AY$138,LS_current!AK$148, FALSE))/2)</f>
        <v>4249.4734726045008</v>
      </c>
      <c r="CI37" s="180">
        <f t="array" ref="CI37">IF($BT37=0, INDEX(LS_current!$D$4:$AY$138, MATCH('Staging Table'!$A37, LS_current!$B$4:$B$138, 0), MATCH(CI$4&amp;CI$5, LS_current!$D$2:$AY$2&amp;LS_current!$D$3:$AY$3, 0)),SUM(VLOOKUP($A37, LS_current!$B$4:$AY$138, LS_current!N$148, FALSE), VLOOKUP($A37, LS_current!$B$4:$AY$138,LS_current!AL$148, FALSE))/2)</f>
        <v>398.62783593150016</v>
      </c>
      <c r="CJ37" s="180">
        <f t="array" ref="CJ37">IF($BT37=0, INDEX(LS_current!$D$4:$AY$138, MATCH('Staging Table'!$A37, LS_current!$B$4:$B$138, 0), MATCH(CJ$4&amp;CJ$5, LS_current!$D$2:$AY$2&amp;LS_current!$D$3:$AY$3, 0)),SUM(VLOOKUP($A37, LS_current!$B$4:$AY$138, LS_current!O$148, FALSE), VLOOKUP($A37, LS_current!$B$4:$AY$138,LS_current!AM$148, FALSE))/2)</f>
        <v>1890.9429316390015</v>
      </c>
      <c r="CK37" s="180">
        <f t="array" ref="CK37">IF($BT37=0, INDEX(LS_current!$D$4:$AY$138, MATCH('Staging Table'!$A37, LS_current!$B$4:$B$138, 0), MATCH(CK$4&amp;CK$5, LS_current!$D$2:$AY$2&amp;LS_current!$D$3:$AY$3, 0)),SUM(VLOOKUP($A37, LS_current!$B$4:$AY$138, LS_current!P$148, FALSE), VLOOKUP($A37, LS_current!$B$4:$AY$138,LS_current!AN$148, FALSE))/2)</f>
        <v>1616.7826779512507</v>
      </c>
      <c r="CL37" s="180">
        <f t="array" ref="CL37">IF($BT37=0, INDEX(LS_current!$D$4:$AY$138, MATCH('Staging Table'!$A37, LS_current!$B$4:$B$138, 0), MATCH(CL$4&amp;CL$5, LS_current!$D$2:$AY$2&amp;LS_current!$D$3:$AY$3, 0)),SUM(VLOOKUP($A37, LS_current!$B$4:$AY$138, LS_current!Q$148, FALSE), VLOOKUP($A37, LS_current!$B$4:$AY$138,LS_current!AO$148, FALSE))/2)</f>
        <v>2454.4549226371273</v>
      </c>
      <c r="CM37" s="180">
        <f t="array" ref="CM37">IF($BT37=0, INDEX(LS_current!$D$4:$AY$138, MATCH('Staging Table'!$A37, LS_current!$B$4:$B$138, 0), MATCH(CM$4&amp;CM$5, LS_current!$D$2:$AY$2&amp;LS_current!$D$3:$AY$3, 0)),SUM(VLOOKUP($A37, LS_current!$B$4:$AY$138, LS_current!R$148, FALSE), VLOOKUP($A37, LS_current!$B$4:$AY$138,LS_current!AP$148, FALSE))/2)</f>
        <v>-5376.7847095760044</v>
      </c>
      <c r="CN37" s="180">
        <f t="array" ref="CN37">IF($BT37=0, INDEX(LS_current!$D$4:$AY$138, MATCH('Staging Table'!$A37, LS_current!$B$4:$B$138, 0), MATCH(CN$4&amp;CN$5, LS_current!$D$2:$AY$2&amp;LS_current!$D$3:$AY$3, 0)),SUM(VLOOKUP($A37, LS_current!$B$4:$AY$138, LS_current!S$148, FALSE), VLOOKUP($A37, LS_current!$B$4:$AY$138,LS_current!AQ$148, FALSE))/2)</f>
        <v>-1707.6626404832496</v>
      </c>
      <c r="CO37" s="180">
        <f t="array" ref="CO37">IF($BT37=0, INDEX(LS_current!$D$4:$AY$138, MATCH('Staging Table'!$A37, LS_current!$B$4:$B$138, 0), MATCH(CO$4&amp;CO$5, LS_current!$D$2:$AY$2&amp;LS_current!$D$3:$AY$3, 0)),SUM(VLOOKUP($A37, LS_current!$B$4:$AY$138, LS_current!T$148, FALSE), VLOOKUP($A37, LS_current!$B$4:$AY$138,LS_current!AR$148, FALSE))/2)</f>
        <v>-7286.2645057870013</v>
      </c>
      <c r="CP37" s="180">
        <f t="array" ref="CP37">IF($BT37=0, INDEX(LS_current!$D$4:$AY$138, MATCH('Staging Table'!$A37, LS_current!$B$4:$B$138, 0), MATCH(CP$4&amp;CP$5, LS_current!$D$2:$AY$2&amp;LS_current!$D$3:$AY$3, 0)),SUM(VLOOKUP($A37, LS_current!$B$4:$AY$138, LS_current!U$148, FALSE), VLOOKUP($A37, LS_current!$B$4:$AY$138,LS_current!AS$148, FALSE))/2)</f>
        <v>-2992.9845985352513</v>
      </c>
      <c r="CQ37" s="180">
        <f t="array" ref="CQ37">IF($BT37=0, INDEX(LS_current!$D$4:$AY$138, MATCH('Staging Table'!$A37, LS_current!$B$4:$B$138, 0), MATCH(CQ$4&amp;CQ$5, LS_current!$D$2:$AY$2&amp;LS_current!$D$3:$AY$3, 0)),SUM(VLOOKUP($A37, LS_current!$B$4:$AY$138, LS_current!V$148, FALSE), VLOOKUP($A37, LS_current!$B$4:$AY$138,LS_current!AT$148, FALSE))/2)</f>
        <v>-4804.6459206179989</v>
      </c>
      <c r="CR37" s="180">
        <f t="array" ref="CR37">IF($BT37=0, INDEX(LS_current!$D$4:$AY$138, MATCH('Staging Table'!$A37, LS_current!$B$4:$B$138, 0), MATCH(CR$4&amp;CR$5, LS_current!$D$2:$AY$2&amp;LS_current!$D$3:$AY$3, 0)),SUM(VLOOKUP($A37, LS_current!$B$4:$AY$138, LS_current!W$148, FALSE), VLOOKUP($A37, LS_current!$B$4:$AY$138,LS_current!AU$148, FALSE))/2)</f>
        <v>-439.59604587374997</v>
      </c>
      <c r="CS37" s="180">
        <f t="array" ref="CS37">IF($BT37=0, INDEX(LS_current!$D$4:$AY$138, MATCH('Staging Table'!$A37, LS_current!$B$4:$B$138, 0), MATCH(CS$4&amp;CS$5, LS_current!$D$2:$AY$2&amp;LS_current!$D$3:$AY$3, 0)),SUM(VLOOKUP($A37, LS_current!$B$4:$AY$138, LS_current!X$148, FALSE), VLOOKUP($A37, LS_current!$B$4:$AY$138,LS_current!AV$148, FALSE))/2)</f>
        <v>-3627.392241101752</v>
      </c>
      <c r="CT37" s="180">
        <f t="array" ref="CT37">IF($BT37=0, INDEX(LS_current!$D$4:$AY$138, MATCH('Staging Table'!$A37, LS_current!$B$4:$B$138, 0), MATCH(CT$4&amp;CT$5, LS_current!$D$2:$AY$2&amp;LS_current!$D$3:$AY$3, 0)),SUM(VLOOKUP($A37, LS_current!$B$4:$AY$138, LS_current!Y$148, FALSE), VLOOKUP($A37, LS_current!$B$4:$AY$138,LS_current!AW$148, FALSE))/2)</f>
        <v>-558.86390996632326</v>
      </c>
      <c r="CU37" s="180">
        <f t="array" ref="CU37">IF($BT37=0, INDEX(LS_current!$D$4:$AY$138, MATCH('Staging Table'!$A37, LS_current!$B$4:$B$138, 0), MATCH(CU$4&amp;CU$5, LS_current!$D$2:$AY$2&amp;LS_current!$D$3:$AY$3, 0)),SUM(VLOOKUP($A37, LS_current!$B$4:$AY$138, LS_current!Z$148, FALSE), VLOOKUP($A37, LS_current!$B$4:$AY$138,LS_current!AX$148, FALSE))/2)</f>
        <v>-1908.2205961130003</v>
      </c>
      <c r="CV37" s="180">
        <f t="array" ref="CV37">IF($BT37=0, INDEX(LS_current!$D$4:$AY$138, MATCH('Staging Table'!$A37, LS_current!$B$4:$B$138, 0), MATCH(CV$4&amp;CV$5, LS_current!$D$2:$AY$2&amp;LS_current!$D$3:$AY$3, 0)),SUM(VLOOKUP($A37, LS_current!$B$4:$AY$138, LS_current!AA$148, FALSE), VLOOKUP($A37, LS_current!$B$4:$AY$138,LS_current!AY$148, FALSE))/2)</f>
        <v>211.32937055199909</v>
      </c>
      <c r="CW37" s="182">
        <f t="array" ref="CW37">INDEX(Demand_current!$D$4:$AY$138, MATCH($A37, Demand_current!$B$4:$B$138, 0), MATCH(CW$4&amp;CW$5,Demand_current!$D$2:$AY$2&amp;Demand_current!$D$3:$AY$3, 0))/1000</f>
        <v>0</v>
      </c>
      <c r="CX37" s="182">
        <f t="array" ref="CX37">INDEX(Demand_current!$D$4:$AY$138, MATCH($A37, Demand_current!$B$4:$B$138, 0), MATCH(CX$4&amp;CX$5,Demand_current!$D$2:$AY$2&amp;Demand_current!$D$3:$AY$3, 0))/1000</f>
        <v>0</v>
      </c>
      <c r="CY37" s="182">
        <f t="array" ref="CY37">INDEX(Demand_current!$D$4:$AY$138, MATCH($A37, Demand_current!$B$4:$B$138, 0), MATCH(CY$4&amp;CY$5,Demand_current!$D$2:$AY$2&amp;Demand_current!$D$3:$AY$3, 0))/1000</f>
        <v>1.8613825000000013</v>
      </c>
      <c r="CZ37" s="182">
        <f t="array" ref="CZ37">INDEX(Demand_current!$D$4:$AY$138, MATCH($A37, Demand_current!$B$4:$B$138, 0), MATCH(CZ$4&amp;CZ$5,Demand_current!$D$2:$AY$2&amp;Demand_current!$D$3:$AY$3, 0))/1000</f>
        <v>0</v>
      </c>
      <c r="DA37" s="182">
        <f t="array" ref="DA37">INDEX(Demand_current!$D$4:$AY$138, MATCH($A37, Demand_current!$B$4:$B$138, 0), MATCH(DA$4&amp;DA$5,Demand_current!$D$2:$AY$2&amp;Demand_current!$D$3:$AY$3, 0))/1000</f>
        <v>0</v>
      </c>
      <c r="DB37" s="182">
        <f t="array" ref="DB37">INDEX(Demand_current!$D$4:$AY$138, MATCH($A37, Demand_current!$B$4:$B$138, 0), MATCH(DB$4&amp;DB$5,Demand_current!$D$2:$AY$2&amp;Demand_current!$D$3:$AY$3, 0))/1000</f>
        <v>0</v>
      </c>
      <c r="DC37" s="182">
        <f t="array" ref="DC37">INDEX(Demand_current!$D$4:$AY$138, MATCH($A37, Demand_current!$B$4:$B$138, 0), MATCH(DC$4&amp;DC$5,Demand_current!$D$2:$AY$2&amp;Demand_current!$D$3:$AY$3, 0))/1000</f>
        <v>0</v>
      </c>
      <c r="DD37" s="182">
        <f t="array" ref="DD37">INDEX(Demand_current!$D$4:$AY$138, MATCH($A37, Demand_current!$B$4:$B$138, 0), MATCH(DD$4&amp;DD$5,Demand_current!$D$2:$AY$2&amp;Demand_current!$D$3:$AY$3, 0))/1000</f>
        <v>0</v>
      </c>
      <c r="DE37" s="182">
        <f t="array" ref="DE37">INDEX(Demand_current!$D$4:$AY$138, MATCH($A37, Demand_current!$B$4:$B$138, 0), MATCH(DE$4&amp;DE$5,Demand_current!$D$2:$AY$2&amp;Demand_current!$D$3:$AY$3, 0))/1000</f>
        <v>0</v>
      </c>
      <c r="DF37" s="182">
        <f t="array" ref="DF37">INDEX(Demand_current!$D$4:$AY$138, MATCH($A37, Demand_current!$B$4:$B$138, 0), MATCH(DF$4&amp;DF$5,Demand_current!$D$2:$AY$2&amp;Demand_current!$D$3:$AY$3, 0))/1000</f>
        <v>0</v>
      </c>
      <c r="DG37" s="182">
        <f t="array" ref="DG37">INDEX(Demand_current!$D$4:$AY$138, MATCH($A37, Demand_current!$B$4:$B$138, 0), MATCH(DG$4&amp;DG$5,Demand_current!$D$2:$AY$2&amp;Demand_current!$D$3:$AY$3, 0))/1000</f>
        <v>0</v>
      </c>
      <c r="DH37" s="182">
        <f t="array" ref="DH37">INDEX(Demand_current!$D$4:$AY$138, MATCH($A37, Demand_current!$B$4:$B$138, 0), MATCH(DH$4&amp;DH$5,Demand_current!$D$2:$AY$2&amp;Demand_current!$D$3:$AY$3, 0))/1000</f>
        <v>0</v>
      </c>
      <c r="DI37" s="180">
        <f>$BS37*(VLOOKUP(DI$4, Rates_current!$G$6:$Q$29, 10, FALSE)+VLOOKUP(DI$4, Rates_current!$G$6:$Q$29, 11, FALSE))</f>
        <v>27947.46551805675</v>
      </c>
      <c r="DJ37" s="180">
        <f>$BS37*(VLOOKUP(DJ$4, Rates_current!$G$6:$Q$29, 10, FALSE)+VLOOKUP(DJ$4, Rates_current!$G$6:$Q$29, 11, FALSE))</f>
        <v>35642.234295395509</v>
      </c>
      <c r="DK37" s="180">
        <f>$BS37*(VLOOKUP(DK$4, Rates_current!$G$6:$Q$29, 10, FALSE)+VLOOKUP(DK$4, Rates_current!$G$6:$Q$29, 11, FALSE))</f>
        <v>38465.023017157502</v>
      </c>
      <c r="DL37" s="180">
        <f>$BS37*(VLOOKUP(DL$4, Rates_current!$G$6:$Q$29, 10, FALSE)+VLOOKUP(DL$4, Rates_current!$G$6:$Q$29, 11, FALSE))</f>
        <v>39971.105139127998</v>
      </c>
      <c r="DM37" s="180">
        <f>$BS37*(VLOOKUP(DM$4, Rates_current!$G$6:$Q$29, 10, FALSE)+VLOOKUP(DM$4, Rates_current!$G$6:$Q$29, 11, FALSE))</f>
        <v>34380.478227831001</v>
      </c>
      <c r="DN37" s="180">
        <f>$BS37*(VLOOKUP(DN$4, Rates_current!$G$6:$Q$29, 10, FALSE)+VLOOKUP(DN$4, Rates_current!$G$6:$Q$29, 11, FALSE))</f>
        <v>37536.675232429501</v>
      </c>
      <c r="DO37" s="180">
        <f>$BS37*(VLOOKUP(DO$4, Rates_current!$G$6:$Q$29, 10, FALSE)+VLOOKUP(DO$4, Rates_current!$G$6:$Q$29, 11, FALSE))</f>
        <v>29628.879399411624</v>
      </c>
      <c r="DP37" s="180">
        <f>$BS37*(VLOOKUP(DP$4, Rates_current!$G$6:$Q$29, 10, FALSE)+VLOOKUP(DP$4, Rates_current!$G$6:$Q$29, 11, FALSE))</f>
        <v>36758.595350059251</v>
      </c>
      <c r="DQ37" s="180">
        <f>$BS37*(VLOOKUP(DQ$4, Rates_current!$G$6:$Q$29, 10, FALSE)+VLOOKUP(DQ$4, Rates_current!$G$6:$Q$29, 11, FALSE))</f>
        <v>37556.165104322252</v>
      </c>
      <c r="DR37" s="180">
        <f>$BS37*(VLOOKUP(DR$4, Rates_current!$G$6:$Q$29, 10, FALSE)+VLOOKUP(DR$4, Rates_current!$G$6:$Q$29, 11, FALSE))</f>
        <v>32604.161966491749</v>
      </c>
      <c r="DS37" s="180">
        <f>$BS37*(VLOOKUP(DS$4, Rates_current!$G$6:$Q$29, 10, FALSE)+VLOOKUP(DS$4, Rates_current!$G$6:$Q$29, 11, FALSE))</f>
        <v>31519.558151068079</v>
      </c>
      <c r="DT37" s="180">
        <f>$BS37*(VLOOKUP(DT$4, Rates_current!$G$6:$Q$29, 10, FALSE)+VLOOKUP(DT$4, Rates_current!$G$6:$Q$29, 11, FALSE))</f>
        <v>29004.097225561003</v>
      </c>
      <c r="DU37" s="402">
        <f>IF(D37=0,IF(C37=0,MAX(0,DW37 - (VLOOKUP($A37,TOCA_current!$A$2:$AI$137,MATCH("RHWM 2024",TOCA_current!$A$2:$AI$2,0),FALSE)*$BS$2)), 0),0)</f>
        <v>0</v>
      </c>
      <c r="DV37" s="403">
        <f>MIN(VLOOKUP($A37,TOCA_current!$A$2:$AI$137,MATCH("TRL - NLSL - Existing Resource "&amp;$BS$1,TOCA_current!$A$2:$AI$2,0),FALSE)*$BS$2, VLOOKUP($A37,TOCA_current!$A$2:$AI$137,MATCH("RHWM 2024",TOCA_current!$A$2:$AI$2,0),FALSE)*$BS$2)</f>
        <v>411012.14399999997</v>
      </c>
      <c r="DW37" s="403">
        <f>SUM(BY37:CV37)+(BS37*RT1SC!$C$4*$BS$2)</f>
        <v>411015.61388400779</v>
      </c>
      <c r="DX37" s="403">
        <f>VLOOKUP($A37,TOCA_current!$A$2:$AI$137,MATCH("Above RHWM Not Served with LS "&amp;$BS$1,TOCA_current!$A$2:$AI$2,0),FALSE)*$BS$2</f>
        <v>0</v>
      </c>
      <c r="DY37" s="403">
        <f t="shared" si="13"/>
        <v>3.4698840078199282</v>
      </c>
      <c r="DZ37" s="403">
        <f>(VLOOKUP($A37,TOCA_current!$A$2:$AI$137,MATCH("RHWM 2024",TOCA_current!$A$2:$AI$2,0),FALSE)*$BS$2) - $DV37</f>
        <v>339844.17600000009</v>
      </c>
      <c r="EA37" s="403">
        <f t="shared" si="14"/>
        <v>-3.4698840078199282</v>
      </c>
      <c r="EB37" s="403">
        <f t="shared" si="15"/>
        <v>0</v>
      </c>
      <c r="EC37" s="403">
        <f t="shared" si="16"/>
        <v>0</v>
      </c>
      <c r="ED37" s="403">
        <f t="shared" si="17"/>
        <v>-3.4698840078199282</v>
      </c>
    </row>
    <row r="38" spans="1:134">
      <c r="A38" s="123">
        <v>10089</v>
      </c>
      <c r="B38" s="124" t="s">
        <v>39</v>
      </c>
      <c r="C38" s="232">
        <f>VLOOKUP(A38, TOCA_current!$A$3:$D$137, 4, FALSE)</f>
        <v>0</v>
      </c>
      <c r="D38" s="191">
        <v>0</v>
      </c>
      <c r="E38" s="107">
        <f>VLOOKUP($A38,TOCA_previous!$A$2:$AI$137,MATCH(E$4,TOCA_previous!$A$2:$AI$2,0),FALSE)</f>
        <v>1.47066E-2</v>
      </c>
      <c r="F38" s="108">
        <f>VLOOKUP($A38,TOCA_previous!$A$2:$AI$137,MATCH(F$4,TOCA_previous!$A$2:$AI$2,0),FALSE)</f>
        <v>1.47066E-2</v>
      </c>
      <c r="G38" s="108">
        <f t="shared" si="5"/>
        <v>0</v>
      </c>
      <c r="H38" s="108">
        <f>VLOOKUP($A38,TOCA_previous!$A$2:$AI$137,MATCH(H$4,TOCA_previous!$A$2:$AI$2,0),FALSE)</f>
        <v>0</v>
      </c>
      <c r="I38" s="108">
        <f t="shared" si="6"/>
        <v>0</v>
      </c>
      <c r="J38" s="108">
        <f t="shared" si="7"/>
        <v>0</v>
      </c>
      <c r="K38" s="179">
        <f>VLOOKUP(A38, IRD!$A$5:$C$139, 3, FALSE)</f>
        <v>0</v>
      </c>
      <c r="L38" s="180">
        <f t="array" ref="L38">IF($G38=0, INDEX(LS_previous!$D$4:$AY$138, MATCH('Staging Table'!$A38, LS_previous!$B$4:$B$138, 0), MATCH(L$4&amp;L$5, LS_previous!$D$2:$AY$2&amp;LS_previous!$D$3:$AY$3, 0)),SUM(VLOOKUP($A38, LS_previous!$B$4:$AY$138, LS_previous!D$149, FALSE), VLOOKUP('Staging Table'!$A38, LS_previous!$B$4:$AY$138,LS_previous!AB$149, FALSE))/2)</f>
        <v>-4937.7571044177894</v>
      </c>
      <c r="M38" s="180">
        <f t="array" ref="M38">IF($G38=0, INDEX(LS_previous!$D$4:$AY$138, MATCH('Staging Table'!$A38, LS_previous!$B$4:$B$138, 0), MATCH(M$4&amp;M$5, LS_previous!$D$2:$AY$2&amp;LS_previous!$D$3:$AY$3, 0)),SUM(VLOOKUP($A38, LS_previous!$B$4:$AY$138, LS_previous!E$149, FALSE), VLOOKUP('Staging Table'!$A38, LS_previous!$B$4:$AY$138,LS_previous!AC$149, FALSE))/2)</f>
        <v>112.33721802464788</v>
      </c>
      <c r="N38" s="180">
        <f t="array" ref="N38">IF($G38=0, INDEX(LS_previous!$D$4:$AY$138, MATCH('Staging Table'!$A38, LS_previous!$B$4:$B$138, 0), MATCH(N$4&amp;N$5, LS_previous!$D$2:$AY$2&amp;LS_previous!$D$3:$AY$3, 0)),SUM(VLOOKUP($A38, LS_previous!$B$4:$AY$138, LS_previous!F$149, FALSE), VLOOKUP('Staging Table'!$A38, LS_previous!$B$4:$AY$138,LS_previous!AD$149, FALSE))/2)</f>
        <v>-11511.436445291525</v>
      </c>
      <c r="O38" s="180">
        <f t="array" ref="O38">IF($G38=0, INDEX(LS_previous!$D$4:$AY$138, MATCH('Staging Table'!$A38, LS_previous!$B$4:$B$138, 0), MATCH(O$4&amp;O$5, LS_previous!$D$2:$AY$2&amp;LS_previous!$D$3:$AY$3, 0)),SUM(VLOOKUP($A38, LS_previous!$B$4:$AY$138, LS_previous!G$149, FALSE), VLOOKUP('Staging Table'!$A38, LS_previous!$B$4:$AY$138,LS_previous!AE$149, FALSE))/2)</f>
        <v>-4881.6161890568765</v>
      </c>
      <c r="P38" s="180">
        <f t="array" ref="P38">IF($G38=0, INDEX(LS_previous!$D$4:$AY$138, MATCH('Staging Table'!$A38, LS_previous!$B$4:$B$138, 0), MATCH(P$4&amp;P$5, LS_previous!$D$2:$AY$2&amp;LS_previous!$D$3:$AY$3, 0)),SUM(VLOOKUP($A38, LS_previous!$B$4:$AY$138, LS_previous!H$149, FALSE), VLOOKUP('Staging Table'!$A38, LS_previous!$B$4:$AY$138,LS_previous!AF$149, FALSE))/2)</f>
        <v>6273.516225470572</v>
      </c>
      <c r="Q38" s="180">
        <f t="array" ref="Q38">IF($G38=0, INDEX(LS_previous!$D$4:$AY$138, MATCH('Staging Table'!$A38, LS_previous!$B$4:$B$138, 0), MATCH(Q$4&amp;Q$5, LS_previous!$D$2:$AY$2&amp;LS_previous!$D$3:$AY$3, 0)),SUM(VLOOKUP($A38, LS_previous!$B$4:$AY$138, LS_previous!I$149, FALSE), VLOOKUP('Staging Table'!$A38, LS_previous!$B$4:$AY$138,LS_previous!AG$149, FALSE))/2)</f>
        <v>5066.3721825116372</v>
      </c>
      <c r="R38" s="180">
        <f t="array" ref="R38">IF($G38=0, INDEX(LS_previous!$D$4:$AY$138, MATCH('Staging Table'!$A38, LS_previous!$B$4:$B$138, 0), MATCH(R$4&amp;R$5, LS_previous!$D$2:$AY$2&amp;LS_previous!$D$3:$AY$3, 0)),SUM(VLOOKUP($A38, LS_previous!$B$4:$AY$138, LS_previous!J$149, FALSE), VLOOKUP('Staging Table'!$A38, LS_previous!$B$4:$AY$138,LS_previous!AH$149, FALSE))/2)</f>
        <v>17044.200613336907</v>
      </c>
      <c r="S38" s="180">
        <f t="array" ref="S38">IF($G38=0, INDEX(LS_previous!$D$4:$AY$138, MATCH('Staging Table'!$A38, LS_previous!$B$4:$B$138, 0), MATCH(S$4&amp;S$5, LS_previous!$D$2:$AY$2&amp;LS_previous!$D$3:$AY$3, 0)),SUM(VLOOKUP($A38, LS_previous!$B$4:$AY$138, LS_previous!K$149, FALSE), VLOOKUP('Staging Table'!$A38, LS_previous!$B$4:$AY$138,LS_previous!AI$149, FALSE))/2)</f>
        <v>8621.3702142428374</v>
      </c>
      <c r="T38" s="180">
        <f t="array" ref="T38">IF($G38=0, INDEX(LS_previous!$D$4:$AY$138, MATCH('Staging Table'!$A38, LS_previous!$B$4:$B$138, 0), MATCH(T$4&amp;T$5, LS_previous!$D$2:$AY$2&amp;LS_previous!$D$3:$AY$3, 0)),SUM(VLOOKUP($A38, LS_previous!$B$4:$AY$138, LS_previous!L$149, FALSE), VLOOKUP('Staging Table'!$A38, LS_previous!$B$4:$AY$138,LS_previous!AJ$149, FALSE))/2)</f>
        <v>7994.5590567509353</v>
      </c>
      <c r="U38" s="180">
        <f t="array" ref="U38">IF($G38=0, INDEX(LS_previous!$D$4:$AY$138, MATCH('Staging Table'!$A38, LS_previous!$B$4:$B$138, 0), MATCH(U$4&amp;U$5, LS_previous!$D$2:$AY$2&amp;LS_previous!$D$3:$AY$3, 0)),SUM(VLOOKUP($A38, LS_previous!$B$4:$AY$138, LS_previous!M$149, FALSE), VLOOKUP('Staging Table'!$A38, LS_previous!$B$4:$AY$138,LS_previous!AK$149, FALSE))/2)</f>
        <v>2785.7302773576412</v>
      </c>
      <c r="V38" s="180">
        <f t="array" ref="V38">IF($G38=0, INDEX(LS_previous!$D$4:$AY$138, MATCH('Staging Table'!$A38, LS_previous!$B$4:$B$138, 0), MATCH(V$4&amp;V$5, LS_previous!$D$2:$AY$2&amp;LS_previous!$D$3:$AY$3, 0)),SUM(VLOOKUP($A38, LS_previous!$B$4:$AY$138, LS_previous!N$149, FALSE), VLOOKUP('Staging Table'!$A38, LS_previous!$B$4:$AY$138,LS_previous!AL$149, FALSE))/2)</f>
        <v>-2858.4651333377042</v>
      </c>
      <c r="W38" s="180">
        <f t="array" ref="W38">IF($G38=0, INDEX(LS_previous!$D$4:$AY$138, MATCH('Staging Table'!$A38, LS_previous!$B$4:$B$138, 0), MATCH(W$4&amp;W$5, LS_previous!$D$2:$AY$2&amp;LS_previous!$D$3:$AY$3, 0)),SUM(VLOOKUP($A38, LS_previous!$B$4:$AY$138, LS_previous!O$149, FALSE), VLOOKUP('Staging Table'!$A38, LS_previous!$B$4:$AY$138,LS_previous!AM$149, FALSE))/2)</f>
        <v>866.88351116097328</v>
      </c>
      <c r="X38" s="180">
        <f t="array" ref="X38">IF($G38=0, INDEX(LS_previous!$D$4:$AY$138, MATCH('Staging Table'!$A38, LS_previous!$B$4:$B$138, 0), MATCH(X$4&amp;X$5, LS_previous!$D$2:$AY$2&amp;LS_previous!$D$3:$AY$3, 0)),SUM(VLOOKUP($A38, LS_previous!$B$4:$AY$138, LS_previous!P$149, FALSE), VLOOKUP('Staging Table'!$A38, LS_previous!$B$4:$AY$138,LS_previous!AN$149, FALSE))/2)</f>
        <v>2895.2343321063745</v>
      </c>
      <c r="Y38" s="180">
        <f t="array" ref="Y38">IF($G38=0, INDEX(LS_previous!$D$4:$AY$138, MATCH('Staging Table'!$A38, LS_previous!$B$4:$B$138, 0), MATCH(Y$4&amp;Y$5, LS_previous!$D$2:$AY$2&amp;LS_previous!$D$3:$AY$3, 0)),SUM(VLOOKUP($A38, LS_previous!$B$4:$AY$138, LS_previous!Q$149, FALSE), VLOOKUP('Staging Table'!$A38, LS_previous!$B$4:$AY$138,LS_previous!AO$149, FALSE))/2)</f>
        <v>702.69842273473114</v>
      </c>
      <c r="Z38" s="180">
        <f t="array" ref="Z38">IF($G38=0, INDEX(LS_previous!$D$4:$AY$138, MATCH('Staging Table'!$A38, LS_previous!$B$4:$B$138, 0), MATCH(Z$4&amp;Z$5, LS_previous!$D$2:$AY$2&amp;LS_previous!$D$3:$AY$3, 0)),SUM(VLOOKUP($A38, LS_previous!$B$4:$AY$138, LS_previous!R$149, FALSE), VLOOKUP('Staging Table'!$A38, LS_previous!$B$4:$AY$138,LS_previous!AP$149, FALSE))/2)</f>
        <v>-10693.67089355291</v>
      </c>
      <c r="AA38" s="180">
        <f t="array" ref="AA38">IF($G38=0, INDEX(LS_previous!$D$4:$AY$138, MATCH('Staging Table'!$A38, LS_previous!$B$4:$B$138, 0), MATCH(AA$4&amp;AA$5, LS_previous!$D$2:$AY$2&amp;LS_previous!$D$3:$AY$3, 0)),SUM(VLOOKUP($A38, LS_previous!$B$4:$AY$138, LS_previous!S$149, FALSE), VLOOKUP('Staging Table'!$A38, LS_previous!$B$4:$AY$138,LS_previous!AQ$149, FALSE))/2)</f>
        <v>-478.78324970818358</v>
      </c>
      <c r="AB38" s="180">
        <f t="array" ref="AB38">IF($G38=0, INDEX(LS_previous!$D$4:$AY$138, MATCH('Staging Table'!$A38, LS_previous!$B$4:$B$138, 0), MATCH(AB$4&amp;AB$5, LS_previous!$D$2:$AY$2&amp;LS_previous!$D$3:$AY$3, 0)),SUM(VLOOKUP($A38, LS_previous!$B$4:$AY$138, LS_previous!T$149, FALSE), VLOOKUP('Staging Table'!$A38, LS_previous!$B$4:$AY$138,LS_previous!AR$149, FALSE))/2)</f>
        <v>-15067.37517716398</v>
      </c>
      <c r="AC38" s="180">
        <f t="array" ref="AC38">IF($G38=0, INDEX(LS_previous!$D$4:$AY$138, MATCH('Staging Table'!$A38, LS_previous!$B$4:$B$138, 0), MATCH(AC$4&amp;AC$5, LS_previous!$D$2:$AY$2&amp;LS_previous!$D$3:$AY$3, 0)),SUM(VLOOKUP($A38, LS_previous!$B$4:$AY$138, LS_previous!U$149, FALSE), VLOOKUP('Staging Table'!$A38, LS_previous!$B$4:$AY$138,LS_previous!AS$149, FALSE))/2)</f>
        <v>3216.5146680632351</v>
      </c>
      <c r="AD38" s="180">
        <f t="array" ref="AD38">IF($G38=0, INDEX(LS_previous!$D$4:$AY$138, MATCH('Staging Table'!$A38, LS_previous!$B$4:$B$138, 0), MATCH(AD$4&amp;AD$5, LS_previous!$D$2:$AY$2&amp;LS_previous!$D$3:$AY$3, 0)),SUM(VLOOKUP($A38, LS_previous!$B$4:$AY$138, LS_previous!V$149, FALSE), VLOOKUP('Staging Table'!$A38, LS_previous!$B$4:$AY$138,LS_previous!AT$149, FALSE))/2)</f>
        <v>776.20590234070551</v>
      </c>
      <c r="AE38" s="180">
        <f t="array" ref="AE38">IF($G38=0, INDEX(LS_previous!$D$4:$AY$138, MATCH('Staging Table'!$A38, LS_previous!$B$4:$B$138, 0), MATCH(AE$4&amp;AE$5, LS_previous!$D$2:$AY$2&amp;LS_previous!$D$3:$AY$3, 0)),SUM(VLOOKUP($A38, LS_previous!$B$4:$AY$138, LS_previous!W$149, FALSE), VLOOKUP('Staging Table'!$A38, LS_previous!$B$4:$AY$138,LS_previous!AU$149, FALSE))/2)</f>
        <v>4185.4357076306951</v>
      </c>
      <c r="AF38" s="180">
        <f t="array" ref="AF38">IF($G38=0, INDEX(LS_previous!$D$4:$AY$138, MATCH('Staging Table'!$A38, LS_previous!$B$4:$B$138, 0), MATCH(AF$4&amp;AF$5, LS_previous!$D$2:$AY$2&amp;LS_previous!$D$3:$AY$3, 0)),SUM(VLOOKUP($A38, LS_previous!$B$4:$AY$138, LS_previous!X$149, FALSE), VLOOKUP('Staging Table'!$A38, LS_previous!$B$4:$AY$138,LS_previous!AV$149, FALSE))/2)</f>
        <v>2489.5637302764662</v>
      </c>
      <c r="AG38" s="180">
        <f t="array" ref="AG38">IF($G38=0, INDEX(LS_previous!$D$4:$AY$138, MATCH('Staging Table'!$A38, LS_previous!$B$4:$B$138, 0), MATCH(AG$4&amp;AG$5, LS_previous!$D$2:$AY$2&amp;LS_previous!$D$3:$AY$3, 0)),SUM(VLOOKUP($A38, LS_previous!$B$4:$AY$138, LS_previous!Y$149, FALSE), VLOOKUP('Staging Table'!$A38, LS_previous!$B$4:$AY$138,LS_previous!AW$149, FALSE))/2)</f>
        <v>3350.9988737602944</v>
      </c>
      <c r="AH38" s="180">
        <f t="array" ref="AH38">IF($G38=0, INDEX(LS_previous!$D$4:$AY$138, MATCH('Staging Table'!$A38, LS_previous!$B$4:$B$138, 0), MATCH(AH$4&amp;AH$5, LS_previous!$D$2:$AY$2&amp;LS_previous!$D$3:$AY$3, 0)),SUM(VLOOKUP($A38, LS_previous!$B$4:$AY$138, LS_previous!Z$149, FALSE), VLOOKUP('Staging Table'!$A38, LS_previous!$B$4:$AY$138,LS_previous!AX$149, FALSE))/2)</f>
        <v>-6635.076329532305</v>
      </c>
      <c r="AI38" s="180">
        <f t="array" ref="AI38">IF($G38=0, INDEX(LS_previous!$D$4:$AY$138, MATCH('Staging Table'!$A38, LS_previous!$B$4:$B$138, 0), MATCH(AI$4&amp;AI$5, LS_previous!$D$2:$AY$2&amp;LS_previous!$D$3:$AY$3, 0)),SUM(VLOOKUP($A38, LS_previous!$B$4:$AY$138, LS_previous!AA$149, FALSE), VLOOKUP('Staging Table'!$A38, LS_previous!$B$4:$AY$138,LS_previous!AY$149, FALSE))/2)</f>
        <v>1072.8965003163721</v>
      </c>
      <c r="AJ38" s="298">
        <f t="array" ref="AJ38">INDEX(Demand_previous!$D$4:$AY$138, MATCH('Staging Table'!$A38, Demand_previous!$B$4:$B$138, 0), MATCH(AJ$4&amp;AJ$5,Demand_previous!$D$2:$AY$2&amp;Demand_previous!$D$3:$AY$3, 0))/1000</f>
        <v>1.1366514423076879</v>
      </c>
      <c r="AK38" s="298">
        <f t="array" ref="AK38">INDEX(Demand_previous!$D$4:$AY$138, MATCH('Staging Table'!$A38, Demand_previous!$B$4:$B$138, 0), MATCH(AK$4&amp;AK$5,Demand_previous!$D$2:$AY$2&amp;Demand_previous!$D$3:$AY$3, 0))/1000</f>
        <v>2.8347299999999862</v>
      </c>
      <c r="AL38" s="298">
        <f t="array" ref="AL38">INDEX(Demand_previous!$D$4:$AY$138, MATCH('Staging Table'!$A38, Demand_previous!$B$4:$B$138, 0), MATCH(AL$4&amp;AL$5,Demand_previous!$D$2:$AY$2&amp;Demand_previous!$D$3:$AY$3, 0))/1000</f>
        <v>21.948781250000007</v>
      </c>
      <c r="AM38" s="298">
        <f t="array" ref="AM38">INDEX(Demand_previous!$D$4:$AY$138, MATCH('Staging Table'!$A38, Demand_previous!$B$4:$B$138, 0), MATCH(AM$4&amp;AM$5,Demand_previous!$D$2:$AY$2&amp;Demand_previous!$D$3:$AY$3, 0))/1000</f>
        <v>4.6361924999999999</v>
      </c>
      <c r="AN38" s="298">
        <f t="array" ref="AN38">INDEX(Demand_previous!$D$4:$AY$138, MATCH('Staging Table'!$A38, Demand_previous!$B$4:$B$138, 0), MATCH(AN$4&amp;AN$5,Demand_previous!$D$2:$AY$2&amp;Demand_previous!$D$3:$AY$3, 0))/1000</f>
        <v>0</v>
      </c>
      <c r="AO38" s="298">
        <f t="array" ref="AO38">INDEX(Demand_previous!$D$4:$AY$138, MATCH('Staging Table'!$A38, Demand_previous!$B$4:$B$138, 0), MATCH(AO$4&amp;AO$5,Demand_previous!$D$2:$AY$2&amp;Demand_previous!$D$3:$AY$3, 0))/1000</f>
        <v>17.655759259259259</v>
      </c>
      <c r="AP38" s="298">
        <f t="array" ref="AP38">INDEX(Demand_previous!$D$4:$AY$138, MATCH('Staging Table'!$A38, Demand_previous!$B$4:$B$138, 0), MATCH(AP$4&amp;AP$5,Demand_previous!$D$2:$AY$2&amp;Demand_previous!$D$3:$AY$3, 0))/1000</f>
        <v>20.22521875</v>
      </c>
      <c r="AQ38" s="298">
        <f t="array" ref="AQ38">INDEX(Demand_previous!$D$4:$AY$138, MATCH('Staging Table'!$A38, Demand_previous!$B$4:$B$138, 0), MATCH(AQ$4&amp;AQ$5,Demand_previous!$D$2:$AY$2&amp;Demand_previous!$D$3:$AY$3, 0))/1000</f>
        <v>3.1351674999999979</v>
      </c>
      <c r="AR38" s="298">
        <f t="array" ref="AR38">INDEX(Demand_previous!$D$4:$AY$138, MATCH('Staging Table'!$A38, Demand_previous!$B$4:$B$138, 0), MATCH(AR$4&amp;AR$5,Demand_previous!$D$2:$AY$2&amp;Demand_previous!$D$3:$AY$3, 0))/1000</f>
        <v>33.114971153846128</v>
      </c>
      <c r="AS38" s="298">
        <f t="array" ref="AS38">INDEX(Demand_previous!$D$4:$AY$138, MATCH('Staging Table'!$A38, Demand_previous!$B$4:$B$138, 0), MATCH(AS$4&amp;AS$5,Demand_previous!$D$2:$AY$2&amp;Demand_previous!$D$3:$AY$3, 0))/1000</f>
        <v>17.816427500000007</v>
      </c>
      <c r="AT38" s="298">
        <f t="array" ref="AT38">INDEX(Demand_previous!$D$4:$AY$138, MATCH('Staging Table'!$A38, Demand_previous!$B$4:$B$138, 0), MATCH(AT$4&amp;AT$5,Demand_previous!$D$2:$AY$2&amp;Demand_previous!$D$3:$AY$3, 0))/1000</f>
        <v>29.759833333333358</v>
      </c>
      <c r="AU38" s="298">
        <f t="array" ref="AU38">INDEX(Demand_previous!$D$4:$AY$138, MATCH('Staging Table'!$A38, Demand_previous!$B$4:$B$138, 0), MATCH(AU$4&amp;AU$5,Demand_previous!$D$2:$AY$2&amp;Demand_previous!$D$3:$AY$3, 0))/1000</f>
        <v>22.054772499999984</v>
      </c>
      <c r="AV38" s="180">
        <f>$F38*(VLOOKUP(AV$4, Rates_previous!$G$6:$Q$29, 10, FALSE)+VLOOKUP(AV$4, Rates_previous!$G$6:$Q$29, 11, FALSE))</f>
        <v>66972.744886393135</v>
      </c>
      <c r="AW38" s="180">
        <f>$F38*(VLOOKUP(AW$4, Rates_previous!$G$6:$Q$29, 10, FALSE)+VLOOKUP(AW$4, Rates_previous!$G$6:$Q$29, 11, FALSE))</f>
        <v>84789.925634348401</v>
      </c>
      <c r="AX38" s="180">
        <f>$F38*(VLOOKUP(AX$4, Rates_previous!$G$6:$Q$29, 10, FALSE)+VLOOKUP(AX$4, Rates_previous!$G$6:$Q$29, 11, FALSE))</f>
        <v>82992.397592017791</v>
      </c>
      <c r="AY38" s="180">
        <f>$F38*(VLOOKUP(AY$4, Rates_previous!$G$6:$Q$29, 10, FALSE)+VLOOKUP(AY$4, Rates_previous!$G$6:$Q$29, 11, FALSE))</f>
        <v>68548.191172420251</v>
      </c>
      <c r="AZ38" s="180">
        <f>$F38*(VLOOKUP(AZ$4, Rates_previous!$G$6:$Q$29, 10, FALSE)+VLOOKUP(AZ$4, Rates_previous!$G$6:$Q$29, 11, FALSE))</f>
        <v>59412.219665891433</v>
      </c>
      <c r="BA38" s="180">
        <f>$F38*(VLOOKUP(BA$4, Rates_previous!$G$6:$Q$29, 10, FALSE)+VLOOKUP(BA$4, Rates_previous!$G$6:$Q$29, 11, FALSE))</f>
        <v>70926.192622176735</v>
      </c>
      <c r="BB38" s="180">
        <f>$F38*(VLOOKUP(BB$4, Rates_previous!$G$6:$Q$29, 10, FALSE)+VLOOKUP(BB$4, Rates_previous!$G$6:$Q$29, 11, FALSE))</f>
        <v>55064.746245158894</v>
      </c>
      <c r="BC38" s="180">
        <f>$F38*(VLOOKUP(BC$4, Rates_previous!$G$6:$Q$29, 10, FALSE)+VLOOKUP(BC$4, Rates_previous!$G$6:$Q$29, 11, FALSE))</f>
        <v>76292.611143261092</v>
      </c>
      <c r="BD38" s="180">
        <f>$F38*(VLOOKUP(BD$4, Rates_previous!$G$6:$Q$29, 10, FALSE)+VLOOKUP(BD$4, Rates_previous!$G$6:$Q$29, 11, FALSE))</f>
        <v>81520.252509100741</v>
      </c>
      <c r="BE38" s="180">
        <f>$F38*(VLOOKUP(BE$4, Rates_previous!$G$6:$Q$29, 10, FALSE)+VLOOKUP(BE$4, Rates_previous!$G$6:$Q$29, 11, FALSE))</f>
        <v>77399.788390028596</v>
      </c>
      <c r="BF38" s="180">
        <f>$F38*(VLOOKUP(BF$4, Rates_previous!$G$6:$Q$29, 10, FALSE)+VLOOKUP(BF$4, Rates_previous!$G$6:$Q$29, 11, FALSE))</f>
        <v>74800.924395963244</v>
      </c>
      <c r="BG38" s="180">
        <f>$F38*(VLOOKUP(BG$4, Rates_previous!$G$6:$Q$29, 10, FALSE)+VLOOKUP(BG$4, Rates_previous!$G$6:$Q$29, 11, FALSE))</f>
        <v>69123.851829215942</v>
      </c>
      <c r="BH38" s="298">
        <f>IF($D38=0,IF(C38=0, MAX(BJ38 - (VLOOKUP($A38,TOCA_previous!$A$2:$AI$137,MATCH("RHWM 2022",TOCA_previous!$A$2:$AI$2,0),FALSE)*$F$2*TOCA_previous!C35),0),0), 0)</f>
        <v>10389.787393967737</v>
      </c>
      <c r="BI38" s="192">
        <f>MIN(VLOOKUP($A38,TOCA_previous!$A$2:$AI$137,MATCH("TRL - NLSL - Existing Resource "&amp;$F$1,TOCA_previous!$A$2:$AI$2,0),FALSE)*$F$2,(VLOOKUP($A38,TOCA_previous!$A$2:$AI$137,MATCH("RHWM 2022",TOCA_previous!$A$2:$AI$2,0),FALSE)*$F$2))</f>
        <v>867844.44000000006</v>
      </c>
      <c r="BJ38" s="402">
        <f>SUM(L38:AI38)+(F38*RT1SC!$C$3*$F$2)</f>
        <v>878234.2273939678</v>
      </c>
      <c r="BK38" s="401">
        <f>VLOOKUP($A38,TOCA_previous!$A$2:$AI$137,MATCH("Above RHWM Not Served with LS "&amp;$F$1,TOCA_previous!$A$2:$AI$2,0),FALSE)*$F$2</f>
        <v>100757.52</v>
      </c>
      <c r="BL38" s="402">
        <f t="shared" si="8"/>
        <v>10389.787393967737</v>
      </c>
      <c r="BM38" s="401">
        <f>(VLOOKUP($A38,TOCA_previous!$A$2:$AI$137,MATCH("RHWM 2022",TOCA_previous!$A$2:$AI$2,0),FALSE)*$F$2) - $BI38</f>
        <v>0</v>
      </c>
      <c r="BN38" s="402">
        <f t="shared" si="9"/>
        <v>0</v>
      </c>
      <c r="BO38" s="401">
        <f t="shared" si="10"/>
        <v>0</v>
      </c>
      <c r="BP38" s="402">
        <f t="shared" si="11"/>
        <v>0</v>
      </c>
      <c r="BQ38" s="401">
        <f t="shared" ref="BQ38:BQ69" si="18">IF($D38=0,SUM($BN38:$BP38),0)</f>
        <v>0</v>
      </c>
      <c r="BR38" s="108">
        <f>VLOOKUP($A38,TOCA_current!$A$2:$AI$137,MATCH(BR$4,TOCA_current!$A$2:$AI$2,0),FALSE)</f>
        <v>1.4754E-2</v>
      </c>
      <c r="BS38" s="108">
        <f>VLOOKUP($A38,TOCA_current!$A$2:$AI$137,MATCH(BS$4,TOCA_current!$A$2:$AI$2,0),FALSE)</f>
        <v>1.4754E-2</v>
      </c>
      <c r="BT38" s="189">
        <f t="shared" si="12"/>
        <v>0</v>
      </c>
      <c r="BU38" s="108">
        <f>VLOOKUP($A38,TOCA_current!A34:BG169,MATCH(BU$4,TOCA_current!$A$2:$BG$2,0),FALSE)</f>
        <v>0</v>
      </c>
      <c r="BV38" s="108">
        <f t="shared" ref="BV38:BV69" si="19">IF(C38=0,0,BU38)</f>
        <v>0</v>
      </c>
      <c r="BW38" s="108">
        <f t="shared" ref="BW38:BW69" si="20">IF(C38=0,0,BR38)</f>
        <v>0</v>
      </c>
      <c r="BX38" s="179">
        <f>VLOOKUP($A38,IRD!$A$4:$G$139, 7, FALSE)</f>
        <v>0</v>
      </c>
      <c r="BY38" s="180">
        <f t="array" ref="BY38">IF($BT38=0, INDEX(LS_current!$D$4:$AY$138, MATCH('Staging Table'!$A38, LS_current!$B$4:$B$138, 0), MATCH(BY$4&amp;BY$5, LS_current!$D$2:$AY$2&amp;LS_current!$D$3:$AY$3, 0)),SUM(VLOOKUP($A38, LS_current!$B$4:$AY$138, LS_current!D$148, FALSE), VLOOKUP($A38, LS_current!$B$4:$AY$138,LS_current!AB$148, FALSE))/2)</f>
        <v>2131.7856928559922</v>
      </c>
      <c r="BZ38" s="180">
        <f t="array" ref="BZ38">IF($BT38=0, INDEX(LS_current!$D$4:$AY$138, MATCH('Staging Table'!$A38, LS_current!$B$4:$B$138, 0), MATCH(BZ$4&amp;BZ$5, LS_current!$D$2:$AY$2&amp;LS_current!$D$3:$AY$3, 0)),SUM(VLOOKUP($A38, LS_current!$B$4:$AY$138, LS_current!E$148, FALSE), VLOOKUP($A38, LS_current!$B$4:$AY$138,LS_current!AC$148, FALSE))/2)</f>
        <v>942.98060997300126</v>
      </c>
      <c r="CA38" s="180">
        <f t="array" ref="CA38">IF($BT38=0, INDEX(LS_current!$D$4:$AY$138, MATCH('Staging Table'!$A38, LS_current!$B$4:$B$138, 0), MATCH(CA$4&amp;CA$5, LS_current!$D$2:$AY$2&amp;LS_current!$D$3:$AY$3, 0)),SUM(VLOOKUP($A38, LS_current!$B$4:$AY$138, LS_current!F$148, FALSE), VLOOKUP($A38, LS_current!$B$4:$AY$138,LS_current!AD$148, FALSE))/2)</f>
        <v>-5939.3380373120017</v>
      </c>
      <c r="CB38" s="180">
        <f t="array" ref="CB38">IF($BT38=0, INDEX(LS_current!$D$4:$AY$138, MATCH('Staging Table'!$A38, LS_current!$B$4:$B$138, 0), MATCH(CB$4&amp;CB$5, LS_current!$D$2:$AY$2&amp;LS_current!$D$3:$AY$3, 0)),SUM(VLOOKUP($A38, LS_current!$B$4:$AY$138, LS_current!G$148, FALSE), VLOOKUP($A38, LS_current!$B$4:$AY$138,LS_current!AE$148, FALSE))/2)</f>
        <v>-1972.0853217740005</v>
      </c>
      <c r="CC38" s="180">
        <f t="array" ref="CC38">IF($BT38=0, INDEX(LS_current!$D$4:$AY$138, MATCH('Staging Table'!$A38, LS_current!$B$4:$B$138, 0), MATCH(CC$4&amp;CC$5, LS_current!$D$2:$AY$2&amp;LS_current!$D$3:$AY$3, 0)),SUM(VLOOKUP($A38, LS_current!$B$4:$AY$138, LS_current!H$148, FALSE), VLOOKUP($A38, LS_current!$B$4:$AY$138,LS_current!AF$148, FALSE))/2)</f>
        <v>3633.7084067940013</v>
      </c>
      <c r="CD38" s="180">
        <f t="array" ref="CD38">IF($BT38=0, INDEX(LS_current!$D$4:$AY$138, MATCH('Staging Table'!$A38, LS_current!$B$4:$B$138, 0), MATCH(CD$4&amp;CD$5, LS_current!$D$2:$AY$2&amp;LS_current!$D$3:$AY$3, 0)),SUM(VLOOKUP($A38, LS_current!$B$4:$AY$138, LS_current!I$148, FALSE), VLOOKUP($A38, LS_current!$B$4:$AY$138,LS_current!AG$148, FALSE))/2)</f>
        <v>8201.4520092159946</v>
      </c>
      <c r="CE38" s="180">
        <f t="array" ref="CE38">IF($BT38=0, INDEX(LS_current!$D$4:$AY$138, MATCH('Staging Table'!$A38, LS_current!$B$4:$B$138, 0), MATCH(CE$4&amp;CE$5, LS_current!$D$2:$AY$2&amp;LS_current!$D$3:$AY$3, 0)),SUM(VLOOKUP($A38, LS_current!$B$4:$AY$138, LS_current!J$148, FALSE), VLOOKUP($A38, LS_current!$B$4:$AY$138,LS_current!AH$148, FALSE))/2)</f>
        <v>2512.9034368900029</v>
      </c>
      <c r="CF38" s="180">
        <f t="array" ref="CF38">IF($BT38=0, INDEX(LS_current!$D$4:$AY$138, MATCH('Staging Table'!$A38, LS_current!$B$4:$B$138, 0), MATCH(CF$4&amp;CF$5, LS_current!$D$2:$AY$2&amp;LS_current!$D$3:$AY$3, 0)),SUM(VLOOKUP($A38, LS_current!$B$4:$AY$138, LS_current!K$148, FALSE), VLOOKUP($A38, LS_current!$B$4:$AY$138,LS_current!AI$148, FALSE))/2)</f>
        <v>5849.4065201339981</v>
      </c>
      <c r="CG38" s="180">
        <f t="array" ref="CG38">IF($BT38=0, INDEX(LS_current!$D$4:$AY$138, MATCH('Staging Table'!$A38, LS_current!$B$4:$B$138, 0), MATCH(CG$4&amp;CG$5, LS_current!$D$2:$AY$2&amp;LS_current!$D$3:$AY$3, 0)),SUM(VLOOKUP($A38, LS_current!$B$4:$AY$138, LS_current!L$148, FALSE), VLOOKUP($A38, LS_current!$B$4:$AY$138,LS_current!AJ$148, FALSE))/2)</f>
        <v>-4660.5791987659904</v>
      </c>
      <c r="CH38" s="180">
        <f t="array" ref="CH38">IF($BT38=0, INDEX(LS_current!$D$4:$AY$138, MATCH('Staging Table'!$A38, LS_current!$B$4:$B$138, 0), MATCH(CH$4&amp;CH$5, LS_current!$D$2:$AY$2&amp;LS_current!$D$3:$AY$3, 0)),SUM(VLOOKUP($A38, LS_current!$B$4:$AY$138, LS_current!M$148, FALSE), VLOOKUP($A38, LS_current!$B$4:$AY$138,LS_current!AK$148, FALSE))/2)</f>
        <v>972.33549691400185</v>
      </c>
      <c r="CI38" s="180">
        <f t="array" ref="CI38">IF($BT38=0, INDEX(LS_current!$D$4:$AY$138, MATCH('Staging Table'!$A38, LS_current!$B$4:$B$138, 0), MATCH(CI$4&amp;CI$5, LS_current!$D$2:$AY$2&amp;LS_current!$D$3:$AY$3, 0)),SUM(VLOOKUP($A38, LS_current!$B$4:$AY$138, LS_current!N$148, FALSE), VLOOKUP($A38, LS_current!$B$4:$AY$138,LS_current!AL$148, FALSE))/2)</f>
        <v>-8242.5465932020015</v>
      </c>
      <c r="CJ38" s="180">
        <f t="array" ref="CJ38">IF($BT38=0, INDEX(LS_current!$D$4:$AY$138, MATCH('Staging Table'!$A38, LS_current!$B$4:$B$138, 0), MATCH(CJ$4&amp;CJ$5, LS_current!$D$2:$AY$2&amp;LS_current!$D$3:$AY$3, 0)),SUM(VLOOKUP($A38, LS_current!$B$4:$AY$138, LS_current!O$148, FALSE), VLOOKUP($A38, LS_current!$B$4:$AY$138,LS_current!AM$148, FALSE))/2)</f>
        <v>-3256.6269126119951</v>
      </c>
      <c r="CK38" s="180">
        <f t="array" ref="CK38">IF($BT38=0, INDEX(LS_current!$D$4:$AY$138, MATCH('Staging Table'!$A38, LS_current!$B$4:$B$138, 0), MATCH(CK$4&amp;CK$5, LS_current!$D$2:$AY$2&amp;LS_current!$D$3:$AY$3, 0)),SUM(VLOOKUP($A38, LS_current!$B$4:$AY$138, LS_current!P$148, FALSE), VLOOKUP($A38, LS_current!$B$4:$AY$138,LS_current!AN$148, FALSE))/2)</f>
        <v>-1565.0233492349944</v>
      </c>
      <c r="CL38" s="180">
        <f t="array" ref="CL38">IF($BT38=0, INDEX(LS_current!$D$4:$AY$138, MATCH('Staging Table'!$A38, LS_current!$B$4:$B$138, 0), MATCH(CL$4&amp;CL$5, LS_current!$D$2:$AY$2&amp;LS_current!$D$3:$AY$3, 0)),SUM(VLOOKUP($A38, LS_current!$B$4:$AY$138, LS_current!Q$148, FALSE), VLOOKUP($A38, LS_current!$B$4:$AY$138,LS_current!AO$148, FALSE))/2)</f>
        <v>-2691.9914146594965</v>
      </c>
      <c r="CM38" s="180">
        <f t="array" ref="CM38">IF($BT38=0, INDEX(LS_current!$D$4:$AY$138, MATCH('Staging Table'!$A38, LS_current!$B$4:$B$138, 0), MATCH(CM$4&amp;CM$5, LS_current!$D$2:$AY$2&amp;LS_current!$D$3:$AY$3, 0)),SUM(VLOOKUP($A38, LS_current!$B$4:$AY$138, LS_current!R$148, FALSE), VLOOKUP($A38, LS_current!$B$4:$AY$138,LS_current!AP$148, FALSE))/2)</f>
        <v>-7442.0767753920009</v>
      </c>
      <c r="CN38" s="180">
        <f t="array" ref="CN38">IF($BT38=0, INDEX(LS_current!$D$4:$AY$138, MATCH('Staging Table'!$A38, LS_current!$B$4:$B$138, 0), MATCH(CN$4&amp;CN$5, LS_current!$D$2:$AY$2&amp;LS_current!$D$3:$AY$3, 0)),SUM(VLOOKUP($A38, LS_current!$B$4:$AY$138, LS_current!S$148, FALSE), VLOOKUP($A38, LS_current!$B$4:$AY$138,LS_current!AQ$148, FALSE))/2)</f>
        <v>-6134.3583645090002</v>
      </c>
      <c r="CO38" s="180">
        <f t="array" ref="CO38">IF($BT38=0, INDEX(LS_current!$D$4:$AY$138, MATCH('Staging Table'!$A38, LS_current!$B$4:$B$138, 0), MATCH(CO$4&amp;CO$5, LS_current!$D$2:$AY$2&amp;LS_current!$D$3:$AY$3, 0)),SUM(VLOOKUP($A38, LS_current!$B$4:$AY$138, LS_current!T$148, FALSE), VLOOKUP($A38, LS_current!$B$4:$AY$138,LS_current!AR$148, FALSE))/2)</f>
        <v>-7568.2969402039962</v>
      </c>
      <c r="CP38" s="180">
        <f t="array" ref="CP38">IF($BT38=0, INDEX(LS_current!$D$4:$AY$138, MATCH('Staging Table'!$A38, LS_current!$B$4:$B$138, 0), MATCH(CP$4&amp;CP$5, LS_current!$D$2:$AY$2&amp;LS_current!$D$3:$AY$3, 0)),SUM(VLOOKUP($A38, LS_current!$B$4:$AY$138, LS_current!U$148, FALSE), VLOOKUP($A38, LS_current!$B$4:$AY$138,LS_current!AS$148, FALSE))/2)</f>
        <v>-3337.5521540930022</v>
      </c>
      <c r="CQ38" s="180">
        <f t="array" ref="CQ38">IF($BT38=0, INDEX(LS_current!$D$4:$AY$138, MATCH('Staging Table'!$A38, LS_current!$B$4:$B$138, 0), MATCH(CQ$4&amp;CQ$5, LS_current!$D$2:$AY$2&amp;LS_current!$D$3:$AY$3, 0)),SUM(VLOOKUP($A38, LS_current!$B$4:$AY$138, LS_current!V$148, FALSE), VLOOKUP($A38, LS_current!$B$4:$AY$138,LS_current!AT$148, FALSE))/2)</f>
        <v>8666.2183539440011</v>
      </c>
      <c r="CR38" s="180">
        <f t="array" ref="CR38">IF($BT38=0, INDEX(LS_current!$D$4:$AY$138, MATCH('Staging Table'!$A38, LS_current!$B$4:$B$138, 0), MATCH(CR$4&amp;CR$5, LS_current!$D$2:$AY$2&amp;LS_current!$D$3:$AY$3, 0)),SUM(VLOOKUP($A38, LS_current!$B$4:$AY$138, LS_current!W$148, FALSE), VLOOKUP($A38, LS_current!$B$4:$AY$138,LS_current!AU$148, FALSE))/2)</f>
        <v>4251.3193538649975</v>
      </c>
      <c r="CS38" s="180">
        <f t="array" ref="CS38">IF($BT38=0, INDEX(LS_current!$D$4:$AY$138, MATCH('Staging Table'!$A38, LS_current!$B$4:$B$138, 0), MATCH(CS$4&amp;CS$5, LS_current!$D$2:$AY$2&amp;LS_current!$D$3:$AY$3, 0)),SUM(VLOOKUP($A38, LS_current!$B$4:$AY$138, LS_current!X$148, FALSE), VLOOKUP($A38, LS_current!$B$4:$AY$138,LS_current!AV$148, FALSE))/2)</f>
        <v>10173.242809688993</v>
      </c>
      <c r="CT38" s="180">
        <f t="array" ref="CT38">IF($BT38=0, INDEX(LS_current!$D$4:$AY$138, MATCH('Staging Table'!$A38, LS_current!$B$4:$B$138, 0), MATCH(CT$4&amp;CT$5, LS_current!$D$2:$AY$2&amp;LS_current!$D$3:$AY$3, 0)),SUM(VLOOKUP($A38, LS_current!$B$4:$AY$138, LS_current!Y$148, FALSE), VLOOKUP($A38, LS_current!$B$4:$AY$138,LS_current!AW$148, FALSE))/2)</f>
        <v>3439.9673698931038</v>
      </c>
      <c r="CU38" s="180">
        <f t="array" ref="CU38">IF($BT38=0, INDEX(LS_current!$D$4:$AY$138, MATCH('Staging Table'!$A38, LS_current!$B$4:$B$138, 0), MATCH(CU$4&amp;CU$5, LS_current!$D$2:$AY$2&amp;LS_current!$D$3:$AY$3, 0)),SUM(VLOOKUP($A38, LS_current!$B$4:$AY$138, LS_current!Z$148, FALSE), VLOOKUP($A38, LS_current!$B$4:$AY$138,LS_current!AX$148, FALSE))/2)</f>
        <v>720.31570540400571</v>
      </c>
      <c r="CV38" s="180">
        <f t="array" ref="CV38">IF($BT38=0, INDEX(LS_current!$D$4:$AY$138, MATCH('Staging Table'!$A38, LS_current!$B$4:$B$138, 0), MATCH(CV$4&amp;CV$5, LS_current!$D$2:$AY$2&amp;LS_current!$D$3:$AY$3, 0)),SUM(VLOOKUP($A38, LS_current!$B$4:$AY$138, LS_current!AA$148, FALSE), VLOOKUP($A38, LS_current!$B$4:$AY$138,LS_current!AY$148, FALSE))/2)</f>
        <v>1313.169239584</v>
      </c>
      <c r="CW38" s="182">
        <f t="array" ref="CW38">INDEX(Demand_current!$D$4:$AY$138, MATCH($A38, Demand_current!$B$4:$B$138, 0), MATCH(CW$4&amp;CW$5,Demand_current!$D$2:$AY$2&amp;Demand_current!$D$3:$AY$3, 0))/1000</f>
        <v>1.1366514423076879</v>
      </c>
      <c r="CX38" s="182">
        <f t="array" ref="CX38">INDEX(Demand_current!$D$4:$AY$138, MATCH($A38, Demand_current!$B$4:$B$138, 0), MATCH(CX$4&amp;CX$5,Demand_current!$D$2:$AY$2&amp;Demand_current!$D$3:$AY$3, 0))/1000</f>
        <v>2.8347299999999862</v>
      </c>
      <c r="CY38" s="182">
        <f t="array" ref="CY38">INDEX(Demand_current!$D$4:$AY$138, MATCH($A38, Demand_current!$B$4:$B$138, 0), MATCH(CY$4&amp;CY$5,Demand_current!$D$2:$AY$2&amp;Demand_current!$D$3:$AY$3, 0))/1000</f>
        <v>16.326612499999992</v>
      </c>
      <c r="CZ38" s="182">
        <f t="array" ref="CZ38">INDEX(Demand_current!$D$4:$AY$138, MATCH($A38, Demand_current!$B$4:$B$138, 0), MATCH(CZ$4&amp;CZ$5,Demand_current!$D$2:$AY$2&amp;Demand_current!$D$3:$AY$3, 0))/1000</f>
        <v>10.467031249999998</v>
      </c>
      <c r="DA38" s="182">
        <f t="array" ref="DA38">INDEX(Demand_current!$D$4:$AY$138, MATCH($A38, Demand_current!$B$4:$B$138, 0), MATCH(DA$4&amp;DA$5,Demand_current!$D$2:$AY$2&amp;Demand_current!$D$3:$AY$3, 0))/1000</f>
        <v>2.1440999999999946</v>
      </c>
      <c r="DB38" s="182">
        <f t="array" ref="DB38">INDEX(Demand_current!$D$4:$AY$138, MATCH($A38, Demand_current!$B$4:$B$138, 0), MATCH(DB$4&amp;DB$5,Demand_current!$D$2:$AY$2&amp;Demand_current!$D$3:$AY$3, 0))/1000</f>
        <v>13.589788461538465</v>
      </c>
      <c r="DC38" s="182">
        <f t="array" ref="DC38">INDEX(Demand_current!$D$4:$AY$138, MATCH($A38, Demand_current!$B$4:$B$138, 0), MATCH(DC$4&amp;DC$5,Demand_current!$D$2:$AY$2&amp;Demand_current!$D$3:$AY$3, 0))/1000</f>
        <v>20.22521875</v>
      </c>
      <c r="DD38" s="182">
        <f t="array" ref="DD38">INDEX(Demand_current!$D$4:$AY$138, MATCH($A38, Demand_current!$B$4:$B$138, 0), MATCH(DD$4&amp;DD$5,Demand_current!$D$2:$AY$2&amp;Demand_current!$D$3:$AY$3, 0))/1000</f>
        <v>7.4925841346153881</v>
      </c>
      <c r="DE38" s="182">
        <f t="array" ref="DE38">INDEX(Demand_current!$D$4:$AY$138, MATCH($A38, Demand_current!$B$4:$B$138, 0), MATCH(DE$4&amp;DE$5,Demand_current!$D$2:$AY$2&amp;Demand_current!$D$3:$AY$3, 0))/1000</f>
        <v>28.513849999999977</v>
      </c>
      <c r="DF38" s="182">
        <f t="array" ref="DF38">INDEX(Demand_current!$D$4:$AY$138, MATCH($A38, Demand_current!$B$4:$B$138, 0), MATCH(DF$4&amp;DF$5,Demand_current!$D$2:$AY$2&amp;Demand_current!$D$3:$AY$3, 0))/1000</f>
        <v>23.290334134615396</v>
      </c>
      <c r="DG38" s="182">
        <f t="array" ref="DG38">INDEX(Demand_current!$D$4:$AY$138, MATCH($A38, Demand_current!$B$4:$B$138, 0), MATCH(DG$4&amp;DG$5,Demand_current!$D$2:$AY$2&amp;Demand_current!$D$3:$AY$3, 0))/1000</f>
        <v>29.759833333333358</v>
      </c>
      <c r="DH38" s="182">
        <f t="array" ref="DH38">INDEX(Demand_current!$D$4:$AY$138, MATCH($A38, Demand_current!$B$4:$B$138, 0), MATCH(DH$4&amp;DH$5,Demand_current!$D$2:$AY$2&amp;Demand_current!$D$3:$AY$3, 0))/1000</f>
        <v>17.671346354166641</v>
      </c>
      <c r="DI38" s="180">
        <f>$BS38*(VLOOKUP(DI$4, Rates_current!$G$6:$Q$29, 10, FALSE)+VLOOKUP(DI$4, Rates_current!$G$6:$Q$29, 11, FALSE))</f>
        <v>62244.230697170999</v>
      </c>
      <c r="DJ38" s="180">
        <f>$BS38*(VLOOKUP(DJ$4, Rates_current!$G$6:$Q$29, 10, FALSE)+VLOOKUP(DJ$4, Rates_current!$G$6:$Q$29, 11, FALSE))</f>
        <v>79381.919359086009</v>
      </c>
      <c r="DK38" s="180">
        <f>$BS38*(VLOOKUP(DK$4, Rates_current!$G$6:$Q$29, 10, FALSE)+VLOOKUP(DK$4, Rates_current!$G$6:$Q$29, 11, FALSE))</f>
        <v>85668.797583990003</v>
      </c>
      <c r="DL38" s="180">
        <f>$BS38*(VLOOKUP(DL$4, Rates_current!$G$6:$Q$29, 10, FALSE)+VLOOKUP(DL$4, Rates_current!$G$6:$Q$29, 11, FALSE))</f>
        <v>89023.124042975993</v>
      </c>
      <c r="DM38" s="180">
        <f>$BS38*(VLOOKUP(DM$4, Rates_current!$G$6:$Q$29, 10, FALSE)+VLOOKUP(DM$4, Rates_current!$G$6:$Q$29, 11, FALSE))</f>
        <v>76571.75270185199</v>
      </c>
      <c r="DN38" s="180">
        <f>$BS38*(VLOOKUP(DN$4, Rates_current!$G$6:$Q$29, 10, FALSE)+VLOOKUP(DN$4, Rates_current!$G$6:$Q$29, 11, FALSE))</f>
        <v>83601.193505813993</v>
      </c>
      <c r="DO38" s="180">
        <f>$BS38*(VLOOKUP(DO$4, Rates_current!$G$6:$Q$29, 10, FALSE)+VLOOKUP(DO$4, Rates_current!$G$6:$Q$29, 11, FALSE))</f>
        <v>65989.053763894495</v>
      </c>
      <c r="DP38" s="180">
        <f>$BS38*(VLOOKUP(DP$4, Rates_current!$G$6:$Q$29, 10, FALSE)+VLOOKUP(DP$4, Rates_current!$G$6:$Q$29, 11, FALSE))</f>
        <v>81868.264139901003</v>
      </c>
      <c r="DQ38" s="180">
        <f>$BS38*(VLOOKUP(DQ$4, Rates_current!$G$6:$Q$29, 10, FALSE)+VLOOKUP(DQ$4, Rates_current!$G$6:$Q$29, 11, FALSE))</f>
        <v>83644.601094296988</v>
      </c>
      <c r="DR38" s="180">
        <f>$BS38*(VLOOKUP(DR$4, Rates_current!$G$6:$Q$29, 10, FALSE)+VLOOKUP(DR$4, Rates_current!$G$6:$Q$29, 11, FALSE))</f>
        <v>72615.564292191004</v>
      </c>
      <c r="DS38" s="180">
        <f>$BS38*(VLOOKUP(DS$4, Rates_current!$G$6:$Q$29, 10, FALSE)+VLOOKUP(DS$4, Rates_current!$G$6:$Q$29, 11, FALSE))</f>
        <v>70199.948820417907</v>
      </c>
      <c r="DT38" s="180">
        <f>$BS38*(VLOOKUP(DT$4, Rates_current!$G$6:$Q$29, 10, FALSE)+VLOOKUP(DT$4, Rates_current!$G$6:$Q$29, 11, FALSE))</f>
        <v>64597.547055012008</v>
      </c>
      <c r="DU38" s="402">
        <f>IF(D38=0,IF(C38=0,MAX(0,DW38 - (VLOOKUP($A38,TOCA_current!$A$2:$AI$137,MATCH("RHWM 2024",TOCA_current!$A$2:$AI$2,0),FALSE)*$BS$2)), 0),0)</f>
        <v>0</v>
      </c>
      <c r="DV38" s="403">
        <f>MIN(VLOOKUP($A38,TOCA_current!$A$2:$AI$137,MATCH("TRL - NLSL - Existing Resource "&amp;$BS$1,TOCA_current!$A$2:$AI$2,0),FALSE)*$BS$2, VLOOKUP($A38,TOCA_current!$A$2:$AI$137,MATCH("RHWM 2024",TOCA_current!$A$2:$AI$2,0),FALSE)*$BS$2)</f>
        <v>915406.99199999997</v>
      </c>
      <c r="DW38" s="403">
        <f>SUM(BY38:CV38)+(BS38*RT1SC!$C$4*$BS$2)</f>
        <v>915404.33119603759</v>
      </c>
      <c r="DX38" s="403">
        <f>VLOOKUP($A38,TOCA_current!$A$2:$AI$137,MATCH("Above RHWM Not Served with LS "&amp;$BS$1,TOCA_current!$A$2:$AI$2,0),FALSE)*$BS$2</f>
        <v>63587.375999999997</v>
      </c>
      <c r="DY38" s="403">
        <f t="shared" si="13"/>
        <v>-2.660803962382488</v>
      </c>
      <c r="DZ38" s="403">
        <f>(VLOOKUP($A38,TOCA_current!$A$2:$AI$137,MATCH("RHWM 2024",TOCA_current!$A$2:$AI$2,0),FALSE)*$BS$2) - $DV38</f>
        <v>0</v>
      </c>
      <c r="EA38" s="403">
        <f t="shared" si="14"/>
        <v>0</v>
      </c>
      <c r="EB38" s="403">
        <f t="shared" si="15"/>
        <v>0</v>
      </c>
      <c r="EC38" s="403">
        <f t="shared" si="16"/>
        <v>0</v>
      </c>
      <c r="ED38" s="403">
        <f t="shared" si="17"/>
        <v>0</v>
      </c>
    </row>
    <row r="39" spans="1:134">
      <c r="A39" s="123">
        <v>10091</v>
      </c>
      <c r="B39" s="124" t="s">
        <v>40</v>
      </c>
      <c r="C39" s="232">
        <f>VLOOKUP(A39, TOCA_current!$A$3:$D$137, 4, FALSE)</f>
        <v>0</v>
      </c>
      <c r="D39" s="191">
        <v>0</v>
      </c>
      <c r="E39" s="107">
        <f>VLOOKUP($A39,TOCA_previous!$A$2:$AI$137,MATCH(E$4,TOCA_previous!$A$2:$AI$2,0),FALSE)</f>
        <v>1.3343000000000001E-3</v>
      </c>
      <c r="F39" s="108">
        <f>VLOOKUP($A39,TOCA_previous!$A$2:$AI$137,MATCH(F$4,TOCA_previous!$A$2:$AI$2,0),FALSE)</f>
        <v>1.3343000000000001E-3</v>
      </c>
      <c r="G39" s="108">
        <f t="shared" si="5"/>
        <v>0</v>
      </c>
      <c r="H39" s="108">
        <f>VLOOKUP($A39,TOCA_previous!$A$2:$AI$137,MATCH(H$4,TOCA_previous!$A$2:$AI$2,0),FALSE)</f>
        <v>0</v>
      </c>
      <c r="I39" s="108">
        <f t="shared" si="6"/>
        <v>0</v>
      </c>
      <c r="J39" s="108">
        <f t="shared" si="7"/>
        <v>0</v>
      </c>
      <c r="K39" s="179">
        <f>VLOOKUP(A39, IRD!$A$5:$C$139, 3, FALSE)</f>
        <v>0</v>
      </c>
      <c r="L39" s="180">
        <f t="array" ref="L39">IF($G39=0, INDEX(LS_previous!$D$4:$AY$138, MATCH('Staging Table'!$A39, LS_previous!$B$4:$B$138, 0), MATCH(L$4&amp;L$5, LS_previous!$D$2:$AY$2&amp;LS_previous!$D$3:$AY$3, 0)),SUM(VLOOKUP($A39, LS_previous!$B$4:$AY$138, LS_previous!D$149, FALSE), VLOOKUP('Staging Table'!$A39, LS_previous!$B$4:$AY$138,LS_previous!AB$149, FALSE))/2)</f>
        <v>-279.92044996971754</v>
      </c>
      <c r="M39" s="180">
        <f t="array" ref="M39">IF($G39=0, INDEX(LS_previous!$D$4:$AY$138, MATCH('Staging Table'!$A39, LS_previous!$B$4:$B$138, 0), MATCH(M$4&amp;M$5, LS_previous!$D$2:$AY$2&amp;LS_previous!$D$3:$AY$3, 0)),SUM(VLOOKUP($A39, LS_previous!$B$4:$AY$138, LS_previous!E$149, FALSE), VLOOKUP('Staging Table'!$A39, LS_previous!$B$4:$AY$138,LS_previous!AC$149, FALSE))/2)</f>
        <v>56.120095345646405</v>
      </c>
      <c r="N39" s="180">
        <f t="array" ref="N39">IF($G39=0, INDEX(LS_previous!$D$4:$AY$138, MATCH('Staging Table'!$A39, LS_previous!$B$4:$B$138, 0), MATCH(N$4&amp;N$5, LS_previous!$D$2:$AY$2&amp;LS_previous!$D$3:$AY$3, 0)),SUM(VLOOKUP($A39, LS_previous!$B$4:$AY$138, LS_previous!F$149, FALSE), VLOOKUP('Staging Table'!$A39, LS_previous!$B$4:$AY$138,LS_previous!AD$149, FALSE))/2)</f>
        <v>-572.43824107220371</v>
      </c>
      <c r="O39" s="180">
        <f t="array" ref="O39">IF($G39=0, INDEX(LS_previous!$D$4:$AY$138, MATCH('Staging Table'!$A39, LS_previous!$B$4:$B$138, 0), MATCH(O$4&amp;O$5, LS_previous!$D$2:$AY$2&amp;LS_previous!$D$3:$AY$3, 0)),SUM(VLOOKUP($A39, LS_previous!$B$4:$AY$138, LS_previous!G$149, FALSE), VLOOKUP('Staging Table'!$A39, LS_previous!$B$4:$AY$138,LS_previous!AE$149, FALSE))/2)</f>
        <v>-20.845798033440587</v>
      </c>
      <c r="P39" s="180">
        <f t="array" ref="P39">IF($G39=0, INDEX(LS_previous!$D$4:$AY$138, MATCH('Staging Table'!$A39, LS_previous!$B$4:$B$138, 0), MATCH(P$4&amp;P$5, LS_previous!$D$2:$AY$2&amp;LS_previous!$D$3:$AY$3, 0)),SUM(VLOOKUP($A39, LS_previous!$B$4:$AY$138, LS_previous!H$149, FALSE), VLOOKUP('Staging Table'!$A39, LS_previous!$B$4:$AY$138,LS_previous!AF$149, FALSE))/2)</f>
        <v>752.96360878417727</v>
      </c>
      <c r="Q39" s="180">
        <f t="array" ref="Q39">IF($G39=0, INDEX(LS_previous!$D$4:$AY$138, MATCH('Staging Table'!$A39, LS_previous!$B$4:$B$138, 0), MATCH(Q$4&amp;Q$5, LS_previous!$D$2:$AY$2&amp;LS_previous!$D$3:$AY$3, 0)),SUM(VLOOKUP($A39, LS_previous!$B$4:$AY$138, LS_previous!I$149, FALSE), VLOOKUP('Staging Table'!$A39, LS_previous!$B$4:$AY$138,LS_previous!AG$149, FALSE))/2)</f>
        <v>483.20142685768906</v>
      </c>
      <c r="R39" s="180">
        <f t="array" ref="R39">IF($G39=0, INDEX(LS_previous!$D$4:$AY$138, MATCH('Staging Table'!$A39, LS_previous!$B$4:$B$138, 0), MATCH(R$4&amp;R$5, LS_previous!$D$2:$AY$2&amp;LS_previous!$D$3:$AY$3, 0)),SUM(VLOOKUP($A39, LS_previous!$B$4:$AY$138, LS_previous!J$149, FALSE), VLOOKUP('Staging Table'!$A39, LS_previous!$B$4:$AY$138,LS_previous!AH$149, FALSE))/2)</f>
        <v>1621.6501726623046</v>
      </c>
      <c r="S39" s="180">
        <f t="array" ref="S39">IF($G39=0, INDEX(LS_previous!$D$4:$AY$138, MATCH('Staging Table'!$A39, LS_previous!$B$4:$B$138, 0), MATCH(S$4&amp;S$5, LS_previous!$D$2:$AY$2&amp;LS_previous!$D$3:$AY$3, 0)),SUM(VLOOKUP($A39, LS_previous!$B$4:$AY$138, LS_previous!K$149, FALSE), VLOOKUP('Staging Table'!$A39, LS_previous!$B$4:$AY$138,LS_previous!AI$149, FALSE))/2)</f>
        <v>1035.7434254392051</v>
      </c>
      <c r="T39" s="180">
        <f t="array" ref="T39">IF($G39=0, INDEX(LS_previous!$D$4:$AY$138, MATCH('Staging Table'!$A39, LS_previous!$B$4:$B$138, 0), MATCH(T$4&amp;T$5, LS_previous!$D$2:$AY$2&amp;LS_previous!$D$3:$AY$3, 0)),SUM(VLOOKUP($A39, LS_previous!$B$4:$AY$138, LS_previous!L$149, FALSE), VLOOKUP('Staging Table'!$A39, LS_previous!$B$4:$AY$138,LS_previous!AJ$149, FALSE))/2)</f>
        <v>1480.4103706650599</v>
      </c>
      <c r="U39" s="180">
        <f t="array" ref="U39">IF($G39=0, INDEX(LS_previous!$D$4:$AY$138, MATCH('Staging Table'!$A39, LS_previous!$B$4:$B$138, 0), MATCH(U$4&amp;U$5, LS_previous!$D$2:$AY$2&amp;LS_previous!$D$3:$AY$3, 0)),SUM(VLOOKUP($A39, LS_previous!$B$4:$AY$138, LS_previous!M$149, FALSE), VLOOKUP('Staging Table'!$A39, LS_previous!$B$4:$AY$138,LS_previous!AK$149, FALSE))/2)</f>
        <v>859.37939881266266</v>
      </c>
      <c r="V39" s="180">
        <f t="array" ref="V39">IF($G39=0, INDEX(LS_previous!$D$4:$AY$138, MATCH('Staging Table'!$A39, LS_previous!$B$4:$B$138, 0), MATCH(V$4&amp;V$5, LS_previous!$D$2:$AY$2&amp;LS_previous!$D$3:$AY$3, 0)),SUM(VLOOKUP($A39, LS_previous!$B$4:$AY$138, LS_previous!N$149, FALSE), VLOOKUP('Staging Table'!$A39, LS_previous!$B$4:$AY$138,LS_previous!AL$149, FALSE))/2)</f>
        <v>247.99488697506558</v>
      </c>
      <c r="W39" s="180">
        <f t="array" ref="W39">IF($G39=0, INDEX(LS_previous!$D$4:$AY$138, MATCH('Staging Table'!$A39, LS_previous!$B$4:$B$138, 0), MATCH(W$4&amp;W$5, LS_previous!$D$2:$AY$2&amp;LS_previous!$D$3:$AY$3, 0)),SUM(VLOOKUP($A39, LS_previous!$B$4:$AY$138, LS_previous!O$149, FALSE), VLOOKUP('Staging Table'!$A39, LS_previous!$B$4:$AY$138,LS_previous!AM$149, FALSE))/2)</f>
        <v>348.03746104756283</v>
      </c>
      <c r="X39" s="180">
        <f t="array" ref="X39">IF($G39=0, INDEX(LS_previous!$D$4:$AY$138, MATCH('Staging Table'!$A39, LS_previous!$B$4:$B$138, 0), MATCH(X$4&amp;X$5, LS_previous!$D$2:$AY$2&amp;LS_previous!$D$3:$AY$3, 0)),SUM(VLOOKUP($A39, LS_previous!$B$4:$AY$138, LS_previous!P$149, FALSE), VLOOKUP('Staging Table'!$A39, LS_previous!$B$4:$AY$138,LS_previous!AN$149, FALSE))/2)</f>
        <v>544.64542013990558</v>
      </c>
      <c r="Y39" s="180">
        <f t="array" ref="Y39">IF($G39=0, INDEX(LS_previous!$D$4:$AY$138, MATCH('Staging Table'!$A39, LS_previous!$B$4:$B$138, 0), MATCH(Y$4&amp;Y$5, LS_previous!$D$2:$AY$2&amp;LS_previous!$D$3:$AY$3, 0)),SUM(VLOOKUP($A39, LS_previous!$B$4:$AY$138, LS_previous!Q$149, FALSE), VLOOKUP('Staging Table'!$A39, LS_previous!$B$4:$AY$138,LS_previous!AO$149, FALSE))/2)</f>
        <v>383.52679818958518</v>
      </c>
      <c r="Z39" s="180">
        <f t="array" ref="Z39">IF($G39=0, INDEX(LS_previous!$D$4:$AY$138, MATCH('Staging Table'!$A39, LS_previous!$B$4:$B$138, 0), MATCH(Z$4&amp;Z$5, LS_previous!$D$2:$AY$2&amp;LS_previous!$D$3:$AY$3, 0)),SUM(VLOOKUP($A39, LS_previous!$B$4:$AY$138, LS_previous!R$149, FALSE), VLOOKUP('Staging Table'!$A39, LS_previous!$B$4:$AY$138,LS_previous!AP$149, FALSE))/2)</f>
        <v>-1376.3944181909924</v>
      </c>
      <c r="AA39" s="180">
        <f t="array" ref="AA39">IF($G39=0, INDEX(LS_previous!$D$4:$AY$138, MATCH('Staging Table'!$A39, LS_previous!$B$4:$B$138, 0), MATCH(AA$4&amp;AA$5, LS_previous!$D$2:$AY$2&amp;LS_previous!$D$3:$AY$3, 0)),SUM(VLOOKUP($A39, LS_previous!$B$4:$AY$138, LS_previous!S$149, FALSE), VLOOKUP('Staging Table'!$A39, LS_previous!$B$4:$AY$138,LS_previous!AQ$149, FALSE))/2)</f>
        <v>-121.45450565634656</v>
      </c>
      <c r="AB39" s="180">
        <f t="array" ref="AB39">IF($G39=0, INDEX(LS_previous!$D$4:$AY$138, MATCH('Staging Table'!$A39, LS_previous!$B$4:$B$138, 0), MATCH(AB$4&amp;AB$5, LS_previous!$D$2:$AY$2&amp;LS_previous!$D$3:$AY$3, 0)),SUM(VLOOKUP($A39, LS_previous!$B$4:$AY$138, LS_previous!T$149, FALSE), VLOOKUP('Staging Table'!$A39, LS_previous!$B$4:$AY$138,LS_previous!AR$149, FALSE))/2)</f>
        <v>-1756.6373857104913</v>
      </c>
      <c r="AC39" s="180">
        <f t="array" ref="AC39">IF($G39=0, INDEX(LS_previous!$D$4:$AY$138, MATCH('Staging Table'!$A39, LS_previous!$B$4:$B$138, 0), MATCH(AC$4&amp;AC$5, LS_previous!$D$2:$AY$2&amp;LS_previous!$D$3:$AY$3, 0)),SUM(VLOOKUP($A39, LS_previous!$B$4:$AY$138, LS_previous!U$149, FALSE), VLOOKUP('Staging Table'!$A39, LS_previous!$B$4:$AY$138,LS_previous!AS$149, FALSE))/2)</f>
        <v>-50.612840085622793</v>
      </c>
      <c r="AD39" s="180">
        <f t="array" ref="AD39">IF($G39=0, INDEX(LS_previous!$D$4:$AY$138, MATCH('Staging Table'!$A39, LS_previous!$B$4:$B$138, 0), MATCH(AD$4&amp;AD$5, LS_previous!$D$2:$AY$2&amp;LS_previous!$D$3:$AY$3, 0)),SUM(VLOOKUP($A39, LS_previous!$B$4:$AY$138, LS_previous!V$149, FALSE), VLOOKUP('Staging Table'!$A39, LS_previous!$B$4:$AY$138,LS_previous!AT$149, FALSE))/2)</f>
        <v>-864.03724144307989</v>
      </c>
      <c r="AE39" s="180">
        <f t="array" ref="AE39">IF($G39=0, INDEX(LS_previous!$D$4:$AY$138, MATCH('Staging Table'!$A39, LS_previous!$B$4:$B$138, 0), MATCH(AE$4&amp;AE$5, LS_previous!$D$2:$AY$2&amp;LS_previous!$D$3:$AY$3, 0)),SUM(VLOOKUP($A39, LS_previous!$B$4:$AY$138, LS_previous!W$149, FALSE), VLOOKUP('Staging Table'!$A39, LS_previous!$B$4:$AY$138,LS_previous!AU$149, FALSE))/2)</f>
        <v>61.741370826135608</v>
      </c>
      <c r="AF39" s="180">
        <f t="array" ref="AF39">IF($G39=0, INDEX(LS_previous!$D$4:$AY$138, MATCH('Staging Table'!$A39, LS_previous!$B$4:$B$138, 0), MATCH(AF$4&amp;AF$5, LS_previous!$D$2:$AY$2&amp;LS_previous!$D$3:$AY$3, 0)),SUM(VLOOKUP($A39, LS_previous!$B$4:$AY$138, LS_previous!X$149, FALSE), VLOOKUP('Staging Table'!$A39, LS_previous!$B$4:$AY$138,LS_previous!AV$149, FALSE))/2)</f>
        <v>-910.45828877457188</v>
      </c>
      <c r="AG39" s="180">
        <f t="array" ref="AG39">IF($G39=0, INDEX(LS_previous!$D$4:$AY$138, MATCH('Staging Table'!$A39, LS_previous!$B$4:$B$138, 0), MATCH(AG$4&amp;AG$5, LS_previous!$D$2:$AY$2&amp;LS_previous!$D$3:$AY$3, 0)),SUM(VLOOKUP($A39, LS_previous!$B$4:$AY$138, LS_previous!Y$149, FALSE), VLOOKUP('Staging Table'!$A39, LS_previous!$B$4:$AY$138,LS_previous!AW$149, FALSE))/2)</f>
        <v>-140.07092092269068</v>
      </c>
      <c r="AH39" s="180">
        <f t="array" ref="AH39">IF($G39=0, INDEX(LS_previous!$D$4:$AY$138, MATCH('Staging Table'!$A39, LS_previous!$B$4:$B$138, 0), MATCH(AH$4&amp;AH$5, LS_previous!$D$2:$AY$2&amp;LS_previous!$D$3:$AY$3, 0)),SUM(VLOOKUP($A39, LS_previous!$B$4:$AY$138, LS_previous!Z$149, FALSE), VLOOKUP('Staging Table'!$A39, LS_previous!$B$4:$AY$138,LS_previous!AX$149, FALSE))/2)</f>
        <v>-906.78868720132186</v>
      </c>
      <c r="AI39" s="180">
        <f t="array" ref="AI39">IF($G39=0, INDEX(LS_previous!$D$4:$AY$138, MATCH('Staging Table'!$A39, LS_previous!$B$4:$B$138, 0), MATCH(AI$4&amp;AI$5, LS_previous!$D$2:$AY$2&amp;LS_previous!$D$3:$AY$3, 0)),SUM(VLOOKUP($A39, LS_previous!$B$4:$AY$138, LS_previous!AA$149, FALSE), VLOOKUP('Staging Table'!$A39, LS_previous!$B$4:$AY$138,LS_previous!AY$149, FALSE))/2)</f>
        <v>-249.71223892183571</v>
      </c>
      <c r="AJ39" s="298">
        <f t="array" ref="AJ39">INDEX(Demand_previous!$D$4:$AY$138, MATCH('Staging Table'!$A39, Demand_previous!$B$4:$B$138, 0), MATCH(AJ$4&amp;AJ$5,Demand_previous!$D$2:$AY$2&amp;Demand_previous!$D$3:$AY$3, 0))/1000</f>
        <v>0.35159134615384602</v>
      </c>
      <c r="AK39" s="298">
        <f t="array" ref="AK39">INDEX(Demand_previous!$D$4:$AY$138, MATCH('Staging Table'!$A39, Demand_previous!$B$4:$B$138, 0), MATCH(AK$4&amp;AK$5,Demand_previous!$D$2:$AY$2&amp;Demand_previous!$D$3:$AY$3, 0))/1000</f>
        <v>0.79239499999999818</v>
      </c>
      <c r="AL39" s="298">
        <f t="array" ref="AL39">INDEX(Demand_previous!$D$4:$AY$138, MATCH('Staging Table'!$A39, Demand_previous!$B$4:$B$138, 0), MATCH(AL$4&amp;AL$5,Demand_previous!$D$2:$AY$2&amp;Demand_previous!$D$3:$AY$3, 0))/1000</f>
        <v>1.8195745192307697</v>
      </c>
      <c r="AM39" s="298">
        <f t="array" ref="AM39">INDEX(Demand_previous!$D$4:$AY$138, MATCH('Staging Table'!$A39, Demand_previous!$B$4:$B$138, 0), MATCH(AM$4&amp;AM$5,Demand_previous!$D$2:$AY$2&amp;Demand_previous!$D$3:$AY$3, 0))/1000</f>
        <v>1.2718674999999995</v>
      </c>
      <c r="AN39" s="298">
        <f t="array" ref="AN39">INDEX(Demand_previous!$D$4:$AY$138, MATCH('Staging Table'!$A39, Demand_previous!$B$4:$B$138, 0), MATCH(AN$4&amp;AN$5,Demand_previous!$D$2:$AY$2&amp;Demand_previous!$D$3:$AY$3, 0))/1000</f>
        <v>0.21062760416666748</v>
      </c>
      <c r="AO39" s="298">
        <f t="array" ref="AO39">INDEX(Demand_previous!$D$4:$AY$138, MATCH('Staging Table'!$A39, Demand_previous!$B$4:$B$138, 0), MATCH(AO$4&amp;AO$5,Demand_previous!$D$2:$AY$2&amp;Demand_previous!$D$3:$AY$3, 0))/1000</f>
        <v>0.26783101851851887</v>
      </c>
      <c r="AP39" s="298">
        <f t="array" ref="AP39">INDEX(Demand_previous!$D$4:$AY$138, MATCH('Staging Table'!$A39, Demand_previous!$B$4:$B$138, 0), MATCH(AP$4&amp;AP$5,Demand_previous!$D$2:$AY$2&amp;Demand_previous!$D$3:$AY$3, 0))/1000</f>
        <v>0.78615865384615313</v>
      </c>
      <c r="AQ39" s="298">
        <f t="array" ref="AQ39">INDEX(Demand_previous!$D$4:$AY$138, MATCH('Staging Table'!$A39, Demand_previous!$B$4:$B$138, 0), MATCH(AQ$4&amp;AQ$5,Demand_previous!$D$2:$AY$2&amp;Demand_previous!$D$3:$AY$3, 0))/1000</f>
        <v>0.78217249999999994</v>
      </c>
      <c r="AR39" s="298">
        <f t="array" ref="AR39">INDEX(Demand_previous!$D$4:$AY$138, MATCH('Staging Table'!$A39, Demand_previous!$B$4:$B$138, 0), MATCH(AR$4&amp;AR$5,Demand_previous!$D$2:$AY$2&amp;Demand_previous!$D$3:$AY$3, 0))/1000</f>
        <v>0.82084374999999987</v>
      </c>
      <c r="AS39" s="298">
        <f t="array" ref="AS39">INDEX(Demand_previous!$D$4:$AY$138, MATCH('Staging Table'!$A39, Demand_previous!$B$4:$B$138, 0), MATCH(AS$4&amp;AS$5,Demand_previous!$D$2:$AY$2&amp;Demand_previous!$D$3:$AY$3, 0))/1000</f>
        <v>0.72815749999999924</v>
      </c>
      <c r="AT39" s="298">
        <f t="array" ref="AT39">INDEX(Demand_previous!$D$4:$AY$138, MATCH('Staging Table'!$A39, Demand_previous!$B$4:$B$138, 0), MATCH(AT$4&amp;AT$5,Demand_previous!$D$2:$AY$2&amp;Demand_previous!$D$3:$AY$3, 0))/1000</f>
        <v>1.0910902777777778</v>
      </c>
      <c r="AU39" s="298">
        <f t="array" ref="AU39">INDEX(Demand_previous!$D$4:$AY$138, MATCH('Staging Table'!$A39, Demand_previous!$B$4:$B$138, 0), MATCH(AU$4&amp;AU$5,Demand_previous!$D$2:$AY$2&amp;Demand_previous!$D$3:$AY$3, 0))/1000</f>
        <v>0.56977250000000068</v>
      </c>
      <c r="AV39" s="180">
        <f>$F39*(VLOOKUP(AV$4, Rates_previous!$G$6:$Q$29, 10, FALSE)+VLOOKUP(AV$4, Rates_previous!$G$6:$Q$29, 11, FALSE))</f>
        <v>6076.3013546240709</v>
      </c>
      <c r="AW39" s="180">
        <f>$F39*(VLOOKUP(AW$4, Rates_previous!$G$6:$Q$29, 10, FALSE)+VLOOKUP(AW$4, Rates_previous!$G$6:$Q$29, 11, FALSE))</f>
        <v>7692.8180391056449</v>
      </c>
      <c r="AX39" s="180">
        <f>$F39*(VLOOKUP(AX$4, Rates_previous!$G$6:$Q$29, 10, FALSE)+VLOOKUP(AX$4, Rates_previous!$G$6:$Q$29, 11, FALSE))</f>
        <v>7529.731964358135</v>
      </c>
      <c r="AY39" s="180">
        <f>$F39*(VLOOKUP(AY$4, Rates_previous!$G$6:$Q$29, 10, FALSE)+VLOOKUP(AY$4, Rates_previous!$G$6:$Q$29, 11, FALSE))</f>
        <v>6219.2384018984903</v>
      </c>
      <c r="AZ39" s="180">
        <f>$F39*(VLOOKUP(AZ$4, Rates_previous!$G$6:$Q$29, 10, FALSE)+VLOOKUP(AZ$4, Rates_previous!$G$6:$Q$29, 11, FALSE))</f>
        <v>5390.3502305222783</v>
      </c>
      <c r="BA39" s="180">
        <f>$F39*(VLOOKUP(BA$4, Rates_previous!$G$6:$Q$29, 10, FALSE)+VLOOKUP(BA$4, Rates_previous!$G$6:$Q$29, 11, FALSE))</f>
        <v>6434.989651977372</v>
      </c>
      <c r="BB39" s="180">
        <f>$F39*(VLOOKUP(BB$4, Rates_previous!$G$6:$Q$29, 10, FALSE)+VLOOKUP(BB$4, Rates_previous!$G$6:$Q$29, 11, FALSE))</f>
        <v>4995.9127816705095</v>
      </c>
      <c r="BC39" s="180">
        <f>$F39*(VLOOKUP(BC$4, Rates_previous!$G$6:$Q$29, 10, FALSE)+VLOOKUP(BC$4, Rates_previous!$G$6:$Q$29, 11, FALSE))</f>
        <v>6921.873923847339</v>
      </c>
      <c r="BD39" s="180">
        <f>$F39*(VLOOKUP(BD$4, Rates_previous!$G$6:$Q$29, 10, FALSE)+VLOOKUP(BD$4, Rates_previous!$G$6:$Q$29, 11, FALSE))</f>
        <v>7396.1672257961136</v>
      </c>
      <c r="BE39" s="180">
        <f>$F39*(VLOOKUP(BE$4, Rates_previous!$G$6:$Q$29, 10, FALSE)+VLOOKUP(BE$4, Rates_previous!$G$6:$Q$29, 11, FALSE))</f>
        <v>7022.3258706169454</v>
      </c>
      <c r="BF39" s="180">
        <f>$F39*(VLOOKUP(BF$4, Rates_previous!$G$6:$Q$29, 10, FALSE)+VLOOKUP(BF$4, Rates_previous!$G$6:$Q$29, 11, FALSE))</f>
        <v>6786.5362096972622</v>
      </c>
      <c r="BG39" s="180">
        <f>$F39*(VLOOKUP(BG$4, Rates_previous!$G$6:$Q$29, 10, FALSE)+VLOOKUP(BG$4, Rates_previous!$G$6:$Q$29, 11, FALSE))</f>
        <v>6271.4669261231575</v>
      </c>
      <c r="BH39" s="298">
        <f>IF($D39=0,IF(C39=0, MAX(BJ39 - (VLOOKUP($A39,TOCA_previous!$A$2:$AI$137,MATCH("RHWM 2022",TOCA_previous!$A$2:$AI$2,0),FALSE)*$F$2*TOCA_previous!C36),0),0), 0)</f>
        <v>628.88002777470683</v>
      </c>
      <c r="BI39" s="192">
        <f>MIN(VLOOKUP($A39,TOCA_previous!$A$2:$AI$137,MATCH("TRL - NLSL - Existing Resource "&amp;$F$1,TOCA_previous!$A$2:$AI$2,0),FALSE)*$F$2,(VLOOKUP($A39,TOCA_previous!$A$2:$AI$137,MATCH("RHWM 2022",TOCA_previous!$A$2:$AI$2,0),FALSE)*$F$2))</f>
        <v>78734.87999999999</v>
      </c>
      <c r="BJ39" s="402">
        <f>SUM(L39:AI39)+(F39*RT1SC!$C$3*$F$2)</f>
        <v>79363.760027774697</v>
      </c>
      <c r="BK39" s="401">
        <f>VLOOKUP($A39,TOCA_previous!$A$2:$AI$137,MATCH("Above RHWM Not Served with LS "&amp;$F$1,TOCA_previous!$A$2:$AI$2,0),FALSE)*$F$2</f>
        <v>0</v>
      </c>
      <c r="BL39" s="402">
        <f t="shared" si="8"/>
        <v>628.88002777470683</v>
      </c>
      <c r="BM39" s="401">
        <f>(VLOOKUP($A39,TOCA_previous!$A$2:$AI$137,MATCH("RHWM 2022",TOCA_previous!$A$2:$AI$2,0),FALSE)*$F$2) - $BI39</f>
        <v>0</v>
      </c>
      <c r="BN39" s="402">
        <f t="shared" si="9"/>
        <v>0</v>
      </c>
      <c r="BO39" s="401">
        <f t="shared" si="10"/>
        <v>0</v>
      </c>
      <c r="BP39" s="402">
        <f t="shared" si="11"/>
        <v>0</v>
      </c>
      <c r="BQ39" s="401">
        <f t="shared" si="18"/>
        <v>0</v>
      </c>
      <c r="BR39" s="108">
        <f>VLOOKUP($A39,TOCA_current!$A$2:$AI$137,MATCH(BR$4,TOCA_current!$A$2:$AI$2,0),FALSE)</f>
        <v>1.2791E-3</v>
      </c>
      <c r="BS39" s="108">
        <f>VLOOKUP($A39,TOCA_current!$A$2:$AI$137,MATCH(BS$4,TOCA_current!$A$2:$AI$2,0),FALSE)</f>
        <v>1.2791E-3</v>
      </c>
      <c r="BT39" s="189">
        <f t="shared" si="12"/>
        <v>0</v>
      </c>
      <c r="BU39" s="108">
        <f>VLOOKUP($A39,TOCA_current!A35:BG170,MATCH(BU$4,TOCA_current!$A$2:$BG$2,0),FALSE)</f>
        <v>0</v>
      </c>
      <c r="BV39" s="108">
        <f t="shared" si="19"/>
        <v>0</v>
      </c>
      <c r="BW39" s="108">
        <f t="shared" si="20"/>
        <v>0</v>
      </c>
      <c r="BX39" s="179">
        <f>VLOOKUP($A39,IRD!$A$4:$G$139, 7, FALSE)</f>
        <v>0</v>
      </c>
      <c r="BY39" s="180">
        <f t="array" ref="BY39">IF($BT39=0, INDEX(LS_current!$D$4:$AY$138, MATCH('Staging Table'!$A39, LS_current!$B$4:$B$138, 0), MATCH(BY$4&amp;BY$5, LS_current!$D$2:$AY$2&amp;LS_current!$D$3:$AY$3, 0)),SUM(VLOOKUP($A39, LS_current!$B$4:$AY$138, LS_current!D$148, FALSE), VLOOKUP($A39, LS_current!$B$4:$AY$138,LS_current!AB$148, FALSE))/2)</f>
        <v>352.45883355239948</v>
      </c>
      <c r="BZ39" s="180">
        <f t="array" ref="BZ39">IF($BT39=0, INDEX(LS_current!$D$4:$AY$138, MATCH('Staging Table'!$A39, LS_current!$B$4:$B$138, 0), MATCH(BZ$4&amp;BZ$5, LS_current!$D$2:$AY$2&amp;LS_current!$D$3:$AY$3, 0)),SUM(VLOOKUP($A39, LS_current!$B$4:$AY$138, LS_current!E$148, FALSE), VLOOKUP($A39, LS_current!$B$4:$AY$138,LS_current!AC$148, FALSE))/2)</f>
        <v>103.77027511295</v>
      </c>
      <c r="CA39" s="180">
        <f t="array" ref="CA39">IF($BT39=0, INDEX(LS_current!$D$4:$AY$138, MATCH('Staging Table'!$A39, LS_current!$B$4:$B$138, 0), MATCH(CA$4&amp;CA$5, LS_current!$D$2:$AY$2&amp;LS_current!$D$3:$AY$3, 0)),SUM(VLOOKUP($A39, LS_current!$B$4:$AY$138, LS_current!F$148, FALSE), VLOOKUP($A39, LS_current!$B$4:$AY$138,LS_current!AD$148, FALSE))/2)</f>
        <v>-27.363741244800622</v>
      </c>
      <c r="CB39" s="180">
        <f t="array" ref="CB39">IF($BT39=0, INDEX(LS_current!$D$4:$AY$138, MATCH('Staging Table'!$A39, LS_current!$B$4:$B$138, 0), MATCH(CB$4&amp;CB$5, LS_current!$D$2:$AY$2&amp;LS_current!$D$3:$AY$3, 0)),SUM(VLOOKUP($A39, LS_current!$B$4:$AY$138, LS_current!G$148, FALSE), VLOOKUP($A39, LS_current!$B$4:$AY$138,LS_current!AE$148, FALSE))/2)</f>
        <v>244.87164308789988</v>
      </c>
      <c r="CC39" s="180">
        <f t="array" ref="CC39">IF($BT39=0, INDEX(LS_current!$D$4:$AY$138, MATCH('Staging Table'!$A39, LS_current!$B$4:$B$138, 0), MATCH(CC$4&amp;CC$5, LS_current!$D$2:$AY$2&amp;LS_current!$D$3:$AY$3, 0)),SUM(VLOOKUP($A39, LS_current!$B$4:$AY$138, LS_current!H$148, FALSE), VLOOKUP($A39, LS_current!$B$4:$AY$138,LS_current!AF$148, FALSE))/2)</f>
        <v>551.52369124510005</v>
      </c>
      <c r="CD39" s="180">
        <f t="array" ref="CD39">IF($BT39=0, INDEX(LS_current!$D$4:$AY$138, MATCH('Staging Table'!$A39, LS_current!$B$4:$B$138, 0), MATCH(CD$4&amp;CD$5, LS_current!$D$2:$AY$2&amp;LS_current!$D$3:$AY$3, 0)),SUM(VLOOKUP($A39, LS_current!$B$4:$AY$138, LS_current!I$148, FALSE), VLOOKUP($A39, LS_current!$B$4:$AY$138,LS_current!AG$148, FALSE))/2)</f>
        <v>787.30546344640015</v>
      </c>
      <c r="CE39" s="180">
        <f t="array" ref="CE39">IF($BT39=0, INDEX(LS_current!$D$4:$AY$138, MATCH('Staging Table'!$A39, LS_current!$B$4:$B$138, 0), MATCH(CE$4&amp;CE$5, LS_current!$D$2:$AY$2&amp;LS_current!$D$3:$AY$3, 0)),SUM(VLOOKUP($A39, LS_current!$B$4:$AY$138, LS_current!J$148, FALSE), VLOOKUP($A39, LS_current!$B$4:$AY$138,LS_current!AH$148, FALSE))/2)</f>
        <v>381.32972734350005</v>
      </c>
      <c r="CF39" s="180">
        <f t="array" ref="CF39">IF($BT39=0, INDEX(LS_current!$D$4:$AY$138, MATCH('Staging Table'!$A39, LS_current!$B$4:$B$138, 0), MATCH(CF$4&amp;CF$5, LS_current!$D$2:$AY$2&amp;LS_current!$D$3:$AY$3, 0)),SUM(VLOOKUP($A39, LS_current!$B$4:$AY$138, LS_current!K$148, FALSE), VLOOKUP($A39, LS_current!$B$4:$AY$138,LS_current!AI$148, FALSE))/2)</f>
        <v>777.43064710609951</v>
      </c>
      <c r="CG39" s="180">
        <f t="array" ref="CG39">IF($BT39=0, INDEX(LS_current!$D$4:$AY$138, MATCH('Staging Table'!$A39, LS_current!$B$4:$B$138, 0), MATCH(CG$4&amp;CG$5, LS_current!$D$2:$AY$2&amp;LS_current!$D$3:$AY$3, 0)),SUM(VLOOKUP($A39, LS_current!$B$4:$AY$138, LS_current!L$148, FALSE), VLOOKUP($A39, LS_current!$B$4:$AY$138,LS_current!AJ$148, FALSE))/2)</f>
        <v>390.57427117110001</v>
      </c>
      <c r="CH39" s="180">
        <f t="array" ref="CH39">IF($BT39=0, INDEX(LS_current!$D$4:$AY$138, MATCH('Staging Table'!$A39, LS_current!$B$4:$B$138, 0), MATCH(CH$4&amp;CH$5, LS_current!$D$2:$AY$2&amp;LS_current!$D$3:$AY$3, 0)),SUM(VLOOKUP($A39, LS_current!$B$4:$AY$138, LS_current!M$148, FALSE), VLOOKUP($A39, LS_current!$B$4:$AY$138,LS_current!AK$148, FALSE))/2)</f>
        <v>701.16740424310001</v>
      </c>
      <c r="CI39" s="180">
        <f t="array" ref="CI39">IF($BT39=0, INDEX(LS_current!$D$4:$AY$138, MATCH('Staging Table'!$A39, LS_current!$B$4:$B$138, 0), MATCH(CI$4&amp;CI$5, LS_current!$D$2:$AY$2&amp;LS_current!$D$3:$AY$3, 0)),SUM(VLOOKUP($A39, LS_current!$B$4:$AY$138, LS_current!N$148, FALSE), VLOOKUP($A39, LS_current!$B$4:$AY$138,LS_current!AL$148, FALSE))/2)</f>
        <v>-212.81453743830025</v>
      </c>
      <c r="CJ39" s="180">
        <f t="array" ref="CJ39">IF($BT39=0, INDEX(LS_current!$D$4:$AY$138, MATCH('Staging Table'!$A39, LS_current!$B$4:$B$138, 0), MATCH(CJ$4&amp;CJ$5, LS_current!$D$2:$AY$2&amp;LS_current!$D$3:$AY$3, 0)),SUM(VLOOKUP($A39, LS_current!$B$4:$AY$138, LS_current!O$148, FALSE), VLOOKUP($A39, LS_current!$B$4:$AY$138,LS_current!AM$148, FALSE))/2)</f>
        <v>-3.9800962397998774</v>
      </c>
      <c r="CK39" s="180">
        <f t="array" ref="CK39">IF($BT39=0, INDEX(LS_current!$D$4:$AY$138, MATCH('Staging Table'!$A39, LS_current!$B$4:$B$138, 0), MATCH(CK$4&amp;CK$5, LS_current!$D$2:$AY$2&amp;LS_current!$D$3:$AY$3, 0)),SUM(VLOOKUP($A39, LS_current!$B$4:$AY$138, LS_current!P$148, FALSE), VLOOKUP($A39, LS_current!$B$4:$AY$138,LS_current!AN$148, FALSE))/2)</f>
        <v>141.06221179975</v>
      </c>
      <c r="CL39" s="180">
        <f t="array" ref="CL39">IF($BT39=0, INDEX(LS_current!$D$4:$AY$138, MATCH('Staging Table'!$A39, LS_current!$B$4:$B$138, 0), MATCH(CL$4&amp;CL$5, LS_current!$D$2:$AY$2&amp;LS_current!$D$3:$AY$3, 0)),SUM(VLOOKUP($A39, LS_current!$B$4:$AY$138, LS_current!Q$148, FALSE), VLOOKUP($A39, LS_current!$B$4:$AY$138,LS_current!AO$148, FALSE))/2)</f>
        <v>62.092961075575204</v>
      </c>
      <c r="CM39" s="180">
        <f t="array" ref="CM39">IF($BT39=0, INDEX(LS_current!$D$4:$AY$138, MATCH('Staging Table'!$A39, LS_current!$B$4:$B$138, 0), MATCH(CM$4&amp;CM$5, LS_current!$D$2:$AY$2&amp;LS_current!$D$3:$AY$3, 0)),SUM(VLOOKUP($A39, LS_current!$B$4:$AY$138, LS_current!R$148, FALSE), VLOOKUP($A39, LS_current!$B$4:$AY$138,LS_current!AP$148, FALSE))/2)</f>
        <v>-1024.9599302768006</v>
      </c>
      <c r="CN39" s="180">
        <f t="array" ref="CN39">IF($BT39=0, INDEX(LS_current!$D$4:$AY$138, MATCH('Staging Table'!$A39, LS_current!$B$4:$B$138, 0), MATCH(CN$4&amp;CN$5, LS_current!$D$2:$AY$2&amp;LS_current!$D$3:$AY$3, 0)),SUM(VLOOKUP($A39, LS_current!$B$4:$AY$138, LS_current!S$148, FALSE), VLOOKUP($A39, LS_current!$B$4:$AY$138,LS_current!AQ$148, FALSE))/2)</f>
        <v>-648.59516063735009</v>
      </c>
      <c r="CO39" s="180">
        <f t="array" ref="CO39">IF($BT39=0, INDEX(LS_current!$D$4:$AY$138, MATCH('Staging Table'!$A39, LS_current!$B$4:$B$138, 0), MATCH(CO$4&amp;CO$5, LS_current!$D$2:$AY$2&amp;LS_current!$D$3:$AY$3, 0)),SUM(VLOOKUP($A39, LS_current!$B$4:$AY$138, LS_current!T$148, FALSE), VLOOKUP($A39, LS_current!$B$4:$AY$138,LS_current!AR$148, FALSE))/2)</f>
        <v>-1035.8451381465998</v>
      </c>
      <c r="CP39" s="180">
        <f t="array" ref="CP39">IF($BT39=0, INDEX(LS_current!$D$4:$AY$138, MATCH('Staging Table'!$A39, LS_current!$B$4:$B$138, 0), MATCH(CP$4&amp;CP$5, LS_current!$D$2:$AY$2&amp;LS_current!$D$3:$AY$3, 0)),SUM(VLOOKUP($A39, LS_current!$B$4:$AY$138, LS_current!U$148, FALSE), VLOOKUP($A39, LS_current!$B$4:$AY$138,LS_current!AS$148, FALSE))/2)</f>
        <v>-626.81772221095025</v>
      </c>
      <c r="CQ39" s="180">
        <f t="array" ref="CQ39">IF($BT39=0, INDEX(LS_current!$D$4:$AY$138, MATCH('Staging Table'!$A39, LS_current!$B$4:$B$138, 0), MATCH(CQ$4&amp;CQ$5, LS_current!$D$2:$AY$2&amp;LS_current!$D$3:$AY$3, 0)),SUM(VLOOKUP($A39, LS_current!$B$4:$AY$138, LS_current!V$148, FALSE), VLOOKUP($A39, LS_current!$B$4:$AY$138,LS_current!AT$148, FALSE))/2)</f>
        <v>-109.90332933240006</v>
      </c>
      <c r="CR39" s="180">
        <f t="array" ref="CR39">IF($BT39=0, INDEX(LS_current!$D$4:$AY$138, MATCH('Staging Table'!$A39, LS_current!$B$4:$B$138, 0), MATCH(CR$4&amp;CR$5, LS_current!$D$2:$AY$2&amp;LS_current!$D$3:$AY$3, 0)),SUM(VLOOKUP($A39, LS_current!$B$4:$AY$138, LS_current!W$148, FALSE), VLOOKUP($A39, LS_current!$B$4:$AY$138,LS_current!AU$148, FALSE))/2)</f>
        <v>34.517287164750087</v>
      </c>
      <c r="CS39" s="180">
        <f t="array" ref="CS39">IF($BT39=0, INDEX(LS_current!$D$4:$AY$138, MATCH('Staging Table'!$A39, LS_current!$B$4:$B$138, 0), MATCH(CS$4&amp;CS$5, LS_current!$D$2:$AY$2&amp;LS_current!$D$3:$AY$3, 0)),SUM(VLOOKUP($A39, LS_current!$B$4:$AY$138, LS_current!X$148, FALSE), VLOOKUP($A39, LS_current!$B$4:$AY$138,LS_current!AV$148, FALSE))/2)</f>
        <v>-200.82995836565033</v>
      </c>
      <c r="CT39" s="180">
        <f t="array" ref="CT39">IF($BT39=0, INDEX(LS_current!$D$4:$AY$138, MATCH('Staging Table'!$A39, LS_current!$B$4:$B$138, 0), MATCH(CT$4&amp;CT$5, LS_current!$D$2:$AY$2&amp;LS_current!$D$3:$AY$3, 0)),SUM(VLOOKUP($A39, LS_current!$B$4:$AY$138, LS_current!Y$148, FALSE), VLOOKUP($A39, LS_current!$B$4:$AY$138,LS_current!AW$148, FALSE))/2)</f>
        <v>-149.15697793613526</v>
      </c>
      <c r="CU39" s="180">
        <f t="array" ref="CU39">IF($BT39=0, INDEX(LS_current!$D$4:$AY$138, MATCH('Staging Table'!$A39, LS_current!$B$4:$B$138, 0), MATCH(CU$4&amp;CU$5, LS_current!$D$2:$AY$2&amp;LS_current!$D$3:$AY$3, 0)),SUM(VLOOKUP($A39, LS_current!$B$4:$AY$138, LS_current!Z$148, FALSE), VLOOKUP($A39, LS_current!$B$4:$AY$138,LS_current!AX$148, FALSE))/2)</f>
        <v>-249.07654627340071</v>
      </c>
      <c r="CV39" s="180">
        <f t="array" ref="CV39">IF($BT39=0, INDEX(LS_current!$D$4:$AY$138, MATCH('Staging Table'!$A39, LS_current!$B$4:$B$138, 0), MATCH(CV$4&amp;CV$5, LS_current!$D$2:$AY$2&amp;LS_current!$D$3:$AY$3, 0)),SUM(VLOOKUP($A39, LS_current!$B$4:$AY$138, LS_current!AA$148, FALSE), VLOOKUP($A39, LS_current!$B$4:$AY$138,LS_current!AY$148, FALSE))/2)</f>
        <v>-236.25042092640024</v>
      </c>
      <c r="CW39" s="182">
        <f t="array" ref="CW39">INDEX(Demand_current!$D$4:$AY$138, MATCH($A39, Demand_current!$B$4:$B$138, 0), MATCH(CW$4&amp;CW$5,Demand_current!$D$2:$AY$2&amp;Demand_current!$D$3:$AY$3, 0))/1000</f>
        <v>0.35159134615384602</v>
      </c>
      <c r="CX39" s="182">
        <f t="array" ref="CX39">INDEX(Demand_current!$D$4:$AY$138, MATCH($A39, Demand_current!$B$4:$B$138, 0), MATCH(CX$4&amp;CX$5,Demand_current!$D$2:$AY$2&amp;Demand_current!$D$3:$AY$3, 0))/1000</f>
        <v>0.79239499999999818</v>
      </c>
      <c r="CY39" s="182">
        <f t="array" ref="CY39">INDEX(Demand_current!$D$4:$AY$138, MATCH($A39, Demand_current!$B$4:$B$138, 0), MATCH(CY$4&amp;CY$5,Demand_current!$D$2:$AY$2&amp;Demand_current!$D$3:$AY$3, 0))/1000</f>
        <v>1.3335574999999995</v>
      </c>
      <c r="CZ39" s="182">
        <f t="array" ref="CZ39">INDEX(Demand_current!$D$4:$AY$138, MATCH($A39, Demand_current!$B$4:$B$138, 0), MATCH(CZ$4&amp;CZ$5,Demand_current!$D$2:$AY$2&amp;Demand_current!$D$3:$AY$3, 0))/1000</f>
        <v>1.7679879807692296</v>
      </c>
      <c r="DA39" s="182">
        <f t="array" ref="DA39">INDEX(Demand_current!$D$4:$AY$138, MATCH($A39, Demand_current!$B$4:$B$138, 0), MATCH(DA$4&amp;DA$5,Demand_current!$D$2:$AY$2&amp;Demand_current!$D$3:$AY$3, 0))/1000</f>
        <v>0.69100249999999974</v>
      </c>
      <c r="DB39" s="182">
        <f t="array" ref="DB39">INDEX(Demand_current!$D$4:$AY$138, MATCH($A39, Demand_current!$B$4:$B$138, 0), MATCH(DB$4&amp;DB$5,Demand_current!$D$2:$AY$2&amp;Demand_current!$D$3:$AY$3, 0))/1000</f>
        <v>0</v>
      </c>
      <c r="DC39" s="182">
        <f t="array" ref="DC39">INDEX(Demand_current!$D$4:$AY$138, MATCH($A39, Demand_current!$B$4:$B$138, 0), MATCH(DC$4&amp;DC$5,Demand_current!$D$2:$AY$2&amp;Demand_current!$D$3:$AY$3, 0))/1000</f>
        <v>0.78615865384615313</v>
      </c>
      <c r="DD39" s="182">
        <f t="array" ref="DD39">INDEX(Demand_current!$D$4:$AY$138, MATCH($A39, Demand_current!$B$4:$B$138, 0), MATCH(DD$4&amp;DD$5,Demand_current!$D$2:$AY$2&amp;Demand_current!$D$3:$AY$3, 0))/1000</f>
        <v>1.0983197115384622</v>
      </c>
      <c r="DE39" s="182">
        <f t="array" ref="DE39">INDEX(Demand_current!$D$4:$AY$138, MATCH($A39, Demand_current!$B$4:$B$138, 0), MATCH(DE$4&amp;DE$5,Demand_current!$D$2:$AY$2&amp;Demand_current!$D$3:$AY$3, 0))/1000</f>
        <v>0.4825974999999989</v>
      </c>
      <c r="DF39" s="182">
        <f t="array" ref="DF39">INDEX(Demand_current!$D$4:$AY$138, MATCH($A39, Demand_current!$B$4:$B$138, 0), MATCH(DF$4&amp;DF$5,Demand_current!$D$2:$AY$2&amp;Demand_current!$D$3:$AY$3, 0))/1000</f>
        <v>1.0948052884615374</v>
      </c>
      <c r="DG39" s="182">
        <f t="array" ref="DG39">INDEX(Demand_current!$D$4:$AY$138, MATCH($A39, Demand_current!$B$4:$B$138, 0), MATCH(DG$4&amp;DG$5,Demand_current!$D$2:$AY$2&amp;Demand_current!$D$3:$AY$3, 0))/1000</f>
        <v>1.0910902777777778</v>
      </c>
      <c r="DH39" s="182">
        <f t="array" ref="DH39">INDEX(Demand_current!$D$4:$AY$138, MATCH($A39, Demand_current!$B$4:$B$138, 0), MATCH(DH$4&amp;DH$5,Demand_current!$D$2:$AY$2&amp;Demand_current!$D$3:$AY$3, 0))/1000</f>
        <v>0.24730468750000045</v>
      </c>
      <c r="DI39" s="180">
        <f>$BS39*(VLOOKUP(DI$4, Rates_current!$G$6:$Q$29, 10, FALSE)+VLOOKUP(DI$4, Rates_current!$G$6:$Q$29, 11, FALSE))</f>
        <v>5396.2718913346498</v>
      </c>
      <c r="DJ39" s="180">
        <f>$BS39*(VLOOKUP(DJ$4, Rates_current!$G$6:$Q$29, 10, FALSE)+VLOOKUP(DJ$4, Rates_current!$G$6:$Q$29, 11, FALSE))</f>
        <v>6882.0260981569008</v>
      </c>
      <c r="DK39" s="180">
        <f>$BS39*(VLOOKUP(DK$4, Rates_current!$G$6:$Q$29, 10, FALSE)+VLOOKUP(DK$4, Rates_current!$G$6:$Q$29, 11, FALSE))</f>
        <v>7427.0678453085011</v>
      </c>
      <c r="DL39" s="180">
        <f>$BS39*(VLOOKUP(DL$4, Rates_current!$G$6:$Q$29, 10, FALSE)+VLOOKUP(DL$4, Rates_current!$G$6:$Q$29, 11, FALSE))</f>
        <v>7717.8716255504005</v>
      </c>
      <c r="DM39" s="180">
        <f>$BS39*(VLOOKUP(DM$4, Rates_current!$G$6:$Q$29, 10, FALSE)+VLOOKUP(DM$4, Rates_current!$G$6:$Q$29, 11, FALSE))</f>
        <v>6638.3983245857999</v>
      </c>
      <c r="DN39" s="180">
        <f>$BS39*(VLOOKUP(DN$4, Rates_current!$G$6:$Q$29, 10, FALSE)+VLOOKUP(DN$4, Rates_current!$G$6:$Q$29, 11, FALSE))</f>
        <v>7247.8166336780996</v>
      </c>
      <c r="DO39" s="180">
        <f>$BS39*(VLOOKUP(DO$4, Rates_current!$G$6:$Q$29, 10, FALSE)+VLOOKUP(DO$4, Rates_current!$G$6:$Q$29, 11, FALSE))</f>
        <v>5720.9298271246744</v>
      </c>
      <c r="DP39" s="180">
        <f>$BS39*(VLOOKUP(DP$4, Rates_current!$G$6:$Q$29, 10, FALSE)+VLOOKUP(DP$4, Rates_current!$G$6:$Q$29, 11, FALSE))</f>
        <v>7097.5800909141499</v>
      </c>
      <c r="DQ39" s="180">
        <f>$BS39*(VLOOKUP(DQ$4, Rates_current!$G$6:$Q$29, 10, FALSE)+VLOOKUP(DQ$4, Rates_current!$G$6:$Q$29, 11, FALSE))</f>
        <v>7251.5798603575495</v>
      </c>
      <c r="DR39" s="180">
        <f>$BS39*(VLOOKUP(DR$4, Rates_current!$G$6:$Q$29, 10, FALSE)+VLOOKUP(DR$4, Rates_current!$G$6:$Q$29, 11, FALSE))</f>
        <v>6295.4160421676497</v>
      </c>
      <c r="DS39" s="180">
        <f>$BS39*(VLOOKUP(DS$4, Rates_current!$G$6:$Q$29, 10, FALSE)+VLOOKUP(DS$4, Rates_current!$G$6:$Q$29, 11, FALSE))</f>
        <v>6085.9939363017857</v>
      </c>
      <c r="DT39" s="180">
        <f>$BS39*(VLOOKUP(DT$4, Rates_current!$G$6:$Q$29, 10, FALSE)+VLOOKUP(DT$4, Rates_current!$G$6:$Q$29, 11, FALSE))</f>
        <v>5600.2929671998008</v>
      </c>
      <c r="DU39" s="402">
        <f>IF(D39=0,IF(C39=0,MAX(0,DW39 - (VLOOKUP($A39,TOCA_current!$A$2:$AI$137,MATCH("RHWM 2024",TOCA_current!$A$2:$AI$2,0),FALSE)*$BS$2)), 0),0)</f>
        <v>0</v>
      </c>
      <c r="DV39" s="403">
        <f>MIN(VLOOKUP($A39,TOCA_current!$A$2:$AI$137,MATCH("TRL - NLSL - Existing Resource "&amp;$BS$1,TOCA_current!$A$2:$AI$2,0),FALSE)*$BS$2, VLOOKUP($A39,TOCA_current!$A$2:$AI$137,MATCH("RHWM 2024",TOCA_current!$A$2:$AI$2,0),FALSE)*$BS$2)</f>
        <v>79363.44</v>
      </c>
      <c r="DW39" s="403">
        <f>SUM(BY39:CV39)+(BS39*RT1SC!$C$4*$BS$2)</f>
        <v>79363.756363776047</v>
      </c>
      <c r="DX39" s="403">
        <f>VLOOKUP($A39,TOCA_current!$A$2:$AI$137,MATCH("Above RHWM Not Served with LS "&amp;$BS$1,TOCA_current!$A$2:$AI$2,0),FALSE)*$BS$2</f>
        <v>0</v>
      </c>
      <c r="DY39" s="403">
        <f t="shared" si="13"/>
        <v>0.31636377604445443</v>
      </c>
      <c r="DZ39" s="403">
        <f>(VLOOKUP($A39,TOCA_current!$A$2:$AI$137,MATCH("RHWM 2024",TOCA_current!$A$2:$AI$2,0),FALSE)*$BS$2) - $DV39</f>
        <v>3399.4079999999958</v>
      </c>
      <c r="EA39" s="403">
        <f t="shared" si="14"/>
        <v>-0.31636377604445443</v>
      </c>
      <c r="EB39" s="403">
        <f t="shared" si="15"/>
        <v>0</v>
      </c>
      <c r="EC39" s="403">
        <f t="shared" si="16"/>
        <v>0</v>
      </c>
      <c r="ED39" s="403">
        <f t="shared" si="17"/>
        <v>-0.31636377604445443</v>
      </c>
    </row>
    <row r="40" spans="1:134">
      <c r="A40" s="123">
        <v>10094</v>
      </c>
      <c r="B40" s="124" t="s">
        <v>41</v>
      </c>
      <c r="C40" s="232">
        <f>VLOOKUP(A40, TOCA_current!$A$3:$D$137, 4, FALSE)</f>
        <v>0</v>
      </c>
      <c r="D40" s="191">
        <v>0</v>
      </c>
      <c r="E40" s="107">
        <f>VLOOKUP($A40,TOCA_previous!$A$2:$AI$137,MATCH(E$4,TOCA_previous!$A$2:$AI$2,0),FALSE)</f>
        <v>4.3009999999999999E-4</v>
      </c>
      <c r="F40" s="108">
        <f>VLOOKUP($A40,TOCA_previous!$A$2:$AI$137,MATCH(F$4,TOCA_previous!$A$2:$AI$2,0),FALSE)</f>
        <v>4.3009999999999999E-4</v>
      </c>
      <c r="G40" s="108">
        <f t="shared" si="5"/>
        <v>0</v>
      </c>
      <c r="H40" s="108">
        <f>VLOOKUP($A40,TOCA_previous!$A$2:$AI$137,MATCH(H$4,TOCA_previous!$A$2:$AI$2,0),FALSE)</f>
        <v>0</v>
      </c>
      <c r="I40" s="108">
        <f t="shared" si="6"/>
        <v>0</v>
      </c>
      <c r="J40" s="108">
        <f t="shared" si="7"/>
        <v>0</v>
      </c>
      <c r="K40" s="179">
        <f>VLOOKUP(A40, IRD!$A$5:$C$139, 3, FALSE)</f>
        <v>0</v>
      </c>
      <c r="L40" s="180">
        <f t="array" ref="L40">IF($G40=0, INDEX(LS_previous!$D$4:$AY$138, MATCH('Staging Table'!$A40, LS_previous!$B$4:$B$138, 0), MATCH(L$4&amp;L$5, LS_previous!$D$2:$AY$2&amp;LS_previous!$D$3:$AY$3, 0)),SUM(VLOOKUP($A40, LS_previous!$B$4:$AY$138, LS_previous!D$149, FALSE), VLOOKUP('Staging Table'!$A40, LS_previous!$B$4:$AY$138,LS_previous!AB$149, FALSE))/2)</f>
        <v>90.009107223281489</v>
      </c>
      <c r="M40" s="180">
        <f t="array" ref="M40">IF($G40=0, INDEX(LS_previous!$D$4:$AY$138, MATCH('Staging Table'!$A40, LS_previous!$B$4:$B$138, 0), MATCH(M$4&amp;M$5, LS_previous!$D$2:$AY$2&amp;LS_previous!$D$3:$AY$3, 0)),SUM(VLOOKUP($A40, LS_previous!$B$4:$AY$138, LS_previous!E$149, FALSE), VLOOKUP('Staging Table'!$A40, LS_previous!$B$4:$AY$138,LS_previous!AC$149, FALSE))/2)</f>
        <v>85.365999406552191</v>
      </c>
      <c r="N40" s="180">
        <f t="array" ref="N40">IF($G40=0, INDEX(LS_previous!$D$4:$AY$138, MATCH('Staging Table'!$A40, LS_previous!$B$4:$B$138, 0), MATCH(N$4&amp;N$5, LS_previous!$D$2:$AY$2&amp;LS_previous!$D$3:$AY$3, 0)),SUM(VLOOKUP($A40, LS_previous!$B$4:$AY$138, LS_previous!F$149, FALSE), VLOOKUP('Staging Table'!$A40, LS_previous!$B$4:$AY$138,LS_previous!AD$149, FALSE))/2)</f>
        <v>-107.43621785592063</v>
      </c>
      <c r="O40" s="180">
        <f t="array" ref="O40">IF($G40=0, INDEX(LS_previous!$D$4:$AY$138, MATCH('Staging Table'!$A40, LS_previous!$B$4:$B$138, 0), MATCH(O$4&amp;O$5, LS_previous!$D$2:$AY$2&amp;LS_previous!$D$3:$AY$3, 0)),SUM(VLOOKUP($A40, LS_previous!$B$4:$AY$138, LS_previous!G$149, FALSE), VLOOKUP('Staging Table'!$A40, LS_previous!$B$4:$AY$138,LS_previous!AE$149, FALSE))/2)</f>
        <v>-18.571769192972056</v>
      </c>
      <c r="P40" s="180">
        <f t="array" ref="P40">IF($G40=0, INDEX(LS_previous!$D$4:$AY$138, MATCH('Staging Table'!$A40, LS_previous!$B$4:$B$138, 0), MATCH(P$4&amp;P$5, LS_previous!$D$2:$AY$2&amp;LS_previous!$D$3:$AY$3, 0)),SUM(VLOOKUP($A40, LS_previous!$B$4:$AY$138, LS_previous!H$149, FALSE), VLOOKUP('Staging Table'!$A40, LS_previous!$B$4:$AY$138,LS_previous!AF$149, FALSE))/2)</f>
        <v>278.92233638467724</v>
      </c>
      <c r="Q40" s="180">
        <f t="array" ref="Q40">IF($G40=0, INDEX(LS_previous!$D$4:$AY$138, MATCH('Staging Table'!$A40, LS_previous!$B$4:$B$138, 0), MATCH(Q$4&amp;Q$5, LS_previous!$D$2:$AY$2&amp;LS_previous!$D$3:$AY$3, 0)),SUM(VLOOKUP($A40, LS_previous!$B$4:$AY$138, LS_previous!I$149, FALSE), VLOOKUP('Staging Table'!$A40, LS_previous!$B$4:$AY$138,LS_previous!AG$149, FALSE))/2)</f>
        <v>60.164054329230339</v>
      </c>
      <c r="R40" s="180">
        <f t="array" ref="R40">IF($G40=0, INDEX(LS_previous!$D$4:$AY$138, MATCH('Staging Table'!$A40, LS_previous!$B$4:$B$138, 0), MATCH(R$4&amp;R$5, LS_previous!$D$2:$AY$2&amp;LS_previous!$D$3:$AY$3, 0)),SUM(VLOOKUP($A40, LS_previous!$B$4:$AY$138, LS_previous!J$149, FALSE), VLOOKUP('Staging Table'!$A40, LS_previous!$B$4:$AY$138,LS_previous!AH$149, FALSE))/2)</f>
        <v>528.94656019040485</v>
      </c>
      <c r="S40" s="180">
        <f t="array" ref="S40">IF($G40=0, INDEX(LS_previous!$D$4:$AY$138, MATCH('Staging Table'!$A40, LS_previous!$B$4:$B$138, 0), MATCH(S$4&amp;S$5, LS_previous!$D$2:$AY$2&amp;LS_previous!$D$3:$AY$3, 0)),SUM(VLOOKUP($A40, LS_previous!$B$4:$AY$138, LS_previous!K$149, FALSE), VLOOKUP('Staging Table'!$A40, LS_previous!$B$4:$AY$138,LS_previous!AI$149, FALSE))/2)</f>
        <v>247.78703243753444</v>
      </c>
      <c r="T40" s="180">
        <f t="array" ref="T40">IF($G40=0, INDEX(LS_previous!$D$4:$AY$138, MATCH('Staging Table'!$A40, LS_previous!$B$4:$B$138, 0), MATCH(T$4&amp;T$5, LS_previous!$D$2:$AY$2&amp;LS_previous!$D$3:$AY$3, 0)),SUM(VLOOKUP($A40, LS_previous!$B$4:$AY$138, LS_previous!L$149, FALSE), VLOOKUP('Staging Table'!$A40, LS_previous!$B$4:$AY$138,LS_previous!AJ$149, FALSE))/2)</f>
        <v>480.44357867274402</v>
      </c>
      <c r="U40" s="180">
        <f t="array" ref="U40">IF($G40=0, INDEX(LS_previous!$D$4:$AY$138, MATCH('Staging Table'!$A40, LS_previous!$B$4:$B$138, 0), MATCH(U$4&amp;U$5, LS_previous!$D$2:$AY$2&amp;LS_previous!$D$3:$AY$3, 0)),SUM(VLOOKUP($A40, LS_previous!$B$4:$AY$138, LS_previous!M$149, FALSE), VLOOKUP('Staging Table'!$A40, LS_previous!$B$4:$AY$138,LS_previous!AK$149, FALSE))/2)</f>
        <v>208.29490678957211</v>
      </c>
      <c r="V40" s="180">
        <f t="array" ref="V40">IF($G40=0, INDEX(LS_previous!$D$4:$AY$138, MATCH('Staging Table'!$A40, LS_previous!$B$4:$B$138, 0), MATCH(V$4&amp;V$5, LS_previous!$D$2:$AY$2&amp;LS_previous!$D$3:$AY$3, 0)),SUM(VLOOKUP($A40, LS_previous!$B$4:$AY$138, LS_previous!N$149, FALSE), VLOOKUP('Staging Table'!$A40, LS_previous!$B$4:$AY$138,LS_previous!AL$149, FALSE))/2)</f>
        <v>212.15293801092389</v>
      </c>
      <c r="W40" s="180">
        <f t="array" ref="W40">IF($G40=0, INDEX(LS_previous!$D$4:$AY$138, MATCH('Staging Table'!$A40, LS_previous!$B$4:$B$138, 0), MATCH(W$4&amp;W$5, LS_previous!$D$2:$AY$2&amp;LS_previous!$D$3:$AY$3, 0)),SUM(VLOOKUP($A40, LS_previous!$B$4:$AY$138, LS_previous!O$149, FALSE), VLOOKUP('Staging Table'!$A40, LS_previous!$B$4:$AY$138,LS_previous!AM$149, FALSE))/2)</f>
        <v>114.52211563857963</v>
      </c>
      <c r="X40" s="180">
        <f t="array" ref="X40">IF($G40=0, INDEX(LS_previous!$D$4:$AY$138, MATCH('Staging Table'!$A40, LS_previous!$B$4:$B$138, 0), MATCH(X$4&amp;X$5, LS_previous!$D$2:$AY$2&amp;LS_previous!$D$3:$AY$3, 0)),SUM(VLOOKUP($A40, LS_previous!$B$4:$AY$138, LS_previous!P$149, FALSE), VLOOKUP('Staging Table'!$A40, LS_previous!$B$4:$AY$138,LS_previous!AN$149, FALSE))/2)</f>
        <v>359.24440665680379</v>
      </c>
      <c r="Y40" s="180">
        <f t="array" ref="Y40">IF($G40=0, INDEX(LS_previous!$D$4:$AY$138, MATCH('Staging Table'!$A40, LS_previous!$B$4:$B$138, 0), MATCH(Y$4&amp;Y$5, LS_previous!$D$2:$AY$2&amp;LS_previous!$D$3:$AY$3, 0)),SUM(VLOOKUP($A40, LS_previous!$B$4:$AY$138, LS_previous!Q$149, FALSE), VLOOKUP('Staging Table'!$A40, LS_previous!$B$4:$AY$138,LS_previous!AO$149, FALSE))/2)</f>
        <v>210.60755984511775</v>
      </c>
      <c r="Z40" s="180">
        <f t="array" ref="Z40">IF($G40=0, INDEX(LS_previous!$D$4:$AY$138, MATCH('Staging Table'!$A40, LS_previous!$B$4:$B$138, 0), MATCH(Z$4&amp;Z$5, LS_previous!$D$2:$AY$2&amp;LS_previous!$D$3:$AY$3, 0)),SUM(VLOOKUP($A40, LS_previous!$B$4:$AY$138, LS_previous!R$149, FALSE), VLOOKUP('Staging Table'!$A40, LS_previous!$B$4:$AY$138,LS_previous!AP$149, FALSE))/2)</f>
        <v>-311.40273084309774</v>
      </c>
      <c r="AA40" s="180">
        <f t="array" ref="AA40">IF($G40=0, INDEX(LS_previous!$D$4:$AY$138, MATCH('Staging Table'!$A40, LS_previous!$B$4:$B$138, 0), MATCH(AA$4&amp;AA$5, LS_previous!$D$2:$AY$2&amp;LS_previous!$D$3:$AY$3, 0)),SUM(VLOOKUP($A40, LS_previous!$B$4:$AY$138, LS_previous!S$149, FALSE), VLOOKUP('Staging Table'!$A40, LS_previous!$B$4:$AY$138,LS_previous!AQ$149, FALSE))/2)</f>
        <v>46.606874104178473</v>
      </c>
      <c r="AB40" s="180">
        <f t="array" ref="AB40">IF($G40=0, INDEX(LS_previous!$D$4:$AY$138, MATCH('Staging Table'!$A40, LS_previous!$B$4:$B$138, 0), MATCH(AB$4&amp;AB$5, LS_previous!$D$2:$AY$2&amp;LS_previous!$D$3:$AY$3, 0)),SUM(VLOOKUP($A40, LS_previous!$B$4:$AY$138, LS_previous!T$149, FALSE), VLOOKUP('Staging Table'!$A40, LS_previous!$B$4:$AY$138,LS_previous!AR$149, FALSE))/2)</f>
        <v>-572.95844584732208</v>
      </c>
      <c r="AC40" s="180">
        <f t="array" ref="AC40">IF($G40=0, INDEX(LS_previous!$D$4:$AY$138, MATCH('Staging Table'!$A40, LS_previous!$B$4:$B$138, 0), MATCH(AC$4&amp;AC$5, LS_previous!$D$2:$AY$2&amp;LS_previous!$D$3:$AY$3, 0)),SUM(VLOOKUP($A40, LS_previous!$B$4:$AY$138, LS_previous!U$149, FALSE), VLOOKUP('Staging Table'!$A40, LS_previous!$B$4:$AY$138,LS_previous!AS$149, FALSE))/2)</f>
        <v>-49.228731635184204</v>
      </c>
      <c r="AD40" s="180">
        <f t="array" ref="AD40">IF($G40=0, INDEX(LS_previous!$D$4:$AY$138, MATCH('Staging Table'!$A40, LS_previous!$B$4:$B$138, 0), MATCH(AD$4&amp;AD$5, LS_previous!$D$2:$AY$2&amp;LS_previous!$D$3:$AY$3, 0)),SUM(VLOOKUP($A40, LS_previous!$B$4:$AY$138, LS_previous!V$149, FALSE), VLOOKUP('Staging Table'!$A40, LS_previous!$B$4:$AY$138,LS_previous!AT$149, FALSE))/2)</f>
        <v>-301.07043726648317</v>
      </c>
      <c r="AE40" s="180">
        <f t="array" ref="AE40">IF($G40=0, INDEX(LS_previous!$D$4:$AY$138, MATCH('Staging Table'!$A40, LS_previous!$B$4:$B$138, 0), MATCH(AE$4&amp;AE$5, LS_previous!$D$2:$AY$2&amp;LS_previous!$D$3:$AY$3, 0)),SUM(VLOOKUP($A40, LS_previous!$B$4:$AY$138, LS_previous!W$149, FALSE), VLOOKUP('Staging Table'!$A40, LS_previous!$B$4:$AY$138,LS_previous!AU$149, FALSE))/2)</f>
        <v>-24.113230838401478</v>
      </c>
      <c r="AF40" s="180">
        <f t="array" ref="AF40">IF($G40=0, INDEX(LS_previous!$D$4:$AY$138, MATCH('Staging Table'!$A40, LS_previous!$B$4:$B$138, 0), MATCH(AF$4&amp;AF$5, LS_previous!$D$2:$AY$2&amp;LS_previous!$D$3:$AY$3, 0)),SUM(VLOOKUP($A40, LS_previous!$B$4:$AY$138, LS_previous!X$149, FALSE), VLOOKUP('Staging Table'!$A40, LS_previous!$B$4:$AY$138,LS_previous!AV$149, FALSE))/2)</f>
        <v>-193.03596200400443</v>
      </c>
      <c r="AG40" s="180">
        <f t="array" ref="AG40">IF($G40=0, INDEX(LS_previous!$D$4:$AY$138, MATCH('Staging Table'!$A40, LS_previous!$B$4:$B$138, 0), MATCH(AG$4&amp;AG$5, LS_previous!$D$2:$AY$2&amp;LS_previous!$D$3:$AY$3, 0)),SUM(VLOOKUP($A40, LS_previous!$B$4:$AY$138, LS_previous!Y$149, FALSE), VLOOKUP('Staging Table'!$A40, LS_previous!$B$4:$AY$138,LS_previous!AW$149, FALSE))/2)</f>
        <v>-6.3959596708755271</v>
      </c>
      <c r="AH40" s="180">
        <f t="array" ref="AH40">IF($G40=0, INDEX(LS_previous!$D$4:$AY$138, MATCH('Staging Table'!$A40, LS_previous!$B$4:$B$138, 0), MATCH(AH$4&amp;AH$5, LS_previous!$D$2:$AY$2&amp;LS_previous!$D$3:$AY$3, 0)),SUM(VLOOKUP($A40, LS_previous!$B$4:$AY$138, LS_previous!Z$149, FALSE), VLOOKUP('Staging Table'!$A40, LS_previous!$B$4:$AY$138,LS_previous!AX$149, FALSE))/2)</f>
        <v>-92.781515824992994</v>
      </c>
      <c r="AI40" s="180">
        <f t="array" ref="AI40">IF($G40=0, INDEX(LS_previous!$D$4:$AY$138, MATCH('Staging Table'!$A40, LS_previous!$B$4:$B$138, 0), MATCH(AI$4&amp;AI$5, LS_previous!$D$2:$AY$2&amp;LS_previous!$D$3:$AY$3, 0)),SUM(VLOOKUP($A40, LS_previous!$B$4:$AY$138, LS_previous!AA$149, FALSE), VLOOKUP('Staging Table'!$A40, LS_previous!$B$4:$AY$138,LS_previous!AY$149, FALSE))/2)</f>
        <v>13.741697923794163</v>
      </c>
      <c r="AJ40" s="298">
        <f t="array" ref="AJ40">INDEX(Demand_previous!$D$4:$AY$138, MATCH('Staging Table'!$A40, Demand_previous!$B$4:$B$138, 0), MATCH(AJ$4&amp;AJ$5,Demand_previous!$D$2:$AY$2&amp;Demand_previous!$D$3:$AY$3, 0))/1000</f>
        <v>0.46522836538461554</v>
      </c>
      <c r="AK40" s="298">
        <f t="array" ref="AK40">INDEX(Demand_previous!$D$4:$AY$138, MATCH('Staging Table'!$A40, Demand_previous!$B$4:$B$138, 0), MATCH(AK$4&amp;AK$5,Demand_previous!$D$2:$AY$2&amp;Demand_previous!$D$3:$AY$3, 0))/1000</f>
        <v>0.25591500000000067</v>
      </c>
      <c r="AL40" s="298">
        <f t="array" ref="AL40">INDEX(Demand_previous!$D$4:$AY$138, MATCH('Staging Table'!$A40, Demand_previous!$B$4:$B$138, 0), MATCH(AL$4&amp;AL$5,Demand_previous!$D$2:$AY$2&amp;Demand_previous!$D$3:$AY$3, 0))/1000</f>
        <v>0.48054326923076862</v>
      </c>
      <c r="AM40" s="298">
        <f t="array" ref="AM40">INDEX(Demand_previous!$D$4:$AY$138, MATCH('Staging Table'!$A40, Demand_previous!$B$4:$B$138, 0), MATCH(AM$4&amp;AM$5,Demand_previous!$D$2:$AY$2&amp;Demand_previous!$D$3:$AY$3, 0))/1000</f>
        <v>0.47352249999999957</v>
      </c>
      <c r="AN40" s="298">
        <f t="array" ref="AN40">INDEX(Demand_previous!$D$4:$AY$138, MATCH('Staging Table'!$A40, Demand_previous!$B$4:$B$138, 0), MATCH(AN$4&amp;AN$5,Demand_previous!$D$2:$AY$2&amp;Demand_previous!$D$3:$AY$3, 0))/1000</f>
        <v>0.32320052083333239</v>
      </c>
      <c r="AO40" s="298">
        <f t="array" ref="AO40">INDEX(Demand_previous!$D$4:$AY$138, MATCH('Staging Table'!$A40, Demand_previous!$B$4:$B$138, 0), MATCH(AO$4&amp;AO$5,Demand_previous!$D$2:$AY$2&amp;Demand_previous!$D$3:$AY$3, 0))/1000</f>
        <v>0.62218518518518562</v>
      </c>
      <c r="AP40" s="298">
        <f t="array" ref="AP40">INDEX(Demand_previous!$D$4:$AY$138, MATCH('Staging Table'!$A40, Demand_previous!$B$4:$B$138, 0), MATCH(AP$4&amp;AP$5,Demand_previous!$D$2:$AY$2&amp;Demand_previous!$D$3:$AY$3, 0))/1000</f>
        <v>0.57091346153846212</v>
      </c>
      <c r="AQ40" s="298">
        <f t="array" ref="AQ40">INDEX(Demand_previous!$D$4:$AY$138, MATCH('Staging Table'!$A40, Demand_previous!$B$4:$B$138, 0), MATCH(AQ$4&amp;AQ$5,Demand_previous!$D$2:$AY$2&amp;Demand_previous!$D$3:$AY$3, 0))/1000</f>
        <v>0.39024499999999979</v>
      </c>
      <c r="AR40" s="298">
        <f t="array" ref="AR40">INDEX(Demand_previous!$D$4:$AY$138, MATCH('Staging Table'!$A40, Demand_previous!$B$4:$B$138, 0), MATCH(AR$4&amp;AR$5,Demand_previous!$D$2:$AY$2&amp;Demand_previous!$D$3:$AY$3, 0))/1000</f>
        <v>0.46929326923076897</v>
      </c>
      <c r="AS40" s="298">
        <f t="array" ref="AS40">INDEX(Demand_previous!$D$4:$AY$138, MATCH('Staging Table'!$A40, Demand_previous!$B$4:$B$138, 0), MATCH(AS$4&amp;AS$5,Demand_previous!$D$2:$AY$2&amp;Demand_previous!$D$3:$AY$3, 0))/1000</f>
        <v>0.49755999999999945</v>
      </c>
      <c r="AT40" s="298">
        <f t="array" ref="AT40">INDEX(Demand_previous!$D$4:$AY$138, MATCH('Staging Table'!$A40, Demand_previous!$B$4:$B$138, 0), MATCH(AT$4&amp;AT$5,Demand_previous!$D$2:$AY$2&amp;Demand_previous!$D$3:$AY$3, 0))/1000</f>
        <v>0.54585185185185225</v>
      </c>
      <c r="AU40" s="298">
        <f t="array" ref="AU40">INDEX(Demand_previous!$D$4:$AY$138, MATCH('Staging Table'!$A40, Demand_previous!$B$4:$B$138, 0), MATCH(AU$4&amp;AU$5,Demand_previous!$D$2:$AY$2&amp;Demand_previous!$D$3:$AY$3, 0))/1000</f>
        <v>0.45854249999999996</v>
      </c>
      <c r="AV40" s="180">
        <f>$F40*(VLOOKUP(AV$4, Rates_previous!$G$6:$Q$29, 10, FALSE)+VLOOKUP(AV$4, Rates_previous!$G$6:$Q$29, 11, FALSE))</f>
        <v>1958.6428933701661</v>
      </c>
      <c r="AW40" s="180">
        <f>$F40*(VLOOKUP(AW$4, Rates_previous!$G$6:$Q$29, 10, FALSE)+VLOOKUP(AW$4, Rates_previous!$G$6:$Q$29, 11, FALSE))</f>
        <v>2479.712987048893</v>
      </c>
      <c r="AX40" s="180">
        <f>$F40*(VLOOKUP(AX$4, Rates_previous!$G$6:$Q$29, 10, FALSE)+VLOOKUP(AX$4, Rates_previous!$G$6:$Q$29, 11, FALSE))</f>
        <v>2427.1436092860927</v>
      </c>
      <c r="AY40" s="180">
        <f>$F40*(VLOOKUP(AY$4, Rates_previous!$G$6:$Q$29, 10, FALSE)+VLOOKUP(AY$4, Rates_previous!$G$6:$Q$29, 11, FALSE))</f>
        <v>2004.7174073720607</v>
      </c>
      <c r="AZ40" s="180">
        <f>$F40*(VLOOKUP(AZ$4, Rates_previous!$G$6:$Q$29, 10, FALSE)+VLOOKUP(AZ$4, Rates_previous!$G$6:$Q$29, 11, FALSE))</f>
        <v>1737.5325145376839</v>
      </c>
      <c r="BA40" s="180">
        <f>$F40*(VLOOKUP(BA$4, Rates_previous!$G$6:$Q$29, 10, FALSE)+VLOOKUP(BA$4, Rates_previous!$G$6:$Q$29, 11, FALSE))</f>
        <v>2074.2629463504963</v>
      </c>
      <c r="BB40" s="180">
        <f>$F40*(VLOOKUP(BB$4, Rates_previous!$G$6:$Q$29, 10, FALSE)+VLOOKUP(BB$4, Rates_previous!$G$6:$Q$29, 11, FALSE))</f>
        <v>1610.3890334980783</v>
      </c>
      <c r="BC40" s="180">
        <f>$F40*(VLOOKUP(BC$4, Rates_previous!$G$6:$Q$29, 10, FALSE)+VLOOKUP(BC$4, Rates_previous!$G$6:$Q$29, 11, FALSE))</f>
        <v>2231.2058567389195</v>
      </c>
      <c r="BD40" s="180">
        <f>$F40*(VLOOKUP(BD$4, Rates_previous!$G$6:$Q$29, 10, FALSE)+VLOOKUP(BD$4, Rates_previous!$G$6:$Q$29, 11, FALSE))</f>
        <v>2384.0901774825061</v>
      </c>
      <c r="BE40" s="180">
        <f>$F40*(VLOOKUP(BE$4, Rates_previous!$G$6:$Q$29, 10, FALSE)+VLOOKUP(BE$4, Rates_previous!$G$6:$Q$29, 11, FALSE))</f>
        <v>2263.5856681048849</v>
      </c>
      <c r="BF40" s="180">
        <f>$F40*(VLOOKUP(BF$4, Rates_previous!$G$6:$Q$29, 10, FALSE)+VLOOKUP(BF$4, Rates_previous!$G$6:$Q$29, 11, FALSE))</f>
        <v>2187.5809216748798</v>
      </c>
      <c r="BG40" s="180">
        <f>$F40*(VLOOKUP(BG$4, Rates_previous!$G$6:$Q$29, 10, FALSE)+VLOOKUP(BG$4, Rates_previous!$G$6:$Q$29, 11, FALSE))</f>
        <v>2021.552817901199</v>
      </c>
      <c r="BH40" s="298">
        <f>IF($D40=0,IF(C40=0, MAX(BJ40 - (VLOOKUP($A40,TOCA_previous!$A$2:$AI$137,MATCH("RHWM 2022",TOCA_previous!$A$2:$AI$2,0),FALSE)*$F$2*TOCA_previous!C37),0),0), 0)</f>
        <v>1262.5122983181463</v>
      </c>
      <c r="BI40" s="192">
        <f>MIN(VLOOKUP($A40,TOCA_previous!$A$2:$AI$137,MATCH("TRL - NLSL - Existing Resource "&amp;$F$1,TOCA_previous!$A$2:$AI$2,0),FALSE)*$F$2,(VLOOKUP($A40,TOCA_previous!$A$2:$AI$137,MATCH("RHWM 2022",TOCA_previous!$A$2:$AI$2,0),FALSE)*$F$2))</f>
        <v>25377.719999999998</v>
      </c>
      <c r="BJ40" s="402">
        <f>SUM(L40:AI40)+(F40*RT1SC!$C$3*$F$2)</f>
        <v>26640.232298318144</v>
      </c>
      <c r="BK40" s="401">
        <f>VLOOKUP($A40,TOCA_previous!$A$2:$AI$137,MATCH("Above RHWM Not Served with LS "&amp;$F$1,TOCA_previous!$A$2:$AI$2,0),FALSE)*$F$2</f>
        <v>0</v>
      </c>
      <c r="BL40" s="402">
        <f t="shared" si="8"/>
        <v>1262.5122983181463</v>
      </c>
      <c r="BM40" s="401">
        <f>(VLOOKUP($A40,TOCA_previous!$A$2:$AI$137,MATCH("RHWM 2022",TOCA_previous!$A$2:$AI$2,0),FALSE)*$F$2) - $BI40</f>
        <v>0</v>
      </c>
      <c r="BN40" s="402">
        <f t="shared" si="9"/>
        <v>0</v>
      </c>
      <c r="BO40" s="401">
        <f t="shared" si="10"/>
        <v>0</v>
      </c>
      <c r="BP40" s="402">
        <f t="shared" si="11"/>
        <v>0</v>
      </c>
      <c r="BQ40" s="401">
        <f t="shared" si="18"/>
        <v>0</v>
      </c>
      <c r="BR40" s="108">
        <f>VLOOKUP($A40,TOCA_current!$A$2:$AI$137,MATCH(BR$4,TOCA_current!$A$2:$AI$2,0),FALSE)</f>
        <v>4.2930000000000003E-4</v>
      </c>
      <c r="BS40" s="108">
        <f>VLOOKUP($A40,TOCA_current!$A$2:$AI$137,MATCH(BS$4,TOCA_current!$A$2:$AI$2,0),FALSE)</f>
        <v>4.2930000000000003E-4</v>
      </c>
      <c r="BT40" s="189">
        <f t="shared" si="12"/>
        <v>0</v>
      </c>
      <c r="BU40" s="108">
        <f>VLOOKUP($A40,TOCA_current!A36:BG171,MATCH(BU$4,TOCA_current!$A$2:$BG$2,0),FALSE)</f>
        <v>0</v>
      </c>
      <c r="BV40" s="108">
        <f t="shared" si="19"/>
        <v>0</v>
      </c>
      <c r="BW40" s="108">
        <f t="shared" si="20"/>
        <v>0</v>
      </c>
      <c r="BX40" s="179">
        <f>VLOOKUP($A40,IRD!$A$4:$G$139, 7, FALSE)</f>
        <v>0</v>
      </c>
      <c r="BY40" s="180">
        <f t="array" ref="BY40">IF($BT40=0, INDEX(LS_current!$D$4:$AY$138, MATCH('Staging Table'!$A40, LS_current!$B$4:$B$138, 0), MATCH(BY$4&amp;BY$5, LS_current!$D$2:$AY$2&amp;LS_current!$D$3:$AY$3, 0)),SUM(VLOOKUP($A40, LS_current!$B$4:$AY$138, LS_current!D$148, FALSE), VLOOKUP($A40, LS_current!$B$4:$AY$138,LS_current!AB$148, FALSE))/2)</f>
        <v>250.47677534519971</v>
      </c>
      <c r="BZ40" s="180">
        <f t="array" ref="BZ40">IF($BT40=0, INDEX(LS_current!$D$4:$AY$138, MATCH('Staging Table'!$A40, LS_current!$B$4:$B$138, 0), MATCH(BZ$4&amp;BZ$5, LS_current!$D$2:$AY$2&amp;LS_current!$D$3:$AY$3, 0)),SUM(VLOOKUP($A40, LS_current!$B$4:$AY$138, LS_current!E$148, FALSE), VLOOKUP($A40, LS_current!$B$4:$AY$138,LS_current!AC$148, FALSE))/2)</f>
        <v>72.408769842850006</v>
      </c>
      <c r="CA40" s="180">
        <f t="array" ref="CA40">IF($BT40=0, INDEX(LS_current!$D$4:$AY$138, MATCH('Staging Table'!$A40, LS_current!$B$4:$B$138, 0), MATCH(CA$4&amp;CA$5, LS_current!$D$2:$AY$2&amp;LS_current!$D$3:$AY$3, 0)),SUM(VLOOKUP($A40, LS_current!$B$4:$AY$138, LS_current!F$148, FALSE), VLOOKUP($A40, LS_current!$B$4:$AY$138,LS_current!AD$148, FALSE))/2)</f>
        <v>12.789590089599642</v>
      </c>
      <c r="CB40" s="180">
        <f t="array" ref="CB40">IF($BT40=0, INDEX(LS_current!$D$4:$AY$138, MATCH('Staging Table'!$A40, LS_current!$B$4:$B$138, 0), MATCH(CB$4&amp;CB$5, LS_current!$D$2:$AY$2&amp;LS_current!$D$3:$AY$3, 0)),SUM(VLOOKUP($A40, LS_current!$B$4:$AY$138, LS_current!G$148, FALSE), VLOOKUP($A40, LS_current!$B$4:$AY$138,LS_current!AE$148, FALSE))/2)</f>
        <v>31.124303711699895</v>
      </c>
      <c r="CC40" s="180">
        <f t="array" ref="CC40">IF($BT40=0, INDEX(LS_current!$D$4:$AY$138, MATCH('Staging Table'!$A40, LS_current!$B$4:$B$138, 0), MATCH(CC$4&amp;CC$5, LS_current!$D$2:$AY$2&amp;LS_current!$D$3:$AY$3, 0)),SUM(VLOOKUP($A40, LS_current!$B$4:$AY$138, LS_current!H$148, FALSE), VLOOKUP($A40, LS_current!$B$4:$AY$138,LS_current!AF$148, FALSE))/2)</f>
        <v>154.16547224729993</v>
      </c>
      <c r="CD40" s="180">
        <f t="array" ref="CD40">IF($BT40=0, INDEX(LS_current!$D$4:$AY$138, MATCH('Staging Table'!$A40, LS_current!$B$4:$B$138, 0), MATCH(CD$4&amp;CD$5, LS_current!$D$2:$AY$2&amp;LS_current!$D$3:$AY$3, 0)),SUM(VLOOKUP($A40, LS_current!$B$4:$AY$138, LS_current!I$148, FALSE), VLOOKUP($A40, LS_current!$B$4:$AY$138,LS_current!AG$148, FALSE))/2)</f>
        <v>119.3429063072</v>
      </c>
      <c r="CE40" s="180">
        <f t="array" ref="CE40">IF($BT40=0, INDEX(LS_current!$D$4:$AY$138, MATCH('Staging Table'!$A40, LS_current!$B$4:$B$138, 0), MATCH(CE$4&amp;CE$5, LS_current!$D$2:$AY$2&amp;LS_current!$D$3:$AY$3, 0)),SUM(VLOOKUP($A40, LS_current!$B$4:$AY$138, LS_current!J$148, FALSE), VLOOKUP($A40, LS_current!$B$4:$AY$138,LS_current!AH$148, FALSE))/2)</f>
        <v>65.658546750500136</v>
      </c>
      <c r="CF40" s="180">
        <f t="array" ref="CF40">IF($BT40=0, INDEX(LS_current!$D$4:$AY$138, MATCH('Staging Table'!$A40, LS_current!$B$4:$B$138, 0), MATCH(CF$4&amp;CF$5, LS_current!$D$2:$AY$2&amp;LS_current!$D$3:$AY$3, 0)),SUM(VLOOKUP($A40, LS_current!$B$4:$AY$138, LS_current!K$148, FALSE), VLOOKUP($A40, LS_current!$B$4:$AY$138,LS_current!AI$148, FALSE))/2)</f>
        <v>125.46934415029989</v>
      </c>
      <c r="CG40" s="180">
        <f t="array" ref="CG40">IF($BT40=0, INDEX(LS_current!$D$4:$AY$138, MATCH('Staging Table'!$A40, LS_current!$B$4:$B$138, 0), MATCH(CG$4&amp;CG$5, LS_current!$D$2:$AY$2&amp;LS_current!$D$3:$AY$3, 0)),SUM(VLOOKUP($A40, LS_current!$B$4:$AY$138, LS_current!L$148, FALSE), VLOOKUP($A40, LS_current!$B$4:$AY$138,LS_current!AJ$148, FALSE))/2)</f>
        <v>73.066769145300213</v>
      </c>
      <c r="CH40" s="180">
        <f t="array" ref="CH40">IF($BT40=0, INDEX(LS_current!$D$4:$AY$138, MATCH('Staging Table'!$A40, LS_current!$B$4:$B$138, 0), MATCH(CH$4&amp;CH$5, LS_current!$D$2:$AY$2&amp;LS_current!$D$3:$AY$3, 0)),SUM(VLOOKUP($A40, LS_current!$B$4:$AY$138, LS_current!M$148, FALSE), VLOOKUP($A40, LS_current!$B$4:$AY$138,LS_current!AK$148, FALSE))/2)</f>
        <v>125.18108900129994</v>
      </c>
      <c r="CI40" s="180">
        <f t="array" ref="CI40">IF($BT40=0, INDEX(LS_current!$D$4:$AY$138, MATCH('Staging Table'!$A40, LS_current!$B$4:$B$138, 0), MATCH(CI$4&amp;CI$5, LS_current!$D$2:$AY$2&amp;LS_current!$D$3:$AY$3, 0)),SUM(VLOOKUP($A40, LS_current!$B$4:$AY$138, LS_current!N$148, FALSE), VLOOKUP($A40, LS_current!$B$4:$AY$138,LS_current!AL$148, FALSE))/2)</f>
        <v>4.9897247890999097</v>
      </c>
      <c r="CJ40" s="180">
        <f t="array" ref="CJ40">IF($BT40=0, INDEX(LS_current!$D$4:$AY$138, MATCH('Staging Table'!$A40, LS_current!$B$4:$B$138, 0), MATCH(CJ$4&amp;CJ$5, LS_current!$D$2:$AY$2&amp;LS_current!$D$3:$AY$3, 0)),SUM(VLOOKUP($A40, LS_current!$B$4:$AY$138, LS_current!O$148, FALSE), VLOOKUP($A40, LS_current!$B$4:$AY$138,LS_current!AM$148, FALSE))/2)</f>
        <v>-36.61186929539997</v>
      </c>
      <c r="CK40" s="180">
        <f t="array" ref="CK40">IF($BT40=0, INDEX(LS_current!$D$4:$AY$138, MATCH('Staging Table'!$A40, LS_current!$B$4:$B$138, 0), MATCH(CK$4&amp;CK$5, LS_current!$D$2:$AY$2&amp;LS_current!$D$3:$AY$3, 0)),SUM(VLOOKUP($A40, LS_current!$B$4:$AY$138, LS_current!P$148, FALSE), VLOOKUP($A40, LS_current!$B$4:$AY$138,LS_current!AN$148, FALSE))/2)</f>
        <v>182.8903411192498</v>
      </c>
      <c r="CL40" s="180">
        <f t="array" ref="CL40">IF($BT40=0, INDEX(LS_current!$D$4:$AY$138, MATCH('Staging Table'!$A40, LS_current!$B$4:$B$138, 0), MATCH(CL$4&amp;CL$5, LS_current!$D$2:$AY$2&amp;LS_current!$D$3:$AY$3, 0)),SUM(VLOOKUP($A40, LS_current!$B$4:$AY$138, LS_current!Q$148, FALSE), VLOOKUP($A40, LS_current!$B$4:$AY$138,LS_current!AO$148, FALSE))/2)</f>
        <v>77.254360870725009</v>
      </c>
      <c r="CM40" s="180">
        <f t="array" ref="CM40">IF($BT40=0, INDEX(LS_current!$D$4:$AY$138, MATCH('Staging Table'!$A40, LS_current!$B$4:$B$138, 0), MATCH(CM$4&amp;CM$5, LS_current!$D$2:$AY$2&amp;LS_current!$D$3:$AY$3, 0)),SUM(VLOOKUP($A40, LS_current!$B$4:$AY$138, LS_current!R$148, FALSE), VLOOKUP($A40, LS_current!$B$4:$AY$138,LS_current!AP$148, FALSE))/2)</f>
        <v>-255.41897284640004</v>
      </c>
      <c r="CN40" s="180">
        <f t="array" ref="CN40">IF($BT40=0, INDEX(LS_current!$D$4:$AY$138, MATCH('Staging Table'!$A40, LS_current!$B$4:$B$138, 0), MATCH(CN$4&amp;CN$5, LS_current!$D$2:$AY$2&amp;LS_current!$D$3:$AY$3, 0)),SUM(VLOOKUP($A40, LS_current!$B$4:$AY$138, LS_current!S$148, FALSE), VLOOKUP($A40, LS_current!$B$4:$AY$138,LS_current!AQ$148, FALSE))/2)</f>
        <v>-160.30778974405007</v>
      </c>
      <c r="CO40" s="180">
        <f t="array" ref="CO40">IF($BT40=0, INDEX(LS_current!$D$4:$AY$138, MATCH('Staging Table'!$A40, LS_current!$B$4:$B$138, 0), MATCH(CO$4&amp;CO$5, LS_current!$D$2:$AY$2&amp;LS_current!$D$3:$AY$3, 0)),SUM(VLOOKUP($A40, LS_current!$B$4:$AY$138, LS_current!T$148, FALSE), VLOOKUP($A40, LS_current!$B$4:$AY$138,LS_current!AR$148, FALSE))/2)</f>
        <v>-401.1134026318</v>
      </c>
      <c r="CP40" s="180">
        <f t="array" ref="CP40">IF($BT40=0, INDEX(LS_current!$D$4:$AY$138, MATCH('Staging Table'!$A40, LS_current!$B$4:$B$138, 0), MATCH(CP$4&amp;CP$5, LS_current!$D$2:$AY$2&amp;LS_current!$D$3:$AY$3, 0)),SUM(VLOOKUP($A40, LS_current!$B$4:$AY$138, LS_current!U$148, FALSE), VLOOKUP($A40, LS_current!$B$4:$AY$138,LS_current!AS$148, FALSE))/2)</f>
        <v>-270.80678089685</v>
      </c>
      <c r="CQ40" s="180">
        <f t="array" ref="CQ40">IF($BT40=0, INDEX(LS_current!$D$4:$AY$138, MATCH('Staging Table'!$A40, LS_current!$B$4:$B$138, 0), MATCH(CQ$4&amp;CQ$5, LS_current!$D$2:$AY$2&amp;LS_current!$D$3:$AY$3, 0)),SUM(VLOOKUP($A40, LS_current!$B$4:$AY$138, LS_current!V$148, FALSE), VLOOKUP($A40, LS_current!$B$4:$AY$138,LS_current!AT$148, FALSE))/2)</f>
        <v>-110.10073628520013</v>
      </c>
      <c r="CR40" s="180">
        <f t="array" ref="CR40">IF($BT40=0, INDEX(LS_current!$D$4:$AY$138, MATCH('Staging Table'!$A40, LS_current!$B$4:$B$138, 0), MATCH(CR$4&amp;CR$5, LS_current!$D$2:$AY$2&amp;LS_current!$D$3:$AY$3, 0)),SUM(VLOOKUP($A40, LS_current!$B$4:$AY$138, LS_current!W$148, FALSE), VLOOKUP($A40, LS_current!$B$4:$AY$138,LS_current!AU$148, FALSE))/2)</f>
        <v>-64.406423985750052</v>
      </c>
      <c r="CS40" s="180">
        <f t="array" ref="CS40">IF($BT40=0, INDEX(LS_current!$D$4:$AY$138, MATCH('Staging Table'!$A40, LS_current!$B$4:$B$138, 0), MATCH(CS$4&amp;CS$5, LS_current!$D$2:$AY$2&amp;LS_current!$D$3:$AY$3, 0)),SUM(VLOOKUP($A40, LS_current!$B$4:$AY$138, LS_current!X$148, FALSE), VLOOKUP($A40, LS_current!$B$4:$AY$138,LS_current!AV$148, FALSE))/2)</f>
        <v>-15.583970624950325</v>
      </c>
      <c r="CT40" s="180">
        <f t="array" ref="CT40">IF($BT40=0, INDEX(LS_current!$D$4:$AY$138, MATCH('Staging Table'!$A40, LS_current!$B$4:$B$138, 0), MATCH(CT$4&amp;CT$5, LS_current!$D$2:$AY$2&amp;LS_current!$D$3:$AY$3, 0)),SUM(VLOOKUP($A40, LS_current!$B$4:$AY$138, LS_current!Y$148, FALSE), VLOOKUP($A40, LS_current!$B$4:$AY$138,LS_current!AW$148, FALSE))/2)</f>
        <v>-38.888557679605015</v>
      </c>
      <c r="CU40" s="180">
        <f t="array" ref="CU40">IF($BT40=0, INDEX(LS_current!$D$4:$AY$138, MATCH('Staging Table'!$A40, LS_current!$B$4:$B$138, 0), MATCH(CU$4&amp;CU$5, LS_current!$D$2:$AY$2&amp;LS_current!$D$3:$AY$3, 0)),SUM(VLOOKUP($A40, LS_current!$B$4:$AY$138, LS_current!Z$148, FALSE), VLOOKUP($A40, LS_current!$B$4:$AY$138,LS_current!AX$148, FALSE))/2)</f>
        <v>74.789998971799832</v>
      </c>
      <c r="CV40" s="180">
        <f t="array" ref="CV40">IF($BT40=0, INDEX(LS_current!$D$4:$AY$138, MATCH('Staging Table'!$A40, LS_current!$B$4:$B$138, 0), MATCH(CV$4&amp;CV$5, LS_current!$D$2:$AY$2&amp;LS_current!$D$3:$AY$3, 0)),SUM(VLOOKUP($A40, LS_current!$B$4:$AY$138, LS_current!AA$148, FALSE), VLOOKUP($A40, LS_current!$B$4:$AY$138,LS_current!AY$148, FALSE))/2)</f>
        <v>-11.884356347200082</v>
      </c>
      <c r="CW40" s="182">
        <f t="array" ref="CW40">INDEX(Demand_current!$D$4:$AY$138, MATCH($A40, Demand_current!$B$4:$B$138, 0), MATCH(CW$4&amp;CW$5,Demand_current!$D$2:$AY$2&amp;Demand_current!$D$3:$AY$3, 0))/1000</f>
        <v>0.46522836538461554</v>
      </c>
      <c r="CX40" s="182">
        <f t="array" ref="CX40">INDEX(Demand_current!$D$4:$AY$138, MATCH($A40, Demand_current!$B$4:$B$138, 0), MATCH(CX$4&amp;CX$5,Demand_current!$D$2:$AY$2&amp;Demand_current!$D$3:$AY$3, 0))/1000</f>
        <v>0.25591500000000067</v>
      </c>
      <c r="CY40" s="182">
        <f t="array" ref="CY40">INDEX(Demand_current!$D$4:$AY$138, MATCH($A40, Demand_current!$B$4:$B$138, 0), MATCH(CY$4&amp;CY$5,Demand_current!$D$2:$AY$2&amp;Demand_current!$D$3:$AY$3, 0))/1000</f>
        <v>0.31472499999999959</v>
      </c>
      <c r="CZ40" s="182">
        <f t="array" ref="CZ40">INDEX(Demand_current!$D$4:$AY$138, MATCH($A40, Demand_current!$B$4:$B$138, 0), MATCH(CZ$4&amp;CZ$5,Demand_current!$D$2:$AY$2&amp;Demand_current!$D$3:$AY$3, 0))/1000</f>
        <v>0.63981009615384554</v>
      </c>
      <c r="DA40" s="182">
        <f t="array" ref="DA40">INDEX(Demand_current!$D$4:$AY$138, MATCH($A40, Demand_current!$B$4:$B$138, 0), MATCH(DA$4&amp;DA$5,Demand_current!$D$2:$AY$2&amp;Demand_current!$D$3:$AY$3, 0))/1000</f>
        <v>0.48411249999999928</v>
      </c>
      <c r="DB40" s="182">
        <f t="array" ref="DB40">INDEX(Demand_current!$D$4:$AY$138, MATCH($A40, Demand_current!$B$4:$B$138, 0), MATCH(DB$4&amp;DB$5,Demand_current!$D$2:$AY$2&amp;Demand_current!$D$3:$AY$3, 0))/1000</f>
        <v>0.48623076923076958</v>
      </c>
      <c r="DC40" s="182">
        <f t="array" ref="DC40">INDEX(Demand_current!$D$4:$AY$138, MATCH($A40, Demand_current!$B$4:$B$138, 0), MATCH(DC$4&amp;DC$5,Demand_current!$D$2:$AY$2&amp;Demand_current!$D$3:$AY$3, 0))/1000</f>
        <v>0.57091346153846212</v>
      </c>
      <c r="DD40" s="182">
        <f t="array" ref="DD40">INDEX(Demand_current!$D$4:$AY$138, MATCH($A40, Demand_current!$B$4:$B$138, 0), MATCH(DD$4&amp;DD$5,Demand_current!$D$2:$AY$2&amp;Demand_current!$D$3:$AY$3, 0))/1000</f>
        <v>0.50669711538461515</v>
      </c>
      <c r="DE40" s="182">
        <f t="array" ref="DE40">INDEX(Demand_current!$D$4:$AY$138, MATCH($A40, Demand_current!$B$4:$B$138, 0), MATCH(DE$4&amp;DE$5,Demand_current!$D$2:$AY$2&amp;Demand_current!$D$3:$AY$3, 0))/1000</f>
        <v>0.35350499999999996</v>
      </c>
      <c r="DF40" s="182">
        <f t="array" ref="DF40">INDEX(Demand_current!$D$4:$AY$138, MATCH($A40, Demand_current!$B$4:$B$138, 0), MATCH(DF$4&amp;DF$5,Demand_current!$D$2:$AY$2&amp;Demand_current!$D$3:$AY$3, 0))/1000</f>
        <v>0.62088461538461492</v>
      </c>
      <c r="DG40" s="182">
        <f t="array" ref="DG40">INDEX(Demand_current!$D$4:$AY$138, MATCH($A40, Demand_current!$B$4:$B$138, 0), MATCH(DG$4&amp;DG$5,Demand_current!$D$2:$AY$2&amp;Demand_current!$D$3:$AY$3, 0))/1000</f>
        <v>0.54585185185185225</v>
      </c>
      <c r="DH40" s="182">
        <f t="array" ref="DH40">INDEX(Demand_current!$D$4:$AY$138, MATCH($A40, Demand_current!$B$4:$B$138, 0), MATCH(DH$4&amp;DH$5,Demand_current!$D$2:$AY$2&amp;Demand_current!$D$3:$AY$3, 0))/1000</f>
        <v>0.33256510416666651</v>
      </c>
      <c r="DI40" s="180">
        <f>$BS40*(VLOOKUP(DI$4, Rates_current!$G$6:$Q$29, 10, FALSE)+VLOOKUP(DI$4, Rates_current!$G$6:$Q$29, 11, FALSE))</f>
        <v>1811.1324548119501</v>
      </c>
      <c r="DJ40" s="180">
        <f>$BS40*(VLOOKUP(DJ$4, Rates_current!$G$6:$Q$29, 10, FALSE)+VLOOKUP(DJ$4, Rates_current!$G$6:$Q$29, 11, FALSE))</f>
        <v>2309.7911061987006</v>
      </c>
      <c r="DK40" s="180">
        <f>$BS40*(VLOOKUP(DK$4, Rates_current!$G$6:$Q$29, 10, FALSE)+VLOOKUP(DK$4, Rates_current!$G$6:$Q$29, 11, FALSE))</f>
        <v>2492.7216214455002</v>
      </c>
      <c r="DL40" s="180">
        <f>$BS40*(VLOOKUP(DL$4, Rates_current!$G$6:$Q$29, 10, FALSE)+VLOOKUP(DL$4, Rates_current!$G$6:$Q$29, 11, FALSE))</f>
        <v>2590.3231090992003</v>
      </c>
      <c r="DM40" s="180">
        <f>$BS40*(VLOOKUP(DM$4, Rates_current!$G$6:$Q$29, 10, FALSE)+VLOOKUP(DM$4, Rates_current!$G$6:$Q$29, 11, FALSE))</f>
        <v>2228.0231418533999</v>
      </c>
      <c r="DN40" s="180">
        <f>$BS40*(VLOOKUP(DN$4, Rates_current!$G$6:$Q$29, 10, FALSE)+VLOOKUP(DN$4, Rates_current!$G$6:$Q$29, 11, FALSE))</f>
        <v>2432.5601445063003</v>
      </c>
      <c r="DO40" s="180">
        <f>$BS40*(VLOOKUP(DO$4, Rates_current!$G$6:$Q$29, 10, FALSE)+VLOOKUP(DO$4, Rates_current!$G$6:$Q$29, 11, FALSE))</f>
        <v>1920.0962980100251</v>
      </c>
      <c r="DP40" s="180">
        <f>$BS40*(VLOOKUP(DP$4, Rates_current!$G$6:$Q$29, 10, FALSE)+VLOOKUP(DP$4, Rates_current!$G$6:$Q$29, 11, FALSE))</f>
        <v>2382.1367625904504</v>
      </c>
      <c r="DQ40" s="180">
        <f>$BS40*(VLOOKUP(DQ$4, Rates_current!$G$6:$Q$29, 10, FALSE)+VLOOKUP(DQ$4, Rates_current!$G$6:$Q$29, 11, FALSE))</f>
        <v>2433.8231835286501</v>
      </c>
      <c r="DR40" s="180">
        <f>$BS40*(VLOOKUP(DR$4, Rates_current!$G$6:$Q$29, 10, FALSE)+VLOOKUP(DR$4, Rates_current!$G$6:$Q$29, 11, FALSE))</f>
        <v>2112.90916027095</v>
      </c>
      <c r="DS40" s="180">
        <f>$BS40*(VLOOKUP(DS$4, Rates_current!$G$6:$Q$29, 10, FALSE)+VLOOKUP(DS$4, Rates_current!$G$6:$Q$29, 11, FALSE))</f>
        <v>2042.6215283045553</v>
      </c>
      <c r="DT40" s="180">
        <f>$BS40*(VLOOKUP(DT$4, Rates_current!$G$6:$Q$29, 10, FALSE)+VLOOKUP(DT$4, Rates_current!$G$6:$Q$29, 11, FALSE))</f>
        <v>1879.6073573754004</v>
      </c>
      <c r="DU40" s="402">
        <f>IF(D40=0,IF(C40=0,MAX(0,DW40 - (VLOOKUP($A40,TOCA_current!$A$2:$AI$137,MATCH("RHWM 2024",TOCA_current!$A$2:$AI$2,0),FALSE)*$BS$2)), 0),0)</f>
        <v>0</v>
      </c>
      <c r="DV40" s="403">
        <f>MIN(VLOOKUP($A40,TOCA_current!$A$2:$AI$137,MATCH("TRL - NLSL - Existing Resource "&amp;$BS$1,TOCA_current!$A$2:$AI$2,0),FALSE)*$BS$2, VLOOKUP($A40,TOCA_current!$A$2:$AI$137,MATCH("RHWM 2024",TOCA_current!$A$2:$AI$2,0),FALSE)*$BS$2)</f>
        <v>26633.088</v>
      </c>
      <c r="DW40" s="403">
        <f>SUM(BY40:CV40)+(BS40*RT1SC!$C$4*$BS$2)</f>
        <v>26640.231122092919</v>
      </c>
      <c r="DX40" s="403">
        <f>VLOOKUP($A40,TOCA_current!$A$2:$AI$137,MATCH("Above RHWM Not Served with LS "&amp;$BS$1,TOCA_current!$A$2:$AI$2,0),FALSE)*$BS$2</f>
        <v>0</v>
      </c>
      <c r="DY40" s="403">
        <f t="shared" si="13"/>
        <v>7.1431220929189294</v>
      </c>
      <c r="DZ40" s="403">
        <f>(VLOOKUP($A40,TOCA_current!$A$2:$AI$137,MATCH("RHWM 2024",TOCA_current!$A$2:$AI$2,0),FALSE)*$BS$2) - $DV40</f>
        <v>43.919999999998254</v>
      </c>
      <c r="EA40" s="403">
        <f t="shared" si="14"/>
        <v>-7.1431220929189294</v>
      </c>
      <c r="EB40" s="403">
        <f t="shared" si="15"/>
        <v>0</v>
      </c>
      <c r="EC40" s="403">
        <f t="shared" si="16"/>
        <v>0</v>
      </c>
      <c r="ED40" s="403">
        <f t="shared" si="17"/>
        <v>-7.1431220929189294</v>
      </c>
    </row>
    <row r="41" spans="1:134">
      <c r="A41" s="123">
        <v>10095</v>
      </c>
      <c r="B41" s="124" t="s">
        <v>42</v>
      </c>
      <c r="C41" s="232">
        <f>VLOOKUP(A41, TOCA_current!$A$3:$D$137, 4, FALSE)</f>
        <v>0</v>
      </c>
      <c r="D41" s="191">
        <v>0</v>
      </c>
      <c r="E41" s="107">
        <f>VLOOKUP($A41,TOCA_previous!$A$2:$AI$137,MATCH(E$4,TOCA_previous!$A$2:$AI$2,0),FALSE)</f>
        <v>5.1590000000000002E-4</v>
      </c>
      <c r="F41" s="108">
        <f>VLOOKUP($A41,TOCA_previous!$A$2:$AI$137,MATCH(F$4,TOCA_previous!$A$2:$AI$2,0),FALSE)</f>
        <v>5.1590000000000002E-4</v>
      </c>
      <c r="G41" s="108">
        <f t="shared" si="5"/>
        <v>0</v>
      </c>
      <c r="H41" s="108">
        <f>VLOOKUP($A41,TOCA_previous!$A$2:$AI$137,MATCH(H$4,TOCA_previous!$A$2:$AI$2,0),FALSE)</f>
        <v>0</v>
      </c>
      <c r="I41" s="108">
        <f t="shared" si="6"/>
        <v>0</v>
      </c>
      <c r="J41" s="108">
        <f t="shared" si="7"/>
        <v>0</v>
      </c>
      <c r="K41" s="179">
        <f>VLOOKUP(A41, IRD!$A$5:$C$139, 3, FALSE)</f>
        <v>0</v>
      </c>
      <c r="L41" s="180">
        <f t="array" ref="L41">IF($G41=0, INDEX(LS_previous!$D$4:$AY$138, MATCH('Staging Table'!$A41, LS_previous!$B$4:$B$138, 0), MATCH(L$4&amp;L$5, LS_previous!$D$2:$AY$2&amp;LS_previous!$D$3:$AY$3, 0)),SUM(VLOOKUP($A41, LS_previous!$B$4:$AY$138, LS_previous!D$149, FALSE), VLOOKUP('Staging Table'!$A41, LS_previous!$B$4:$AY$138,LS_previous!AB$149, FALSE))/2)</f>
        <v>213.57830252613553</v>
      </c>
      <c r="M41" s="180">
        <f t="array" ref="M41">IF($G41=0, INDEX(LS_previous!$D$4:$AY$138, MATCH('Staging Table'!$A41, LS_previous!$B$4:$B$138, 0), MATCH(M$4&amp;M$5, LS_previous!$D$2:$AY$2&amp;LS_previous!$D$3:$AY$3, 0)),SUM(VLOOKUP($A41, LS_previous!$B$4:$AY$138, LS_previous!E$149, FALSE), VLOOKUP('Staging Table'!$A41, LS_previous!$B$4:$AY$138,LS_previous!AC$149, FALSE))/2)</f>
        <v>134.41008880223262</v>
      </c>
      <c r="N41" s="180">
        <f t="array" ref="N41">IF($G41=0, INDEX(LS_previous!$D$4:$AY$138, MATCH('Staging Table'!$A41, LS_previous!$B$4:$B$138, 0), MATCH(N$4&amp;N$5, LS_previous!$D$2:$AY$2&amp;LS_previous!$D$3:$AY$3, 0)),SUM(VLOOKUP($A41, LS_previous!$B$4:$AY$138, LS_previous!F$149, FALSE), VLOOKUP('Staging Table'!$A41, LS_previous!$B$4:$AY$138,LS_previous!AD$149, FALSE))/2)</f>
        <v>-119.32491348958251</v>
      </c>
      <c r="O41" s="180">
        <f t="array" ref="O41">IF($G41=0, INDEX(LS_previous!$D$4:$AY$138, MATCH('Staging Table'!$A41, LS_previous!$B$4:$B$138, 0), MATCH(O$4&amp;O$5, LS_previous!$D$2:$AY$2&amp;LS_previous!$D$3:$AY$3, 0)),SUM(VLOOKUP($A41, LS_previous!$B$4:$AY$138, LS_previous!G$149, FALSE), VLOOKUP('Staging Table'!$A41, LS_previous!$B$4:$AY$138,LS_previous!AE$149, FALSE))/2)</f>
        <v>-135.82227557929389</v>
      </c>
      <c r="P41" s="180">
        <f t="array" ref="P41">IF($G41=0, INDEX(LS_previous!$D$4:$AY$138, MATCH('Staging Table'!$A41, LS_previous!$B$4:$B$138, 0), MATCH(P$4&amp;P$5, LS_previous!$D$2:$AY$2&amp;LS_previous!$D$3:$AY$3, 0)),SUM(VLOOKUP($A41, LS_previous!$B$4:$AY$138, LS_previous!H$149, FALSE), VLOOKUP('Staging Table'!$A41, LS_previous!$B$4:$AY$138,LS_previous!AF$149, FALSE))/2)</f>
        <v>134.34605566346158</v>
      </c>
      <c r="Q41" s="180">
        <f t="array" ref="Q41">IF($G41=0, INDEX(LS_previous!$D$4:$AY$138, MATCH('Staging Table'!$A41, LS_previous!$B$4:$B$138, 0), MATCH(Q$4&amp;Q$5, LS_previous!$D$2:$AY$2&amp;LS_previous!$D$3:$AY$3, 0)),SUM(VLOOKUP($A41, LS_previous!$B$4:$AY$138, LS_previous!I$149, FALSE), VLOOKUP('Staging Table'!$A41, LS_previous!$B$4:$AY$138,LS_previous!AG$149, FALSE))/2)</f>
        <v>-89.252881124273472</v>
      </c>
      <c r="R41" s="180">
        <f t="array" ref="R41">IF($G41=0, INDEX(LS_previous!$D$4:$AY$138, MATCH('Staging Table'!$A41, LS_previous!$B$4:$B$138, 0), MATCH(R$4&amp;R$5, LS_previous!$D$2:$AY$2&amp;LS_previous!$D$3:$AY$3, 0)),SUM(VLOOKUP($A41, LS_previous!$B$4:$AY$138, LS_previous!J$149, FALSE), VLOOKUP('Staging Table'!$A41, LS_previous!$B$4:$AY$138,LS_previous!AH$149, FALSE))/2)</f>
        <v>677.36601976803036</v>
      </c>
      <c r="S41" s="180">
        <f t="array" ref="S41">IF($G41=0, INDEX(LS_previous!$D$4:$AY$138, MATCH('Staging Table'!$A41, LS_previous!$B$4:$B$138, 0), MATCH(S$4&amp;S$5, LS_previous!$D$2:$AY$2&amp;LS_previous!$D$3:$AY$3, 0)),SUM(VLOOKUP($A41, LS_previous!$B$4:$AY$138, LS_previous!K$149, FALSE), VLOOKUP('Staging Table'!$A41, LS_previous!$B$4:$AY$138,LS_previous!AI$149, FALSE))/2)</f>
        <v>162.17052228440843</v>
      </c>
      <c r="T41" s="180">
        <f t="array" ref="T41">IF($G41=0, INDEX(LS_previous!$D$4:$AY$138, MATCH('Staging Table'!$A41, LS_previous!$B$4:$B$138, 0), MATCH(T$4&amp;T$5, LS_previous!$D$2:$AY$2&amp;LS_previous!$D$3:$AY$3, 0)),SUM(VLOOKUP($A41, LS_previous!$B$4:$AY$138, LS_previous!L$149, FALSE), VLOOKUP('Staging Table'!$A41, LS_previous!$B$4:$AY$138,LS_previous!AJ$149, FALSE))/2)</f>
        <v>759.35956623405855</v>
      </c>
      <c r="U41" s="180">
        <f t="array" ref="U41">IF($G41=0, INDEX(LS_previous!$D$4:$AY$138, MATCH('Staging Table'!$A41, LS_previous!$B$4:$B$138, 0), MATCH(U$4&amp;U$5, LS_previous!$D$2:$AY$2&amp;LS_previous!$D$3:$AY$3, 0)),SUM(VLOOKUP($A41, LS_previous!$B$4:$AY$138, LS_previous!M$149, FALSE), VLOOKUP('Staging Table'!$A41, LS_previous!$B$4:$AY$138,LS_previous!AK$149, FALSE))/2)</f>
        <v>212.07917975526675</v>
      </c>
      <c r="V41" s="180">
        <f t="array" ref="V41">IF($G41=0, INDEX(LS_previous!$D$4:$AY$138, MATCH('Staging Table'!$A41, LS_previous!$B$4:$B$138, 0), MATCH(V$4&amp;V$5, LS_previous!$D$2:$AY$2&amp;LS_previous!$D$3:$AY$3, 0)),SUM(VLOOKUP($A41, LS_previous!$B$4:$AY$138, LS_previous!N$149, FALSE), VLOOKUP('Staging Table'!$A41, LS_previous!$B$4:$AY$138,LS_previous!AL$149, FALSE))/2)</f>
        <v>410.28613024839728</v>
      </c>
      <c r="W41" s="180">
        <f t="array" ref="W41">IF($G41=0, INDEX(LS_previous!$D$4:$AY$138, MATCH('Staging Table'!$A41, LS_previous!$B$4:$B$138, 0), MATCH(W$4&amp;W$5, LS_previous!$D$2:$AY$2&amp;LS_previous!$D$3:$AY$3, 0)),SUM(VLOOKUP($A41, LS_previous!$B$4:$AY$138, LS_previous!O$149, FALSE), VLOOKUP('Staging Table'!$A41, LS_previous!$B$4:$AY$138,LS_previous!AM$149, FALSE))/2)</f>
        <v>159.77833819563625</v>
      </c>
      <c r="X41" s="180">
        <f t="array" ref="X41">IF($G41=0, INDEX(LS_previous!$D$4:$AY$138, MATCH('Staging Table'!$A41, LS_previous!$B$4:$B$138, 0), MATCH(X$4&amp;X$5, LS_previous!$D$2:$AY$2&amp;LS_previous!$D$3:$AY$3, 0)),SUM(VLOOKUP($A41, LS_previous!$B$4:$AY$138, LS_previous!P$149, FALSE), VLOOKUP('Staging Table'!$A41, LS_previous!$B$4:$AY$138,LS_previous!AN$149, FALSE))/2)</f>
        <v>568.93089698731706</v>
      </c>
      <c r="Y41" s="180">
        <f t="array" ref="Y41">IF($G41=0, INDEX(LS_previous!$D$4:$AY$138, MATCH('Staging Table'!$A41, LS_previous!$B$4:$B$138, 0), MATCH(Y$4&amp;Y$5, LS_previous!$D$2:$AY$2&amp;LS_previous!$D$3:$AY$3, 0)),SUM(VLOOKUP($A41, LS_previous!$B$4:$AY$138, LS_previous!Q$149, FALSE), VLOOKUP('Staging Table'!$A41, LS_previous!$B$4:$AY$138,LS_previous!AO$149, FALSE))/2)</f>
        <v>217.35399122087006</v>
      </c>
      <c r="Z41" s="180">
        <f t="array" ref="Z41">IF($G41=0, INDEX(LS_previous!$D$4:$AY$138, MATCH('Staging Table'!$A41, LS_previous!$B$4:$B$138, 0), MATCH(Z$4&amp;Z$5, LS_previous!$D$2:$AY$2&amp;LS_previous!$D$3:$AY$3, 0)),SUM(VLOOKUP($A41, LS_previous!$B$4:$AY$138, LS_previous!R$149, FALSE), VLOOKUP('Staging Table'!$A41, LS_previous!$B$4:$AY$138,LS_previous!AP$149, FALSE))/2)</f>
        <v>-79.641620883409132</v>
      </c>
      <c r="AA41" s="180">
        <f t="array" ref="AA41">IF($G41=0, INDEX(LS_previous!$D$4:$AY$138, MATCH('Staging Table'!$A41, LS_previous!$B$4:$B$138, 0), MATCH(AA$4&amp;AA$5, LS_previous!$D$2:$AY$2&amp;LS_previous!$D$3:$AY$3, 0)),SUM(VLOOKUP($A41, LS_previous!$B$4:$AY$138, LS_previous!S$149, FALSE), VLOOKUP('Staging Table'!$A41, LS_previous!$B$4:$AY$138,LS_previous!AQ$149, FALSE))/2)</f>
        <v>98.651874564858417</v>
      </c>
      <c r="AB41" s="180">
        <f t="array" ref="AB41">IF($G41=0, INDEX(LS_previous!$D$4:$AY$138, MATCH('Staging Table'!$A41, LS_previous!$B$4:$B$138, 0), MATCH(AB$4&amp;AB$5, LS_previous!$D$2:$AY$2&amp;LS_previous!$D$3:$AY$3, 0)),SUM(VLOOKUP($A41, LS_previous!$B$4:$AY$138, LS_previous!T$149, FALSE), VLOOKUP('Staging Table'!$A41, LS_previous!$B$4:$AY$138,LS_previous!AR$149, FALSE))/2)</f>
        <v>-340.56808977594415</v>
      </c>
      <c r="AC41" s="180">
        <f t="array" ref="AC41">IF($G41=0, INDEX(LS_previous!$D$4:$AY$138, MATCH('Staging Table'!$A41, LS_previous!$B$4:$B$138, 0), MATCH(AC$4&amp;AC$5, LS_previous!$D$2:$AY$2&amp;LS_previous!$D$3:$AY$3, 0)),SUM(VLOOKUP($A41, LS_previous!$B$4:$AY$138, LS_previous!U$149, FALSE), VLOOKUP('Staging Table'!$A41, LS_previous!$B$4:$AY$138,LS_previous!AS$149, FALSE))/2)</f>
        <v>126.62236026367918</v>
      </c>
      <c r="AD41" s="180">
        <f t="array" ref="AD41">IF($G41=0, INDEX(LS_previous!$D$4:$AY$138, MATCH('Staging Table'!$A41, LS_previous!$B$4:$B$138, 0), MATCH(AD$4&amp;AD$5, LS_previous!$D$2:$AY$2&amp;LS_previous!$D$3:$AY$3, 0)),SUM(VLOOKUP($A41, LS_previous!$B$4:$AY$138, LS_previous!V$149, FALSE), VLOOKUP('Staging Table'!$A41, LS_previous!$B$4:$AY$138,LS_previous!AT$149, FALSE))/2)</f>
        <v>-76.121550071561842</v>
      </c>
      <c r="AE41" s="180">
        <f t="array" ref="AE41">IF($G41=0, INDEX(LS_previous!$D$4:$AY$138, MATCH('Staging Table'!$A41, LS_previous!$B$4:$B$138, 0), MATCH(AE$4&amp;AE$5, LS_previous!$D$2:$AY$2&amp;LS_previous!$D$3:$AY$3, 0)),SUM(VLOOKUP($A41, LS_previous!$B$4:$AY$138, LS_previous!W$149, FALSE), VLOOKUP('Staging Table'!$A41, LS_previous!$B$4:$AY$138,LS_previous!AU$149, FALSE))/2)</f>
        <v>80.808592677211436</v>
      </c>
      <c r="AF41" s="180">
        <f t="array" ref="AF41">IF($G41=0, INDEX(LS_previous!$D$4:$AY$138, MATCH('Staging Table'!$A41, LS_previous!$B$4:$B$138, 0), MATCH(AF$4&amp;AF$5, LS_previous!$D$2:$AY$2&amp;LS_previous!$D$3:$AY$3, 0)),SUM(VLOOKUP($A41, LS_previous!$B$4:$AY$138, LS_previous!X$149, FALSE), VLOOKUP('Staging Table'!$A41, LS_previous!$B$4:$AY$138,LS_previous!AV$149, FALSE))/2)</f>
        <v>-21.672197390992324</v>
      </c>
      <c r="AG41" s="180">
        <f t="array" ref="AG41">IF($G41=0, INDEX(LS_previous!$D$4:$AY$138, MATCH('Staging Table'!$A41, LS_previous!$B$4:$B$138, 0), MATCH(AG$4&amp;AG$5, LS_previous!$D$2:$AY$2&amp;LS_previous!$D$3:$AY$3, 0)),SUM(VLOOKUP($A41, LS_previous!$B$4:$AY$138, LS_previous!Y$149, FALSE), VLOOKUP('Staging Table'!$A41, LS_previous!$B$4:$AY$138,LS_previous!AW$149, FALSE))/2)</f>
        <v>32.566058604499631</v>
      </c>
      <c r="AH41" s="180">
        <f t="array" ref="AH41">IF($G41=0, INDEX(LS_previous!$D$4:$AY$138, MATCH('Staging Table'!$A41, LS_previous!$B$4:$B$138, 0), MATCH(AH$4&amp;AH$5, LS_previous!$D$2:$AY$2&amp;LS_previous!$D$3:$AY$3, 0)),SUM(VLOOKUP($A41, LS_previous!$B$4:$AY$138, LS_previous!Z$149, FALSE), VLOOKUP('Staging Table'!$A41, LS_previous!$B$4:$AY$138,LS_previous!AX$149, FALSE))/2)</f>
        <v>-2.884488291360185</v>
      </c>
      <c r="AI41" s="180">
        <f t="array" ref="AI41">IF($G41=0, INDEX(LS_previous!$D$4:$AY$138, MATCH('Staging Table'!$A41, LS_previous!$B$4:$B$138, 0), MATCH(AI$4&amp;AI$5, LS_previous!$D$2:$AY$2&amp;LS_previous!$D$3:$AY$3, 0)),SUM(VLOOKUP($A41, LS_previous!$B$4:$AY$138, LS_previous!AA$149, FALSE), VLOOKUP('Staging Table'!$A41, LS_previous!$B$4:$AY$138,LS_previous!AY$149, FALSE))/2)</f>
        <v>67.950149172018996</v>
      </c>
      <c r="AJ41" s="298">
        <f t="array" ref="AJ41">INDEX(Demand_previous!$D$4:$AY$138, MATCH('Staging Table'!$A41, Demand_previous!$B$4:$B$138, 0), MATCH(AJ$4&amp;AJ$5,Demand_previous!$D$2:$AY$2&amp;Demand_previous!$D$3:$AY$3, 0))/1000</f>
        <v>0.50738942307692281</v>
      </c>
      <c r="AK41" s="298">
        <f t="array" ref="AK41">INDEX(Demand_previous!$D$4:$AY$138, MATCH('Staging Table'!$A41, Demand_previous!$B$4:$B$138, 0), MATCH(AK$4&amp;AK$5,Demand_previous!$D$2:$AY$2&amp;Demand_previous!$D$3:$AY$3, 0))/1000</f>
        <v>0.30524750000000012</v>
      </c>
      <c r="AL41" s="298">
        <f t="array" ref="AL41">INDEX(Demand_previous!$D$4:$AY$138, MATCH('Staging Table'!$A41, Demand_previous!$B$4:$B$138, 0), MATCH(AL$4&amp;AL$5,Demand_previous!$D$2:$AY$2&amp;Demand_previous!$D$3:$AY$3, 0))/1000</f>
        <v>0.60998557692307731</v>
      </c>
      <c r="AM41" s="298">
        <f t="array" ref="AM41">INDEX(Demand_previous!$D$4:$AY$138, MATCH('Staging Table'!$A41, Demand_previous!$B$4:$B$138, 0), MATCH(AM$4&amp;AM$5,Demand_previous!$D$2:$AY$2&amp;Demand_previous!$D$3:$AY$3, 0))/1000</f>
        <v>0.26170999999999989</v>
      </c>
      <c r="AN41" s="298">
        <f t="array" ref="AN41">INDEX(Demand_previous!$D$4:$AY$138, MATCH('Staging Table'!$A41, Demand_previous!$B$4:$B$138, 0), MATCH(AN$4&amp;AN$5,Demand_previous!$D$2:$AY$2&amp;Demand_previous!$D$3:$AY$3, 0))/1000</f>
        <v>0.2417473958333336</v>
      </c>
      <c r="AO41" s="298">
        <f t="array" ref="AO41">INDEX(Demand_previous!$D$4:$AY$138, MATCH('Staging Table'!$A41, Demand_previous!$B$4:$B$138, 0), MATCH(AO$4&amp;AO$5,Demand_previous!$D$2:$AY$2&amp;Demand_previous!$D$3:$AY$3, 0))/1000</f>
        <v>0.30419675925925937</v>
      </c>
      <c r="AP41" s="298">
        <f t="array" ref="AP41">INDEX(Demand_previous!$D$4:$AY$138, MATCH('Staging Table'!$A41, Demand_previous!$B$4:$B$138, 0), MATCH(AP$4&amp;AP$5,Demand_previous!$D$2:$AY$2&amp;Demand_previous!$D$3:$AY$3, 0))/1000</f>
        <v>0.35397596153846245</v>
      </c>
      <c r="AQ41" s="298">
        <f t="array" ref="AQ41">INDEX(Demand_previous!$D$4:$AY$138, MATCH('Staging Table'!$A41, Demand_previous!$B$4:$B$138, 0), MATCH(AQ$4&amp;AQ$5,Demand_previous!$D$2:$AY$2&amp;Demand_previous!$D$3:$AY$3, 0))/1000</f>
        <v>0</v>
      </c>
      <c r="AR41" s="298">
        <f t="array" ref="AR41">INDEX(Demand_previous!$D$4:$AY$138, MATCH('Staging Table'!$A41, Demand_previous!$B$4:$B$138, 0), MATCH(AR$4&amp;AR$5,Demand_previous!$D$2:$AY$2&amp;Demand_previous!$D$3:$AY$3, 0))/1000</f>
        <v>0.21446634615384608</v>
      </c>
      <c r="AS41" s="298">
        <f t="array" ref="AS41">INDEX(Demand_previous!$D$4:$AY$138, MATCH('Staging Table'!$A41, Demand_previous!$B$4:$B$138, 0), MATCH(AS$4&amp;AS$5,Demand_previous!$D$2:$AY$2&amp;Demand_previous!$D$3:$AY$3, 0))/1000</f>
        <v>5.3292499999999743E-2</v>
      </c>
      <c r="AT41" s="298">
        <f t="array" ref="AT41">INDEX(Demand_previous!$D$4:$AY$138, MATCH('Staging Table'!$A41, Demand_previous!$B$4:$B$138, 0), MATCH(AT$4&amp;AT$5,Demand_previous!$D$2:$AY$2&amp;Demand_previous!$D$3:$AY$3, 0))/1000</f>
        <v>0.12967824074074008</v>
      </c>
      <c r="AU41" s="298">
        <f t="array" ref="AU41">INDEX(Demand_previous!$D$4:$AY$138, MATCH('Staging Table'!$A41, Demand_previous!$B$4:$B$138, 0), MATCH(AU$4&amp;AU$5,Demand_previous!$D$2:$AY$2&amp;Demand_previous!$D$3:$AY$3, 0))/1000</f>
        <v>0.2553674999999993</v>
      </c>
      <c r="AV41" s="180">
        <f>$F41*(VLOOKUP(AV$4, Rates_previous!$G$6:$Q$29, 10, FALSE)+VLOOKUP(AV$4, Rates_previous!$G$6:$Q$29, 11, FALSE))</f>
        <v>2349.3696086716318</v>
      </c>
      <c r="AW41" s="180">
        <f>$F41*(VLOOKUP(AW$4, Rates_previous!$G$6:$Q$29, 10, FALSE)+VLOOKUP(AW$4, Rates_previous!$G$6:$Q$29, 11, FALSE))</f>
        <v>2974.387189068877</v>
      </c>
      <c r="AX41" s="180">
        <f>$F41*(VLOOKUP(AX$4, Rates_previous!$G$6:$Q$29, 10, FALSE)+VLOOKUP(AX$4, Rates_previous!$G$6:$Q$29, 11, FALSE))</f>
        <v>2911.3308254608119</v>
      </c>
      <c r="AY41" s="180">
        <f>$F41*(VLOOKUP(AY$4, Rates_previous!$G$6:$Q$29, 10, FALSE)+VLOOKUP(AY$4, Rates_previous!$G$6:$Q$29, 11, FALSE))</f>
        <v>2404.6354579475615</v>
      </c>
      <c r="AZ41" s="180">
        <f>$F41*(VLOOKUP(AZ$4, Rates_previous!$G$6:$Q$29, 10, FALSE)+VLOOKUP(AZ$4, Rates_previous!$G$6:$Q$29, 11, FALSE))</f>
        <v>2084.1502540106749</v>
      </c>
      <c r="BA41" s="180">
        <f>$F41*(VLOOKUP(BA$4, Rates_previous!$G$6:$Q$29, 10, FALSE)+VLOOKUP(BA$4, Rates_previous!$G$6:$Q$29, 11, FALSE))</f>
        <v>2488.0545315559666</v>
      </c>
      <c r="BB41" s="180">
        <f>$F41*(VLOOKUP(BB$4, Rates_previous!$G$6:$Q$29, 10, FALSE)+VLOOKUP(BB$4, Rates_previous!$G$6:$Q$29, 11, FALSE))</f>
        <v>1931.6431117918128</v>
      </c>
      <c r="BC41" s="180">
        <f>$F41*(VLOOKUP(BC$4, Rates_previous!$G$6:$Q$29, 10, FALSE)+VLOOKUP(BC$4, Rates_previous!$G$6:$Q$29, 11, FALSE))</f>
        <v>2676.3057463185505</v>
      </c>
      <c r="BD41" s="180">
        <f>$F41*(VLOOKUP(BD$4, Rates_previous!$G$6:$Q$29, 10, FALSE)+VLOOKUP(BD$4, Rates_previous!$G$6:$Q$29, 11, FALSE))</f>
        <v>2859.6887295122647</v>
      </c>
      <c r="BE41" s="180">
        <f>$F41*(VLOOKUP(BE$4, Rates_previous!$G$6:$Q$29, 10, FALSE)+VLOOKUP(BE$4, Rates_previous!$G$6:$Q$29, 11, FALSE))</f>
        <v>2715.1449573943505</v>
      </c>
      <c r="BF41" s="180">
        <f>$F41*(VLOOKUP(BF$4, Rates_previous!$G$6:$Q$29, 10, FALSE)+VLOOKUP(BF$4, Rates_previous!$G$6:$Q$29, 11, FALSE))</f>
        <v>2623.9781387864928</v>
      </c>
      <c r="BG41" s="180">
        <f>$F41*(VLOOKUP(BG$4, Rates_previous!$G$6:$Q$29, 10, FALSE)+VLOOKUP(BG$4, Rates_previous!$G$6:$Q$29, 11, FALSE))</f>
        <v>2424.8293391193411</v>
      </c>
      <c r="BH41" s="298">
        <f>IF($D41=0,IF(C41=0, MAX(BJ41 - (VLOOKUP($A41,TOCA_previous!$A$2:$AI$137,MATCH("RHWM 2022",TOCA_previous!$A$2:$AI$2,0),FALSE)*$F$2*TOCA_previous!C38),0),0), 0)</f>
        <v>3193.4895573176691</v>
      </c>
      <c r="BI41" s="192">
        <f>MIN(VLOOKUP($A41,TOCA_previous!$A$2:$AI$137,MATCH("TRL - NLSL - Existing Resource "&amp;$F$1,TOCA_previous!$A$2:$AI$2,0),FALSE)*$F$2,(VLOOKUP($A41,TOCA_previous!$A$2:$AI$137,MATCH("RHWM 2022",TOCA_previous!$A$2:$AI$2,0),FALSE)*$F$2))</f>
        <v>30441</v>
      </c>
      <c r="BJ41" s="402">
        <f>SUM(L41:AI41)+(F41*RT1SC!$C$3*$F$2)</f>
        <v>33634.489557317669</v>
      </c>
      <c r="BK41" s="401">
        <f>VLOOKUP($A41,TOCA_previous!$A$2:$AI$137,MATCH("Above RHWM Not Served with LS "&amp;$F$1,TOCA_previous!$A$2:$AI$2,0),FALSE)*$F$2</f>
        <v>0</v>
      </c>
      <c r="BL41" s="402">
        <f t="shared" si="8"/>
        <v>3193.4895573176691</v>
      </c>
      <c r="BM41" s="401">
        <f>(VLOOKUP($A41,TOCA_previous!$A$2:$AI$137,MATCH("RHWM 2022",TOCA_previous!$A$2:$AI$2,0),FALSE)*$F$2) - $BI41</f>
        <v>0</v>
      </c>
      <c r="BN41" s="402">
        <f t="shared" si="9"/>
        <v>0</v>
      </c>
      <c r="BO41" s="401">
        <f t="shared" si="10"/>
        <v>0</v>
      </c>
      <c r="BP41" s="402">
        <f t="shared" si="11"/>
        <v>0</v>
      </c>
      <c r="BQ41" s="401">
        <f t="shared" si="18"/>
        <v>0</v>
      </c>
      <c r="BR41" s="108">
        <f>VLOOKUP($A41,TOCA_current!$A$2:$AI$137,MATCH(BR$4,TOCA_current!$A$2:$AI$2,0),FALSE)</f>
        <v>5.1579999999999996E-4</v>
      </c>
      <c r="BS41" s="108">
        <f>VLOOKUP($A41,TOCA_current!$A$2:$AI$137,MATCH(BS$4,TOCA_current!$A$2:$AI$2,0),FALSE)</f>
        <v>5.1579999999999996E-4</v>
      </c>
      <c r="BT41" s="189">
        <f t="shared" si="12"/>
        <v>0</v>
      </c>
      <c r="BU41" s="108">
        <f>VLOOKUP($A41,TOCA_current!A37:BG172,MATCH(BU$4,TOCA_current!$A$2:$BG$2,0),FALSE)</f>
        <v>0</v>
      </c>
      <c r="BV41" s="108">
        <f t="shared" si="19"/>
        <v>0</v>
      </c>
      <c r="BW41" s="108">
        <f t="shared" si="20"/>
        <v>0</v>
      </c>
      <c r="BX41" s="179">
        <f>VLOOKUP($A41,IRD!$A$4:$G$139, 7, FALSE)</f>
        <v>0</v>
      </c>
      <c r="BY41" s="180">
        <f t="array" ref="BY41">IF($BT41=0, INDEX(LS_current!$D$4:$AY$138, MATCH('Staging Table'!$A41, LS_current!$B$4:$B$138, 0), MATCH(BY$4&amp;BY$5, LS_current!$D$2:$AY$2&amp;LS_current!$D$3:$AY$3, 0)),SUM(VLOOKUP($A41, LS_current!$B$4:$AY$138, LS_current!D$148, FALSE), VLOOKUP($A41, LS_current!$B$4:$AY$138,LS_current!AB$148, FALSE))/2)</f>
        <v>403.86336623119996</v>
      </c>
      <c r="BZ41" s="180">
        <f t="array" ref="BZ41">IF($BT41=0, INDEX(LS_current!$D$4:$AY$138, MATCH('Staging Table'!$A41, LS_current!$B$4:$B$138, 0), MATCH(BZ$4&amp;BZ$5, LS_current!$D$2:$AY$2&amp;LS_current!$D$3:$AY$3, 0)),SUM(VLOOKUP($A41, LS_current!$B$4:$AY$138, LS_current!E$148, FALSE), VLOOKUP($A41, LS_current!$B$4:$AY$138,LS_current!AC$148, FALSE))/2)</f>
        <v>117.43565358710009</v>
      </c>
      <c r="CA41" s="180">
        <f t="array" ref="CA41">IF($BT41=0, INDEX(LS_current!$D$4:$AY$138, MATCH('Staging Table'!$A41, LS_current!$B$4:$B$138, 0), MATCH(CA$4&amp;CA$5, LS_current!$D$2:$AY$2&amp;LS_current!$D$3:$AY$3, 0)),SUM(VLOOKUP($A41, LS_current!$B$4:$AY$138, LS_current!F$148, FALSE), VLOOKUP($A41, LS_current!$B$4:$AY$138,LS_current!AD$148, FALSE))/2)</f>
        <v>22.078436217600029</v>
      </c>
      <c r="CB41" s="180">
        <f t="array" ref="CB41">IF($BT41=0, INDEX(LS_current!$D$4:$AY$138, MATCH('Staging Table'!$A41, LS_current!$B$4:$B$138, 0), MATCH(CB$4&amp;CB$5, LS_current!$D$2:$AY$2&amp;LS_current!$D$3:$AY$3, 0)),SUM(VLOOKUP($A41, LS_current!$B$4:$AY$138, LS_current!G$148, FALSE), VLOOKUP($A41, LS_current!$B$4:$AY$138,LS_current!AE$148, FALSE))/2)</f>
        <v>-78.031197869799939</v>
      </c>
      <c r="CC41" s="180">
        <f t="array" ref="CC41">IF($BT41=0, INDEX(LS_current!$D$4:$AY$138, MATCH('Staging Table'!$A41, LS_current!$B$4:$B$138, 0), MATCH(CC$4&amp;CC$5, LS_current!$D$2:$AY$2&amp;LS_current!$D$3:$AY$3, 0)),SUM(VLOOKUP($A41, LS_current!$B$4:$AY$138, LS_current!H$148, FALSE), VLOOKUP($A41, LS_current!$B$4:$AY$138,LS_current!AF$148, FALSE))/2)</f>
        <v>-18.324544176199879</v>
      </c>
      <c r="CD41" s="180">
        <f t="array" ref="CD41">IF($BT41=0, INDEX(LS_current!$D$4:$AY$138, MATCH('Staging Table'!$A41, LS_current!$B$4:$B$138, 0), MATCH(CD$4&amp;CD$5, LS_current!$D$2:$AY$2&amp;LS_current!$D$3:$AY$3, 0)),SUM(VLOOKUP($A41, LS_current!$B$4:$AY$138, LS_current!I$148, FALSE), VLOOKUP($A41, LS_current!$B$4:$AY$138,LS_current!AG$148, FALSE))/2)</f>
        <v>-20.233548396799733</v>
      </c>
      <c r="CE41" s="180">
        <f t="array" ref="CE41">IF($BT41=0, INDEX(LS_current!$D$4:$AY$138, MATCH('Staging Table'!$A41, LS_current!$B$4:$B$138, 0), MATCH(CE$4&amp;CE$5, LS_current!$D$2:$AY$2&amp;LS_current!$D$3:$AY$3, 0)),SUM(VLOOKUP($A41, LS_current!$B$4:$AY$138, LS_current!J$148, FALSE), VLOOKUP($A41, LS_current!$B$4:$AY$138,LS_current!AH$148, FALSE))/2)</f>
        <v>118.44621340300023</v>
      </c>
      <c r="CF41" s="180">
        <f t="array" ref="CF41">IF($BT41=0, INDEX(LS_current!$D$4:$AY$138, MATCH('Staging Table'!$A41, LS_current!$B$4:$B$138, 0), MATCH(CF$4&amp;CF$5, LS_current!$D$2:$AY$2&amp;LS_current!$D$3:$AY$3, 0)),SUM(VLOOKUP($A41, LS_current!$B$4:$AY$138, LS_current!K$148, FALSE), VLOOKUP($A41, LS_current!$B$4:$AY$138,LS_current!AI$148, FALSE))/2)</f>
        <v>13.476404641799945</v>
      </c>
      <c r="CG41" s="180">
        <f t="array" ref="CG41">IF($BT41=0, INDEX(LS_current!$D$4:$AY$138, MATCH('Staging Table'!$A41, LS_current!$B$4:$B$138, 0), MATCH(CG$4&amp;CG$5, LS_current!$D$2:$AY$2&amp;LS_current!$D$3:$AY$3, 0)),SUM(VLOOKUP($A41, LS_current!$B$4:$AY$138, LS_current!L$148, FALSE), VLOOKUP($A41, LS_current!$B$4:$AY$138,LS_current!AJ$148, FALSE))/2)</f>
        <v>267.87912561180042</v>
      </c>
      <c r="CH41" s="180">
        <f t="array" ref="CH41">IF($BT41=0, INDEX(LS_current!$D$4:$AY$138, MATCH('Staging Table'!$A41, LS_current!$B$4:$B$138, 0), MATCH(CH$4&amp;CH$5, LS_current!$D$2:$AY$2&amp;LS_current!$D$3:$AY$3, 0)),SUM(VLOOKUP($A41, LS_current!$B$4:$AY$138, LS_current!M$148, FALSE), VLOOKUP($A41, LS_current!$B$4:$AY$138,LS_current!AK$148, FALSE))/2)</f>
        <v>110.76056954779995</v>
      </c>
      <c r="CI41" s="180">
        <f t="array" ref="CI41">IF($BT41=0, INDEX(LS_current!$D$4:$AY$138, MATCH('Staging Table'!$A41, LS_current!$B$4:$B$138, 0), MATCH(CI$4&amp;CI$5, LS_current!$D$2:$AY$2&amp;LS_current!$D$3:$AY$3, 0)),SUM(VLOOKUP($A41, LS_current!$B$4:$AY$138, LS_current!N$148, FALSE), VLOOKUP($A41, LS_current!$B$4:$AY$138,LS_current!AL$148, FALSE))/2)</f>
        <v>158.8307215146001</v>
      </c>
      <c r="CJ41" s="180">
        <f t="array" ref="CJ41">IF($BT41=0, INDEX(LS_current!$D$4:$AY$138, MATCH('Staging Table'!$A41, LS_current!$B$4:$B$138, 0), MATCH(CJ$4&amp;CJ$5, LS_current!$D$2:$AY$2&amp;LS_current!$D$3:$AY$3, 0)),SUM(VLOOKUP($A41, LS_current!$B$4:$AY$138, LS_current!O$148, FALSE), VLOOKUP($A41, LS_current!$B$4:$AY$138,LS_current!AM$148, FALSE))/2)</f>
        <v>-23.410353092399873</v>
      </c>
      <c r="CK41" s="180">
        <f t="array" ref="CK41">IF($BT41=0, INDEX(LS_current!$D$4:$AY$138, MATCH('Staging Table'!$A41, LS_current!$B$4:$B$138, 0), MATCH(CK$4&amp;CK$5, LS_current!$D$2:$AY$2&amp;LS_current!$D$3:$AY$3, 0)),SUM(VLOOKUP($A41, LS_current!$B$4:$AY$138, LS_current!P$148, FALSE), VLOOKUP($A41, LS_current!$B$4:$AY$138,LS_current!AN$148, FALSE))/2)</f>
        <v>355.0560683655001</v>
      </c>
      <c r="CL41" s="180">
        <f t="array" ref="CL41">IF($BT41=0, INDEX(LS_current!$D$4:$AY$138, MATCH('Staging Table'!$A41, LS_current!$B$4:$B$138, 0), MATCH(CL$4&amp;CL$5, LS_current!$D$2:$AY$2&amp;LS_current!$D$3:$AY$3, 0)),SUM(VLOOKUP($A41, LS_current!$B$4:$AY$138, LS_current!Q$148, FALSE), VLOOKUP($A41, LS_current!$B$4:$AY$138,LS_current!AO$148, FALSE))/2)</f>
        <v>55.893896429350207</v>
      </c>
      <c r="CM41" s="180">
        <f t="array" ref="CM41">IF($BT41=0, INDEX(LS_current!$D$4:$AY$138, MATCH('Staging Table'!$A41, LS_current!$B$4:$B$138, 0), MATCH(CM$4&amp;CM$5, LS_current!$D$2:$AY$2&amp;LS_current!$D$3:$AY$3, 0)),SUM(VLOOKUP($A41, LS_current!$B$4:$AY$138, LS_current!R$148, FALSE), VLOOKUP($A41, LS_current!$B$4:$AY$138,LS_current!AP$148, FALSE))/2)</f>
        <v>-15.388130198399949</v>
      </c>
      <c r="CN41" s="180">
        <f t="array" ref="CN41">IF($BT41=0, INDEX(LS_current!$D$4:$AY$138, MATCH('Staging Table'!$A41, LS_current!$B$4:$B$138, 0), MATCH(CN$4&amp;CN$5, LS_current!$D$2:$AY$2&amp;LS_current!$D$3:$AY$3, 0)),SUM(VLOOKUP($A41, LS_current!$B$4:$AY$138, LS_current!S$148, FALSE), VLOOKUP($A41, LS_current!$B$4:$AY$138,LS_current!AQ$148, FALSE))/2)</f>
        <v>-151.41127195429999</v>
      </c>
      <c r="CO41" s="180">
        <f t="array" ref="CO41">IF($BT41=0, INDEX(LS_current!$D$4:$AY$138, MATCH('Staging Table'!$A41, LS_current!$B$4:$B$138, 0), MATCH(CO$4&amp;CO$5, LS_current!$D$2:$AY$2&amp;LS_current!$D$3:$AY$3, 0)),SUM(VLOOKUP($A41, LS_current!$B$4:$AY$138, LS_current!T$148, FALSE), VLOOKUP($A41, LS_current!$B$4:$AY$138,LS_current!AR$148, FALSE))/2)</f>
        <v>-137.50208823079993</v>
      </c>
      <c r="CP41" s="180">
        <f t="array" ref="CP41">IF($BT41=0, INDEX(LS_current!$D$4:$AY$138, MATCH('Staging Table'!$A41, LS_current!$B$4:$B$138, 0), MATCH(CP$4&amp;CP$5, LS_current!$D$2:$AY$2&amp;LS_current!$D$3:$AY$3, 0)),SUM(VLOOKUP($A41, LS_current!$B$4:$AY$138, LS_current!U$148, FALSE), VLOOKUP($A41, LS_current!$B$4:$AY$138,LS_current!AS$148, FALSE))/2)</f>
        <v>-140.97107311109983</v>
      </c>
      <c r="CQ41" s="180">
        <f t="array" ref="CQ41">IF($BT41=0, INDEX(LS_current!$D$4:$AY$138, MATCH('Staging Table'!$A41, LS_current!$B$4:$B$138, 0), MATCH(CQ$4&amp;CQ$5, LS_current!$D$2:$AY$2&amp;LS_current!$D$3:$AY$3, 0)),SUM(VLOOKUP($A41, LS_current!$B$4:$AY$138, LS_current!V$148, FALSE), VLOOKUP($A41, LS_current!$B$4:$AY$138,LS_current!AT$148, FALSE))/2)</f>
        <v>150.30801612880009</v>
      </c>
      <c r="CR41" s="180">
        <f t="array" ref="CR41">IF($BT41=0, INDEX(LS_current!$D$4:$AY$138, MATCH('Staging Table'!$A41, LS_current!$B$4:$B$138, 0), MATCH(CR$4&amp;CR$5, LS_current!$D$2:$AY$2&amp;LS_current!$D$3:$AY$3, 0)),SUM(VLOOKUP($A41, LS_current!$B$4:$AY$138, LS_current!W$148, FALSE), VLOOKUP($A41, LS_current!$B$4:$AY$138,LS_current!AU$148, FALSE))/2)</f>
        <v>30.883068735500046</v>
      </c>
      <c r="CS41" s="180">
        <f t="array" ref="CS41">IF($BT41=0, INDEX(LS_current!$D$4:$AY$138, MATCH('Staging Table'!$A41, LS_current!$B$4:$B$138, 0), MATCH(CS$4&amp;CS$5, LS_current!$D$2:$AY$2&amp;LS_current!$D$3:$AY$3, 0)),SUM(VLOOKUP($A41, LS_current!$B$4:$AY$138, LS_current!X$148, FALSE), VLOOKUP($A41, LS_current!$B$4:$AY$138,LS_current!AV$148, FALSE))/2)</f>
        <v>188.58492954030021</v>
      </c>
      <c r="CT41" s="180">
        <f t="array" ref="CT41">IF($BT41=0, INDEX(LS_current!$D$4:$AY$138, MATCH('Staging Table'!$A41, LS_current!$B$4:$B$138, 0), MATCH(CT$4&amp;CT$5, LS_current!$D$2:$AY$2&amp;LS_current!$D$3:$AY$3, 0)),SUM(VLOOKUP($A41, LS_current!$B$4:$AY$138, LS_current!Y$148, FALSE), VLOOKUP($A41, LS_current!$B$4:$AY$138,LS_current!AW$148, FALSE))/2)</f>
        <v>-7.9039015866298996</v>
      </c>
      <c r="CU41" s="180">
        <f t="array" ref="CU41">IF($BT41=0, INDEX(LS_current!$D$4:$AY$138, MATCH('Staging Table'!$A41, LS_current!$B$4:$B$138, 0), MATCH(CU$4&amp;CU$5, LS_current!$D$2:$AY$2&amp;LS_current!$D$3:$AY$3, 0)),SUM(VLOOKUP($A41, LS_current!$B$4:$AY$138, LS_current!Z$148, FALSE), VLOOKUP($A41, LS_current!$B$4:$AY$138,LS_current!AX$148, FALSE))/2)</f>
        <v>195.86783827080012</v>
      </c>
      <c r="CV41" s="180">
        <f t="array" ref="CV41">IF($BT41=0, INDEX(LS_current!$D$4:$AY$138, MATCH('Staging Table'!$A41, LS_current!$B$4:$B$138, 0), MATCH(CV$4&amp;CV$5, LS_current!$D$2:$AY$2&amp;LS_current!$D$3:$AY$3, 0)),SUM(VLOOKUP($A41, LS_current!$B$4:$AY$138, LS_current!AA$148, FALSE), VLOOKUP($A41, LS_current!$B$4:$AY$138,LS_current!AY$148, FALSE))/2)</f>
        <v>35.696216156800006</v>
      </c>
      <c r="CW41" s="182">
        <f t="array" ref="CW41">INDEX(Demand_current!$D$4:$AY$138, MATCH($A41, Demand_current!$B$4:$B$138, 0), MATCH(CW$4&amp;CW$5,Demand_current!$D$2:$AY$2&amp;Demand_current!$D$3:$AY$3, 0))/1000</f>
        <v>0.50738942307692281</v>
      </c>
      <c r="CX41" s="182">
        <f t="array" ref="CX41">INDEX(Demand_current!$D$4:$AY$138, MATCH($A41, Demand_current!$B$4:$B$138, 0), MATCH(CX$4&amp;CX$5,Demand_current!$D$2:$AY$2&amp;Demand_current!$D$3:$AY$3, 0))/1000</f>
        <v>0.30524750000000012</v>
      </c>
      <c r="CY41" s="182">
        <f t="array" ref="CY41">INDEX(Demand_current!$D$4:$AY$138, MATCH($A41, Demand_current!$B$4:$B$138, 0), MATCH(CY$4&amp;CY$5,Demand_current!$D$2:$AY$2&amp;Demand_current!$D$3:$AY$3, 0))/1000</f>
        <v>0.43714500000000012</v>
      </c>
      <c r="CZ41" s="182">
        <f t="array" ref="CZ41">INDEX(Demand_current!$D$4:$AY$138, MATCH($A41, Demand_current!$B$4:$B$138, 0), MATCH(CZ$4&amp;CZ$5,Demand_current!$D$2:$AY$2&amp;Demand_current!$D$3:$AY$3, 0))/1000</f>
        <v>0.45837500000000025</v>
      </c>
      <c r="DA41" s="182">
        <f t="array" ref="DA41">INDEX(Demand_current!$D$4:$AY$138, MATCH($A41, Demand_current!$B$4:$B$138, 0), MATCH(DA$4&amp;DA$5,Demand_current!$D$2:$AY$2&amp;Demand_current!$D$3:$AY$3, 0))/1000</f>
        <v>0.44695750000000012</v>
      </c>
      <c r="DB41" s="182">
        <f t="array" ref="DB41">INDEX(Demand_current!$D$4:$AY$138, MATCH($A41, Demand_current!$B$4:$B$138, 0), MATCH(DB$4&amp;DB$5,Demand_current!$D$2:$AY$2&amp;Demand_current!$D$3:$AY$3, 0))/1000</f>
        <v>0.13162740384615401</v>
      </c>
      <c r="DC41" s="182">
        <f t="array" ref="DC41">INDEX(Demand_current!$D$4:$AY$138, MATCH($A41, Demand_current!$B$4:$B$138, 0), MATCH(DC$4&amp;DC$5,Demand_current!$D$2:$AY$2&amp;Demand_current!$D$3:$AY$3, 0))/1000</f>
        <v>0.35397596153846245</v>
      </c>
      <c r="DD41" s="182">
        <f t="array" ref="DD41">INDEX(Demand_current!$D$4:$AY$138, MATCH($A41, Demand_current!$B$4:$B$138, 0), MATCH(DD$4&amp;DD$5,Demand_current!$D$2:$AY$2&amp;Demand_current!$D$3:$AY$3, 0))/1000</f>
        <v>0.13926201923076942</v>
      </c>
      <c r="DE41" s="182">
        <f t="array" ref="DE41">INDEX(Demand_current!$D$4:$AY$138, MATCH($A41, Demand_current!$B$4:$B$138, 0), MATCH(DE$4&amp;DE$5,Demand_current!$D$2:$AY$2&amp;Demand_current!$D$3:$AY$3, 0))/1000</f>
        <v>5.1125000000000087E-2</v>
      </c>
      <c r="DF41" s="182">
        <f t="array" ref="DF41">INDEX(Demand_current!$D$4:$AY$138, MATCH($A41, Demand_current!$B$4:$B$138, 0), MATCH(DF$4&amp;DF$5,Demand_current!$D$2:$AY$2&amp;Demand_current!$D$3:$AY$3, 0))/1000</f>
        <v>0.21985817307692312</v>
      </c>
      <c r="DG41" s="182">
        <f t="array" ref="DG41">INDEX(Demand_current!$D$4:$AY$138, MATCH($A41, Demand_current!$B$4:$B$138, 0), MATCH(DG$4&amp;DG$5,Demand_current!$D$2:$AY$2&amp;Demand_current!$D$3:$AY$3, 0))/1000</f>
        <v>0.12967824074074008</v>
      </c>
      <c r="DH41" s="182">
        <f t="array" ref="DH41">INDEX(Demand_current!$D$4:$AY$138, MATCH($A41, Demand_current!$B$4:$B$138, 0), MATCH(DH$4&amp;DH$5,Demand_current!$D$2:$AY$2&amp;Demand_current!$D$3:$AY$3, 0))/1000</f>
        <v>9.4466145833333126E-2</v>
      </c>
      <c r="DI41" s="180">
        <f>$BS41*(VLOOKUP(DI$4, Rates_current!$G$6:$Q$29, 10, FALSE)+VLOOKUP(DI$4, Rates_current!$G$6:$Q$29, 11, FALSE))</f>
        <v>2176.0589801817</v>
      </c>
      <c r="DJ41" s="180">
        <f>$BS41*(VLOOKUP(DJ$4, Rates_current!$G$6:$Q$29, 10, FALSE)+VLOOKUP(DJ$4, Rates_current!$G$6:$Q$29, 11, FALSE))</f>
        <v>2775.1927616522003</v>
      </c>
      <c r="DK41" s="180">
        <f>$BS41*(VLOOKUP(DK$4, Rates_current!$G$6:$Q$29, 10, FALSE)+VLOOKUP(DK$4, Rates_current!$G$6:$Q$29, 11, FALSE))</f>
        <v>2994.982092573</v>
      </c>
      <c r="DL41" s="180">
        <f>$BS41*(VLOOKUP(DL$4, Rates_current!$G$6:$Q$29, 10, FALSE)+VLOOKUP(DL$4, Rates_current!$G$6:$Q$29, 11, FALSE))</f>
        <v>3112.2493819551996</v>
      </c>
      <c r="DM41" s="180">
        <f>$BS41*(VLOOKUP(DM$4, Rates_current!$G$6:$Q$29, 10, FALSE)+VLOOKUP(DM$4, Rates_current!$G$6:$Q$29, 11, FALSE))</f>
        <v>2676.9493048403997</v>
      </c>
      <c r="DN41" s="180">
        <f>$BS41*(VLOOKUP(DN$4, Rates_current!$G$6:$Q$29, 10, FALSE)+VLOOKUP(DN$4, Rates_current!$G$6:$Q$29, 11, FALSE))</f>
        <v>2922.6986315777999</v>
      </c>
      <c r="DO41" s="180">
        <f>$BS41*(VLOOKUP(DO$4, Rates_current!$G$6:$Q$29, 10, FALSE)+VLOOKUP(DO$4, Rates_current!$G$6:$Q$29, 11, FALSE))</f>
        <v>2306.9780352051498</v>
      </c>
      <c r="DP41" s="180">
        <f>$BS41*(VLOOKUP(DP$4, Rates_current!$G$6:$Q$29, 10, FALSE)+VLOOKUP(DP$4, Rates_current!$G$6:$Q$29, 11, FALSE))</f>
        <v>2862.1154021527</v>
      </c>
      <c r="DQ41" s="180">
        <f>$BS41*(VLOOKUP(DQ$4, Rates_current!$G$6:$Q$29, 10, FALSE)+VLOOKUP(DQ$4, Rates_current!$G$6:$Q$29, 11, FALSE))</f>
        <v>2924.2161613418994</v>
      </c>
      <c r="DR41" s="180">
        <f>$BS41*(VLOOKUP(DR$4, Rates_current!$G$6:$Q$29, 10, FALSE)+VLOOKUP(DR$4, Rates_current!$G$6:$Q$29, 11, FALSE))</f>
        <v>2538.6409151356997</v>
      </c>
      <c r="DS41" s="180">
        <f>$BS41*(VLOOKUP(DS$4, Rates_current!$G$6:$Q$29, 10, FALSE)+VLOOKUP(DS$4, Rates_current!$G$6:$Q$29, 11, FALSE))</f>
        <v>2454.19097204633</v>
      </c>
      <c r="DT41" s="180">
        <f>$BS41*(VLOOKUP(DT$4, Rates_current!$G$6:$Q$29, 10, FALSE)+VLOOKUP(DT$4, Rates_current!$G$6:$Q$29, 11, FALSE))</f>
        <v>2258.3309455724002</v>
      </c>
      <c r="DU41" s="402">
        <f>IF(D41=0,IF(C41=0,MAX(0,DW41 - (VLOOKUP($A41,TOCA_current!$A$2:$AI$137,MATCH("RHWM 2024",TOCA_current!$A$2:$AI$2,0),FALSE)*$BS$2)), 0),0)</f>
        <v>1634.3761466935212</v>
      </c>
      <c r="DV41" s="403">
        <f>MIN(VLOOKUP($A41,TOCA_current!$A$2:$AI$137,MATCH("TRL - NLSL - Existing Resource "&amp;$BS$1,TOCA_current!$A$2:$AI$2,0),FALSE)*$BS$2, VLOOKUP($A41,TOCA_current!$A$2:$AI$137,MATCH("RHWM 2024",TOCA_current!$A$2:$AI$2,0),FALSE)*$BS$2)</f>
        <v>32000.111999999997</v>
      </c>
      <c r="DW41" s="403">
        <f>SUM(BY41:CV41)+(BS41*RT1SC!$C$4*$BS$2)</f>
        <v>33634.488146693519</v>
      </c>
      <c r="DX41" s="403">
        <f>VLOOKUP($A41,TOCA_current!$A$2:$AI$137,MATCH("Above RHWM Not Served with LS "&amp;$BS$1,TOCA_current!$A$2:$AI$2,0),FALSE)*$BS$2</f>
        <v>0</v>
      </c>
      <c r="DY41" s="403">
        <f t="shared" si="13"/>
        <v>1634.3761466935212</v>
      </c>
      <c r="DZ41" s="403">
        <f>(VLOOKUP($A41,TOCA_current!$A$2:$AI$137,MATCH("RHWM 2024",TOCA_current!$A$2:$AI$2,0),FALSE)*$BS$2) - $DV41</f>
        <v>0</v>
      </c>
      <c r="EA41" s="403">
        <f t="shared" si="14"/>
        <v>0</v>
      </c>
      <c r="EB41" s="403">
        <f t="shared" si="15"/>
        <v>0</v>
      </c>
      <c r="EC41" s="403">
        <f t="shared" si="16"/>
        <v>0</v>
      </c>
      <c r="ED41" s="403">
        <f t="shared" si="17"/>
        <v>0</v>
      </c>
    </row>
    <row r="42" spans="1:134">
      <c r="A42" s="123">
        <v>10097</v>
      </c>
      <c r="B42" s="124" t="s">
        <v>43</v>
      </c>
      <c r="C42" s="232">
        <f>VLOOKUP(A42, TOCA_current!$A$3:$D$137, 4, FALSE)</f>
        <v>0</v>
      </c>
      <c r="D42" s="191">
        <v>0</v>
      </c>
      <c r="E42" s="107">
        <f>VLOOKUP($A42,TOCA_previous!$A$2:$AI$137,MATCH(E$4,TOCA_previous!$A$2:$AI$2,0),FALSE)</f>
        <v>2.8860000000000002E-4</v>
      </c>
      <c r="F42" s="108">
        <f>VLOOKUP($A42,TOCA_previous!$A$2:$AI$137,MATCH(F$4,TOCA_previous!$A$2:$AI$2,0),FALSE)</f>
        <v>2.8860000000000002E-4</v>
      </c>
      <c r="G42" s="108">
        <f t="shared" si="5"/>
        <v>0</v>
      </c>
      <c r="H42" s="108">
        <f>VLOOKUP($A42,TOCA_previous!$A$2:$AI$137,MATCH(H$4,TOCA_previous!$A$2:$AI$2,0),FALSE)</f>
        <v>0</v>
      </c>
      <c r="I42" s="108">
        <f t="shared" si="6"/>
        <v>0</v>
      </c>
      <c r="J42" s="108">
        <f t="shared" si="7"/>
        <v>0</v>
      </c>
      <c r="K42" s="179">
        <f>VLOOKUP(A42, IRD!$A$5:$C$139, 3, FALSE)</f>
        <v>0</v>
      </c>
      <c r="L42" s="180">
        <f t="array" ref="L42">IF($G42=0, INDEX(LS_previous!$D$4:$AY$138, MATCH('Staging Table'!$A42, LS_previous!$B$4:$B$138, 0), MATCH(L$4&amp;L$5, LS_previous!$D$2:$AY$2&amp;LS_previous!$D$3:$AY$3, 0)),SUM(VLOOKUP($A42, LS_previous!$B$4:$AY$138, LS_previous!D$149, FALSE), VLOOKUP('Staging Table'!$A42, LS_previous!$B$4:$AY$138,LS_previous!AB$149, FALSE))/2)</f>
        <v>21.514929655054743</v>
      </c>
      <c r="M42" s="180">
        <f t="array" ref="M42">IF($G42=0, INDEX(LS_previous!$D$4:$AY$138, MATCH('Staging Table'!$A42, LS_previous!$B$4:$B$138, 0), MATCH(M$4&amp;M$5, LS_previous!$D$2:$AY$2&amp;LS_previous!$D$3:$AY$3, 0)),SUM(VLOOKUP($A42, LS_previous!$B$4:$AY$138, LS_previous!E$149, FALSE), VLOOKUP('Staging Table'!$A42, LS_previous!$B$4:$AY$138,LS_previous!AC$149, FALSE))/2)</f>
        <v>72.318482512743401</v>
      </c>
      <c r="N42" s="180">
        <f t="array" ref="N42">IF($G42=0, INDEX(LS_previous!$D$4:$AY$138, MATCH('Staging Table'!$A42, LS_previous!$B$4:$B$138, 0), MATCH(N$4&amp;N$5, LS_previous!$D$2:$AY$2&amp;LS_previous!$D$3:$AY$3, 0)),SUM(VLOOKUP($A42, LS_previous!$B$4:$AY$138, LS_previous!F$149, FALSE), VLOOKUP('Staging Table'!$A42, LS_previous!$B$4:$AY$138,LS_previous!AD$149, FALSE))/2)</f>
        <v>-77.299976222317468</v>
      </c>
      <c r="O42" s="180">
        <f t="array" ref="O42">IF($G42=0, INDEX(LS_previous!$D$4:$AY$138, MATCH('Staging Table'!$A42, LS_previous!$B$4:$B$138, 0), MATCH(O$4&amp;O$5, LS_previous!$D$2:$AY$2&amp;LS_previous!$D$3:$AY$3, 0)),SUM(VLOOKUP($A42, LS_previous!$B$4:$AY$138, LS_previous!G$149, FALSE), VLOOKUP('Staging Table'!$A42, LS_previous!$B$4:$AY$138,LS_previous!AE$149, FALSE))/2)</f>
        <v>32.114842155099382</v>
      </c>
      <c r="P42" s="180">
        <f t="array" ref="P42">IF($G42=0, INDEX(LS_previous!$D$4:$AY$138, MATCH('Staging Table'!$A42, LS_previous!$B$4:$B$138, 0), MATCH(P$4&amp;P$5, LS_previous!$D$2:$AY$2&amp;LS_previous!$D$3:$AY$3, 0)),SUM(VLOOKUP($A42, LS_previous!$B$4:$AY$138, LS_previous!H$149, FALSE), VLOOKUP('Staging Table'!$A42, LS_previous!$B$4:$AY$138,LS_previous!AF$149, FALSE))/2)</f>
        <v>344.60532848318496</v>
      </c>
      <c r="Q42" s="180">
        <f t="array" ref="Q42">IF($G42=0, INDEX(LS_previous!$D$4:$AY$138, MATCH('Staging Table'!$A42, LS_previous!$B$4:$B$138, 0), MATCH(Q$4&amp;Q$5, LS_previous!$D$2:$AY$2&amp;LS_previous!$D$3:$AY$3, 0)),SUM(VLOOKUP($A42, LS_previous!$B$4:$AY$138, LS_previous!I$149, FALSE), VLOOKUP('Staging Table'!$A42, LS_previous!$B$4:$AY$138,LS_previous!AG$149, FALSE))/2)</f>
        <v>251.83294438366852</v>
      </c>
      <c r="R42" s="180">
        <f t="array" ref="R42">IF($G42=0, INDEX(LS_previous!$D$4:$AY$138, MATCH('Staging Table'!$A42, LS_previous!$B$4:$B$138, 0), MATCH(R$4&amp;R$5, LS_previous!$D$2:$AY$2&amp;LS_previous!$D$3:$AY$3, 0)),SUM(VLOOKUP($A42, LS_previous!$B$4:$AY$138, LS_previous!J$149, FALSE), VLOOKUP('Staging Table'!$A42, LS_previous!$B$4:$AY$138,LS_previous!AH$149, FALSE))/2)</f>
        <v>536.4810913065586</v>
      </c>
      <c r="S42" s="180">
        <f t="array" ref="S42">IF($G42=0, INDEX(LS_previous!$D$4:$AY$138, MATCH('Staging Table'!$A42, LS_previous!$B$4:$B$138, 0), MATCH(S$4&amp;S$5, LS_previous!$D$2:$AY$2&amp;LS_previous!$D$3:$AY$3, 0)),SUM(VLOOKUP($A42, LS_previous!$B$4:$AY$138, LS_previous!K$149, FALSE), VLOOKUP('Staging Table'!$A42, LS_previous!$B$4:$AY$138,LS_previous!AI$149, FALSE))/2)</f>
        <v>391.9210113031213</v>
      </c>
      <c r="T42" s="180">
        <f t="array" ref="T42">IF($G42=0, INDEX(LS_previous!$D$4:$AY$138, MATCH('Staging Table'!$A42, LS_previous!$B$4:$B$138, 0), MATCH(T$4&amp;T$5, LS_previous!$D$2:$AY$2&amp;LS_previous!$D$3:$AY$3, 0)),SUM(VLOOKUP($A42, LS_previous!$B$4:$AY$138, LS_previous!L$149, FALSE), VLOOKUP('Staging Table'!$A42, LS_previous!$B$4:$AY$138,LS_previous!AJ$149, FALSE))/2)</f>
        <v>410.73623088805823</v>
      </c>
      <c r="U42" s="180">
        <f t="array" ref="U42">IF($G42=0, INDEX(LS_previous!$D$4:$AY$138, MATCH('Staging Table'!$A42, LS_previous!$B$4:$B$138, 0), MATCH(U$4&amp;U$5, LS_previous!$D$2:$AY$2&amp;LS_previous!$D$3:$AY$3, 0)),SUM(VLOOKUP($A42, LS_previous!$B$4:$AY$138, LS_previous!M$149, FALSE), VLOOKUP('Staging Table'!$A42, LS_previous!$B$4:$AY$138,LS_previous!AK$149, FALSE))/2)</f>
        <v>233.37873633915484</v>
      </c>
      <c r="V42" s="180">
        <f t="array" ref="V42">IF($G42=0, INDEX(LS_previous!$D$4:$AY$138, MATCH('Staging Table'!$A42, LS_previous!$B$4:$B$138, 0), MATCH(V$4&amp;V$5, LS_previous!$D$2:$AY$2&amp;LS_previous!$D$3:$AY$3, 0)),SUM(VLOOKUP($A42, LS_previous!$B$4:$AY$138, LS_previous!N$149, FALSE), VLOOKUP('Staging Table'!$A42, LS_previous!$B$4:$AY$138,LS_previous!AL$149, FALSE))/2)</f>
        <v>168.9971920715011</v>
      </c>
      <c r="W42" s="180">
        <f t="array" ref="W42">IF($G42=0, INDEX(LS_previous!$D$4:$AY$138, MATCH('Staging Table'!$A42, LS_previous!$B$4:$B$138, 0), MATCH(W$4&amp;W$5, LS_previous!$D$2:$AY$2&amp;LS_previous!$D$3:$AY$3, 0)),SUM(VLOOKUP($A42, LS_previous!$B$4:$AY$138, LS_previous!O$149, FALSE), VLOOKUP('Staging Table'!$A42, LS_previous!$B$4:$AY$138,LS_previous!AM$149, FALSE))/2)</f>
        <v>161.09038496464564</v>
      </c>
      <c r="X42" s="180">
        <f t="array" ref="X42">IF($G42=0, INDEX(LS_previous!$D$4:$AY$138, MATCH('Staging Table'!$A42, LS_previous!$B$4:$B$138, 0), MATCH(X$4&amp;X$5, LS_previous!$D$2:$AY$2&amp;LS_previous!$D$3:$AY$3, 0)),SUM(VLOOKUP($A42, LS_previous!$B$4:$AY$138, LS_previous!P$149, FALSE), VLOOKUP('Staging Table'!$A42, LS_previous!$B$4:$AY$138,LS_previous!AN$149, FALSE))/2)</f>
        <v>178.59628565718106</v>
      </c>
      <c r="Y42" s="180">
        <f t="array" ref="Y42">IF($G42=0, INDEX(LS_previous!$D$4:$AY$138, MATCH('Staging Table'!$A42, LS_previous!$B$4:$B$138, 0), MATCH(Y$4&amp;Y$5, LS_previous!$D$2:$AY$2&amp;LS_previous!$D$3:$AY$3, 0)),SUM(VLOOKUP($A42, LS_previous!$B$4:$AY$138, LS_previous!Q$149, FALSE), VLOOKUP('Staging Table'!$A42, LS_previous!$B$4:$AY$138,LS_previous!AO$149, FALSE))/2)</f>
        <v>160.22381462753071</v>
      </c>
      <c r="Z42" s="180">
        <f t="array" ref="Z42">IF($G42=0, INDEX(LS_previous!$D$4:$AY$138, MATCH('Staging Table'!$A42, LS_previous!$B$4:$B$138, 0), MATCH(Z$4&amp;Z$5, LS_previous!$D$2:$AY$2&amp;LS_previous!$D$3:$AY$3, 0)),SUM(VLOOKUP($A42, LS_previous!$B$4:$AY$138, LS_previous!R$149, FALSE), VLOOKUP('Staging Table'!$A42, LS_previous!$B$4:$AY$138,LS_previous!AP$149, FALSE))/2)</f>
        <v>-375.12681195377377</v>
      </c>
      <c r="AA42" s="180">
        <f t="array" ref="AA42">IF($G42=0, INDEX(LS_previous!$D$4:$AY$138, MATCH('Staging Table'!$A42, LS_previous!$B$4:$B$138, 0), MATCH(AA$4&amp;AA$5, LS_previous!$D$2:$AY$2&amp;LS_previous!$D$3:$AY$3, 0)),SUM(VLOOKUP($A42, LS_previous!$B$4:$AY$138, LS_previous!S$149, FALSE), VLOOKUP('Staging Table'!$A42, LS_previous!$B$4:$AY$138,LS_previous!AQ$149, FALSE))/2)</f>
        <v>-55.752362086803316</v>
      </c>
      <c r="AB42" s="180">
        <f t="array" ref="AB42">IF($G42=0, INDEX(LS_previous!$D$4:$AY$138, MATCH('Staging Table'!$A42, LS_previous!$B$4:$B$138, 0), MATCH(AB$4&amp;AB$5, LS_previous!$D$2:$AY$2&amp;LS_previous!$D$3:$AY$3, 0)),SUM(VLOOKUP($A42, LS_previous!$B$4:$AY$138, LS_previous!T$149, FALSE), VLOOKUP('Staging Table'!$A42, LS_previous!$B$4:$AY$138,LS_previous!AR$149, FALSE))/2)</f>
        <v>-521.35343866900075</v>
      </c>
      <c r="AC42" s="180">
        <f t="array" ref="AC42">IF($G42=0, INDEX(LS_previous!$D$4:$AY$138, MATCH('Staging Table'!$A42, LS_previous!$B$4:$B$138, 0), MATCH(AC$4&amp;AC$5, LS_previous!$D$2:$AY$2&amp;LS_previous!$D$3:$AY$3, 0)),SUM(VLOOKUP($A42, LS_previous!$B$4:$AY$138, LS_previous!U$149, FALSE), VLOOKUP('Staging Table'!$A42, LS_previous!$B$4:$AY$138,LS_previous!AS$149, FALSE))/2)</f>
        <v>-89.534145431095567</v>
      </c>
      <c r="AD42" s="180">
        <f t="array" ref="AD42">IF($G42=0, INDEX(LS_previous!$D$4:$AY$138, MATCH('Staging Table'!$A42, LS_previous!$B$4:$B$138, 0), MATCH(AD$4&amp;AD$5, LS_previous!$D$2:$AY$2&amp;LS_previous!$D$3:$AY$3, 0)),SUM(VLOOKUP($A42, LS_previous!$B$4:$AY$138, LS_previous!V$149, FALSE), VLOOKUP('Staging Table'!$A42, LS_previous!$B$4:$AY$138,LS_previous!AT$149, FALSE))/2)</f>
        <v>-378.89992488980954</v>
      </c>
      <c r="AE42" s="180">
        <f t="array" ref="AE42">IF($G42=0, INDEX(LS_previous!$D$4:$AY$138, MATCH('Staging Table'!$A42, LS_previous!$B$4:$B$138, 0), MATCH(AE$4&amp;AE$5, LS_previous!$D$2:$AY$2&amp;LS_previous!$D$3:$AY$3, 0)),SUM(VLOOKUP($A42, LS_previous!$B$4:$AY$138, LS_previous!W$149, FALSE), VLOOKUP('Staging Table'!$A42, LS_previous!$B$4:$AY$138,LS_previous!AU$149, FALSE))/2)</f>
        <v>-112.92132090202904</v>
      </c>
      <c r="AF42" s="180">
        <f t="array" ref="AF42">IF($G42=0, INDEX(LS_previous!$D$4:$AY$138, MATCH('Staging Table'!$A42, LS_previous!$B$4:$B$138, 0), MATCH(AF$4&amp;AF$5, LS_previous!$D$2:$AY$2&amp;LS_previous!$D$3:$AY$3, 0)),SUM(VLOOKUP($A42, LS_previous!$B$4:$AY$138, LS_previous!X$149, FALSE), VLOOKUP('Staging Table'!$A42, LS_previous!$B$4:$AY$138,LS_previous!AV$149, FALSE))/2)</f>
        <v>-350.28779175623276</v>
      </c>
      <c r="AG42" s="180">
        <f t="array" ref="AG42">IF($G42=0, INDEX(LS_previous!$D$4:$AY$138, MATCH('Staging Table'!$A42, LS_previous!$B$4:$B$138, 0), MATCH(AG$4&amp;AG$5, LS_previous!$D$2:$AY$2&amp;LS_previous!$D$3:$AY$3, 0)),SUM(VLOOKUP($A42, LS_previous!$B$4:$AY$138, LS_previous!Y$149, FALSE), VLOOKUP('Staging Table'!$A42, LS_previous!$B$4:$AY$138,LS_previous!AW$149, FALSE))/2)</f>
        <v>-120.21575671010157</v>
      </c>
      <c r="AH42" s="180">
        <f t="array" ref="AH42">IF($G42=0, INDEX(LS_previous!$D$4:$AY$138, MATCH('Staging Table'!$A42, LS_previous!$B$4:$B$138, 0), MATCH(AH$4&amp;AH$5, LS_previous!$D$2:$AY$2&amp;LS_previous!$D$3:$AY$3, 0)),SUM(VLOOKUP($A42, LS_previous!$B$4:$AY$138, LS_previous!Z$149, FALSE), VLOOKUP('Staging Table'!$A42, LS_previous!$B$4:$AY$138,LS_previous!AX$149, FALSE))/2)</f>
        <v>-272.93908920505248</v>
      </c>
      <c r="AI42" s="180">
        <f t="array" ref="AI42">IF($G42=0, INDEX(LS_previous!$D$4:$AY$138, MATCH('Staging Table'!$A42, LS_previous!$B$4:$B$138, 0), MATCH(AI$4&amp;AI$5, LS_previous!$D$2:$AY$2&amp;LS_previous!$D$3:$AY$3, 0)),SUM(VLOOKUP($A42, LS_previous!$B$4:$AY$138, LS_previous!AA$149, FALSE), VLOOKUP('Staging Table'!$A42, LS_previous!$B$4:$AY$138,LS_previous!AY$149, FALSE))/2)</f>
        <v>-96.737482165061692</v>
      </c>
      <c r="AJ42" s="298">
        <f t="array" ref="AJ42">INDEX(Demand_previous!$D$4:$AY$138, MATCH('Staging Table'!$A42, Demand_previous!$B$4:$B$138, 0), MATCH(AJ$4&amp;AJ$5,Demand_previous!$D$2:$AY$2&amp;Demand_previous!$D$3:$AY$3, 0))/1000</f>
        <v>0.44498317307692303</v>
      </c>
      <c r="AK42" s="298">
        <f t="array" ref="AK42">INDEX(Demand_previous!$D$4:$AY$138, MATCH('Staging Table'!$A42, Demand_previous!$B$4:$B$138, 0), MATCH(AK$4&amp;AK$5,Demand_previous!$D$2:$AY$2&amp;Demand_previous!$D$3:$AY$3, 0))/1000</f>
        <v>0.29162250000000017</v>
      </c>
      <c r="AL42" s="298">
        <f t="array" ref="AL42">INDEX(Demand_previous!$D$4:$AY$138, MATCH('Staging Table'!$A42, Demand_previous!$B$4:$B$138, 0), MATCH(AL$4&amp;AL$5,Demand_previous!$D$2:$AY$2&amp;Demand_previous!$D$3:$AY$3, 0))/1000</f>
        <v>0.75306009615384606</v>
      </c>
      <c r="AM42" s="298">
        <f t="array" ref="AM42">INDEX(Demand_previous!$D$4:$AY$138, MATCH('Staging Table'!$A42, Demand_previous!$B$4:$B$138, 0), MATCH(AM$4&amp;AM$5,Demand_previous!$D$2:$AY$2&amp;Demand_previous!$D$3:$AY$3, 0))/1000</f>
        <v>0.55068249999999952</v>
      </c>
      <c r="AN42" s="298">
        <f t="array" ref="AN42">INDEX(Demand_previous!$D$4:$AY$138, MATCH('Staging Table'!$A42, Demand_previous!$B$4:$B$138, 0), MATCH(AN$4&amp;AN$5,Demand_previous!$D$2:$AY$2&amp;Demand_previous!$D$3:$AY$3, 0))/1000</f>
        <v>0.16069010416666696</v>
      </c>
      <c r="AO42" s="298">
        <f t="array" ref="AO42">INDEX(Demand_previous!$D$4:$AY$138, MATCH('Staging Table'!$A42, Demand_previous!$B$4:$B$138, 0), MATCH(AO$4&amp;AO$5,Demand_previous!$D$2:$AY$2&amp;Demand_previous!$D$3:$AY$3, 0))/1000</f>
        <v>0.4141296296296294</v>
      </c>
      <c r="AP42" s="298">
        <f t="array" ref="AP42">INDEX(Demand_previous!$D$4:$AY$138, MATCH('Staging Table'!$A42, Demand_previous!$B$4:$B$138, 0), MATCH(AP$4&amp;AP$5,Demand_previous!$D$2:$AY$2&amp;Demand_previous!$D$3:$AY$3, 0))/1000</f>
        <v>0.46798317307692305</v>
      </c>
      <c r="AQ42" s="298">
        <f t="array" ref="AQ42">INDEX(Demand_previous!$D$4:$AY$138, MATCH('Staging Table'!$A42, Demand_previous!$B$4:$B$138, 0), MATCH(AQ$4&amp;AQ$5,Demand_previous!$D$2:$AY$2&amp;Demand_previous!$D$3:$AY$3, 0))/1000</f>
        <v>0.2256625000000001</v>
      </c>
      <c r="AR42" s="298">
        <f t="array" ref="AR42">INDEX(Demand_previous!$D$4:$AY$138, MATCH('Staging Table'!$A42, Demand_previous!$B$4:$B$138, 0), MATCH(AR$4&amp;AR$5,Demand_previous!$D$2:$AY$2&amp;Demand_previous!$D$3:$AY$3, 0))/1000</f>
        <v>0.2889062500000002</v>
      </c>
      <c r="AS42" s="298">
        <f t="array" ref="AS42">INDEX(Demand_previous!$D$4:$AY$138, MATCH('Staging Table'!$A42, Demand_previous!$B$4:$B$138, 0), MATCH(AS$4&amp;AS$5,Demand_previous!$D$2:$AY$2&amp;Demand_previous!$D$3:$AY$3, 0))/1000</f>
        <v>0.19214750000000017</v>
      </c>
      <c r="AT42" s="298">
        <f t="array" ref="AT42">INDEX(Demand_previous!$D$4:$AY$138, MATCH('Staging Table'!$A42, Demand_previous!$B$4:$B$138, 0), MATCH(AT$4&amp;AT$5,Demand_previous!$D$2:$AY$2&amp;Demand_previous!$D$3:$AY$3, 0))/1000</f>
        <v>0.28158796296296307</v>
      </c>
      <c r="AU42" s="298">
        <f t="array" ref="AU42">INDEX(Demand_previous!$D$4:$AY$138, MATCH('Staging Table'!$A42, Demand_previous!$B$4:$B$138, 0), MATCH(AU$4&amp;AU$5,Demand_previous!$D$2:$AY$2&amp;Demand_previous!$D$3:$AY$3, 0))/1000</f>
        <v>0.28107499999999996</v>
      </c>
      <c r="AV42" s="180">
        <f>$F42*(VLOOKUP(AV$4, Rates_previous!$G$6:$Q$29, 10, FALSE)+VLOOKUP(AV$4, Rates_previous!$G$6:$Q$29, 11, FALSE))</f>
        <v>1314.2625878322019</v>
      </c>
      <c r="AW42" s="180">
        <f>$F42*(VLOOKUP(AW$4, Rates_previous!$G$6:$Q$29, 10, FALSE)+VLOOKUP(AW$4, Rates_previous!$G$6:$Q$29, 11, FALSE))</f>
        <v>1663.9041340672181</v>
      </c>
      <c r="AX42" s="180">
        <f>$F42*(VLOOKUP(AX$4, Rates_previous!$G$6:$Q$29, 10, FALSE)+VLOOKUP(AX$4, Rates_previous!$G$6:$Q$29, 11, FALSE))</f>
        <v>1628.6297271331468</v>
      </c>
      <c r="AY42" s="180">
        <f>$F42*(VLOOKUP(AY$4, Rates_previous!$G$6:$Q$29, 10, FALSE)+VLOOKUP(AY$4, Rates_previous!$G$6:$Q$29, 11, FALSE))</f>
        <v>1345.1788973903203</v>
      </c>
      <c r="AZ42" s="180">
        <f>$F42*(VLOOKUP(AZ$4, Rates_previous!$G$6:$Q$29, 10, FALSE)+VLOOKUP(AZ$4, Rates_previous!$G$6:$Q$29, 11, FALSE))</f>
        <v>1165.8960327727868</v>
      </c>
      <c r="BA42" s="180">
        <f>$F42*(VLOOKUP(BA$4, Rates_previous!$G$6:$Q$29, 10, FALSE)+VLOOKUP(BA$4, Rates_previous!$G$6:$Q$29, 11, FALSE))</f>
        <v>1391.8444229638535</v>
      </c>
      <c r="BB42" s="180">
        <f>$F42*(VLOOKUP(BB$4, Rates_previous!$G$6:$Q$29, 10, FALSE)+VLOOKUP(BB$4, Rates_previous!$G$6:$Q$29, 11, FALSE))</f>
        <v>1080.5818997152883</v>
      </c>
      <c r="BC42" s="180">
        <f>$F42*(VLOOKUP(BC$4, Rates_previous!$G$6:$Q$29, 10, FALSE)+VLOOKUP(BC$4, Rates_previous!$G$6:$Q$29, 11, FALSE))</f>
        <v>1497.1541740405771</v>
      </c>
      <c r="BD42" s="180">
        <f>$F42*(VLOOKUP(BD$4, Rates_previous!$G$6:$Q$29, 10, FALSE)+VLOOKUP(BD$4, Rates_previous!$G$6:$Q$29, 11, FALSE))</f>
        <v>1599.7405841000962</v>
      </c>
      <c r="BE42" s="180">
        <f>$F42*(VLOOKUP(BE$4, Rates_previous!$G$6:$Q$29, 10, FALSE)+VLOOKUP(BE$4, Rates_previous!$G$6:$Q$29, 11, FALSE))</f>
        <v>1518.8812457918386</v>
      </c>
      <c r="BF42" s="180">
        <f>$F42*(VLOOKUP(BF$4, Rates_previous!$G$6:$Q$29, 10, FALSE)+VLOOKUP(BF$4, Rates_previous!$G$6:$Q$29, 11, FALSE))</f>
        <v>1467.8815484663344</v>
      </c>
      <c r="BG42" s="180">
        <f>$F42*(VLOOKUP(BG$4, Rates_previous!$G$6:$Q$29, 10, FALSE)+VLOOKUP(BG$4, Rates_previous!$G$6:$Q$29, 11, FALSE))</f>
        <v>1356.475571370114</v>
      </c>
      <c r="BH42" s="298">
        <f>IF($D42=0,IF(C42=0, MAX(BJ42 - (VLOOKUP($A42,TOCA_previous!$A$2:$AI$137,MATCH("RHWM 2022",TOCA_previous!$A$2:$AI$2,0),FALSE)*$F$2*TOCA_previous!C39),0),0), 0)</f>
        <v>513.73487118022967</v>
      </c>
      <c r="BI42" s="192">
        <f>MIN(VLOOKUP($A42,TOCA_previous!$A$2:$AI$137,MATCH("TRL - NLSL - Existing Resource "&amp;$F$1,TOCA_previous!$A$2:$AI$2,0),FALSE)*$F$2,(VLOOKUP($A42,TOCA_previous!$A$2:$AI$137,MATCH("RHWM 2022",TOCA_previous!$A$2:$AI$2,0),FALSE)*$F$2))</f>
        <v>17029.439999999999</v>
      </c>
      <c r="BJ42" s="402">
        <f>SUM(L42:AI42)+(F42*RT1SC!$C$3*$F$2)</f>
        <v>17543.174871180228</v>
      </c>
      <c r="BK42" s="401">
        <f>VLOOKUP($A42,TOCA_previous!$A$2:$AI$137,MATCH("Above RHWM Not Served with LS "&amp;$F$1,TOCA_previous!$A$2:$AI$2,0),FALSE)*$F$2</f>
        <v>0</v>
      </c>
      <c r="BL42" s="402">
        <f t="shared" si="8"/>
        <v>513.73487118022967</v>
      </c>
      <c r="BM42" s="401">
        <f>(VLOOKUP($A42,TOCA_previous!$A$2:$AI$137,MATCH("RHWM 2022",TOCA_previous!$A$2:$AI$2,0),FALSE)*$F$2) - $BI42</f>
        <v>0</v>
      </c>
      <c r="BN42" s="402">
        <f t="shared" si="9"/>
        <v>0</v>
      </c>
      <c r="BO42" s="401">
        <f t="shared" si="10"/>
        <v>0</v>
      </c>
      <c r="BP42" s="402">
        <f t="shared" si="11"/>
        <v>0</v>
      </c>
      <c r="BQ42" s="401">
        <f t="shared" si="18"/>
        <v>0</v>
      </c>
      <c r="BR42" s="108">
        <f>VLOOKUP($A42,TOCA_current!$A$2:$AI$137,MATCH(BR$4,TOCA_current!$A$2:$AI$2,0),FALSE)</f>
        <v>2.8269999999999999E-4</v>
      </c>
      <c r="BS42" s="108">
        <f>VLOOKUP($A42,TOCA_current!$A$2:$AI$137,MATCH(BS$4,TOCA_current!$A$2:$AI$2,0),FALSE)</f>
        <v>2.8269999999999999E-4</v>
      </c>
      <c r="BT42" s="189">
        <f t="shared" si="12"/>
        <v>0</v>
      </c>
      <c r="BU42" s="108">
        <f>VLOOKUP($A42,TOCA_current!A38:BG173,MATCH(BU$4,TOCA_current!$A$2:$BG$2,0),FALSE)</f>
        <v>0</v>
      </c>
      <c r="BV42" s="108">
        <f t="shared" si="19"/>
        <v>0</v>
      </c>
      <c r="BW42" s="108">
        <f t="shared" si="20"/>
        <v>0</v>
      </c>
      <c r="BX42" s="179">
        <f>VLOOKUP($A42,IRD!$A$4:$G$139, 7, FALSE)</f>
        <v>0</v>
      </c>
      <c r="BY42" s="180">
        <f t="array" ref="BY42">IF($BT42=0, INDEX(LS_current!$D$4:$AY$138, MATCH('Staging Table'!$A42, LS_current!$B$4:$B$138, 0), MATCH(BY$4&amp;BY$5, LS_current!$D$2:$AY$2&amp;LS_current!$D$3:$AY$3, 0)),SUM(VLOOKUP($A42, LS_current!$B$4:$AY$138, LS_current!D$148, FALSE), VLOOKUP($A42, LS_current!$B$4:$AY$138,LS_current!AB$148, FALSE))/2)</f>
        <v>142.87907102279996</v>
      </c>
      <c r="BZ42" s="180">
        <f t="array" ref="BZ42">IF($BT42=0, INDEX(LS_current!$D$4:$AY$138, MATCH('Staging Table'!$A42, LS_current!$B$4:$B$138, 0), MATCH(BZ$4&amp;BZ$5, LS_current!$D$2:$AY$2&amp;LS_current!$D$3:$AY$3, 0)),SUM(VLOOKUP($A42, LS_current!$B$4:$AY$138, LS_current!E$148, FALSE), VLOOKUP($A42, LS_current!$B$4:$AY$138,LS_current!AC$148, FALSE))/2)</f>
        <v>72.561105601150018</v>
      </c>
      <c r="CA42" s="180">
        <f t="array" ref="CA42">IF($BT42=0, INDEX(LS_current!$D$4:$AY$138, MATCH('Staging Table'!$A42, LS_current!$B$4:$B$138, 0), MATCH(CA$4&amp;CA$5, LS_current!$D$2:$AY$2&amp;LS_current!$D$3:$AY$3, 0)),SUM(VLOOKUP($A42, LS_current!$B$4:$AY$138, LS_current!F$148, FALSE), VLOOKUP($A42, LS_current!$B$4:$AY$138,LS_current!AD$148, FALSE))/2)</f>
        <v>20.880432374400016</v>
      </c>
      <c r="CB42" s="180">
        <f t="array" ref="CB42">IF($BT42=0, INDEX(LS_current!$D$4:$AY$138, MATCH('Staging Table'!$A42, LS_current!$B$4:$B$138, 0), MATCH(CB$4&amp;CB$5, LS_current!$D$2:$AY$2&amp;LS_current!$D$3:$AY$3, 0)),SUM(VLOOKUP($A42, LS_current!$B$4:$AY$138, LS_current!G$148, FALSE), VLOOKUP($A42, LS_current!$B$4:$AY$138,LS_current!AE$148, FALSE))/2)</f>
        <v>76.809111016299994</v>
      </c>
      <c r="CC42" s="180">
        <f t="array" ref="CC42">IF($BT42=0, INDEX(LS_current!$D$4:$AY$138, MATCH('Staging Table'!$A42, LS_current!$B$4:$B$138, 0), MATCH(CC$4&amp;CC$5, LS_current!$D$2:$AY$2&amp;LS_current!$D$3:$AY$3, 0)),SUM(VLOOKUP($A42, LS_current!$B$4:$AY$138, LS_current!H$148, FALSE), VLOOKUP($A42, LS_current!$B$4:$AY$138,LS_current!AF$148, FALSE))/2)</f>
        <v>279.77368158470017</v>
      </c>
      <c r="CD42" s="180">
        <f t="array" ref="CD42">IF($BT42=0, INDEX(LS_current!$D$4:$AY$138, MATCH('Staging Table'!$A42, LS_current!$B$4:$B$138, 0), MATCH(CD$4&amp;CD$5, LS_current!$D$2:$AY$2&amp;LS_current!$D$3:$AY$3, 0)),SUM(VLOOKUP($A42, LS_current!$B$4:$AY$138, LS_current!I$148, FALSE), VLOOKUP($A42, LS_current!$B$4:$AY$138,LS_current!AG$148, FALSE))/2)</f>
        <v>303.80258214080004</v>
      </c>
      <c r="CE42" s="180">
        <f t="array" ref="CE42">IF($BT42=0, INDEX(LS_current!$D$4:$AY$138, MATCH('Staging Table'!$A42, LS_current!$B$4:$B$138, 0), MATCH(CE$4&amp;CE$5, LS_current!$D$2:$AY$2&amp;LS_current!$D$3:$AY$3, 0)),SUM(VLOOKUP($A42, LS_current!$B$4:$AY$138, LS_current!J$148, FALSE), VLOOKUP($A42, LS_current!$B$4:$AY$138,LS_current!AH$148, FALSE))/2)</f>
        <v>245.64695216950008</v>
      </c>
      <c r="CF42" s="180">
        <f t="array" ref="CF42">IF($BT42=0, INDEX(LS_current!$D$4:$AY$138, MATCH('Staging Table'!$A42, LS_current!$B$4:$B$138, 0), MATCH(CF$4&amp;CF$5, LS_current!$D$2:$AY$2&amp;LS_current!$D$3:$AY$3, 0)),SUM(VLOOKUP($A42, LS_current!$B$4:$AY$138, LS_current!K$148, FALSE), VLOOKUP($A42, LS_current!$B$4:$AY$138,LS_current!AI$148, FALSE))/2)</f>
        <v>322.17037920170003</v>
      </c>
      <c r="CG42" s="180">
        <f t="array" ref="CG42">IF($BT42=0, INDEX(LS_current!$D$4:$AY$138, MATCH('Staging Table'!$A42, LS_current!$B$4:$B$138, 0), MATCH(CG$4&amp;CG$5, LS_current!$D$2:$AY$2&amp;LS_current!$D$3:$AY$3, 0)),SUM(VLOOKUP($A42, LS_current!$B$4:$AY$138, LS_current!L$148, FALSE), VLOOKUP($A42, LS_current!$B$4:$AY$138,LS_current!AJ$148, FALSE))/2)</f>
        <v>155.08216500670005</v>
      </c>
      <c r="CH42" s="180">
        <f t="array" ref="CH42">IF($BT42=0, INDEX(LS_current!$D$4:$AY$138, MATCH('Staging Table'!$A42, LS_current!$B$4:$B$138, 0), MATCH(CH$4&amp;CH$5, LS_current!$D$2:$AY$2&amp;LS_current!$D$3:$AY$3, 0)),SUM(VLOOKUP($A42, LS_current!$B$4:$AY$138, LS_current!M$148, FALSE), VLOOKUP($A42, LS_current!$B$4:$AY$138,LS_current!AK$148, FALSE))/2)</f>
        <v>187.74471619070005</v>
      </c>
      <c r="CI42" s="180">
        <f t="array" ref="CI42">IF($BT42=0, INDEX(LS_current!$D$4:$AY$138, MATCH('Staging Table'!$A42, LS_current!$B$4:$B$138, 0), MATCH(CI$4&amp;CI$5, LS_current!$D$2:$AY$2&amp;LS_current!$D$3:$AY$3, 0)),SUM(VLOOKUP($A42, LS_current!$B$4:$AY$138, LS_current!N$148, FALSE), VLOOKUP($A42, LS_current!$B$4:$AY$138,LS_current!AL$148, FALSE))/2)</f>
        <v>48.491866754900116</v>
      </c>
      <c r="CJ42" s="180">
        <f t="array" ref="CJ42">IF($BT42=0, INDEX(LS_current!$D$4:$AY$138, MATCH('Staging Table'!$A42, LS_current!$B$4:$B$138, 0), MATCH(CJ$4&amp;CJ$5, LS_current!$D$2:$AY$2&amp;LS_current!$D$3:$AY$3, 0)),SUM(VLOOKUP($A42, LS_current!$B$4:$AY$138, LS_current!O$148, FALSE), VLOOKUP($A42, LS_current!$B$4:$AY$138,LS_current!AM$148, FALSE))/2)</f>
        <v>71.565563359400016</v>
      </c>
      <c r="CK42" s="180">
        <f t="array" ref="CK42">IF($BT42=0, INDEX(LS_current!$D$4:$AY$138, MATCH('Staging Table'!$A42, LS_current!$B$4:$B$138, 0), MATCH(CK$4&amp;CK$5, LS_current!$D$2:$AY$2&amp;LS_current!$D$3:$AY$3, 0)),SUM(VLOOKUP($A42, LS_current!$B$4:$AY$138, LS_current!P$148, FALSE), VLOOKUP($A42, LS_current!$B$4:$AY$138,LS_current!AN$148, FALSE))/2)</f>
        <v>74.862321300750068</v>
      </c>
      <c r="CL42" s="180">
        <f t="array" ref="CL42">IF($BT42=0, INDEX(LS_current!$D$4:$AY$138, MATCH('Staging Table'!$A42, LS_current!$B$4:$B$138, 0), MATCH(CL$4&amp;CL$5, LS_current!$D$2:$AY$2&amp;LS_current!$D$3:$AY$3, 0)),SUM(VLOOKUP($A42, LS_current!$B$4:$AY$138, LS_current!Q$148, FALSE), VLOOKUP($A42, LS_current!$B$4:$AY$138,LS_current!AO$148, FALSE))/2)</f>
        <v>80.129654363275051</v>
      </c>
      <c r="CM42" s="180">
        <f t="array" ref="CM42">IF($BT42=0, INDEX(LS_current!$D$4:$AY$138, MATCH('Staging Table'!$A42, LS_current!$B$4:$B$138, 0), MATCH(CM$4&amp;CM$5, LS_current!$D$2:$AY$2&amp;LS_current!$D$3:$AY$3, 0)),SUM(VLOOKUP($A42, LS_current!$B$4:$AY$138, LS_current!R$148, FALSE), VLOOKUP($A42, LS_current!$B$4:$AY$138,LS_current!AP$148, FALSE))/2)</f>
        <v>-319.47762292959999</v>
      </c>
      <c r="CN42" s="180">
        <f t="array" ref="CN42">IF($BT42=0, INDEX(LS_current!$D$4:$AY$138, MATCH('Staging Table'!$A42, LS_current!$B$4:$B$138, 0), MATCH(CN$4&amp;CN$5, LS_current!$D$2:$AY$2&amp;LS_current!$D$3:$AY$3, 0)),SUM(VLOOKUP($A42, LS_current!$B$4:$AY$138, LS_current!S$148, FALSE), VLOOKUP($A42, LS_current!$B$4:$AY$138,LS_current!AQ$148, FALSE))/2)</f>
        <v>-182.91745110794994</v>
      </c>
      <c r="CO42" s="180">
        <f t="array" ref="CO42">IF($BT42=0, INDEX(LS_current!$D$4:$AY$138, MATCH('Staging Table'!$A42, LS_current!$B$4:$B$138, 0), MATCH(CO$4&amp;CO$5, LS_current!$D$2:$AY$2&amp;LS_current!$D$3:$AY$3, 0)),SUM(VLOOKUP($A42, LS_current!$B$4:$AY$138, LS_current!T$148, FALSE), VLOOKUP($A42, LS_current!$B$4:$AY$138,LS_current!AR$148, FALSE))/2)</f>
        <v>-386.95124068019993</v>
      </c>
      <c r="CP42" s="180">
        <f t="array" ref="CP42">IF($BT42=0, INDEX(LS_current!$D$4:$AY$138, MATCH('Staging Table'!$A42, LS_current!$B$4:$B$138, 0), MATCH(CP$4&amp;CP$5, LS_current!$D$2:$AY$2&amp;LS_current!$D$3:$AY$3, 0)),SUM(VLOOKUP($A42, LS_current!$B$4:$AY$138, LS_current!U$148, FALSE), VLOOKUP($A42, LS_current!$B$4:$AY$138,LS_current!AS$148, FALSE))/2)</f>
        <v>-226.90205790715004</v>
      </c>
      <c r="CQ42" s="180">
        <f t="array" ref="CQ42">IF($BT42=0, INDEX(LS_current!$D$4:$AY$138, MATCH('Staging Table'!$A42, LS_current!$B$4:$B$138, 0), MATCH(CQ$4&amp;CQ$5, LS_current!$D$2:$AY$2&amp;LS_current!$D$3:$AY$3, 0)),SUM(VLOOKUP($A42, LS_current!$B$4:$AY$138, LS_current!V$148, FALSE), VLOOKUP($A42, LS_current!$B$4:$AY$138,LS_current!AT$148, FALSE))/2)</f>
        <v>-234.30887968280001</v>
      </c>
      <c r="CR42" s="180">
        <f t="array" ref="CR42">IF($BT42=0, INDEX(LS_current!$D$4:$AY$138, MATCH('Staging Table'!$A42, LS_current!$B$4:$B$138, 0), MATCH(CR$4&amp;CR$5, LS_current!$D$2:$AY$2&amp;LS_current!$D$3:$AY$3, 0)),SUM(VLOOKUP($A42, LS_current!$B$4:$AY$138, LS_current!W$148, FALSE), VLOOKUP($A42, LS_current!$B$4:$AY$138,LS_current!AU$148, FALSE))/2)</f>
        <v>-130.01108679424993</v>
      </c>
      <c r="CS42" s="180">
        <f t="array" ref="CS42">IF($BT42=0, INDEX(LS_current!$D$4:$AY$138, MATCH('Staging Table'!$A42, LS_current!$B$4:$B$138, 0), MATCH(CS$4&amp;CS$5, LS_current!$D$2:$AY$2&amp;LS_current!$D$3:$AY$3, 0)),SUM(VLOOKUP($A42, LS_current!$B$4:$AY$138, LS_current!X$148, FALSE), VLOOKUP($A42, LS_current!$B$4:$AY$138,LS_current!AV$148, FALSE))/2)</f>
        <v>-215.02863148305005</v>
      </c>
      <c r="CT42" s="180">
        <f t="array" ref="CT42">IF($BT42=0, INDEX(LS_current!$D$4:$AY$138, MATCH('Staging Table'!$A42, LS_current!$B$4:$B$138, 0), MATCH(CT$4&amp;CT$5, LS_current!$D$2:$AY$2&amp;LS_current!$D$3:$AY$3, 0)),SUM(VLOOKUP($A42, LS_current!$B$4:$AY$138, LS_current!Y$148, FALSE), VLOOKUP($A42, LS_current!$B$4:$AY$138,LS_current!AW$148, FALSE))/2)</f>
        <v>-132.6879551735949</v>
      </c>
      <c r="CU42" s="180">
        <f t="array" ref="CU42">IF($BT42=0, INDEX(LS_current!$D$4:$AY$138, MATCH('Staging Table'!$A42, LS_current!$B$4:$B$138, 0), MATCH(CU$4&amp;CU$5, LS_current!$D$2:$AY$2&amp;LS_current!$D$3:$AY$3, 0)),SUM(VLOOKUP($A42, LS_current!$B$4:$AY$138, LS_current!Z$148, FALSE), VLOOKUP($A42, LS_current!$B$4:$AY$138,LS_current!AX$148, FALSE))/2)</f>
        <v>-146.47305005980002</v>
      </c>
      <c r="CV42" s="180">
        <f t="array" ref="CV42">IF($BT42=0, INDEX(LS_current!$D$4:$AY$138, MATCH('Staging Table'!$A42, LS_current!$B$4:$B$138, 0), MATCH(CV$4&amp;CV$5, LS_current!$D$2:$AY$2&amp;LS_current!$D$3:$AY$3, 0)),SUM(VLOOKUP($A42, LS_current!$B$4:$AY$138, LS_current!AA$148, FALSE), VLOOKUP($A42, LS_current!$B$4:$AY$138,LS_current!AY$148, FALSE))/2)</f>
        <v>-104.47544570079998</v>
      </c>
      <c r="CW42" s="182">
        <f t="array" ref="CW42">INDEX(Demand_current!$D$4:$AY$138, MATCH($A42, Demand_current!$B$4:$B$138, 0), MATCH(CW$4&amp;CW$5,Demand_current!$D$2:$AY$2&amp;Demand_current!$D$3:$AY$3, 0))/1000</f>
        <v>0.44498317307692303</v>
      </c>
      <c r="CX42" s="182">
        <f t="array" ref="CX42">INDEX(Demand_current!$D$4:$AY$138, MATCH($A42, Demand_current!$B$4:$B$138, 0), MATCH(CX$4&amp;CX$5,Demand_current!$D$2:$AY$2&amp;Demand_current!$D$3:$AY$3, 0))/1000</f>
        <v>0.29162250000000017</v>
      </c>
      <c r="CY42" s="182">
        <f t="array" ref="CY42">INDEX(Demand_current!$D$4:$AY$138, MATCH($A42, Demand_current!$B$4:$B$138, 0), MATCH(CY$4&amp;CY$5,Demand_current!$D$2:$AY$2&amp;Demand_current!$D$3:$AY$3, 0))/1000</f>
        <v>0.63046249999999993</v>
      </c>
      <c r="CZ42" s="182">
        <f t="array" ref="CZ42">INDEX(Demand_current!$D$4:$AY$138, MATCH($A42, Demand_current!$B$4:$B$138, 0), MATCH(CZ$4&amp;CZ$5,Demand_current!$D$2:$AY$2&amp;Demand_current!$D$3:$AY$3, 0))/1000</f>
        <v>0.67584855769230745</v>
      </c>
      <c r="DA42" s="182">
        <f t="array" ref="DA42">INDEX(Demand_current!$D$4:$AY$138, MATCH($A42, Demand_current!$B$4:$B$138, 0), MATCH(DA$4&amp;DA$5,Demand_current!$D$2:$AY$2&amp;Demand_current!$D$3:$AY$3, 0))/1000</f>
        <v>0.27402249999999995</v>
      </c>
      <c r="DB42" s="182">
        <f t="array" ref="DB42">INDEX(Demand_current!$D$4:$AY$138, MATCH($A42, Demand_current!$B$4:$B$138, 0), MATCH(DB$4&amp;DB$5,Demand_current!$D$2:$AY$2&amp;Demand_current!$D$3:$AY$3, 0))/1000</f>
        <v>0.32298076923076924</v>
      </c>
      <c r="DC42" s="182">
        <f t="array" ref="DC42">INDEX(Demand_current!$D$4:$AY$138, MATCH($A42, Demand_current!$B$4:$B$138, 0), MATCH(DC$4&amp;DC$5,Demand_current!$D$2:$AY$2&amp;Demand_current!$D$3:$AY$3, 0))/1000</f>
        <v>0.46798317307692305</v>
      </c>
      <c r="DD42" s="182">
        <f t="array" ref="DD42">INDEX(Demand_current!$D$4:$AY$138, MATCH($A42, Demand_current!$B$4:$B$138, 0), MATCH(DD$4&amp;DD$5,Demand_current!$D$2:$AY$2&amp;Demand_current!$D$3:$AY$3, 0))/1000</f>
        <v>0.2865985576923078</v>
      </c>
      <c r="DE42" s="182">
        <f t="array" ref="DE42">INDEX(Demand_current!$D$4:$AY$138, MATCH($A42, Demand_current!$B$4:$B$138, 0), MATCH(DE$4&amp;DE$5,Demand_current!$D$2:$AY$2&amp;Demand_current!$D$3:$AY$3, 0))/1000</f>
        <v>0.22934250000000006</v>
      </c>
      <c r="DF42" s="182">
        <f t="array" ref="DF42">INDEX(Demand_current!$D$4:$AY$138, MATCH($A42, Demand_current!$B$4:$B$138, 0), MATCH(DF$4&amp;DF$5,Demand_current!$D$2:$AY$2&amp;Demand_current!$D$3:$AY$3, 0))/1000</f>
        <v>0.25298798076923079</v>
      </c>
      <c r="DG42" s="182">
        <f t="array" ref="DG42">INDEX(Demand_current!$D$4:$AY$138, MATCH($A42, Demand_current!$B$4:$B$138, 0), MATCH(DG$4&amp;DG$5,Demand_current!$D$2:$AY$2&amp;Demand_current!$D$3:$AY$3, 0))/1000</f>
        <v>0.28158796296296307</v>
      </c>
      <c r="DH42" s="182">
        <f t="array" ref="DH42">INDEX(Demand_current!$D$4:$AY$138, MATCH($A42, Demand_current!$B$4:$B$138, 0), MATCH(DH$4&amp;DH$5,Demand_current!$D$2:$AY$2&amp;Demand_current!$D$3:$AY$3, 0))/1000</f>
        <v>0.21932812499999987</v>
      </c>
      <c r="DI42" s="180">
        <f>$BS42*(VLOOKUP(DI$4, Rates_current!$G$6:$Q$29, 10, FALSE)+VLOOKUP(DI$4, Rates_current!$G$6:$Q$29, 11, FALSE))</f>
        <v>1192.65582337605</v>
      </c>
      <c r="DJ42" s="180">
        <f>$BS42*(VLOOKUP(DJ$4, Rates_current!$G$6:$Q$29, 10, FALSE)+VLOOKUP(DJ$4, Rates_current!$G$6:$Q$29, 11, FALSE))</f>
        <v>1521.0294566093</v>
      </c>
      <c r="DK42" s="180">
        <f>$BS42*(VLOOKUP(DK$4, Rates_current!$G$6:$Q$29, 10, FALSE)+VLOOKUP(DK$4, Rates_current!$G$6:$Q$29, 11, FALSE))</f>
        <v>1641.4917362745</v>
      </c>
      <c r="DL42" s="180">
        <f>$BS42*(VLOOKUP(DL$4, Rates_current!$G$6:$Q$29, 10, FALSE)+VLOOKUP(DL$4, Rates_current!$G$6:$Q$29, 11, FALSE))</f>
        <v>1705.7636686287999</v>
      </c>
      <c r="DM42" s="180">
        <f>$BS42*(VLOOKUP(DM$4, Rates_current!$G$6:$Q$29, 10, FALSE)+VLOOKUP(DM$4, Rates_current!$G$6:$Q$29, 11, FALSE))</f>
        <v>1467.1841188025999</v>
      </c>
      <c r="DN42" s="180">
        <f>$BS42*(VLOOKUP(DN$4, Rates_current!$G$6:$Q$29, 10, FALSE)+VLOOKUP(DN$4, Rates_current!$G$6:$Q$29, 11, FALSE))</f>
        <v>1601.8745698856999</v>
      </c>
      <c r="DO42" s="180">
        <f>$BS42*(VLOOKUP(DO$4, Rates_current!$G$6:$Q$29, 10, FALSE)+VLOOKUP(DO$4, Rates_current!$G$6:$Q$29, 11, FALSE))</f>
        <v>1264.4100243359749</v>
      </c>
      <c r="DP42" s="180">
        <f>$BS42*(VLOOKUP(DP$4, Rates_current!$G$6:$Q$29, 10, FALSE)+VLOOKUP(DP$4, Rates_current!$G$6:$Q$29, 11, FALSE))</f>
        <v>1568.67007403755</v>
      </c>
      <c r="DQ42" s="180">
        <f>$BS42*(VLOOKUP(DQ$4, Rates_current!$G$6:$Q$29, 10, FALSE)+VLOOKUP(DQ$4, Rates_current!$G$6:$Q$29, 11, FALSE))</f>
        <v>1602.7062985873499</v>
      </c>
      <c r="DR42" s="180">
        <f>$BS42*(VLOOKUP(DR$4, Rates_current!$G$6:$Q$29, 10, FALSE)+VLOOKUP(DR$4, Rates_current!$G$6:$Q$29, 11, FALSE))</f>
        <v>1391.3799664770499</v>
      </c>
      <c r="DS42" s="180">
        <f>$BS42*(VLOOKUP(DS$4, Rates_current!$G$6:$Q$29, 10, FALSE)+VLOOKUP(DS$4, Rates_current!$G$6:$Q$29, 11, FALSE))</f>
        <v>1345.0945866566451</v>
      </c>
      <c r="DT42" s="180">
        <f>$BS42*(VLOOKUP(DT$4, Rates_current!$G$6:$Q$29, 10, FALSE)+VLOOKUP(DT$4, Rates_current!$G$6:$Q$29, 11, FALSE))</f>
        <v>1237.7474957606</v>
      </c>
      <c r="DU42" s="402">
        <f>IF(D42=0,IF(C42=0,MAX(0,DW42 - (VLOOKUP($A42,TOCA_current!$A$2:$AI$137,MATCH("RHWM 2024",TOCA_current!$A$2:$AI$2,0),FALSE)*$BS$2)), 0),0)</f>
        <v>0</v>
      </c>
      <c r="DV42" s="403">
        <f>MIN(VLOOKUP($A42,TOCA_current!$A$2:$AI$137,MATCH("TRL - NLSL - Existing Resource "&amp;$BS$1,TOCA_current!$A$2:$AI$2,0),FALSE)*$BS$2, VLOOKUP($A42,TOCA_current!$A$2:$AI$137,MATCH("RHWM 2024",TOCA_current!$A$2:$AI$2,0),FALSE)*$BS$2)</f>
        <v>17541.648000000001</v>
      </c>
      <c r="DW42" s="403">
        <f>SUM(BY42:CV42)+(BS42*RT1SC!$C$4*$BS$2)</f>
        <v>17543.17408039988</v>
      </c>
      <c r="DX42" s="403">
        <f>VLOOKUP($A42,TOCA_current!$A$2:$AI$137,MATCH("Above RHWM Not Served with LS "&amp;$BS$1,TOCA_current!$A$2:$AI$2,0),FALSE)*$BS$2</f>
        <v>0</v>
      </c>
      <c r="DY42" s="403">
        <f t="shared" si="13"/>
        <v>1.5260803998789925</v>
      </c>
      <c r="DZ42" s="403">
        <f>(VLOOKUP($A42,TOCA_current!$A$2:$AI$137,MATCH("RHWM 2024",TOCA_current!$A$2:$AI$2,0),FALSE)*$BS$2) - $DV42</f>
        <v>360.14399999999659</v>
      </c>
      <c r="EA42" s="403">
        <f t="shared" si="14"/>
        <v>-1.5260803998789925</v>
      </c>
      <c r="EB42" s="403">
        <f t="shared" si="15"/>
        <v>0</v>
      </c>
      <c r="EC42" s="403">
        <f t="shared" si="16"/>
        <v>0</v>
      </c>
      <c r="ED42" s="403">
        <f t="shared" si="17"/>
        <v>-1.5260803998789925</v>
      </c>
    </row>
    <row r="43" spans="1:134">
      <c r="A43" s="123">
        <v>10101</v>
      </c>
      <c r="B43" s="124" t="s">
        <v>44</v>
      </c>
      <c r="C43" s="232">
        <f>VLOOKUP(A43, TOCA_current!$A$3:$D$137, 4, FALSE)</f>
        <v>0</v>
      </c>
      <c r="D43" s="191">
        <v>0</v>
      </c>
      <c r="E43" s="107">
        <f>VLOOKUP($A43,TOCA_previous!$A$2:$AI$137,MATCH(E$4,TOCA_previous!$A$2:$AI$2,0),FALSE)</f>
        <v>1.07659E-2</v>
      </c>
      <c r="F43" s="108">
        <f>VLOOKUP($A43,TOCA_previous!$A$2:$AI$137,MATCH(F$4,TOCA_previous!$A$2:$AI$2,0),FALSE)</f>
        <v>1.07659E-2</v>
      </c>
      <c r="G43" s="108">
        <f t="shared" si="5"/>
        <v>0</v>
      </c>
      <c r="H43" s="108">
        <f>VLOOKUP($A43,TOCA_previous!$A$2:$AI$137,MATCH(H$4,TOCA_previous!$A$2:$AI$2,0),FALSE)</f>
        <v>5.2929999999999998E-2</v>
      </c>
      <c r="I43" s="108">
        <f t="shared" si="6"/>
        <v>0</v>
      </c>
      <c r="J43" s="108">
        <f t="shared" si="7"/>
        <v>0</v>
      </c>
      <c r="K43" s="179">
        <f>VLOOKUP(A43, IRD!$A$5:$C$139, 3, FALSE)</f>
        <v>0</v>
      </c>
      <c r="L43" s="180">
        <f t="array" ref="L43">IF($G43=0, INDEX(LS_previous!$D$4:$AY$138, MATCH('Staging Table'!$A43, LS_previous!$B$4:$B$138, 0), MATCH(L$4&amp;L$5, LS_previous!$D$2:$AY$2&amp;LS_previous!$D$3:$AY$3, 0)),SUM(VLOOKUP($A43, LS_previous!$B$4:$AY$138, LS_previous!D$149, FALSE), VLOOKUP('Staging Table'!$A43, LS_previous!$B$4:$AY$138,LS_previous!AB$149, FALSE))/2)</f>
        <v>-36.443908962733985</v>
      </c>
      <c r="M43" s="180">
        <f t="array" ref="M43">IF($G43=0, INDEX(LS_previous!$D$4:$AY$138, MATCH('Staging Table'!$A43, LS_previous!$B$4:$B$138, 0), MATCH(M$4&amp;M$5, LS_previous!$D$2:$AY$2&amp;LS_previous!$D$3:$AY$3, 0)),SUM(VLOOKUP($A43, LS_previous!$B$4:$AY$138, LS_previous!E$149, FALSE), VLOOKUP('Staging Table'!$A43, LS_previous!$B$4:$AY$138,LS_previous!AC$149, FALSE))/2)</f>
        <v>682.35498747035308</v>
      </c>
      <c r="N43" s="180">
        <f t="array" ref="N43">IF($G43=0, INDEX(LS_previous!$D$4:$AY$138, MATCH('Staging Table'!$A43, LS_previous!$B$4:$B$138, 0), MATCH(N$4&amp;N$5, LS_previous!$D$2:$AY$2&amp;LS_previous!$D$3:$AY$3, 0)),SUM(VLOOKUP($A43, LS_previous!$B$4:$AY$138, LS_previous!F$149, FALSE), VLOOKUP('Staging Table'!$A43, LS_previous!$B$4:$AY$138,LS_previous!AD$149, FALSE))/2)</f>
        <v>432.05208831653727</v>
      </c>
      <c r="O43" s="180">
        <f t="array" ref="O43">IF($G43=0, INDEX(LS_previous!$D$4:$AY$138, MATCH('Staging Table'!$A43, LS_previous!$B$4:$B$138, 0), MATCH(O$4&amp;O$5, LS_previous!$D$2:$AY$2&amp;LS_previous!$D$3:$AY$3, 0)),SUM(VLOOKUP($A43, LS_previous!$B$4:$AY$138, LS_previous!G$149, FALSE), VLOOKUP('Staging Table'!$A43, LS_previous!$B$4:$AY$138,LS_previous!AE$149, FALSE))/2)</f>
        <v>1852.3054253554583</v>
      </c>
      <c r="P43" s="180">
        <f t="array" ref="P43">IF($G43=0, INDEX(LS_previous!$D$4:$AY$138, MATCH('Staging Table'!$A43, LS_previous!$B$4:$B$138, 0), MATCH(P$4&amp;P$5, LS_previous!$D$2:$AY$2&amp;LS_previous!$D$3:$AY$3, 0)),SUM(VLOOKUP($A43, LS_previous!$B$4:$AY$138, LS_previous!H$149, FALSE), VLOOKUP('Staging Table'!$A43, LS_previous!$B$4:$AY$138,LS_previous!AF$149, FALSE))/2)</f>
        <v>11683.889514958828</v>
      </c>
      <c r="Q43" s="180">
        <f t="array" ref="Q43">IF($G43=0, INDEX(LS_previous!$D$4:$AY$138, MATCH('Staging Table'!$A43, LS_previous!$B$4:$B$138, 0), MATCH(Q$4&amp;Q$5, LS_previous!$D$2:$AY$2&amp;LS_previous!$D$3:$AY$3, 0)),SUM(VLOOKUP($A43, LS_previous!$B$4:$AY$138, LS_previous!I$149, FALSE), VLOOKUP('Staging Table'!$A43, LS_previous!$B$4:$AY$138,LS_previous!AG$149, FALSE))/2)</f>
        <v>4787.9052704093519</v>
      </c>
      <c r="R43" s="180">
        <f t="array" ref="R43">IF($G43=0, INDEX(LS_previous!$D$4:$AY$138, MATCH('Staging Table'!$A43, LS_previous!$B$4:$B$138, 0), MATCH(R$4&amp;R$5, LS_previous!$D$2:$AY$2&amp;LS_previous!$D$3:$AY$3, 0)),SUM(VLOOKUP($A43, LS_previous!$B$4:$AY$138, LS_previous!J$149, FALSE), VLOOKUP('Staging Table'!$A43, LS_previous!$B$4:$AY$138,LS_previous!AH$149, FALSE))/2)</f>
        <v>18179.034836442403</v>
      </c>
      <c r="S43" s="180">
        <f t="array" ref="S43">IF($G43=0, INDEX(LS_previous!$D$4:$AY$138, MATCH('Staging Table'!$A43, LS_previous!$B$4:$B$138, 0), MATCH(S$4&amp;S$5, LS_previous!$D$2:$AY$2&amp;LS_previous!$D$3:$AY$3, 0)),SUM(VLOOKUP($A43, LS_previous!$B$4:$AY$138, LS_previous!K$149, FALSE), VLOOKUP('Staging Table'!$A43, LS_previous!$B$4:$AY$138,LS_previous!AI$149, FALSE))/2)</f>
        <v>9612.4359154132835</v>
      </c>
      <c r="T43" s="180">
        <f t="array" ref="T43">IF($G43=0, INDEX(LS_previous!$D$4:$AY$138, MATCH('Staging Table'!$A43, LS_previous!$B$4:$B$138, 0), MATCH(T$4&amp;T$5, LS_previous!$D$2:$AY$2&amp;LS_previous!$D$3:$AY$3, 0)),SUM(VLOOKUP($A43, LS_previous!$B$4:$AY$138, LS_previous!L$149, FALSE), VLOOKUP('Staging Table'!$A43, LS_previous!$B$4:$AY$138,LS_previous!AJ$149, FALSE))/2)</f>
        <v>17446.750819188317</v>
      </c>
      <c r="U43" s="180">
        <f t="array" ref="U43">IF($G43=0, INDEX(LS_previous!$D$4:$AY$138, MATCH('Staging Table'!$A43, LS_previous!$B$4:$B$138, 0), MATCH(U$4&amp;U$5, LS_previous!$D$2:$AY$2&amp;LS_previous!$D$3:$AY$3, 0)),SUM(VLOOKUP($A43, LS_previous!$B$4:$AY$138, LS_previous!M$149, FALSE), VLOOKUP('Staging Table'!$A43, LS_previous!$B$4:$AY$138,LS_previous!AK$149, FALSE))/2)</f>
        <v>8886.7785445381414</v>
      </c>
      <c r="V43" s="180">
        <f t="array" ref="V43">IF($G43=0, INDEX(LS_previous!$D$4:$AY$138, MATCH('Staging Table'!$A43, LS_previous!$B$4:$B$138, 0), MATCH(V$4&amp;V$5, LS_previous!$D$2:$AY$2&amp;LS_previous!$D$3:$AY$3, 0)),SUM(VLOOKUP($A43, LS_previous!$B$4:$AY$138, LS_previous!N$149, FALSE), VLOOKUP('Staging Table'!$A43, LS_previous!$B$4:$AY$138,LS_previous!AL$149, FALSE))/2)</f>
        <v>7952.305804305528</v>
      </c>
      <c r="W43" s="180">
        <f t="array" ref="W43">IF($G43=0, INDEX(LS_previous!$D$4:$AY$138, MATCH('Staging Table'!$A43, LS_previous!$B$4:$B$138, 0), MATCH(W$4&amp;W$5, LS_previous!$D$2:$AY$2&amp;LS_previous!$D$3:$AY$3, 0)),SUM(VLOOKUP($A43, LS_previous!$B$4:$AY$138, LS_previous!O$149, FALSE), VLOOKUP('Staging Table'!$A43, LS_previous!$B$4:$AY$138,LS_previous!AM$149, FALSE))/2)</f>
        <v>4960.9317439046354</v>
      </c>
      <c r="X43" s="180">
        <f t="array" ref="X43">IF($G43=0, INDEX(LS_previous!$D$4:$AY$138, MATCH('Staging Table'!$A43, LS_previous!$B$4:$B$138, 0), MATCH(X$4&amp;X$5, LS_previous!$D$2:$AY$2&amp;LS_previous!$D$3:$AY$3, 0)),SUM(VLOOKUP($A43, LS_previous!$B$4:$AY$138, LS_previous!P$149, FALSE), VLOOKUP('Staging Table'!$A43, LS_previous!$B$4:$AY$138,LS_previous!AN$149, FALSE))/2)</f>
        <v>6236.4691637444412</v>
      </c>
      <c r="Y43" s="180">
        <f t="array" ref="Y43">IF($G43=0, INDEX(LS_previous!$D$4:$AY$138, MATCH('Staging Table'!$A43, LS_previous!$B$4:$B$138, 0), MATCH(Y$4&amp;Y$5, LS_previous!$D$2:$AY$2&amp;LS_previous!$D$3:$AY$3, 0)),SUM(VLOOKUP($A43, LS_previous!$B$4:$AY$138, LS_previous!Q$149, FALSE), VLOOKUP('Staging Table'!$A43, LS_previous!$B$4:$AY$138,LS_previous!AO$149, FALSE))/2)</f>
        <v>4007.8134504453665</v>
      </c>
      <c r="Z43" s="180">
        <f t="array" ref="Z43">IF($G43=0, INDEX(LS_previous!$D$4:$AY$138, MATCH('Staging Table'!$A43, LS_previous!$B$4:$B$138, 0), MATCH(Z$4&amp;Z$5, LS_previous!$D$2:$AY$2&amp;LS_previous!$D$3:$AY$3, 0)),SUM(VLOOKUP($A43, LS_previous!$B$4:$AY$138, LS_previous!R$149, FALSE), VLOOKUP('Staging Table'!$A43, LS_previous!$B$4:$AY$138,LS_previous!AP$149, FALSE))/2)</f>
        <v>-12068.215780710783</v>
      </c>
      <c r="AA43" s="180">
        <f t="array" ref="AA43">IF($G43=0, INDEX(LS_previous!$D$4:$AY$138, MATCH('Staging Table'!$A43, LS_previous!$B$4:$B$138, 0), MATCH(AA$4&amp;AA$5, LS_previous!$D$2:$AY$2&amp;LS_previous!$D$3:$AY$3, 0)),SUM(VLOOKUP($A43, LS_previous!$B$4:$AY$138, LS_previous!S$149, FALSE), VLOOKUP('Staging Table'!$A43, LS_previous!$B$4:$AY$138,LS_previous!AQ$149, FALSE))/2)</f>
        <v>-1364.2650727315158</v>
      </c>
      <c r="AB43" s="180">
        <f t="array" ref="AB43">IF($G43=0, INDEX(LS_previous!$D$4:$AY$138, MATCH('Staging Table'!$A43, LS_previous!$B$4:$B$138, 0), MATCH(AB$4&amp;AB$5, LS_previous!$D$2:$AY$2&amp;LS_previous!$D$3:$AY$3, 0)),SUM(VLOOKUP($A43, LS_previous!$B$4:$AY$138, LS_previous!T$149, FALSE), VLOOKUP('Staging Table'!$A43, LS_previous!$B$4:$AY$138,LS_previous!AR$149, FALSE))/2)</f>
        <v>-19533.253447216193</v>
      </c>
      <c r="AC43" s="180">
        <f t="array" ref="AC43">IF($G43=0, INDEX(LS_previous!$D$4:$AY$138, MATCH('Staging Table'!$A43, LS_previous!$B$4:$B$138, 0), MATCH(AC$4&amp;AC$5, LS_previous!$D$2:$AY$2&amp;LS_previous!$D$3:$AY$3, 0)),SUM(VLOOKUP($A43, LS_previous!$B$4:$AY$138, LS_previous!U$149, FALSE), VLOOKUP('Staging Table'!$A43, LS_previous!$B$4:$AY$138,LS_previous!AS$149, FALSE))/2)</f>
        <v>-3615.2486191844455</v>
      </c>
      <c r="AD43" s="180">
        <f t="array" ref="AD43">IF($G43=0, INDEX(LS_previous!$D$4:$AY$138, MATCH('Staging Table'!$A43, LS_previous!$B$4:$B$138, 0), MATCH(AD$4&amp;AD$5, LS_previous!$D$2:$AY$2&amp;LS_previous!$D$3:$AY$3, 0)),SUM(VLOOKUP($A43, LS_previous!$B$4:$AY$138, LS_previous!V$149, FALSE), VLOOKUP('Staging Table'!$A43, LS_previous!$B$4:$AY$138,LS_previous!AT$149, FALSE))/2)</f>
        <v>-15587.092478417188</v>
      </c>
      <c r="AE43" s="180">
        <f t="array" ref="AE43">IF($G43=0, INDEX(LS_previous!$D$4:$AY$138, MATCH('Staging Table'!$A43, LS_previous!$B$4:$B$138, 0), MATCH(AE$4&amp;AE$5, LS_previous!$D$2:$AY$2&amp;LS_previous!$D$3:$AY$3, 0)),SUM(VLOOKUP($A43, LS_previous!$B$4:$AY$138, LS_previous!W$149, FALSE), VLOOKUP('Staging Table'!$A43, LS_previous!$B$4:$AY$138,LS_previous!AU$149, FALSE))/2)</f>
        <v>-4868.4384698515405</v>
      </c>
      <c r="AF43" s="180">
        <f t="array" ref="AF43">IF($G43=0, INDEX(LS_previous!$D$4:$AY$138, MATCH('Staging Table'!$A43, LS_previous!$B$4:$B$138, 0), MATCH(AF$4&amp;AF$5, LS_previous!$D$2:$AY$2&amp;LS_previous!$D$3:$AY$3, 0)),SUM(VLOOKUP($A43, LS_previous!$B$4:$AY$138, LS_previous!X$149, FALSE), VLOOKUP('Staging Table'!$A43, LS_previous!$B$4:$AY$138,LS_previous!AV$149, FALSE))/2)</f>
        <v>-13781.093522759616</v>
      </c>
      <c r="AG43" s="180">
        <f t="array" ref="AG43">IF($G43=0, INDEX(LS_previous!$D$4:$AY$138, MATCH('Staging Table'!$A43, LS_previous!$B$4:$B$138, 0), MATCH(AG$4&amp;AG$5, LS_previous!$D$2:$AY$2&amp;LS_previous!$D$3:$AY$3, 0)),SUM(VLOOKUP($A43, LS_previous!$B$4:$AY$138, LS_previous!Y$149, FALSE), VLOOKUP('Staging Table'!$A43, LS_previous!$B$4:$AY$138,LS_previous!AW$149, FALSE))/2)</f>
        <v>-4929.9127954444994</v>
      </c>
      <c r="AH43" s="180">
        <f t="array" ref="AH43">IF($G43=0, INDEX(LS_previous!$D$4:$AY$138, MATCH('Staging Table'!$A43, LS_previous!$B$4:$B$138, 0), MATCH(AH$4&amp;AH$5, LS_previous!$D$2:$AY$2&amp;LS_previous!$D$3:$AY$3, 0)),SUM(VLOOKUP($A43, LS_previous!$B$4:$AY$138, LS_previous!Z$149, FALSE), VLOOKUP('Staging Table'!$A43, LS_previous!$B$4:$AY$138,LS_previous!AX$149, FALSE))/2)</f>
        <v>-9163.7846745414863</v>
      </c>
      <c r="AI43" s="180">
        <f t="array" ref="AI43">IF($G43=0, INDEX(LS_previous!$D$4:$AY$138, MATCH('Staging Table'!$A43, LS_previous!$B$4:$B$138, 0), MATCH(AI$4&amp;AI$5, LS_previous!$D$2:$AY$2&amp;LS_previous!$D$3:$AY$3, 0)),SUM(VLOOKUP($A43, LS_previous!$B$4:$AY$138, LS_previous!AA$149, FALSE), VLOOKUP('Staging Table'!$A43, LS_previous!$B$4:$AY$138,LS_previous!AY$149, FALSE))/2)</f>
        <v>-3751.7943532253521</v>
      </c>
      <c r="AJ43" s="298">
        <f t="array" ref="AJ43">INDEX(Demand_previous!$D$4:$AY$138, MATCH('Staging Table'!$A43, Demand_previous!$B$4:$B$138, 0), MATCH(AJ$4&amp;AJ$5,Demand_previous!$D$2:$AY$2&amp;Demand_previous!$D$3:$AY$3, 0))/1000</f>
        <v>0</v>
      </c>
      <c r="AK43" s="298">
        <f t="array" ref="AK43">INDEX(Demand_previous!$D$4:$AY$138, MATCH('Staging Table'!$A43, Demand_previous!$B$4:$B$138, 0), MATCH(AK$4&amp;AK$5,Demand_previous!$D$2:$AY$2&amp;Demand_previous!$D$3:$AY$3, 0))/1000</f>
        <v>0</v>
      </c>
      <c r="AL43" s="298">
        <f t="array" ref="AL43">INDEX(Demand_previous!$D$4:$AY$138, MATCH('Staging Table'!$A43, Demand_previous!$B$4:$B$138, 0), MATCH(AL$4&amp;AL$5,Demand_previous!$D$2:$AY$2&amp;Demand_previous!$D$3:$AY$3, 0))/1000</f>
        <v>31.214295673076926</v>
      </c>
      <c r="AM43" s="298">
        <f t="array" ref="AM43">INDEX(Demand_previous!$D$4:$AY$138, MATCH('Staging Table'!$A43, Demand_previous!$B$4:$B$138, 0), MATCH(AM$4&amp;AM$5,Demand_previous!$D$2:$AY$2&amp;Demand_previous!$D$3:$AY$3, 0))/1000</f>
        <v>21.792807500000002</v>
      </c>
      <c r="AN43" s="298">
        <f t="array" ref="AN43">INDEX(Demand_previous!$D$4:$AY$138, MATCH('Staging Table'!$A43, Demand_previous!$B$4:$B$138, 0), MATCH(AN$4&amp;AN$5,Demand_previous!$D$2:$AY$2&amp;Demand_previous!$D$3:$AY$3, 0))/1000</f>
        <v>18.066484374999995</v>
      </c>
      <c r="AO43" s="298">
        <f t="array" ref="AO43">INDEX(Demand_previous!$D$4:$AY$138, MATCH('Staging Table'!$A43, Demand_previous!$B$4:$B$138, 0), MATCH(AO$4&amp;AO$5,Demand_previous!$D$2:$AY$2&amp;Demand_previous!$D$3:$AY$3, 0))/1000</f>
        <v>16.467696759259248</v>
      </c>
      <c r="AP43" s="298">
        <f t="array" ref="AP43">INDEX(Demand_previous!$D$4:$AY$138, MATCH('Staging Table'!$A43, Demand_previous!$B$4:$B$138, 0), MATCH(AP$4&amp;AP$5,Demand_previous!$D$2:$AY$2&amp;Demand_previous!$D$3:$AY$3, 0))/1000</f>
        <v>19.184209134615386</v>
      </c>
      <c r="AQ43" s="298">
        <f t="array" ref="AQ43">INDEX(Demand_previous!$D$4:$AY$138, MATCH('Staging Table'!$A43, Demand_previous!$B$4:$B$138, 0), MATCH(AQ$4&amp;AQ$5,Demand_previous!$D$2:$AY$2&amp;Demand_previous!$D$3:$AY$3, 0))/1000</f>
        <v>13.835387500000003</v>
      </c>
      <c r="AR43" s="298">
        <f t="array" ref="AR43">INDEX(Demand_previous!$D$4:$AY$138, MATCH('Staging Table'!$A43, Demand_previous!$B$4:$B$138, 0), MATCH(AR$4&amp;AR$5,Demand_previous!$D$2:$AY$2&amp;Demand_previous!$D$3:$AY$3, 0))/1000</f>
        <v>11.045742788461535</v>
      </c>
      <c r="AS43" s="298">
        <f t="array" ref="AS43">INDEX(Demand_previous!$D$4:$AY$138, MATCH('Staging Table'!$A43, Demand_previous!$B$4:$B$138, 0), MATCH(AS$4&amp;AS$5,Demand_previous!$D$2:$AY$2&amp;Demand_previous!$D$3:$AY$3, 0))/1000</f>
        <v>5.4873999999999921</v>
      </c>
      <c r="AT43" s="298">
        <f t="array" ref="AT43">INDEX(Demand_previous!$D$4:$AY$138, MATCH('Staging Table'!$A43, Demand_previous!$B$4:$B$138, 0), MATCH(AT$4&amp;AT$5,Demand_previous!$D$2:$AY$2&amp;Demand_previous!$D$3:$AY$3, 0))/1000</f>
        <v>9.7405740740740772</v>
      </c>
      <c r="AU43" s="298">
        <f t="array" ref="AU43">INDEX(Demand_previous!$D$4:$AY$138, MATCH('Staging Table'!$A43, Demand_previous!$B$4:$B$138, 0), MATCH(AU$4&amp;AU$5,Demand_previous!$D$2:$AY$2&amp;Demand_previous!$D$3:$AY$3, 0))/1000</f>
        <v>12.446689999999997</v>
      </c>
      <c r="AV43" s="180">
        <f>$F43*(VLOOKUP(AV$4, Rates_previous!$G$6:$Q$29, 10, FALSE)+VLOOKUP(AV$4, Rates_previous!$G$6:$Q$29, 11, FALSE))</f>
        <v>49027.094921492382</v>
      </c>
      <c r="AW43" s="180">
        <f>$F43*(VLOOKUP(AW$4, Rates_previous!$G$6:$Q$29, 10, FALSE)+VLOOKUP(AW$4, Rates_previous!$G$6:$Q$29, 11, FALSE))</f>
        <v>62070.08148632801</v>
      </c>
      <c r="AX43" s="180">
        <f>$F43*(VLOOKUP(AX$4, Rates_previous!$G$6:$Q$29, 10, FALSE)+VLOOKUP(AX$4, Rates_previous!$G$6:$Q$29, 11, FALSE))</f>
        <v>60754.209214631817</v>
      </c>
      <c r="AY43" s="180">
        <f>$F43*(VLOOKUP(AY$4, Rates_previous!$G$6:$Q$29, 10, FALSE)+VLOOKUP(AY$4, Rates_previous!$G$6:$Q$29, 11, FALSE))</f>
        <v>50180.393248144312</v>
      </c>
      <c r="AZ43" s="180">
        <f>$F43*(VLOOKUP(AZ$4, Rates_previous!$G$6:$Q$29, 10, FALSE)+VLOOKUP(AZ$4, Rates_previous!$G$6:$Q$29, 11, FALSE))</f>
        <v>43492.446636273547</v>
      </c>
      <c r="BA43" s="180">
        <f>$F43*(VLOOKUP(BA$4, Rates_previous!$G$6:$Q$29, 10, FALSE)+VLOOKUP(BA$4, Rates_previous!$G$6:$Q$29, 11, FALSE))</f>
        <v>51921.198451789845</v>
      </c>
      <c r="BB43" s="180">
        <f>$F43*(VLOOKUP(BB$4, Rates_previous!$G$6:$Q$29, 10, FALSE)+VLOOKUP(BB$4, Rates_previous!$G$6:$Q$29, 11, FALSE))</f>
        <v>40309.898385810186</v>
      </c>
      <c r="BC43" s="180">
        <f>$F43*(VLOOKUP(BC$4, Rates_previous!$G$6:$Q$29, 10, FALSE)+VLOOKUP(BC$4, Rates_previous!$G$6:$Q$29, 11, FALSE))</f>
        <v>55849.660853442299</v>
      </c>
      <c r="BD43" s="180">
        <f>$F43*(VLOOKUP(BD$4, Rates_previous!$G$6:$Q$29, 10, FALSE)+VLOOKUP(BD$4, Rates_previous!$G$6:$Q$29, 11, FALSE))</f>
        <v>59676.532066400636</v>
      </c>
      <c r="BE43" s="180">
        <f>$F43*(VLOOKUP(BE$4, Rates_previous!$G$6:$Q$29, 10, FALSE)+VLOOKUP(BE$4, Rates_previous!$G$6:$Q$29, 11, FALSE))</f>
        <v>56660.164948268728</v>
      </c>
      <c r="BF43" s="180">
        <f>$F43*(VLOOKUP(BF$4, Rates_previous!$G$6:$Q$29, 10, FALSE)+VLOOKUP(BF$4, Rates_previous!$G$6:$Q$29, 11, FALSE))</f>
        <v>54757.678318204111</v>
      </c>
      <c r="BG43" s="180">
        <f>$F43*(VLOOKUP(BG$4, Rates_previous!$G$6:$Q$29, 10, FALSE)+VLOOKUP(BG$4, Rates_previous!$G$6:$Q$29, 11, FALSE))</f>
        <v>50601.803027766844</v>
      </c>
      <c r="BH43" s="298">
        <f>IF($D43=0,IF(C43=0, MAX(BJ43 - (VLOOKUP($A43,TOCA_previous!$A$2:$AI$137,MATCH("RHWM 2022",TOCA_previous!$A$2:$AI$2,0),FALSE)*$F$2*TOCA_previous!C40),0),0), 0)</f>
        <v>8021.1984984033043</v>
      </c>
      <c r="BI43" s="192">
        <f>MIN(VLOOKUP($A43,TOCA_previous!$A$2:$AI$137,MATCH("TRL - NLSL - Existing Resource "&amp;$F$1,TOCA_previous!$A$2:$AI$2,0),FALSE)*$F$2,(VLOOKUP($A43,TOCA_previous!$A$2:$AI$137,MATCH("RHWM 2022",TOCA_previous!$A$2:$AI$2,0),FALSE)*$F$2))</f>
        <v>635301.48</v>
      </c>
      <c r="BJ43" s="402">
        <f>SUM(L43:AI43)+(F43*RT1SC!$C$3*$F$2)</f>
        <v>643322.67849840329</v>
      </c>
      <c r="BK43" s="401">
        <f>VLOOKUP($A43,TOCA_previous!$A$2:$AI$137,MATCH("Above RHWM Not Served with LS "&amp;$F$1,TOCA_previous!$A$2:$AI$2,0),FALSE)*$F$2</f>
        <v>37247.519999999997</v>
      </c>
      <c r="BL43" s="402">
        <f t="shared" si="8"/>
        <v>8021.1984984033043</v>
      </c>
      <c r="BM43" s="401">
        <f>(VLOOKUP($A43,TOCA_previous!$A$2:$AI$137,MATCH("RHWM 2022",TOCA_previous!$A$2:$AI$2,0),FALSE)*$F$2) - $BI43</f>
        <v>0</v>
      </c>
      <c r="BN43" s="402">
        <f t="shared" si="9"/>
        <v>0</v>
      </c>
      <c r="BO43" s="401">
        <f t="shared" si="10"/>
        <v>0</v>
      </c>
      <c r="BP43" s="402">
        <f t="shared" si="11"/>
        <v>0</v>
      </c>
      <c r="BQ43" s="401">
        <f t="shared" si="18"/>
        <v>0</v>
      </c>
      <c r="BR43" s="108">
        <f>VLOOKUP($A43,TOCA_current!$A$2:$AI$137,MATCH(BR$4,TOCA_current!$A$2:$AI$2,0),FALSE)</f>
        <v>1.0763699999999999E-2</v>
      </c>
      <c r="BS43" s="108">
        <f>VLOOKUP($A43,TOCA_current!$A$2:$AI$137,MATCH(BS$4,TOCA_current!$A$2:$AI$2,0),FALSE)</f>
        <v>1.0763699999999999E-2</v>
      </c>
      <c r="BT43" s="189">
        <f t="shared" si="12"/>
        <v>0</v>
      </c>
      <c r="BU43" s="108">
        <f>VLOOKUP($A43,TOCA_current!A39:BG174,MATCH(BU$4,TOCA_current!$A$2:$BG$2,0),FALSE)</f>
        <v>5.0953596043562893E-2</v>
      </c>
      <c r="BV43" s="108">
        <f t="shared" si="19"/>
        <v>0</v>
      </c>
      <c r="BW43" s="108">
        <f t="shared" si="20"/>
        <v>0</v>
      </c>
      <c r="BX43" s="179">
        <f>VLOOKUP($A43,IRD!$A$4:$G$139, 7, FALSE)</f>
        <v>0</v>
      </c>
      <c r="BY43" s="180">
        <f t="array" ref="BY43">IF($BT43=0, INDEX(LS_current!$D$4:$AY$138, MATCH('Staging Table'!$A43, LS_current!$B$4:$B$138, 0), MATCH(BY$4&amp;BY$5, LS_current!$D$2:$AY$2&amp;LS_current!$D$3:$AY$3, 0)),SUM(VLOOKUP($A43, LS_current!$B$4:$AY$138, LS_current!D$148, FALSE), VLOOKUP($A43, LS_current!$B$4:$AY$138,LS_current!AB$148, FALSE))/2)</f>
        <v>5100.3821297067989</v>
      </c>
      <c r="BZ43" s="180">
        <f t="array" ref="BZ43">IF($BT43=0, INDEX(LS_current!$D$4:$AY$138, MATCH('Staging Table'!$A43, LS_current!$B$4:$B$138, 0), MATCH(BZ$4&amp;BZ$5, LS_current!$D$2:$AY$2&amp;LS_current!$D$3:$AY$3, 0)),SUM(VLOOKUP($A43, LS_current!$B$4:$AY$138, LS_current!E$148, FALSE), VLOOKUP($A43, LS_current!$B$4:$AY$138,LS_current!AC$148, FALSE))/2)</f>
        <v>1247.3738226356509</v>
      </c>
      <c r="CA43" s="180">
        <f t="array" ref="CA43">IF($BT43=0, INDEX(LS_current!$D$4:$AY$138, MATCH('Staging Table'!$A43, LS_current!$B$4:$B$138, 0), MATCH(CA$4&amp;CA$5, LS_current!$D$2:$AY$2&amp;LS_current!$D$3:$AY$3, 0)),SUM(VLOOKUP($A43, LS_current!$B$4:$AY$138, LS_current!F$148, FALSE), VLOOKUP($A43, LS_current!$B$4:$AY$138,LS_current!AD$148, FALSE))/2)</f>
        <v>4504.0537476064055</v>
      </c>
      <c r="CB43" s="180">
        <f t="array" ref="CB43">IF($BT43=0, INDEX(LS_current!$D$4:$AY$138, MATCH('Staging Table'!$A43, LS_current!$B$4:$B$138, 0), MATCH(CB$4&amp;CB$5, LS_current!$D$2:$AY$2&amp;LS_current!$D$3:$AY$3, 0)),SUM(VLOOKUP($A43, LS_current!$B$4:$AY$138, LS_current!G$148, FALSE), VLOOKUP($A43, LS_current!$B$4:$AY$138,LS_current!AE$148, FALSE))/2)</f>
        <v>3957.9821795053031</v>
      </c>
      <c r="CC43" s="180">
        <f t="array" ref="CC43">IF($BT43=0, INDEX(LS_current!$D$4:$AY$138, MATCH('Staging Table'!$A43, LS_current!$B$4:$B$138, 0), MATCH(CC$4&amp;CC$5, LS_current!$D$2:$AY$2&amp;LS_current!$D$3:$AY$3, 0)),SUM(VLOOKUP($A43, LS_current!$B$4:$AY$138, LS_current!H$148, FALSE), VLOOKUP($A43, LS_current!$B$4:$AY$138,LS_current!AF$148, FALSE))/2)</f>
        <v>9687.1606511256978</v>
      </c>
      <c r="CD43" s="180">
        <f t="array" ref="CD43">IF($BT43=0, INDEX(LS_current!$D$4:$AY$138, MATCH('Staging Table'!$A43, LS_current!$B$4:$B$138, 0), MATCH(CD$4&amp;CD$5, LS_current!$D$2:$AY$2&amp;LS_current!$D$3:$AY$3, 0)),SUM(VLOOKUP($A43, LS_current!$B$4:$AY$138, LS_current!I$148, FALSE), VLOOKUP($A43, LS_current!$B$4:$AY$138,LS_current!AG$148, FALSE))/2)</f>
        <v>7124.3286543648028</v>
      </c>
      <c r="CE43" s="180">
        <f t="array" ref="CE43">IF($BT43=0, INDEX(LS_current!$D$4:$AY$138, MATCH('Staging Table'!$A43, LS_current!$B$4:$B$138, 0), MATCH(CE$4&amp;CE$5, LS_current!$D$2:$AY$2&amp;LS_current!$D$3:$AY$3, 0)),SUM(VLOOKUP($A43, LS_current!$B$4:$AY$138, LS_current!J$148, FALSE), VLOOKUP($A43, LS_current!$B$4:$AY$138,LS_current!AH$148, FALSE))/2)</f>
        <v>7613.4120872545027</v>
      </c>
      <c r="CF43" s="180">
        <f t="array" ref="CF43">IF($BT43=0, INDEX(LS_current!$D$4:$AY$138, MATCH('Staging Table'!$A43, LS_current!$B$4:$B$138, 0), MATCH(CF$4&amp;CF$5, LS_current!$D$2:$AY$2&amp;LS_current!$D$3:$AY$3, 0)),SUM(VLOOKUP($A43, LS_current!$B$4:$AY$138, LS_current!K$148, FALSE), VLOOKUP($A43, LS_current!$B$4:$AY$138,LS_current!AI$148, FALSE))/2)</f>
        <v>7496.8066972527013</v>
      </c>
      <c r="CG43" s="180">
        <f t="array" ref="CG43">IF($BT43=0, INDEX(LS_current!$D$4:$AY$138, MATCH('Staging Table'!$A43, LS_current!$B$4:$B$138, 0), MATCH(CG$4&amp;CG$5, LS_current!$D$2:$AY$2&amp;LS_current!$D$3:$AY$3, 0)),SUM(VLOOKUP($A43, LS_current!$B$4:$AY$138, LS_current!L$148, FALSE), VLOOKUP($A43, LS_current!$B$4:$AY$138,LS_current!AJ$148, FALSE))/2)</f>
        <v>8243.5843572077065</v>
      </c>
      <c r="CH43" s="180">
        <f t="array" ref="CH43">IF($BT43=0, INDEX(LS_current!$D$4:$AY$138, MATCH('Staging Table'!$A43, LS_current!$B$4:$B$138, 0), MATCH(CH$4&amp;CH$5, LS_current!$D$2:$AY$2&amp;LS_current!$D$3:$AY$3, 0)),SUM(VLOOKUP($A43, LS_current!$B$4:$AY$138, LS_current!M$148, FALSE), VLOOKUP($A43, LS_current!$B$4:$AY$138,LS_current!AK$148, FALSE))/2)</f>
        <v>7568.0322839116998</v>
      </c>
      <c r="CI43" s="180">
        <f t="array" ref="CI43">IF($BT43=0, INDEX(LS_current!$D$4:$AY$138, MATCH('Staging Table'!$A43, LS_current!$B$4:$B$138, 0), MATCH(CI$4&amp;CI$5, LS_current!$D$2:$AY$2&amp;LS_current!$D$3:$AY$3, 0)),SUM(VLOOKUP($A43, LS_current!$B$4:$AY$138, LS_current!N$148, FALSE), VLOOKUP($A43, LS_current!$B$4:$AY$138,LS_current!AL$148, FALSE))/2)</f>
        <v>3938.9406434019111</v>
      </c>
      <c r="CJ43" s="180">
        <f t="array" ref="CJ43">IF($BT43=0, INDEX(LS_current!$D$4:$AY$138, MATCH('Staging Table'!$A43, LS_current!$B$4:$B$138, 0), MATCH(CJ$4&amp;CJ$5, LS_current!$D$2:$AY$2&amp;LS_current!$D$3:$AY$3, 0)),SUM(VLOOKUP($A43, LS_current!$B$4:$AY$138, LS_current!O$148, FALSE), VLOOKUP($A43, LS_current!$B$4:$AY$138,LS_current!AM$148, FALSE))/2)</f>
        <v>1986.5879081413987</v>
      </c>
      <c r="CK43" s="180">
        <f t="array" ref="CK43">IF($BT43=0, INDEX(LS_current!$D$4:$AY$138, MATCH('Staging Table'!$A43, LS_current!$B$4:$B$138, 0), MATCH(CK$4&amp;CK$5, LS_current!$D$2:$AY$2&amp;LS_current!$D$3:$AY$3, 0)),SUM(VLOOKUP($A43, LS_current!$B$4:$AY$138, LS_current!P$148, FALSE), VLOOKUP($A43, LS_current!$B$4:$AY$138,LS_current!AN$148, FALSE))/2)</f>
        <v>2939.2284053232506</v>
      </c>
      <c r="CL43" s="180">
        <f t="array" ref="CL43">IF($BT43=0, INDEX(LS_current!$D$4:$AY$138, MATCH('Staging Table'!$A43, LS_current!$B$4:$B$138, 0), MATCH(CL$4&amp;CL$5, LS_current!$D$2:$AY$2&amp;LS_current!$D$3:$AY$3, 0)),SUM(VLOOKUP($A43, LS_current!$B$4:$AY$138, LS_current!Q$148, FALSE), VLOOKUP($A43, LS_current!$B$4:$AY$138,LS_current!AO$148, FALSE))/2)</f>
        <v>1490.4393617615278</v>
      </c>
      <c r="CM43" s="180">
        <f t="array" ref="CM43">IF($BT43=0, INDEX(LS_current!$D$4:$AY$138, MATCH('Staging Table'!$A43, LS_current!$B$4:$B$138, 0), MATCH(CM$4&amp;CM$5, LS_current!$D$2:$AY$2&amp;LS_current!$D$3:$AY$3, 0)),SUM(VLOOKUP($A43, LS_current!$B$4:$AY$138, LS_current!R$148, FALSE), VLOOKUP($A43, LS_current!$B$4:$AY$138,LS_current!AP$148, FALSE))/2)</f>
        <v>-9629.3800068176024</v>
      </c>
      <c r="CN43" s="180">
        <f t="array" ref="CN43">IF($BT43=0, INDEX(LS_current!$D$4:$AY$138, MATCH('Staging Table'!$A43, LS_current!$B$4:$B$138, 0), MATCH(CN$4&amp;CN$5, LS_current!$D$2:$AY$2&amp;LS_current!$D$3:$AY$3, 0)),SUM(VLOOKUP($A43, LS_current!$B$4:$AY$138, LS_current!S$148, FALSE), VLOOKUP($A43, LS_current!$B$4:$AY$138,LS_current!AQ$148, FALSE))/2)</f>
        <v>-5595.2963013464469</v>
      </c>
      <c r="CO43" s="180">
        <f t="array" ref="CO43">IF($BT43=0, INDEX(LS_current!$D$4:$AY$138, MATCH('Staging Table'!$A43, LS_current!$B$4:$B$138, 0), MATCH(CO$4&amp;CO$5, LS_current!$D$2:$AY$2&amp;LS_current!$D$3:$AY$3, 0)),SUM(VLOOKUP($A43, LS_current!$B$4:$AY$138, LS_current!T$148, FALSE), VLOOKUP($A43, LS_current!$B$4:$AY$138,LS_current!AR$148, FALSE))/2)</f>
        <v>-14106.3983130862</v>
      </c>
      <c r="CP43" s="180">
        <f t="array" ref="CP43">IF($BT43=0, INDEX(LS_current!$D$4:$AY$138, MATCH('Staging Table'!$A43, LS_current!$B$4:$B$138, 0), MATCH(CP$4&amp;CP$5, LS_current!$D$2:$AY$2&amp;LS_current!$D$3:$AY$3, 0)),SUM(VLOOKUP($A43, LS_current!$B$4:$AY$138, LS_current!U$148, FALSE), VLOOKUP($A43, LS_current!$B$4:$AY$138,LS_current!AS$148, FALSE))/2)</f>
        <v>-8370.5929041216496</v>
      </c>
      <c r="CQ43" s="180">
        <f t="array" ref="CQ43">IF($BT43=0, INDEX(LS_current!$D$4:$AY$138, MATCH('Staging Table'!$A43, LS_current!$B$4:$B$138, 0), MATCH(CQ$4&amp;CQ$5, LS_current!$D$2:$AY$2&amp;LS_current!$D$3:$AY$3, 0)),SUM(VLOOKUP($A43, LS_current!$B$4:$AY$138, LS_current!V$148, FALSE), VLOOKUP($A43, LS_current!$B$4:$AY$138,LS_current!AT$148, FALSE))/2)</f>
        <v>-9763.9697981667996</v>
      </c>
      <c r="CR43" s="180">
        <f t="array" ref="CR43">IF($BT43=0, INDEX(LS_current!$D$4:$AY$138, MATCH('Staging Table'!$A43, LS_current!$B$4:$B$138, 0), MATCH(CR$4&amp;CR$5, LS_current!$D$2:$AY$2&amp;LS_current!$D$3:$AY$3, 0)),SUM(VLOOKUP($A43, LS_current!$B$4:$AY$138, LS_current!W$148, FALSE), VLOOKUP($A43, LS_current!$B$4:$AY$138,LS_current!AU$148, FALSE))/2)</f>
        <v>-4922.9959456217493</v>
      </c>
      <c r="CS43" s="180">
        <f t="array" ref="CS43">IF($BT43=0, INDEX(LS_current!$D$4:$AY$138, MATCH('Staging Table'!$A43, LS_current!$B$4:$B$138, 0), MATCH(CS$4&amp;CS$5, LS_current!$D$2:$AY$2&amp;LS_current!$D$3:$AY$3, 0)),SUM(VLOOKUP($A43, LS_current!$B$4:$AY$138, LS_current!X$148, FALSE), VLOOKUP($A43, LS_current!$B$4:$AY$138,LS_current!AV$148, FALSE))/2)</f>
        <v>-8182.601918974553</v>
      </c>
      <c r="CT43" s="180">
        <f t="array" ref="CT43">IF($BT43=0, INDEX(LS_current!$D$4:$AY$138, MATCH('Staging Table'!$A43, LS_current!$B$4:$B$138, 0), MATCH(CT$4&amp;CT$5, LS_current!$D$2:$AY$2&amp;LS_current!$D$3:$AY$3, 0)),SUM(VLOOKUP($A43, LS_current!$B$4:$AY$138, LS_current!Y$148, FALSE), VLOOKUP($A43, LS_current!$B$4:$AY$138,LS_current!AW$148, FALSE))/2)</f>
        <v>-4900.026770081442</v>
      </c>
      <c r="CU43" s="180">
        <f t="array" ref="CU43">IF($BT43=0, INDEX(LS_current!$D$4:$AY$138, MATCH('Staging Table'!$A43, LS_current!$B$4:$B$138, 0), MATCH(CU$4&amp;CU$5, LS_current!$D$2:$AY$2&amp;LS_current!$D$3:$AY$3, 0)),SUM(VLOOKUP($A43, LS_current!$B$4:$AY$138, LS_current!Z$148, FALSE), VLOOKUP($A43, LS_current!$B$4:$AY$138,LS_current!AX$148, FALSE))/2)</f>
        <v>-3871.8870998538005</v>
      </c>
      <c r="CV43" s="180">
        <f t="array" ref="CV43">IF($BT43=0, INDEX(LS_current!$D$4:$AY$138, MATCH('Staging Table'!$A43, LS_current!$B$4:$B$138, 0), MATCH(CV$4&amp;CV$5, LS_current!$D$2:$AY$2&amp;LS_current!$D$3:$AY$3, 0)),SUM(VLOOKUP($A43, LS_current!$B$4:$AY$138, LS_current!AA$148, FALSE), VLOOKUP($A43, LS_current!$B$4:$AY$138,LS_current!AY$148, FALSE))/2)</f>
        <v>-3551.2360247247998</v>
      </c>
      <c r="CW43" s="182">
        <f t="array" ref="CW43">INDEX(Demand_current!$D$4:$AY$138, MATCH($A43, Demand_current!$B$4:$B$138, 0), MATCH(CW$4&amp;CW$5,Demand_current!$D$2:$AY$2&amp;Demand_current!$D$3:$AY$3, 0))/1000</f>
        <v>0</v>
      </c>
      <c r="CX43" s="182">
        <f t="array" ref="CX43">INDEX(Demand_current!$D$4:$AY$138, MATCH($A43, Demand_current!$B$4:$B$138, 0), MATCH(CX$4&amp;CX$5,Demand_current!$D$2:$AY$2&amp;Demand_current!$D$3:$AY$3, 0))/1000</f>
        <v>0</v>
      </c>
      <c r="CY43" s="182">
        <f t="array" ref="CY43">INDEX(Demand_current!$D$4:$AY$138, MATCH($A43, Demand_current!$B$4:$B$138, 0), MATCH(CY$4&amp;CY$5,Demand_current!$D$2:$AY$2&amp;Demand_current!$D$3:$AY$3, 0))/1000</f>
        <v>26.583467500000005</v>
      </c>
      <c r="CZ43" s="182">
        <f t="array" ref="CZ43">INDEX(Demand_current!$D$4:$AY$138, MATCH($A43, Demand_current!$B$4:$B$138, 0), MATCH(CZ$4&amp;CZ$5,Demand_current!$D$2:$AY$2&amp;Demand_current!$D$3:$AY$3, 0))/1000</f>
        <v>26.449199519230767</v>
      </c>
      <c r="DA43" s="182">
        <f t="array" ref="DA43">INDEX(Demand_current!$D$4:$AY$138, MATCH($A43, Demand_current!$B$4:$B$138, 0), MATCH(DA$4&amp;DA$5,Demand_current!$D$2:$AY$2&amp;Demand_current!$D$3:$AY$3, 0))/1000</f>
        <v>22.685624999999995</v>
      </c>
      <c r="DB43" s="182">
        <f t="array" ref="DB43">INDEX(Demand_current!$D$4:$AY$138, MATCH($A43, Demand_current!$B$4:$B$138, 0), MATCH(DB$4&amp;DB$5,Demand_current!$D$2:$AY$2&amp;Demand_current!$D$3:$AY$3, 0))/1000</f>
        <v>12.757223557692292</v>
      </c>
      <c r="DC43" s="182">
        <f t="array" ref="DC43">INDEX(Demand_current!$D$4:$AY$138, MATCH($A43, Demand_current!$B$4:$B$138, 0), MATCH(DC$4&amp;DC$5,Demand_current!$D$2:$AY$2&amp;Demand_current!$D$3:$AY$3, 0))/1000</f>
        <v>19.184209134615386</v>
      </c>
      <c r="DD43" s="182">
        <f t="array" ref="DD43">INDEX(Demand_current!$D$4:$AY$138, MATCH($A43, Demand_current!$B$4:$B$138, 0), MATCH(DD$4&amp;DD$5,Demand_current!$D$2:$AY$2&amp;Demand_current!$D$3:$AY$3, 0))/1000</f>
        <v>16.457218750000003</v>
      </c>
      <c r="DE43" s="182">
        <f t="array" ref="DE43">INDEX(Demand_current!$D$4:$AY$138, MATCH($A43, Demand_current!$B$4:$B$138, 0), MATCH(DE$4&amp;DE$5,Demand_current!$D$2:$AY$2&amp;Demand_current!$D$3:$AY$3, 0))/1000</f>
        <v>8.6618524999999984</v>
      </c>
      <c r="DF43" s="182">
        <f t="array" ref="DF43">INDEX(Demand_current!$D$4:$AY$138, MATCH($A43, Demand_current!$B$4:$B$138, 0), MATCH(DF$4&amp;DF$5,Demand_current!$D$2:$AY$2&amp;Demand_current!$D$3:$AY$3, 0))/1000</f>
        <v>7.7808461538461469</v>
      </c>
      <c r="DG43" s="182">
        <f t="array" ref="DG43">INDEX(Demand_current!$D$4:$AY$138, MATCH($A43, Demand_current!$B$4:$B$138, 0), MATCH(DG$4&amp;DG$5,Demand_current!$D$2:$AY$2&amp;Demand_current!$D$3:$AY$3, 0))/1000</f>
        <v>9.7405740740740772</v>
      </c>
      <c r="DH43" s="182">
        <f t="array" ref="DH43">INDEX(Demand_current!$D$4:$AY$138, MATCH($A43, Demand_current!$B$4:$B$138, 0), MATCH(DH$4&amp;DH$5,Demand_current!$D$2:$AY$2&amp;Demand_current!$D$3:$AY$3, 0))/1000</f>
        <v>9.8600937499999972</v>
      </c>
      <c r="DI43" s="180">
        <f>$BS43*(VLOOKUP(DI$4, Rates_current!$G$6:$Q$29, 10, FALSE)+VLOOKUP(DI$4, Rates_current!$G$6:$Q$29, 11, FALSE))</f>
        <v>45409.938047657546</v>
      </c>
      <c r="DJ43" s="180">
        <f>$BS43*(VLOOKUP(DJ$4, Rates_current!$G$6:$Q$29, 10, FALSE)+VLOOKUP(DJ$4, Rates_current!$G$6:$Q$29, 11, FALSE))</f>
        <v>57912.645072888306</v>
      </c>
      <c r="DK43" s="180">
        <f>$BS43*(VLOOKUP(DK$4, Rates_current!$G$6:$Q$29, 10, FALSE)+VLOOKUP(DK$4, Rates_current!$G$6:$Q$29, 11, FALSE))</f>
        <v>62499.202694509499</v>
      </c>
      <c r="DL43" s="180">
        <f>$BS43*(VLOOKUP(DL$4, Rates_current!$G$6:$Q$29, 10, FALSE)+VLOOKUP(DL$4, Rates_current!$G$6:$Q$29, 11, FALSE))</f>
        <v>64946.333215492792</v>
      </c>
      <c r="DM43" s="180">
        <f>$BS43*(VLOOKUP(DM$4, Rates_current!$G$6:$Q$29, 10, FALSE)+VLOOKUP(DM$4, Rates_current!$G$6:$Q$29, 11, FALSE))</f>
        <v>55862.503358880589</v>
      </c>
      <c r="DN43" s="180">
        <f>$BS43*(VLOOKUP(DN$4, Rates_current!$G$6:$Q$29, 10, FALSE)+VLOOKUP(DN$4, Rates_current!$G$6:$Q$29, 11, FALSE))</f>
        <v>60990.793448456694</v>
      </c>
      <c r="DO43" s="180">
        <f>$BS43*(VLOOKUP(DO$4, Rates_current!$G$6:$Q$29, 10, FALSE)+VLOOKUP(DO$4, Rates_current!$G$6:$Q$29, 11, FALSE))</f>
        <v>48141.953232915221</v>
      </c>
      <c r="DP43" s="180">
        <f>$BS43*(VLOOKUP(DP$4, Rates_current!$G$6:$Q$29, 10, FALSE)+VLOOKUP(DP$4, Rates_current!$G$6:$Q$29, 11, FALSE))</f>
        <v>59726.544308164048</v>
      </c>
      <c r="DQ43" s="180">
        <f>$BS43*(VLOOKUP(DQ$4, Rates_current!$G$6:$Q$29, 10, FALSE)+VLOOKUP(DQ$4, Rates_current!$G$6:$Q$29, 11, FALSE))</f>
        <v>61022.461217207841</v>
      </c>
      <c r="DR43" s="180">
        <f>$BS43*(VLOOKUP(DR$4, Rates_current!$G$6:$Q$29, 10, FALSE)+VLOOKUP(DR$4, Rates_current!$G$6:$Q$29, 11, FALSE))</f>
        <v>52976.287743788547</v>
      </c>
      <c r="DS43" s="180">
        <f>$BS43*(VLOOKUP(DS$4, Rates_current!$G$6:$Q$29, 10, FALSE)+VLOOKUP(DS$4, Rates_current!$G$6:$Q$29, 11, FALSE))</f>
        <v>51213.988689055994</v>
      </c>
      <c r="DT43" s="180">
        <f>$BS43*(VLOOKUP(DT$4, Rates_current!$G$6:$Q$29, 10, FALSE)+VLOOKUP(DT$4, Rates_current!$G$6:$Q$29, 11, FALSE))</f>
        <v>47126.787124578601</v>
      </c>
      <c r="DU43" s="402">
        <f>IF(D43=0,IF(C43=0,MAX(0,DW43 - (VLOOKUP($A43,TOCA_current!$A$2:$AI$137,MATCH("RHWM 2024",TOCA_current!$A$2:$AI$2,0),FALSE)*$BS$2)), 0),0)</f>
        <v>3.4170611962908879</v>
      </c>
      <c r="DV43" s="403">
        <f>MIN(VLOOKUP($A43,TOCA_current!$A$2:$AI$137,MATCH("TRL - NLSL - Existing Resource "&amp;$BS$1,TOCA_current!$A$2:$AI$2,0),FALSE)*$BS$2, VLOOKUP($A43,TOCA_current!$A$2:$AI$137,MATCH("RHWM 2024",TOCA_current!$A$2:$AI$2,0),FALSE)*$BS$2)</f>
        <v>667829.95200000005</v>
      </c>
      <c r="DW43" s="403">
        <f>SUM(BY43:CV43)+(BS43*RT1SC!$C$4*$BS$2)</f>
        <v>667833.36906119634</v>
      </c>
      <c r="DX43" s="403">
        <f>VLOOKUP($A43,TOCA_current!$A$2:$AI$137,MATCH("Above RHWM Not Served with LS "&amp;$BS$1,TOCA_current!$A$2:$AI$2,0),FALSE)*$BS$2</f>
        <v>12736.8</v>
      </c>
      <c r="DY43" s="403">
        <f t="shared" si="13"/>
        <v>3.4170611962908879</v>
      </c>
      <c r="DZ43" s="403">
        <f>(VLOOKUP($A43,TOCA_current!$A$2:$AI$137,MATCH("RHWM 2024",TOCA_current!$A$2:$AI$2,0),FALSE)*$BS$2) - $DV43</f>
        <v>0</v>
      </c>
      <c r="EA43" s="403">
        <f t="shared" si="14"/>
        <v>0</v>
      </c>
      <c r="EB43" s="403">
        <f t="shared" si="15"/>
        <v>0</v>
      </c>
      <c r="EC43" s="403">
        <f t="shared" si="16"/>
        <v>0</v>
      </c>
      <c r="ED43" s="403">
        <f t="shared" si="17"/>
        <v>0</v>
      </c>
    </row>
    <row r="44" spans="1:134">
      <c r="A44" s="123">
        <v>10103</v>
      </c>
      <c r="B44" s="124" t="s">
        <v>45</v>
      </c>
      <c r="C44" s="232">
        <f>VLOOKUP(A44, TOCA_current!$A$3:$D$137, 4, FALSE)</f>
        <v>0</v>
      </c>
      <c r="D44" s="191">
        <v>1</v>
      </c>
      <c r="E44" s="107">
        <f>VLOOKUP($A44,TOCA_previous!$A$2:$AI$137,MATCH(E$4,TOCA_previous!$A$2:$AI$2,0),FALSE)</f>
        <v>4.5100300000000003E-2</v>
      </c>
      <c r="F44" s="108">
        <f>VLOOKUP($A44,TOCA_previous!$A$2:$AI$137,MATCH(F$4,TOCA_previous!$A$2:$AI$2,0),FALSE)</f>
        <v>2.3278800000000002E-2</v>
      </c>
      <c r="G44" s="108">
        <f t="shared" si="5"/>
        <v>2.1821500000000001E-2</v>
      </c>
      <c r="H44" s="108">
        <f>VLOOKUP($A44,TOCA_previous!$A$2:$AI$137,MATCH(H$4,TOCA_previous!$A$2:$AI$2,0),FALSE)</f>
        <v>0</v>
      </c>
      <c r="I44" s="108">
        <f t="shared" si="6"/>
        <v>0</v>
      </c>
      <c r="J44" s="108">
        <f t="shared" si="7"/>
        <v>0</v>
      </c>
      <c r="K44" s="179">
        <f>VLOOKUP(A44, IRD!$A$5:$C$139, 3, FALSE)</f>
        <v>0</v>
      </c>
      <c r="L44" s="180">
        <f t="array" ref="L44">IF($G44=0, INDEX(LS_previous!$D$4:$AY$138, MATCH('Staging Table'!$A44, LS_previous!$B$4:$B$138, 0), MATCH(L$4&amp;L$5, LS_previous!$D$2:$AY$2&amp;LS_previous!$D$3:$AY$3, 0)),SUM(VLOOKUP($A44, LS_previous!$B$4:$AY$138, LS_previous!D$149, FALSE), VLOOKUP('Staging Table'!$A44, LS_previous!$B$4:$AY$138,LS_previous!AB$149, FALSE))/2)</f>
        <v>-13458.259958097206</v>
      </c>
      <c r="M44" s="180">
        <f t="array" ref="M44">IF($G44=0, INDEX(LS_previous!$D$4:$AY$138, MATCH('Staging Table'!$A44, LS_previous!$B$4:$B$138, 0), MATCH(M$4&amp;M$5, LS_previous!$D$2:$AY$2&amp;LS_previous!$D$3:$AY$3, 0)),SUM(VLOOKUP($A44, LS_previous!$B$4:$AY$138, LS_previous!E$149, FALSE), VLOOKUP('Staging Table'!$A44, LS_previous!$B$4:$AY$138,LS_previous!AC$149, FALSE))/2)</f>
        <v>4980.7414219120983</v>
      </c>
      <c r="N44" s="180">
        <f t="array" ref="N44">IF($G44=0, INDEX(LS_previous!$D$4:$AY$138, MATCH('Staging Table'!$A44, LS_previous!$B$4:$B$138, 0), MATCH(N$4&amp;N$5, LS_previous!$D$2:$AY$2&amp;LS_previous!$D$3:$AY$3, 0)),SUM(VLOOKUP($A44, LS_previous!$B$4:$AY$138, LS_previous!F$149, FALSE), VLOOKUP('Staging Table'!$A44, LS_previous!$B$4:$AY$138,LS_previous!AD$149, FALSE))/2)</f>
        <v>-9959.0802121949891</v>
      </c>
      <c r="O44" s="180">
        <f t="array" ref="O44">IF($G44=0, INDEX(LS_previous!$D$4:$AY$138, MATCH('Staging Table'!$A44, LS_previous!$B$4:$B$138, 0), MATCH(O$4&amp;O$5, LS_previous!$D$2:$AY$2&amp;LS_previous!$D$3:$AY$3, 0)),SUM(VLOOKUP($A44, LS_previous!$B$4:$AY$138, LS_previous!G$149, FALSE), VLOOKUP('Staging Table'!$A44, LS_previous!$B$4:$AY$138,LS_previous!AE$149, FALSE))/2)</f>
        <v>6247.7729358486758</v>
      </c>
      <c r="P44" s="180">
        <f t="array" ref="P44">IF($G44=0, INDEX(LS_previous!$D$4:$AY$138, MATCH('Staging Table'!$A44, LS_previous!$B$4:$B$138, 0), MATCH(P$4&amp;P$5, LS_previous!$D$2:$AY$2&amp;LS_previous!$D$3:$AY$3, 0)),SUM(VLOOKUP($A44, LS_previous!$B$4:$AY$138, LS_previous!H$149, FALSE), VLOOKUP('Staging Table'!$A44, LS_previous!$B$4:$AY$138,LS_previous!AF$149, FALSE))/2)</f>
        <v>15586.469520302417</v>
      </c>
      <c r="Q44" s="180">
        <f t="array" ref="Q44">IF($G44=0, INDEX(LS_previous!$D$4:$AY$138, MATCH('Staging Table'!$A44, LS_previous!$B$4:$B$138, 0), MATCH(Q$4&amp;Q$5, LS_previous!$D$2:$AY$2&amp;LS_previous!$D$3:$AY$3, 0)),SUM(VLOOKUP($A44, LS_previous!$B$4:$AY$138, LS_previous!I$149, FALSE), VLOOKUP('Staging Table'!$A44, LS_previous!$B$4:$AY$138,LS_previous!AG$149, FALSE))/2)</f>
        <v>15142.491921479406</v>
      </c>
      <c r="R44" s="180">
        <f t="array" ref="R44">IF($G44=0, INDEX(LS_previous!$D$4:$AY$138, MATCH('Staging Table'!$A44, LS_previous!$B$4:$B$138, 0), MATCH(R$4&amp;R$5, LS_previous!$D$2:$AY$2&amp;LS_previous!$D$3:$AY$3, 0)),SUM(VLOOKUP($A44, LS_previous!$B$4:$AY$138, LS_previous!J$149, FALSE), VLOOKUP('Staging Table'!$A44, LS_previous!$B$4:$AY$138,LS_previous!AH$149, FALSE))/2)</f>
        <v>26899.919086842841</v>
      </c>
      <c r="S44" s="180">
        <f t="array" ref="S44">IF($G44=0, INDEX(LS_previous!$D$4:$AY$138, MATCH('Staging Table'!$A44, LS_previous!$B$4:$B$138, 0), MATCH(S$4&amp;S$5, LS_previous!$D$2:$AY$2&amp;LS_previous!$D$3:$AY$3, 0)),SUM(VLOOKUP($A44, LS_previous!$B$4:$AY$138, LS_previous!K$149, FALSE), VLOOKUP('Staging Table'!$A44, LS_previous!$B$4:$AY$138,LS_previous!AI$149, FALSE))/2)</f>
        <v>29439.895410232246</v>
      </c>
      <c r="T44" s="180">
        <f t="array" ref="T44">IF($G44=0, INDEX(LS_previous!$D$4:$AY$138, MATCH('Staging Table'!$A44, LS_previous!$B$4:$B$138, 0), MATCH(T$4&amp;T$5, LS_previous!$D$2:$AY$2&amp;LS_previous!$D$3:$AY$3, 0)),SUM(VLOOKUP($A44, LS_previous!$B$4:$AY$138, LS_previous!L$149, FALSE), VLOOKUP('Staging Table'!$A44, LS_previous!$B$4:$AY$138,LS_previous!AJ$149, FALSE))/2)</f>
        <v>13664.158305520832</v>
      </c>
      <c r="U44" s="180">
        <f t="array" ref="U44">IF($G44=0, INDEX(LS_previous!$D$4:$AY$138, MATCH('Staging Table'!$A44, LS_previous!$B$4:$B$138, 0), MATCH(U$4&amp;U$5, LS_previous!$D$2:$AY$2&amp;LS_previous!$D$3:$AY$3, 0)),SUM(VLOOKUP($A44, LS_previous!$B$4:$AY$138, LS_previous!M$149, FALSE), VLOOKUP('Staging Table'!$A44, LS_previous!$B$4:$AY$138,LS_previous!AK$149, FALSE))/2)</f>
        <v>11804.863326833696</v>
      </c>
      <c r="V44" s="180">
        <f t="array" ref="V44">IF($G44=0, INDEX(LS_previous!$D$4:$AY$138, MATCH('Staging Table'!$A44, LS_previous!$B$4:$B$138, 0), MATCH(V$4&amp;V$5, LS_previous!$D$2:$AY$2&amp;LS_previous!$D$3:$AY$3, 0)),SUM(VLOOKUP($A44, LS_previous!$B$4:$AY$138, LS_previous!N$149, FALSE), VLOOKUP('Staging Table'!$A44, LS_previous!$B$4:$AY$138,LS_previous!AL$149, FALSE))/2)</f>
        <v>-4253.1088608089085</v>
      </c>
      <c r="W44" s="180">
        <f t="array" ref="W44">IF($G44=0, INDEX(LS_previous!$D$4:$AY$138, MATCH('Staging Table'!$A44, LS_previous!$B$4:$B$138, 0), MATCH(W$4&amp;W$5, LS_previous!$D$2:$AY$2&amp;LS_previous!$D$3:$AY$3, 0)),SUM(VLOOKUP($A44, LS_previous!$B$4:$AY$138, LS_previous!O$149, FALSE), VLOOKUP('Staging Table'!$A44, LS_previous!$B$4:$AY$138,LS_previous!AM$149, FALSE))/2)</f>
        <v>3254.7069498469937</v>
      </c>
      <c r="X44" s="180">
        <f t="array" ref="X44">IF($G44=0, INDEX(LS_previous!$D$4:$AY$138, MATCH('Staging Table'!$A44, LS_previous!$B$4:$B$138, 0), MATCH(X$4&amp;X$5, LS_previous!$D$2:$AY$2&amp;LS_previous!$D$3:$AY$3, 0)),SUM(VLOOKUP($A44, LS_previous!$B$4:$AY$138, LS_previous!P$149, FALSE), VLOOKUP('Staging Table'!$A44, LS_previous!$B$4:$AY$138,LS_previous!AN$149, FALSE))/2)</f>
        <v>-1566.2402255000707</v>
      </c>
      <c r="Y44" s="180">
        <f t="array" ref="Y44">IF($G44=0, INDEX(LS_previous!$D$4:$AY$138, MATCH('Staging Table'!$A44, LS_previous!$B$4:$B$138, 0), MATCH(Y$4&amp;Y$5, LS_previous!$D$2:$AY$2&amp;LS_previous!$D$3:$AY$3, 0)),SUM(VLOOKUP($A44, LS_previous!$B$4:$AY$138, LS_previous!Q$149, FALSE), VLOOKUP('Staging Table'!$A44, LS_previous!$B$4:$AY$138,LS_previous!AO$149, FALSE))/2)</f>
        <v>6442.8865190280594</v>
      </c>
      <c r="Z44" s="180">
        <f t="array" ref="Z44">IF($G44=0, INDEX(LS_previous!$D$4:$AY$138, MATCH('Staging Table'!$A44, LS_previous!$B$4:$B$138, 0), MATCH(Z$4&amp;Z$5, LS_previous!$D$2:$AY$2&amp;LS_previous!$D$3:$AY$3, 0)),SUM(VLOOKUP($A44, LS_previous!$B$4:$AY$138, LS_previous!R$149, FALSE), VLOOKUP('Staging Table'!$A44, LS_previous!$B$4:$AY$138,LS_previous!AP$149, FALSE))/2)</f>
        <v>-10551.398966635337</v>
      </c>
      <c r="AA44" s="180">
        <f t="array" ref="AA44">IF($G44=0, INDEX(LS_previous!$D$4:$AY$138, MATCH('Staging Table'!$A44, LS_previous!$B$4:$B$138, 0), MATCH(AA$4&amp;AA$5, LS_previous!$D$2:$AY$2&amp;LS_previous!$D$3:$AY$3, 0)),SUM(VLOOKUP($A44, LS_previous!$B$4:$AY$138, LS_previous!S$149, FALSE), VLOOKUP('Staging Table'!$A44, LS_previous!$B$4:$AY$138,LS_previous!AQ$149, FALSE))/2)</f>
        <v>18916.635215229886</v>
      </c>
      <c r="AB44" s="180">
        <f t="array" ref="AB44">IF($G44=0, INDEX(LS_previous!$D$4:$AY$138, MATCH('Staging Table'!$A44, LS_previous!$B$4:$B$138, 0), MATCH(AB$4&amp;AB$5, LS_previous!$D$2:$AY$2&amp;LS_previous!$D$3:$AY$3, 0)),SUM(VLOOKUP($A44, LS_previous!$B$4:$AY$138, LS_previous!T$149, FALSE), VLOOKUP('Staging Table'!$A44, LS_previous!$B$4:$AY$138,LS_previous!AR$149, FALSE))/2)</f>
        <v>-40429.638735219509</v>
      </c>
      <c r="AC44" s="180">
        <f t="array" ref="AC44">IF($G44=0, INDEX(LS_previous!$D$4:$AY$138, MATCH('Staging Table'!$A44, LS_previous!$B$4:$B$138, 0), MATCH(AC$4&amp;AC$5, LS_previous!$D$2:$AY$2&amp;LS_previous!$D$3:$AY$3, 0)),SUM(VLOOKUP($A44, LS_previous!$B$4:$AY$138, LS_previous!U$149, FALSE), VLOOKUP('Staging Table'!$A44, LS_previous!$B$4:$AY$138,LS_previous!AS$149, FALSE))/2)</f>
        <v>682.97179798657817</v>
      </c>
      <c r="AD44" s="180">
        <f t="array" ref="AD44">IF($G44=0, INDEX(LS_previous!$D$4:$AY$138, MATCH('Staging Table'!$A44, LS_previous!$B$4:$B$138, 0), MATCH(AD$4&amp;AD$5, LS_previous!$D$2:$AY$2&amp;LS_previous!$D$3:$AY$3, 0)),SUM(VLOOKUP($A44, LS_previous!$B$4:$AY$138, LS_previous!V$149, FALSE), VLOOKUP('Staging Table'!$A44, LS_previous!$B$4:$AY$138,LS_previous!AT$149, FALSE))/2)</f>
        <v>-29163.330758498701</v>
      </c>
      <c r="AE44" s="180">
        <f t="array" ref="AE44">IF($G44=0, INDEX(LS_previous!$D$4:$AY$138, MATCH('Staging Table'!$A44, LS_previous!$B$4:$B$138, 0), MATCH(AE$4&amp;AE$5, LS_previous!$D$2:$AY$2&amp;LS_previous!$D$3:$AY$3, 0)),SUM(VLOOKUP($A44, LS_previous!$B$4:$AY$138, LS_previous!W$149, FALSE), VLOOKUP('Staging Table'!$A44, LS_previous!$B$4:$AY$138,LS_previous!AU$149, FALSE))/2)</f>
        <v>4181.0415538770394</v>
      </c>
      <c r="AF44" s="180">
        <f t="array" ref="AF44">IF($G44=0, INDEX(LS_previous!$D$4:$AY$138, MATCH('Staging Table'!$A44, LS_previous!$B$4:$B$138, 0), MATCH(AF$4&amp;AF$5, LS_previous!$D$2:$AY$2&amp;LS_previous!$D$3:$AY$3, 0)),SUM(VLOOKUP($A44, LS_previous!$B$4:$AY$138, LS_previous!X$149, FALSE), VLOOKUP('Staging Table'!$A44, LS_previous!$B$4:$AY$138,LS_previous!AV$149, FALSE))/2)</f>
        <v>-22306.590237384753</v>
      </c>
      <c r="AG44" s="180">
        <f t="array" ref="AG44">IF($G44=0, INDEX(LS_previous!$D$4:$AY$138, MATCH('Staging Table'!$A44, LS_previous!$B$4:$B$138, 0), MATCH(AG$4&amp;AG$5, LS_previous!$D$2:$AY$2&amp;LS_previous!$D$3:$AY$3, 0)),SUM(VLOOKUP($A44, LS_previous!$B$4:$AY$138, LS_previous!Y$149, FALSE), VLOOKUP('Staging Table'!$A44, LS_previous!$B$4:$AY$138,LS_previous!AW$149, FALSE))/2)</f>
        <v>2811.6893289209911</v>
      </c>
      <c r="AH44" s="180">
        <f t="array" ref="AH44">IF($G44=0, INDEX(LS_previous!$D$4:$AY$138, MATCH('Staging Table'!$A44, LS_previous!$B$4:$B$138, 0), MATCH(AH$4&amp;AH$5, LS_previous!$D$2:$AY$2&amp;LS_previous!$D$3:$AY$3, 0)),SUM(VLOOKUP($A44, LS_previous!$B$4:$AY$138, LS_previous!Z$149, FALSE), VLOOKUP('Staging Table'!$A44, LS_previous!$B$4:$AY$138,LS_previous!AX$149, FALSE))/2)</f>
        <v>-24802.38269110112</v>
      </c>
      <c r="AI44" s="180">
        <f t="array" ref="AI44">IF($G44=0, INDEX(LS_previous!$D$4:$AY$138, MATCH('Staging Table'!$A44, LS_previous!$B$4:$B$138, 0), MATCH(AI$4&amp;AI$5, LS_previous!$D$2:$AY$2&amp;LS_previous!$D$3:$AY$3, 0)),SUM(VLOOKUP($A44, LS_previous!$B$4:$AY$138, LS_previous!AA$149, FALSE), VLOOKUP('Staging Table'!$A44, LS_previous!$B$4:$AY$138,LS_previous!AY$149, FALSE))/2)</f>
        <v>-3564.4279421905849</v>
      </c>
      <c r="AJ44" s="298">
        <f t="array" ref="AJ44">INDEX(Demand_previous!$D$4:$AY$138, MATCH('Staging Table'!$A44, Demand_previous!$B$4:$B$138, 0), MATCH(AJ$4&amp;AJ$5,Demand_previous!$D$2:$AY$2&amp;Demand_previous!$D$3:$AY$3, 0))/1000</f>
        <v>0</v>
      </c>
      <c r="AK44" s="298">
        <f t="array" ref="AK44">INDEX(Demand_previous!$D$4:$AY$138, MATCH('Staging Table'!$A44, Demand_previous!$B$4:$B$138, 0), MATCH(AK$4&amp;AK$5,Demand_previous!$D$2:$AY$2&amp;Demand_previous!$D$3:$AY$3, 0))/1000</f>
        <v>0</v>
      </c>
      <c r="AL44" s="298">
        <f t="array" ref="AL44">INDEX(Demand_previous!$D$4:$AY$138, MATCH('Staging Table'!$A44, Demand_previous!$B$4:$B$138, 0), MATCH(AL$4&amp;AL$5,Demand_previous!$D$2:$AY$2&amp;Demand_previous!$D$3:$AY$3, 0))/1000</f>
        <v>0</v>
      </c>
      <c r="AM44" s="298">
        <f t="array" ref="AM44">INDEX(Demand_previous!$D$4:$AY$138, MATCH('Staging Table'!$A44, Demand_previous!$B$4:$B$138, 0), MATCH(AM$4&amp;AM$5,Demand_previous!$D$2:$AY$2&amp;Demand_previous!$D$3:$AY$3, 0))/1000</f>
        <v>0</v>
      </c>
      <c r="AN44" s="298">
        <f t="array" ref="AN44">INDEX(Demand_previous!$D$4:$AY$138, MATCH('Staging Table'!$A44, Demand_previous!$B$4:$B$138, 0), MATCH(AN$4&amp;AN$5,Demand_previous!$D$2:$AY$2&amp;Demand_previous!$D$3:$AY$3, 0))/1000</f>
        <v>0</v>
      </c>
      <c r="AO44" s="298">
        <f t="array" ref="AO44">INDEX(Demand_previous!$D$4:$AY$138, MATCH('Staging Table'!$A44, Demand_previous!$B$4:$B$138, 0), MATCH(AO$4&amp;AO$5,Demand_previous!$D$2:$AY$2&amp;Demand_previous!$D$3:$AY$3, 0))/1000</f>
        <v>0</v>
      </c>
      <c r="AP44" s="298">
        <f t="array" ref="AP44">INDEX(Demand_previous!$D$4:$AY$138, MATCH('Staging Table'!$A44, Demand_previous!$B$4:$B$138, 0), MATCH(AP$4&amp;AP$5,Demand_previous!$D$2:$AY$2&amp;Demand_previous!$D$3:$AY$3, 0))/1000</f>
        <v>0</v>
      </c>
      <c r="AQ44" s="298">
        <f t="array" ref="AQ44">INDEX(Demand_previous!$D$4:$AY$138, MATCH('Staging Table'!$A44, Demand_previous!$B$4:$B$138, 0), MATCH(AQ$4&amp;AQ$5,Demand_previous!$D$2:$AY$2&amp;Demand_previous!$D$3:$AY$3, 0))/1000</f>
        <v>0</v>
      </c>
      <c r="AR44" s="298">
        <f t="array" ref="AR44">INDEX(Demand_previous!$D$4:$AY$138, MATCH('Staging Table'!$A44, Demand_previous!$B$4:$B$138, 0), MATCH(AR$4&amp;AR$5,Demand_previous!$D$2:$AY$2&amp;Demand_previous!$D$3:$AY$3, 0))/1000</f>
        <v>0</v>
      </c>
      <c r="AS44" s="298">
        <f t="array" ref="AS44">INDEX(Demand_previous!$D$4:$AY$138, MATCH('Staging Table'!$A44, Demand_previous!$B$4:$B$138, 0), MATCH(AS$4&amp;AS$5,Demand_previous!$D$2:$AY$2&amp;Demand_previous!$D$3:$AY$3, 0))/1000</f>
        <v>0</v>
      </c>
      <c r="AT44" s="298">
        <f t="array" ref="AT44">INDEX(Demand_previous!$D$4:$AY$138, MATCH('Staging Table'!$A44, Demand_previous!$B$4:$B$138, 0), MATCH(AT$4&amp;AT$5,Demand_previous!$D$2:$AY$2&amp;Demand_previous!$D$3:$AY$3, 0))/1000</f>
        <v>0</v>
      </c>
      <c r="AU44" s="298">
        <f t="array" ref="AU44">INDEX(Demand_previous!$D$4:$AY$138, MATCH('Staging Table'!$A44, Demand_previous!$B$4:$B$138, 0), MATCH(AU$4&amp;AU$5,Demand_previous!$D$2:$AY$2&amp;Demand_previous!$D$3:$AY$3, 0))/1000</f>
        <v>0</v>
      </c>
      <c r="AV44" s="180">
        <f>$F44*(VLOOKUP(AV$4, Rates_previous!$G$6:$Q$29, 10, FALSE)+VLOOKUP(AV$4, Rates_previous!$G$6:$Q$29, 11, FALSE))</f>
        <v>106009.89580605773</v>
      </c>
      <c r="AW44" s="180">
        <f>$F44*(VLOOKUP(AW$4, Rates_previous!$G$6:$Q$29, 10, FALSE)+VLOOKUP(AW$4, Rates_previous!$G$6:$Q$29, 11, FALSE))</f>
        <v>134212.37545434499</v>
      </c>
      <c r="AX44" s="180">
        <f>$F44*(VLOOKUP(AX$4, Rates_previous!$G$6:$Q$29, 10, FALSE)+VLOOKUP(AX$4, Rates_previous!$G$6:$Q$29, 11, FALSE))</f>
        <v>131367.10218983749</v>
      </c>
      <c r="AY44" s="180">
        <f>$F44*(VLOOKUP(AY$4, Rates_previous!$G$6:$Q$29, 10, FALSE)+VLOOKUP(AY$4, Rates_previous!$G$6:$Q$29, 11, FALSE))</f>
        <v>108503.64004355436</v>
      </c>
      <c r="AZ44" s="180">
        <f>$F44*(VLOOKUP(AZ$4, Rates_previous!$G$6:$Q$29, 10, FALSE)+VLOOKUP(AZ$4, Rates_previous!$G$6:$Q$29, 11, FALSE))</f>
        <v>94042.482909602055</v>
      </c>
      <c r="BA44" s="180">
        <f>$F44*(VLOOKUP(BA$4, Rates_previous!$G$6:$Q$29, 10, FALSE)+VLOOKUP(BA$4, Rates_previous!$G$6:$Q$29, 11, FALSE))</f>
        <v>112267.73372588688</v>
      </c>
      <c r="BB44" s="180">
        <f>$F44*(VLOOKUP(BB$4, Rates_previous!$G$6:$Q$29, 10, FALSE)+VLOOKUP(BB$4, Rates_previous!$G$6:$Q$29, 11, FALSE))</f>
        <v>87160.949158323812</v>
      </c>
      <c r="BC44" s="180">
        <f>$F44*(VLOOKUP(BC$4, Rates_previous!$G$6:$Q$29, 10, FALSE)+VLOOKUP(BC$4, Rates_previous!$G$6:$Q$29, 11, FALSE))</f>
        <v>120762.13647489877</v>
      </c>
      <c r="BD44" s="180">
        <f>$F44*(VLOOKUP(BD$4, Rates_previous!$G$6:$Q$29, 10, FALSE)+VLOOKUP(BD$4, Rates_previous!$G$6:$Q$29, 11, FALSE))</f>
        <v>129036.87148007387</v>
      </c>
      <c r="BE44" s="180">
        <f>$F44*(VLOOKUP(BE$4, Rates_previous!$G$6:$Q$29, 10, FALSE)+VLOOKUP(BE$4, Rates_previous!$G$6:$Q$29, 11, FALSE))</f>
        <v>122514.6664744943</v>
      </c>
      <c r="BF44" s="180">
        <f>$F44*(VLOOKUP(BF$4, Rates_previous!$G$6:$Q$29, 10, FALSE)+VLOOKUP(BF$4, Rates_previous!$G$6:$Q$29, 11, FALSE))</f>
        <v>118400.97363284166</v>
      </c>
      <c r="BG44" s="180">
        <f>$F44*(VLOOKUP(BG$4, Rates_previous!$G$6:$Q$29, 10, FALSE)+VLOOKUP(BG$4, Rates_previous!$G$6:$Q$29, 11, FALSE))</f>
        <v>109414.84244910123</v>
      </c>
      <c r="BH44" s="298">
        <f>IF($D44=0,IF(C44=0, MAX(BJ44 - (VLOOKUP($A44,TOCA_previous!$A$2:$AI$137,MATCH("RHWM 2022",TOCA_previous!$A$2:$AI$2,0),FALSE)*$F$2*TOCA_previous!C41),0),0), 0)</f>
        <v>0</v>
      </c>
      <c r="BI44" s="192">
        <f>MIN(VLOOKUP($A44,TOCA_previous!$A$2:$AI$137,MATCH("TRL - NLSL - Existing Resource "&amp;$F$1,TOCA_previous!$A$2:$AI$2,0),FALSE)*$F$2,(VLOOKUP($A44,TOCA_previous!$A$2:$AI$137,MATCH("RHWM 2022",TOCA_previous!$A$2:$AI$2,0),FALSE)*$F$2))</f>
        <v>2661393.12</v>
      </c>
      <c r="BJ44" s="402">
        <f>SUM(L44:AI44)+(F44*RT1SC!$C$3*$F$2)</f>
        <v>1373695.5247756226</v>
      </c>
      <c r="BK44" s="401">
        <f>VLOOKUP($A44,TOCA_previous!$A$2:$AI$137,MATCH("Above RHWM Not Served with LS "&amp;$F$1,TOCA_previous!$A$2:$AI$2,0),FALSE)*$F$2</f>
        <v>0</v>
      </c>
      <c r="BL44" s="402">
        <f t="shared" si="8"/>
        <v>-1287697.5952243775</v>
      </c>
      <c r="BM44" s="401">
        <f>(VLOOKUP($A44,TOCA_previous!$A$2:$AI$137,MATCH("RHWM 2022",TOCA_previous!$A$2:$AI$2,0),FALSE)*$F$2) - $BI44</f>
        <v>0</v>
      </c>
      <c r="BN44" s="402">
        <f t="shared" si="9"/>
        <v>0</v>
      </c>
      <c r="BO44" s="401">
        <f t="shared" si="10"/>
        <v>1287697.5952243775</v>
      </c>
      <c r="BP44" s="402">
        <f t="shared" si="11"/>
        <v>0</v>
      </c>
      <c r="BQ44" s="401">
        <f t="shared" si="18"/>
        <v>0</v>
      </c>
      <c r="BR44" s="108">
        <f>VLOOKUP($A44,TOCA_current!$A$2:$AI$137,MATCH(BR$4,TOCA_current!$A$2:$AI$2,0),FALSE)</f>
        <v>4.5090999999999999E-2</v>
      </c>
      <c r="BS44" s="108">
        <f>VLOOKUP($A44,TOCA_current!$A$2:$AI$137,MATCH(BS$4,TOCA_current!$A$2:$AI$2,0),FALSE)</f>
        <v>2.3274099999999999E-2</v>
      </c>
      <c r="BT44" s="189">
        <f t="shared" si="12"/>
        <v>2.18169E-2</v>
      </c>
      <c r="BU44" s="108">
        <f>VLOOKUP($A44,TOCA_current!A40:BG175,MATCH(BU$4,TOCA_current!$A$2:$BG$2,0),FALSE)</f>
        <v>0</v>
      </c>
      <c r="BV44" s="108">
        <f t="shared" si="19"/>
        <v>0</v>
      </c>
      <c r="BW44" s="108">
        <f t="shared" si="20"/>
        <v>0</v>
      </c>
      <c r="BX44" s="179">
        <f>VLOOKUP($A44,IRD!$A$4:$G$139, 7, FALSE)</f>
        <v>0</v>
      </c>
      <c r="BY44" s="180">
        <f t="array" ref="BY44">IF($BT44=0, INDEX(LS_current!$D$4:$AY$138, MATCH('Staging Table'!$A44, LS_current!$B$4:$B$138, 0), MATCH(BY$4&amp;BY$5, LS_current!$D$2:$AY$2&amp;LS_current!$D$3:$AY$3, 0)),SUM(VLOOKUP($A44, LS_current!$B$4:$AY$138, LS_current!D$148, FALSE), VLOOKUP($A44, LS_current!$B$4:$AY$138,LS_current!AB$148, FALSE))/2)</f>
        <v>-1053.2440992714874</v>
      </c>
      <c r="BZ44" s="180">
        <f t="array" ref="BZ44">IF($BT44=0, INDEX(LS_current!$D$4:$AY$138, MATCH('Staging Table'!$A44, LS_current!$B$4:$B$138, 0), MATCH(BZ$4&amp;BZ$5, LS_current!$D$2:$AY$2&amp;LS_current!$D$3:$AY$3, 0)),SUM(VLOOKUP($A44, LS_current!$B$4:$AY$138, LS_current!E$148, FALSE), VLOOKUP($A44, LS_current!$B$4:$AY$138,LS_current!AC$148, FALSE))/2)</f>
        <v>5250.4865170438825</v>
      </c>
      <c r="CA44" s="180">
        <f t="array" ref="CA44">IF($BT44=0, INDEX(LS_current!$D$4:$AY$138, MATCH('Staging Table'!$A44, LS_current!$B$4:$B$138, 0), MATCH(CA$4&amp;CA$5, LS_current!$D$2:$AY$2&amp;LS_current!$D$3:$AY$3, 0)),SUM(VLOOKUP($A44, LS_current!$B$4:$AY$138, LS_current!F$148, FALSE), VLOOKUP($A44, LS_current!$B$4:$AY$138,LS_current!AD$148, FALSE))/2)</f>
        <v>25.041242231811339</v>
      </c>
      <c r="CB44" s="180">
        <f t="array" ref="CB44">IF($BT44=0, INDEX(LS_current!$D$4:$AY$138, MATCH('Staging Table'!$A44, LS_current!$B$4:$B$138, 0), MATCH(CB$4&amp;CB$5, LS_current!$D$2:$AY$2&amp;LS_current!$D$3:$AY$3, 0)),SUM(VLOOKUP($A44, LS_current!$B$4:$AY$138, LS_current!G$148, FALSE), VLOOKUP($A44, LS_current!$B$4:$AY$138,LS_current!AE$148, FALSE))/2)</f>
        <v>11747.273378919275</v>
      </c>
      <c r="CC44" s="180">
        <f t="array" ref="CC44">IF($BT44=0, INDEX(LS_current!$D$4:$AY$138, MATCH('Staging Table'!$A44, LS_current!$B$4:$B$138, 0), MATCH(CC$4&amp;CC$5, LS_current!$D$2:$AY$2&amp;LS_current!$D$3:$AY$3, 0)),SUM(VLOOKUP($A44, LS_current!$B$4:$AY$138, LS_current!H$148, FALSE), VLOOKUP($A44, LS_current!$B$4:$AY$138,LS_current!AF$148, FALSE))/2)</f>
        <v>9549.2494976309026</v>
      </c>
      <c r="CD44" s="180">
        <f t="array" ref="CD44">IF($BT44=0, INDEX(LS_current!$D$4:$AY$138, MATCH('Staging Table'!$A44, LS_current!$B$4:$B$138, 0), MATCH(CD$4&amp;CD$5, LS_current!$D$2:$AY$2&amp;LS_current!$D$3:$AY$3, 0)),SUM(VLOOKUP($A44, LS_current!$B$4:$AY$138, LS_current!I$148, FALSE), VLOOKUP($A44, LS_current!$B$4:$AY$138,LS_current!AG$148, FALSE))/2)</f>
        <v>25472.986626620492</v>
      </c>
      <c r="CE44" s="180">
        <f t="array" ref="CE44">IF($BT44=0, INDEX(LS_current!$D$4:$AY$138, MATCH('Staging Table'!$A44, LS_current!$B$4:$B$138, 0), MATCH(CE$4&amp;CE$5, LS_current!$D$2:$AY$2&amp;LS_current!$D$3:$AY$3, 0)),SUM(VLOOKUP($A44, LS_current!$B$4:$AY$138, LS_current!J$148, FALSE), VLOOKUP($A44, LS_current!$B$4:$AY$138,LS_current!AH$148, FALSE))/2)</f>
        <v>9812.5633214625923</v>
      </c>
      <c r="CF44" s="180">
        <f t="array" ref="CF44">IF($BT44=0, INDEX(LS_current!$D$4:$AY$138, MATCH('Staging Table'!$A44, LS_current!$B$4:$B$138, 0), MATCH(CF$4&amp;CF$5, LS_current!$D$2:$AY$2&amp;LS_current!$D$3:$AY$3, 0)),SUM(VLOOKUP($A44, LS_current!$B$4:$AY$138, LS_current!K$148, FALSE), VLOOKUP($A44, LS_current!$B$4:$AY$138,LS_current!AI$148, FALSE))/2)</f>
        <v>22802.414554776245</v>
      </c>
      <c r="CG44" s="180">
        <f t="array" ref="CG44">IF($BT44=0, INDEX(LS_current!$D$4:$AY$138, MATCH('Staging Table'!$A44, LS_current!$B$4:$B$138, 0), MATCH(CG$4&amp;CG$5, LS_current!$D$2:$AY$2&amp;LS_current!$D$3:$AY$3, 0)),SUM(VLOOKUP($A44, LS_current!$B$4:$AY$138, LS_current!L$148, FALSE), VLOOKUP($A44, LS_current!$B$4:$AY$138,LS_current!AJ$148, FALSE))/2)</f>
        <v>-3593.0646201393465</v>
      </c>
      <c r="CH44" s="180">
        <f t="array" ref="CH44">IF($BT44=0, INDEX(LS_current!$D$4:$AY$138, MATCH('Staging Table'!$A44, LS_current!$B$4:$B$138, 0), MATCH(CH$4&amp;CH$5, LS_current!$D$2:$AY$2&amp;LS_current!$D$3:$AY$3, 0)),SUM(VLOOKUP($A44, LS_current!$B$4:$AY$138, LS_current!M$148, FALSE), VLOOKUP($A44, LS_current!$B$4:$AY$138,LS_current!AK$148, FALSE))/2)</f>
        <v>10234.612581676793</v>
      </c>
      <c r="CI44" s="180">
        <f t="array" ref="CI44">IF($BT44=0, INDEX(LS_current!$D$4:$AY$138, MATCH('Staging Table'!$A44, LS_current!$B$4:$B$138, 0), MATCH(CI$4&amp;CI$5, LS_current!$D$2:$AY$2&amp;LS_current!$D$3:$AY$3, 0)),SUM(VLOOKUP($A44, LS_current!$B$4:$AY$138, LS_current!N$148, FALSE), VLOOKUP($A44, LS_current!$B$4:$AY$138,LS_current!AL$148, FALSE))/2)</f>
        <v>-14894.59786572494</v>
      </c>
      <c r="CJ44" s="180">
        <f t="array" ref="CJ44">IF($BT44=0, INDEX(LS_current!$D$4:$AY$138, MATCH('Staging Table'!$A44, LS_current!$B$4:$B$138, 0), MATCH(CJ$4&amp;CJ$5, LS_current!$D$2:$AY$2&amp;LS_current!$D$3:$AY$3, 0)),SUM(VLOOKUP($A44, LS_current!$B$4:$AY$138, LS_current!O$148, FALSE), VLOOKUP($A44, LS_current!$B$4:$AY$138,LS_current!AM$148, FALSE))/2)</f>
        <v>-177.705728776451</v>
      </c>
      <c r="CK44" s="180">
        <f t="array" ref="CK44">IF($BT44=0, INDEX(LS_current!$D$4:$AY$138, MATCH('Staging Table'!$A44, LS_current!$B$4:$B$138, 0), MATCH(CK$4&amp;CK$5, LS_current!$D$2:$AY$2&amp;LS_current!$D$3:$AY$3, 0)),SUM(VLOOKUP($A44, LS_current!$B$4:$AY$138, LS_current!P$148, FALSE), VLOOKUP($A44, LS_current!$B$4:$AY$138,LS_current!AN$148, FALSE))/2)</f>
        <v>-7537.9315424418019</v>
      </c>
      <c r="CL44" s="180">
        <f t="array" ref="CL44">IF($BT44=0, INDEX(LS_current!$D$4:$AY$138, MATCH('Staging Table'!$A44, LS_current!$B$4:$B$138, 0), MATCH(CL$4&amp;CL$5, LS_current!$D$2:$AY$2&amp;LS_current!$D$3:$AY$3, 0)),SUM(VLOOKUP($A44, LS_current!$B$4:$AY$138, LS_current!Q$148, FALSE), VLOOKUP($A44, LS_current!$B$4:$AY$138,LS_current!AO$148, FALSE))/2)</f>
        <v>59.569443943866645</v>
      </c>
      <c r="CM44" s="180">
        <f t="array" ref="CM44">IF($BT44=0, INDEX(LS_current!$D$4:$AY$138, MATCH('Staging Table'!$A44, LS_current!$B$4:$B$138, 0), MATCH(CM$4&amp;CM$5, LS_current!$D$2:$AY$2&amp;LS_current!$D$3:$AY$3, 0)),SUM(VLOOKUP($A44, LS_current!$B$4:$AY$138, LS_current!R$148, FALSE), VLOOKUP($A44, LS_current!$B$4:$AY$138,LS_current!AP$148, FALSE))/2)</f>
        <v>-2682.6855740271858</v>
      </c>
      <c r="CN44" s="180">
        <f t="array" ref="CN44">IF($BT44=0, INDEX(LS_current!$D$4:$AY$138, MATCH('Staging Table'!$A44, LS_current!$B$4:$B$138, 0), MATCH(CN$4&amp;CN$5, LS_current!$D$2:$AY$2&amp;LS_current!$D$3:$AY$3, 0)),SUM(VLOOKUP($A44, LS_current!$B$4:$AY$138, LS_current!S$148, FALSE), VLOOKUP($A44, LS_current!$B$4:$AY$138,LS_current!AQ$148, FALSE))/2)</f>
        <v>9090.7899683165851</v>
      </c>
      <c r="CO44" s="180">
        <f t="array" ref="CO44">IF($BT44=0, INDEX(LS_current!$D$4:$AY$138, MATCH('Staging Table'!$A44, LS_current!$B$4:$B$138, 0), MATCH(CO$4&amp;CO$5, LS_current!$D$2:$AY$2&amp;LS_current!$D$3:$AY$3, 0)),SUM(VLOOKUP($A44, LS_current!$B$4:$AY$138, LS_current!T$148, FALSE), VLOOKUP($A44, LS_current!$B$4:$AY$138,LS_current!AR$148, FALSE))/2)</f>
        <v>-30781.671410935407</v>
      </c>
      <c r="CP44" s="180">
        <f t="array" ref="CP44">IF($BT44=0, INDEX(LS_current!$D$4:$AY$138, MATCH('Staging Table'!$A44, LS_current!$B$4:$B$138, 0), MATCH(CP$4&amp;CP$5, LS_current!$D$2:$AY$2&amp;LS_current!$D$3:$AY$3, 0)),SUM(VLOOKUP($A44, LS_current!$B$4:$AY$138, LS_current!U$148, FALSE), VLOOKUP($A44, LS_current!$B$4:$AY$138,LS_current!AS$148, FALSE))/2)</f>
        <v>-7432.031298273494</v>
      </c>
      <c r="CQ44" s="180">
        <f t="array" ref="CQ44">IF($BT44=0, INDEX(LS_current!$D$4:$AY$138, MATCH('Staging Table'!$A44, LS_current!$B$4:$B$138, 0), MATCH(CQ$4&amp;CQ$5, LS_current!$D$2:$AY$2&amp;LS_current!$D$3:$AY$3, 0)),SUM(VLOOKUP($A44, LS_current!$B$4:$AY$138, LS_current!V$148, FALSE), VLOOKUP($A44, LS_current!$B$4:$AY$138,LS_current!AT$148, FALSE))/2)</f>
        <v>-14134.260341398662</v>
      </c>
      <c r="CR44" s="180">
        <f t="array" ref="CR44">IF($BT44=0, INDEX(LS_current!$D$4:$AY$138, MATCH('Staging Table'!$A44, LS_current!$B$4:$B$138, 0), MATCH(CR$4&amp;CR$5, LS_current!$D$2:$AY$2&amp;LS_current!$D$3:$AY$3, 0)),SUM(VLOOKUP($A44, LS_current!$B$4:$AY$138, LS_current!W$148, FALSE), VLOOKUP($A44, LS_current!$B$4:$AY$138,LS_current!AU$148, FALSE))/2)</f>
        <v>1970.9595014880724</v>
      </c>
      <c r="CS44" s="180">
        <f t="array" ref="CS44">IF($BT44=0, INDEX(LS_current!$D$4:$AY$138, MATCH('Staging Table'!$A44, LS_current!$B$4:$B$138, 0), MATCH(CS$4&amp;CS$5, LS_current!$D$2:$AY$2&amp;LS_current!$D$3:$AY$3, 0)),SUM(VLOOKUP($A44, LS_current!$B$4:$AY$138, LS_current!X$148, FALSE), VLOOKUP($A44, LS_current!$B$4:$AY$138,LS_current!AV$148, FALSE))/2)</f>
        <v>-11080.673723073174</v>
      </c>
      <c r="CT44" s="180">
        <f t="array" ref="CT44">IF($BT44=0, INDEX(LS_current!$D$4:$AY$138, MATCH('Staging Table'!$A44, LS_current!$B$4:$B$138, 0), MATCH(CT$4&amp;CT$5, LS_current!$D$2:$AY$2&amp;LS_current!$D$3:$AY$3, 0)),SUM(VLOOKUP($A44, LS_current!$B$4:$AY$138, LS_current!Y$148, FALSE), VLOOKUP($A44, LS_current!$B$4:$AY$138,LS_current!AW$148, FALSE))/2)</f>
        <v>4170.0092309696774</v>
      </c>
      <c r="CU44" s="180">
        <f t="array" ref="CU44">IF($BT44=0, INDEX(LS_current!$D$4:$AY$138, MATCH('Staging Table'!$A44, LS_current!$B$4:$B$138, 0), MATCH(CU$4&amp;CU$5, LS_current!$D$2:$AY$2&amp;LS_current!$D$3:$AY$3, 0)),SUM(VLOOKUP($A44, LS_current!$B$4:$AY$138, LS_current!Z$148, FALSE), VLOOKUP($A44, LS_current!$B$4:$AY$138,LS_current!AX$148, FALSE))/2)</f>
        <v>-14535.20796913949</v>
      </c>
      <c r="CV44" s="180">
        <f t="array" ref="CV44">IF($BT44=0, INDEX(LS_current!$D$4:$AY$138, MATCH('Staging Table'!$A44, LS_current!$B$4:$B$138, 0), MATCH(CV$4&amp;CV$5, LS_current!$D$2:$AY$2&amp;LS_current!$D$3:$AY$3, 0)),SUM(VLOOKUP($A44, LS_current!$B$4:$AY$138, LS_current!AA$148, FALSE), VLOOKUP($A44, LS_current!$B$4:$AY$138,LS_current!AY$148, FALSE))/2)</f>
        <v>-2284.546205978193</v>
      </c>
      <c r="CW44" s="182">
        <f t="array" ref="CW44">INDEX(Demand_current!$D$4:$AY$138, MATCH($A44, Demand_current!$B$4:$B$138, 0), MATCH(CW$4&amp;CW$5,Demand_current!$D$2:$AY$2&amp;Demand_current!$D$3:$AY$3, 0))/1000</f>
        <v>0</v>
      </c>
      <c r="CX44" s="182">
        <f t="array" ref="CX44">INDEX(Demand_current!$D$4:$AY$138, MATCH($A44, Demand_current!$B$4:$B$138, 0), MATCH(CX$4&amp;CX$5,Demand_current!$D$2:$AY$2&amp;Demand_current!$D$3:$AY$3, 0))/1000</f>
        <v>0</v>
      </c>
      <c r="CY44" s="182">
        <f t="array" ref="CY44">INDEX(Demand_current!$D$4:$AY$138, MATCH($A44, Demand_current!$B$4:$B$138, 0), MATCH(CY$4&amp;CY$5,Demand_current!$D$2:$AY$2&amp;Demand_current!$D$3:$AY$3, 0))/1000</f>
        <v>0</v>
      </c>
      <c r="CZ44" s="182">
        <f t="array" ref="CZ44">INDEX(Demand_current!$D$4:$AY$138, MATCH($A44, Demand_current!$B$4:$B$138, 0), MATCH(CZ$4&amp;CZ$5,Demand_current!$D$2:$AY$2&amp;Demand_current!$D$3:$AY$3, 0))/1000</f>
        <v>0</v>
      </c>
      <c r="DA44" s="182">
        <f t="array" ref="DA44">INDEX(Demand_current!$D$4:$AY$138, MATCH($A44, Demand_current!$B$4:$B$138, 0), MATCH(DA$4&amp;DA$5,Demand_current!$D$2:$AY$2&amp;Demand_current!$D$3:$AY$3, 0))/1000</f>
        <v>0</v>
      </c>
      <c r="DB44" s="182">
        <f t="array" ref="DB44">INDEX(Demand_current!$D$4:$AY$138, MATCH($A44, Demand_current!$B$4:$B$138, 0), MATCH(DB$4&amp;DB$5,Demand_current!$D$2:$AY$2&amp;Demand_current!$D$3:$AY$3, 0))/1000</f>
        <v>0</v>
      </c>
      <c r="DC44" s="182">
        <f t="array" ref="DC44">INDEX(Demand_current!$D$4:$AY$138, MATCH($A44, Demand_current!$B$4:$B$138, 0), MATCH(DC$4&amp;DC$5,Demand_current!$D$2:$AY$2&amp;Demand_current!$D$3:$AY$3, 0))/1000</f>
        <v>0</v>
      </c>
      <c r="DD44" s="182">
        <f t="array" ref="DD44">INDEX(Demand_current!$D$4:$AY$138, MATCH($A44, Demand_current!$B$4:$B$138, 0), MATCH(DD$4&amp;DD$5,Demand_current!$D$2:$AY$2&amp;Demand_current!$D$3:$AY$3, 0))/1000</f>
        <v>0</v>
      </c>
      <c r="DE44" s="182">
        <f t="array" ref="DE44">INDEX(Demand_current!$D$4:$AY$138, MATCH($A44, Demand_current!$B$4:$B$138, 0), MATCH(DE$4&amp;DE$5,Demand_current!$D$2:$AY$2&amp;Demand_current!$D$3:$AY$3, 0))/1000</f>
        <v>0</v>
      </c>
      <c r="DF44" s="182">
        <f t="array" ref="DF44">INDEX(Demand_current!$D$4:$AY$138, MATCH($A44, Demand_current!$B$4:$B$138, 0), MATCH(DF$4&amp;DF$5,Demand_current!$D$2:$AY$2&amp;Demand_current!$D$3:$AY$3, 0))/1000</f>
        <v>0</v>
      </c>
      <c r="DG44" s="182">
        <f t="array" ref="DG44">INDEX(Demand_current!$D$4:$AY$138, MATCH($A44, Demand_current!$B$4:$B$138, 0), MATCH(DG$4&amp;DG$5,Demand_current!$D$2:$AY$2&amp;Demand_current!$D$3:$AY$3, 0))/1000</f>
        <v>0</v>
      </c>
      <c r="DH44" s="182">
        <f t="array" ref="DH44">INDEX(Demand_current!$D$4:$AY$138, MATCH($A44, Demand_current!$B$4:$B$138, 0), MATCH(DH$4&amp;DH$5,Demand_current!$D$2:$AY$2&amp;Demand_current!$D$3:$AY$3, 0))/1000</f>
        <v>0</v>
      </c>
      <c r="DI44" s="180">
        <f>$BS44*(VLOOKUP(DI$4, Rates_current!$G$6:$Q$29, 10, FALSE)+VLOOKUP(DI$4, Rates_current!$G$6:$Q$29, 11, FALSE))</f>
        <v>98188.860625527144</v>
      </c>
      <c r="DJ44" s="180">
        <f>$BS44*(VLOOKUP(DJ$4, Rates_current!$G$6:$Q$29, 10, FALSE)+VLOOKUP(DJ$4, Rates_current!$G$6:$Q$29, 11, FALSE))</f>
        <v>125223.17536636192</v>
      </c>
      <c r="DK44" s="180">
        <f>$BS44*(VLOOKUP(DK$4, Rates_current!$G$6:$Q$29, 10, FALSE)+VLOOKUP(DK$4, Rates_current!$G$6:$Q$29, 11, FALSE))</f>
        <v>135140.5830181335</v>
      </c>
      <c r="DL44" s="180">
        <f>$BS44*(VLOOKUP(DL$4, Rates_current!$G$6:$Q$29, 10, FALSE)+VLOOKUP(DL$4, Rates_current!$G$6:$Q$29, 11, FALSE))</f>
        <v>140431.95684483039</v>
      </c>
      <c r="DM44" s="180">
        <f>$BS44*(VLOOKUP(DM$4, Rates_current!$G$6:$Q$29, 10, FALSE)+VLOOKUP(DM$4, Rates_current!$G$6:$Q$29, 11, FALSE))</f>
        <v>120790.20127139578</v>
      </c>
      <c r="DN44" s="180">
        <f>$BS44*(VLOOKUP(DN$4, Rates_current!$G$6:$Q$29, 10, FALSE)+VLOOKUP(DN$4, Rates_current!$G$6:$Q$29, 11, FALSE))</f>
        <v>131878.9845312231</v>
      </c>
      <c r="DO44" s="180">
        <f>$BS44*(VLOOKUP(DO$4, Rates_current!$G$6:$Q$29, 10, FALSE)+VLOOKUP(DO$4, Rates_current!$G$6:$Q$29, 11, FALSE))</f>
        <v>104096.23398442841</v>
      </c>
      <c r="DP44" s="180">
        <f>$BS44*(VLOOKUP(DP$4, Rates_current!$G$6:$Q$29, 10, FALSE)+VLOOKUP(DP$4, Rates_current!$G$6:$Q$29, 11, FALSE))</f>
        <v>129145.32780388165</v>
      </c>
      <c r="DQ44" s="180">
        <f>$BS44*(VLOOKUP(DQ$4, Rates_current!$G$6:$Q$29, 10, FALSE)+VLOOKUP(DQ$4, Rates_current!$G$6:$Q$29, 11, FALSE))</f>
        <v>131947.45901645505</v>
      </c>
      <c r="DR44" s="180">
        <f>$BS44*(VLOOKUP(DR$4, Rates_current!$G$6:$Q$29, 10, FALSE)+VLOOKUP(DR$4, Rates_current!$G$6:$Q$29, 11, FALSE))</f>
        <v>114549.40388321014</v>
      </c>
      <c r="DS44" s="180">
        <f>$BS44*(VLOOKUP(DS$4, Rates_current!$G$6:$Q$29, 10, FALSE)+VLOOKUP(DS$4, Rates_current!$G$6:$Q$29, 11, FALSE))</f>
        <v>110738.82532474505</v>
      </c>
      <c r="DT44" s="180">
        <f>$BS44*(VLOOKUP(DT$4, Rates_current!$G$6:$Q$29, 10, FALSE)+VLOOKUP(DT$4, Rates_current!$G$6:$Q$29, 11, FALSE))</f>
        <v>101901.1637463098</v>
      </c>
      <c r="DU44" s="402">
        <f>IF(D44=0,IF(C44=0,MAX(0,DW44 - (VLOOKUP($A44,TOCA_current!$A$2:$AI$137,MATCH("RHWM 2024",TOCA_current!$A$2:$AI$2,0),FALSE)*$BS$2)), 0),0)</f>
        <v>0</v>
      </c>
      <c r="DV44" s="403">
        <f>MIN(VLOOKUP($A44,TOCA_current!$A$2:$AI$137,MATCH("TRL - NLSL - Existing Resource "&amp;$BS$1,TOCA_current!$A$2:$AI$2,0),FALSE)*$BS$2, VLOOKUP($A44,TOCA_current!$A$2:$AI$137,MATCH("RHWM 2024",TOCA_current!$A$2:$AI$2,0),FALSE)*$BS$2)</f>
        <v>2797651.2960000001</v>
      </c>
      <c r="DW44" s="403">
        <f>SUM(BY44:CV44)+(BS44*RT1SC!$C$4*$BS$2)</f>
        <v>1444030.5175215565</v>
      </c>
      <c r="DX44" s="403">
        <f>VLOOKUP($A44,TOCA_current!$A$2:$AI$137,MATCH("Above RHWM Not Served with LS "&amp;$BS$1,TOCA_current!$A$2:$AI$2,0),FALSE)*$BS$2</f>
        <v>55962.864000000001</v>
      </c>
      <c r="DY44" s="403">
        <f t="shared" si="13"/>
        <v>-1353620.7784784436</v>
      </c>
      <c r="DZ44" s="403">
        <f>(VLOOKUP($A44,TOCA_current!$A$2:$AI$137,MATCH("RHWM 2024",TOCA_current!$A$2:$AI$2,0),FALSE)*$BS$2) - $DV44</f>
        <v>0</v>
      </c>
      <c r="EA44" s="403">
        <f t="shared" si="14"/>
        <v>0</v>
      </c>
      <c r="EB44" s="403">
        <f t="shared" si="15"/>
        <v>1297657.9144784436</v>
      </c>
      <c r="EC44" s="403">
        <f t="shared" si="16"/>
        <v>0</v>
      </c>
      <c r="ED44" s="403">
        <f t="shared" si="17"/>
        <v>0</v>
      </c>
    </row>
    <row r="45" spans="1:134">
      <c r="A45" s="123">
        <v>10105</v>
      </c>
      <c r="B45" s="124" t="s">
        <v>46</v>
      </c>
      <c r="C45" s="232">
        <f>VLOOKUP(A45, TOCA_current!$A$3:$D$137, 4, FALSE)</f>
        <v>0</v>
      </c>
      <c r="D45" s="191">
        <v>1</v>
      </c>
      <c r="E45" s="107">
        <f>VLOOKUP($A45,TOCA_previous!$A$2:$AI$137,MATCH(E$4,TOCA_previous!$A$2:$AI$2,0),FALSE)</f>
        <v>1.2486000000000001E-2</v>
      </c>
      <c r="F45" s="108">
        <f>VLOOKUP($A45,TOCA_previous!$A$2:$AI$137,MATCH(F$4,TOCA_previous!$A$2:$AI$2,0),FALSE)</f>
        <v>5.2326000000000004E-3</v>
      </c>
      <c r="G45" s="108">
        <f t="shared" si="5"/>
        <v>7.2534000000000001E-3</v>
      </c>
      <c r="H45" s="108">
        <f>VLOOKUP($A45,TOCA_previous!$A$2:$AI$137,MATCH(H$4,TOCA_previous!$A$2:$AI$2,0),FALSE)</f>
        <v>0</v>
      </c>
      <c r="I45" s="108">
        <f t="shared" si="6"/>
        <v>0</v>
      </c>
      <c r="J45" s="108">
        <f t="shared" si="7"/>
        <v>0</v>
      </c>
      <c r="K45" s="179">
        <f>VLOOKUP(A45, IRD!$A$5:$C$139, 3, FALSE)</f>
        <v>0</v>
      </c>
      <c r="L45" s="180">
        <f t="array" ref="L45">IF($G45=0, INDEX(LS_previous!$D$4:$AY$138, MATCH('Staging Table'!$A45, LS_previous!$B$4:$B$138, 0), MATCH(L$4&amp;L$5, LS_previous!$D$2:$AY$2&amp;LS_previous!$D$3:$AY$3, 0)),SUM(VLOOKUP($A45, LS_previous!$B$4:$AY$138, LS_previous!D$149, FALSE), VLOOKUP('Staging Table'!$A45, LS_previous!$B$4:$AY$138,LS_previous!AB$149, FALSE))/2)</f>
        <v>-933.4481541461555</v>
      </c>
      <c r="M45" s="180">
        <f t="array" ref="M45">IF($G45=0, INDEX(LS_previous!$D$4:$AY$138, MATCH('Staging Table'!$A45, LS_previous!$B$4:$B$138, 0), MATCH(M$4&amp;M$5, LS_previous!$D$2:$AY$2&amp;LS_previous!$D$3:$AY$3, 0)),SUM(VLOOKUP($A45, LS_previous!$B$4:$AY$138, LS_previous!E$149, FALSE), VLOOKUP('Staging Table'!$A45, LS_previous!$B$4:$AY$138,LS_previous!AC$149, FALSE))/2)</f>
        <v>2695.3131844035443</v>
      </c>
      <c r="N45" s="180">
        <f t="array" ref="N45">IF($G45=0, INDEX(LS_previous!$D$4:$AY$138, MATCH('Staging Table'!$A45, LS_previous!$B$4:$B$138, 0), MATCH(N$4&amp;N$5, LS_previous!$D$2:$AY$2&amp;LS_previous!$D$3:$AY$3, 0)),SUM(VLOOKUP($A45, LS_previous!$B$4:$AY$138, LS_previous!F$149, FALSE), VLOOKUP('Staging Table'!$A45, LS_previous!$B$4:$AY$138,LS_previous!AD$149, FALSE))/2)</f>
        <v>-4204.3371253987352</v>
      </c>
      <c r="O45" s="180">
        <f t="array" ref="O45">IF($G45=0, INDEX(LS_previous!$D$4:$AY$138, MATCH('Staging Table'!$A45, LS_previous!$B$4:$B$138, 0), MATCH(O$4&amp;O$5, LS_previous!$D$2:$AY$2&amp;LS_previous!$D$3:$AY$3, 0)),SUM(VLOOKUP($A45, LS_previous!$B$4:$AY$138, LS_previous!G$149, FALSE), VLOOKUP('Staging Table'!$A45, LS_previous!$B$4:$AY$138,LS_previous!AE$149, FALSE))/2)</f>
        <v>-240.23816730772614</v>
      </c>
      <c r="P45" s="180">
        <f t="array" ref="P45">IF($G45=0, INDEX(LS_previous!$D$4:$AY$138, MATCH('Staging Table'!$A45, LS_previous!$B$4:$B$138, 0), MATCH(P$4&amp;P$5, LS_previous!$D$2:$AY$2&amp;LS_previous!$D$3:$AY$3, 0)),SUM(VLOOKUP($A45, LS_previous!$B$4:$AY$138, LS_previous!H$149, FALSE), VLOOKUP('Staging Table'!$A45, LS_previous!$B$4:$AY$138,LS_previous!AF$149, FALSE))/2)</f>
        <v>-964.84169943953748</v>
      </c>
      <c r="Q45" s="180">
        <f t="array" ref="Q45">IF($G45=0, INDEX(LS_previous!$D$4:$AY$138, MATCH('Staging Table'!$A45, LS_previous!$B$4:$B$138, 0), MATCH(Q$4&amp;Q$5, LS_previous!$D$2:$AY$2&amp;LS_previous!$D$3:$AY$3, 0)),SUM(VLOOKUP($A45, LS_previous!$B$4:$AY$138, LS_previous!I$149, FALSE), VLOOKUP('Staging Table'!$A45, LS_previous!$B$4:$AY$138,LS_previous!AG$149, FALSE))/2)</f>
        <v>-132.85363890093413</v>
      </c>
      <c r="R45" s="180">
        <f t="array" ref="R45">IF($G45=0, INDEX(LS_previous!$D$4:$AY$138, MATCH('Staging Table'!$A45, LS_previous!$B$4:$B$138, 0), MATCH(R$4&amp;R$5, LS_previous!$D$2:$AY$2&amp;LS_previous!$D$3:$AY$3, 0)),SUM(VLOOKUP($A45, LS_previous!$B$4:$AY$138, LS_previous!J$149, FALSE), VLOOKUP('Staging Table'!$A45, LS_previous!$B$4:$AY$138,LS_previous!AH$149, FALSE))/2)</f>
        <v>1043.7957461939304</v>
      </c>
      <c r="S45" s="180">
        <f t="array" ref="S45">IF($G45=0, INDEX(LS_previous!$D$4:$AY$138, MATCH('Staging Table'!$A45, LS_previous!$B$4:$B$138, 0), MATCH(S$4&amp;S$5, LS_previous!$D$2:$AY$2&amp;LS_previous!$D$3:$AY$3, 0)),SUM(VLOOKUP($A45, LS_previous!$B$4:$AY$138, LS_previous!K$149, FALSE), VLOOKUP('Staging Table'!$A45, LS_previous!$B$4:$AY$138,LS_previous!AI$149, FALSE))/2)</f>
        <v>2285.400310749661</v>
      </c>
      <c r="T45" s="180">
        <f t="array" ref="T45">IF($G45=0, INDEX(LS_previous!$D$4:$AY$138, MATCH('Staging Table'!$A45, LS_previous!$B$4:$B$138, 0), MATCH(T$4&amp;T$5, LS_previous!$D$2:$AY$2&amp;LS_previous!$D$3:$AY$3, 0)),SUM(VLOOKUP($A45, LS_previous!$B$4:$AY$138, LS_previous!L$149, FALSE), VLOOKUP('Staging Table'!$A45, LS_previous!$B$4:$AY$138,LS_previous!AJ$149, FALSE))/2)</f>
        <v>2315.9494302378453</v>
      </c>
      <c r="U45" s="180">
        <f t="array" ref="U45">IF($G45=0, INDEX(LS_previous!$D$4:$AY$138, MATCH('Staging Table'!$A45, LS_previous!$B$4:$B$138, 0), MATCH(U$4&amp;U$5, LS_previous!$D$2:$AY$2&amp;LS_previous!$D$3:$AY$3, 0)),SUM(VLOOKUP($A45, LS_previous!$B$4:$AY$138, LS_previous!M$149, FALSE), VLOOKUP('Staging Table'!$A45, LS_previous!$B$4:$AY$138,LS_previous!AK$149, FALSE))/2)</f>
        <v>2079.550474980987</v>
      </c>
      <c r="V45" s="180">
        <f t="array" ref="V45">IF($G45=0, INDEX(LS_previous!$D$4:$AY$138, MATCH('Staging Table'!$A45, LS_previous!$B$4:$B$138, 0), MATCH(V$4&amp;V$5, LS_previous!$D$2:$AY$2&amp;LS_previous!$D$3:$AY$3, 0)),SUM(VLOOKUP($A45, LS_previous!$B$4:$AY$138, LS_previous!N$149, FALSE), VLOOKUP('Staging Table'!$A45, LS_previous!$B$4:$AY$138,LS_previous!AL$149, FALSE))/2)</f>
        <v>821.60238253760326</v>
      </c>
      <c r="W45" s="180">
        <f t="array" ref="W45">IF($G45=0, INDEX(LS_previous!$D$4:$AY$138, MATCH('Staging Table'!$A45, LS_previous!$B$4:$B$138, 0), MATCH(W$4&amp;W$5, LS_previous!$D$2:$AY$2&amp;LS_previous!$D$3:$AY$3, 0)),SUM(VLOOKUP($A45, LS_previous!$B$4:$AY$138, LS_previous!O$149, FALSE), VLOOKUP('Staging Table'!$A45, LS_previous!$B$4:$AY$138,LS_previous!AM$149, FALSE))/2)</f>
        <v>1981.5433575127599</v>
      </c>
      <c r="X45" s="180">
        <f t="array" ref="X45">IF($G45=0, INDEX(LS_previous!$D$4:$AY$138, MATCH('Staging Table'!$A45, LS_previous!$B$4:$B$138, 0), MATCH(X$4&amp;X$5, LS_previous!$D$2:$AY$2&amp;LS_previous!$D$3:$AY$3, 0)),SUM(VLOOKUP($A45, LS_previous!$B$4:$AY$138, LS_previous!P$149, FALSE), VLOOKUP('Staging Table'!$A45, LS_previous!$B$4:$AY$138,LS_previous!AN$149, FALSE))/2)</f>
        <v>2914.2866320537478</v>
      </c>
      <c r="Y45" s="180">
        <f t="array" ref="Y45">IF($G45=0, INDEX(LS_previous!$D$4:$AY$138, MATCH('Staging Table'!$A45, LS_previous!$B$4:$B$138, 0), MATCH(Y$4&amp;Y$5, LS_previous!$D$2:$AY$2&amp;LS_previous!$D$3:$AY$3, 0)),SUM(VLOOKUP($A45, LS_previous!$B$4:$AY$138, LS_previous!Q$149, FALSE), VLOOKUP('Staging Table'!$A45, LS_previous!$B$4:$AY$138,LS_previous!AO$149, FALSE))/2)</f>
        <v>3902.5225966442417</v>
      </c>
      <c r="Z45" s="180">
        <f t="array" ref="Z45">IF($G45=0, INDEX(LS_previous!$D$4:$AY$138, MATCH('Staging Table'!$A45, LS_previous!$B$4:$B$138, 0), MATCH(Z$4&amp;Z$5, LS_previous!$D$2:$AY$2&amp;LS_previous!$D$3:$AY$3, 0)),SUM(VLOOKUP($A45, LS_previous!$B$4:$AY$138, LS_previous!R$149, FALSE), VLOOKUP('Staging Table'!$A45, LS_previous!$B$4:$AY$138,LS_previous!AP$149, FALSE))/2)</f>
        <v>-6802.6118008422873</v>
      </c>
      <c r="AA45" s="180">
        <f t="array" ref="AA45">IF($G45=0, INDEX(LS_previous!$D$4:$AY$138, MATCH('Staging Table'!$A45, LS_previous!$B$4:$B$138, 0), MATCH(AA$4&amp;AA$5, LS_previous!$D$2:$AY$2&amp;LS_previous!$D$3:$AY$3, 0)),SUM(VLOOKUP($A45, LS_previous!$B$4:$AY$138, LS_previous!S$149, FALSE), VLOOKUP('Staging Table'!$A45, LS_previous!$B$4:$AY$138,LS_previous!AQ$149, FALSE))/2)</f>
        <v>481.14176848256284</v>
      </c>
      <c r="AB45" s="180">
        <f t="array" ref="AB45">IF($G45=0, INDEX(LS_previous!$D$4:$AY$138, MATCH('Staging Table'!$A45, LS_previous!$B$4:$B$138, 0), MATCH(AB$4&amp;AB$5, LS_previous!$D$2:$AY$2&amp;LS_previous!$D$3:$AY$3, 0)),SUM(VLOOKUP($A45, LS_previous!$B$4:$AY$138, LS_previous!T$149, FALSE), VLOOKUP('Staging Table'!$A45, LS_previous!$B$4:$AY$138,LS_previous!AR$149, FALSE))/2)</f>
        <v>-5578.698721418531</v>
      </c>
      <c r="AC45" s="180">
        <f t="array" ref="AC45">IF($G45=0, INDEX(LS_previous!$D$4:$AY$138, MATCH('Staging Table'!$A45, LS_previous!$B$4:$B$138, 0), MATCH(AC$4&amp;AC$5, LS_previous!$D$2:$AY$2&amp;LS_previous!$D$3:$AY$3, 0)),SUM(VLOOKUP($A45, LS_previous!$B$4:$AY$138, LS_previous!U$149, FALSE), VLOOKUP('Staging Table'!$A45, LS_previous!$B$4:$AY$138,LS_previous!AS$149, FALSE))/2)</f>
        <v>2575.3852084481769</v>
      </c>
      <c r="AD45" s="180">
        <f t="array" ref="AD45">IF($G45=0, INDEX(LS_previous!$D$4:$AY$138, MATCH('Staging Table'!$A45, LS_previous!$B$4:$B$138, 0), MATCH(AD$4&amp;AD$5, LS_previous!$D$2:$AY$2&amp;LS_previous!$D$3:$AY$3, 0)),SUM(VLOOKUP($A45, LS_previous!$B$4:$AY$138, LS_previous!V$149, FALSE), VLOOKUP('Staging Table'!$A45, LS_previous!$B$4:$AY$138,LS_previous!AT$149, FALSE))/2)</f>
        <v>-4955.215177902679</v>
      </c>
      <c r="AE45" s="180">
        <f t="array" ref="AE45">IF($G45=0, INDEX(LS_previous!$D$4:$AY$138, MATCH('Staging Table'!$A45, LS_previous!$B$4:$B$138, 0), MATCH(AE$4&amp;AE$5, LS_previous!$D$2:$AY$2&amp;LS_previous!$D$3:$AY$3, 0)),SUM(VLOOKUP($A45, LS_previous!$B$4:$AY$138, LS_previous!W$149, FALSE), VLOOKUP('Staging Table'!$A45, LS_previous!$B$4:$AY$138,LS_previous!AU$149, FALSE))/2)</f>
        <v>2178.0122200199112</v>
      </c>
      <c r="AF45" s="180">
        <f t="array" ref="AF45">IF($G45=0, INDEX(LS_previous!$D$4:$AY$138, MATCH('Staging Table'!$A45, LS_previous!$B$4:$B$138, 0), MATCH(AF$4&amp;AF$5, LS_previous!$D$2:$AY$2&amp;LS_previous!$D$3:$AY$3, 0)),SUM(VLOOKUP($A45, LS_previous!$B$4:$AY$138, LS_previous!X$149, FALSE), VLOOKUP('Staging Table'!$A45, LS_previous!$B$4:$AY$138,LS_previous!AV$149, FALSE))/2)</f>
        <v>-3329.2586565998799</v>
      </c>
      <c r="AG45" s="180">
        <f t="array" ref="AG45">IF($G45=0, INDEX(LS_previous!$D$4:$AY$138, MATCH('Staging Table'!$A45, LS_previous!$B$4:$B$138, 0), MATCH(AG$4&amp;AG$5, LS_previous!$D$2:$AY$2&amp;LS_previous!$D$3:$AY$3, 0)),SUM(VLOOKUP($A45, LS_previous!$B$4:$AY$138, LS_previous!Y$149, FALSE), VLOOKUP('Staging Table'!$A45, LS_previous!$B$4:$AY$138,LS_previous!AW$149, FALSE))/2)</f>
        <v>1759.6476908657496</v>
      </c>
      <c r="AH45" s="180">
        <f t="array" ref="AH45">IF($G45=0, INDEX(LS_previous!$D$4:$AY$138, MATCH('Staging Table'!$A45, LS_previous!$B$4:$B$138, 0), MATCH(AH$4&amp;AH$5, LS_previous!$D$2:$AY$2&amp;LS_previous!$D$3:$AY$3, 0)),SUM(VLOOKUP($A45, LS_previous!$B$4:$AY$138, LS_previous!Z$149, FALSE), VLOOKUP('Staging Table'!$A45, LS_previous!$B$4:$AY$138,LS_previous!AX$149, FALSE))/2)</f>
        <v>-1931.3890951285466</v>
      </c>
      <c r="AI45" s="180">
        <f t="array" ref="AI45">IF($G45=0, INDEX(LS_previous!$D$4:$AY$138, MATCH('Staging Table'!$A45, LS_previous!$B$4:$B$138, 0), MATCH(AI$4&amp;AI$5, LS_previous!$D$2:$AY$2&amp;LS_previous!$D$3:$AY$3, 0)),SUM(VLOOKUP($A45, LS_previous!$B$4:$AY$138, LS_previous!AA$149, FALSE), VLOOKUP('Staging Table'!$A45, LS_previous!$B$4:$AY$138,LS_previous!AY$149, FALSE))/2)</f>
        <v>2037.0275422875166</v>
      </c>
      <c r="AJ45" s="298">
        <f t="array" ref="AJ45">INDEX(Demand_previous!$D$4:$AY$138, MATCH('Staging Table'!$A45, Demand_previous!$B$4:$B$138, 0), MATCH(AJ$4&amp;AJ$5,Demand_previous!$D$2:$AY$2&amp;Demand_previous!$D$3:$AY$3, 0))/1000</f>
        <v>0</v>
      </c>
      <c r="AK45" s="298">
        <f t="array" ref="AK45">INDEX(Demand_previous!$D$4:$AY$138, MATCH('Staging Table'!$A45, Demand_previous!$B$4:$B$138, 0), MATCH(AK$4&amp;AK$5,Demand_previous!$D$2:$AY$2&amp;Demand_previous!$D$3:$AY$3, 0))/1000</f>
        <v>0</v>
      </c>
      <c r="AL45" s="298">
        <f t="array" ref="AL45">INDEX(Demand_previous!$D$4:$AY$138, MATCH('Staging Table'!$A45, Demand_previous!$B$4:$B$138, 0), MATCH(AL$4&amp;AL$5,Demand_previous!$D$2:$AY$2&amp;Demand_previous!$D$3:$AY$3, 0))/1000</f>
        <v>0</v>
      </c>
      <c r="AM45" s="298">
        <f t="array" ref="AM45">INDEX(Demand_previous!$D$4:$AY$138, MATCH('Staging Table'!$A45, Demand_previous!$B$4:$B$138, 0), MATCH(AM$4&amp;AM$5,Demand_previous!$D$2:$AY$2&amp;Demand_previous!$D$3:$AY$3, 0))/1000</f>
        <v>0</v>
      </c>
      <c r="AN45" s="298">
        <f t="array" ref="AN45">INDEX(Demand_previous!$D$4:$AY$138, MATCH('Staging Table'!$A45, Demand_previous!$B$4:$B$138, 0), MATCH(AN$4&amp;AN$5,Demand_previous!$D$2:$AY$2&amp;Demand_previous!$D$3:$AY$3, 0))/1000</f>
        <v>0</v>
      </c>
      <c r="AO45" s="298">
        <f t="array" ref="AO45">INDEX(Demand_previous!$D$4:$AY$138, MATCH('Staging Table'!$A45, Demand_previous!$B$4:$B$138, 0), MATCH(AO$4&amp;AO$5,Demand_previous!$D$2:$AY$2&amp;Demand_previous!$D$3:$AY$3, 0))/1000</f>
        <v>0</v>
      </c>
      <c r="AP45" s="298">
        <f t="array" ref="AP45">INDEX(Demand_previous!$D$4:$AY$138, MATCH('Staging Table'!$A45, Demand_previous!$B$4:$B$138, 0), MATCH(AP$4&amp;AP$5,Demand_previous!$D$2:$AY$2&amp;Demand_previous!$D$3:$AY$3, 0))/1000</f>
        <v>0</v>
      </c>
      <c r="AQ45" s="298">
        <f t="array" ref="AQ45">INDEX(Demand_previous!$D$4:$AY$138, MATCH('Staging Table'!$A45, Demand_previous!$B$4:$B$138, 0), MATCH(AQ$4&amp;AQ$5,Demand_previous!$D$2:$AY$2&amp;Demand_previous!$D$3:$AY$3, 0))/1000</f>
        <v>0</v>
      </c>
      <c r="AR45" s="298">
        <f t="array" ref="AR45">INDEX(Demand_previous!$D$4:$AY$138, MATCH('Staging Table'!$A45, Demand_previous!$B$4:$B$138, 0), MATCH(AR$4&amp;AR$5,Demand_previous!$D$2:$AY$2&amp;Demand_previous!$D$3:$AY$3, 0))/1000</f>
        <v>0</v>
      </c>
      <c r="AS45" s="298">
        <f t="array" ref="AS45">INDEX(Demand_previous!$D$4:$AY$138, MATCH('Staging Table'!$A45, Demand_previous!$B$4:$B$138, 0), MATCH(AS$4&amp;AS$5,Demand_previous!$D$2:$AY$2&amp;Demand_previous!$D$3:$AY$3, 0))/1000</f>
        <v>0</v>
      </c>
      <c r="AT45" s="298">
        <f t="array" ref="AT45">INDEX(Demand_previous!$D$4:$AY$138, MATCH('Staging Table'!$A45, Demand_previous!$B$4:$B$138, 0), MATCH(AT$4&amp;AT$5,Demand_previous!$D$2:$AY$2&amp;Demand_previous!$D$3:$AY$3, 0))/1000</f>
        <v>0</v>
      </c>
      <c r="AU45" s="298">
        <f t="array" ref="AU45">INDEX(Demand_previous!$D$4:$AY$138, MATCH('Staging Table'!$A45, Demand_previous!$B$4:$B$138, 0), MATCH(AU$4&amp;AU$5,Demand_previous!$D$2:$AY$2&amp;Demand_previous!$D$3:$AY$3, 0))/1000</f>
        <v>0</v>
      </c>
      <c r="AV45" s="180">
        <f>$F45*(VLOOKUP(AV$4, Rates_previous!$G$6:$Q$29, 10, FALSE)+VLOOKUP(AV$4, Rates_previous!$G$6:$Q$29, 11, FALSE))</f>
        <v>23828.864924084475</v>
      </c>
      <c r="AW45" s="180">
        <f>$F45*(VLOOKUP(AW$4, Rates_previous!$G$6:$Q$29, 10, FALSE)+VLOOKUP(AW$4, Rates_previous!$G$6:$Q$29, 11, FALSE))</f>
        <v>30168.207802911042</v>
      </c>
      <c r="AX45" s="180">
        <f>$F45*(VLOOKUP(AX$4, Rates_previous!$G$6:$Q$29, 10, FALSE)+VLOOKUP(AX$4, Rates_previous!$G$6:$Q$29, 11, FALSE))</f>
        <v>29528.648337480608</v>
      </c>
      <c r="AY45" s="180">
        <f>$F45*(VLOOKUP(AY$4, Rates_previous!$G$6:$Q$29, 10, FALSE)+VLOOKUP(AY$4, Rates_previous!$G$6:$Q$29, 11, FALSE))</f>
        <v>24389.40782565693</v>
      </c>
      <c r="AZ45" s="180">
        <f>$F45*(VLOOKUP(AZ$4, Rates_previous!$G$6:$Q$29, 10, FALSE)+VLOOKUP(AZ$4, Rates_previous!$G$6:$Q$29, 11, FALSE))</f>
        <v>21138.834307300363</v>
      </c>
      <c r="BA45" s="180">
        <f>$F45*(VLOOKUP(BA$4, Rates_previous!$G$6:$Q$29, 10, FALSE)+VLOOKUP(BA$4, Rates_previous!$G$6:$Q$29, 11, FALSE))</f>
        <v>25235.499402635687</v>
      </c>
      <c r="BB45" s="180">
        <f>$F45*(VLOOKUP(BB$4, Rates_previous!$G$6:$Q$29, 10, FALSE)+VLOOKUP(BB$4, Rates_previous!$G$6:$Q$29, 11, FALSE))</f>
        <v>19592.005711885715</v>
      </c>
      <c r="BC45" s="180">
        <f>$F45*(VLOOKUP(BC$4, Rates_previous!$G$6:$Q$29, 10, FALSE)+VLOOKUP(BC$4, Rates_previous!$G$6:$Q$29, 11, FALSE))</f>
        <v>27144.86809107666</v>
      </c>
      <c r="BD45" s="180">
        <f>$F45*(VLOOKUP(BD$4, Rates_previous!$G$6:$Q$29, 10, FALSE)+VLOOKUP(BD$4, Rates_previous!$G$6:$Q$29, 11, FALSE))</f>
        <v>29004.859945814842</v>
      </c>
      <c r="BE45" s="180">
        <f>$F45*(VLOOKUP(BE$4, Rates_previous!$G$6:$Q$29, 10, FALSE)+VLOOKUP(BE$4, Rates_previous!$G$6:$Q$29, 11, FALSE))</f>
        <v>27538.801132121884</v>
      </c>
      <c r="BF45" s="180">
        <f>$F45*(VLOOKUP(BF$4, Rates_previous!$G$6:$Q$29, 10, FALSE)+VLOOKUP(BF$4, Rates_previous!$G$6:$Q$29, 11, FALSE))</f>
        <v>26614.126786226407</v>
      </c>
      <c r="BG45" s="180">
        <f>$F45*(VLOOKUP(BG$4, Rates_previous!$G$6:$Q$29, 10, FALSE)+VLOOKUP(BG$4, Rates_previous!$G$6:$Q$29, 11, FALSE))</f>
        <v>24594.227563240678</v>
      </c>
      <c r="BH45" s="298">
        <f>IF($D45=0,IF(C45=0, MAX(BJ45 - (VLOOKUP($A45,TOCA_previous!$A$2:$AI$137,MATCH("RHWM 2022",TOCA_previous!$A$2:$AI$2,0),FALSE)*$F$2*TOCA_previous!C42),0),0), 0)</f>
        <v>0</v>
      </c>
      <c r="BI45" s="192">
        <f>MIN(VLOOKUP($A45,TOCA_previous!$A$2:$AI$137,MATCH("TRL - NLSL - Existing Resource "&amp;$F$1,TOCA_previous!$A$2:$AI$2,0),FALSE)*$F$2,(VLOOKUP($A45,TOCA_previous!$A$2:$AI$137,MATCH("RHWM 2022",TOCA_previous!$A$2:$AI$2,0),FALSE)*$F$2))</f>
        <v>736803.6</v>
      </c>
      <c r="BJ45" s="402">
        <f>SUM(L45:AI45)+(F45*RT1SC!$C$3*$F$2)</f>
        <v>308776.65393411723</v>
      </c>
      <c r="BK45" s="401">
        <f>VLOOKUP($A45,TOCA_previous!$A$2:$AI$137,MATCH("Above RHWM Not Served with LS "&amp;$F$1,TOCA_previous!$A$2:$AI$2,0),FALSE)*$F$2</f>
        <v>52840.32</v>
      </c>
      <c r="BL45" s="402">
        <f t="shared" si="8"/>
        <v>-428026.94606588274</v>
      </c>
      <c r="BM45" s="401">
        <f>(VLOOKUP($A45,TOCA_previous!$A$2:$AI$137,MATCH("RHWM 2022",TOCA_previous!$A$2:$AI$2,0),FALSE)*$F$2) - $BI45</f>
        <v>38964.480000000098</v>
      </c>
      <c r="BN45" s="402">
        <f t="shared" si="9"/>
        <v>0</v>
      </c>
      <c r="BO45" s="401">
        <f t="shared" si="10"/>
        <v>375186.62606588274</v>
      </c>
      <c r="BP45" s="402">
        <f t="shared" si="11"/>
        <v>0</v>
      </c>
      <c r="BQ45" s="401">
        <f t="shared" si="18"/>
        <v>0</v>
      </c>
      <c r="BR45" s="108">
        <f>VLOOKUP($A45,TOCA_current!$A$2:$AI$137,MATCH(BR$4,TOCA_current!$A$2:$AI$2,0),FALSE)</f>
        <v>1.1875500000000001E-2</v>
      </c>
      <c r="BS45" s="108">
        <f>VLOOKUP($A45,TOCA_current!$A$2:$AI$137,MATCH(BS$4,TOCA_current!$A$2:$AI$2,0),FALSE)</f>
        <v>4.6236000000000003E-3</v>
      </c>
      <c r="BT45" s="189">
        <f t="shared" si="12"/>
        <v>7.2519000000000004E-3</v>
      </c>
      <c r="BU45" s="108">
        <f>VLOOKUP($A45,TOCA_current!A41:BG176,MATCH(BU$4,TOCA_current!$A$2:$BG$2,0),FALSE)</f>
        <v>0</v>
      </c>
      <c r="BV45" s="108">
        <f t="shared" si="19"/>
        <v>0</v>
      </c>
      <c r="BW45" s="108">
        <f t="shared" si="20"/>
        <v>0</v>
      </c>
      <c r="BX45" s="179">
        <f>VLOOKUP($A45,IRD!$A$4:$G$139, 7, FALSE)</f>
        <v>0</v>
      </c>
      <c r="BY45" s="180">
        <f t="array" ref="BY45">IF($BT45=0, INDEX(LS_current!$D$4:$AY$138, MATCH('Staging Table'!$A45, LS_current!$B$4:$B$138, 0), MATCH(BY$4&amp;BY$5, LS_current!$D$2:$AY$2&amp;LS_current!$D$3:$AY$3, 0)),SUM(VLOOKUP($A45, LS_current!$B$4:$AY$138, LS_current!D$148, FALSE), VLOOKUP($A45, LS_current!$B$4:$AY$138,LS_current!AB$148, FALSE))/2)</f>
        <v>1712.8099729806554</v>
      </c>
      <c r="BZ45" s="180">
        <f t="array" ref="BZ45">IF($BT45=0, INDEX(LS_current!$D$4:$AY$138, MATCH('Staging Table'!$A45, LS_current!$B$4:$B$138, 0), MATCH(BZ$4&amp;BZ$5, LS_current!$D$2:$AY$2&amp;LS_current!$D$3:$AY$3, 0)),SUM(VLOOKUP($A45, LS_current!$B$4:$AY$138, LS_current!E$148, FALSE), VLOOKUP($A45, LS_current!$B$4:$AY$138,LS_current!AC$148, FALSE))/2)</f>
        <v>2477.6494245142026</v>
      </c>
      <c r="CA45" s="180">
        <f t="array" ref="CA45">IF($BT45=0, INDEX(LS_current!$D$4:$AY$138, MATCH('Staging Table'!$A45, LS_current!$B$4:$B$138, 0), MATCH(CA$4&amp;CA$5, LS_current!$D$2:$AY$2&amp;LS_current!$D$3:$AY$3, 0)),SUM(VLOOKUP($A45, LS_current!$B$4:$AY$138, LS_current!F$148, FALSE), VLOOKUP($A45, LS_current!$B$4:$AY$138,LS_current!AD$148, FALSE))/2)</f>
        <v>-1865.5311037876809</v>
      </c>
      <c r="CB45" s="180">
        <f t="array" ref="CB45">IF($BT45=0, INDEX(LS_current!$D$4:$AY$138, MATCH('Staging Table'!$A45, LS_current!$B$4:$B$138, 0), MATCH(CB$4&amp;CB$5, LS_current!$D$2:$AY$2&amp;LS_current!$D$3:$AY$3, 0)),SUM(VLOOKUP($A45, LS_current!$B$4:$AY$138, LS_current!G$148, FALSE), VLOOKUP($A45, LS_current!$B$4:$AY$138,LS_current!AE$148, FALSE))/2)</f>
        <v>788.07362318053038</v>
      </c>
      <c r="CC45" s="180">
        <f t="array" ref="CC45">IF($BT45=0, INDEX(LS_current!$D$4:$AY$138, MATCH('Staging Table'!$A45, LS_current!$B$4:$B$138, 0), MATCH(CC$4&amp;CC$5, LS_current!$D$2:$AY$2&amp;LS_current!$D$3:$AY$3, 0)),SUM(VLOOKUP($A45, LS_current!$B$4:$AY$138, LS_current!H$148, FALSE), VLOOKUP($A45, LS_current!$B$4:$AY$138,LS_current!AF$148, FALSE))/2)</f>
        <v>-2066.8376144587401</v>
      </c>
      <c r="CD45" s="180">
        <f t="array" ref="CD45">IF($BT45=0, INDEX(LS_current!$D$4:$AY$138, MATCH('Staging Table'!$A45, LS_current!$B$4:$B$138, 0), MATCH(CD$4&amp;CD$5, LS_current!$D$2:$AY$2&amp;LS_current!$D$3:$AY$3, 0)),SUM(VLOOKUP($A45, LS_current!$B$4:$AY$138, LS_current!I$148, FALSE), VLOOKUP($A45, LS_current!$B$4:$AY$138,LS_current!AG$148, FALSE))/2)</f>
        <v>1585.9329956873098</v>
      </c>
      <c r="CE45" s="180">
        <f t="array" ref="CE45">IF($BT45=0, INDEX(LS_current!$D$4:$AY$138, MATCH('Staging Table'!$A45, LS_current!$B$4:$B$138, 0), MATCH(CE$4&amp;CE$5, LS_current!$D$2:$AY$2&amp;LS_current!$D$3:$AY$3, 0)),SUM(VLOOKUP($A45, LS_current!$B$4:$AY$138, LS_current!J$148, FALSE), VLOOKUP($A45, LS_current!$B$4:$AY$138,LS_current!AH$148, FALSE))/2)</f>
        <v>-2801.1133340477636</v>
      </c>
      <c r="CF45" s="180">
        <f t="array" ref="CF45">IF($BT45=0, INDEX(LS_current!$D$4:$AY$138, MATCH('Staging Table'!$A45, LS_current!$B$4:$B$138, 0), MATCH(CF$4&amp;CF$5, LS_current!$D$2:$AY$2&amp;LS_current!$D$3:$AY$3, 0)),SUM(VLOOKUP($A45, LS_current!$B$4:$AY$138, LS_current!K$148, FALSE), VLOOKUP($A45, LS_current!$B$4:$AY$138,LS_current!AI$148, FALSE))/2)</f>
        <v>727.11566096823208</v>
      </c>
      <c r="CG45" s="180">
        <f t="array" ref="CG45">IF($BT45=0, INDEX(LS_current!$D$4:$AY$138, MATCH('Staging Table'!$A45, LS_current!$B$4:$B$138, 0), MATCH(CG$4&amp;CG$5, LS_current!$D$2:$AY$2&amp;LS_current!$D$3:$AY$3, 0)),SUM(VLOOKUP($A45, LS_current!$B$4:$AY$138, LS_current!L$148, FALSE), VLOOKUP($A45, LS_current!$B$4:$AY$138,LS_current!AJ$148, FALSE))/2)</f>
        <v>-1348.308693685447</v>
      </c>
      <c r="CH45" s="180">
        <f t="array" ref="CH45">IF($BT45=0, INDEX(LS_current!$D$4:$AY$138, MATCH('Staging Table'!$A45, LS_current!$B$4:$B$138, 0), MATCH(CH$4&amp;CH$5, LS_current!$D$2:$AY$2&amp;LS_current!$D$3:$AY$3, 0)),SUM(VLOOKUP($A45, LS_current!$B$4:$AY$138, LS_current!M$148, FALSE), VLOOKUP($A45, LS_current!$B$4:$AY$138,LS_current!AK$148, FALSE))/2)</f>
        <v>1511.5746932214875</v>
      </c>
      <c r="CI45" s="180">
        <f t="array" ref="CI45">IF($BT45=0, INDEX(LS_current!$D$4:$AY$138, MATCH('Staging Table'!$A45, LS_current!$B$4:$B$138, 0), MATCH(CI$4&amp;CI$5, LS_current!$D$2:$AY$2&amp;LS_current!$D$3:$AY$3, 0)),SUM(VLOOKUP($A45, LS_current!$B$4:$AY$138, LS_current!N$148, FALSE), VLOOKUP($A45, LS_current!$B$4:$AY$138,LS_current!AL$148, FALSE))/2)</f>
        <v>-1328.7114889707955</v>
      </c>
      <c r="CJ45" s="180">
        <f t="array" ref="CJ45">IF($BT45=0, INDEX(LS_current!$D$4:$AY$138, MATCH('Staging Table'!$A45, LS_current!$B$4:$B$138, 0), MATCH(CJ$4&amp;CJ$5, LS_current!$D$2:$AY$2&amp;LS_current!$D$3:$AY$3, 0)),SUM(VLOOKUP($A45, LS_current!$B$4:$AY$138, LS_current!O$148, FALSE), VLOOKUP($A45, LS_current!$B$4:$AY$138,LS_current!AM$148, FALSE))/2)</f>
        <v>1202.3562284824893</v>
      </c>
      <c r="CK45" s="180">
        <f t="array" ref="CK45">IF($BT45=0, INDEX(LS_current!$D$4:$AY$138, MATCH('Staging Table'!$A45, LS_current!$B$4:$B$138, 0), MATCH(CK$4&amp;CK$5, LS_current!$D$2:$AY$2&amp;LS_current!$D$3:$AY$3, 0)),SUM(VLOOKUP($A45, LS_current!$B$4:$AY$138, LS_current!P$148, FALSE), VLOOKUP($A45, LS_current!$B$4:$AY$138,LS_current!AN$148, FALSE))/2)</f>
        <v>1616.2601811978084</v>
      </c>
      <c r="CL45" s="180">
        <f t="array" ref="CL45">IF($BT45=0, INDEX(LS_current!$D$4:$AY$138, MATCH('Staging Table'!$A45, LS_current!$B$4:$B$138, 0), MATCH(CL$4&amp;CL$5, LS_current!$D$2:$AY$2&amp;LS_current!$D$3:$AY$3, 0)),SUM(VLOOKUP($A45, LS_current!$B$4:$AY$138, LS_current!Q$148, FALSE), VLOOKUP($A45, LS_current!$B$4:$AY$138,LS_current!AO$148, FALSE))/2)</f>
        <v>2266.1070906021837</v>
      </c>
      <c r="CM45" s="180">
        <f t="array" ref="CM45">IF($BT45=0, INDEX(LS_current!$D$4:$AY$138, MATCH('Staging Table'!$A45, LS_current!$B$4:$B$138, 0), MATCH(CM$4&amp;CM$5, LS_current!$D$2:$AY$2&amp;LS_current!$D$3:$AY$3, 0)),SUM(VLOOKUP($A45, LS_current!$B$4:$AY$138, LS_current!R$148, FALSE), VLOOKUP($A45, LS_current!$B$4:$AY$138,LS_current!AP$148, FALSE))/2)</f>
        <v>-4764.6780575834264</v>
      </c>
      <c r="CN45" s="180">
        <f t="array" ref="CN45">IF($BT45=0, INDEX(LS_current!$D$4:$AY$138, MATCH('Staging Table'!$A45, LS_current!$B$4:$B$138, 0), MATCH(CN$4&amp;CN$5, LS_current!$D$2:$AY$2&amp;LS_current!$D$3:$AY$3, 0)),SUM(VLOOKUP($A45, LS_current!$B$4:$AY$138, LS_current!S$148, FALSE), VLOOKUP($A45, LS_current!$B$4:$AY$138,LS_current!AQ$148, FALSE))/2)</f>
        <v>-1573.1630058962533</v>
      </c>
      <c r="CO45" s="180">
        <f t="array" ref="CO45">IF($BT45=0, INDEX(LS_current!$D$4:$AY$138, MATCH('Staging Table'!$A45, LS_current!$B$4:$B$138, 0), MATCH(CO$4&amp;CO$5, LS_current!$D$2:$AY$2&amp;LS_current!$D$3:$AY$3, 0)),SUM(VLOOKUP($A45, LS_current!$B$4:$AY$138, LS_current!T$148, FALSE), VLOOKUP($A45, LS_current!$B$4:$AY$138,LS_current!AR$148, FALSE))/2)</f>
        <v>-3031.6895109311372</v>
      </c>
      <c r="CP45" s="180">
        <f t="array" ref="CP45">IF($BT45=0, INDEX(LS_current!$D$4:$AY$138, MATCH('Staging Table'!$A45, LS_current!$B$4:$B$138, 0), MATCH(CP$4&amp;CP$5, LS_current!$D$2:$AY$2&amp;LS_current!$D$3:$AY$3, 0)),SUM(VLOOKUP($A45, LS_current!$B$4:$AY$138, LS_current!U$148, FALSE), VLOOKUP($A45, LS_current!$B$4:$AY$138,LS_current!AS$148, FALSE))/2)</f>
        <v>924.94252088284884</v>
      </c>
      <c r="CQ45" s="180">
        <f t="array" ref="CQ45">IF($BT45=0, INDEX(LS_current!$D$4:$AY$138, MATCH('Staging Table'!$A45, LS_current!$B$4:$B$138, 0), MATCH(CQ$4&amp;CQ$5, LS_current!$D$2:$AY$2&amp;LS_current!$D$3:$AY$3, 0)),SUM(VLOOKUP($A45, LS_current!$B$4:$AY$138, LS_current!V$148, FALSE), VLOOKUP($A45, LS_current!$B$4:$AY$138,LS_current!AT$148, FALSE))/2)</f>
        <v>-1339.8284722526032</v>
      </c>
      <c r="CR45" s="180">
        <f t="array" ref="CR45">IF($BT45=0, INDEX(LS_current!$D$4:$AY$138, MATCH('Staging Table'!$A45, LS_current!$B$4:$B$138, 0), MATCH(CR$4&amp;CR$5, LS_current!$D$2:$AY$2&amp;LS_current!$D$3:$AY$3, 0)),SUM(VLOOKUP($A45, LS_current!$B$4:$AY$138, LS_current!W$148, FALSE), VLOOKUP($A45, LS_current!$B$4:$AY$138,LS_current!AU$148, FALSE))/2)</f>
        <v>1499.2452731744634</v>
      </c>
      <c r="CS45" s="180">
        <f t="array" ref="CS45">IF($BT45=0, INDEX(LS_current!$D$4:$AY$138, MATCH('Staging Table'!$A45, LS_current!$B$4:$B$138, 0), MATCH(CS$4&amp;CS$5, LS_current!$D$2:$AY$2&amp;LS_current!$D$3:$AY$3, 0)),SUM(VLOOKUP($A45, LS_current!$B$4:$AY$138, LS_current!X$148, FALSE), VLOOKUP($A45, LS_current!$B$4:$AY$138,LS_current!AV$148, FALSE))/2)</f>
        <v>-713.70689335922543</v>
      </c>
      <c r="CT45" s="180">
        <f t="array" ref="CT45">IF($BT45=0, INDEX(LS_current!$D$4:$AY$138, MATCH('Staging Table'!$A45, LS_current!$B$4:$B$138, 0), MATCH(CT$4&amp;CT$5, LS_current!$D$2:$AY$2&amp;LS_current!$D$3:$AY$3, 0)),SUM(VLOOKUP($A45, LS_current!$B$4:$AY$138, LS_current!Y$148, FALSE), VLOOKUP($A45, LS_current!$B$4:$AY$138,LS_current!AW$148, FALSE))/2)</f>
        <v>1896.6614515550441</v>
      </c>
      <c r="CU45" s="180">
        <f t="array" ref="CU45">IF($BT45=0, INDEX(LS_current!$D$4:$AY$138, MATCH('Staging Table'!$A45, LS_current!$B$4:$B$138, 0), MATCH(CU$4&amp;CU$5, LS_current!$D$2:$AY$2&amp;LS_current!$D$3:$AY$3, 0)),SUM(VLOOKUP($A45, LS_current!$B$4:$AY$138, LS_current!Z$148, FALSE), VLOOKUP($A45, LS_current!$B$4:$AY$138,LS_current!AX$148, FALSE))/2)</f>
        <v>376.88213501999235</v>
      </c>
      <c r="CV45" s="180">
        <f t="array" ref="CV45">IF($BT45=0, INDEX(LS_current!$D$4:$AY$138, MATCH('Staging Table'!$A45, LS_current!$B$4:$B$138, 0), MATCH(CV$4&amp;CV$5, LS_current!$D$2:$AY$2&amp;LS_current!$D$3:$AY$3, 0)),SUM(VLOOKUP($A45, LS_current!$B$4:$AY$138, LS_current!AA$148, FALSE), VLOOKUP($A45, LS_current!$B$4:$AY$138,LS_current!AY$148, FALSE))/2)</f>
        <v>2247.1755615270495</v>
      </c>
      <c r="CW45" s="182">
        <f t="array" ref="CW45">INDEX(Demand_current!$D$4:$AY$138, MATCH($A45, Demand_current!$B$4:$B$138, 0), MATCH(CW$4&amp;CW$5,Demand_current!$D$2:$AY$2&amp;Demand_current!$D$3:$AY$3, 0))/1000</f>
        <v>0</v>
      </c>
      <c r="CX45" s="182">
        <f t="array" ref="CX45">INDEX(Demand_current!$D$4:$AY$138, MATCH($A45, Demand_current!$B$4:$B$138, 0), MATCH(CX$4&amp;CX$5,Demand_current!$D$2:$AY$2&amp;Demand_current!$D$3:$AY$3, 0))/1000</f>
        <v>0</v>
      </c>
      <c r="CY45" s="182">
        <f t="array" ref="CY45">INDEX(Demand_current!$D$4:$AY$138, MATCH($A45, Demand_current!$B$4:$B$138, 0), MATCH(CY$4&amp;CY$5,Demand_current!$D$2:$AY$2&amp;Demand_current!$D$3:$AY$3, 0))/1000</f>
        <v>0</v>
      </c>
      <c r="CZ45" s="182">
        <f t="array" ref="CZ45">INDEX(Demand_current!$D$4:$AY$138, MATCH($A45, Demand_current!$B$4:$B$138, 0), MATCH(CZ$4&amp;CZ$5,Demand_current!$D$2:$AY$2&amp;Demand_current!$D$3:$AY$3, 0))/1000</f>
        <v>0</v>
      </c>
      <c r="DA45" s="182">
        <f t="array" ref="DA45">INDEX(Demand_current!$D$4:$AY$138, MATCH($A45, Demand_current!$B$4:$B$138, 0), MATCH(DA$4&amp;DA$5,Demand_current!$D$2:$AY$2&amp;Demand_current!$D$3:$AY$3, 0))/1000</f>
        <v>0</v>
      </c>
      <c r="DB45" s="182">
        <f t="array" ref="DB45">INDEX(Demand_current!$D$4:$AY$138, MATCH($A45, Demand_current!$B$4:$B$138, 0), MATCH(DB$4&amp;DB$5,Demand_current!$D$2:$AY$2&amp;Demand_current!$D$3:$AY$3, 0))/1000</f>
        <v>0</v>
      </c>
      <c r="DC45" s="182">
        <f t="array" ref="DC45">INDEX(Demand_current!$D$4:$AY$138, MATCH($A45, Demand_current!$B$4:$B$138, 0), MATCH(DC$4&amp;DC$5,Demand_current!$D$2:$AY$2&amp;Demand_current!$D$3:$AY$3, 0))/1000</f>
        <v>0</v>
      </c>
      <c r="DD45" s="182">
        <f t="array" ref="DD45">INDEX(Demand_current!$D$4:$AY$138, MATCH($A45, Demand_current!$B$4:$B$138, 0), MATCH(DD$4&amp;DD$5,Demand_current!$D$2:$AY$2&amp;Demand_current!$D$3:$AY$3, 0))/1000</f>
        <v>0</v>
      </c>
      <c r="DE45" s="182">
        <f t="array" ref="DE45">INDEX(Demand_current!$D$4:$AY$138, MATCH($A45, Demand_current!$B$4:$B$138, 0), MATCH(DE$4&amp;DE$5,Demand_current!$D$2:$AY$2&amp;Demand_current!$D$3:$AY$3, 0))/1000</f>
        <v>0</v>
      </c>
      <c r="DF45" s="182">
        <f t="array" ref="DF45">INDEX(Demand_current!$D$4:$AY$138, MATCH($A45, Demand_current!$B$4:$B$138, 0), MATCH(DF$4&amp;DF$5,Demand_current!$D$2:$AY$2&amp;Demand_current!$D$3:$AY$3, 0))/1000</f>
        <v>0</v>
      </c>
      <c r="DG45" s="182">
        <f t="array" ref="DG45">INDEX(Demand_current!$D$4:$AY$138, MATCH($A45, Demand_current!$B$4:$B$138, 0), MATCH(DG$4&amp;DG$5,Demand_current!$D$2:$AY$2&amp;Demand_current!$D$3:$AY$3, 0))/1000</f>
        <v>0</v>
      </c>
      <c r="DH45" s="182">
        <f t="array" ref="DH45">INDEX(Demand_current!$D$4:$AY$138, MATCH($A45, Demand_current!$B$4:$B$138, 0), MATCH(DH$4&amp;DH$5,Demand_current!$D$2:$AY$2&amp;Demand_current!$D$3:$AY$3, 0))/1000</f>
        <v>0</v>
      </c>
      <c r="DI45" s="180">
        <f>$BS45*(VLOOKUP(DI$4, Rates_current!$G$6:$Q$29, 10, FALSE)+VLOOKUP(DI$4, Rates_current!$G$6:$Q$29, 11, FALSE))</f>
        <v>19506.0610716714</v>
      </c>
      <c r="DJ45" s="180">
        <f>$BS45*(VLOOKUP(DJ$4, Rates_current!$G$6:$Q$29, 10, FALSE)+VLOOKUP(DJ$4, Rates_current!$G$6:$Q$29, 11, FALSE))</f>
        <v>24876.660048032405</v>
      </c>
      <c r="DK45" s="180">
        <f>$BS45*(VLOOKUP(DK$4, Rates_current!$G$6:$Q$29, 10, FALSE)+VLOOKUP(DK$4, Rates_current!$G$6:$Q$29, 11, FALSE))</f>
        <v>26846.838315666006</v>
      </c>
      <c r="DL45" s="180">
        <f>$BS45*(VLOOKUP(DL$4, Rates_current!$G$6:$Q$29, 10, FALSE)+VLOOKUP(DL$4, Rates_current!$G$6:$Q$29, 11, FALSE))</f>
        <v>27898.015204358402</v>
      </c>
      <c r="DM45" s="180">
        <f>$BS45*(VLOOKUP(DM$4, Rates_current!$G$6:$Q$29, 10, FALSE)+VLOOKUP(DM$4, Rates_current!$G$6:$Q$29, 11, FALSE))</f>
        <v>23996.011643776797</v>
      </c>
      <c r="DN45" s="180">
        <f>$BS45*(VLOOKUP(DN$4, Rates_current!$G$6:$Q$29, 10, FALSE)+VLOOKUP(DN$4, Rates_current!$G$6:$Q$29, 11, FALSE))</f>
        <v>26198.893743627599</v>
      </c>
      <c r="DO45" s="180">
        <f>$BS45*(VLOOKUP(DO$4, Rates_current!$G$6:$Q$29, 10, FALSE)+VLOOKUP(DO$4, Rates_current!$G$6:$Q$29, 11, FALSE))</f>
        <v>20679.611561796301</v>
      </c>
      <c r="DP45" s="180">
        <f>$BS45*(VLOOKUP(DP$4, Rates_current!$G$6:$Q$29, 10, FALSE)+VLOOKUP(DP$4, Rates_current!$G$6:$Q$29, 11, FALSE))</f>
        <v>25655.829339653403</v>
      </c>
      <c r="DQ45" s="180">
        <f>$BS45*(VLOOKUP(DQ$4, Rates_current!$G$6:$Q$29, 10, FALSE)+VLOOKUP(DQ$4, Rates_current!$G$6:$Q$29, 11, FALSE))</f>
        <v>26212.496788639801</v>
      </c>
      <c r="DR45" s="180">
        <f>$BS45*(VLOOKUP(DR$4, Rates_current!$G$6:$Q$29, 10, FALSE)+VLOOKUP(DR$4, Rates_current!$G$6:$Q$29, 11, FALSE))</f>
        <v>22756.223604539402</v>
      </c>
      <c r="DS45" s="180">
        <f>$BS45*(VLOOKUP(DS$4, Rates_current!$G$6:$Q$29, 10, FALSE)+VLOOKUP(DS$4, Rates_current!$G$6:$Q$29, 11, FALSE))</f>
        <v>21999.219422941864</v>
      </c>
      <c r="DT45" s="180">
        <f>$BS45*(VLOOKUP(DT$4, Rates_current!$G$6:$Q$29, 10, FALSE)+VLOOKUP(DT$4, Rates_current!$G$6:$Q$29, 11, FALSE))</f>
        <v>20243.541992920804</v>
      </c>
      <c r="DU45" s="402">
        <f>IF(D45=0,IF(C45=0,MAX(0,DW45 - (VLOOKUP($A45,TOCA_current!$A$2:$AI$137,MATCH("RHWM 2024",TOCA_current!$A$2:$AI$2,0),FALSE)*$BS$2)), 0),0)</f>
        <v>0</v>
      </c>
      <c r="DV45" s="403">
        <f>MIN(VLOOKUP($A45,TOCA_current!$A$2:$AI$137,MATCH("TRL - NLSL - Existing Resource "&amp;$BS$1,TOCA_current!$A$2:$AI$2,0),FALSE)*$BS$2, VLOOKUP($A45,TOCA_current!$A$2:$AI$137,MATCH("RHWM 2024",TOCA_current!$A$2:$AI$2,0),FALSE)*$BS$2)</f>
        <v>736810.70400000003</v>
      </c>
      <c r="DW45" s="403">
        <f>SUM(BY45:CV45)+(BS45*RT1SC!$C$4*$BS$2)</f>
        <v>286868.6226905972</v>
      </c>
      <c r="DX45" s="403">
        <f>VLOOKUP($A45,TOCA_current!$A$2:$AI$137,MATCH("Above RHWM Not Served with LS "&amp;$BS$1,TOCA_current!$A$2:$AI$2,0),FALSE)*$BS$2</f>
        <v>0</v>
      </c>
      <c r="DY45" s="403">
        <f t="shared" si="13"/>
        <v>-449942.08130940283</v>
      </c>
      <c r="DZ45" s="403">
        <f>(VLOOKUP($A45,TOCA_current!$A$2:$AI$137,MATCH("RHWM 2024",TOCA_current!$A$2:$AI$2,0),FALSE)*$BS$2) - $DV45</f>
        <v>78678.287999999942</v>
      </c>
      <c r="EA45" s="403">
        <f t="shared" si="14"/>
        <v>0</v>
      </c>
      <c r="EB45" s="403">
        <f t="shared" si="15"/>
        <v>449942.08130940283</v>
      </c>
      <c r="EC45" s="403">
        <f t="shared" si="16"/>
        <v>0</v>
      </c>
      <c r="ED45" s="403">
        <f t="shared" si="17"/>
        <v>0</v>
      </c>
    </row>
    <row r="46" spans="1:134">
      <c r="A46" s="123">
        <v>10106</v>
      </c>
      <c r="B46" s="124" t="s">
        <v>47</v>
      </c>
      <c r="C46" s="232">
        <f>VLOOKUP(A46, TOCA_current!$A$3:$D$137, 4, FALSE)</f>
        <v>1</v>
      </c>
      <c r="D46" s="191">
        <v>0</v>
      </c>
      <c r="E46" s="107">
        <f>VLOOKUP($A46,TOCA_previous!$A$2:$AI$137,MATCH(E$4,TOCA_previous!$A$2:$AI$2,0),FALSE)</f>
        <v>3.3814000000000001E-3</v>
      </c>
      <c r="F46" s="108">
        <f>VLOOKUP($A46,TOCA_previous!$A$2:$AI$137,MATCH(F$4,TOCA_previous!$A$2:$AI$2,0),FALSE)</f>
        <v>3.3814000000000001E-3</v>
      </c>
      <c r="G46" s="108">
        <f t="shared" si="5"/>
        <v>0</v>
      </c>
      <c r="H46" s="108">
        <f>VLOOKUP($A46,TOCA_previous!$A$2:$AI$137,MATCH(H$4,TOCA_previous!$A$2:$AI$2,0),FALSE)</f>
        <v>7.2789999999999994E-2</v>
      </c>
      <c r="I46" s="108">
        <f t="shared" si="6"/>
        <v>7.2789999999999994E-2</v>
      </c>
      <c r="J46" s="108">
        <f t="shared" si="7"/>
        <v>3.3814000000000001E-3</v>
      </c>
      <c r="K46" s="179">
        <f>VLOOKUP(A46, IRD!$A$5:$C$139, 3, FALSE)</f>
        <v>0</v>
      </c>
      <c r="L46" s="180">
        <f t="array" ref="L46">IF($G46=0, INDEX(LS_previous!$D$4:$AY$138, MATCH('Staging Table'!$A46, LS_previous!$B$4:$B$138, 0), MATCH(L$4&amp;L$5, LS_previous!$D$2:$AY$2&amp;LS_previous!$D$3:$AY$3, 0)),SUM(VLOOKUP($A46, LS_previous!$B$4:$AY$138, LS_previous!D$149, FALSE), VLOOKUP('Staging Table'!$A46, LS_previous!$B$4:$AY$138,LS_previous!AB$149, FALSE))/2)</f>
        <v>0</v>
      </c>
      <c r="M46" s="180">
        <f t="array" ref="M46">IF($G46=0, INDEX(LS_previous!$D$4:$AY$138, MATCH('Staging Table'!$A46, LS_previous!$B$4:$B$138, 0), MATCH(M$4&amp;M$5, LS_previous!$D$2:$AY$2&amp;LS_previous!$D$3:$AY$3, 0)),SUM(VLOOKUP($A46, LS_previous!$B$4:$AY$138, LS_previous!E$149, FALSE), VLOOKUP('Staging Table'!$A46, LS_previous!$B$4:$AY$138,LS_previous!AC$149, FALSE))/2)</f>
        <v>0</v>
      </c>
      <c r="N46" s="180">
        <f t="array" ref="N46">IF($G46=0, INDEX(LS_previous!$D$4:$AY$138, MATCH('Staging Table'!$A46, LS_previous!$B$4:$B$138, 0), MATCH(N$4&amp;N$5, LS_previous!$D$2:$AY$2&amp;LS_previous!$D$3:$AY$3, 0)),SUM(VLOOKUP($A46, LS_previous!$B$4:$AY$138, LS_previous!F$149, FALSE), VLOOKUP('Staging Table'!$A46, LS_previous!$B$4:$AY$138,LS_previous!AD$149, FALSE))/2)</f>
        <v>0</v>
      </c>
      <c r="O46" s="180">
        <f t="array" ref="O46">IF($G46=0, INDEX(LS_previous!$D$4:$AY$138, MATCH('Staging Table'!$A46, LS_previous!$B$4:$B$138, 0), MATCH(O$4&amp;O$5, LS_previous!$D$2:$AY$2&amp;LS_previous!$D$3:$AY$3, 0)),SUM(VLOOKUP($A46, LS_previous!$B$4:$AY$138, LS_previous!G$149, FALSE), VLOOKUP('Staging Table'!$A46, LS_previous!$B$4:$AY$138,LS_previous!AE$149, FALSE))/2)</f>
        <v>0</v>
      </c>
      <c r="P46" s="180">
        <f t="array" ref="P46">IF($G46=0, INDEX(LS_previous!$D$4:$AY$138, MATCH('Staging Table'!$A46, LS_previous!$B$4:$B$138, 0), MATCH(P$4&amp;P$5, LS_previous!$D$2:$AY$2&amp;LS_previous!$D$3:$AY$3, 0)),SUM(VLOOKUP($A46, LS_previous!$B$4:$AY$138, LS_previous!H$149, FALSE), VLOOKUP('Staging Table'!$A46, LS_previous!$B$4:$AY$138,LS_previous!AF$149, FALSE))/2)</f>
        <v>0</v>
      </c>
      <c r="Q46" s="180">
        <f t="array" ref="Q46">IF($G46=0, INDEX(LS_previous!$D$4:$AY$138, MATCH('Staging Table'!$A46, LS_previous!$B$4:$B$138, 0), MATCH(Q$4&amp;Q$5, LS_previous!$D$2:$AY$2&amp;LS_previous!$D$3:$AY$3, 0)),SUM(VLOOKUP($A46, LS_previous!$B$4:$AY$138, LS_previous!I$149, FALSE), VLOOKUP('Staging Table'!$A46, LS_previous!$B$4:$AY$138,LS_previous!AG$149, FALSE))/2)</f>
        <v>0</v>
      </c>
      <c r="R46" s="180">
        <f t="array" ref="R46">IF($G46=0, INDEX(LS_previous!$D$4:$AY$138, MATCH('Staging Table'!$A46, LS_previous!$B$4:$B$138, 0), MATCH(R$4&amp;R$5, LS_previous!$D$2:$AY$2&amp;LS_previous!$D$3:$AY$3, 0)),SUM(VLOOKUP($A46, LS_previous!$B$4:$AY$138, LS_previous!J$149, FALSE), VLOOKUP('Staging Table'!$A46, LS_previous!$B$4:$AY$138,LS_previous!AH$149, FALSE))/2)</f>
        <v>0</v>
      </c>
      <c r="S46" s="180">
        <f t="array" ref="S46">IF($G46=0, INDEX(LS_previous!$D$4:$AY$138, MATCH('Staging Table'!$A46, LS_previous!$B$4:$B$138, 0), MATCH(S$4&amp;S$5, LS_previous!$D$2:$AY$2&amp;LS_previous!$D$3:$AY$3, 0)),SUM(VLOOKUP($A46, LS_previous!$B$4:$AY$138, LS_previous!K$149, FALSE), VLOOKUP('Staging Table'!$A46, LS_previous!$B$4:$AY$138,LS_previous!AI$149, FALSE))/2)</f>
        <v>0</v>
      </c>
      <c r="T46" s="180">
        <f t="array" ref="T46">IF($G46=0, INDEX(LS_previous!$D$4:$AY$138, MATCH('Staging Table'!$A46, LS_previous!$B$4:$B$138, 0), MATCH(T$4&amp;T$5, LS_previous!$D$2:$AY$2&amp;LS_previous!$D$3:$AY$3, 0)),SUM(VLOOKUP($A46, LS_previous!$B$4:$AY$138, LS_previous!L$149, FALSE), VLOOKUP('Staging Table'!$A46, LS_previous!$B$4:$AY$138,LS_previous!AJ$149, FALSE))/2)</f>
        <v>0</v>
      </c>
      <c r="U46" s="180">
        <f t="array" ref="U46">IF($G46=0, INDEX(LS_previous!$D$4:$AY$138, MATCH('Staging Table'!$A46, LS_previous!$B$4:$B$138, 0), MATCH(U$4&amp;U$5, LS_previous!$D$2:$AY$2&amp;LS_previous!$D$3:$AY$3, 0)),SUM(VLOOKUP($A46, LS_previous!$B$4:$AY$138, LS_previous!M$149, FALSE), VLOOKUP('Staging Table'!$A46, LS_previous!$B$4:$AY$138,LS_previous!AK$149, FALSE))/2)</f>
        <v>0</v>
      </c>
      <c r="V46" s="180">
        <f t="array" ref="V46">IF($G46=0, INDEX(LS_previous!$D$4:$AY$138, MATCH('Staging Table'!$A46, LS_previous!$B$4:$B$138, 0), MATCH(V$4&amp;V$5, LS_previous!$D$2:$AY$2&amp;LS_previous!$D$3:$AY$3, 0)),SUM(VLOOKUP($A46, LS_previous!$B$4:$AY$138, LS_previous!N$149, FALSE), VLOOKUP('Staging Table'!$A46, LS_previous!$B$4:$AY$138,LS_previous!AL$149, FALSE))/2)</f>
        <v>0</v>
      </c>
      <c r="W46" s="180">
        <f t="array" ref="W46">IF($G46=0, INDEX(LS_previous!$D$4:$AY$138, MATCH('Staging Table'!$A46, LS_previous!$B$4:$B$138, 0), MATCH(W$4&amp;W$5, LS_previous!$D$2:$AY$2&amp;LS_previous!$D$3:$AY$3, 0)),SUM(VLOOKUP($A46, LS_previous!$B$4:$AY$138, LS_previous!O$149, FALSE), VLOOKUP('Staging Table'!$A46, LS_previous!$B$4:$AY$138,LS_previous!AM$149, FALSE))/2)</f>
        <v>0</v>
      </c>
      <c r="X46" s="180">
        <f t="array" ref="X46">IF($G46=0, INDEX(LS_previous!$D$4:$AY$138, MATCH('Staging Table'!$A46, LS_previous!$B$4:$B$138, 0), MATCH(X$4&amp;X$5, LS_previous!$D$2:$AY$2&amp;LS_previous!$D$3:$AY$3, 0)),SUM(VLOOKUP($A46, LS_previous!$B$4:$AY$138, LS_previous!P$149, FALSE), VLOOKUP('Staging Table'!$A46, LS_previous!$B$4:$AY$138,LS_previous!AN$149, FALSE))/2)</f>
        <v>0</v>
      </c>
      <c r="Y46" s="180">
        <f t="array" ref="Y46">IF($G46=0, INDEX(LS_previous!$D$4:$AY$138, MATCH('Staging Table'!$A46, LS_previous!$B$4:$B$138, 0), MATCH(Y$4&amp;Y$5, LS_previous!$D$2:$AY$2&amp;LS_previous!$D$3:$AY$3, 0)),SUM(VLOOKUP($A46, LS_previous!$B$4:$AY$138, LS_previous!Q$149, FALSE), VLOOKUP('Staging Table'!$A46, LS_previous!$B$4:$AY$138,LS_previous!AO$149, FALSE))/2)</f>
        <v>0</v>
      </c>
      <c r="Z46" s="180">
        <f t="array" ref="Z46">IF($G46=0, INDEX(LS_previous!$D$4:$AY$138, MATCH('Staging Table'!$A46, LS_previous!$B$4:$B$138, 0), MATCH(Z$4&amp;Z$5, LS_previous!$D$2:$AY$2&amp;LS_previous!$D$3:$AY$3, 0)),SUM(VLOOKUP($A46, LS_previous!$B$4:$AY$138, LS_previous!R$149, FALSE), VLOOKUP('Staging Table'!$A46, LS_previous!$B$4:$AY$138,LS_previous!AP$149, FALSE))/2)</f>
        <v>0</v>
      </c>
      <c r="AA46" s="180">
        <f t="array" ref="AA46">IF($G46=0, INDEX(LS_previous!$D$4:$AY$138, MATCH('Staging Table'!$A46, LS_previous!$B$4:$B$138, 0), MATCH(AA$4&amp;AA$5, LS_previous!$D$2:$AY$2&amp;LS_previous!$D$3:$AY$3, 0)),SUM(VLOOKUP($A46, LS_previous!$B$4:$AY$138, LS_previous!S$149, FALSE), VLOOKUP('Staging Table'!$A46, LS_previous!$B$4:$AY$138,LS_previous!AQ$149, FALSE))/2)</f>
        <v>0</v>
      </c>
      <c r="AB46" s="180">
        <f t="array" ref="AB46">IF($G46=0, INDEX(LS_previous!$D$4:$AY$138, MATCH('Staging Table'!$A46, LS_previous!$B$4:$B$138, 0), MATCH(AB$4&amp;AB$5, LS_previous!$D$2:$AY$2&amp;LS_previous!$D$3:$AY$3, 0)),SUM(VLOOKUP($A46, LS_previous!$B$4:$AY$138, LS_previous!T$149, FALSE), VLOOKUP('Staging Table'!$A46, LS_previous!$B$4:$AY$138,LS_previous!AR$149, FALSE))/2)</f>
        <v>0</v>
      </c>
      <c r="AC46" s="180">
        <f t="array" ref="AC46">IF($G46=0, INDEX(LS_previous!$D$4:$AY$138, MATCH('Staging Table'!$A46, LS_previous!$B$4:$B$138, 0), MATCH(AC$4&amp;AC$5, LS_previous!$D$2:$AY$2&amp;LS_previous!$D$3:$AY$3, 0)),SUM(VLOOKUP($A46, LS_previous!$B$4:$AY$138, LS_previous!U$149, FALSE), VLOOKUP('Staging Table'!$A46, LS_previous!$B$4:$AY$138,LS_previous!AS$149, FALSE))/2)</f>
        <v>0</v>
      </c>
      <c r="AD46" s="180">
        <f t="array" ref="AD46">IF($G46=0, INDEX(LS_previous!$D$4:$AY$138, MATCH('Staging Table'!$A46, LS_previous!$B$4:$B$138, 0), MATCH(AD$4&amp;AD$5, LS_previous!$D$2:$AY$2&amp;LS_previous!$D$3:$AY$3, 0)),SUM(VLOOKUP($A46, LS_previous!$B$4:$AY$138, LS_previous!V$149, FALSE), VLOOKUP('Staging Table'!$A46, LS_previous!$B$4:$AY$138,LS_previous!AT$149, FALSE))/2)</f>
        <v>0</v>
      </c>
      <c r="AE46" s="180">
        <f t="array" ref="AE46">IF($G46=0, INDEX(LS_previous!$D$4:$AY$138, MATCH('Staging Table'!$A46, LS_previous!$B$4:$B$138, 0), MATCH(AE$4&amp;AE$5, LS_previous!$D$2:$AY$2&amp;LS_previous!$D$3:$AY$3, 0)),SUM(VLOOKUP($A46, LS_previous!$B$4:$AY$138, LS_previous!W$149, FALSE), VLOOKUP('Staging Table'!$A46, LS_previous!$B$4:$AY$138,LS_previous!AU$149, FALSE))/2)</f>
        <v>0</v>
      </c>
      <c r="AF46" s="180">
        <f t="array" ref="AF46">IF($G46=0, INDEX(LS_previous!$D$4:$AY$138, MATCH('Staging Table'!$A46, LS_previous!$B$4:$B$138, 0), MATCH(AF$4&amp;AF$5, LS_previous!$D$2:$AY$2&amp;LS_previous!$D$3:$AY$3, 0)),SUM(VLOOKUP($A46, LS_previous!$B$4:$AY$138, LS_previous!X$149, FALSE), VLOOKUP('Staging Table'!$A46, LS_previous!$B$4:$AY$138,LS_previous!AV$149, FALSE))/2)</f>
        <v>0</v>
      </c>
      <c r="AG46" s="180">
        <f t="array" ref="AG46">IF($G46=0, INDEX(LS_previous!$D$4:$AY$138, MATCH('Staging Table'!$A46, LS_previous!$B$4:$B$138, 0), MATCH(AG$4&amp;AG$5, LS_previous!$D$2:$AY$2&amp;LS_previous!$D$3:$AY$3, 0)),SUM(VLOOKUP($A46, LS_previous!$B$4:$AY$138, LS_previous!Y$149, FALSE), VLOOKUP('Staging Table'!$A46, LS_previous!$B$4:$AY$138,LS_previous!AW$149, FALSE))/2)</f>
        <v>0</v>
      </c>
      <c r="AH46" s="180">
        <f t="array" ref="AH46">IF($G46=0, INDEX(LS_previous!$D$4:$AY$138, MATCH('Staging Table'!$A46, LS_previous!$B$4:$B$138, 0), MATCH(AH$4&amp;AH$5, LS_previous!$D$2:$AY$2&amp;LS_previous!$D$3:$AY$3, 0)),SUM(VLOOKUP($A46, LS_previous!$B$4:$AY$138, LS_previous!Z$149, FALSE), VLOOKUP('Staging Table'!$A46, LS_previous!$B$4:$AY$138,LS_previous!AX$149, FALSE))/2)</f>
        <v>0</v>
      </c>
      <c r="AI46" s="180">
        <f t="array" ref="AI46">IF($G46=0, INDEX(LS_previous!$D$4:$AY$138, MATCH('Staging Table'!$A46, LS_previous!$B$4:$B$138, 0), MATCH(AI$4&amp;AI$5, LS_previous!$D$2:$AY$2&amp;LS_previous!$D$3:$AY$3, 0)),SUM(VLOOKUP($A46, LS_previous!$B$4:$AY$138, LS_previous!AA$149, FALSE), VLOOKUP('Staging Table'!$A46, LS_previous!$B$4:$AY$138,LS_previous!AY$149, FALSE))/2)</f>
        <v>0</v>
      </c>
      <c r="AJ46" s="298">
        <f t="array" ref="AJ46">INDEX(Demand_previous!$D$4:$AY$138, MATCH('Staging Table'!$A46, Demand_previous!$B$4:$B$138, 0), MATCH(AJ$4&amp;AJ$5,Demand_previous!$D$2:$AY$2&amp;Demand_previous!$D$3:$AY$3, 0))/1000</f>
        <v>0</v>
      </c>
      <c r="AK46" s="298">
        <f t="array" ref="AK46">INDEX(Demand_previous!$D$4:$AY$138, MATCH('Staging Table'!$A46, Demand_previous!$B$4:$B$138, 0), MATCH(AK$4&amp;AK$5,Demand_previous!$D$2:$AY$2&amp;Demand_previous!$D$3:$AY$3, 0))/1000</f>
        <v>0</v>
      </c>
      <c r="AL46" s="298">
        <f t="array" ref="AL46">INDEX(Demand_previous!$D$4:$AY$138, MATCH('Staging Table'!$A46, Demand_previous!$B$4:$B$138, 0), MATCH(AL$4&amp;AL$5,Demand_previous!$D$2:$AY$2&amp;Demand_previous!$D$3:$AY$3, 0))/1000</f>
        <v>0</v>
      </c>
      <c r="AM46" s="298">
        <f t="array" ref="AM46">INDEX(Demand_previous!$D$4:$AY$138, MATCH('Staging Table'!$A46, Demand_previous!$B$4:$B$138, 0), MATCH(AM$4&amp;AM$5,Demand_previous!$D$2:$AY$2&amp;Demand_previous!$D$3:$AY$3, 0))/1000</f>
        <v>0</v>
      </c>
      <c r="AN46" s="298">
        <f t="array" ref="AN46">INDEX(Demand_previous!$D$4:$AY$138, MATCH('Staging Table'!$A46, Demand_previous!$B$4:$B$138, 0), MATCH(AN$4&amp;AN$5,Demand_previous!$D$2:$AY$2&amp;Demand_previous!$D$3:$AY$3, 0))/1000</f>
        <v>0</v>
      </c>
      <c r="AO46" s="298">
        <f t="array" ref="AO46">INDEX(Demand_previous!$D$4:$AY$138, MATCH('Staging Table'!$A46, Demand_previous!$B$4:$B$138, 0), MATCH(AO$4&amp;AO$5,Demand_previous!$D$2:$AY$2&amp;Demand_previous!$D$3:$AY$3, 0))/1000</f>
        <v>0</v>
      </c>
      <c r="AP46" s="298">
        <f t="array" ref="AP46">INDEX(Demand_previous!$D$4:$AY$138, MATCH('Staging Table'!$A46, Demand_previous!$B$4:$B$138, 0), MATCH(AP$4&amp;AP$5,Demand_previous!$D$2:$AY$2&amp;Demand_previous!$D$3:$AY$3, 0))/1000</f>
        <v>0</v>
      </c>
      <c r="AQ46" s="298">
        <f t="array" ref="AQ46">INDEX(Demand_previous!$D$4:$AY$138, MATCH('Staging Table'!$A46, Demand_previous!$B$4:$B$138, 0), MATCH(AQ$4&amp;AQ$5,Demand_previous!$D$2:$AY$2&amp;Demand_previous!$D$3:$AY$3, 0))/1000</f>
        <v>0</v>
      </c>
      <c r="AR46" s="298">
        <f t="array" ref="AR46">INDEX(Demand_previous!$D$4:$AY$138, MATCH('Staging Table'!$A46, Demand_previous!$B$4:$B$138, 0), MATCH(AR$4&amp;AR$5,Demand_previous!$D$2:$AY$2&amp;Demand_previous!$D$3:$AY$3, 0))/1000</f>
        <v>0</v>
      </c>
      <c r="AS46" s="298">
        <f t="array" ref="AS46">INDEX(Demand_previous!$D$4:$AY$138, MATCH('Staging Table'!$A46, Demand_previous!$B$4:$B$138, 0), MATCH(AS$4&amp;AS$5,Demand_previous!$D$2:$AY$2&amp;Demand_previous!$D$3:$AY$3, 0))/1000</f>
        <v>0</v>
      </c>
      <c r="AT46" s="298">
        <f t="array" ref="AT46">INDEX(Demand_previous!$D$4:$AY$138, MATCH('Staging Table'!$A46, Demand_previous!$B$4:$B$138, 0), MATCH(AT$4&amp;AT$5,Demand_previous!$D$2:$AY$2&amp;Demand_previous!$D$3:$AY$3, 0))/1000</f>
        <v>0</v>
      </c>
      <c r="AU46" s="298">
        <f t="array" ref="AU46">INDEX(Demand_previous!$D$4:$AY$138, MATCH('Staging Table'!$A46, Demand_previous!$B$4:$B$138, 0), MATCH(AU$4&amp;AU$5,Demand_previous!$D$2:$AY$2&amp;Demand_previous!$D$3:$AY$3, 0))/1000</f>
        <v>0</v>
      </c>
      <c r="AV46" s="180">
        <f>$F46*(VLOOKUP(AV$4, Rates_previous!$G$6:$Q$29, 10, FALSE)+VLOOKUP(AV$4, Rates_previous!$G$6:$Q$29, 11, FALSE))</f>
        <v>15398.640036368008</v>
      </c>
      <c r="AW46" s="180">
        <f>$F46*(VLOOKUP(AW$4, Rates_previous!$G$6:$Q$29, 10, FALSE)+VLOOKUP(AW$4, Rates_previous!$G$6:$Q$29, 11, FALSE))</f>
        <v>19495.237141146539</v>
      </c>
      <c r="AX46" s="180">
        <f>$F46*(VLOOKUP(AX$4, Rates_previous!$G$6:$Q$29, 10, FALSE)+VLOOKUP(AX$4, Rates_previous!$G$6:$Q$29, 11, FALSE))</f>
        <v>19081.942340013939</v>
      </c>
      <c r="AY46" s="180">
        <f>$F46*(VLOOKUP(AY$4, Rates_previous!$G$6:$Q$29, 10, FALSE)+VLOOKUP(AY$4, Rates_previous!$G$6:$Q$29, 11, FALSE))</f>
        <v>15760.872916270369</v>
      </c>
      <c r="AZ46" s="180">
        <f>$F46*(VLOOKUP(AZ$4, Rates_previous!$G$6:$Q$29, 10, FALSE)+VLOOKUP(AZ$4, Rates_previous!$G$6:$Q$29, 11, FALSE))</f>
        <v>13660.293988974017</v>
      </c>
      <c r="BA46" s="180">
        <f>$F46*(VLOOKUP(BA$4, Rates_previous!$G$6:$Q$29, 10, FALSE)+VLOOKUP(BA$4, Rates_previous!$G$6:$Q$29, 11, FALSE))</f>
        <v>16307.632473354033</v>
      </c>
      <c r="BB46" s="180">
        <f>$F46*(VLOOKUP(BB$4, Rates_previous!$G$6:$Q$29, 10, FALSE)+VLOOKUP(BB$4, Rates_previous!$G$6:$Q$29, 11, FALSE))</f>
        <v>12660.705598396657</v>
      </c>
      <c r="BC46" s="180">
        <f>$F46*(VLOOKUP(BC$4, Rates_previous!$G$6:$Q$29, 10, FALSE)+VLOOKUP(BC$4, Rates_previous!$G$6:$Q$29, 11, FALSE))</f>
        <v>17541.500776510075</v>
      </c>
      <c r="BD46" s="180">
        <f>$F46*(VLOOKUP(BD$4, Rates_previous!$G$6:$Q$29, 10, FALSE)+VLOOKUP(BD$4, Rates_previous!$G$6:$Q$29, 11, FALSE))</f>
        <v>18743.460883839449</v>
      </c>
      <c r="BE46" s="180">
        <f>$F46*(VLOOKUP(BE$4, Rates_previous!$G$6:$Q$29, 10, FALSE)+VLOOKUP(BE$4, Rates_previous!$G$6:$Q$29, 11, FALSE))</f>
        <v>17796.067375330989</v>
      </c>
      <c r="BF46" s="180">
        <f>$F46*(VLOOKUP(BF$4, Rates_previous!$G$6:$Q$29, 10, FALSE)+VLOOKUP(BF$4, Rates_previous!$G$6:$Q$29, 11, FALSE))</f>
        <v>17198.526223091001</v>
      </c>
      <c r="BG46" s="180">
        <f>$F46*(VLOOKUP(BG$4, Rates_previous!$G$6:$Q$29, 10, FALSE)+VLOOKUP(BG$4, Rates_previous!$G$6:$Q$29, 11, FALSE))</f>
        <v>15893.231105443187</v>
      </c>
      <c r="BH46" s="298">
        <f>IF($D46=0,IF(C46=0, MAX(BJ46 - (VLOOKUP($A46,TOCA_previous!$A$2:$AI$137,MATCH("RHWM 2022",TOCA_previous!$A$2:$AI$2,0),FALSE)*$F$2*TOCA_previous!C43),0),0), 0)</f>
        <v>0</v>
      </c>
      <c r="BI46" s="192">
        <f>MIN(VLOOKUP($A46,TOCA_previous!$A$2:$AI$137,MATCH("TRL - NLSL - Existing Resource "&amp;$F$1,TOCA_previous!$A$2:$AI$2,0),FALSE)*$F$2,(VLOOKUP($A46,TOCA_previous!$A$2:$AI$137,MATCH("RHWM 2022",TOCA_previous!$A$2:$AI$2,0),FALSE)*$F$2))</f>
        <v>199535.28</v>
      </c>
      <c r="BJ46" s="402">
        <f>SUM(L46:AI46)+(F46*RT1SC!$C$3*$F$2)</f>
        <v>199538.12106597604</v>
      </c>
      <c r="BK46" s="401">
        <f>VLOOKUP($A46,TOCA_previous!$A$2:$AI$137,MATCH("Above RHWM Not Served with LS "&amp;$F$1,TOCA_previous!$A$2:$AI$2,0),FALSE)*$F$2</f>
        <v>7962.84</v>
      </c>
      <c r="BL46" s="402">
        <f t="shared" si="8"/>
        <v>2.8410659760411363</v>
      </c>
      <c r="BM46" s="401">
        <f>(VLOOKUP($A46,TOCA_previous!$A$2:$AI$137,MATCH("RHWM 2022",TOCA_previous!$A$2:$AI$2,0),FALSE)*$F$2) - $BI46</f>
        <v>0</v>
      </c>
      <c r="BN46" s="402">
        <f t="shared" si="9"/>
        <v>0</v>
      </c>
      <c r="BO46" s="401">
        <f t="shared" si="10"/>
        <v>0</v>
      </c>
      <c r="BP46" s="402">
        <f t="shared" si="11"/>
        <v>0</v>
      </c>
      <c r="BQ46" s="401">
        <f t="shared" si="18"/>
        <v>0</v>
      </c>
      <c r="BR46" s="108">
        <f>VLOOKUP($A46,TOCA_current!$A$2:$AI$137,MATCH(BR$4,TOCA_current!$A$2:$AI$2,0),FALSE)</f>
        <v>3.3806999999999999E-3</v>
      </c>
      <c r="BS46" s="108">
        <f>VLOOKUP($A46,TOCA_current!$A$2:$AI$137,MATCH(BS$4,TOCA_current!$A$2:$AI$2,0),FALSE)</f>
        <v>3.3806999999999999E-3</v>
      </c>
      <c r="BT46" s="189">
        <f t="shared" si="12"/>
        <v>0</v>
      </c>
      <c r="BU46" s="108">
        <f>VLOOKUP($A46,TOCA_current!A42:BG177,MATCH(BU$4,TOCA_current!$A$2:$BG$2,0),FALSE)</f>
        <v>7.0735792956153939E-2</v>
      </c>
      <c r="BV46" s="108">
        <f t="shared" si="19"/>
        <v>7.0735792956153939E-2</v>
      </c>
      <c r="BW46" s="108">
        <f t="shared" si="20"/>
        <v>3.3806999999999999E-3</v>
      </c>
      <c r="BX46" s="179">
        <f>VLOOKUP($A46,IRD!$A$4:$G$139, 7, FALSE)</f>
        <v>0</v>
      </c>
      <c r="BY46" s="180">
        <f t="array" ref="BY46">IF($BT46=0, INDEX(LS_current!$D$4:$AY$138, MATCH('Staging Table'!$A46, LS_current!$B$4:$B$138, 0), MATCH(BY$4&amp;BY$5, LS_current!$D$2:$AY$2&amp;LS_current!$D$3:$AY$3, 0)),SUM(VLOOKUP($A46, LS_current!$B$4:$AY$138, LS_current!D$148, FALSE), VLOOKUP($A46, LS_current!$B$4:$AY$138,LS_current!AB$148, FALSE))/2)</f>
        <v>0</v>
      </c>
      <c r="BZ46" s="180">
        <f t="array" ref="BZ46">IF($BT46=0, INDEX(LS_current!$D$4:$AY$138, MATCH('Staging Table'!$A46, LS_current!$B$4:$B$138, 0), MATCH(BZ$4&amp;BZ$5, LS_current!$D$2:$AY$2&amp;LS_current!$D$3:$AY$3, 0)),SUM(VLOOKUP($A46, LS_current!$B$4:$AY$138, LS_current!E$148, FALSE), VLOOKUP($A46, LS_current!$B$4:$AY$138,LS_current!AC$148, FALSE))/2)</f>
        <v>0</v>
      </c>
      <c r="CA46" s="180">
        <f t="array" ref="CA46">IF($BT46=0, INDEX(LS_current!$D$4:$AY$138, MATCH('Staging Table'!$A46, LS_current!$B$4:$B$138, 0), MATCH(CA$4&amp;CA$5, LS_current!$D$2:$AY$2&amp;LS_current!$D$3:$AY$3, 0)),SUM(VLOOKUP($A46, LS_current!$B$4:$AY$138, LS_current!F$148, FALSE), VLOOKUP($A46, LS_current!$B$4:$AY$138,LS_current!AD$148, FALSE))/2)</f>
        <v>0</v>
      </c>
      <c r="CB46" s="180">
        <f t="array" ref="CB46">IF($BT46=0, INDEX(LS_current!$D$4:$AY$138, MATCH('Staging Table'!$A46, LS_current!$B$4:$B$138, 0), MATCH(CB$4&amp;CB$5, LS_current!$D$2:$AY$2&amp;LS_current!$D$3:$AY$3, 0)),SUM(VLOOKUP($A46, LS_current!$B$4:$AY$138, LS_current!G$148, FALSE), VLOOKUP($A46, LS_current!$B$4:$AY$138,LS_current!AE$148, FALSE))/2)</f>
        <v>0</v>
      </c>
      <c r="CC46" s="180">
        <f t="array" ref="CC46">IF($BT46=0, INDEX(LS_current!$D$4:$AY$138, MATCH('Staging Table'!$A46, LS_current!$B$4:$B$138, 0), MATCH(CC$4&amp;CC$5, LS_current!$D$2:$AY$2&amp;LS_current!$D$3:$AY$3, 0)),SUM(VLOOKUP($A46, LS_current!$B$4:$AY$138, LS_current!H$148, FALSE), VLOOKUP($A46, LS_current!$B$4:$AY$138,LS_current!AF$148, FALSE))/2)</f>
        <v>0</v>
      </c>
      <c r="CD46" s="180">
        <f t="array" ref="CD46">IF($BT46=0, INDEX(LS_current!$D$4:$AY$138, MATCH('Staging Table'!$A46, LS_current!$B$4:$B$138, 0), MATCH(CD$4&amp;CD$5, LS_current!$D$2:$AY$2&amp;LS_current!$D$3:$AY$3, 0)),SUM(VLOOKUP($A46, LS_current!$B$4:$AY$138, LS_current!I$148, FALSE), VLOOKUP($A46, LS_current!$B$4:$AY$138,LS_current!AG$148, FALSE))/2)</f>
        <v>0</v>
      </c>
      <c r="CE46" s="180">
        <f t="array" ref="CE46">IF($BT46=0, INDEX(LS_current!$D$4:$AY$138, MATCH('Staging Table'!$A46, LS_current!$B$4:$B$138, 0), MATCH(CE$4&amp;CE$5, LS_current!$D$2:$AY$2&amp;LS_current!$D$3:$AY$3, 0)),SUM(VLOOKUP($A46, LS_current!$B$4:$AY$138, LS_current!J$148, FALSE), VLOOKUP($A46, LS_current!$B$4:$AY$138,LS_current!AH$148, FALSE))/2)</f>
        <v>0</v>
      </c>
      <c r="CF46" s="180">
        <f t="array" ref="CF46">IF($BT46=0, INDEX(LS_current!$D$4:$AY$138, MATCH('Staging Table'!$A46, LS_current!$B$4:$B$138, 0), MATCH(CF$4&amp;CF$5, LS_current!$D$2:$AY$2&amp;LS_current!$D$3:$AY$3, 0)),SUM(VLOOKUP($A46, LS_current!$B$4:$AY$138, LS_current!K$148, FALSE), VLOOKUP($A46, LS_current!$B$4:$AY$138,LS_current!AI$148, FALSE))/2)</f>
        <v>0</v>
      </c>
      <c r="CG46" s="180">
        <f t="array" ref="CG46">IF($BT46=0, INDEX(LS_current!$D$4:$AY$138, MATCH('Staging Table'!$A46, LS_current!$B$4:$B$138, 0), MATCH(CG$4&amp;CG$5, LS_current!$D$2:$AY$2&amp;LS_current!$D$3:$AY$3, 0)),SUM(VLOOKUP($A46, LS_current!$B$4:$AY$138, LS_current!L$148, FALSE), VLOOKUP($A46, LS_current!$B$4:$AY$138,LS_current!AJ$148, FALSE))/2)</f>
        <v>0</v>
      </c>
      <c r="CH46" s="180">
        <f t="array" ref="CH46">IF($BT46=0, INDEX(LS_current!$D$4:$AY$138, MATCH('Staging Table'!$A46, LS_current!$B$4:$B$138, 0), MATCH(CH$4&amp;CH$5, LS_current!$D$2:$AY$2&amp;LS_current!$D$3:$AY$3, 0)),SUM(VLOOKUP($A46, LS_current!$B$4:$AY$138, LS_current!M$148, FALSE), VLOOKUP($A46, LS_current!$B$4:$AY$138,LS_current!AK$148, FALSE))/2)</f>
        <v>0</v>
      </c>
      <c r="CI46" s="180">
        <f t="array" ref="CI46">IF($BT46=0, INDEX(LS_current!$D$4:$AY$138, MATCH('Staging Table'!$A46, LS_current!$B$4:$B$138, 0), MATCH(CI$4&amp;CI$5, LS_current!$D$2:$AY$2&amp;LS_current!$D$3:$AY$3, 0)),SUM(VLOOKUP($A46, LS_current!$B$4:$AY$138, LS_current!N$148, FALSE), VLOOKUP($A46, LS_current!$B$4:$AY$138,LS_current!AL$148, FALSE))/2)</f>
        <v>0</v>
      </c>
      <c r="CJ46" s="180">
        <f t="array" ref="CJ46">IF($BT46=0, INDEX(LS_current!$D$4:$AY$138, MATCH('Staging Table'!$A46, LS_current!$B$4:$B$138, 0), MATCH(CJ$4&amp;CJ$5, LS_current!$D$2:$AY$2&amp;LS_current!$D$3:$AY$3, 0)),SUM(VLOOKUP($A46, LS_current!$B$4:$AY$138, LS_current!O$148, FALSE), VLOOKUP($A46, LS_current!$B$4:$AY$138,LS_current!AM$148, FALSE))/2)</f>
        <v>0</v>
      </c>
      <c r="CK46" s="180">
        <f t="array" ref="CK46">IF($BT46=0, INDEX(LS_current!$D$4:$AY$138, MATCH('Staging Table'!$A46, LS_current!$B$4:$B$138, 0), MATCH(CK$4&amp;CK$5, LS_current!$D$2:$AY$2&amp;LS_current!$D$3:$AY$3, 0)),SUM(VLOOKUP($A46, LS_current!$B$4:$AY$138, LS_current!P$148, FALSE), VLOOKUP($A46, LS_current!$B$4:$AY$138,LS_current!AN$148, FALSE))/2)</f>
        <v>0</v>
      </c>
      <c r="CL46" s="180">
        <f t="array" ref="CL46">IF($BT46=0, INDEX(LS_current!$D$4:$AY$138, MATCH('Staging Table'!$A46, LS_current!$B$4:$B$138, 0), MATCH(CL$4&amp;CL$5, LS_current!$D$2:$AY$2&amp;LS_current!$D$3:$AY$3, 0)),SUM(VLOOKUP($A46, LS_current!$B$4:$AY$138, LS_current!Q$148, FALSE), VLOOKUP($A46, LS_current!$B$4:$AY$138,LS_current!AO$148, FALSE))/2)</f>
        <v>0</v>
      </c>
      <c r="CM46" s="180">
        <f t="array" ref="CM46">IF($BT46=0, INDEX(LS_current!$D$4:$AY$138, MATCH('Staging Table'!$A46, LS_current!$B$4:$B$138, 0), MATCH(CM$4&amp;CM$5, LS_current!$D$2:$AY$2&amp;LS_current!$D$3:$AY$3, 0)),SUM(VLOOKUP($A46, LS_current!$B$4:$AY$138, LS_current!R$148, FALSE), VLOOKUP($A46, LS_current!$B$4:$AY$138,LS_current!AP$148, FALSE))/2)</f>
        <v>0</v>
      </c>
      <c r="CN46" s="180">
        <f t="array" ref="CN46">IF($BT46=0, INDEX(LS_current!$D$4:$AY$138, MATCH('Staging Table'!$A46, LS_current!$B$4:$B$138, 0), MATCH(CN$4&amp;CN$5, LS_current!$D$2:$AY$2&amp;LS_current!$D$3:$AY$3, 0)),SUM(VLOOKUP($A46, LS_current!$B$4:$AY$138, LS_current!S$148, FALSE), VLOOKUP($A46, LS_current!$B$4:$AY$138,LS_current!AQ$148, FALSE))/2)</f>
        <v>0</v>
      </c>
      <c r="CO46" s="180">
        <f t="array" ref="CO46">IF($BT46=0, INDEX(LS_current!$D$4:$AY$138, MATCH('Staging Table'!$A46, LS_current!$B$4:$B$138, 0), MATCH(CO$4&amp;CO$5, LS_current!$D$2:$AY$2&amp;LS_current!$D$3:$AY$3, 0)),SUM(VLOOKUP($A46, LS_current!$B$4:$AY$138, LS_current!T$148, FALSE), VLOOKUP($A46, LS_current!$B$4:$AY$138,LS_current!AR$148, FALSE))/2)</f>
        <v>0</v>
      </c>
      <c r="CP46" s="180">
        <f t="array" ref="CP46">IF($BT46=0, INDEX(LS_current!$D$4:$AY$138, MATCH('Staging Table'!$A46, LS_current!$B$4:$B$138, 0), MATCH(CP$4&amp;CP$5, LS_current!$D$2:$AY$2&amp;LS_current!$D$3:$AY$3, 0)),SUM(VLOOKUP($A46, LS_current!$B$4:$AY$138, LS_current!U$148, FALSE), VLOOKUP($A46, LS_current!$B$4:$AY$138,LS_current!AS$148, FALSE))/2)</f>
        <v>0</v>
      </c>
      <c r="CQ46" s="180">
        <f t="array" ref="CQ46">IF($BT46=0, INDEX(LS_current!$D$4:$AY$138, MATCH('Staging Table'!$A46, LS_current!$B$4:$B$138, 0), MATCH(CQ$4&amp;CQ$5, LS_current!$D$2:$AY$2&amp;LS_current!$D$3:$AY$3, 0)),SUM(VLOOKUP($A46, LS_current!$B$4:$AY$138, LS_current!V$148, FALSE), VLOOKUP($A46, LS_current!$B$4:$AY$138,LS_current!AT$148, FALSE))/2)</f>
        <v>0</v>
      </c>
      <c r="CR46" s="180">
        <f t="array" ref="CR46">IF($BT46=0, INDEX(LS_current!$D$4:$AY$138, MATCH('Staging Table'!$A46, LS_current!$B$4:$B$138, 0), MATCH(CR$4&amp;CR$5, LS_current!$D$2:$AY$2&amp;LS_current!$D$3:$AY$3, 0)),SUM(VLOOKUP($A46, LS_current!$B$4:$AY$138, LS_current!W$148, FALSE), VLOOKUP($A46, LS_current!$B$4:$AY$138,LS_current!AU$148, FALSE))/2)</f>
        <v>0</v>
      </c>
      <c r="CS46" s="180">
        <f t="array" ref="CS46">IF($BT46=0, INDEX(LS_current!$D$4:$AY$138, MATCH('Staging Table'!$A46, LS_current!$B$4:$B$138, 0), MATCH(CS$4&amp;CS$5, LS_current!$D$2:$AY$2&amp;LS_current!$D$3:$AY$3, 0)),SUM(VLOOKUP($A46, LS_current!$B$4:$AY$138, LS_current!X$148, FALSE), VLOOKUP($A46, LS_current!$B$4:$AY$138,LS_current!AV$148, FALSE))/2)</f>
        <v>0</v>
      </c>
      <c r="CT46" s="180">
        <f t="array" ref="CT46">IF($BT46=0, INDEX(LS_current!$D$4:$AY$138, MATCH('Staging Table'!$A46, LS_current!$B$4:$B$138, 0), MATCH(CT$4&amp;CT$5, LS_current!$D$2:$AY$2&amp;LS_current!$D$3:$AY$3, 0)),SUM(VLOOKUP($A46, LS_current!$B$4:$AY$138, LS_current!Y$148, FALSE), VLOOKUP($A46, LS_current!$B$4:$AY$138,LS_current!AW$148, FALSE))/2)</f>
        <v>0</v>
      </c>
      <c r="CU46" s="180">
        <f t="array" ref="CU46">IF($BT46=0, INDEX(LS_current!$D$4:$AY$138, MATCH('Staging Table'!$A46, LS_current!$B$4:$B$138, 0), MATCH(CU$4&amp;CU$5, LS_current!$D$2:$AY$2&amp;LS_current!$D$3:$AY$3, 0)),SUM(VLOOKUP($A46, LS_current!$B$4:$AY$138, LS_current!Z$148, FALSE), VLOOKUP($A46, LS_current!$B$4:$AY$138,LS_current!AX$148, FALSE))/2)</f>
        <v>0</v>
      </c>
      <c r="CV46" s="180">
        <f t="array" ref="CV46">IF($BT46=0, INDEX(LS_current!$D$4:$AY$138, MATCH('Staging Table'!$A46, LS_current!$B$4:$B$138, 0), MATCH(CV$4&amp;CV$5, LS_current!$D$2:$AY$2&amp;LS_current!$D$3:$AY$3, 0)),SUM(VLOOKUP($A46, LS_current!$B$4:$AY$138, LS_current!AA$148, FALSE), VLOOKUP($A46, LS_current!$B$4:$AY$138,LS_current!AY$148, FALSE))/2)</f>
        <v>0</v>
      </c>
      <c r="CW46" s="182">
        <f t="array" ref="CW46">INDEX(Demand_current!$D$4:$AY$138, MATCH($A46, Demand_current!$B$4:$B$138, 0), MATCH(CW$4&amp;CW$5,Demand_current!$D$2:$AY$2&amp;Demand_current!$D$3:$AY$3, 0))/1000</f>
        <v>0</v>
      </c>
      <c r="CX46" s="182">
        <f t="array" ref="CX46">INDEX(Demand_current!$D$4:$AY$138, MATCH($A46, Demand_current!$B$4:$B$138, 0), MATCH(CX$4&amp;CX$5,Demand_current!$D$2:$AY$2&amp;Demand_current!$D$3:$AY$3, 0))/1000</f>
        <v>0</v>
      </c>
      <c r="CY46" s="182">
        <f t="array" ref="CY46">INDEX(Demand_current!$D$4:$AY$138, MATCH($A46, Demand_current!$B$4:$B$138, 0), MATCH(CY$4&amp;CY$5,Demand_current!$D$2:$AY$2&amp;Demand_current!$D$3:$AY$3, 0))/1000</f>
        <v>0</v>
      </c>
      <c r="CZ46" s="182">
        <f t="array" ref="CZ46">INDEX(Demand_current!$D$4:$AY$138, MATCH($A46, Demand_current!$B$4:$B$138, 0), MATCH(CZ$4&amp;CZ$5,Demand_current!$D$2:$AY$2&amp;Demand_current!$D$3:$AY$3, 0))/1000</f>
        <v>0</v>
      </c>
      <c r="DA46" s="182">
        <f t="array" ref="DA46">INDEX(Demand_current!$D$4:$AY$138, MATCH($A46, Demand_current!$B$4:$B$138, 0), MATCH(DA$4&amp;DA$5,Demand_current!$D$2:$AY$2&amp;Demand_current!$D$3:$AY$3, 0))/1000</f>
        <v>0</v>
      </c>
      <c r="DB46" s="182">
        <f t="array" ref="DB46">INDEX(Demand_current!$D$4:$AY$138, MATCH($A46, Demand_current!$B$4:$B$138, 0), MATCH(DB$4&amp;DB$5,Demand_current!$D$2:$AY$2&amp;Demand_current!$D$3:$AY$3, 0))/1000</f>
        <v>0</v>
      </c>
      <c r="DC46" s="182">
        <f t="array" ref="DC46">INDEX(Demand_current!$D$4:$AY$138, MATCH($A46, Demand_current!$B$4:$B$138, 0), MATCH(DC$4&amp;DC$5,Demand_current!$D$2:$AY$2&amp;Demand_current!$D$3:$AY$3, 0))/1000</f>
        <v>0</v>
      </c>
      <c r="DD46" s="182">
        <f t="array" ref="DD46">INDEX(Demand_current!$D$4:$AY$138, MATCH($A46, Demand_current!$B$4:$B$138, 0), MATCH(DD$4&amp;DD$5,Demand_current!$D$2:$AY$2&amp;Demand_current!$D$3:$AY$3, 0))/1000</f>
        <v>0</v>
      </c>
      <c r="DE46" s="182">
        <f t="array" ref="DE46">INDEX(Demand_current!$D$4:$AY$138, MATCH($A46, Demand_current!$B$4:$B$138, 0), MATCH(DE$4&amp;DE$5,Demand_current!$D$2:$AY$2&amp;Demand_current!$D$3:$AY$3, 0))/1000</f>
        <v>0</v>
      </c>
      <c r="DF46" s="182">
        <f t="array" ref="DF46">INDEX(Demand_current!$D$4:$AY$138, MATCH($A46, Demand_current!$B$4:$B$138, 0), MATCH(DF$4&amp;DF$5,Demand_current!$D$2:$AY$2&amp;Demand_current!$D$3:$AY$3, 0))/1000</f>
        <v>0</v>
      </c>
      <c r="DG46" s="182">
        <f t="array" ref="DG46">INDEX(Demand_current!$D$4:$AY$138, MATCH($A46, Demand_current!$B$4:$B$138, 0), MATCH(DG$4&amp;DG$5,Demand_current!$D$2:$AY$2&amp;Demand_current!$D$3:$AY$3, 0))/1000</f>
        <v>0</v>
      </c>
      <c r="DH46" s="182">
        <f t="array" ref="DH46">INDEX(Demand_current!$D$4:$AY$138, MATCH($A46, Demand_current!$B$4:$B$138, 0), MATCH(DH$4&amp;DH$5,Demand_current!$D$2:$AY$2&amp;Demand_current!$D$3:$AY$3, 0))/1000</f>
        <v>0</v>
      </c>
      <c r="DI46" s="180">
        <f>$BS46*(VLOOKUP(DI$4, Rates_current!$G$6:$Q$29, 10, FALSE)+VLOOKUP(DI$4, Rates_current!$G$6:$Q$29, 11, FALSE))</f>
        <v>14262.509876503051</v>
      </c>
      <c r="DJ46" s="180">
        <f>$BS46*(VLOOKUP(DJ$4, Rates_current!$G$6:$Q$29, 10, FALSE)+VLOOKUP(DJ$4, Rates_current!$G$6:$Q$29, 11, FALSE))</f>
        <v>18189.403197591302</v>
      </c>
      <c r="DK46" s="180">
        <f>$BS46*(VLOOKUP(DK$4, Rates_current!$G$6:$Q$29, 10, FALSE)+VLOOKUP(DK$4, Rates_current!$G$6:$Q$29, 11, FALSE))</f>
        <v>19629.965025904501</v>
      </c>
      <c r="DL46" s="180">
        <f>$BS46*(VLOOKUP(DL$4, Rates_current!$G$6:$Q$29, 10, FALSE)+VLOOKUP(DL$4, Rates_current!$G$6:$Q$29, 11, FALSE))</f>
        <v>20398.568215540799</v>
      </c>
      <c r="DM46" s="180">
        <f>$BS46*(VLOOKUP(DM$4, Rates_current!$G$6:$Q$29, 10, FALSE)+VLOOKUP(DM$4, Rates_current!$G$6:$Q$29, 11, FALSE))</f>
        <v>17545.487620926597</v>
      </c>
      <c r="DN46" s="180">
        <f>$BS46*(VLOOKUP(DN$4, Rates_current!$G$6:$Q$29, 10, FALSE)+VLOOKUP(DN$4, Rates_current!$G$6:$Q$29, 11, FALSE))</f>
        <v>19156.1986502037</v>
      </c>
      <c r="DO46" s="180">
        <f>$BS46*(VLOOKUP(DO$4, Rates_current!$G$6:$Q$29, 10, FALSE)+VLOOKUP(DO$4, Rates_current!$G$6:$Q$29, 11, FALSE))</f>
        <v>15120.590623532473</v>
      </c>
      <c r="DP46" s="180">
        <f>$BS46*(VLOOKUP(DP$4, Rates_current!$G$6:$Q$29, 10, FALSE)+VLOOKUP(DP$4, Rates_current!$G$6:$Q$29, 11, FALSE))</f>
        <v>18759.118922174552</v>
      </c>
      <c r="DQ46" s="180">
        <f>$BS46*(VLOOKUP(DQ$4, Rates_current!$G$6:$Q$29, 10, FALSE)+VLOOKUP(DQ$4, Rates_current!$G$6:$Q$29, 11, FALSE))</f>
        <v>19166.144972176349</v>
      </c>
      <c r="DR46" s="180">
        <f>$BS46*(VLOOKUP(DR$4, Rates_current!$G$6:$Q$29, 10, FALSE)+VLOOKUP(DR$4, Rates_current!$G$6:$Q$29, 11, FALSE))</f>
        <v>16638.975071344048</v>
      </c>
      <c r="DS46" s="180">
        <f>$BS46*(VLOOKUP(DS$4, Rates_current!$G$6:$Q$29, 10, FALSE)+VLOOKUP(DS$4, Rates_current!$G$6:$Q$29, 11, FALSE))</f>
        <v>16085.466109338946</v>
      </c>
      <c r="DT46" s="180">
        <f>$BS46*(VLOOKUP(DT$4, Rates_current!$G$6:$Q$29, 10, FALSE)+VLOOKUP(DT$4, Rates_current!$G$6:$Q$29, 11, FALSE))</f>
        <v>14801.743752804601</v>
      </c>
      <c r="DU46" s="402">
        <f>IF(D46=0,IF(C46=0,MAX(0,DW46 - (VLOOKUP($A46,TOCA_current!$A$2:$AI$137,MATCH("RHWM 2024",TOCA_current!$A$2:$AI$2,0),FALSE)*$BS$2)), 0),0)</f>
        <v>0</v>
      </c>
      <c r="DV46" s="403">
        <f>MIN(VLOOKUP($A46,TOCA_current!$A$2:$AI$137,MATCH("TRL - NLSL - Existing Resource "&amp;$BS$1,TOCA_current!$A$2:$AI$2,0),FALSE)*$BS$2, VLOOKUP($A46,TOCA_current!$A$2:$AI$137,MATCH("RHWM 2024",TOCA_current!$A$2:$AI$2,0),FALSE)*$BS$2)</f>
        <v>209753.136</v>
      </c>
      <c r="DW46" s="403">
        <f>SUM(BY46:CV46)+(BS46*RT1SC!$C$4*$BS$2)</f>
        <v>209754.17299951197</v>
      </c>
      <c r="DX46" s="403">
        <f>VLOOKUP($A46,TOCA_current!$A$2:$AI$137,MATCH("Above RHWM Not Served with LS "&amp;$BS$1,TOCA_current!$A$2:$AI$2,0),FALSE)*$BS$2</f>
        <v>2204.7840000000001</v>
      </c>
      <c r="DY46" s="403">
        <f t="shared" si="13"/>
        <v>1.0369995119690429</v>
      </c>
      <c r="DZ46" s="403">
        <f>(VLOOKUP($A46,TOCA_current!$A$2:$AI$137,MATCH("RHWM 2024",TOCA_current!$A$2:$AI$2,0),FALSE)*$BS$2) - $DV46</f>
        <v>0</v>
      </c>
      <c r="EA46" s="403">
        <f t="shared" si="14"/>
        <v>0</v>
      </c>
      <c r="EB46" s="403">
        <f t="shared" si="15"/>
        <v>0</v>
      </c>
      <c r="EC46" s="403">
        <f t="shared" si="16"/>
        <v>0</v>
      </c>
      <c r="ED46" s="403">
        <f t="shared" si="17"/>
        <v>0</v>
      </c>
    </row>
    <row r="47" spans="1:134">
      <c r="A47" s="123">
        <v>10109</v>
      </c>
      <c r="B47" s="124" t="s">
        <v>48</v>
      </c>
      <c r="C47" s="232">
        <f>VLOOKUP(A47, TOCA_current!$A$3:$D$137, 4, FALSE)</f>
        <v>0</v>
      </c>
      <c r="D47" s="191">
        <v>0</v>
      </c>
      <c r="E47" s="107">
        <f>VLOOKUP($A47,TOCA_previous!$A$2:$AI$137,MATCH(E$4,TOCA_previous!$A$2:$AI$2,0),FALSE)</f>
        <v>1.7160999999999999E-3</v>
      </c>
      <c r="F47" s="108">
        <f>VLOOKUP($A47,TOCA_previous!$A$2:$AI$137,MATCH(F$4,TOCA_previous!$A$2:$AI$2,0),FALSE)</f>
        <v>1.7160999999999999E-3</v>
      </c>
      <c r="G47" s="108">
        <f t="shared" si="5"/>
        <v>0</v>
      </c>
      <c r="H47" s="108">
        <f>VLOOKUP($A47,TOCA_previous!$A$2:$AI$137,MATCH(H$4,TOCA_previous!$A$2:$AI$2,0),FALSE)</f>
        <v>8.2519999999999996E-2</v>
      </c>
      <c r="I47" s="108">
        <f t="shared" si="6"/>
        <v>0</v>
      </c>
      <c r="J47" s="108">
        <f t="shared" si="7"/>
        <v>0</v>
      </c>
      <c r="K47" s="179">
        <f>VLOOKUP(A47, IRD!$A$5:$C$139, 3, FALSE)</f>
        <v>21100.335000000003</v>
      </c>
      <c r="L47" s="180">
        <f t="array" ref="L47">IF($G47=0, INDEX(LS_previous!$D$4:$AY$138, MATCH('Staging Table'!$A47, LS_previous!$B$4:$B$138, 0), MATCH(L$4&amp;L$5, LS_previous!$D$2:$AY$2&amp;LS_previous!$D$3:$AY$3, 0)),SUM(VLOOKUP($A47, LS_previous!$B$4:$AY$138, LS_previous!D$149, FALSE), VLOOKUP('Staging Table'!$A47, LS_previous!$B$4:$AY$138,LS_previous!AB$149, FALSE))/2)</f>
        <v>-593.16117296937045</v>
      </c>
      <c r="M47" s="180">
        <f t="array" ref="M47">IF($G47=0, INDEX(LS_previous!$D$4:$AY$138, MATCH('Staging Table'!$A47, LS_previous!$B$4:$B$138, 0), MATCH(M$4&amp;M$5, LS_previous!$D$2:$AY$2&amp;LS_previous!$D$3:$AY$3, 0)),SUM(VLOOKUP($A47, LS_previous!$B$4:$AY$138, LS_previous!E$149, FALSE), VLOOKUP('Staging Table'!$A47, LS_previous!$B$4:$AY$138,LS_previous!AC$149, FALSE))/2)</f>
        <v>228.61047449798707</v>
      </c>
      <c r="N47" s="180">
        <f t="array" ref="N47">IF($G47=0, INDEX(LS_previous!$D$4:$AY$138, MATCH('Staging Table'!$A47, LS_previous!$B$4:$B$138, 0), MATCH(N$4&amp;N$5, LS_previous!$D$2:$AY$2&amp;LS_previous!$D$3:$AY$3, 0)),SUM(VLOOKUP($A47, LS_previous!$B$4:$AY$138, LS_previous!F$149, FALSE), VLOOKUP('Staging Table'!$A47, LS_previous!$B$4:$AY$138,LS_previous!AD$149, FALSE))/2)</f>
        <v>-1959.0427071902932</v>
      </c>
      <c r="O47" s="180">
        <f t="array" ref="O47">IF($G47=0, INDEX(LS_previous!$D$4:$AY$138, MATCH('Staging Table'!$A47, LS_previous!$B$4:$B$138, 0), MATCH(O$4&amp;O$5, LS_previous!$D$2:$AY$2&amp;LS_previous!$D$3:$AY$3, 0)),SUM(VLOOKUP($A47, LS_previous!$B$4:$AY$138, LS_previous!G$149, FALSE), VLOOKUP('Staging Table'!$A47, LS_previous!$B$4:$AY$138,LS_previous!AE$149, FALSE))/2)</f>
        <v>-859.16987656837773</v>
      </c>
      <c r="P47" s="180">
        <f t="array" ref="P47">IF($G47=0, INDEX(LS_previous!$D$4:$AY$138, MATCH('Staging Table'!$A47, LS_previous!$B$4:$B$138, 0), MATCH(P$4&amp;P$5, LS_previous!$D$2:$AY$2&amp;LS_previous!$D$3:$AY$3, 0)),SUM(VLOOKUP($A47, LS_previous!$B$4:$AY$138, LS_previous!H$149, FALSE), VLOOKUP('Staging Table'!$A47, LS_previous!$B$4:$AY$138,LS_previous!AF$149, FALSE))/2)</f>
        <v>-379.49300169787239</v>
      </c>
      <c r="Q47" s="180">
        <f t="array" ref="Q47">IF($G47=0, INDEX(LS_previous!$D$4:$AY$138, MATCH('Staging Table'!$A47, LS_previous!$B$4:$B$138, 0), MATCH(Q$4&amp;Q$5, LS_previous!$D$2:$AY$2&amp;LS_previous!$D$3:$AY$3, 0)),SUM(VLOOKUP($A47, LS_previous!$B$4:$AY$138, LS_previous!I$149, FALSE), VLOOKUP('Staging Table'!$A47, LS_previous!$B$4:$AY$138,LS_previous!AG$149, FALSE))/2)</f>
        <v>-21.421642561282169</v>
      </c>
      <c r="R47" s="180">
        <f t="array" ref="R47">IF($G47=0, INDEX(LS_previous!$D$4:$AY$138, MATCH('Staging Table'!$A47, LS_previous!$B$4:$B$138, 0), MATCH(R$4&amp;R$5, LS_previous!$D$2:$AY$2&amp;LS_previous!$D$3:$AY$3, 0)),SUM(VLOOKUP($A47, LS_previous!$B$4:$AY$138, LS_previous!J$149, FALSE), VLOOKUP('Staging Table'!$A47, LS_previous!$B$4:$AY$138,LS_previous!AH$149, FALSE))/2)</f>
        <v>869.61203357999057</v>
      </c>
      <c r="S47" s="180">
        <f t="array" ref="S47">IF($G47=0, INDEX(LS_previous!$D$4:$AY$138, MATCH('Staging Table'!$A47, LS_previous!$B$4:$B$138, 0), MATCH(S$4&amp;S$5, LS_previous!$D$2:$AY$2&amp;LS_previous!$D$3:$AY$3, 0)),SUM(VLOOKUP($A47, LS_previous!$B$4:$AY$138, LS_previous!K$149, FALSE), VLOOKUP('Staging Table'!$A47, LS_previous!$B$4:$AY$138,LS_previous!AI$149, FALSE))/2)</f>
        <v>247.04384995594773</v>
      </c>
      <c r="T47" s="180">
        <f t="array" ref="T47">IF($G47=0, INDEX(LS_previous!$D$4:$AY$138, MATCH('Staging Table'!$A47, LS_previous!$B$4:$B$138, 0), MATCH(T$4&amp;T$5, LS_previous!$D$2:$AY$2&amp;LS_previous!$D$3:$AY$3, 0)),SUM(VLOOKUP($A47, LS_previous!$B$4:$AY$138, LS_previous!L$149, FALSE), VLOOKUP('Staging Table'!$A47, LS_previous!$B$4:$AY$138,LS_previous!AJ$149, FALSE))/2)</f>
        <v>132.41508221412641</v>
      </c>
      <c r="U47" s="180">
        <f t="array" ref="U47">IF($G47=0, INDEX(LS_previous!$D$4:$AY$138, MATCH('Staging Table'!$A47, LS_previous!$B$4:$B$138, 0), MATCH(U$4&amp;U$5, LS_previous!$D$2:$AY$2&amp;LS_previous!$D$3:$AY$3, 0)),SUM(VLOOKUP($A47, LS_previous!$B$4:$AY$138, LS_previous!M$149, FALSE), VLOOKUP('Staging Table'!$A47, LS_previous!$B$4:$AY$138,LS_previous!AK$149, FALSE))/2)</f>
        <v>-164.27785505327847</v>
      </c>
      <c r="V47" s="180">
        <f t="array" ref="V47">IF($G47=0, INDEX(LS_previous!$D$4:$AY$138, MATCH('Staging Table'!$A47, LS_previous!$B$4:$B$138, 0), MATCH(V$4&amp;V$5, LS_previous!$D$2:$AY$2&amp;LS_previous!$D$3:$AY$3, 0)),SUM(VLOOKUP($A47, LS_previous!$B$4:$AY$138, LS_previous!N$149, FALSE), VLOOKUP('Staging Table'!$A47, LS_previous!$B$4:$AY$138,LS_previous!AL$149, FALSE))/2)</f>
        <v>-567.86833917566491</v>
      </c>
      <c r="W47" s="180">
        <f t="array" ref="W47">IF($G47=0, INDEX(LS_previous!$D$4:$AY$138, MATCH('Staging Table'!$A47, LS_previous!$B$4:$B$138, 0), MATCH(W$4&amp;W$5, LS_previous!$D$2:$AY$2&amp;LS_previous!$D$3:$AY$3, 0)),SUM(VLOOKUP($A47, LS_previous!$B$4:$AY$138, LS_previous!O$149, FALSE), VLOOKUP('Staging Table'!$A47, LS_previous!$B$4:$AY$138,LS_previous!AM$149, FALSE))/2)</f>
        <v>79.389360491436037</v>
      </c>
      <c r="X47" s="180">
        <f t="array" ref="X47">IF($G47=0, INDEX(LS_previous!$D$4:$AY$138, MATCH('Staging Table'!$A47, LS_previous!$B$4:$B$138, 0), MATCH(X$4&amp;X$5, LS_previous!$D$2:$AY$2&amp;LS_previous!$D$3:$AY$3, 0)),SUM(VLOOKUP($A47, LS_previous!$B$4:$AY$138, LS_previous!P$149, FALSE), VLOOKUP('Staging Table'!$A47, LS_previous!$B$4:$AY$138,LS_previous!AN$149, FALSE))/2)</f>
        <v>1788.194075247015</v>
      </c>
      <c r="Y47" s="180">
        <f t="array" ref="Y47">IF($G47=0, INDEX(LS_previous!$D$4:$AY$138, MATCH('Staging Table'!$A47, LS_previous!$B$4:$B$138, 0), MATCH(Y$4&amp;Y$5, LS_previous!$D$2:$AY$2&amp;LS_previous!$D$3:$AY$3, 0)),SUM(VLOOKUP($A47, LS_previous!$B$4:$AY$138, LS_previous!Q$149, FALSE), VLOOKUP('Staging Table'!$A47, LS_previous!$B$4:$AY$138,LS_previous!AO$149, FALSE))/2)</f>
        <v>1296.9689368756253</v>
      </c>
      <c r="Z47" s="180">
        <f t="array" ref="Z47">IF($G47=0, INDEX(LS_previous!$D$4:$AY$138, MATCH('Staging Table'!$A47, LS_previous!$B$4:$B$138, 0), MATCH(Z$4&amp;Z$5, LS_previous!$D$2:$AY$2&amp;LS_previous!$D$3:$AY$3, 0)),SUM(VLOOKUP($A47, LS_previous!$B$4:$AY$138, LS_previous!R$149, FALSE), VLOOKUP('Staging Table'!$A47, LS_previous!$B$4:$AY$138,LS_previous!AP$149, FALSE))/2)</f>
        <v>549.02662822636557</v>
      </c>
      <c r="AA47" s="180">
        <f t="array" ref="AA47">IF($G47=0, INDEX(LS_previous!$D$4:$AY$138, MATCH('Staging Table'!$A47, LS_previous!$B$4:$B$138, 0), MATCH(AA$4&amp;AA$5, LS_previous!$D$2:$AY$2&amp;LS_previous!$D$3:$AY$3, 0)),SUM(VLOOKUP($A47, LS_previous!$B$4:$AY$138, LS_previous!S$149, FALSE), VLOOKUP('Staging Table'!$A47, LS_previous!$B$4:$AY$138,LS_previous!AQ$149, FALSE))/2)</f>
        <v>1663.571815740946</v>
      </c>
      <c r="AB47" s="180">
        <f t="array" ref="AB47">IF($G47=0, INDEX(LS_previous!$D$4:$AY$138, MATCH('Staging Table'!$A47, LS_previous!$B$4:$B$138, 0), MATCH(AB$4&amp;AB$5, LS_previous!$D$2:$AY$2&amp;LS_previous!$D$3:$AY$3, 0)),SUM(VLOOKUP($A47, LS_previous!$B$4:$AY$138, LS_previous!T$149, FALSE), VLOOKUP('Staging Table'!$A47, LS_previous!$B$4:$AY$138,LS_previous!AR$149, FALSE))/2)</f>
        <v>154.64182813627212</v>
      </c>
      <c r="AC47" s="180">
        <f t="array" ref="AC47">IF($G47=0, INDEX(LS_previous!$D$4:$AY$138, MATCH('Staging Table'!$A47, LS_previous!$B$4:$B$138, 0), MATCH(AC$4&amp;AC$5, LS_previous!$D$2:$AY$2&amp;LS_previous!$D$3:$AY$3, 0)),SUM(VLOOKUP($A47, LS_previous!$B$4:$AY$138, LS_previous!U$149, FALSE), VLOOKUP('Staging Table'!$A47, LS_previous!$B$4:$AY$138,LS_previous!AS$149, FALSE))/2)</f>
        <v>2390.54482060186</v>
      </c>
      <c r="AD47" s="180">
        <f t="array" ref="AD47">IF($G47=0, INDEX(LS_previous!$D$4:$AY$138, MATCH('Staging Table'!$A47, LS_previous!$B$4:$B$138, 0), MATCH(AD$4&amp;AD$5, LS_previous!$D$2:$AY$2&amp;LS_previous!$D$3:$AY$3, 0)),SUM(VLOOKUP($A47, LS_previous!$B$4:$AY$138, LS_previous!V$149, FALSE), VLOOKUP('Staging Table'!$A47, LS_previous!$B$4:$AY$138,LS_previous!AT$149, FALSE))/2)</f>
        <v>855.72720996742191</v>
      </c>
      <c r="AE47" s="180">
        <f t="array" ref="AE47">IF($G47=0, INDEX(LS_previous!$D$4:$AY$138, MATCH('Staging Table'!$A47, LS_previous!$B$4:$B$138, 0), MATCH(AE$4&amp;AE$5, LS_previous!$D$2:$AY$2&amp;LS_previous!$D$3:$AY$3, 0)),SUM(VLOOKUP($A47, LS_previous!$B$4:$AY$138, LS_previous!W$149, FALSE), VLOOKUP('Staging Table'!$A47, LS_previous!$B$4:$AY$138,LS_previous!AU$149, FALSE))/2)</f>
        <v>1554.2477113653085</v>
      </c>
      <c r="AF47" s="180">
        <f t="array" ref="AF47">IF($G47=0, INDEX(LS_previous!$D$4:$AY$138, MATCH('Staging Table'!$A47, LS_previous!$B$4:$B$138, 0), MATCH(AF$4&amp;AF$5, LS_previous!$D$2:$AY$2&amp;LS_previous!$D$3:$AY$3, 0)),SUM(VLOOKUP($A47, LS_previous!$B$4:$AY$138, LS_previous!X$149, FALSE), VLOOKUP('Staging Table'!$A47, LS_previous!$B$4:$AY$138,LS_previous!AV$149, FALSE))/2)</f>
        <v>1147.5187663448687</v>
      </c>
      <c r="AG47" s="180">
        <f t="array" ref="AG47">IF($G47=0, INDEX(LS_previous!$D$4:$AY$138, MATCH('Staging Table'!$A47, LS_previous!$B$4:$B$138, 0), MATCH(AG$4&amp;AG$5, LS_previous!$D$2:$AY$2&amp;LS_previous!$D$3:$AY$3, 0)),SUM(VLOOKUP($A47, LS_previous!$B$4:$AY$138, LS_previous!Y$149, FALSE), VLOOKUP('Staging Table'!$A47, LS_previous!$B$4:$AY$138,LS_previous!AW$149, FALSE))/2)</f>
        <v>1480.5472699577085</v>
      </c>
      <c r="AH47" s="180">
        <f t="array" ref="AH47">IF($G47=0, INDEX(LS_previous!$D$4:$AY$138, MATCH('Staging Table'!$A47, LS_previous!$B$4:$B$138, 0), MATCH(AH$4&amp;AH$5, LS_previous!$D$2:$AY$2&amp;LS_previous!$D$3:$AY$3, 0)),SUM(VLOOKUP($A47, LS_previous!$B$4:$AY$138, LS_previous!Z$149, FALSE), VLOOKUP('Staging Table'!$A47, LS_previous!$B$4:$AY$138,LS_previous!AX$149, FALSE))/2)</f>
        <v>-81.932417826716119</v>
      </c>
      <c r="AI47" s="180">
        <f t="array" ref="AI47">IF($G47=0, INDEX(LS_previous!$D$4:$AY$138, MATCH('Staging Table'!$A47, LS_previous!$B$4:$B$138, 0), MATCH(AI$4&amp;AI$5, LS_previous!$D$2:$AY$2&amp;LS_previous!$D$3:$AY$3, 0)),SUM(VLOOKUP($A47, LS_previous!$B$4:$AY$138, LS_previous!AA$149, FALSE), VLOOKUP('Staging Table'!$A47, LS_previous!$B$4:$AY$138,LS_previous!AY$149, FALSE))/2)</f>
        <v>1106.0009742083776</v>
      </c>
      <c r="AJ47" s="298">
        <f t="array" ref="AJ47">INDEX(Demand_previous!$D$4:$AY$138, MATCH('Staging Table'!$A47, Demand_previous!$B$4:$B$138, 0), MATCH(AJ$4&amp;AJ$5,Demand_previous!$D$2:$AY$2&amp;Demand_previous!$D$3:$AY$3, 0))/1000</f>
        <v>4.7199062499999966</v>
      </c>
      <c r="AK47" s="298">
        <f t="array" ref="AK47">INDEX(Demand_previous!$D$4:$AY$138, MATCH('Staging Table'!$A47, Demand_previous!$B$4:$B$138, 0), MATCH(AK$4&amp;AK$5,Demand_previous!$D$2:$AY$2&amp;Demand_previous!$D$3:$AY$3, 0))/1000</f>
        <v>1.8849374999999986</v>
      </c>
      <c r="AL47" s="298">
        <f t="array" ref="AL47">INDEX(Demand_previous!$D$4:$AY$138, MATCH('Staging Table'!$A47, Demand_previous!$B$4:$B$138, 0), MATCH(AL$4&amp;AL$5,Demand_previous!$D$2:$AY$2&amp;Demand_previous!$D$3:$AY$3, 0))/1000</f>
        <v>3.7979927884615359</v>
      </c>
      <c r="AM47" s="298">
        <f t="array" ref="AM47">INDEX(Demand_previous!$D$4:$AY$138, MATCH('Staging Table'!$A47, Demand_previous!$B$4:$B$138, 0), MATCH(AM$4&amp;AM$5,Demand_previous!$D$2:$AY$2&amp;Demand_previous!$D$3:$AY$3, 0))/1000</f>
        <v>4.2160300000000017</v>
      </c>
      <c r="AN47" s="298">
        <f t="array" ref="AN47">INDEX(Demand_previous!$D$4:$AY$138, MATCH('Staging Table'!$A47, Demand_previous!$B$4:$B$138, 0), MATCH(AN$4&amp;AN$5,Demand_previous!$D$2:$AY$2&amp;Demand_previous!$D$3:$AY$3, 0))/1000</f>
        <v>3.7877864583333336</v>
      </c>
      <c r="AO47" s="298">
        <f t="array" ref="AO47">INDEX(Demand_previous!$D$4:$AY$138, MATCH('Staging Table'!$A47, Demand_previous!$B$4:$B$138, 0), MATCH(AO$4&amp;AO$5,Demand_previous!$D$2:$AY$2&amp;Demand_previous!$D$3:$AY$3, 0))/1000</f>
        <v>5.1647407407407409</v>
      </c>
      <c r="AP47" s="298">
        <f t="array" ref="AP47">INDEX(Demand_previous!$D$4:$AY$138, MATCH('Staging Table'!$A47, Demand_previous!$B$4:$B$138, 0), MATCH(AP$4&amp;AP$5,Demand_previous!$D$2:$AY$2&amp;Demand_previous!$D$3:$AY$3, 0))/1000</f>
        <v>4.2482331730769225</v>
      </c>
      <c r="AQ47" s="298">
        <f t="array" ref="AQ47">INDEX(Demand_previous!$D$4:$AY$138, MATCH('Staging Table'!$A47, Demand_previous!$B$4:$B$138, 0), MATCH(AQ$4&amp;AQ$5,Demand_previous!$D$2:$AY$2&amp;Demand_previous!$D$3:$AY$3, 0))/1000</f>
        <v>1.4319649999999995</v>
      </c>
      <c r="AR47" s="298">
        <f t="array" ref="AR47">INDEX(Demand_previous!$D$4:$AY$138, MATCH('Staging Table'!$A47, Demand_previous!$B$4:$B$138, 0), MATCH(AR$4&amp;AR$5,Demand_previous!$D$2:$AY$2&amp;Demand_previous!$D$3:$AY$3, 0))/1000</f>
        <v>3.6664663461538414</v>
      </c>
      <c r="AS47" s="298">
        <f t="array" ref="AS47">INDEX(Demand_previous!$D$4:$AY$138, MATCH('Staging Table'!$A47, Demand_previous!$B$4:$B$138, 0), MATCH(AS$4&amp;AS$5,Demand_previous!$D$2:$AY$2&amp;Demand_previous!$D$3:$AY$3, 0))/1000</f>
        <v>2.9699000000000018</v>
      </c>
      <c r="AT47" s="298">
        <f t="array" ref="AT47">INDEX(Demand_previous!$D$4:$AY$138, MATCH('Staging Table'!$A47, Demand_previous!$B$4:$B$138, 0), MATCH(AT$4&amp;AT$5,Demand_previous!$D$2:$AY$2&amp;Demand_previous!$D$3:$AY$3, 0))/1000</f>
        <v>3.6000231481481473</v>
      </c>
      <c r="AU47" s="298">
        <f t="array" ref="AU47">INDEX(Demand_previous!$D$4:$AY$138, MATCH('Staging Table'!$A47, Demand_previous!$B$4:$B$138, 0), MATCH(AU$4&amp;AU$5,Demand_previous!$D$2:$AY$2&amp;Demand_previous!$D$3:$AY$3, 0))/1000</f>
        <v>4.6264324999999999</v>
      </c>
      <c r="AV47" s="180">
        <f>$F47*(VLOOKUP(AV$4, Rates_previous!$G$6:$Q$29, 10, FALSE)+VLOOKUP(AV$4, Rates_previous!$G$6:$Q$29, 11, FALSE))</f>
        <v>7814.9896984713841</v>
      </c>
      <c r="AW47" s="180">
        <f>$F47*(VLOOKUP(AW$4, Rates_previous!$G$6:$Q$29, 10, FALSE)+VLOOKUP(AW$4, Rates_previous!$G$6:$Q$29, 11, FALSE))</f>
        <v>9894.0605837586718</v>
      </c>
      <c r="AX47" s="180">
        <f>$F47*(VLOOKUP(AX$4, Rates_previous!$G$6:$Q$29, 10, FALSE)+VLOOKUP(AX$4, Rates_previous!$G$6:$Q$29, 11, FALSE))</f>
        <v>9684.3086442591575</v>
      </c>
      <c r="AY47" s="180">
        <f>$F47*(VLOOKUP(AY$4, Rates_previous!$G$6:$Q$29, 10, FALSE)+VLOOKUP(AY$4, Rates_previous!$G$6:$Q$29, 11, FALSE))</f>
        <v>7998.8271164640619</v>
      </c>
      <c r="AZ47" s="180">
        <f>$F47*(VLOOKUP(AZ$4, Rates_previous!$G$6:$Q$29, 10, FALSE)+VLOOKUP(AZ$4, Rates_previous!$G$6:$Q$29, 11, FALSE))</f>
        <v>6932.7587728391527</v>
      </c>
      <c r="BA47" s="180">
        <f>$F47*(VLOOKUP(BA$4, Rates_previous!$G$6:$Q$29, 10, FALSE)+VLOOKUP(BA$4, Rates_previous!$G$6:$Q$29, 11, FALSE))</f>
        <v>8276.3139786842294</v>
      </c>
      <c r="BB47" s="180">
        <f>$F47*(VLOOKUP(BB$4, Rates_previous!$G$6:$Q$29, 10, FALSE)+VLOOKUP(BB$4, Rates_previous!$G$6:$Q$29, 11, FALSE))</f>
        <v>6425.4559878773589</v>
      </c>
      <c r="BC47" s="180">
        <f>$F47*(VLOOKUP(BC$4, Rates_previous!$G$6:$Q$29, 10, FALSE)+VLOOKUP(BC$4, Rates_previous!$G$6:$Q$29, 11, FALSE))</f>
        <v>8902.5165560326896</v>
      </c>
      <c r="BD47" s="180">
        <f>$F47*(VLOOKUP(BD$4, Rates_previous!$G$6:$Q$29, 10, FALSE)+VLOOKUP(BD$4, Rates_previous!$G$6:$Q$29, 11, FALSE))</f>
        <v>9512.5253512618674</v>
      </c>
      <c r="BE47" s="180">
        <f>$F47*(VLOOKUP(BE$4, Rates_previous!$G$6:$Q$29, 10, FALSE)+VLOOKUP(BE$4, Rates_previous!$G$6:$Q$29, 11, FALSE))</f>
        <v>9031.7120786672695</v>
      </c>
      <c r="BF47" s="180">
        <f>$F47*(VLOOKUP(BF$4, Rates_previous!$G$6:$Q$29, 10, FALSE)+VLOOKUP(BF$4, Rates_previous!$G$6:$Q$29, 11, FALSE))</f>
        <v>8728.4529636974221</v>
      </c>
      <c r="BG47" s="180">
        <f>$F47*(VLOOKUP(BG$4, Rates_previous!$G$6:$Q$29, 10, FALSE)+VLOOKUP(BG$4, Rates_previous!$G$6:$Q$29, 11, FALSE))</f>
        <v>8066.000443618339</v>
      </c>
      <c r="BH47" s="298">
        <f>IF($D47=0,IF(C47=0, MAX(BJ47 - (VLOOKUP($A47,TOCA_previous!$A$2:$AI$137,MATCH("RHWM 2022",TOCA_previous!$A$2:$AI$2,0),FALSE)*$F$2*TOCA_previous!C44),0),0), 0)</f>
        <v>10920.021180292402</v>
      </c>
      <c r="BI47" s="192">
        <f>MIN(VLOOKUP($A47,TOCA_previous!$A$2:$AI$137,MATCH("TRL - NLSL - Existing Resource "&amp;$F$1,TOCA_previous!$A$2:$AI$2,0),FALSE)*$F$2,(VLOOKUP($A47,TOCA_previous!$A$2:$AI$137,MATCH("RHWM 2022",TOCA_previous!$A$2:$AI$2,0),FALSE)*$F$2))</f>
        <v>101265.60000000001</v>
      </c>
      <c r="BJ47" s="402">
        <f>SUM(L47:AI47)+(F47*RT1SC!$C$3*$F$2)</f>
        <v>112185.62118029241</v>
      </c>
      <c r="BK47" s="401">
        <f>VLOOKUP($A47,TOCA_previous!$A$2:$AI$137,MATCH("Above RHWM Not Served with LS "&amp;$F$1,TOCA_previous!$A$2:$AI$2,0),FALSE)*$F$2</f>
        <v>18115.68</v>
      </c>
      <c r="BL47" s="402">
        <f t="shared" si="8"/>
        <v>10920.021180292402</v>
      </c>
      <c r="BM47" s="401">
        <f>(VLOOKUP($A47,TOCA_previous!$A$2:$AI$137,MATCH("RHWM 2022",TOCA_previous!$A$2:$AI$2,0),FALSE)*$F$2) - $BI47</f>
        <v>0</v>
      </c>
      <c r="BN47" s="402">
        <f t="shared" si="9"/>
        <v>0</v>
      </c>
      <c r="BO47" s="401">
        <f t="shared" si="10"/>
        <v>0</v>
      </c>
      <c r="BP47" s="402">
        <f t="shared" si="11"/>
        <v>0</v>
      </c>
      <c r="BQ47" s="401">
        <f t="shared" si="18"/>
        <v>0</v>
      </c>
      <c r="BR47" s="108">
        <f>VLOOKUP($A47,TOCA_current!$A$2:$AI$137,MATCH(BR$4,TOCA_current!$A$2:$AI$2,0),FALSE)</f>
        <v>1.7156000000000001E-3</v>
      </c>
      <c r="BS47" s="108">
        <f>VLOOKUP($A47,TOCA_current!$A$2:$AI$137,MATCH(BS$4,TOCA_current!$A$2:$AI$2,0),FALSE)</f>
        <v>1.7156000000000001E-3</v>
      </c>
      <c r="BT47" s="189">
        <f t="shared" si="12"/>
        <v>0</v>
      </c>
      <c r="BU47" s="108">
        <f>VLOOKUP($A47,TOCA_current!A43:BG178,MATCH(BU$4,TOCA_current!$A$2:$BG$2,0),FALSE)</f>
        <v>8.5689057600264074E-2</v>
      </c>
      <c r="BV47" s="108">
        <f t="shared" si="19"/>
        <v>0</v>
      </c>
      <c r="BW47" s="108">
        <f t="shared" si="20"/>
        <v>0</v>
      </c>
      <c r="BX47" s="179">
        <f>VLOOKUP($A47,IRD!$A$4:$G$139, 7, FALSE)</f>
        <v>21100.335000000003</v>
      </c>
      <c r="BY47" s="180">
        <f t="array" ref="BY47">IF($BT47=0, INDEX(LS_current!$D$4:$AY$138, MATCH('Staging Table'!$A47, LS_current!$B$4:$B$138, 0), MATCH(BY$4&amp;BY$5, LS_current!$D$2:$AY$2&amp;LS_current!$D$3:$AY$3, 0)),SUM(VLOOKUP($A47, LS_current!$B$4:$AY$138, LS_current!D$148, FALSE), VLOOKUP($A47, LS_current!$B$4:$AY$138,LS_current!AB$148, FALSE))/2)</f>
        <v>-229.33398816160025</v>
      </c>
      <c r="BZ47" s="180">
        <f t="array" ref="BZ47">IF($BT47=0, INDEX(LS_current!$D$4:$AY$138, MATCH('Staging Table'!$A47, LS_current!$B$4:$B$138, 0), MATCH(BZ$4&amp;BZ$5, LS_current!$D$2:$AY$2&amp;LS_current!$D$3:$AY$3, 0)),SUM(VLOOKUP($A47, LS_current!$B$4:$AY$138, LS_current!E$148, FALSE), VLOOKUP($A47, LS_current!$B$4:$AY$138,LS_current!AC$148, FALSE))/2)</f>
        <v>-40.118745067799864</v>
      </c>
      <c r="CA47" s="180">
        <f t="array" ref="CA47">IF($BT47=0, INDEX(LS_current!$D$4:$AY$138, MATCH('Staging Table'!$A47, LS_current!$B$4:$B$138, 0), MATCH(CA$4&amp;CA$5, LS_current!$D$2:$AY$2&amp;LS_current!$D$3:$AY$3, 0)),SUM(VLOOKUP($A47, LS_current!$B$4:$AY$138, LS_current!F$148, FALSE), VLOOKUP($A47, LS_current!$B$4:$AY$138,LS_current!AD$148, FALSE))/2)</f>
        <v>-1747.3294599168007</v>
      </c>
      <c r="CB47" s="180">
        <f t="array" ref="CB47">IF($BT47=0, INDEX(LS_current!$D$4:$AY$138, MATCH('Staging Table'!$A47, LS_current!$B$4:$B$138, 0), MATCH(CB$4&amp;CB$5, LS_current!$D$2:$AY$2&amp;LS_current!$D$3:$AY$3, 0)),SUM(VLOOKUP($A47, LS_current!$B$4:$AY$138, LS_current!G$148, FALSE), VLOOKUP($A47, LS_current!$B$4:$AY$138,LS_current!AE$148, FALSE))/2)</f>
        <v>-874.58637934360013</v>
      </c>
      <c r="CC47" s="180">
        <f t="array" ref="CC47">IF($BT47=0, INDEX(LS_current!$D$4:$AY$138, MATCH('Staging Table'!$A47, LS_current!$B$4:$B$138, 0), MATCH(CC$4&amp;CC$5, LS_current!$D$2:$AY$2&amp;LS_current!$D$3:$AY$3, 0)),SUM(VLOOKUP($A47, LS_current!$B$4:$AY$138, LS_current!H$148, FALSE), VLOOKUP($A47, LS_current!$B$4:$AY$138,LS_current!AF$148, FALSE))/2)</f>
        <v>-1112.8623338284006</v>
      </c>
      <c r="CD47" s="180">
        <f t="array" ref="CD47">IF($BT47=0, INDEX(LS_current!$D$4:$AY$138, MATCH('Staging Table'!$A47, LS_current!$B$4:$B$138, 0), MATCH(CD$4&amp;CD$5, LS_current!$D$2:$AY$2&amp;LS_current!$D$3:$AY$3, 0)),SUM(VLOOKUP($A47, LS_current!$B$4:$AY$138, LS_current!I$148, FALSE), VLOOKUP($A47, LS_current!$B$4:$AY$138,LS_current!AG$148, FALSE))/2)</f>
        <v>-47.451784857599705</v>
      </c>
      <c r="CE47" s="180">
        <f t="array" ref="CE47">IF($BT47=0, INDEX(LS_current!$D$4:$AY$138, MATCH('Staging Table'!$A47, LS_current!$B$4:$B$138, 0), MATCH(CE$4&amp;CE$5, LS_current!$D$2:$AY$2&amp;LS_current!$D$3:$AY$3, 0)),SUM(VLOOKUP($A47, LS_current!$B$4:$AY$138, LS_current!J$148, FALSE), VLOOKUP($A47, LS_current!$B$4:$AY$138,LS_current!AH$148, FALSE))/2)</f>
        <v>-1291.6207062539997</v>
      </c>
      <c r="CF47" s="180">
        <f t="array" ref="CF47">IF($BT47=0, INDEX(LS_current!$D$4:$AY$138, MATCH('Staging Table'!$A47, LS_current!$B$4:$B$138, 0), MATCH(CF$4&amp;CF$5, LS_current!$D$2:$AY$2&amp;LS_current!$D$3:$AY$3, 0)),SUM(VLOOKUP($A47, LS_current!$B$4:$AY$138, LS_current!K$148, FALSE), VLOOKUP($A47, LS_current!$B$4:$AY$138,LS_current!AI$148, FALSE))/2)</f>
        <v>-426.64660255240051</v>
      </c>
      <c r="CG47" s="180">
        <f t="array" ref="CG47">IF($BT47=0, INDEX(LS_current!$D$4:$AY$138, MATCH('Staging Table'!$A47, LS_current!$B$4:$B$138, 0), MATCH(CG$4&amp;CG$5, LS_current!$D$2:$AY$2&amp;LS_current!$D$3:$AY$3, 0)),SUM(VLOOKUP($A47, LS_current!$B$4:$AY$138, LS_current!L$148, FALSE), VLOOKUP($A47, LS_current!$B$4:$AY$138,LS_current!AJ$148, FALSE))/2)</f>
        <v>-1794.1909300124003</v>
      </c>
      <c r="CH47" s="180">
        <f t="array" ref="CH47">IF($BT47=0, INDEX(LS_current!$D$4:$AY$138, MATCH('Staging Table'!$A47, LS_current!$B$4:$B$138, 0), MATCH(CH$4&amp;CH$5, LS_current!$D$2:$AY$2&amp;LS_current!$D$3:$AY$3, 0)),SUM(VLOOKUP($A47, LS_current!$B$4:$AY$138, LS_current!M$148, FALSE), VLOOKUP($A47, LS_current!$B$4:$AY$138,LS_current!AK$148, FALSE))/2)</f>
        <v>-709.34180086040033</v>
      </c>
      <c r="CI47" s="180">
        <f t="array" ref="CI47">IF($BT47=0, INDEX(LS_current!$D$4:$AY$138, MATCH('Staging Table'!$A47, LS_current!$B$4:$B$138, 0), MATCH(CI$4&amp;CI$5, LS_current!$D$2:$AY$2&amp;LS_current!$D$3:$AY$3, 0)),SUM(VLOOKUP($A47, LS_current!$B$4:$AY$138, LS_current!N$148, FALSE), VLOOKUP($A47, LS_current!$B$4:$AY$138,LS_current!AL$148, FALSE))/2)</f>
        <v>-1640.2172302628005</v>
      </c>
      <c r="CJ47" s="180">
        <f t="array" ref="CJ47">IF($BT47=0, INDEX(LS_current!$D$4:$AY$138, MATCH('Staging Table'!$A47, LS_current!$B$4:$B$138, 0), MATCH(CJ$4&amp;CJ$5, LS_current!$D$2:$AY$2&amp;LS_current!$D$3:$AY$3, 0)),SUM(VLOOKUP($A47, LS_current!$B$4:$AY$138, LS_current!O$148, FALSE), VLOOKUP($A47, LS_current!$B$4:$AY$138,LS_current!AM$148, FALSE))/2)</f>
        <v>-774.58620233679994</v>
      </c>
      <c r="CK47" s="180">
        <f t="array" ref="CK47">IF($BT47=0, INDEX(LS_current!$D$4:$AY$138, MATCH('Staging Table'!$A47, LS_current!$B$4:$B$138, 0), MATCH(CK$4&amp;CK$5, LS_current!$D$2:$AY$2&amp;LS_current!$D$3:$AY$3, 0)),SUM(VLOOKUP($A47, LS_current!$B$4:$AY$138, LS_current!P$148, FALSE), VLOOKUP($A47, LS_current!$B$4:$AY$138,LS_current!AN$148, FALSE))/2)</f>
        <v>807.64421692100041</v>
      </c>
      <c r="CL47" s="180">
        <f t="array" ref="CL47">IF($BT47=0, INDEX(LS_current!$D$4:$AY$138, MATCH('Staging Table'!$A47, LS_current!$B$4:$B$138, 0), MATCH(CL$4&amp;CL$5, LS_current!$D$2:$AY$2&amp;LS_current!$D$3:$AY$3, 0)),SUM(VLOOKUP($A47, LS_current!$B$4:$AY$138, LS_current!Q$148, FALSE), VLOOKUP($A47, LS_current!$B$4:$AY$138,LS_current!AO$148, FALSE))/2)</f>
        <v>563.18578502169976</v>
      </c>
      <c r="CM47" s="180">
        <f t="array" ref="CM47">IF($BT47=0, INDEX(LS_current!$D$4:$AY$138, MATCH('Staging Table'!$A47, LS_current!$B$4:$B$138, 0), MATCH(CM$4&amp;CM$5, LS_current!$D$2:$AY$2&amp;LS_current!$D$3:$AY$3, 0)),SUM(VLOOKUP($A47, LS_current!$B$4:$AY$138, LS_current!R$148, FALSE), VLOOKUP($A47, LS_current!$B$4:$AY$138,LS_current!AP$148, FALSE))/2)</f>
        <v>460.66901557119945</v>
      </c>
      <c r="CN47" s="180">
        <f t="array" ref="CN47">IF($BT47=0, INDEX(LS_current!$D$4:$AY$138, MATCH('Staging Table'!$A47, LS_current!$B$4:$B$138, 0), MATCH(CN$4&amp;CN$5, LS_current!$D$2:$AY$2&amp;LS_current!$D$3:$AY$3, 0)),SUM(VLOOKUP($A47, LS_current!$B$4:$AY$138, LS_current!S$148, FALSE), VLOOKUP($A47, LS_current!$B$4:$AY$138,LS_current!AQ$148, FALSE))/2)</f>
        <v>652.66515167740044</v>
      </c>
      <c r="CO47" s="180">
        <f t="array" ref="CO47">IF($BT47=0, INDEX(LS_current!$D$4:$AY$138, MATCH('Staging Table'!$A47, LS_current!$B$4:$B$138, 0), MATCH(CO$4&amp;CO$5, LS_current!$D$2:$AY$2&amp;LS_current!$D$3:$AY$3, 0)),SUM(VLOOKUP($A47, LS_current!$B$4:$AY$138, LS_current!T$148, FALSE), VLOOKUP($A47, LS_current!$B$4:$AY$138,LS_current!AR$148, FALSE))/2)</f>
        <v>604.6084021543993</v>
      </c>
      <c r="CP47" s="180">
        <f t="array" ref="CP47">IF($BT47=0, INDEX(LS_current!$D$4:$AY$138, MATCH('Staging Table'!$A47, LS_current!$B$4:$B$138, 0), MATCH(CP$4&amp;CP$5, LS_current!$D$2:$AY$2&amp;LS_current!$D$3:$AY$3, 0)),SUM(VLOOKUP($A47, LS_current!$B$4:$AY$138, LS_current!U$148, FALSE), VLOOKUP($A47, LS_current!$B$4:$AY$138,LS_current!AS$148, FALSE))/2)</f>
        <v>1260.3217164997995</v>
      </c>
      <c r="CQ47" s="180">
        <f t="array" ref="CQ47">IF($BT47=0, INDEX(LS_current!$D$4:$AY$138, MATCH('Staging Table'!$A47, LS_current!$B$4:$B$138, 0), MATCH(CQ$4&amp;CQ$5, LS_current!$D$2:$AY$2&amp;LS_current!$D$3:$AY$3, 0)),SUM(VLOOKUP($A47, LS_current!$B$4:$AY$138, LS_current!V$148, FALSE), VLOOKUP($A47, LS_current!$B$4:$AY$138,LS_current!AT$148, FALSE))/2)</f>
        <v>1306.7843056816</v>
      </c>
      <c r="CR47" s="180">
        <f t="array" ref="CR47">IF($BT47=0, INDEX(LS_current!$D$4:$AY$138, MATCH('Staging Table'!$A47, LS_current!$B$4:$B$138, 0), MATCH(CR$4&amp;CR$5, LS_current!$D$2:$AY$2&amp;LS_current!$D$3:$AY$3, 0)),SUM(VLOOKUP($A47, LS_current!$B$4:$AY$138, LS_current!W$148, FALSE), VLOOKUP($A47, LS_current!$B$4:$AY$138,LS_current!AU$148, FALSE))/2)</f>
        <v>1209.0288602609999</v>
      </c>
      <c r="CS47" s="180">
        <f t="array" ref="CS47">IF($BT47=0, INDEX(LS_current!$D$4:$AY$138, MATCH('Staging Table'!$A47, LS_current!$B$4:$B$138, 0), MATCH(CS$4&amp;CS$5, LS_current!$D$2:$AY$2&amp;LS_current!$D$3:$AY$3, 0)),SUM(VLOOKUP($A47, LS_current!$B$4:$AY$138, LS_current!X$148, FALSE), VLOOKUP($A47, LS_current!$B$4:$AY$138,LS_current!AV$148, FALSE))/2)</f>
        <v>1567.4913817745992</v>
      </c>
      <c r="CT47" s="180">
        <f t="array" ref="CT47">IF($BT47=0, INDEX(LS_current!$D$4:$AY$138, MATCH('Staging Table'!$A47, LS_current!$B$4:$B$138, 0), MATCH(CT$4&amp;CT$5, LS_current!$D$2:$AY$2&amp;LS_current!$D$3:$AY$3, 0)),SUM(VLOOKUP($A47, LS_current!$B$4:$AY$138, LS_current!Y$148, FALSE), VLOOKUP($A47, LS_current!$B$4:$AY$138,LS_current!AW$148, FALSE))/2)</f>
        <v>1144.0423502093404</v>
      </c>
      <c r="CU47" s="180">
        <f t="array" ref="CU47">IF($BT47=0, INDEX(LS_current!$D$4:$AY$138, MATCH('Staging Table'!$A47, LS_current!$B$4:$B$138, 0), MATCH(CU$4&amp;CU$5, LS_current!$D$2:$AY$2&amp;LS_current!$D$3:$AY$3, 0)),SUM(VLOOKUP($A47, LS_current!$B$4:$AY$138, LS_current!Z$148, FALSE), VLOOKUP($A47, LS_current!$B$4:$AY$138,LS_current!AX$148, FALSE))/2)</f>
        <v>363.89489712560044</v>
      </c>
      <c r="CV47" s="180">
        <f t="array" ref="CV47">IF($BT47=0, INDEX(LS_current!$D$4:$AY$138, MATCH('Staging Table'!$A47, LS_current!$B$4:$B$138, 0), MATCH(CV$4&amp;CV$5, LS_current!$D$2:$AY$2&amp;LS_current!$D$3:$AY$3, 0)),SUM(VLOOKUP($A47, LS_current!$B$4:$AY$138, LS_current!AA$148, FALSE), VLOOKUP($A47, LS_current!$B$4:$AY$138,LS_current!AY$148, FALSE))/2)</f>
        <v>748.18996517760024</v>
      </c>
      <c r="CW47" s="182">
        <f t="array" ref="CW47">INDEX(Demand_current!$D$4:$AY$138, MATCH($A47, Demand_current!$B$4:$B$138, 0), MATCH(CW$4&amp;CW$5,Demand_current!$D$2:$AY$2&amp;Demand_current!$D$3:$AY$3, 0))/1000</f>
        <v>4.7199062499999984</v>
      </c>
      <c r="CX47" s="182">
        <f t="array" ref="CX47">INDEX(Demand_current!$D$4:$AY$138, MATCH($A47, Demand_current!$B$4:$B$138, 0), MATCH(CX$4&amp;CX$5,Demand_current!$D$2:$AY$2&amp;Demand_current!$D$3:$AY$3, 0))/1000</f>
        <v>1.8849374999999986</v>
      </c>
      <c r="CY47" s="182">
        <f t="array" ref="CY47">INDEX(Demand_current!$D$4:$AY$138, MATCH($A47, Demand_current!$B$4:$B$138, 0), MATCH(CY$4&amp;CY$5,Demand_current!$D$2:$AY$2&amp;Demand_current!$D$3:$AY$3, 0))/1000</f>
        <v>3.2197925000000032</v>
      </c>
      <c r="CZ47" s="182">
        <f t="array" ref="CZ47">INDEX(Demand_current!$D$4:$AY$138, MATCH($A47, Demand_current!$B$4:$B$138, 0), MATCH(CZ$4&amp;CZ$5,Demand_current!$D$2:$AY$2&amp;Demand_current!$D$3:$AY$3, 0))/1000</f>
        <v>4.8167211538461547</v>
      </c>
      <c r="DA47" s="182">
        <f t="array" ref="DA47">INDEX(Demand_current!$D$4:$AY$138, MATCH($A47, Demand_current!$B$4:$B$138, 0), MATCH(DA$4&amp;DA$5,Demand_current!$D$2:$AY$2&amp;Demand_current!$D$3:$AY$3, 0))/1000</f>
        <v>4.303795</v>
      </c>
      <c r="DB47" s="182">
        <f t="array" ref="DB47">INDEX(Demand_current!$D$4:$AY$138, MATCH($A47, Demand_current!$B$4:$B$138, 0), MATCH(DB$4&amp;DB$5,Demand_current!$D$2:$AY$2&amp;Demand_current!$D$3:$AY$3, 0))/1000</f>
        <v>4.6832307692307706</v>
      </c>
      <c r="DC47" s="182">
        <f t="array" ref="DC47">INDEX(Demand_current!$D$4:$AY$138, MATCH($A47, Demand_current!$B$4:$B$138, 0), MATCH(DC$4&amp;DC$5,Demand_current!$D$2:$AY$2&amp;Demand_current!$D$3:$AY$3, 0))/1000</f>
        <v>4.2482331730769225</v>
      </c>
      <c r="DD47" s="182">
        <f t="array" ref="DD47">INDEX(Demand_current!$D$4:$AY$138, MATCH($A47, Demand_current!$B$4:$B$138, 0), MATCH(DD$4&amp;DD$5,Demand_current!$D$2:$AY$2&amp;Demand_current!$D$3:$AY$3, 0))/1000</f>
        <v>2.1411201923076901</v>
      </c>
      <c r="DE47" s="182">
        <f t="array" ref="DE47">INDEX(Demand_current!$D$4:$AY$138, MATCH($A47, Demand_current!$B$4:$B$138, 0), MATCH(DE$4&amp;DE$5,Demand_current!$D$2:$AY$2&amp;Demand_current!$D$3:$AY$3, 0))/1000</f>
        <v>2.9166050000000023</v>
      </c>
      <c r="DF47" s="182">
        <f t="array" ref="DF47">INDEX(Demand_current!$D$4:$AY$138, MATCH($A47, Demand_current!$B$4:$B$138, 0), MATCH(DF$4&amp;DF$5,Demand_current!$D$2:$AY$2&amp;Demand_current!$D$3:$AY$3, 0))/1000</f>
        <v>3.7101346153846171</v>
      </c>
      <c r="DG47" s="182">
        <f t="array" ref="DG47">INDEX(Demand_current!$D$4:$AY$138, MATCH($A47, Demand_current!$B$4:$B$138, 0), MATCH(DG$4&amp;DG$5,Demand_current!$D$2:$AY$2&amp;Demand_current!$D$3:$AY$3, 0))/1000</f>
        <v>3.6000231481481473</v>
      </c>
      <c r="DH47" s="182">
        <f t="array" ref="DH47">INDEX(Demand_current!$D$4:$AY$138, MATCH($A47, Demand_current!$B$4:$B$138, 0), MATCH(DH$4&amp;DH$5,Demand_current!$D$2:$AY$2&amp;Demand_current!$D$3:$AY$3, 0))/1000</f>
        <v>4.0125755208333338</v>
      </c>
      <c r="DI47" s="180">
        <f>$BS47*(VLOOKUP(DI$4, Rates_current!$G$6:$Q$29, 10, FALSE)+VLOOKUP(DI$4, Rates_current!$G$6:$Q$29, 11, FALSE))</f>
        <v>7237.7797332294003</v>
      </c>
      <c r="DJ47" s="180">
        <f>$BS47*(VLOOKUP(DJ$4, Rates_current!$G$6:$Q$29, 10, FALSE)+VLOOKUP(DJ$4, Rates_current!$G$6:$Q$29, 11, FALSE))</f>
        <v>9230.5558392604016</v>
      </c>
      <c r="DK47" s="180">
        <f>$BS47*(VLOOKUP(DK$4, Rates_current!$G$6:$Q$29, 10, FALSE)+VLOOKUP(DK$4, Rates_current!$G$6:$Q$29, 11, FALSE))</f>
        <v>9961.5961186860004</v>
      </c>
      <c r="DL47" s="180">
        <f>$BS47*(VLOOKUP(DL$4, Rates_current!$G$6:$Q$29, 10, FALSE)+VLOOKUP(DL$4, Rates_current!$G$6:$Q$29, 11, FALSE))</f>
        <v>10351.638308806399</v>
      </c>
      <c r="DM47" s="180">
        <f>$BS47*(VLOOKUP(DM$4, Rates_current!$G$6:$Q$29, 10, FALSE)+VLOOKUP(DM$4, Rates_current!$G$6:$Q$29, 11, FALSE))</f>
        <v>8903.7887308727986</v>
      </c>
      <c r="DN47" s="180">
        <f>$BS47*(VLOOKUP(DN$4, Rates_current!$G$6:$Q$29, 10, FALSE)+VLOOKUP(DN$4, Rates_current!$G$6:$Q$29, 11, FALSE))</f>
        <v>9721.1744325996006</v>
      </c>
      <c r="DO47" s="180">
        <f>$BS47*(VLOOKUP(DO$4, Rates_current!$G$6:$Q$29, 10, FALSE)+VLOOKUP(DO$4, Rates_current!$G$6:$Q$29, 11, FALSE))</f>
        <v>7673.2289980572996</v>
      </c>
      <c r="DP47" s="180">
        <f>$BS47*(VLOOKUP(DP$4, Rates_current!$G$6:$Q$29, 10, FALSE)+VLOOKUP(DP$4, Rates_current!$G$6:$Q$29, 11, FALSE))</f>
        <v>9519.6688327514003</v>
      </c>
      <c r="DQ47" s="180">
        <f>$BS47*(VLOOKUP(DQ$4, Rates_current!$G$6:$Q$29, 10, FALSE)+VLOOKUP(DQ$4, Rates_current!$G$6:$Q$29, 11, FALSE))</f>
        <v>9726.2218813458003</v>
      </c>
      <c r="DR47" s="180">
        <f>$BS47*(VLOOKUP(DR$4, Rates_current!$G$6:$Q$29, 10, FALSE)+VLOOKUP(DR$4, Rates_current!$G$6:$Q$29, 11, FALSE))</f>
        <v>8443.7618340574008</v>
      </c>
      <c r="DS47" s="180">
        <f>$BS47*(VLOOKUP(DS$4, Rates_current!$G$6:$Q$29, 10, FALSE)+VLOOKUP(DS$4, Rates_current!$G$6:$Q$29, 11, FALSE))</f>
        <v>8162.873268016061</v>
      </c>
      <c r="DT47" s="180">
        <f>$BS47*(VLOOKUP(DT$4, Rates_current!$G$6:$Q$29, 10, FALSE)+VLOOKUP(DT$4, Rates_current!$G$6:$Q$29, 11, FALSE))</f>
        <v>7511.4241376968012</v>
      </c>
      <c r="DU47" s="402">
        <f>IF(D47=0,IF(C47=0,MAX(0,DW47 - (VLOOKUP($A47,TOCA_current!$A$2:$AI$137,MATCH("RHWM 2024",TOCA_current!$A$2:$AI$2,0),FALSE)*$BS$2)), 0),0)</f>
        <v>0</v>
      </c>
      <c r="DV47" s="403">
        <f>MIN(VLOOKUP($A47,TOCA_current!$A$2:$AI$137,MATCH("TRL - NLSL - Existing Resource "&amp;$BS$1,TOCA_current!$A$2:$AI$2,0),FALSE)*$BS$2, VLOOKUP($A47,TOCA_current!$A$2:$AI$137,MATCH("RHWM 2024",TOCA_current!$A$2:$AI$2,0),FALSE)*$BS$2)</f>
        <v>106444.512</v>
      </c>
      <c r="DW47" s="403">
        <f>SUM(BY47:CV47)+(BS47*RT1SC!$C$4*$BS$2)</f>
        <v>106443.95248791664</v>
      </c>
      <c r="DX47" s="403">
        <f>VLOOKUP($A47,TOCA_current!$A$2:$AI$137,MATCH("Above RHWM Not Served with LS "&amp;$BS$1,TOCA_current!$A$2:$AI$2,0),FALSE)*$BS$2</f>
        <v>23857.344000000001</v>
      </c>
      <c r="DY47" s="403">
        <f t="shared" si="13"/>
        <v>-0.55951208336045966</v>
      </c>
      <c r="DZ47" s="403">
        <f>(VLOOKUP($A47,TOCA_current!$A$2:$AI$137,MATCH("RHWM 2024",TOCA_current!$A$2:$AI$2,0),FALSE)*$BS$2) - $DV47</f>
        <v>0</v>
      </c>
      <c r="EA47" s="403">
        <f t="shared" si="14"/>
        <v>0</v>
      </c>
      <c r="EB47" s="403">
        <f t="shared" si="15"/>
        <v>0</v>
      </c>
      <c r="EC47" s="403">
        <f t="shared" si="16"/>
        <v>0</v>
      </c>
      <c r="ED47" s="403">
        <f t="shared" si="17"/>
        <v>0</v>
      </c>
    </row>
    <row r="48" spans="1:134">
      <c r="A48" s="123">
        <v>10111</v>
      </c>
      <c r="B48" s="124" t="s">
        <v>49</v>
      </c>
      <c r="C48" s="232">
        <f>VLOOKUP(A48, TOCA_current!$A$3:$D$137, 4, FALSE)</f>
        <v>0</v>
      </c>
      <c r="D48" s="191">
        <v>0</v>
      </c>
      <c r="E48" s="107">
        <f>VLOOKUP($A48,TOCA_previous!$A$2:$AI$137,MATCH(E$4,TOCA_previous!$A$2:$AI$2,0),FALSE)</f>
        <v>4.528E-4</v>
      </c>
      <c r="F48" s="108">
        <f>VLOOKUP($A48,TOCA_previous!$A$2:$AI$137,MATCH(F$4,TOCA_previous!$A$2:$AI$2,0),FALSE)</f>
        <v>4.528E-4</v>
      </c>
      <c r="G48" s="108">
        <f t="shared" si="5"/>
        <v>0</v>
      </c>
      <c r="H48" s="108">
        <f>VLOOKUP($A48,TOCA_previous!$A$2:$AI$137,MATCH(H$4,TOCA_previous!$A$2:$AI$2,0),FALSE)</f>
        <v>7.0000000000000007E-2</v>
      </c>
      <c r="I48" s="108">
        <f t="shared" si="6"/>
        <v>0</v>
      </c>
      <c r="J48" s="108">
        <f t="shared" si="7"/>
        <v>0</v>
      </c>
      <c r="K48" s="179">
        <f>VLOOKUP(A48, IRD!$A$5:$C$139, 3, FALSE)</f>
        <v>5227.6489999999994</v>
      </c>
      <c r="L48" s="180">
        <f t="array" ref="L48">IF($G48=0, INDEX(LS_previous!$D$4:$AY$138, MATCH('Staging Table'!$A48, LS_previous!$B$4:$B$138, 0), MATCH(L$4&amp;L$5, LS_previous!$D$2:$AY$2&amp;LS_previous!$D$3:$AY$3, 0)),SUM(VLOOKUP($A48, LS_previous!$B$4:$AY$138, LS_previous!D$149, FALSE), VLOOKUP('Staging Table'!$A48, LS_previous!$B$4:$AY$138,LS_previous!AB$149, FALSE))/2)</f>
        <v>-327.55483178167424</v>
      </c>
      <c r="M48" s="180">
        <f t="array" ref="M48">IF($G48=0, INDEX(LS_previous!$D$4:$AY$138, MATCH('Staging Table'!$A48, LS_previous!$B$4:$B$138, 0), MATCH(M$4&amp;M$5, LS_previous!$D$2:$AY$2&amp;LS_previous!$D$3:$AY$3, 0)),SUM(VLOOKUP($A48, LS_previous!$B$4:$AY$138, LS_previous!E$149, FALSE), VLOOKUP('Staging Table'!$A48, LS_previous!$B$4:$AY$138,LS_previous!AC$149, FALSE))/2)</f>
        <v>-35.097145939812094</v>
      </c>
      <c r="N48" s="180">
        <f t="array" ref="N48">IF($G48=0, INDEX(LS_previous!$D$4:$AY$138, MATCH('Staging Table'!$A48, LS_previous!$B$4:$B$138, 0), MATCH(N$4&amp;N$5, LS_previous!$D$2:$AY$2&amp;LS_previous!$D$3:$AY$3, 0)),SUM(VLOOKUP($A48, LS_previous!$B$4:$AY$138, LS_previous!F$149, FALSE), VLOOKUP('Staging Table'!$A48, LS_previous!$B$4:$AY$138,LS_previous!AD$149, FALSE))/2)</f>
        <v>-487.75057322753059</v>
      </c>
      <c r="O48" s="180">
        <f t="array" ref="O48">IF($G48=0, INDEX(LS_previous!$D$4:$AY$138, MATCH('Staging Table'!$A48, LS_previous!$B$4:$B$138, 0), MATCH(O$4&amp;O$5, LS_previous!$D$2:$AY$2&amp;LS_previous!$D$3:$AY$3, 0)),SUM(VLOOKUP($A48, LS_previous!$B$4:$AY$138, LS_previous!G$149, FALSE), VLOOKUP('Staging Table'!$A48, LS_previous!$B$4:$AY$138,LS_previous!AE$149, FALSE))/2)</f>
        <v>-171.26875631382882</v>
      </c>
      <c r="P48" s="180">
        <f t="array" ref="P48">IF($G48=0, INDEX(LS_previous!$D$4:$AY$138, MATCH('Staging Table'!$A48, LS_previous!$B$4:$B$138, 0), MATCH(P$4&amp;P$5, LS_previous!$D$2:$AY$2&amp;LS_previous!$D$3:$AY$3, 0)),SUM(VLOOKUP($A48, LS_previous!$B$4:$AY$138, LS_previous!H$149, FALSE), VLOOKUP('Staging Table'!$A48, LS_previous!$B$4:$AY$138,LS_previous!AF$149, FALSE))/2)</f>
        <v>114.90842528477538</v>
      </c>
      <c r="Q48" s="180">
        <f t="array" ref="Q48">IF($G48=0, INDEX(LS_previous!$D$4:$AY$138, MATCH('Staging Table'!$A48, LS_previous!$B$4:$B$138, 0), MATCH(Q$4&amp;Q$5, LS_previous!$D$2:$AY$2&amp;LS_previous!$D$3:$AY$3, 0)),SUM(VLOOKUP($A48, LS_previous!$B$4:$AY$138, LS_previous!I$149, FALSE), VLOOKUP('Staging Table'!$A48, LS_previous!$B$4:$AY$138,LS_previous!AG$149, FALSE))/2)</f>
        <v>205.67715182579764</v>
      </c>
      <c r="R48" s="180">
        <f t="array" ref="R48">IF($G48=0, INDEX(LS_previous!$D$4:$AY$138, MATCH('Staging Table'!$A48, LS_previous!$B$4:$B$138, 0), MATCH(R$4&amp;R$5, LS_previous!$D$2:$AY$2&amp;LS_previous!$D$3:$AY$3, 0)),SUM(VLOOKUP($A48, LS_previous!$B$4:$AY$138, LS_previous!J$149, FALSE), VLOOKUP('Staging Table'!$A48, LS_previous!$B$4:$AY$138,LS_previous!AH$149, FALSE))/2)</f>
        <v>368.41870042830806</v>
      </c>
      <c r="S48" s="180">
        <f t="array" ref="S48">IF($G48=0, INDEX(LS_previous!$D$4:$AY$138, MATCH('Staging Table'!$A48, LS_previous!$B$4:$B$138, 0), MATCH(S$4&amp;S$5, LS_previous!$D$2:$AY$2&amp;LS_previous!$D$3:$AY$3, 0)),SUM(VLOOKUP($A48, LS_previous!$B$4:$AY$138, LS_previous!K$149, FALSE), VLOOKUP('Staging Table'!$A48, LS_previous!$B$4:$AY$138,LS_previous!AI$149, FALSE))/2)</f>
        <v>264.03406763012242</v>
      </c>
      <c r="T48" s="180">
        <f t="array" ref="T48">IF($G48=0, INDEX(LS_previous!$D$4:$AY$138, MATCH('Staging Table'!$A48, LS_previous!$B$4:$B$138, 0), MATCH(T$4&amp;T$5, LS_previous!$D$2:$AY$2&amp;LS_previous!$D$3:$AY$3, 0)),SUM(VLOOKUP($A48, LS_previous!$B$4:$AY$138, LS_previous!L$149, FALSE), VLOOKUP('Staging Table'!$A48, LS_previous!$B$4:$AY$138,LS_previous!AJ$149, FALSE))/2)</f>
        <v>111.3617129109939</v>
      </c>
      <c r="U48" s="180">
        <f t="array" ref="U48">IF($G48=0, INDEX(LS_previous!$D$4:$AY$138, MATCH('Staging Table'!$A48, LS_previous!$B$4:$B$138, 0), MATCH(U$4&amp;U$5, LS_previous!$D$2:$AY$2&amp;LS_previous!$D$3:$AY$3, 0)),SUM(VLOOKUP($A48, LS_previous!$B$4:$AY$138, LS_previous!M$149, FALSE), VLOOKUP('Staging Table'!$A48, LS_previous!$B$4:$AY$138,LS_previous!AK$149, FALSE))/2)</f>
        <v>61.320545441335184</v>
      </c>
      <c r="V48" s="180">
        <f t="array" ref="V48">IF($G48=0, INDEX(LS_previous!$D$4:$AY$138, MATCH('Staging Table'!$A48, LS_previous!$B$4:$B$138, 0), MATCH(V$4&amp;V$5, LS_previous!$D$2:$AY$2&amp;LS_previous!$D$3:$AY$3, 0)),SUM(VLOOKUP($A48, LS_previous!$B$4:$AY$138, LS_previous!N$149, FALSE), VLOOKUP('Staging Table'!$A48, LS_previous!$B$4:$AY$138,LS_previous!AL$149, FALSE))/2)</f>
        <v>-153.54781299384695</v>
      </c>
      <c r="W48" s="180">
        <f t="array" ref="W48">IF($G48=0, INDEX(LS_previous!$D$4:$AY$138, MATCH('Staging Table'!$A48, LS_previous!$B$4:$B$138, 0), MATCH(W$4&amp;W$5, LS_previous!$D$2:$AY$2&amp;LS_previous!$D$3:$AY$3, 0)),SUM(VLOOKUP($A48, LS_previous!$B$4:$AY$138, LS_previous!O$149, FALSE), VLOOKUP('Staging Table'!$A48, LS_previous!$B$4:$AY$138,LS_previous!AM$149, FALSE))/2)</f>
        <v>63.511538156588813</v>
      </c>
      <c r="X48" s="180">
        <f t="array" ref="X48">IF($G48=0, INDEX(LS_previous!$D$4:$AY$138, MATCH('Staging Table'!$A48, LS_previous!$B$4:$B$138, 0), MATCH(X$4&amp;X$5, LS_previous!$D$2:$AY$2&amp;LS_previous!$D$3:$AY$3, 0)),SUM(VLOOKUP($A48, LS_previous!$B$4:$AY$138, LS_previous!P$149, FALSE), VLOOKUP('Staging Table'!$A48, LS_previous!$B$4:$AY$138,LS_previous!AN$149, FALSE))/2)</f>
        <v>147.30038719879281</v>
      </c>
      <c r="Y48" s="180">
        <f t="array" ref="Y48">IF($G48=0, INDEX(LS_previous!$D$4:$AY$138, MATCH('Staging Table'!$A48, LS_previous!$B$4:$B$138, 0), MATCH(Y$4&amp;Y$5, LS_previous!$D$2:$AY$2&amp;LS_previous!$D$3:$AY$3, 0)),SUM(VLOOKUP($A48, LS_previous!$B$4:$AY$138, LS_previous!Q$149, FALSE), VLOOKUP('Staging Table'!$A48, LS_previous!$B$4:$AY$138,LS_previous!AO$149, FALSE))/2)</f>
        <v>145.42478469627838</v>
      </c>
      <c r="Z48" s="180">
        <f t="array" ref="Z48">IF($G48=0, INDEX(LS_previous!$D$4:$AY$138, MATCH('Staging Table'!$A48, LS_previous!$B$4:$B$138, 0), MATCH(Z$4&amp;Z$5, LS_previous!$D$2:$AY$2&amp;LS_previous!$D$3:$AY$3, 0)),SUM(VLOOKUP($A48, LS_previous!$B$4:$AY$138, LS_previous!R$149, FALSE), VLOOKUP('Staging Table'!$A48, LS_previous!$B$4:$AY$138,LS_previous!AP$149, FALSE))/2)</f>
        <v>-338.55234044583767</v>
      </c>
      <c r="AA48" s="180">
        <f t="array" ref="AA48">IF($G48=0, INDEX(LS_previous!$D$4:$AY$138, MATCH('Staging Table'!$A48, LS_previous!$B$4:$B$138, 0), MATCH(AA$4&amp;AA$5, LS_previous!$D$2:$AY$2&amp;LS_previous!$D$3:$AY$3, 0)),SUM(VLOOKUP($A48, LS_previous!$B$4:$AY$138, LS_previous!S$149, FALSE), VLOOKUP('Staging Table'!$A48, LS_previous!$B$4:$AY$138,LS_previous!AQ$149, FALSE))/2)</f>
        <v>106.55495581114155</v>
      </c>
      <c r="AB48" s="180">
        <f t="array" ref="AB48">IF($G48=0, INDEX(LS_previous!$D$4:$AY$138, MATCH('Staging Table'!$A48, LS_previous!$B$4:$B$138, 0), MATCH(AB$4&amp;AB$5, LS_previous!$D$2:$AY$2&amp;LS_previous!$D$3:$AY$3, 0)),SUM(VLOOKUP($A48, LS_previous!$B$4:$AY$138, LS_previous!T$149, FALSE), VLOOKUP('Staging Table'!$A48, LS_previous!$B$4:$AY$138,LS_previous!AR$149, FALSE))/2)</f>
        <v>-438.52302297062897</v>
      </c>
      <c r="AC48" s="180">
        <f t="array" ref="AC48">IF($G48=0, INDEX(LS_previous!$D$4:$AY$138, MATCH('Staging Table'!$A48, LS_previous!$B$4:$B$138, 0), MATCH(AC$4&amp;AC$5, LS_previous!$D$2:$AY$2&amp;LS_previous!$D$3:$AY$3, 0)),SUM(VLOOKUP($A48, LS_previous!$B$4:$AY$138, LS_previous!U$149, FALSE), VLOOKUP('Staging Table'!$A48, LS_previous!$B$4:$AY$138,LS_previous!AS$149, FALSE))/2)</f>
        <v>241.76332414691592</v>
      </c>
      <c r="AD48" s="180">
        <f t="array" ref="AD48">IF($G48=0, INDEX(LS_previous!$D$4:$AY$138, MATCH('Staging Table'!$A48, LS_previous!$B$4:$B$138, 0), MATCH(AD$4&amp;AD$5, LS_previous!$D$2:$AY$2&amp;LS_previous!$D$3:$AY$3, 0)),SUM(VLOOKUP($A48, LS_previous!$B$4:$AY$138, LS_previous!V$149, FALSE), VLOOKUP('Staging Table'!$A48, LS_previous!$B$4:$AY$138,LS_previous!AT$149, FALSE))/2)</f>
        <v>96.911360394643907</v>
      </c>
      <c r="AE48" s="180">
        <f t="array" ref="AE48">IF($G48=0, INDEX(LS_previous!$D$4:$AY$138, MATCH('Staging Table'!$A48, LS_previous!$B$4:$B$138, 0), MATCH(AE$4&amp;AE$5, LS_previous!$D$2:$AY$2&amp;LS_previous!$D$3:$AY$3, 0)),SUM(VLOOKUP($A48, LS_previous!$B$4:$AY$138, LS_previous!W$149, FALSE), VLOOKUP('Staging Table'!$A48, LS_previous!$B$4:$AY$138,LS_previous!AU$149, FALSE))/2)</f>
        <v>360.90748820360795</v>
      </c>
      <c r="AF48" s="180">
        <f t="array" ref="AF48">IF($G48=0, INDEX(LS_previous!$D$4:$AY$138, MATCH('Staging Table'!$A48, LS_previous!$B$4:$B$138, 0), MATCH(AF$4&amp;AF$5, LS_previous!$D$2:$AY$2&amp;LS_previous!$D$3:$AY$3, 0)),SUM(VLOOKUP($A48, LS_previous!$B$4:$AY$138, LS_previous!X$149, FALSE), VLOOKUP('Staging Table'!$A48, LS_previous!$B$4:$AY$138,LS_previous!AV$149, FALSE))/2)</f>
        <v>138.69465520713061</v>
      </c>
      <c r="AG48" s="180">
        <f t="array" ref="AG48">IF($G48=0, INDEX(LS_previous!$D$4:$AY$138, MATCH('Staging Table'!$A48, LS_previous!$B$4:$B$138, 0), MATCH(AG$4&amp;AG$5, LS_previous!$D$2:$AY$2&amp;LS_previous!$D$3:$AY$3, 0)),SUM(VLOOKUP($A48, LS_previous!$B$4:$AY$138, LS_previous!Y$149, FALSE), VLOOKUP('Staging Table'!$A48, LS_previous!$B$4:$AY$138,LS_previous!AW$149, FALSE))/2)</f>
        <v>303.73635052552333</v>
      </c>
      <c r="AH48" s="180">
        <f t="array" ref="AH48">IF($G48=0, INDEX(LS_previous!$D$4:$AY$138, MATCH('Staging Table'!$A48, LS_previous!$B$4:$B$138, 0), MATCH(AH$4&amp;AH$5, LS_previous!$D$2:$AY$2&amp;LS_previous!$D$3:$AY$3, 0)),SUM(VLOOKUP($A48, LS_previous!$B$4:$AY$138, LS_previous!Z$149, FALSE), VLOOKUP('Staging Table'!$A48, LS_previous!$B$4:$AY$138,LS_previous!AX$149, FALSE))/2)</f>
        <v>-146.63936518381047</v>
      </c>
      <c r="AI48" s="180">
        <f t="array" ref="AI48">IF($G48=0, INDEX(LS_previous!$D$4:$AY$138, MATCH('Staging Table'!$A48, LS_previous!$B$4:$B$138, 0), MATCH(AI$4&amp;AI$5, LS_previous!$D$2:$AY$2&amp;LS_previous!$D$3:$AY$3, 0)),SUM(VLOOKUP($A48, LS_previous!$B$4:$AY$138, LS_previous!AA$149, FALSE), VLOOKUP('Staging Table'!$A48, LS_previous!$B$4:$AY$138,LS_previous!AY$149, FALSE))/2)</f>
        <v>202.85617628433852</v>
      </c>
      <c r="AJ48" s="298">
        <f t="array" ref="AJ48">INDEX(Demand_previous!$D$4:$AY$138, MATCH('Staging Table'!$A48, Demand_previous!$B$4:$B$138, 0), MATCH(AJ$4&amp;AJ$5,Demand_previous!$D$2:$AY$2&amp;Demand_previous!$D$3:$AY$3, 0))/1000</f>
        <v>0.56322355769230781</v>
      </c>
      <c r="AK48" s="298">
        <f t="array" ref="AK48">INDEX(Demand_previous!$D$4:$AY$138, MATCH('Staging Table'!$A48, Demand_previous!$B$4:$B$138, 0), MATCH(AK$4&amp;AK$5,Demand_previous!$D$2:$AY$2&amp;Demand_previous!$D$3:$AY$3, 0))/1000</f>
        <v>7.9422499999999951E-2</v>
      </c>
      <c r="AL48" s="298">
        <f t="array" ref="AL48">INDEX(Demand_previous!$D$4:$AY$138, MATCH('Staging Table'!$A48, Demand_previous!$B$4:$B$138, 0), MATCH(AL$4&amp;AL$5,Demand_previous!$D$2:$AY$2&amp;Demand_previous!$D$3:$AY$3, 0))/1000</f>
        <v>0.8987163461538461</v>
      </c>
      <c r="AM48" s="298">
        <f t="array" ref="AM48">INDEX(Demand_previous!$D$4:$AY$138, MATCH('Staging Table'!$A48, Demand_previous!$B$4:$B$138, 0), MATCH(AM$4&amp;AM$5,Demand_previous!$D$2:$AY$2&amp;Demand_previous!$D$3:$AY$3, 0))/1000</f>
        <v>0.91536500000000021</v>
      </c>
      <c r="AN48" s="298">
        <f t="array" ref="AN48">INDEX(Demand_previous!$D$4:$AY$138, MATCH('Staging Table'!$A48, Demand_previous!$B$4:$B$138, 0), MATCH(AN$4&amp;AN$5,Demand_previous!$D$2:$AY$2&amp;Demand_previous!$D$3:$AY$3, 0))/1000</f>
        <v>0</v>
      </c>
      <c r="AO48" s="298">
        <f t="array" ref="AO48">INDEX(Demand_previous!$D$4:$AY$138, MATCH('Staging Table'!$A48, Demand_previous!$B$4:$B$138, 0), MATCH(AO$4&amp;AO$5,Demand_previous!$D$2:$AY$2&amp;Demand_previous!$D$3:$AY$3, 0))/1000</f>
        <v>0.93298842592592557</v>
      </c>
      <c r="AP48" s="298">
        <f t="array" ref="AP48">INDEX(Demand_previous!$D$4:$AY$138, MATCH('Staging Table'!$A48, Demand_previous!$B$4:$B$138, 0), MATCH(AP$4&amp;AP$5,Demand_previous!$D$2:$AY$2&amp;Demand_previous!$D$3:$AY$3, 0))/1000</f>
        <v>0.46549038461538461</v>
      </c>
      <c r="AQ48" s="298">
        <f t="array" ref="AQ48">INDEX(Demand_previous!$D$4:$AY$138, MATCH('Staging Table'!$A48, Demand_previous!$B$4:$B$138, 0), MATCH(AQ$4&amp;AQ$5,Demand_previous!$D$2:$AY$2&amp;Demand_previous!$D$3:$AY$3, 0))/1000</f>
        <v>4.7237499999999266E-2</v>
      </c>
      <c r="AR48" s="298">
        <f t="array" ref="AR48">INDEX(Demand_previous!$D$4:$AY$138, MATCH('Staging Table'!$A48, Demand_previous!$B$4:$B$138, 0), MATCH(AR$4&amp;AR$5,Demand_previous!$D$2:$AY$2&amp;Demand_previous!$D$3:$AY$3, 0))/1000</f>
        <v>0.63652644230769218</v>
      </c>
      <c r="AS48" s="298">
        <f t="array" ref="AS48">INDEX(Demand_previous!$D$4:$AY$138, MATCH('Staging Table'!$A48, Demand_previous!$B$4:$B$138, 0), MATCH(AS$4&amp;AS$5,Demand_previous!$D$2:$AY$2&amp;Demand_previous!$D$3:$AY$3, 0))/1000</f>
        <v>0.47167749999999986</v>
      </c>
      <c r="AT48" s="298">
        <f t="array" ref="AT48">INDEX(Demand_previous!$D$4:$AY$138, MATCH('Staging Table'!$A48, Demand_previous!$B$4:$B$138, 0), MATCH(AT$4&amp;AT$5,Demand_previous!$D$2:$AY$2&amp;Demand_previous!$D$3:$AY$3, 0))/1000</f>
        <v>0.70776851851851807</v>
      </c>
      <c r="AU48" s="298">
        <f t="array" ref="AU48">INDEX(Demand_previous!$D$4:$AY$138, MATCH('Staging Table'!$A48, Demand_previous!$B$4:$B$138, 0), MATCH(AU$4&amp;AU$5,Demand_previous!$D$2:$AY$2&amp;Demand_previous!$D$3:$AY$3, 0))/1000</f>
        <v>0.71395500000000012</v>
      </c>
      <c r="AV48" s="180">
        <f>$F48*(VLOOKUP(AV$4, Rates_previous!$G$6:$Q$29, 10, FALSE)+VLOOKUP(AV$4, Rates_previous!$G$6:$Q$29, 11, FALSE))</f>
        <v>2062.0169777214865</v>
      </c>
      <c r="AW48" s="180">
        <f>$F48*(VLOOKUP(AW$4, Rates_previous!$G$6:$Q$29, 10, FALSE)+VLOOKUP(AW$4, Rates_previous!$G$6:$Q$29, 11, FALSE))</f>
        <v>2610.5883295413596</v>
      </c>
      <c r="AX48" s="180">
        <f>$F48*(VLOOKUP(AX$4, Rates_previous!$G$6:$Q$29, 10, FALSE)+VLOOKUP(AX$4, Rates_previous!$G$6:$Q$29, 11, FALSE))</f>
        <v>2555.2444228894274</v>
      </c>
      <c r="AY48" s="180">
        <f>$F48*(VLOOKUP(AY$4, Rates_previous!$G$6:$Q$29, 10, FALSE)+VLOOKUP(AY$4, Rates_previous!$G$6:$Q$29, 11, FALSE))</f>
        <v>2110.5232319415695</v>
      </c>
      <c r="AZ48" s="180">
        <f>$F48*(VLOOKUP(AZ$4, Rates_previous!$G$6:$Q$29, 10, FALSE)+VLOOKUP(AZ$4, Rates_previous!$G$6:$Q$29, 11, FALSE))</f>
        <v>1829.2367416476711</v>
      </c>
      <c r="BA48" s="180">
        <f>$F48*(VLOOKUP(BA$4, Rates_previous!$G$6:$Q$29, 10, FALSE)+VLOOKUP(BA$4, Rates_previous!$G$6:$Q$29, 11, FALSE))</f>
        <v>2183.7392748372586</v>
      </c>
      <c r="BB48" s="180">
        <f>$F48*(VLOOKUP(BB$4, Rates_previous!$G$6:$Q$29, 10, FALSE)+VLOOKUP(BB$4, Rates_previous!$G$6:$Q$29, 11, FALSE))</f>
        <v>1695.3828281049289</v>
      </c>
      <c r="BC48" s="180">
        <f>$F48*(VLOOKUP(BC$4, Rates_previous!$G$6:$Q$29, 10, FALSE)+VLOOKUP(BC$4, Rates_previous!$G$6:$Q$29, 11, FALSE))</f>
        <v>2348.965384634696</v>
      </c>
      <c r="BD48" s="180">
        <f>$F48*(VLOOKUP(BD$4, Rates_previous!$G$6:$Q$29, 10, FALSE)+VLOOKUP(BD$4, Rates_previous!$G$6:$Q$29, 11, FALSE))</f>
        <v>2509.9186988237129</v>
      </c>
      <c r="BE48" s="180">
        <f>$F48*(VLOOKUP(BE$4, Rates_previous!$G$6:$Q$29, 10, FALSE)+VLOOKUP(BE$4, Rates_previous!$G$6:$Q$29, 11, FALSE))</f>
        <v>2383.0541514017482</v>
      </c>
      <c r="BF48" s="180">
        <f>$F48*(VLOOKUP(BF$4, Rates_previous!$G$6:$Q$29, 10, FALSE)+VLOOKUP(BF$4, Rates_previous!$G$6:$Q$29, 11, FALSE))</f>
        <v>2303.0379942673462</v>
      </c>
      <c r="BG48" s="180">
        <f>$F48*(VLOOKUP(BG$4, Rates_previous!$G$6:$Q$29, 10, FALSE)+VLOOKUP(BG$4, Rates_previous!$G$6:$Q$29, 11, FALSE))</f>
        <v>2128.2471888994719</v>
      </c>
      <c r="BH48" s="298">
        <f>IF($D48=0,IF(C48=0, MAX(BJ48 - (VLOOKUP($A48,TOCA_previous!$A$2:$AI$137,MATCH("RHWM 2022",TOCA_previous!$A$2:$AI$2,0),FALSE)*$F$2*TOCA_previous!C45),0),0), 0)</f>
        <v>521.04436684132816</v>
      </c>
      <c r="BI48" s="192">
        <f>MIN(VLOOKUP($A48,TOCA_previous!$A$2:$AI$137,MATCH("TRL - NLSL - Existing Resource "&amp;$F$1,TOCA_previous!$A$2:$AI$2,0),FALSE)*$F$2,(VLOOKUP($A48,TOCA_previous!$A$2:$AI$137,MATCH("RHWM 2022",TOCA_previous!$A$2:$AI$2,0),FALSE)*$F$2))</f>
        <v>26718</v>
      </c>
      <c r="BJ48" s="402">
        <f>SUM(L48:AI48)+(F48*RT1SC!$C$3*$F$2)</f>
        <v>27554.404366841325</v>
      </c>
      <c r="BK48" s="401">
        <f>VLOOKUP($A48,TOCA_previous!$A$2:$AI$137,MATCH("Above RHWM Not Served with LS "&amp;$F$1,TOCA_previous!$A$2:$AI$2,0),FALSE)*$F$2</f>
        <v>0</v>
      </c>
      <c r="BL48" s="402">
        <f t="shared" si="8"/>
        <v>836.4043668413251</v>
      </c>
      <c r="BM48" s="401">
        <f>(VLOOKUP($A48,TOCA_previous!$A$2:$AI$137,MATCH("RHWM 2022",TOCA_previous!$A$2:$AI$2,0),FALSE)*$F$2) - $BI48</f>
        <v>315.35999999999694</v>
      </c>
      <c r="BN48" s="402">
        <f t="shared" si="9"/>
        <v>-315.35999999999694</v>
      </c>
      <c r="BO48" s="401">
        <f t="shared" si="10"/>
        <v>0</v>
      </c>
      <c r="BP48" s="402">
        <f t="shared" si="11"/>
        <v>0</v>
      </c>
      <c r="BQ48" s="401">
        <f t="shared" si="18"/>
        <v>-315.35999999999694</v>
      </c>
      <c r="BR48" s="108">
        <f>VLOOKUP($A48,TOCA_current!$A$2:$AI$137,MATCH(BR$4,TOCA_current!$A$2:$AI$2,0),FALSE)</f>
        <v>4.4410000000000001E-4</v>
      </c>
      <c r="BS48" s="108">
        <f>VLOOKUP($A48,TOCA_current!$A$2:$AI$137,MATCH(BS$4,TOCA_current!$A$2:$AI$2,0),FALSE)</f>
        <v>4.4410000000000001E-4</v>
      </c>
      <c r="BT48" s="189">
        <f t="shared" si="12"/>
        <v>0</v>
      </c>
      <c r="BU48" s="108">
        <f>VLOOKUP($A48,TOCA_current!A44:BG179,MATCH(BU$4,TOCA_current!$A$2:$BG$2,0),FALSE)</f>
        <v>7.0000000000000007E-2</v>
      </c>
      <c r="BV48" s="108">
        <f t="shared" si="19"/>
        <v>0</v>
      </c>
      <c r="BW48" s="108">
        <f t="shared" si="20"/>
        <v>0</v>
      </c>
      <c r="BX48" s="179">
        <f>VLOOKUP($A48,IRD!$A$4:$G$139, 7, FALSE)</f>
        <v>5227.6489999999994</v>
      </c>
      <c r="BY48" s="180">
        <f t="array" ref="BY48">IF($BT48=0, INDEX(LS_current!$D$4:$AY$138, MATCH('Staging Table'!$A48, LS_current!$B$4:$B$138, 0), MATCH(BY$4&amp;BY$5, LS_current!$D$2:$AY$2&amp;LS_current!$D$3:$AY$3, 0)),SUM(VLOOKUP($A48, LS_current!$B$4:$AY$138, LS_current!D$148, FALSE), VLOOKUP($A48, LS_current!$B$4:$AY$138,LS_current!AB$148, FALSE))/2)</f>
        <v>-138.5613963876001</v>
      </c>
      <c r="BZ48" s="180">
        <f t="array" ref="BZ48">IF($BT48=0, INDEX(LS_current!$D$4:$AY$138, MATCH('Staging Table'!$A48, LS_current!$B$4:$B$138, 0), MATCH(BZ$4&amp;BZ$5, LS_current!$D$2:$AY$2&amp;LS_current!$D$3:$AY$3, 0)),SUM(VLOOKUP($A48, LS_current!$B$4:$AY$138, LS_current!E$148, FALSE), VLOOKUP($A48, LS_current!$B$4:$AY$138,LS_current!AC$148, FALSE))/2)</f>
        <v>-35.644354094550067</v>
      </c>
      <c r="CA48" s="180">
        <f t="array" ref="CA48">IF($BT48=0, INDEX(LS_current!$D$4:$AY$138, MATCH('Staging Table'!$A48, LS_current!$B$4:$B$138, 0), MATCH(CA$4&amp;CA$5, LS_current!$D$2:$AY$2&amp;LS_current!$D$3:$AY$3, 0)),SUM(VLOOKUP($A48, LS_current!$B$4:$AY$138, LS_current!F$148, FALSE), VLOOKUP($A48, LS_current!$B$4:$AY$138,LS_current!AD$148, FALSE))/2)</f>
        <v>-335.52782236480016</v>
      </c>
      <c r="CB48" s="180">
        <f t="array" ref="CB48">IF($BT48=0, INDEX(LS_current!$D$4:$AY$138, MATCH('Staging Table'!$A48, LS_current!$B$4:$B$138, 0), MATCH(CB$4&amp;CB$5, LS_current!$D$2:$AY$2&amp;LS_current!$D$3:$AY$3, 0)),SUM(VLOOKUP($A48, LS_current!$B$4:$AY$138, LS_current!G$148, FALSE), VLOOKUP($A48, LS_current!$B$4:$AY$138,LS_current!AE$148, FALSE))/2)</f>
        <v>-102.32370002710002</v>
      </c>
      <c r="CC48" s="180">
        <f t="array" ref="CC48">IF($BT48=0, INDEX(LS_current!$D$4:$AY$138, MATCH('Staging Table'!$A48, LS_current!$B$4:$B$138, 0), MATCH(CC$4&amp;CC$5, LS_current!$D$2:$AY$2&amp;LS_current!$D$3:$AY$3, 0)),SUM(VLOOKUP($A48, LS_current!$B$4:$AY$138, LS_current!H$148, FALSE), VLOOKUP($A48, LS_current!$B$4:$AY$138,LS_current!AF$148, FALSE))/2)</f>
        <v>11.230283310100049</v>
      </c>
      <c r="CD48" s="180">
        <f t="array" ref="CD48">IF($BT48=0, INDEX(LS_current!$D$4:$AY$138, MATCH('Staging Table'!$A48, LS_current!$B$4:$B$138, 0), MATCH(CD$4&amp;CD$5, LS_current!$D$2:$AY$2&amp;LS_current!$D$3:$AY$3, 0)),SUM(VLOOKUP($A48, LS_current!$B$4:$AY$138, LS_current!I$148, FALSE), VLOOKUP($A48, LS_current!$B$4:$AY$138,LS_current!AG$148, FALSE))/2)</f>
        <v>285.94219960639998</v>
      </c>
      <c r="CE48" s="180">
        <f t="array" ref="CE48">IF($BT48=0, INDEX(LS_current!$D$4:$AY$138, MATCH('Staging Table'!$A48, LS_current!$B$4:$B$138, 0), MATCH(CE$4&amp;CE$5, LS_current!$D$2:$AY$2&amp;LS_current!$D$3:$AY$3, 0)),SUM(VLOOKUP($A48, LS_current!$B$4:$AY$138, LS_current!J$148, FALSE), VLOOKUP($A48, LS_current!$B$4:$AY$138,LS_current!AH$148, FALSE))/2)</f>
        <v>-89.966690631499887</v>
      </c>
      <c r="CF48" s="180">
        <f t="array" ref="CF48">IF($BT48=0, INDEX(LS_current!$D$4:$AY$138, MATCH('Staging Table'!$A48, LS_current!$B$4:$B$138, 0), MATCH(CF$4&amp;CF$5, LS_current!$D$2:$AY$2&amp;LS_current!$D$3:$AY$3, 0)),SUM(VLOOKUP($A48, LS_current!$B$4:$AY$138, LS_current!K$148, FALSE), VLOOKUP($A48, LS_current!$B$4:$AY$138,LS_current!AI$148, FALSE))/2)</f>
        <v>153.31890132109993</v>
      </c>
      <c r="CG48" s="180">
        <f t="array" ref="CG48">IF($BT48=0, INDEX(LS_current!$D$4:$AY$138, MATCH('Staging Table'!$A48, LS_current!$B$4:$B$138, 0), MATCH(CG$4&amp;CG$5, LS_current!$D$2:$AY$2&amp;LS_current!$D$3:$AY$3, 0)),SUM(VLOOKUP($A48, LS_current!$B$4:$AY$138, LS_current!L$148, FALSE), VLOOKUP($A48, LS_current!$B$4:$AY$138,LS_current!AJ$148, FALSE))/2)</f>
        <v>-291.58516986389986</v>
      </c>
      <c r="CH48" s="180">
        <f t="array" ref="CH48">IF($BT48=0, INDEX(LS_current!$D$4:$AY$138, MATCH('Staging Table'!$A48, LS_current!$B$4:$B$138, 0), MATCH(CH$4&amp;CH$5, LS_current!$D$2:$AY$2&amp;LS_current!$D$3:$AY$3, 0)),SUM(VLOOKUP($A48, LS_current!$B$4:$AY$138, LS_current!M$148, FALSE), VLOOKUP($A48, LS_current!$B$4:$AY$138,LS_current!AK$148, FALSE))/2)</f>
        <v>-11.32945999190008</v>
      </c>
      <c r="CI48" s="180">
        <f t="array" ref="CI48">IF($BT48=0, INDEX(LS_current!$D$4:$AY$138, MATCH('Staging Table'!$A48, LS_current!$B$4:$B$138, 0), MATCH(CI$4&amp;CI$5, LS_current!$D$2:$AY$2&amp;LS_current!$D$3:$AY$3, 0)),SUM(VLOOKUP($A48, LS_current!$B$4:$AY$138, LS_current!N$148, FALSE), VLOOKUP($A48, LS_current!$B$4:$AY$138,LS_current!AL$148, FALSE))/2)</f>
        <v>-344.5360780832998</v>
      </c>
      <c r="CJ48" s="180">
        <f t="array" ref="CJ48">IF($BT48=0, INDEX(LS_current!$D$4:$AY$138, MATCH('Staging Table'!$A48, LS_current!$B$4:$B$138, 0), MATCH(CJ$4&amp;CJ$5, LS_current!$D$2:$AY$2&amp;LS_current!$D$3:$AY$3, 0)),SUM(VLOOKUP($A48, LS_current!$B$4:$AY$138, LS_current!O$148, FALSE), VLOOKUP($A48, LS_current!$B$4:$AY$138,LS_current!AM$148, FALSE))/2)</f>
        <v>-78.182911609800044</v>
      </c>
      <c r="CK48" s="180">
        <f t="array" ref="CK48">IF($BT48=0, INDEX(LS_current!$D$4:$AY$138, MATCH('Staging Table'!$A48, LS_current!$B$4:$B$138, 0), MATCH(CK$4&amp;CK$5, LS_current!$D$2:$AY$2&amp;LS_current!$D$3:$AY$3, 0)),SUM(VLOOKUP($A48, LS_current!$B$4:$AY$138, LS_current!P$148, FALSE), VLOOKUP($A48, LS_current!$B$4:$AY$138,LS_current!AN$148, FALSE))/2)</f>
        <v>-16.969293987750007</v>
      </c>
      <c r="CL48" s="180">
        <f t="array" ref="CL48">IF($BT48=0, INDEX(LS_current!$D$4:$AY$138, MATCH('Staging Table'!$A48, LS_current!$B$4:$B$138, 0), MATCH(CL$4&amp;CL$5, LS_current!$D$2:$AY$2&amp;LS_current!$D$3:$AY$3, 0)),SUM(VLOOKUP($A48, LS_current!$B$4:$AY$138, LS_current!Q$148, FALSE), VLOOKUP($A48, LS_current!$B$4:$AY$138,LS_current!AO$148, FALSE))/2)</f>
        <v>18.786201636825126</v>
      </c>
      <c r="CM48" s="180">
        <f t="array" ref="CM48">IF($BT48=0, INDEX(LS_current!$D$4:$AY$138, MATCH('Staging Table'!$A48, LS_current!$B$4:$B$138, 0), MATCH(CM$4&amp;CM$5, LS_current!$D$2:$AY$2&amp;LS_current!$D$3:$AY$3, 0)),SUM(VLOOKUP($A48, LS_current!$B$4:$AY$138, LS_current!R$148, FALSE), VLOOKUP($A48, LS_current!$B$4:$AY$138,LS_current!AP$148, FALSE))/2)</f>
        <v>-253.11886219680014</v>
      </c>
      <c r="CN48" s="180">
        <f t="array" ref="CN48">IF($BT48=0, INDEX(LS_current!$D$4:$AY$138, MATCH('Staging Table'!$A48, LS_current!$B$4:$B$138, 0), MATCH(CN$4&amp;CN$5, LS_current!$D$2:$AY$2&amp;LS_current!$D$3:$AY$3, 0)),SUM(VLOOKUP($A48, LS_current!$B$4:$AY$138, LS_current!S$148, FALSE), VLOOKUP($A48, LS_current!$B$4:$AY$138,LS_current!AQ$148, FALSE))/2)</f>
        <v>-94.173413289849918</v>
      </c>
      <c r="CO48" s="180">
        <f t="array" ref="CO48">IF($BT48=0, INDEX(LS_current!$D$4:$AY$138, MATCH('Staging Table'!$A48, LS_current!$B$4:$B$138, 0), MATCH(CO$4&amp;CO$5, LS_current!$D$2:$AY$2&amp;LS_current!$D$3:$AY$3, 0)),SUM(VLOOKUP($A48, LS_current!$B$4:$AY$138, LS_current!T$148, FALSE), VLOOKUP($A48, LS_current!$B$4:$AY$138,LS_current!AR$148, FALSE))/2)</f>
        <v>-229.6345199366001</v>
      </c>
      <c r="CP48" s="180">
        <f t="array" ref="CP48">IF($BT48=0, INDEX(LS_current!$D$4:$AY$138, MATCH('Staging Table'!$A48, LS_current!$B$4:$B$138, 0), MATCH(CP$4&amp;CP$5, LS_current!$D$2:$AY$2&amp;LS_current!$D$3:$AY$3, 0)),SUM(VLOOKUP($A48, LS_current!$B$4:$AY$138, LS_current!U$148, FALSE), VLOOKUP($A48, LS_current!$B$4:$AY$138,LS_current!AS$148, FALSE))/2)</f>
        <v>25.064948296549915</v>
      </c>
      <c r="CQ48" s="180">
        <f t="array" ref="CQ48">IF($BT48=0, INDEX(LS_current!$D$4:$AY$138, MATCH('Staging Table'!$A48, LS_current!$B$4:$B$138, 0), MATCH(CQ$4&amp;CQ$5, LS_current!$D$2:$AY$2&amp;LS_current!$D$3:$AY$3, 0)),SUM(VLOOKUP($A48, LS_current!$B$4:$AY$138, LS_current!V$148, FALSE), VLOOKUP($A48, LS_current!$B$4:$AY$138,LS_current!AT$148, FALSE))/2)</f>
        <v>322.06019360759979</v>
      </c>
      <c r="CR48" s="180">
        <f t="array" ref="CR48">IF($BT48=0, INDEX(LS_current!$D$4:$AY$138, MATCH('Staging Table'!$A48, LS_current!$B$4:$B$138, 0), MATCH(CR$4&amp;CR$5, LS_current!$D$2:$AY$2&amp;LS_current!$D$3:$AY$3, 0)),SUM(VLOOKUP($A48, LS_current!$B$4:$AY$138, LS_current!W$148, FALSE), VLOOKUP($A48, LS_current!$B$4:$AY$138,LS_current!AU$148, FALSE))/2)</f>
        <v>333.06168112724993</v>
      </c>
      <c r="CS48" s="180">
        <f t="array" ref="CS48">IF($BT48=0, INDEX(LS_current!$D$4:$AY$138, MATCH('Staging Table'!$A48, LS_current!$B$4:$B$138, 0), MATCH(CS$4&amp;CS$5, LS_current!$D$2:$AY$2&amp;LS_current!$D$3:$AY$3, 0)),SUM(VLOOKUP($A48, LS_current!$B$4:$AY$138, LS_current!X$148, FALSE), VLOOKUP($A48, LS_current!$B$4:$AY$138,LS_current!AV$148, FALSE))/2)</f>
        <v>349.22933483685006</v>
      </c>
      <c r="CT48" s="180">
        <f t="array" ref="CT48">IF($BT48=0, INDEX(LS_current!$D$4:$AY$138, MATCH('Staging Table'!$A48, LS_current!$B$4:$B$138, 0), MATCH(CT$4&amp;CT$5, LS_current!$D$2:$AY$2&amp;LS_current!$D$3:$AY$3, 0)),SUM(VLOOKUP($A48, LS_current!$B$4:$AY$138, LS_current!Y$148, FALSE), VLOOKUP($A48, LS_current!$B$4:$AY$138,LS_current!AW$148, FALSE))/2)</f>
        <v>283.19931873861503</v>
      </c>
      <c r="CU48" s="180">
        <f t="array" ref="CU48">IF($BT48=0, INDEX(LS_current!$D$4:$AY$138, MATCH('Staging Table'!$A48, LS_current!$B$4:$B$138, 0), MATCH(CU$4&amp;CU$5, LS_current!$D$2:$AY$2&amp;LS_current!$D$3:$AY$3, 0)),SUM(VLOOKUP($A48, LS_current!$B$4:$AY$138, LS_current!Z$148, FALSE), VLOOKUP($A48, LS_current!$B$4:$AY$138,LS_current!AX$148, FALSE))/2)</f>
        <v>50.323912516599876</v>
      </c>
      <c r="CV48" s="180">
        <f t="array" ref="CV48">IF($BT48=0, INDEX(LS_current!$D$4:$AY$138, MATCH('Staging Table'!$A48, LS_current!$B$4:$B$138, 0), MATCH(CV$4&amp;CV$5, LS_current!$D$2:$AY$2&amp;LS_current!$D$3:$AY$3, 0)),SUM(VLOOKUP($A48, LS_current!$B$4:$AY$138, LS_current!AA$148, FALSE), VLOOKUP($A48, LS_current!$B$4:$AY$138,LS_current!AY$148, FALSE))/2)</f>
        <v>189.73378091359996</v>
      </c>
      <c r="CW48" s="182">
        <f t="array" ref="CW48">INDEX(Demand_current!$D$4:$AY$138, MATCH($A48, Demand_current!$B$4:$B$138, 0), MATCH(CW$4&amp;CW$5,Demand_current!$D$2:$AY$2&amp;Demand_current!$D$3:$AY$3, 0))/1000</f>
        <v>0.56322355769230781</v>
      </c>
      <c r="CX48" s="182">
        <f t="array" ref="CX48">INDEX(Demand_current!$D$4:$AY$138, MATCH($A48, Demand_current!$B$4:$B$138, 0), MATCH(CX$4&amp;CX$5,Demand_current!$D$2:$AY$2&amp;Demand_current!$D$3:$AY$3, 0))/1000</f>
        <v>7.9422499999999951E-2</v>
      </c>
      <c r="CY48" s="182">
        <f t="array" ref="CY48">INDEX(Demand_current!$D$4:$AY$138, MATCH($A48, Demand_current!$B$4:$B$138, 0), MATCH(CY$4&amp;CY$5,Demand_current!$D$2:$AY$2&amp;Demand_current!$D$3:$AY$3, 0))/1000</f>
        <v>0.74730500000000011</v>
      </c>
      <c r="CZ48" s="182">
        <f t="array" ref="CZ48">INDEX(Demand_current!$D$4:$AY$138, MATCH($A48, Demand_current!$B$4:$B$138, 0), MATCH(CZ$4&amp;CZ$5,Demand_current!$D$2:$AY$2&amp;Demand_current!$D$3:$AY$3, 0))/1000</f>
        <v>1.0662355769230769</v>
      </c>
      <c r="DA48" s="182">
        <f t="array" ref="DA48">INDEX(Demand_current!$D$4:$AY$138, MATCH($A48, Demand_current!$B$4:$B$138, 0), MATCH(DA$4&amp;DA$5,Demand_current!$D$2:$AY$2&amp;Demand_current!$D$3:$AY$3, 0))/1000</f>
        <v>0</v>
      </c>
      <c r="DB48" s="182">
        <f t="array" ref="DB48">INDEX(Demand_current!$D$4:$AY$138, MATCH($A48, Demand_current!$B$4:$B$138, 0), MATCH(DB$4&amp;DB$5,Demand_current!$D$2:$AY$2&amp;Demand_current!$D$3:$AY$3, 0))/1000</f>
        <v>0.82725721153846132</v>
      </c>
      <c r="DC48" s="182">
        <f t="array" ref="DC48">INDEX(Demand_current!$D$4:$AY$138, MATCH($A48, Demand_current!$B$4:$B$138, 0), MATCH(DC$4&amp;DC$5,Demand_current!$D$2:$AY$2&amp;Demand_current!$D$3:$AY$3, 0))/1000</f>
        <v>0.46549038461538461</v>
      </c>
      <c r="DD48" s="182">
        <f t="array" ref="DD48">INDEX(Demand_current!$D$4:$AY$138, MATCH($A48, Demand_current!$B$4:$B$138, 0), MATCH(DD$4&amp;DD$5,Demand_current!$D$2:$AY$2&amp;Demand_current!$D$3:$AY$3, 0))/1000</f>
        <v>0.16688221153846083</v>
      </c>
      <c r="DE48" s="182">
        <f t="array" ref="DE48">INDEX(Demand_current!$D$4:$AY$138, MATCH($A48, Demand_current!$B$4:$B$138, 0), MATCH(DE$4&amp;DE$5,Demand_current!$D$2:$AY$2&amp;Demand_current!$D$3:$AY$3, 0))/1000</f>
        <v>0.50658749999999975</v>
      </c>
      <c r="DF48" s="182">
        <f t="array" ref="DF48">INDEX(Demand_current!$D$4:$AY$138, MATCH($A48, Demand_current!$B$4:$B$138, 0), MATCH(DF$4&amp;DF$5,Demand_current!$D$2:$AY$2&amp;Demand_current!$D$3:$AY$3, 0))/1000</f>
        <v>0.63361298076923123</v>
      </c>
      <c r="DG48" s="182">
        <f t="array" ref="DG48">INDEX(Demand_current!$D$4:$AY$138, MATCH($A48, Demand_current!$B$4:$B$138, 0), MATCH(DG$4&amp;DG$5,Demand_current!$D$2:$AY$2&amp;Demand_current!$D$3:$AY$3, 0))/1000</f>
        <v>0.70776851851851807</v>
      </c>
      <c r="DH48" s="182">
        <f t="array" ref="DH48">INDEX(Demand_current!$D$4:$AY$138, MATCH($A48, Demand_current!$B$4:$B$138, 0), MATCH(DH$4&amp;DH$5,Demand_current!$D$2:$AY$2&amp;Demand_current!$D$3:$AY$3, 0))/1000</f>
        <v>0.58774479166666693</v>
      </c>
      <c r="DI48" s="180">
        <f>$BS48*(VLOOKUP(DI$4, Rates_current!$G$6:$Q$29, 10, FALSE)+VLOOKUP(DI$4, Rates_current!$G$6:$Q$29, 11, FALSE))</f>
        <v>1873.5707504821501</v>
      </c>
      <c r="DJ48" s="180">
        <f>$BS48*(VLOOKUP(DJ$4, Rates_current!$G$6:$Q$29, 10, FALSE)+VLOOKUP(DJ$4, Rates_current!$G$6:$Q$29, 11, FALSE))</f>
        <v>2389.4205223919002</v>
      </c>
      <c r="DK48" s="180">
        <f>$BS48*(VLOOKUP(DK$4, Rates_current!$G$6:$Q$29, 10, FALSE)+VLOOKUP(DK$4, Rates_current!$G$6:$Q$29, 11, FALSE))</f>
        <v>2578.6575170835004</v>
      </c>
      <c r="DL48" s="180">
        <f>$BS48*(VLOOKUP(DL$4, Rates_current!$G$6:$Q$29, 10, FALSE)+VLOOKUP(DL$4, Rates_current!$G$6:$Q$29, 11, FALSE))</f>
        <v>2679.6237893103998</v>
      </c>
      <c r="DM48" s="180">
        <f>$BS48*(VLOOKUP(DM$4, Rates_current!$G$6:$Q$29, 10, FALSE)+VLOOKUP(DM$4, Rates_current!$G$6:$Q$29, 11, FALSE))</f>
        <v>2304.8336298557997</v>
      </c>
      <c r="DN48" s="180">
        <f>$BS48*(VLOOKUP(DN$4, Rates_current!$G$6:$Q$29, 10, FALSE)+VLOOKUP(DN$4, Rates_current!$G$6:$Q$29, 11, FALSE))</f>
        <v>2516.4219896930999</v>
      </c>
      <c r="DO48" s="180">
        <f>$BS48*(VLOOKUP(DO$4, Rates_current!$G$6:$Q$29, 10, FALSE)+VLOOKUP(DO$4, Rates_current!$G$6:$Q$29, 11, FALSE))</f>
        <v>1986.2910923509248</v>
      </c>
      <c r="DP48" s="180">
        <f>$BS48*(VLOOKUP(DP$4, Rates_current!$G$6:$Q$29, 10, FALSE)+VLOOKUP(DP$4, Rates_current!$G$6:$Q$29, 11, FALSE))</f>
        <v>2464.2602754866502</v>
      </c>
      <c r="DQ48" s="180">
        <f>$BS48*(VLOOKUP(DQ$4, Rates_current!$G$6:$Q$29, 10, FALSE)+VLOOKUP(DQ$4, Rates_current!$G$6:$Q$29, 11, FALSE))</f>
        <v>2517.7285716400497</v>
      </c>
      <c r="DR48" s="180">
        <f>$BS48*(VLOOKUP(DR$4, Rates_current!$G$6:$Q$29, 10, FALSE)+VLOOKUP(DR$4, Rates_current!$G$6:$Q$29, 11, FALSE))</f>
        <v>2185.7511252651498</v>
      </c>
      <c r="DS48" s="180">
        <f>$BS48*(VLOOKUP(DS$4, Rates_current!$G$6:$Q$29, 10, FALSE)+VLOOKUP(DS$4, Rates_current!$G$6:$Q$29, 11, FALSE))</f>
        <v>2113.0403464245351</v>
      </c>
      <c r="DT48" s="180">
        <f>$BS48*(VLOOKUP(DT$4, Rates_current!$G$6:$Q$29, 10, FALSE)+VLOOKUP(DT$4, Rates_current!$G$6:$Q$29, 11, FALSE))</f>
        <v>1944.4063065698003</v>
      </c>
      <c r="DU48" s="402">
        <f>IF(D48=0,IF(C48=0,MAX(0,DW48 - (VLOOKUP($A48,TOCA_current!$A$2:$AI$137,MATCH("RHWM 2024",TOCA_current!$A$2:$AI$2,0),FALSE)*$BS$2)), 0),0)</f>
        <v>0</v>
      </c>
      <c r="DV48" s="403">
        <f>MIN(VLOOKUP($A48,TOCA_current!$A$2:$AI$137,MATCH("TRL - NLSL - Existing Resource "&amp;$BS$1,TOCA_current!$A$2:$AI$2,0),FALSE)*$BS$2, VLOOKUP($A48,TOCA_current!$A$2:$AI$137,MATCH("RHWM 2024",TOCA_current!$A$2:$AI$2,0),FALSE)*$BS$2)</f>
        <v>27555.407999999999</v>
      </c>
      <c r="DW48" s="403">
        <f>SUM(BY48:CV48)+(BS48*RT1SC!$C$4*$BS$2)</f>
        <v>27554.403126302037</v>
      </c>
      <c r="DX48" s="403">
        <f>VLOOKUP($A48,TOCA_current!$A$2:$AI$137,MATCH("Above RHWM Not Served with LS "&amp;$BS$1,TOCA_current!$A$2:$AI$2,0),FALSE)*$BS$2</f>
        <v>0</v>
      </c>
      <c r="DY48" s="403">
        <f t="shared" si="13"/>
        <v>-1.0048736979624664</v>
      </c>
      <c r="DZ48" s="403">
        <f>(VLOOKUP($A48,TOCA_current!$A$2:$AI$137,MATCH("RHWM 2024",TOCA_current!$A$2:$AI$2,0),FALSE)*$BS$2) - $DV48</f>
        <v>860.83199999999852</v>
      </c>
      <c r="EA48" s="403">
        <f t="shared" si="14"/>
        <v>0</v>
      </c>
      <c r="EB48" s="403">
        <f t="shared" si="15"/>
        <v>1.0048736979624664</v>
      </c>
      <c r="EC48" s="403">
        <f t="shared" si="16"/>
        <v>0</v>
      </c>
      <c r="ED48" s="403">
        <f t="shared" si="17"/>
        <v>1.0048736979624664</v>
      </c>
    </row>
    <row r="49" spans="1:134">
      <c r="A49" s="123">
        <v>10112</v>
      </c>
      <c r="B49" s="124" t="s">
        <v>50</v>
      </c>
      <c r="C49" s="232">
        <f>VLOOKUP(A49, TOCA_current!$A$3:$D$137, 4, FALSE)</f>
        <v>0</v>
      </c>
      <c r="D49" s="191">
        <v>0</v>
      </c>
      <c r="E49" s="107">
        <f>VLOOKUP($A49,TOCA_previous!$A$2:$AI$137,MATCH(E$4,TOCA_previous!$A$2:$AI$2,0),FALSE)</f>
        <v>8.1761000000000004E-3</v>
      </c>
      <c r="F49" s="108">
        <f>VLOOKUP($A49,TOCA_previous!$A$2:$AI$137,MATCH(F$4,TOCA_previous!$A$2:$AI$2,0),FALSE)</f>
        <v>8.1761000000000004E-3</v>
      </c>
      <c r="G49" s="108">
        <f t="shared" si="5"/>
        <v>0</v>
      </c>
      <c r="H49" s="108">
        <f>VLOOKUP($A49,TOCA_previous!$A$2:$AI$137,MATCH(H$4,TOCA_previous!$A$2:$AI$2,0),FALSE)</f>
        <v>0</v>
      </c>
      <c r="I49" s="108">
        <f t="shared" si="6"/>
        <v>0</v>
      </c>
      <c r="J49" s="108">
        <f t="shared" si="7"/>
        <v>0</v>
      </c>
      <c r="K49" s="179">
        <f>VLOOKUP(A49, IRD!$A$5:$C$139, 3, FALSE)</f>
        <v>0</v>
      </c>
      <c r="L49" s="180">
        <f t="array" ref="L49">IF($G49=0, INDEX(LS_previous!$D$4:$AY$138, MATCH('Staging Table'!$A49, LS_previous!$B$4:$B$138, 0), MATCH(L$4&amp;L$5, LS_previous!$D$2:$AY$2&amp;LS_previous!$D$3:$AY$3, 0)),SUM(VLOOKUP($A49, LS_previous!$B$4:$AY$138, LS_previous!D$149, FALSE), VLOOKUP('Staging Table'!$A49, LS_previous!$B$4:$AY$138,LS_previous!AB$149, FALSE))/2)</f>
        <v>1738.5537181312975</v>
      </c>
      <c r="M49" s="180">
        <f t="array" ref="M49">IF($G49=0, INDEX(LS_previous!$D$4:$AY$138, MATCH('Staging Table'!$A49, LS_previous!$B$4:$B$138, 0), MATCH(M$4&amp;M$5, LS_previous!$D$2:$AY$2&amp;LS_previous!$D$3:$AY$3, 0)),SUM(VLOOKUP($A49, LS_previous!$B$4:$AY$138, LS_previous!E$149, FALSE), VLOOKUP('Staging Table'!$A49, LS_previous!$B$4:$AY$138,LS_previous!AC$149, FALSE))/2)</f>
        <v>1598.6068252683344</v>
      </c>
      <c r="N49" s="180">
        <f t="array" ref="N49">IF($G49=0, INDEX(LS_previous!$D$4:$AY$138, MATCH('Staging Table'!$A49, LS_previous!$B$4:$B$138, 0), MATCH(N$4&amp;N$5, LS_previous!$D$2:$AY$2&amp;LS_previous!$D$3:$AY$3, 0)),SUM(VLOOKUP($A49, LS_previous!$B$4:$AY$138, LS_previous!F$149, FALSE), VLOOKUP('Staging Table'!$A49, LS_previous!$B$4:$AY$138,LS_previous!AD$149, FALSE))/2)</f>
        <v>-3458.5585089788292</v>
      </c>
      <c r="O49" s="180">
        <f t="array" ref="O49">IF($G49=0, INDEX(LS_previous!$D$4:$AY$138, MATCH('Staging Table'!$A49, LS_previous!$B$4:$B$138, 0), MATCH(O$4&amp;O$5, LS_previous!$D$2:$AY$2&amp;LS_previous!$D$3:$AY$3, 0)),SUM(VLOOKUP($A49, LS_previous!$B$4:$AY$138, LS_previous!G$149, FALSE), VLOOKUP('Staging Table'!$A49, LS_previous!$B$4:$AY$138,LS_previous!AE$149, FALSE))/2)</f>
        <v>-1027.602066028041</v>
      </c>
      <c r="P49" s="180">
        <f t="array" ref="P49">IF($G49=0, INDEX(LS_previous!$D$4:$AY$138, MATCH('Staging Table'!$A49, LS_previous!$B$4:$B$138, 0), MATCH(P$4&amp;P$5, LS_previous!$D$2:$AY$2&amp;LS_previous!$D$3:$AY$3, 0)),SUM(VLOOKUP($A49, LS_previous!$B$4:$AY$138, LS_previous!H$149, FALSE), VLOOKUP('Staging Table'!$A49, LS_previous!$B$4:$AY$138,LS_previous!AF$149, FALSE))/2)</f>
        <v>5217.2041258190147</v>
      </c>
      <c r="Q49" s="180">
        <f t="array" ref="Q49">IF($G49=0, INDEX(LS_previous!$D$4:$AY$138, MATCH('Staging Table'!$A49, LS_previous!$B$4:$B$138, 0), MATCH(Q$4&amp;Q$5, LS_previous!$D$2:$AY$2&amp;LS_previous!$D$3:$AY$3, 0)),SUM(VLOOKUP($A49, LS_previous!$B$4:$AY$138, LS_previous!I$149, FALSE), VLOOKUP('Staging Table'!$A49, LS_previous!$B$4:$AY$138,LS_previous!AG$149, FALSE))/2)</f>
        <v>1346.9668256247824</v>
      </c>
      <c r="R49" s="180">
        <f t="array" ref="R49">IF($G49=0, INDEX(LS_previous!$D$4:$AY$138, MATCH('Staging Table'!$A49, LS_previous!$B$4:$B$138, 0), MATCH(R$4&amp;R$5, LS_previous!$D$2:$AY$2&amp;LS_previous!$D$3:$AY$3, 0)),SUM(VLOOKUP($A49, LS_previous!$B$4:$AY$138, LS_previous!J$149, FALSE), VLOOKUP('Staging Table'!$A49, LS_previous!$B$4:$AY$138,LS_previous!AH$149, FALSE))/2)</f>
        <v>9964.718008771837</v>
      </c>
      <c r="S49" s="180">
        <f t="array" ref="S49">IF($G49=0, INDEX(LS_previous!$D$4:$AY$138, MATCH('Staging Table'!$A49, LS_previous!$B$4:$B$138, 0), MATCH(S$4&amp;S$5, LS_previous!$D$2:$AY$2&amp;LS_previous!$D$3:$AY$3, 0)),SUM(VLOOKUP($A49, LS_previous!$B$4:$AY$138, LS_previous!K$149, FALSE), VLOOKUP('Staging Table'!$A49, LS_previous!$B$4:$AY$138,LS_previous!AI$149, FALSE))/2)</f>
        <v>4966.1808430888777</v>
      </c>
      <c r="T49" s="180">
        <f t="array" ref="T49">IF($G49=0, INDEX(LS_previous!$D$4:$AY$138, MATCH('Staging Table'!$A49, LS_previous!$B$4:$B$138, 0), MATCH(T$4&amp;T$5, LS_previous!$D$2:$AY$2&amp;LS_previous!$D$3:$AY$3, 0)),SUM(VLOOKUP($A49, LS_previous!$B$4:$AY$138, LS_previous!L$149, FALSE), VLOOKUP('Staging Table'!$A49, LS_previous!$B$4:$AY$138,LS_previous!AJ$149, FALSE))/2)</f>
        <v>8015.9728962711488</v>
      </c>
      <c r="U49" s="180">
        <f t="array" ref="U49">IF($G49=0, INDEX(LS_previous!$D$4:$AY$138, MATCH('Staging Table'!$A49, LS_previous!$B$4:$B$138, 0), MATCH(U$4&amp;U$5, LS_previous!$D$2:$AY$2&amp;LS_previous!$D$3:$AY$3, 0)),SUM(VLOOKUP($A49, LS_previous!$B$4:$AY$138, LS_previous!M$149, FALSE), VLOOKUP('Staging Table'!$A49, LS_previous!$B$4:$AY$138,LS_previous!AK$149, FALSE))/2)</f>
        <v>3255.3310255806118</v>
      </c>
      <c r="V49" s="180">
        <f t="array" ref="V49">IF($G49=0, INDEX(LS_previous!$D$4:$AY$138, MATCH('Staging Table'!$A49, LS_previous!$B$4:$B$138, 0), MATCH(V$4&amp;V$5, LS_previous!$D$2:$AY$2&amp;LS_previous!$D$3:$AY$3, 0)),SUM(VLOOKUP($A49, LS_previous!$B$4:$AY$138, LS_previous!N$149, FALSE), VLOOKUP('Staging Table'!$A49, LS_previous!$B$4:$AY$138,LS_previous!AL$149, FALSE))/2)</f>
        <v>3790.7820973520465</v>
      </c>
      <c r="W49" s="180">
        <f t="array" ref="W49">IF($G49=0, INDEX(LS_previous!$D$4:$AY$138, MATCH('Staging Table'!$A49, LS_previous!$B$4:$B$138, 0), MATCH(W$4&amp;W$5, LS_previous!$D$2:$AY$2&amp;LS_previous!$D$3:$AY$3, 0)),SUM(VLOOKUP($A49, LS_previous!$B$4:$AY$138, LS_previous!O$149, FALSE), VLOOKUP('Staging Table'!$A49, LS_previous!$B$4:$AY$138,LS_previous!AM$149, FALSE))/2)</f>
        <v>2159.0953898455955</v>
      </c>
      <c r="X49" s="180">
        <f t="array" ref="X49">IF($G49=0, INDEX(LS_previous!$D$4:$AY$138, MATCH('Staging Table'!$A49, LS_previous!$B$4:$B$138, 0), MATCH(X$4&amp;X$5, LS_previous!$D$2:$AY$2&amp;LS_previous!$D$3:$AY$3, 0)),SUM(VLOOKUP($A49, LS_previous!$B$4:$AY$138, LS_previous!P$149, FALSE), VLOOKUP('Staging Table'!$A49, LS_previous!$B$4:$AY$138,LS_previous!AN$149, FALSE))/2)</f>
        <v>7086.896009222728</v>
      </c>
      <c r="Y49" s="180">
        <f t="array" ref="Y49">IF($G49=0, INDEX(LS_previous!$D$4:$AY$138, MATCH('Staging Table'!$A49, LS_previous!$B$4:$B$138, 0), MATCH(Y$4&amp;Y$5, LS_previous!$D$2:$AY$2&amp;LS_previous!$D$3:$AY$3, 0)),SUM(VLOOKUP($A49, LS_previous!$B$4:$AY$138, LS_previous!Q$149, FALSE), VLOOKUP('Staging Table'!$A49, LS_previous!$B$4:$AY$138,LS_previous!AO$149, FALSE))/2)</f>
        <v>3965.0226302015035</v>
      </c>
      <c r="Z49" s="180">
        <f t="array" ref="Z49">IF($G49=0, INDEX(LS_previous!$D$4:$AY$138, MATCH('Staging Table'!$A49, LS_previous!$B$4:$B$138, 0), MATCH(Z$4&amp;Z$5, LS_previous!$D$2:$AY$2&amp;LS_previous!$D$3:$AY$3, 0)),SUM(VLOOKUP($A49, LS_previous!$B$4:$AY$138, LS_previous!R$149, FALSE), VLOOKUP('Staging Table'!$A49, LS_previous!$B$4:$AY$138,LS_previous!AP$149, FALSE))/2)</f>
        <v>-5498.2558666502082</v>
      </c>
      <c r="AA49" s="180">
        <f t="array" ref="AA49">IF($G49=0, INDEX(LS_previous!$D$4:$AY$138, MATCH('Staging Table'!$A49, LS_previous!$B$4:$B$138, 0), MATCH(AA$4&amp;AA$5, LS_previous!$D$2:$AY$2&amp;LS_previous!$D$3:$AY$3, 0)),SUM(VLOOKUP($A49, LS_previous!$B$4:$AY$138, LS_previous!S$149, FALSE), VLOOKUP('Staging Table'!$A49, LS_previous!$B$4:$AY$138,LS_previous!AQ$149, FALSE))/2)</f>
        <v>1291.8454821278137</v>
      </c>
      <c r="AB49" s="180">
        <f t="array" ref="AB49">IF($G49=0, INDEX(LS_previous!$D$4:$AY$138, MATCH('Staging Table'!$A49, LS_previous!$B$4:$B$138, 0), MATCH(AB$4&amp;AB$5, LS_previous!$D$2:$AY$2&amp;LS_previous!$D$3:$AY$3, 0)),SUM(VLOOKUP($A49, LS_previous!$B$4:$AY$138, LS_previous!T$149, FALSE), VLOOKUP('Staging Table'!$A49, LS_previous!$B$4:$AY$138,LS_previous!AR$149, FALSE))/2)</f>
        <v>-8106.4827893333895</v>
      </c>
      <c r="AC49" s="180">
        <f t="array" ref="AC49">IF($G49=0, INDEX(LS_previous!$D$4:$AY$138, MATCH('Staging Table'!$A49, LS_previous!$B$4:$B$138, 0), MATCH(AC$4&amp;AC$5, LS_previous!$D$2:$AY$2&amp;LS_previous!$D$3:$AY$3, 0)),SUM(VLOOKUP($A49, LS_previous!$B$4:$AY$138, LS_previous!U$149, FALSE), VLOOKUP('Staging Table'!$A49, LS_previous!$B$4:$AY$138,LS_previous!AS$149, FALSE))/2)</f>
        <v>1251.0363691643088</v>
      </c>
      <c r="AD49" s="180">
        <f t="array" ref="AD49">IF($G49=0, INDEX(LS_previous!$D$4:$AY$138, MATCH('Staging Table'!$A49, LS_previous!$B$4:$B$138, 0), MATCH(AD$4&amp;AD$5, LS_previous!$D$2:$AY$2&amp;LS_previous!$D$3:$AY$3, 0)),SUM(VLOOKUP($A49, LS_previous!$B$4:$AY$138, LS_previous!V$149, FALSE), VLOOKUP('Staging Table'!$A49, LS_previous!$B$4:$AY$138,LS_previous!AT$149, FALSE))/2)</f>
        <v>-3663.1177331655308</v>
      </c>
      <c r="AE49" s="180">
        <f t="array" ref="AE49">IF($G49=0, INDEX(LS_previous!$D$4:$AY$138, MATCH('Staging Table'!$A49, LS_previous!$B$4:$B$138, 0), MATCH(AE$4&amp;AE$5, LS_previous!$D$2:$AY$2&amp;LS_previous!$D$3:$AY$3, 0)),SUM(VLOOKUP($A49, LS_previous!$B$4:$AY$138, LS_previous!W$149, FALSE), VLOOKUP('Staging Table'!$A49, LS_previous!$B$4:$AY$138,LS_previous!AU$149, FALSE))/2)</f>
        <v>1386.5337382984089</v>
      </c>
      <c r="AF49" s="180">
        <f t="array" ref="AF49">IF($G49=0, INDEX(LS_previous!$D$4:$AY$138, MATCH('Staging Table'!$A49, LS_previous!$B$4:$B$138, 0), MATCH(AF$4&amp;AF$5, LS_previous!$D$2:$AY$2&amp;LS_previous!$D$3:$AY$3, 0)),SUM(VLOOKUP($A49, LS_previous!$B$4:$AY$138, LS_previous!X$149, FALSE), VLOOKUP('Staging Table'!$A49, LS_previous!$B$4:$AY$138,LS_previous!AV$149, FALSE))/2)</f>
        <v>-1660.0663665216016</v>
      </c>
      <c r="AG49" s="180">
        <f t="array" ref="AG49">IF($G49=0, INDEX(LS_previous!$D$4:$AY$138, MATCH('Staging Table'!$A49, LS_previous!$B$4:$B$138, 0), MATCH(AG$4&amp;AG$5, LS_previous!$D$2:$AY$2&amp;LS_previous!$D$3:$AY$3, 0)),SUM(VLOOKUP($A49, LS_previous!$B$4:$AY$138, LS_previous!Y$149, FALSE), VLOOKUP('Staging Table'!$A49, LS_previous!$B$4:$AY$138,LS_previous!AW$149, FALSE))/2)</f>
        <v>1705.2687531619486</v>
      </c>
      <c r="AH49" s="180">
        <f t="array" ref="AH49">IF($G49=0, INDEX(LS_previous!$D$4:$AY$138, MATCH('Staging Table'!$A49, LS_previous!$B$4:$B$138, 0), MATCH(AH$4&amp;AH$5, LS_previous!$D$2:$AY$2&amp;LS_previous!$D$3:$AY$3, 0)),SUM(VLOOKUP($A49, LS_previous!$B$4:$AY$138, LS_previous!Z$149, FALSE), VLOOKUP('Staging Table'!$A49, LS_previous!$B$4:$AY$138,LS_previous!AX$149, FALSE))/2)</f>
        <v>-1525.72647764875</v>
      </c>
      <c r="AI49" s="180">
        <f t="array" ref="AI49">IF($G49=0, INDEX(LS_previous!$D$4:$AY$138, MATCH('Staging Table'!$A49, LS_previous!$B$4:$B$138, 0), MATCH(AI$4&amp;AI$5, LS_previous!$D$2:$AY$2&amp;LS_previous!$D$3:$AY$3, 0)),SUM(VLOOKUP($A49, LS_previous!$B$4:$AY$138, LS_previous!AA$149, FALSE), VLOOKUP('Staging Table'!$A49, LS_previous!$B$4:$AY$138,LS_previous!AY$149, FALSE))/2)</f>
        <v>767.4991287950088</v>
      </c>
      <c r="AJ49" s="298">
        <f t="array" ref="AJ49">INDEX(Demand_previous!$D$4:$AY$138, MATCH('Staging Table'!$A49, Demand_previous!$B$4:$B$138, 0), MATCH(AJ$4&amp;AJ$5,Demand_previous!$D$2:$AY$2&amp;Demand_previous!$D$3:$AY$3, 0))/1000</f>
        <v>5.5953197115384716</v>
      </c>
      <c r="AK49" s="298">
        <f t="array" ref="AK49">INDEX(Demand_previous!$D$4:$AY$138, MATCH('Staging Table'!$A49, Demand_previous!$B$4:$B$138, 0), MATCH(AK$4&amp;AK$5,Demand_previous!$D$2:$AY$2&amp;Demand_previous!$D$3:$AY$3, 0))/1000</f>
        <v>3.7599125000000004</v>
      </c>
      <c r="AL49" s="298">
        <f t="array" ref="AL49">INDEX(Demand_previous!$D$4:$AY$138, MATCH('Staging Table'!$A49, Demand_previous!$B$4:$B$138, 0), MATCH(AL$4&amp;AL$5,Demand_previous!$D$2:$AY$2&amp;Demand_previous!$D$3:$AY$3, 0))/1000</f>
        <v>3.7753701923076814</v>
      </c>
      <c r="AM49" s="298">
        <f t="array" ref="AM49">INDEX(Demand_previous!$D$4:$AY$138, MATCH('Staging Table'!$A49, Demand_previous!$B$4:$B$138, 0), MATCH(AM$4&amp;AM$5,Demand_previous!$D$2:$AY$2&amp;Demand_previous!$D$3:$AY$3, 0))/1000</f>
        <v>0</v>
      </c>
      <c r="AN49" s="298">
        <f t="array" ref="AN49">INDEX(Demand_previous!$D$4:$AY$138, MATCH('Staging Table'!$A49, Demand_previous!$B$4:$B$138, 0), MATCH(AN$4&amp;AN$5,Demand_previous!$D$2:$AY$2&amp;Demand_previous!$D$3:$AY$3, 0))/1000</f>
        <v>8.0795156250000009</v>
      </c>
      <c r="AO49" s="298">
        <f t="array" ref="AO49">INDEX(Demand_previous!$D$4:$AY$138, MATCH('Staging Table'!$A49, Demand_previous!$B$4:$B$138, 0), MATCH(AO$4&amp;AO$5,Demand_previous!$D$2:$AY$2&amp;Demand_previous!$D$3:$AY$3, 0))/1000</f>
        <v>5.9158055555555542</v>
      </c>
      <c r="AP49" s="298">
        <f t="array" ref="AP49">INDEX(Demand_previous!$D$4:$AY$138, MATCH('Staging Table'!$A49, Demand_previous!$B$4:$B$138, 0), MATCH(AP$4&amp;AP$5,Demand_previous!$D$2:$AY$2&amp;Demand_previous!$D$3:$AY$3, 0))/1000</f>
        <v>11.492050480769221</v>
      </c>
      <c r="AQ49" s="298">
        <f t="array" ref="AQ49">INDEX(Demand_previous!$D$4:$AY$138, MATCH('Staging Table'!$A49, Demand_previous!$B$4:$B$138, 0), MATCH(AQ$4&amp;AQ$5,Demand_previous!$D$2:$AY$2&amp;Demand_previous!$D$3:$AY$3, 0))/1000</f>
        <v>8.4434599999999982</v>
      </c>
      <c r="AR49" s="298">
        <f t="array" ref="AR49">INDEX(Demand_previous!$D$4:$AY$138, MATCH('Staging Table'!$A49, Demand_previous!$B$4:$B$138, 0), MATCH(AR$4&amp;AR$5,Demand_previous!$D$2:$AY$2&amp;Demand_previous!$D$3:$AY$3, 0))/1000</f>
        <v>13.333451923076922</v>
      </c>
      <c r="AS49" s="298">
        <f t="array" ref="AS49">INDEX(Demand_previous!$D$4:$AY$138, MATCH('Staging Table'!$A49, Demand_previous!$B$4:$B$138, 0), MATCH(AS$4&amp;AS$5,Demand_previous!$D$2:$AY$2&amp;Demand_previous!$D$3:$AY$3, 0))/1000</f>
        <v>13.466782500000004</v>
      </c>
      <c r="AT49" s="298">
        <f t="array" ref="AT49">INDEX(Demand_previous!$D$4:$AY$138, MATCH('Staging Table'!$A49, Demand_previous!$B$4:$B$138, 0), MATCH(AT$4&amp;AT$5,Demand_previous!$D$2:$AY$2&amp;Demand_previous!$D$3:$AY$3, 0))/1000</f>
        <v>16.001752314814823</v>
      </c>
      <c r="AU49" s="298">
        <f t="array" ref="AU49">INDEX(Demand_previous!$D$4:$AY$138, MATCH('Staging Table'!$A49, Demand_previous!$B$4:$B$138, 0), MATCH(AU$4&amp;AU$5,Demand_previous!$D$2:$AY$2&amp;Demand_previous!$D$3:$AY$3, 0))/1000</f>
        <v>8.6240050000000039</v>
      </c>
      <c r="AV49" s="180">
        <f>$F49*(VLOOKUP(AV$4, Rates_previous!$G$6:$Q$29, 10, FALSE)+VLOOKUP(AV$4, Rates_previous!$G$6:$Q$29, 11, FALSE))</f>
        <v>37233.341456600363</v>
      </c>
      <c r="AW49" s="180">
        <f>$F49*(VLOOKUP(AW$4, Rates_previous!$G$6:$Q$29, 10, FALSE)+VLOOKUP(AW$4, Rates_previous!$G$6:$Q$29, 11, FALSE))</f>
        <v>47138.761575006873</v>
      </c>
      <c r="AX49" s="180">
        <f>$F49*(VLOOKUP(AX$4, Rates_previous!$G$6:$Q$29, 10, FALSE)+VLOOKUP(AX$4, Rates_previous!$G$6:$Q$29, 11, FALSE))</f>
        <v>46139.430048556205</v>
      </c>
      <c r="AY49" s="180">
        <f>$F49*(VLOOKUP(AY$4, Rates_previous!$G$6:$Q$29, 10, FALSE)+VLOOKUP(AY$4, Rates_previous!$G$6:$Q$29, 11, FALSE))</f>
        <v>38109.207148139285</v>
      </c>
      <c r="AZ49" s="180">
        <f>$F49*(VLOOKUP(AZ$4, Rates_previous!$G$6:$Q$29, 10, FALSE)+VLOOKUP(AZ$4, Rates_previous!$G$6:$Q$29, 11, FALSE))</f>
        <v>33030.085078148244</v>
      </c>
      <c r="BA49" s="180">
        <f>$F49*(VLOOKUP(BA$4, Rates_previous!$G$6:$Q$29, 10, FALSE)+VLOOKUP(BA$4, Rates_previous!$G$6:$Q$29, 11, FALSE))</f>
        <v>39431.251512802359</v>
      </c>
      <c r="BB49" s="180">
        <f>$F49*(VLOOKUP(BB$4, Rates_previous!$G$6:$Q$29, 10, FALSE)+VLOOKUP(BB$4, Rates_previous!$G$6:$Q$29, 11, FALSE))</f>
        <v>30613.117360575772</v>
      </c>
      <c r="BC49" s="180">
        <f>$F49*(VLOOKUP(BC$4, Rates_previous!$G$6:$Q$29, 10, FALSE)+VLOOKUP(BC$4, Rates_previous!$G$6:$Q$29, 11, FALSE))</f>
        <v>42414.699384522391</v>
      </c>
      <c r="BD49" s="180">
        <f>$F49*(VLOOKUP(BD$4, Rates_previous!$G$6:$Q$29, 10, FALSE)+VLOOKUP(BD$4, Rates_previous!$G$6:$Q$29, 11, FALSE))</f>
        <v>45320.994420169081</v>
      </c>
      <c r="BE49" s="180">
        <f>$F49*(VLOOKUP(BE$4, Rates_previous!$G$6:$Q$29, 10, FALSE)+VLOOKUP(BE$4, Rates_previous!$G$6:$Q$29, 11, FALSE))</f>
        <v>43030.231994867121</v>
      </c>
      <c r="BF49" s="180">
        <f>$F49*(VLOOKUP(BF$4, Rates_previous!$G$6:$Q$29, 10, FALSE)+VLOOKUP(BF$4, Rates_previous!$G$6:$Q$29, 11, FALSE))</f>
        <v>41585.399613359652</v>
      </c>
      <c r="BG49" s="180">
        <f>$F49*(VLOOKUP(BG$4, Rates_previous!$G$6:$Q$29, 10, FALSE)+VLOOKUP(BG$4, Rates_previous!$G$6:$Q$29, 11, FALSE))</f>
        <v>38429.244348853739</v>
      </c>
      <c r="BH49" s="298">
        <f>IF($D49=0,IF(C49=0, MAX(BJ49 - (VLOOKUP($A49,TOCA_previous!$A$2:$AI$137,MATCH("RHWM 2022",TOCA_previous!$A$2:$AI$2,0),FALSE)*$F$2*TOCA_previous!C46),0),0), 0)</f>
        <v>30294.092680722999</v>
      </c>
      <c r="BI49" s="192">
        <f>MIN(VLOOKUP($A49,TOCA_previous!$A$2:$AI$137,MATCH("TRL - NLSL - Existing Resource "&amp;$F$1,TOCA_previous!$A$2:$AI$2,0),FALSE)*$F$2,(VLOOKUP($A49,TOCA_previous!$A$2:$AI$137,MATCH("RHWM 2022",TOCA_previous!$A$2:$AI$2,0),FALSE)*$F$2))</f>
        <v>482474.51999999996</v>
      </c>
      <c r="BJ49" s="402">
        <f>SUM(L49:AI49)+(F49*RT1SC!$C$3*$F$2)</f>
        <v>517043.49268072296</v>
      </c>
      <c r="BK49" s="401">
        <f>VLOOKUP($A49,TOCA_previous!$A$2:$AI$137,MATCH("Above RHWM Not Served with LS "&amp;$F$1,TOCA_previous!$A$2:$AI$2,0),FALSE)*$F$2</f>
        <v>0</v>
      </c>
      <c r="BL49" s="402">
        <f t="shared" si="8"/>
        <v>34568.972680723004</v>
      </c>
      <c r="BM49" s="401">
        <f>(VLOOKUP($A49,TOCA_previous!$A$2:$AI$137,MATCH("RHWM 2022",TOCA_previous!$A$2:$AI$2,0),FALSE)*$F$2) - $BI49</f>
        <v>4274.8800000000047</v>
      </c>
      <c r="BN49" s="402">
        <f t="shared" si="9"/>
        <v>-4274.8800000000047</v>
      </c>
      <c r="BO49" s="401">
        <f t="shared" si="10"/>
        <v>0</v>
      </c>
      <c r="BP49" s="402">
        <f t="shared" si="11"/>
        <v>0</v>
      </c>
      <c r="BQ49" s="401">
        <f t="shared" si="18"/>
        <v>-4274.8800000000047</v>
      </c>
      <c r="BR49" s="108">
        <f>VLOOKUP($A49,TOCA_current!$A$2:$AI$137,MATCH(BR$4,TOCA_current!$A$2:$AI$2,0),FALSE)</f>
        <v>8.2468000000000003E-3</v>
      </c>
      <c r="BS49" s="108">
        <f>VLOOKUP($A49,TOCA_current!$A$2:$AI$137,MATCH(BS$4,TOCA_current!$A$2:$AI$2,0),FALSE)</f>
        <v>8.2468000000000003E-3</v>
      </c>
      <c r="BT49" s="189">
        <f t="shared" si="12"/>
        <v>0</v>
      </c>
      <c r="BU49" s="108">
        <f>VLOOKUP($A49,TOCA_current!A45:BG180,MATCH(BU$4,TOCA_current!$A$2:$BG$2,0),FALSE)</f>
        <v>0</v>
      </c>
      <c r="BV49" s="108">
        <f t="shared" si="19"/>
        <v>0</v>
      </c>
      <c r="BW49" s="108">
        <f t="shared" si="20"/>
        <v>0</v>
      </c>
      <c r="BX49" s="179">
        <f>VLOOKUP($A49,IRD!$A$4:$G$139, 7, FALSE)</f>
        <v>0</v>
      </c>
      <c r="BY49" s="180">
        <f t="array" ref="BY49">IF($BT49=0, INDEX(LS_current!$D$4:$AY$138, MATCH('Staging Table'!$A49, LS_current!$B$4:$B$138, 0), MATCH(BY$4&amp;BY$5, LS_current!$D$2:$AY$2&amp;LS_current!$D$3:$AY$3, 0)),SUM(VLOOKUP($A49, LS_current!$B$4:$AY$138, LS_current!D$148, FALSE), VLOOKUP($A49, LS_current!$B$4:$AY$138,LS_current!AB$148, FALSE))/2)</f>
        <v>4569.731523915194</v>
      </c>
      <c r="BZ49" s="180">
        <f t="array" ref="BZ49">IF($BT49=0, INDEX(LS_current!$D$4:$AY$138, MATCH('Staging Table'!$A49, LS_current!$B$4:$B$138, 0), MATCH(BZ$4&amp;BZ$5, LS_current!$D$2:$AY$2&amp;LS_current!$D$3:$AY$3, 0)),SUM(VLOOKUP($A49, LS_current!$B$4:$AY$138, LS_current!E$148, FALSE), VLOOKUP($A49, LS_current!$B$4:$AY$138,LS_current!AC$148, FALSE))/2)</f>
        <v>1209.1396157465988</v>
      </c>
      <c r="CA49" s="180">
        <f t="array" ref="CA49">IF($BT49=0, INDEX(LS_current!$D$4:$AY$138, MATCH('Staging Table'!$A49, LS_current!$B$4:$B$138, 0), MATCH(CA$4&amp;CA$5, LS_current!$D$2:$AY$2&amp;LS_current!$D$3:$AY$3, 0)),SUM(VLOOKUP($A49, LS_current!$B$4:$AY$138, LS_current!F$148, FALSE), VLOOKUP($A49, LS_current!$B$4:$AY$138,LS_current!AD$148, FALSE))/2)</f>
        <v>-1453.5390965504012</v>
      </c>
      <c r="CB49" s="180">
        <f t="array" ref="CB49">IF($BT49=0, INDEX(LS_current!$D$4:$AY$138, MATCH('Staging Table'!$A49, LS_current!$B$4:$B$138, 0), MATCH(CB$4&amp;CB$5, LS_current!$D$2:$AY$2&amp;LS_current!$D$3:$AY$3, 0)),SUM(VLOOKUP($A49, LS_current!$B$4:$AY$138, LS_current!G$148, FALSE), VLOOKUP($A49, LS_current!$B$4:$AY$138,LS_current!AE$148, FALSE))/2)</f>
        <v>-264.66189413080065</v>
      </c>
      <c r="CC49" s="180">
        <f t="array" ref="CC49">IF($BT49=0, INDEX(LS_current!$D$4:$AY$138, MATCH('Staging Table'!$A49, LS_current!$B$4:$B$138, 0), MATCH(CC$4&amp;CC$5, LS_current!$D$2:$AY$2&amp;LS_current!$D$3:$AY$3, 0)),SUM(VLOOKUP($A49, LS_current!$B$4:$AY$138, LS_current!H$148, FALSE), VLOOKUP($A49, LS_current!$B$4:$AY$138,LS_current!AF$148, FALSE))/2)</f>
        <v>2543.168207614799</v>
      </c>
      <c r="CD49" s="180">
        <f t="array" ref="CD49">IF($BT49=0, INDEX(LS_current!$D$4:$AY$138, MATCH('Staging Table'!$A49, LS_current!$B$4:$B$138, 0), MATCH(CD$4&amp;CD$5, LS_current!$D$2:$AY$2&amp;LS_current!$D$3:$AY$3, 0)),SUM(VLOOKUP($A49, LS_current!$B$4:$AY$138, LS_current!I$148, FALSE), VLOOKUP($A49, LS_current!$B$4:$AY$138,LS_current!AG$148, FALSE))/2)</f>
        <v>2275.5581878271987</v>
      </c>
      <c r="CE49" s="180">
        <f t="array" ref="CE49">IF($BT49=0, INDEX(LS_current!$D$4:$AY$138, MATCH('Staging Table'!$A49, LS_current!$B$4:$B$138, 0), MATCH(CE$4&amp;CE$5, LS_current!$D$2:$AY$2&amp;LS_current!$D$3:$AY$3, 0)),SUM(VLOOKUP($A49, LS_current!$B$4:$AY$138, LS_current!J$148, FALSE), VLOOKUP($A49, LS_current!$B$4:$AY$138,LS_current!AH$148, FALSE))/2)</f>
        <v>836.7965647380006</v>
      </c>
      <c r="CF49" s="180">
        <f t="array" ref="CF49">IF($BT49=0, INDEX(LS_current!$D$4:$AY$138, MATCH('Staging Table'!$A49, LS_current!$B$4:$B$138, 0), MATCH(CF$4&amp;CF$5, LS_current!$D$2:$AY$2&amp;LS_current!$D$3:$AY$3, 0)),SUM(VLOOKUP($A49, LS_current!$B$4:$AY$138, LS_current!K$148, FALSE), VLOOKUP($A49, LS_current!$B$4:$AY$138,LS_current!AI$148, FALSE))/2)</f>
        <v>2443.5223024427978</v>
      </c>
      <c r="CG49" s="180">
        <f t="array" ref="CG49">IF($BT49=0, INDEX(LS_current!$D$4:$AY$138, MATCH('Staging Table'!$A49, LS_current!$B$4:$B$138, 0), MATCH(CG$4&amp;CG$5, LS_current!$D$2:$AY$2&amp;LS_current!$D$3:$AY$3, 0)),SUM(VLOOKUP($A49, LS_current!$B$4:$AY$138, LS_current!L$148, FALSE), VLOOKUP($A49, LS_current!$B$4:$AY$138,LS_current!AJ$148, FALSE))/2)</f>
        <v>-11.660014937198866</v>
      </c>
      <c r="CH49" s="180">
        <f t="array" ref="CH49">IF($BT49=0, INDEX(LS_current!$D$4:$AY$138, MATCH('Staging Table'!$A49, LS_current!$B$4:$B$138, 0), MATCH(CH$4&amp;CH$5, LS_current!$D$2:$AY$2&amp;LS_current!$D$3:$AY$3, 0)),SUM(VLOOKUP($A49, LS_current!$B$4:$AY$138, LS_current!M$148, FALSE), VLOOKUP($A49, LS_current!$B$4:$AY$138,LS_current!AK$148, FALSE))/2)</f>
        <v>1512.9995245187984</v>
      </c>
      <c r="CI49" s="180">
        <f t="array" ref="CI49">IF($BT49=0, INDEX(LS_current!$D$4:$AY$138, MATCH('Staging Table'!$A49, LS_current!$B$4:$B$138, 0), MATCH(CI$4&amp;CI$5, LS_current!$D$2:$AY$2&amp;LS_current!$D$3:$AY$3, 0)),SUM(VLOOKUP($A49, LS_current!$B$4:$AY$138, LS_current!N$148, FALSE), VLOOKUP($A49, LS_current!$B$4:$AY$138,LS_current!AL$148, FALSE))/2)</f>
        <v>-443.71694108839802</v>
      </c>
      <c r="CJ49" s="180">
        <f t="array" ref="CJ49">IF($BT49=0, INDEX(LS_current!$D$4:$AY$138, MATCH('Staging Table'!$A49, LS_current!$B$4:$B$138, 0), MATCH(CJ$4&amp;CJ$5, LS_current!$D$2:$AY$2&amp;LS_current!$D$3:$AY$3, 0)),SUM(VLOOKUP($A49, LS_current!$B$4:$AY$138, LS_current!O$148, FALSE), VLOOKUP($A49, LS_current!$B$4:$AY$138,LS_current!AM$148, FALSE))/2)</f>
        <v>-904.33411881039865</v>
      </c>
      <c r="CK49" s="180">
        <f t="array" ref="CK49">IF($BT49=0, INDEX(LS_current!$D$4:$AY$138, MATCH('Staging Table'!$A49, LS_current!$B$4:$B$138, 0), MATCH(CK$4&amp;CK$5, LS_current!$D$2:$AY$2&amp;LS_current!$D$3:$AY$3, 0)),SUM(VLOOKUP($A49, LS_current!$B$4:$AY$138, LS_current!P$148, FALSE), VLOOKUP($A49, LS_current!$B$4:$AY$138,LS_current!AN$148, FALSE))/2)</f>
        <v>3500.5705405130029</v>
      </c>
      <c r="CL49" s="180">
        <f t="array" ref="CL49">IF($BT49=0, INDEX(LS_current!$D$4:$AY$138, MATCH('Staging Table'!$A49, LS_current!$B$4:$B$138, 0), MATCH(CL$4&amp;CL$5, LS_current!$D$2:$AY$2&amp;LS_current!$D$3:$AY$3, 0)),SUM(VLOOKUP($A49, LS_current!$B$4:$AY$138, LS_current!Q$148, FALSE), VLOOKUP($A49, LS_current!$B$4:$AY$138,LS_current!AO$148, FALSE))/2)</f>
        <v>1279.6526236401005</v>
      </c>
      <c r="CM49" s="180">
        <f t="array" ref="CM49">IF($BT49=0, INDEX(LS_current!$D$4:$AY$138, MATCH('Staging Table'!$A49, LS_current!$B$4:$B$138, 0), MATCH(CM$4&amp;CM$5, LS_current!$D$2:$AY$2&amp;LS_current!$D$3:$AY$3, 0)),SUM(VLOOKUP($A49, LS_current!$B$4:$AY$138, LS_current!R$148, FALSE), VLOOKUP($A49, LS_current!$B$4:$AY$138,LS_current!AP$148, FALSE))/2)</f>
        <v>-4723.6831820864027</v>
      </c>
      <c r="CN49" s="180">
        <f t="array" ref="CN49">IF($BT49=0, INDEX(LS_current!$D$4:$AY$138, MATCH('Staging Table'!$A49, LS_current!$B$4:$B$138, 0), MATCH(CN$4&amp;CN$5, LS_current!$D$2:$AY$2&amp;LS_current!$D$3:$AY$3, 0)),SUM(VLOOKUP($A49, LS_current!$B$4:$AY$138, LS_current!S$148, FALSE), VLOOKUP($A49, LS_current!$B$4:$AY$138,LS_current!AQ$148, FALSE))/2)</f>
        <v>-2828.5809363177996</v>
      </c>
      <c r="CO49" s="180">
        <f t="array" ref="CO49">IF($BT49=0, INDEX(LS_current!$D$4:$AY$138, MATCH('Staging Table'!$A49, LS_current!$B$4:$B$138, 0), MATCH(CO$4&amp;CO$5, LS_current!$D$2:$AY$2&amp;LS_current!$D$3:$AY$3, 0)),SUM(VLOOKUP($A49, LS_current!$B$4:$AY$138, LS_current!T$148, FALSE), VLOOKUP($A49, LS_current!$B$4:$AY$138,LS_current!AR$148, FALSE))/2)</f>
        <v>-5145.5813641368004</v>
      </c>
      <c r="CP49" s="180">
        <f t="array" ref="CP49">IF($BT49=0, INDEX(LS_current!$D$4:$AY$138, MATCH('Staging Table'!$A49, LS_current!$B$4:$B$138, 0), MATCH(CP$4&amp;CP$5, LS_current!$D$2:$AY$2&amp;LS_current!$D$3:$AY$3, 0)),SUM(VLOOKUP($A49, LS_current!$B$4:$AY$138, LS_current!U$148, FALSE), VLOOKUP($A49, LS_current!$B$4:$AY$138,LS_current!AS$148, FALSE))/2)</f>
        <v>-3142.3135194506012</v>
      </c>
      <c r="CQ49" s="180">
        <f t="array" ref="CQ49">IF($BT49=0, INDEX(LS_current!$D$4:$AY$138, MATCH('Staging Table'!$A49, LS_current!$B$4:$B$138, 0), MATCH(CQ$4&amp;CQ$5, LS_current!$D$2:$AY$2&amp;LS_current!$D$3:$AY$3, 0)),SUM(VLOOKUP($A49, LS_current!$B$4:$AY$138, LS_current!V$148, FALSE), VLOOKUP($A49, LS_current!$B$4:$AY$138,LS_current!AT$148, FALSE))/2)</f>
        <v>-296.31055135520364</v>
      </c>
      <c r="CR49" s="180">
        <f t="array" ref="CR49">IF($BT49=0, INDEX(LS_current!$D$4:$AY$138, MATCH('Staging Table'!$A49, LS_current!$B$4:$B$138, 0), MATCH(CR$4&amp;CR$5, LS_current!$D$2:$AY$2&amp;LS_current!$D$3:$AY$3, 0)),SUM(VLOOKUP($A49, LS_current!$B$4:$AY$138, LS_current!W$148, FALSE), VLOOKUP($A49, LS_current!$B$4:$AY$138,LS_current!AU$148, FALSE))/2)</f>
        <v>461.23443553300058</v>
      </c>
      <c r="CS49" s="180">
        <f t="array" ref="CS49">IF($BT49=0, INDEX(LS_current!$D$4:$AY$138, MATCH('Staging Table'!$A49, LS_current!$B$4:$B$138, 0), MATCH(CS$4&amp;CS$5, LS_current!$D$2:$AY$2&amp;LS_current!$D$3:$AY$3, 0)),SUM(VLOOKUP($A49, LS_current!$B$4:$AY$138, LS_current!X$148, FALSE), VLOOKUP($A49, LS_current!$B$4:$AY$138,LS_current!AV$148, FALSE))/2)</f>
        <v>1453.9596136737964</v>
      </c>
      <c r="CT49" s="180">
        <f t="array" ref="CT49">IF($BT49=0, INDEX(LS_current!$D$4:$AY$138, MATCH('Staging Table'!$A49, LS_current!$B$4:$B$138, 0), MATCH(CT$4&amp;CT$5, LS_current!$D$2:$AY$2&amp;LS_current!$D$3:$AY$3, 0)),SUM(VLOOKUP($A49, LS_current!$B$4:$AY$138, LS_current!Y$148, FALSE), VLOOKUP($A49, LS_current!$B$4:$AY$138,LS_current!AW$148, FALSE))/2)</f>
        <v>938.13500309302071</v>
      </c>
      <c r="CU49" s="180">
        <f t="array" ref="CU49">IF($BT49=0, INDEX(LS_current!$D$4:$AY$138, MATCH('Staging Table'!$A49, LS_current!$B$4:$B$138, 0), MATCH(CU$4&amp;CU$5, LS_current!$D$2:$AY$2&amp;LS_current!$D$3:$AY$3, 0)),SUM(VLOOKUP($A49, LS_current!$B$4:$AY$138, LS_current!Z$148, FALSE), VLOOKUP($A49, LS_current!$B$4:$AY$138,LS_current!AX$148, FALSE))/2)</f>
        <v>1435.1250419767966</v>
      </c>
      <c r="CV49" s="180">
        <f t="array" ref="CV49">IF($BT49=0, INDEX(LS_current!$D$4:$AY$138, MATCH('Staging Table'!$A49, LS_current!$B$4:$B$138, 0), MATCH(CV$4&amp;CV$5, LS_current!$D$2:$AY$2&amp;LS_current!$D$3:$AY$3, 0)),SUM(VLOOKUP($A49, LS_current!$B$4:$AY$138, LS_current!AA$148, FALSE), VLOOKUP($A49, LS_current!$B$4:$AY$138,LS_current!AY$148, FALSE))/2)</f>
        <v>128.86667313279941</v>
      </c>
      <c r="CW49" s="182">
        <f t="array" ref="CW49">INDEX(Demand_current!$D$4:$AY$138, MATCH($A49, Demand_current!$B$4:$B$138, 0), MATCH(CW$4&amp;CW$5,Demand_current!$D$2:$AY$2&amp;Demand_current!$D$3:$AY$3, 0))/1000</f>
        <v>5.5953197115384716</v>
      </c>
      <c r="CX49" s="182">
        <f t="array" ref="CX49">INDEX(Demand_current!$D$4:$AY$138, MATCH($A49, Demand_current!$B$4:$B$138, 0), MATCH(CX$4&amp;CX$5,Demand_current!$D$2:$AY$2&amp;Demand_current!$D$3:$AY$3, 0))/1000</f>
        <v>3.7599125000000004</v>
      </c>
      <c r="CY49" s="182">
        <f t="array" ref="CY49">INDEX(Demand_current!$D$4:$AY$138, MATCH($A49, Demand_current!$B$4:$B$138, 0), MATCH(CY$4&amp;CY$5,Demand_current!$D$2:$AY$2&amp;Demand_current!$D$3:$AY$3, 0))/1000</f>
        <v>0.7392249999999958</v>
      </c>
      <c r="CZ49" s="182">
        <f t="array" ref="CZ49">INDEX(Demand_current!$D$4:$AY$138, MATCH($A49, Demand_current!$B$4:$B$138, 0), MATCH(CZ$4&amp;CZ$5,Demand_current!$D$2:$AY$2&amp;Demand_current!$D$3:$AY$3, 0))/1000</f>
        <v>2.6659735576923094</v>
      </c>
      <c r="DA49" s="182">
        <f t="array" ref="DA49">INDEX(Demand_current!$D$4:$AY$138, MATCH($A49, Demand_current!$B$4:$B$138, 0), MATCH(DA$4&amp;DA$5,Demand_current!$D$2:$AY$2&amp;Demand_current!$D$3:$AY$3, 0))/1000</f>
        <v>10.913134999999999</v>
      </c>
      <c r="DB49" s="182">
        <f t="array" ref="DB49">INDEX(Demand_current!$D$4:$AY$138, MATCH($A49, Demand_current!$B$4:$B$138, 0), MATCH(DB$4&amp;DB$5,Demand_current!$D$2:$AY$2&amp;Demand_current!$D$3:$AY$3, 0))/1000</f>
        <v>3.4222980769230738</v>
      </c>
      <c r="DC49" s="182">
        <f t="array" ref="DC49">INDEX(Demand_current!$D$4:$AY$138, MATCH($A49, Demand_current!$B$4:$B$138, 0), MATCH(DC$4&amp;DC$5,Demand_current!$D$2:$AY$2&amp;Demand_current!$D$3:$AY$3, 0))/1000</f>
        <v>11.492050480769221</v>
      </c>
      <c r="DD49" s="182">
        <f t="array" ref="DD49">INDEX(Demand_current!$D$4:$AY$138, MATCH($A49, Demand_current!$B$4:$B$138, 0), MATCH(DD$4&amp;DD$5,Demand_current!$D$2:$AY$2&amp;Demand_current!$D$3:$AY$3, 0))/1000</f>
        <v>10.662980769230767</v>
      </c>
      <c r="DE49" s="182">
        <f t="array" ref="DE49">INDEX(Demand_current!$D$4:$AY$138, MATCH($A49, Demand_current!$B$4:$B$138, 0), MATCH(DE$4&amp;DE$5,Demand_current!$D$2:$AY$2&amp;Demand_current!$D$3:$AY$3, 0))/1000</f>
        <v>11.005269999999998</v>
      </c>
      <c r="DF49" s="182">
        <f t="array" ref="DF49">INDEX(Demand_current!$D$4:$AY$138, MATCH($A49, Demand_current!$B$4:$B$138, 0), MATCH(DF$4&amp;DF$5,Demand_current!$D$2:$AY$2&amp;Demand_current!$D$3:$AY$3, 0))/1000</f>
        <v>15.870329326923081</v>
      </c>
      <c r="DG49" s="182">
        <f t="array" ref="DG49">INDEX(Demand_current!$D$4:$AY$138, MATCH($A49, Demand_current!$B$4:$B$138, 0), MATCH(DG$4&amp;DG$5,Demand_current!$D$2:$AY$2&amp;Demand_current!$D$3:$AY$3, 0))/1000</f>
        <v>16.001752314814823</v>
      </c>
      <c r="DH49" s="182">
        <f t="array" ref="DH49">INDEX(Demand_current!$D$4:$AY$138, MATCH($A49, Demand_current!$B$4:$B$138, 0), MATCH(DH$4&amp;DH$5,Demand_current!$D$2:$AY$2&amp;Demand_current!$D$3:$AY$3, 0))/1000</f>
        <v>6.2281718750000019</v>
      </c>
      <c r="DI49" s="180">
        <f>$BS49*(VLOOKUP(DI$4, Rates_current!$G$6:$Q$29, 10, FALSE)+VLOOKUP(DI$4, Rates_current!$G$6:$Q$29, 11, FALSE))</f>
        <v>34791.630860338199</v>
      </c>
      <c r="DJ49" s="180">
        <f>$BS49*(VLOOKUP(DJ$4, Rates_current!$G$6:$Q$29, 10, FALSE)+VLOOKUP(DJ$4, Rates_current!$G$6:$Q$29, 11, FALSE))</f>
        <v>44370.801990681204</v>
      </c>
      <c r="DK49" s="180">
        <f>$BS49*(VLOOKUP(DK$4, Rates_current!$G$6:$Q$29, 10, FALSE)+VLOOKUP(DK$4, Rates_current!$G$6:$Q$29, 11, FALSE))</f>
        <v>47884.874604558005</v>
      </c>
      <c r="DL49" s="180">
        <f>$BS49*(VLOOKUP(DL$4, Rates_current!$G$6:$Q$29, 10, FALSE)+VLOOKUP(DL$4, Rates_current!$G$6:$Q$29, 11, FALSE))</f>
        <v>49759.787132819205</v>
      </c>
      <c r="DM49" s="180">
        <f>$BS49*(VLOOKUP(DM$4, Rates_current!$G$6:$Q$29, 10, FALSE)+VLOOKUP(DM$4, Rates_current!$G$6:$Q$29, 11, FALSE))</f>
        <v>42800.049490418394</v>
      </c>
      <c r="DN49" s="180">
        <f>$BS49*(VLOOKUP(DN$4, Rates_current!$G$6:$Q$29, 10, FALSE)+VLOOKUP(DN$4, Rates_current!$G$6:$Q$29, 11, FALSE))</f>
        <v>46729.180059898797</v>
      </c>
      <c r="DO49" s="180">
        <f>$BS49*(VLOOKUP(DO$4, Rates_current!$G$6:$Q$29, 10, FALSE)+VLOOKUP(DO$4, Rates_current!$G$6:$Q$29, 11, FALSE))</f>
        <v>36884.812835846897</v>
      </c>
      <c r="DP49" s="180">
        <f>$BS49*(VLOOKUP(DP$4, Rates_current!$G$6:$Q$29, 10, FALSE)+VLOOKUP(DP$4, Rates_current!$G$6:$Q$29, 11, FALSE))</f>
        <v>45760.553118404205</v>
      </c>
      <c r="DQ49" s="180">
        <f>$BS49*(VLOOKUP(DQ$4, Rates_current!$G$6:$Q$29, 10, FALSE)+VLOOKUP(DQ$4, Rates_current!$G$6:$Q$29, 11, FALSE))</f>
        <v>46753.442883587399</v>
      </c>
      <c r="DR49" s="180">
        <f>$BS49*(VLOOKUP(DR$4, Rates_current!$G$6:$Q$29, 10, FALSE)+VLOOKUP(DR$4, Rates_current!$G$6:$Q$29, 11, FALSE))</f>
        <v>40588.724115822202</v>
      </c>
      <c r="DS49" s="180">
        <f>$BS49*(VLOOKUP(DS$4, Rates_current!$G$6:$Q$29, 10, FALSE)+VLOOKUP(DS$4, Rates_current!$G$6:$Q$29, 11, FALSE))</f>
        <v>39238.507383233184</v>
      </c>
      <c r="DT49" s="180">
        <f>$BS49*(VLOOKUP(DT$4, Rates_current!$G$6:$Q$29, 10, FALSE)+VLOOKUP(DT$4, Rates_current!$G$6:$Q$29, 11, FALSE))</f>
        <v>36107.025284890406</v>
      </c>
      <c r="DU49" s="402">
        <f>IF(D49=0,IF(C49=0,MAX(0,DW49 - (VLOOKUP($A49,TOCA_current!$A$2:$AI$137,MATCH("RHWM 2024",TOCA_current!$A$2:$AI$2,0),FALSE)*$BS$2)), 0),0)</f>
        <v>5375.470345389971</v>
      </c>
      <c r="DV49" s="403">
        <f>MIN(VLOOKUP($A49,TOCA_current!$A$2:$AI$137,MATCH("TRL - NLSL - Existing Resource "&amp;$BS$1,TOCA_current!$A$2:$AI$2,0),FALSE)*$BS$2, VLOOKUP($A49,TOCA_current!$A$2:$AI$137,MATCH("RHWM 2024",TOCA_current!$A$2:$AI$2,0),FALSE)*$BS$2)</f>
        <v>511668</v>
      </c>
      <c r="DW49" s="403">
        <f>SUM(BY49:CV49)+(BS49*RT1SC!$C$4*$BS$2)</f>
        <v>517043.47034538997</v>
      </c>
      <c r="DX49" s="403">
        <f>VLOOKUP($A49,TOCA_current!$A$2:$AI$137,MATCH("Above RHWM Not Served with LS "&amp;$BS$1,TOCA_current!$A$2:$AI$2,0),FALSE)*$BS$2</f>
        <v>0</v>
      </c>
      <c r="DY49" s="403">
        <f t="shared" si="13"/>
        <v>5375.470345389971</v>
      </c>
      <c r="DZ49" s="403">
        <f>(VLOOKUP($A49,TOCA_current!$A$2:$AI$137,MATCH("RHWM 2024",TOCA_current!$A$2:$AI$2,0),FALSE)*$BS$2) - $DV49</f>
        <v>0</v>
      </c>
      <c r="EA49" s="403">
        <f t="shared" si="14"/>
        <v>0</v>
      </c>
      <c r="EB49" s="403">
        <f t="shared" si="15"/>
        <v>0</v>
      </c>
      <c r="EC49" s="403">
        <f t="shared" si="16"/>
        <v>0</v>
      </c>
      <c r="ED49" s="403">
        <f t="shared" si="17"/>
        <v>0</v>
      </c>
    </row>
    <row r="50" spans="1:134">
      <c r="A50" s="123">
        <v>10113</v>
      </c>
      <c r="B50" s="124" t="s">
        <v>51</v>
      </c>
      <c r="C50" s="232">
        <f>VLOOKUP(A50, TOCA_current!$A$3:$D$137, 4, FALSE)</f>
        <v>0</v>
      </c>
      <c r="D50" s="191">
        <v>0</v>
      </c>
      <c r="E50" s="107">
        <f>VLOOKUP($A50,TOCA_previous!$A$2:$AI$137,MATCH(E$4,TOCA_previous!$A$2:$AI$2,0),FALSE)</f>
        <v>5.3375000000000002E-3</v>
      </c>
      <c r="F50" s="108">
        <f>VLOOKUP($A50,TOCA_previous!$A$2:$AI$137,MATCH(F$4,TOCA_previous!$A$2:$AI$2,0),FALSE)</f>
        <v>5.3375000000000002E-3</v>
      </c>
      <c r="G50" s="108">
        <f t="shared" si="5"/>
        <v>0</v>
      </c>
      <c r="H50" s="108">
        <f>VLOOKUP($A50,TOCA_previous!$A$2:$AI$137,MATCH(H$4,TOCA_previous!$A$2:$AI$2,0),FALSE)</f>
        <v>8.2680000000000003E-2</v>
      </c>
      <c r="I50" s="108">
        <f t="shared" si="6"/>
        <v>0</v>
      </c>
      <c r="J50" s="108">
        <f t="shared" si="7"/>
        <v>0</v>
      </c>
      <c r="K50" s="179">
        <f>VLOOKUP(A50, IRD!$A$5:$C$139, 3, FALSE)</f>
        <v>134655.962</v>
      </c>
      <c r="L50" s="180">
        <f t="array" ref="L50">IF($G50=0, INDEX(LS_previous!$D$4:$AY$138, MATCH('Staging Table'!$A50, LS_previous!$B$4:$B$138, 0), MATCH(L$4&amp;L$5, LS_previous!$D$2:$AY$2&amp;LS_previous!$D$3:$AY$3, 0)),SUM(VLOOKUP($A50, LS_previous!$B$4:$AY$138, LS_previous!D$149, FALSE), VLOOKUP('Staging Table'!$A50, LS_previous!$B$4:$AY$138,LS_previous!AB$149, FALSE))/2)</f>
        <v>-2466.3160369582311</v>
      </c>
      <c r="M50" s="180">
        <f t="array" ref="M50">IF($G50=0, INDEX(LS_previous!$D$4:$AY$138, MATCH('Staging Table'!$A50, LS_previous!$B$4:$B$138, 0), MATCH(M$4&amp;M$5, LS_previous!$D$2:$AY$2&amp;LS_previous!$D$3:$AY$3, 0)),SUM(VLOOKUP($A50, LS_previous!$B$4:$AY$138, LS_previous!E$149, FALSE), VLOOKUP('Staging Table'!$A50, LS_previous!$B$4:$AY$138,LS_previous!AC$149, FALSE))/2)</f>
        <v>-489.31555886428214</v>
      </c>
      <c r="N50" s="180">
        <f t="array" ref="N50">IF($G50=0, INDEX(LS_previous!$D$4:$AY$138, MATCH('Staging Table'!$A50, LS_previous!$B$4:$B$138, 0), MATCH(N$4&amp;N$5, LS_previous!$D$2:$AY$2&amp;LS_previous!$D$3:$AY$3, 0)),SUM(VLOOKUP($A50, LS_previous!$B$4:$AY$138, LS_previous!F$149, FALSE), VLOOKUP('Staging Table'!$A50, LS_previous!$B$4:$AY$138,LS_previous!AD$149, FALSE))/2)</f>
        <v>-10080.255347839982</v>
      </c>
      <c r="O50" s="180">
        <f t="array" ref="O50">IF($G50=0, INDEX(LS_previous!$D$4:$AY$138, MATCH('Staging Table'!$A50, LS_previous!$B$4:$B$138, 0), MATCH(O$4&amp;O$5, LS_previous!$D$2:$AY$2&amp;LS_previous!$D$3:$AY$3, 0)),SUM(VLOOKUP($A50, LS_previous!$B$4:$AY$138, LS_previous!G$149, FALSE), VLOOKUP('Staging Table'!$A50, LS_previous!$B$4:$AY$138,LS_previous!AE$149, FALSE))/2)</f>
        <v>-6039.1894386595868</v>
      </c>
      <c r="P50" s="180">
        <f t="array" ref="P50">IF($G50=0, INDEX(LS_previous!$D$4:$AY$138, MATCH('Staging Table'!$A50, LS_previous!$B$4:$B$138, 0), MATCH(P$4&amp;P$5, LS_previous!$D$2:$AY$2&amp;LS_previous!$D$3:$AY$3, 0)),SUM(VLOOKUP($A50, LS_previous!$B$4:$AY$138, LS_previous!H$149, FALSE), VLOOKUP('Staging Table'!$A50, LS_previous!$B$4:$AY$138,LS_previous!AF$149, FALSE))/2)</f>
        <v>-8310.3737266839944</v>
      </c>
      <c r="Q50" s="180">
        <f t="array" ref="Q50">IF($G50=0, INDEX(LS_previous!$D$4:$AY$138, MATCH('Staging Table'!$A50, LS_previous!$B$4:$B$138, 0), MATCH(Q$4&amp;Q$5, LS_previous!$D$2:$AY$2&amp;LS_previous!$D$3:$AY$3, 0)),SUM(VLOOKUP($A50, LS_previous!$B$4:$AY$138, LS_previous!I$149, FALSE), VLOOKUP('Staging Table'!$A50, LS_previous!$B$4:$AY$138,LS_previous!AG$149, FALSE))/2)</f>
        <v>-6333.1140930428583</v>
      </c>
      <c r="R50" s="180">
        <f t="array" ref="R50">IF($G50=0, INDEX(LS_previous!$D$4:$AY$138, MATCH('Staging Table'!$A50, LS_previous!$B$4:$B$138, 0), MATCH(R$4&amp;R$5, LS_previous!$D$2:$AY$2&amp;LS_previous!$D$3:$AY$3, 0)),SUM(VLOOKUP($A50, LS_previous!$B$4:$AY$138, LS_previous!J$149, FALSE), VLOOKUP('Staging Table'!$A50, LS_previous!$B$4:$AY$138,LS_previous!AH$149, FALSE))/2)</f>
        <v>-4840.0877832683436</v>
      </c>
      <c r="S50" s="180">
        <f t="array" ref="S50">IF($G50=0, INDEX(LS_previous!$D$4:$AY$138, MATCH('Staging Table'!$A50, LS_previous!$B$4:$B$138, 0), MATCH(S$4&amp;S$5, LS_previous!$D$2:$AY$2&amp;LS_previous!$D$3:$AY$3, 0)),SUM(VLOOKUP($A50, LS_previous!$B$4:$AY$138, LS_previous!K$149, FALSE), VLOOKUP('Staging Table'!$A50, LS_previous!$B$4:$AY$138,LS_previous!AI$149, FALSE))/2)</f>
        <v>-4895.6901391877682</v>
      </c>
      <c r="T50" s="180">
        <f t="array" ref="T50">IF($G50=0, INDEX(LS_previous!$D$4:$AY$138, MATCH('Staging Table'!$A50, LS_previous!$B$4:$B$138, 0), MATCH(T$4&amp;T$5, LS_previous!$D$2:$AY$2&amp;LS_previous!$D$3:$AY$3, 0)),SUM(VLOOKUP($A50, LS_previous!$B$4:$AY$138, LS_previous!L$149, FALSE), VLOOKUP('Staging Table'!$A50, LS_previous!$B$4:$AY$138,LS_previous!AJ$149, FALSE))/2)</f>
        <v>-4981.0865243762619</v>
      </c>
      <c r="U50" s="180">
        <f t="array" ref="U50">IF($G50=0, INDEX(LS_previous!$D$4:$AY$138, MATCH('Staging Table'!$A50, LS_previous!$B$4:$B$138, 0), MATCH(U$4&amp;U$5, LS_previous!$D$2:$AY$2&amp;LS_previous!$D$3:$AY$3, 0)),SUM(VLOOKUP($A50, LS_previous!$B$4:$AY$138, LS_previous!M$149, FALSE), VLOOKUP('Staging Table'!$A50, LS_previous!$B$4:$AY$138,LS_previous!AK$149, FALSE))/2)</f>
        <v>-4475.0383478508684</v>
      </c>
      <c r="V50" s="180">
        <f t="array" ref="V50">IF($G50=0, INDEX(LS_previous!$D$4:$AY$138, MATCH('Staging Table'!$A50, LS_previous!$B$4:$B$138, 0), MATCH(V$4&amp;V$5, LS_previous!$D$2:$AY$2&amp;LS_previous!$D$3:$AY$3, 0)),SUM(VLOOKUP($A50, LS_previous!$B$4:$AY$138, LS_previous!N$149, FALSE), VLOOKUP('Staging Table'!$A50, LS_previous!$B$4:$AY$138,LS_previous!AL$149, FALSE))/2)</f>
        <v>-6608.4140038751302</v>
      </c>
      <c r="W50" s="180">
        <f t="array" ref="W50">IF($G50=0, INDEX(LS_previous!$D$4:$AY$138, MATCH('Staging Table'!$A50, LS_previous!$B$4:$B$138, 0), MATCH(W$4&amp;W$5, LS_previous!$D$2:$AY$2&amp;LS_previous!$D$3:$AY$3, 0)),SUM(VLOOKUP($A50, LS_previous!$B$4:$AY$138, LS_previous!O$149, FALSE), VLOOKUP('Staging Table'!$A50, LS_previous!$B$4:$AY$138,LS_previous!AM$149, FALSE))/2)</f>
        <v>-3851.56942775885</v>
      </c>
      <c r="X50" s="180">
        <f t="array" ref="X50">IF($G50=0, INDEX(LS_previous!$D$4:$AY$138, MATCH('Staging Table'!$A50, LS_previous!$B$4:$B$138, 0), MATCH(X$4&amp;X$5, LS_previous!$D$2:$AY$2&amp;LS_previous!$D$3:$AY$3, 0)),SUM(VLOOKUP($A50, LS_previous!$B$4:$AY$138, LS_previous!P$149, FALSE), VLOOKUP('Staging Table'!$A50, LS_previous!$B$4:$AY$138,LS_previous!AN$149, FALSE))/2)</f>
        <v>1274.9744864698696</v>
      </c>
      <c r="Y50" s="180">
        <f t="array" ref="Y50">IF($G50=0, INDEX(LS_previous!$D$4:$AY$138, MATCH('Staging Table'!$A50, LS_previous!$B$4:$B$138, 0), MATCH(Y$4&amp;Y$5, LS_previous!$D$2:$AY$2&amp;LS_previous!$D$3:$AY$3, 0)),SUM(VLOOKUP($A50, LS_previous!$B$4:$AY$138, LS_previous!Q$149, FALSE), VLOOKUP('Staging Table'!$A50, LS_previous!$B$4:$AY$138,LS_previous!AO$149, FALSE))/2)</f>
        <v>238.50412084007348</v>
      </c>
      <c r="Z50" s="180">
        <f t="array" ref="Z50">IF($G50=0, INDEX(LS_previous!$D$4:$AY$138, MATCH('Staging Table'!$A50, LS_previous!$B$4:$B$138, 0), MATCH(Z$4&amp;Z$5, LS_previous!$D$2:$AY$2&amp;LS_previous!$D$3:$AY$3, 0)),SUM(VLOOKUP($A50, LS_previous!$B$4:$AY$138, LS_previous!R$149, FALSE), VLOOKUP('Staging Table'!$A50, LS_previous!$B$4:$AY$138,LS_previous!AP$149, FALSE))/2)</f>
        <v>3034.7816143337914</v>
      </c>
      <c r="AA50" s="180">
        <f t="array" ref="AA50">IF($G50=0, INDEX(LS_previous!$D$4:$AY$138, MATCH('Staging Table'!$A50, LS_previous!$B$4:$B$138, 0), MATCH(AA$4&amp;AA$5, LS_previous!$D$2:$AY$2&amp;LS_previous!$D$3:$AY$3, 0)),SUM(VLOOKUP($A50, LS_previous!$B$4:$AY$138, LS_previous!S$149, FALSE), VLOOKUP('Staging Table'!$A50, LS_previous!$B$4:$AY$138,LS_previous!AQ$149, FALSE))/2)</f>
        <v>4823.5923969566429</v>
      </c>
      <c r="AB50" s="180">
        <f t="array" ref="AB50">IF($G50=0, INDEX(LS_previous!$D$4:$AY$138, MATCH('Staging Table'!$A50, LS_previous!$B$4:$B$138, 0), MATCH(AB$4&amp;AB$5, LS_previous!$D$2:$AY$2&amp;LS_previous!$D$3:$AY$3, 0)),SUM(VLOOKUP($A50, LS_previous!$B$4:$AY$138, LS_previous!T$149, FALSE), VLOOKUP('Staging Table'!$A50, LS_previous!$B$4:$AY$138,LS_previous!AR$149, FALSE))/2)</f>
        <v>5516.8515772841602</v>
      </c>
      <c r="AC50" s="180">
        <f t="array" ref="AC50">IF($G50=0, INDEX(LS_previous!$D$4:$AY$138, MATCH('Staging Table'!$A50, LS_previous!$B$4:$B$138, 0), MATCH(AC$4&amp;AC$5, LS_previous!$D$2:$AY$2&amp;LS_previous!$D$3:$AY$3, 0)),SUM(VLOOKUP($A50, LS_previous!$B$4:$AY$138, LS_previous!U$149, FALSE), VLOOKUP('Staging Table'!$A50, LS_previous!$B$4:$AY$138,LS_previous!AS$149, FALSE))/2)</f>
        <v>9574.17958753128</v>
      </c>
      <c r="AD50" s="180">
        <f t="array" ref="AD50">IF($G50=0, INDEX(LS_previous!$D$4:$AY$138, MATCH('Staging Table'!$A50, LS_previous!$B$4:$B$138, 0), MATCH(AD$4&amp;AD$5, LS_previous!$D$2:$AY$2&amp;LS_previous!$D$3:$AY$3, 0)),SUM(VLOOKUP($A50, LS_previous!$B$4:$AY$138, LS_previous!V$149, FALSE), VLOOKUP('Staging Table'!$A50, LS_previous!$B$4:$AY$138,LS_previous!AT$149, FALSE))/2)</f>
        <v>14434.957432434661</v>
      </c>
      <c r="AE50" s="180">
        <f t="array" ref="AE50">IF($G50=0, INDEX(LS_previous!$D$4:$AY$138, MATCH('Staging Table'!$A50, LS_previous!$B$4:$B$138, 0), MATCH(AE$4&amp;AE$5, LS_previous!$D$2:$AY$2&amp;LS_previous!$D$3:$AY$3, 0)),SUM(VLOOKUP($A50, LS_previous!$B$4:$AY$138, LS_previous!W$149, FALSE), VLOOKUP('Staging Table'!$A50, LS_previous!$B$4:$AY$138,LS_previous!AU$149, FALSE))/2)</f>
        <v>12630.878206463689</v>
      </c>
      <c r="AF50" s="180">
        <f t="array" ref="AF50">IF($G50=0, INDEX(LS_previous!$D$4:$AY$138, MATCH('Staging Table'!$A50, LS_previous!$B$4:$B$138, 0), MATCH(AF$4&amp;AF$5, LS_previous!$D$2:$AY$2&amp;LS_previous!$D$3:$AY$3, 0)),SUM(VLOOKUP($A50, LS_previous!$B$4:$AY$138, LS_previous!X$149, FALSE), VLOOKUP('Staging Table'!$A50, LS_previous!$B$4:$AY$138,LS_previous!AV$149, FALSE))/2)</f>
        <v>11778.071267155607</v>
      </c>
      <c r="AG50" s="180">
        <f t="array" ref="AG50">IF($G50=0, INDEX(LS_previous!$D$4:$AY$138, MATCH('Staging Table'!$A50, LS_previous!$B$4:$B$138, 0), MATCH(AG$4&amp;AG$5, LS_previous!$D$2:$AY$2&amp;LS_previous!$D$3:$AY$3, 0)),SUM(VLOOKUP($A50, LS_previous!$B$4:$AY$138, LS_previous!Y$149, FALSE), VLOOKUP('Staging Table'!$A50, LS_previous!$B$4:$AY$138,LS_previous!AW$149, FALSE))/2)</f>
        <v>9159.9300296598503</v>
      </c>
      <c r="AH50" s="180">
        <f t="array" ref="AH50">IF($G50=0, INDEX(LS_previous!$D$4:$AY$138, MATCH('Staging Table'!$A50, LS_previous!$B$4:$B$138, 0), MATCH(AH$4&amp;AH$5, LS_previous!$D$2:$AY$2&amp;LS_previous!$D$3:$AY$3, 0)),SUM(VLOOKUP($A50, LS_previous!$B$4:$AY$138, LS_previous!Z$149, FALSE), VLOOKUP('Staging Table'!$A50, LS_previous!$B$4:$AY$138,LS_previous!AX$149, FALSE))/2)</f>
        <v>-485.5866543034208</v>
      </c>
      <c r="AI50" s="180">
        <f t="array" ref="AI50">IF($G50=0, INDEX(LS_previous!$D$4:$AY$138, MATCH('Staging Table'!$A50, LS_previous!$B$4:$B$138, 0), MATCH(AI$4&amp;AI$5, LS_previous!$D$2:$AY$2&amp;LS_previous!$D$3:$AY$3, 0)),SUM(VLOOKUP($A50, LS_previous!$B$4:$AY$138, LS_previous!AA$149, FALSE), VLOOKUP('Staging Table'!$A50, LS_previous!$B$4:$AY$138,LS_previous!AY$149, FALSE))/2)</f>
        <v>1712.1408920442955</v>
      </c>
      <c r="AJ50" s="298">
        <f t="array" ref="AJ50">INDEX(Demand_previous!$D$4:$AY$138, MATCH('Staging Table'!$A50, Demand_previous!$B$4:$B$138, 0), MATCH(AJ$4&amp;AJ$5,Demand_previous!$D$2:$AY$2&amp;Demand_previous!$D$3:$AY$3, 0))/1000</f>
        <v>0</v>
      </c>
      <c r="AK50" s="298">
        <f t="array" ref="AK50">INDEX(Demand_previous!$D$4:$AY$138, MATCH('Staging Table'!$A50, Demand_previous!$B$4:$B$138, 0), MATCH(AK$4&amp;AK$5,Demand_previous!$D$2:$AY$2&amp;Demand_previous!$D$3:$AY$3, 0))/1000</f>
        <v>0</v>
      </c>
      <c r="AL50" s="298">
        <f t="array" ref="AL50">INDEX(Demand_previous!$D$4:$AY$138, MATCH('Staging Table'!$A50, Demand_previous!$B$4:$B$138, 0), MATCH(AL$4&amp;AL$5,Demand_previous!$D$2:$AY$2&amp;Demand_previous!$D$3:$AY$3, 0))/1000</f>
        <v>0</v>
      </c>
      <c r="AM50" s="298">
        <f t="array" ref="AM50">INDEX(Demand_previous!$D$4:$AY$138, MATCH('Staging Table'!$A50, Demand_previous!$B$4:$B$138, 0), MATCH(AM$4&amp;AM$5,Demand_previous!$D$2:$AY$2&amp;Demand_previous!$D$3:$AY$3, 0))/1000</f>
        <v>0</v>
      </c>
      <c r="AN50" s="298">
        <f t="array" ref="AN50">INDEX(Demand_previous!$D$4:$AY$138, MATCH('Staging Table'!$A50, Demand_previous!$B$4:$B$138, 0), MATCH(AN$4&amp;AN$5,Demand_previous!$D$2:$AY$2&amp;Demand_previous!$D$3:$AY$3, 0))/1000</f>
        <v>0</v>
      </c>
      <c r="AO50" s="298">
        <f t="array" ref="AO50">INDEX(Demand_previous!$D$4:$AY$138, MATCH('Staging Table'!$A50, Demand_previous!$B$4:$B$138, 0), MATCH(AO$4&amp;AO$5,Demand_previous!$D$2:$AY$2&amp;Demand_previous!$D$3:$AY$3, 0))/1000</f>
        <v>0</v>
      </c>
      <c r="AP50" s="298">
        <f t="array" ref="AP50">INDEX(Demand_previous!$D$4:$AY$138, MATCH('Staging Table'!$A50, Demand_previous!$B$4:$B$138, 0), MATCH(AP$4&amp;AP$5,Demand_previous!$D$2:$AY$2&amp;Demand_previous!$D$3:$AY$3, 0))/1000</f>
        <v>1.3051033653846176</v>
      </c>
      <c r="AQ50" s="298">
        <f t="array" ref="AQ50">INDEX(Demand_previous!$D$4:$AY$138, MATCH('Staging Table'!$A50, Demand_previous!$B$4:$B$138, 0), MATCH(AQ$4&amp;AQ$5,Demand_previous!$D$2:$AY$2&amp;Demand_previous!$D$3:$AY$3, 0))/1000</f>
        <v>0</v>
      </c>
      <c r="AR50" s="298">
        <f t="array" ref="AR50">INDEX(Demand_previous!$D$4:$AY$138, MATCH('Staging Table'!$A50, Demand_previous!$B$4:$B$138, 0), MATCH(AR$4&amp;AR$5,Demand_previous!$D$2:$AY$2&amp;Demand_previous!$D$3:$AY$3, 0))/1000</f>
        <v>15.362117788461545</v>
      </c>
      <c r="AS50" s="298">
        <f t="array" ref="AS50">INDEX(Demand_previous!$D$4:$AY$138, MATCH('Staging Table'!$A50, Demand_previous!$B$4:$B$138, 0), MATCH(AS$4&amp;AS$5,Demand_previous!$D$2:$AY$2&amp;Demand_previous!$D$3:$AY$3, 0))/1000</f>
        <v>0.83923499999998441</v>
      </c>
      <c r="AT50" s="298">
        <f t="array" ref="AT50">INDEX(Demand_previous!$D$4:$AY$138, MATCH('Staging Table'!$A50, Demand_previous!$B$4:$B$138, 0), MATCH(AT$4&amp;AT$5,Demand_previous!$D$2:$AY$2&amp;Demand_previous!$D$3:$AY$3, 0))/1000</f>
        <v>11.055759259259261</v>
      </c>
      <c r="AU50" s="298">
        <f t="array" ref="AU50">INDEX(Demand_previous!$D$4:$AY$138, MATCH('Staging Table'!$A50, Demand_previous!$B$4:$B$138, 0), MATCH(AU$4&amp;AU$5,Demand_previous!$D$2:$AY$2&amp;Demand_previous!$D$3:$AY$3, 0))/1000</f>
        <v>1.7329199999999927</v>
      </c>
      <c r="AV50" s="180">
        <f>$F50*(VLOOKUP(AV$4, Rates_previous!$G$6:$Q$29, 10, FALSE)+VLOOKUP(AV$4, Rates_previous!$G$6:$Q$29, 11, FALSE))</f>
        <v>24306.571595822512</v>
      </c>
      <c r="AW50" s="180">
        <f>$F50*(VLOOKUP(AW$4, Rates_previous!$G$6:$Q$29, 10, FALSE)+VLOOKUP(AW$4, Rates_previous!$G$6:$Q$29, 11, FALSE))</f>
        <v>30773.001786499575</v>
      </c>
      <c r="AX50" s="180">
        <f>$F50*(VLOOKUP(AX$4, Rates_previous!$G$6:$Q$29, 10, FALSE)+VLOOKUP(AX$4, Rates_previous!$G$6:$Q$29, 11, FALSE))</f>
        <v>30120.620819726857</v>
      </c>
      <c r="AY50" s="180">
        <f>$F50*(VLOOKUP(AY$4, Rates_previous!$G$6:$Q$29, 10, FALSE)+VLOOKUP(AY$4, Rates_previous!$G$6:$Q$29, 11, FALSE))</f>
        <v>24878.351922456113</v>
      </c>
      <c r="AZ50" s="180">
        <f>$F50*(VLOOKUP(AZ$4, Rates_previous!$G$6:$Q$29, 10, FALSE)+VLOOKUP(AZ$4, Rates_previous!$G$6:$Q$29, 11, FALSE))</f>
        <v>21562.612872227131</v>
      </c>
      <c r="BA50" s="180">
        <f>$F50*(VLOOKUP(BA$4, Rates_previous!$G$6:$Q$29, 10, FALSE)+VLOOKUP(BA$4, Rates_previous!$G$6:$Q$29, 11, FALSE))</f>
        <v>25741.405431633983</v>
      </c>
      <c r="BB50" s="180">
        <f>$F50*(VLOOKUP(BB$4, Rates_previous!$G$6:$Q$29, 10, FALSE)+VLOOKUP(BB$4, Rates_previous!$G$6:$Q$29, 11, FALSE))</f>
        <v>19984.774392690058</v>
      </c>
      <c r="BC50" s="180">
        <f>$F50*(VLOOKUP(BC$4, Rates_previous!$G$6:$Q$29, 10, FALSE)+VLOOKUP(BC$4, Rates_previous!$G$6:$Q$29, 11, FALSE))</f>
        <v>27689.051988709562</v>
      </c>
      <c r="BD50" s="180">
        <f>$F50*(VLOOKUP(BD$4, Rates_previous!$G$6:$Q$29, 10, FALSE)+VLOOKUP(BD$4, Rates_previous!$G$6:$Q$29, 11, FALSE))</f>
        <v>29586.331835184556</v>
      </c>
      <c r="BE50" s="180">
        <f>$F50*(VLOOKUP(BE$4, Rates_previous!$G$6:$Q$29, 10, FALSE)+VLOOKUP(BE$4, Rates_previous!$G$6:$Q$29, 11, FALSE))</f>
        <v>28090.88236110166</v>
      </c>
      <c r="BF50" s="180">
        <f>$F50*(VLOOKUP(BF$4, Rates_previous!$G$6:$Q$29, 10, FALSE)+VLOOKUP(BF$4, Rates_previous!$G$6:$Q$29, 11, FALSE))</f>
        <v>27147.670703184544</v>
      </c>
      <c r="BG50" s="180">
        <f>$F50*(VLOOKUP(BG$4, Rates_previous!$G$6:$Q$29, 10, FALSE)+VLOOKUP(BG$4, Rates_previous!$G$6:$Q$29, 11, FALSE))</f>
        <v>25087.277762259127</v>
      </c>
      <c r="BH50" s="298">
        <f>IF($D50=0,IF(C50=0, MAX(BJ50 - (VLOOKUP($A50,TOCA_previous!$A$2:$AI$137,MATCH("RHWM 2022",TOCA_previous!$A$2:$AI$2,0),FALSE)*$F$2*TOCA_previous!C47),0),0), 0)</f>
        <v>10325.594112004386</v>
      </c>
      <c r="BI50" s="192">
        <f>MIN(VLOOKUP($A50,TOCA_previous!$A$2:$AI$137,MATCH("TRL - NLSL - Existing Resource "&amp;$F$1,TOCA_previous!$A$2:$AI$2,0),FALSE)*$F$2,(VLOOKUP($A50,TOCA_previous!$A$2:$AI$137,MATCH("RHWM 2022",TOCA_previous!$A$2:$AI$2,0),FALSE)*$F$2))</f>
        <v>314965.8</v>
      </c>
      <c r="BJ50" s="402">
        <f>SUM(L50:AI50)+(F50*RT1SC!$C$3*$F$2)</f>
        <v>325291.39411200437</v>
      </c>
      <c r="BK50" s="401">
        <f>VLOOKUP($A50,TOCA_previous!$A$2:$AI$137,MATCH("Above RHWM Not Served with LS "&amp;$F$1,TOCA_previous!$A$2:$AI$2,0),FALSE)*$F$2</f>
        <v>57053.88</v>
      </c>
      <c r="BL50" s="402">
        <f t="shared" si="8"/>
        <v>10325.594112004386</v>
      </c>
      <c r="BM50" s="401">
        <f>(VLOOKUP($A50,TOCA_previous!$A$2:$AI$137,MATCH("RHWM 2022",TOCA_previous!$A$2:$AI$2,0),FALSE)*$F$2) - $BI50</f>
        <v>0</v>
      </c>
      <c r="BN50" s="402">
        <f t="shared" si="9"/>
        <v>0</v>
      </c>
      <c r="BO50" s="401">
        <f t="shared" si="10"/>
        <v>0</v>
      </c>
      <c r="BP50" s="402">
        <f t="shared" si="11"/>
        <v>0</v>
      </c>
      <c r="BQ50" s="401">
        <f t="shared" si="18"/>
        <v>0</v>
      </c>
      <c r="BR50" s="108">
        <f>VLOOKUP($A50,TOCA_current!$A$2:$AI$137,MATCH(BR$4,TOCA_current!$A$2:$AI$2,0),FALSE)</f>
        <v>5.3363999999999998E-3</v>
      </c>
      <c r="BS50" s="108">
        <f>VLOOKUP($A50,TOCA_current!$A$2:$AI$137,MATCH(BS$4,TOCA_current!$A$2:$AI$2,0),FALSE)</f>
        <v>5.3363999999999998E-3</v>
      </c>
      <c r="BT50" s="189">
        <f t="shared" si="12"/>
        <v>0</v>
      </c>
      <c r="BU50" s="108">
        <f>VLOOKUP($A50,TOCA_current!A46:BG181,MATCH(BU$4,TOCA_current!$A$2:$BG$2,0),FALSE)</f>
        <v>8.0834372429894163E-2</v>
      </c>
      <c r="BV50" s="108">
        <f t="shared" si="19"/>
        <v>0</v>
      </c>
      <c r="BW50" s="108">
        <f t="shared" si="20"/>
        <v>0</v>
      </c>
      <c r="BX50" s="179">
        <f>VLOOKUP($A50,IRD!$A$4:$G$139, 7, FALSE)</f>
        <v>134655.962</v>
      </c>
      <c r="BY50" s="180">
        <f t="array" ref="BY50">IF($BT50=0, INDEX(LS_current!$D$4:$AY$138, MATCH('Staging Table'!$A50, LS_current!$B$4:$B$138, 0), MATCH(BY$4&amp;BY$5, LS_current!$D$2:$AY$2&amp;LS_current!$D$3:$AY$3, 0)),SUM(VLOOKUP($A50, LS_current!$B$4:$AY$138, LS_current!D$148, FALSE), VLOOKUP($A50, LS_current!$B$4:$AY$138,LS_current!AB$148, FALSE))/2)</f>
        <v>-214.99635371040131</v>
      </c>
      <c r="BZ50" s="180">
        <f t="array" ref="BZ50">IF($BT50=0, INDEX(LS_current!$D$4:$AY$138, MATCH('Staging Table'!$A50, LS_current!$B$4:$B$138, 0), MATCH(BZ$4&amp;BZ$5, LS_current!$D$2:$AY$2&amp;LS_current!$D$3:$AY$3, 0)),SUM(VLOOKUP($A50, LS_current!$B$4:$AY$138, LS_current!E$148, FALSE), VLOOKUP($A50, LS_current!$B$4:$AY$138,LS_current!AC$148, FALSE))/2)</f>
        <v>-442.11203915819897</v>
      </c>
      <c r="CA50" s="180">
        <f t="array" ref="CA50">IF($BT50=0, INDEX(LS_current!$D$4:$AY$138, MATCH('Staging Table'!$A50, LS_current!$B$4:$B$138, 0), MATCH(CA$4&amp;CA$5, LS_current!$D$2:$AY$2&amp;LS_current!$D$3:$AY$3, 0)),SUM(VLOOKUP($A50, LS_current!$B$4:$AY$138, LS_current!F$148, FALSE), VLOOKUP($A50, LS_current!$B$4:$AY$138,LS_current!AD$148, FALSE))/2)</f>
        <v>-8345.4831771392019</v>
      </c>
      <c r="CB50" s="180">
        <f t="array" ref="CB50">IF($BT50=0, INDEX(LS_current!$D$4:$AY$138, MATCH('Staging Table'!$A50, LS_current!$B$4:$B$138, 0), MATCH(CB$4&amp;CB$5, LS_current!$D$2:$AY$2&amp;LS_current!$D$3:$AY$3, 0)),SUM(VLOOKUP($A50, LS_current!$B$4:$AY$138, LS_current!G$148, FALSE), VLOOKUP($A50, LS_current!$B$4:$AY$138,LS_current!AE$148, FALSE))/2)</f>
        <v>-5223.1857264683995</v>
      </c>
      <c r="CC50" s="180">
        <f t="array" ref="CC50">IF($BT50=0, INDEX(LS_current!$D$4:$AY$138, MATCH('Staging Table'!$A50, LS_current!$B$4:$B$138, 0), MATCH(CC$4&amp;CC$5, LS_current!$D$2:$AY$2&amp;LS_current!$D$3:$AY$3, 0)),SUM(VLOOKUP($A50, LS_current!$B$4:$AY$138, LS_current!H$148, FALSE), VLOOKUP($A50, LS_current!$B$4:$AY$138,LS_current!AF$148, FALSE))/2)</f>
        <v>-9513.8650975995988</v>
      </c>
      <c r="CD50" s="180">
        <f t="array" ref="CD50">IF($BT50=0, INDEX(LS_current!$D$4:$AY$138, MATCH('Staging Table'!$A50, LS_current!$B$4:$B$138, 0), MATCH(CD$4&amp;CD$5, LS_current!$D$2:$AY$2&amp;LS_current!$D$3:$AY$3, 0)),SUM(VLOOKUP($A50, LS_current!$B$4:$AY$138, LS_current!I$148, FALSE), VLOOKUP($A50, LS_current!$B$4:$AY$138,LS_current!AG$148, FALSE))/2)</f>
        <v>-5489.5227593343998</v>
      </c>
      <c r="CE50" s="180">
        <f t="array" ref="CE50">IF($BT50=0, INDEX(LS_current!$D$4:$AY$138, MATCH('Staging Table'!$A50, LS_current!$B$4:$B$138, 0), MATCH(CE$4&amp;CE$5, LS_current!$D$2:$AY$2&amp;LS_current!$D$3:$AY$3, 0)),SUM(VLOOKUP($A50, LS_current!$B$4:$AY$138, LS_current!J$148, FALSE), VLOOKUP($A50, LS_current!$B$4:$AY$138,LS_current!AH$148, FALSE))/2)</f>
        <v>-10444.170267926</v>
      </c>
      <c r="CF50" s="180">
        <f t="array" ref="CF50">IF($BT50=0, INDEX(LS_current!$D$4:$AY$138, MATCH('Staging Table'!$A50, LS_current!$B$4:$B$138, 0), MATCH(CF$4&amp;CF$5, LS_current!$D$2:$AY$2&amp;LS_current!$D$3:$AY$3, 0)),SUM(VLOOKUP($A50, LS_current!$B$4:$AY$138, LS_current!K$148, FALSE), VLOOKUP($A50, LS_current!$B$4:$AY$138,LS_current!AI$148, FALSE))/2)</f>
        <v>-6107.0087779555988</v>
      </c>
      <c r="CG50" s="180">
        <f t="array" ref="CG50">IF($BT50=0, INDEX(LS_current!$D$4:$AY$138, MATCH('Staging Table'!$A50, LS_current!$B$4:$B$138, 0), MATCH(CG$4&amp;CG$5, LS_current!$D$2:$AY$2&amp;LS_current!$D$3:$AY$3, 0)),SUM(VLOOKUP($A50, LS_current!$B$4:$AY$138, LS_current!L$148, FALSE), VLOOKUP($A50, LS_current!$B$4:$AY$138,LS_current!AJ$148, FALSE))/2)</f>
        <v>-9898.3340086955977</v>
      </c>
      <c r="CH50" s="180">
        <f t="array" ref="CH50">IF($BT50=0, INDEX(LS_current!$D$4:$AY$138, MATCH('Staging Table'!$A50, LS_current!$B$4:$B$138, 0), MATCH(CH$4&amp;CH$5, LS_current!$D$2:$AY$2&amp;LS_current!$D$3:$AY$3, 0)),SUM(VLOOKUP($A50, LS_current!$B$4:$AY$138, LS_current!M$148, FALSE), VLOOKUP($A50, LS_current!$B$4:$AY$138,LS_current!AK$148, FALSE))/2)</f>
        <v>-5374.2768140075996</v>
      </c>
      <c r="CI50" s="180">
        <f t="array" ref="CI50">IF($BT50=0, INDEX(LS_current!$D$4:$AY$138, MATCH('Staging Table'!$A50, LS_current!$B$4:$B$138, 0), MATCH(CI$4&amp;CI$5, LS_current!$D$2:$AY$2&amp;LS_current!$D$3:$AY$3, 0)),SUM(VLOOKUP($A50, LS_current!$B$4:$AY$138, LS_current!N$148, FALSE), VLOOKUP($A50, LS_current!$B$4:$AY$138,LS_current!AL$148, FALSE))/2)</f>
        <v>-8823.0733546131996</v>
      </c>
      <c r="CJ50" s="180">
        <f t="array" ref="CJ50">IF($BT50=0, INDEX(LS_current!$D$4:$AY$138, MATCH('Staging Table'!$A50, LS_current!$B$4:$B$138, 0), MATCH(CJ$4&amp;CJ$5, LS_current!$D$2:$AY$2&amp;LS_current!$D$3:$AY$3, 0)),SUM(VLOOKUP($A50, LS_current!$B$4:$AY$138, LS_current!O$148, FALSE), VLOOKUP($A50, LS_current!$B$4:$AY$138,LS_current!AM$148, FALSE))/2)</f>
        <v>-5628.8691761191994</v>
      </c>
      <c r="CK50" s="180">
        <f t="array" ref="CK50">IF($BT50=0, INDEX(LS_current!$D$4:$AY$138, MATCH('Staging Table'!$A50, LS_current!$B$4:$B$138, 0), MATCH(CK$4&amp;CK$5, LS_current!$D$2:$AY$2&amp;LS_current!$D$3:$AY$3, 0)),SUM(VLOOKUP($A50, LS_current!$B$4:$AY$138, LS_current!P$148, FALSE), VLOOKUP($A50, LS_current!$B$4:$AY$138,LS_current!AN$148, FALSE))/2)</f>
        <v>-655.13186385099834</v>
      </c>
      <c r="CL50" s="180">
        <f t="array" ref="CL50">IF($BT50=0, INDEX(LS_current!$D$4:$AY$138, MATCH('Staging Table'!$A50, LS_current!$B$4:$B$138, 0), MATCH(CL$4&amp;CL$5, LS_current!$D$2:$AY$2&amp;LS_current!$D$3:$AY$3, 0)),SUM(VLOOKUP($A50, LS_current!$B$4:$AY$138, LS_current!Q$148, FALSE), VLOOKUP($A50, LS_current!$B$4:$AY$138,LS_current!AO$148, FALSE))/2)</f>
        <v>-1225.4311172826983</v>
      </c>
      <c r="CM50" s="180">
        <f t="array" ref="CM50">IF($BT50=0, INDEX(LS_current!$D$4:$AY$138, MATCH('Staging Table'!$A50, LS_current!$B$4:$B$138, 0), MATCH(CM$4&amp;CM$5, LS_current!$D$2:$AY$2&amp;LS_current!$D$3:$AY$3, 0)),SUM(VLOOKUP($A50, LS_current!$B$4:$AY$138, LS_current!R$148, FALSE), VLOOKUP($A50, LS_current!$B$4:$AY$138,LS_current!AP$148, FALSE))/2)</f>
        <v>3878.0245723327971</v>
      </c>
      <c r="CN50" s="180">
        <f t="array" ref="CN50">IF($BT50=0, INDEX(LS_current!$D$4:$AY$138, MATCH('Staging Table'!$A50, LS_current!$B$4:$B$138, 0), MATCH(CN$4&amp;CN$5, LS_current!$D$2:$AY$2&amp;LS_current!$D$3:$AY$3, 0)),SUM(VLOOKUP($A50, LS_current!$B$4:$AY$138, LS_current!S$148, FALSE), VLOOKUP($A50, LS_current!$B$4:$AY$138,LS_current!AQ$148, FALSE))/2)</f>
        <v>2563.5021425806008</v>
      </c>
      <c r="CO50" s="180">
        <f t="array" ref="CO50">IF($BT50=0, INDEX(LS_current!$D$4:$AY$138, MATCH('Staging Table'!$A50, LS_current!$B$4:$B$138, 0), MATCH(CO$4&amp;CO$5, LS_current!$D$2:$AY$2&amp;LS_current!$D$3:$AY$3, 0)),SUM(VLOOKUP($A50, LS_current!$B$4:$AY$138, LS_current!T$148, FALSE), VLOOKUP($A50, LS_current!$B$4:$AY$138,LS_current!AR$148, FALSE))/2)</f>
        <v>7993.8127036936021</v>
      </c>
      <c r="CP50" s="180">
        <f t="array" ref="CP50">IF($BT50=0, INDEX(LS_current!$D$4:$AY$138, MATCH('Staging Table'!$A50, LS_current!$B$4:$B$138, 0), MATCH(CP$4&amp;CP$5, LS_current!$D$2:$AY$2&amp;LS_current!$D$3:$AY$3, 0)),SUM(VLOOKUP($A50, LS_current!$B$4:$AY$138, LS_current!U$148, FALSE), VLOOKUP($A50, LS_current!$B$4:$AY$138,LS_current!AS$148, FALSE))/2)</f>
        <v>6918.8685991662005</v>
      </c>
      <c r="CQ50" s="180">
        <f t="array" ref="CQ50">IF($BT50=0, INDEX(LS_current!$D$4:$AY$138, MATCH('Staging Table'!$A50, LS_current!$B$4:$B$138, 0), MATCH(CQ$4&amp;CQ$5, LS_current!$D$2:$AY$2&amp;LS_current!$D$3:$AY$3, 0)),SUM(VLOOKUP($A50, LS_current!$B$4:$AY$138, LS_current!V$148, FALSE), VLOOKUP($A50, LS_current!$B$4:$AY$138,LS_current!AT$148, FALSE))/2)</f>
        <v>16956.053694590402</v>
      </c>
      <c r="CR50" s="180">
        <f t="array" ref="CR50">IF($BT50=0, INDEX(LS_current!$D$4:$AY$138, MATCH('Staging Table'!$A50, LS_current!$B$4:$B$138, 0), MATCH(CR$4&amp;CR$5, LS_current!$D$2:$AY$2&amp;LS_current!$D$3:$AY$3, 0)),SUM(VLOOKUP($A50, LS_current!$B$4:$AY$138, LS_current!W$148, FALSE), VLOOKUP($A50, LS_current!$B$4:$AY$138,LS_current!AU$148, FALSE))/2)</f>
        <v>12441.390170609002</v>
      </c>
      <c r="CS50" s="180">
        <f t="array" ref="CS50">IF($BT50=0, INDEX(LS_current!$D$4:$AY$138, MATCH('Staging Table'!$A50, LS_current!$B$4:$B$138, 0), MATCH(CS$4&amp;CS$5, LS_current!$D$2:$AY$2&amp;LS_current!$D$3:$AY$3, 0)),SUM(VLOOKUP($A50, LS_current!$B$4:$AY$138, LS_current!X$148, FALSE), VLOOKUP($A50, LS_current!$B$4:$AY$138,LS_current!AV$148, FALSE))/2)</f>
        <v>14246.916328807401</v>
      </c>
      <c r="CT50" s="180">
        <f t="array" ref="CT50">IF($BT50=0, INDEX(LS_current!$D$4:$AY$138, MATCH('Staging Table'!$A50, LS_current!$B$4:$B$138, 0), MATCH(CT$4&amp;CT$5, LS_current!$D$2:$AY$2&amp;LS_current!$D$3:$AY$3, 0)),SUM(VLOOKUP($A50, LS_current!$B$4:$AY$138, LS_current!Y$148, FALSE), VLOOKUP($A50, LS_current!$B$4:$AY$138,LS_current!AW$148, FALSE))/2)</f>
        <v>8953.1897106884608</v>
      </c>
      <c r="CU50" s="180">
        <f t="array" ref="CU50">IF($BT50=0, INDEX(LS_current!$D$4:$AY$138, MATCH('Staging Table'!$A50, LS_current!$B$4:$B$138, 0), MATCH(CU$4&amp;CU$5, LS_current!$D$2:$AY$2&amp;LS_current!$D$3:$AY$3, 0)),SUM(VLOOKUP($A50, LS_current!$B$4:$AY$138, LS_current!Z$148, FALSE), VLOOKUP($A50, LS_current!$B$4:$AY$138,LS_current!AX$148, FALSE))/2)</f>
        <v>1935.8193946264</v>
      </c>
      <c r="CV50" s="180">
        <f t="array" ref="CV50">IF($BT50=0, INDEX(LS_current!$D$4:$AY$138, MATCH('Staging Table'!$A50, LS_current!$B$4:$B$138, 0), MATCH(CV$4&amp;CV$5, LS_current!$D$2:$AY$2&amp;LS_current!$D$3:$AY$3, 0)),SUM(VLOOKUP($A50, LS_current!$B$4:$AY$138, LS_current!AA$148, FALSE), VLOOKUP($A50, LS_current!$B$4:$AY$138,LS_current!AY$148, FALSE))/2)</f>
        <v>1502.4931134144008</v>
      </c>
      <c r="CW50" s="182">
        <f t="array" ref="CW50">INDEX(Demand_current!$D$4:$AY$138, MATCH($A50, Demand_current!$B$4:$B$138, 0), MATCH(CW$4&amp;CW$5,Demand_current!$D$2:$AY$2&amp;Demand_current!$D$3:$AY$3, 0))/1000</f>
        <v>0</v>
      </c>
      <c r="CX50" s="182">
        <f t="array" ref="CX50">INDEX(Demand_current!$D$4:$AY$138, MATCH($A50, Demand_current!$B$4:$B$138, 0), MATCH(CX$4&amp;CX$5,Demand_current!$D$2:$AY$2&amp;Demand_current!$D$3:$AY$3, 0))/1000</f>
        <v>0</v>
      </c>
      <c r="CY50" s="182">
        <f t="array" ref="CY50">INDEX(Demand_current!$D$4:$AY$138, MATCH($A50, Demand_current!$B$4:$B$138, 0), MATCH(CY$4&amp;CY$5,Demand_current!$D$2:$AY$2&amp;Demand_current!$D$3:$AY$3, 0))/1000</f>
        <v>0</v>
      </c>
      <c r="CZ50" s="182">
        <f t="array" ref="CZ50">INDEX(Demand_current!$D$4:$AY$138, MATCH($A50, Demand_current!$B$4:$B$138, 0), MATCH(CZ$4&amp;CZ$5,Demand_current!$D$2:$AY$2&amp;Demand_current!$D$3:$AY$3, 0))/1000</f>
        <v>0</v>
      </c>
      <c r="DA50" s="182">
        <f t="array" ref="DA50">INDEX(Demand_current!$D$4:$AY$138, MATCH($A50, Demand_current!$B$4:$B$138, 0), MATCH(DA$4&amp;DA$5,Demand_current!$D$2:$AY$2&amp;Demand_current!$D$3:$AY$3, 0))/1000</f>
        <v>0</v>
      </c>
      <c r="DB50" s="182">
        <f t="array" ref="DB50">INDEX(Demand_current!$D$4:$AY$138, MATCH($A50, Demand_current!$B$4:$B$138, 0), MATCH(DB$4&amp;DB$5,Demand_current!$D$2:$AY$2&amp;Demand_current!$D$3:$AY$3, 0))/1000</f>
        <v>0</v>
      </c>
      <c r="DC50" s="182">
        <f t="array" ref="DC50">INDEX(Demand_current!$D$4:$AY$138, MATCH($A50, Demand_current!$B$4:$B$138, 0), MATCH(DC$4&amp;DC$5,Demand_current!$D$2:$AY$2&amp;Demand_current!$D$3:$AY$3, 0))/1000</f>
        <v>1.3051033653846176</v>
      </c>
      <c r="DD50" s="182">
        <f t="array" ref="DD50">INDEX(Demand_current!$D$4:$AY$138, MATCH($A50, Demand_current!$B$4:$B$138, 0), MATCH(DD$4&amp;DD$5,Demand_current!$D$2:$AY$2&amp;Demand_current!$D$3:$AY$3, 0))/1000</f>
        <v>0</v>
      </c>
      <c r="DE50" s="182">
        <f t="array" ref="DE50">INDEX(Demand_current!$D$4:$AY$138, MATCH($A50, Demand_current!$B$4:$B$138, 0), MATCH(DE$4&amp;DE$5,Demand_current!$D$2:$AY$2&amp;Demand_current!$D$3:$AY$3, 0))/1000</f>
        <v>12.542402500000007</v>
      </c>
      <c r="DF50" s="182">
        <f t="array" ref="DF50">INDEX(Demand_current!$D$4:$AY$138, MATCH($A50, Demand_current!$B$4:$B$138, 0), MATCH(DF$4&amp;DF$5,Demand_current!$D$2:$AY$2&amp;Demand_current!$D$3:$AY$3, 0))/1000</f>
        <v>4.2767259615384567</v>
      </c>
      <c r="DG50" s="182">
        <f t="array" ref="DG50">INDEX(Demand_current!$D$4:$AY$138, MATCH($A50, Demand_current!$B$4:$B$138, 0), MATCH(DG$4&amp;DG$5,Demand_current!$D$2:$AY$2&amp;Demand_current!$D$3:$AY$3, 0))/1000</f>
        <v>11.055759259259261</v>
      </c>
      <c r="DH50" s="182">
        <f t="array" ref="DH50">INDEX(Demand_current!$D$4:$AY$138, MATCH($A50, Demand_current!$B$4:$B$138, 0), MATCH(DH$4&amp;DH$5,Demand_current!$D$2:$AY$2&amp;Demand_current!$D$3:$AY$3, 0))/1000</f>
        <v>0</v>
      </c>
      <c r="DI50" s="180">
        <f>$BS50*(VLOOKUP(DI$4, Rates_current!$G$6:$Q$29, 10, FALSE)+VLOOKUP(DI$4, Rates_current!$G$6:$Q$29, 11, FALSE))</f>
        <v>22513.2243928686</v>
      </c>
      <c r="DJ50" s="180">
        <f>$BS50*(VLOOKUP(DJ$4, Rates_current!$G$6:$Q$29, 10, FALSE)+VLOOKUP(DJ$4, Rates_current!$G$6:$Q$29, 11, FALSE))</f>
        <v>28711.784903607604</v>
      </c>
      <c r="DK50" s="180">
        <f>$BS50*(VLOOKUP(DK$4, Rates_current!$G$6:$Q$29, 10, FALSE)+VLOOKUP(DK$4, Rates_current!$G$6:$Q$29, 11, FALSE))</f>
        <v>30985.696856934002</v>
      </c>
      <c r="DL50" s="180">
        <f>$BS50*(VLOOKUP(DL$4, Rates_current!$G$6:$Q$29, 10, FALSE)+VLOOKUP(DL$4, Rates_current!$G$6:$Q$29, 11, FALSE))</f>
        <v>32198.929045881599</v>
      </c>
      <c r="DM50" s="180">
        <f>$BS50*(VLOOKUP(DM$4, Rates_current!$G$6:$Q$29, 10, FALSE)+VLOOKUP(DM$4, Rates_current!$G$6:$Q$29, 11, FALSE))</f>
        <v>27695.370822703197</v>
      </c>
      <c r="DN50" s="180">
        <f>$BS50*(VLOOKUP(DN$4, Rates_current!$G$6:$Q$29, 10, FALSE)+VLOOKUP(DN$4, Rates_current!$G$6:$Q$29, 11, FALSE))</f>
        <v>30237.8615307324</v>
      </c>
      <c r="DO50" s="180">
        <f>$BS50*(VLOOKUP(DO$4, Rates_current!$G$6:$Q$29, 10, FALSE)+VLOOKUP(DO$4, Rates_current!$G$6:$Q$29, 11, FALSE))</f>
        <v>23867.695981133696</v>
      </c>
      <c r="DP50" s="180">
        <f>$BS50*(VLOOKUP(DP$4, Rates_current!$G$6:$Q$29, 10, FALSE)+VLOOKUP(DP$4, Rates_current!$G$6:$Q$29, 11, FALSE))</f>
        <v>29611.075285086601</v>
      </c>
      <c r="DQ50" s="180">
        <f>$BS50*(VLOOKUP(DQ$4, Rates_current!$G$6:$Q$29, 10, FALSE)+VLOOKUP(DQ$4, Rates_current!$G$6:$Q$29, 11, FALSE))</f>
        <v>30253.561697140198</v>
      </c>
      <c r="DR50" s="180">
        <f>$BS50*(VLOOKUP(DR$4, Rates_current!$G$6:$Q$29, 10, FALSE)+VLOOKUP(DR$4, Rates_current!$G$6:$Q$29, 11, FALSE))</f>
        <v>26264.450134800598</v>
      </c>
      <c r="DS50" s="180">
        <f>$BS50*(VLOOKUP(DS$4, Rates_current!$G$6:$Q$29, 10, FALSE)+VLOOKUP(DS$4, Rates_current!$G$6:$Q$29, 11, FALSE))</f>
        <v>25390.741960504143</v>
      </c>
      <c r="DT50" s="180">
        <f>$BS50*(VLOOKUP(DT$4, Rates_current!$G$6:$Q$29, 10, FALSE)+VLOOKUP(DT$4, Rates_current!$G$6:$Q$29, 11, FALSE))</f>
        <v>23364.399491959201</v>
      </c>
      <c r="DU50" s="402">
        <f>IF(D50=0,IF(C50=0,MAX(0,DW50 - (VLOOKUP($A50,TOCA_current!$A$2:$AI$137,MATCH("RHWM 2024",TOCA_current!$A$2:$AI$2,0),FALSE)*$BS$2)), 0),0)</f>
        <v>4.0915176721173339</v>
      </c>
      <c r="DV50" s="403">
        <f>MIN(VLOOKUP($A50,TOCA_current!$A$2:$AI$137,MATCH("TRL - NLSL - Existing Resource "&amp;$BS$1,TOCA_current!$A$2:$AI$2,0),FALSE)*$BS$2, VLOOKUP($A50,TOCA_current!$A$2:$AI$137,MATCH("RHWM 2024",TOCA_current!$A$2:$AI$2,0),FALSE)*$BS$2)</f>
        <v>331095.31199999998</v>
      </c>
      <c r="DW50" s="403">
        <f>SUM(BY50:CV50)+(BS50*RT1SC!$C$4*$BS$2)</f>
        <v>331099.40351767209</v>
      </c>
      <c r="DX50" s="403">
        <f>VLOOKUP($A50,TOCA_current!$A$2:$AI$137,MATCH("Above RHWM Not Served with LS "&amp;$BS$1,TOCA_current!$A$2:$AI$2,0),FALSE)*$BS$2</f>
        <v>51245.856</v>
      </c>
      <c r="DY50" s="403">
        <f t="shared" si="13"/>
        <v>4.0915176721173339</v>
      </c>
      <c r="DZ50" s="403">
        <f>(VLOOKUP($A50,TOCA_current!$A$2:$AI$137,MATCH("RHWM 2024",TOCA_current!$A$2:$AI$2,0),FALSE)*$BS$2) - $DV50</f>
        <v>0</v>
      </c>
      <c r="EA50" s="403">
        <f t="shared" si="14"/>
        <v>0</v>
      </c>
      <c r="EB50" s="403">
        <f t="shared" si="15"/>
        <v>0</v>
      </c>
      <c r="EC50" s="403">
        <f t="shared" si="16"/>
        <v>0</v>
      </c>
      <c r="ED50" s="403">
        <f t="shared" si="17"/>
        <v>0</v>
      </c>
    </row>
    <row r="51" spans="1:134">
      <c r="A51" s="123">
        <v>10116</v>
      </c>
      <c r="B51" s="124" t="s">
        <v>52</v>
      </c>
      <c r="C51" s="232">
        <f>VLOOKUP(A51, TOCA_current!$A$3:$D$137, 4, FALSE)</f>
        <v>0</v>
      </c>
      <c r="D51" s="191">
        <v>0</v>
      </c>
      <c r="E51" s="107">
        <f>VLOOKUP($A51,TOCA_previous!$A$2:$AI$137,MATCH(E$4,TOCA_previous!$A$2:$AI$2,0),FALSE)</f>
        <v>3.2199999999999997E-5</v>
      </c>
      <c r="F51" s="108">
        <f>VLOOKUP($A51,TOCA_previous!$A$2:$AI$137,MATCH(F$4,TOCA_previous!$A$2:$AI$2,0),FALSE)</f>
        <v>3.2199999999999997E-5</v>
      </c>
      <c r="G51" s="108">
        <f t="shared" si="5"/>
        <v>0</v>
      </c>
      <c r="H51" s="108">
        <f>VLOOKUP($A51,TOCA_previous!$A$2:$AI$137,MATCH(H$4,TOCA_previous!$A$2:$AI$2,0),FALSE)</f>
        <v>0</v>
      </c>
      <c r="I51" s="108">
        <f t="shared" si="6"/>
        <v>0</v>
      </c>
      <c r="J51" s="108">
        <f t="shared" si="7"/>
        <v>0</v>
      </c>
      <c r="K51" s="179">
        <f>VLOOKUP(A51, IRD!$A$5:$C$139, 3, FALSE)</f>
        <v>0</v>
      </c>
      <c r="L51" s="180">
        <f t="array" ref="L51">IF($G51=0, INDEX(LS_previous!$D$4:$AY$138, MATCH('Staging Table'!$A51, LS_previous!$B$4:$B$138, 0), MATCH(L$4&amp;L$5, LS_previous!$D$2:$AY$2&amp;LS_previous!$D$3:$AY$3, 0)),SUM(VLOOKUP($A51, LS_previous!$B$4:$AY$138, LS_previous!D$149, FALSE), VLOOKUP('Staging Table'!$A51, LS_previous!$B$4:$AY$138,LS_previous!AB$149, FALSE))/2)</f>
        <v>6.9365534819569206</v>
      </c>
      <c r="M51" s="180">
        <f t="array" ref="M51">IF($G51=0, INDEX(LS_previous!$D$4:$AY$138, MATCH('Staging Table'!$A51, LS_previous!$B$4:$B$138, 0), MATCH(M$4&amp;M$5, LS_previous!$D$2:$AY$2&amp;LS_previous!$D$3:$AY$3, 0)),SUM(VLOOKUP($A51, LS_previous!$B$4:$AY$138, LS_previous!E$149, FALSE), VLOOKUP('Staging Table'!$A51, LS_previous!$B$4:$AY$138,LS_previous!AC$149, FALSE))/2)</f>
        <v>22.199080169474499</v>
      </c>
      <c r="N51" s="180">
        <f t="array" ref="N51">IF($G51=0, INDEX(LS_previous!$D$4:$AY$138, MATCH('Staging Table'!$A51, LS_previous!$B$4:$B$138, 0), MATCH(N$4&amp;N$5, LS_previous!$D$2:$AY$2&amp;LS_previous!$D$3:$AY$3, 0)),SUM(VLOOKUP($A51, LS_previous!$B$4:$AY$138, LS_previous!F$149, FALSE), VLOOKUP('Staging Table'!$A51, LS_previous!$B$4:$AY$138,LS_previous!AD$149, FALSE))/2)</f>
        <v>-15.564834491887098</v>
      </c>
      <c r="O51" s="180">
        <f t="array" ref="O51">IF($G51=0, INDEX(LS_previous!$D$4:$AY$138, MATCH('Staging Table'!$A51, LS_previous!$B$4:$B$138, 0), MATCH(O$4&amp;O$5, LS_previous!$D$2:$AY$2&amp;LS_previous!$D$3:$AY$3, 0)),SUM(VLOOKUP($A51, LS_previous!$B$4:$AY$138, LS_previous!G$149, FALSE), VLOOKUP('Staging Table'!$A51, LS_previous!$B$4:$AY$138,LS_previous!AE$149, FALSE))/2)</f>
        <v>4.5828728946438133</v>
      </c>
      <c r="P51" s="180">
        <f t="array" ref="P51">IF($G51=0, INDEX(LS_previous!$D$4:$AY$138, MATCH('Staging Table'!$A51, LS_previous!$B$4:$B$138, 0), MATCH(P$4&amp;P$5, LS_previous!$D$2:$AY$2&amp;LS_previous!$D$3:$AY$3, 0)),SUM(VLOOKUP($A51, LS_previous!$B$4:$AY$138, LS_previous!H$149, FALSE), VLOOKUP('Staging Table'!$A51, LS_previous!$B$4:$AY$138,LS_previous!AF$149, FALSE))/2)</f>
        <v>2.7002979111523047</v>
      </c>
      <c r="Q51" s="180">
        <f t="array" ref="Q51">IF($G51=0, INDEX(LS_previous!$D$4:$AY$138, MATCH('Staging Table'!$A51, LS_previous!$B$4:$B$138, 0), MATCH(Q$4&amp;Q$5, LS_previous!$D$2:$AY$2&amp;LS_previous!$D$3:$AY$3, 0)),SUM(VLOOKUP($A51, LS_previous!$B$4:$AY$138, LS_previous!I$149, FALSE), VLOOKUP('Staging Table'!$A51, LS_previous!$B$4:$AY$138,LS_previous!AG$149, FALSE))/2)</f>
        <v>3.5614158321348981</v>
      </c>
      <c r="R51" s="180">
        <f t="array" ref="R51">IF($G51=0, INDEX(LS_previous!$D$4:$AY$138, MATCH('Staging Table'!$A51, LS_previous!$B$4:$B$138, 0), MATCH(R$4&amp;R$5, LS_previous!$D$2:$AY$2&amp;LS_previous!$D$3:$AY$3, 0)),SUM(VLOOKUP($A51, LS_previous!$B$4:$AY$138, LS_previous!J$149, FALSE), VLOOKUP('Staging Table'!$A51, LS_previous!$B$4:$AY$138,LS_previous!AH$149, FALSE))/2)</f>
        <v>25.615132848479504</v>
      </c>
      <c r="S51" s="180">
        <f t="array" ref="S51">IF($G51=0, INDEX(LS_previous!$D$4:$AY$138, MATCH('Staging Table'!$A51, LS_previous!$B$4:$B$138, 0), MATCH(S$4&amp;S$5, LS_previous!$D$2:$AY$2&amp;LS_previous!$D$3:$AY$3, 0)),SUM(VLOOKUP($A51, LS_previous!$B$4:$AY$138, LS_previous!K$149, FALSE), VLOOKUP('Staging Table'!$A51, LS_previous!$B$4:$AY$138,LS_previous!AI$149, FALSE))/2)</f>
        <v>21.195071947195117</v>
      </c>
      <c r="T51" s="180">
        <f t="array" ref="T51">IF($G51=0, INDEX(LS_previous!$D$4:$AY$138, MATCH('Staging Table'!$A51, LS_previous!$B$4:$B$138, 0), MATCH(T$4&amp;T$5, LS_previous!$D$2:$AY$2&amp;LS_previous!$D$3:$AY$3, 0)),SUM(VLOOKUP($A51, LS_previous!$B$4:$AY$138, LS_previous!L$149, FALSE), VLOOKUP('Staging Table'!$A51, LS_previous!$B$4:$AY$138,LS_previous!AJ$149, FALSE))/2)</f>
        <v>33.115578082451421</v>
      </c>
      <c r="U51" s="180">
        <f t="array" ref="U51">IF($G51=0, INDEX(LS_previous!$D$4:$AY$138, MATCH('Staging Table'!$A51, LS_previous!$B$4:$B$138, 0), MATCH(U$4&amp;U$5, LS_previous!$D$2:$AY$2&amp;LS_previous!$D$3:$AY$3, 0)),SUM(VLOOKUP($A51, LS_previous!$B$4:$AY$138, LS_previous!M$149, FALSE), VLOOKUP('Staging Table'!$A51, LS_previous!$B$4:$AY$138,LS_previous!AK$149, FALSE))/2)</f>
        <v>22.372773770342306</v>
      </c>
      <c r="V51" s="180">
        <f t="array" ref="V51">IF($G51=0, INDEX(LS_previous!$D$4:$AY$138, MATCH('Staging Table'!$A51, LS_previous!$B$4:$B$138, 0), MATCH(V$4&amp;V$5, LS_previous!$D$2:$AY$2&amp;LS_previous!$D$3:$AY$3, 0)),SUM(VLOOKUP($A51, LS_previous!$B$4:$AY$138, LS_previous!N$149, FALSE), VLOOKUP('Staging Table'!$A51, LS_previous!$B$4:$AY$138,LS_previous!AL$149, FALSE))/2)</f>
        <v>17.446776107769722</v>
      </c>
      <c r="W51" s="180">
        <f t="array" ref="W51">IF($G51=0, INDEX(LS_previous!$D$4:$AY$138, MATCH('Staging Table'!$A51, LS_previous!$B$4:$B$138, 0), MATCH(W$4&amp;W$5, LS_previous!$D$2:$AY$2&amp;LS_previous!$D$3:$AY$3, 0)),SUM(VLOOKUP($A51, LS_previous!$B$4:$AY$138, LS_previous!O$149, FALSE), VLOOKUP('Staging Table'!$A51, LS_previous!$B$4:$AY$138,LS_previous!AM$149, FALSE))/2)</f>
        <v>17.705810796471198</v>
      </c>
      <c r="X51" s="180">
        <f t="array" ref="X51">IF($G51=0, INDEX(LS_previous!$D$4:$AY$138, MATCH('Staging Table'!$A51, LS_previous!$B$4:$B$138, 0), MATCH(X$4&amp;X$5, LS_previous!$D$2:$AY$2&amp;LS_previous!$D$3:$AY$3, 0)),SUM(VLOOKUP($A51, LS_previous!$B$4:$AY$138, LS_previous!P$149, FALSE), VLOOKUP('Staging Table'!$A51, LS_previous!$B$4:$AY$138,LS_previous!AN$149, FALSE))/2)</f>
        <v>33.67550103312972</v>
      </c>
      <c r="Y51" s="180">
        <f t="array" ref="Y51">IF($G51=0, INDEX(LS_previous!$D$4:$AY$138, MATCH('Staging Table'!$A51, LS_previous!$B$4:$B$138, 0), MATCH(Y$4&amp;Y$5, LS_previous!$D$2:$AY$2&amp;LS_previous!$D$3:$AY$3, 0)),SUM(VLOOKUP($A51, LS_previous!$B$4:$AY$138, LS_previous!Q$149, FALSE), VLOOKUP('Staging Table'!$A51, LS_previous!$B$4:$AY$138,LS_previous!AO$149, FALSE))/2)</f>
        <v>29.057614106051595</v>
      </c>
      <c r="Z51" s="180">
        <f t="array" ref="Z51">IF($G51=0, INDEX(LS_previous!$D$4:$AY$138, MATCH('Staging Table'!$A51, LS_previous!$B$4:$B$138, 0), MATCH(Z$4&amp;Z$5, LS_previous!$D$2:$AY$2&amp;LS_previous!$D$3:$AY$3, 0)),SUM(VLOOKUP($A51, LS_previous!$B$4:$AY$138, LS_previous!R$149, FALSE), VLOOKUP('Staging Table'!$A51, LS_previous!$B$4:$AY$138,LS_previous!AP$149, FALSE))/2)</f>
        <v>-23.243851506969889</v>
      </c>
      <c r="AA51" s="180">
        <f t="array" ref="AA51">IF($G51=0, INDEX(LS_previous!$D$4:$AY$138, MATCH('Staging Table'!$A51, LS_previous!$B$4:$B$138, 0), MATCH(AA$4&amp;AA$5, LS_previous!$D$2:$AY$2&amp;LS_previous!$D$3:$AY$3, 0)),SUM(VLOOKUP($A51, LS_previous!$B$4:$AY$138, LS_previous!S$149, FALSE), VLOOKUP('Staging Table'!$A51, LS_previous!$B$4:$AY$138,LS_previous!AQ$149, FALSE))/2)</f>
        <v>10.821701804590909</v>
      </c>
      <c r="AB51" s="180">
        <f t="array" ref="AB51">IF($G51=0, INDEX(LS_previous!$D$4:$AY$138, MATCH('Staging Table'!$A51, LS_previous!$B$4:$B$138, 0), MATCH(AB$4&amp;AB$5, LS_previous!$D$2:$AY$2&amp;LS_previous!$D$3:$AY$3, 0)),SUM(VLOOKUP($A51, LS_previous!$B$4:$AY$138, LS_previous!T$149, FALSE), VLOOKUP('Staging Table'!$A51, LS_previous!$B$4:$AY$138,LS_previous!AR$149, FALSE))/2)</f>
        <v>-33.13243979605619</v>
      </c>
      <c r="AC51" s="180">
        <f t="array" ref="AC51">IF($G51=0, INDEX(LS_previous!$D$4:$AY$138, MATCH('Staging Table'!$A51, LS_previous!$B$4:$B$138, 0), MATCH(AC$4&amp;AC$5, LS_previous!$D$2:$AY$2&amp;LS_previous!$D$3:$AY$3, 0)),SUM(VLOOKUP($A51, LS_previous!$B$4:$AY$138, LS_previous!U$149, FALSE), VLOOKUP('Staging Table'!$A51, LS_previous!$B$4:$AY$138,LS_previous!AS$149, FALSE))/2)</f>
        <v>15.442405118221501</v>
      </c>
      <c r="AD51" s="180">
        <f t="array" ref="AD51">IF($G51=0, INDEX(LS_previous!$D$4:$AY$138, MATCH('Staging Table'!$A51, LS_previous!$B$4:$B$138, 0), MATCH(AD$4&amp;AD$5, LS_previous!$D$2:$AY$2&amp;LS_previous!$D$3:$AY$3, 0)),SUM(VLOOKUP($A51, LS_previous!$B$4:$AY$138, LS_previous!V$149, FALSE), VLOOKUP('Staging Table'!$A51, LS_previous!$B$4:$AY$138,LS_previous!AT$149, FALSE))/2)</f>
        <v>-23.899925784656489</v>
      </c>
      <c r="AE51" s="180">
        <f t="array" ref="AE51">IF($G51=0, INDEX(LS_previous!$D$4:$AY$138, MATCH('Staging Table'!$A51, LS_previous!$B$4:$B$138, 0), MATCH(AE$4&amp;AE$5, LS_previous!$D$2:$AY$2&amp;LS_previous!$D$3:$AY$3, 0)),SUM(VLOOKUP($A51, LS_previous!$B$4:$AY$138, LS_previous!W$149, FALSE), VLOOKUP('Staging Table'!$A51, LS_previous!$B$4:$AY$138,LS_previous!AU$149, FALSE))/2)</f>
        <v>2.3656190816170053</v>
      </c>
      <c r="AF51" s="180">
        <f t="array" ref="AF51">IF($G51=0, INDEX(LS_previous!$D$4:$AY$138, MATCH('Staging Table'!$A51, LS_previous!$B$4:$B$138, 0), MATCH(AF$4&amp;AF$5, LS_previous!$D$2:$AY$2&amp;LS_previous!$D$3:$AY$3, 0)),SUM(VLOOKUP($A51, LS_previous!$B$4:$AY$138, LS_previous!X$149, FALSE), VLOOKUP('Staging Table'!$A51, LS_previous!$B$4:$AY$138,LS_previous!AV$149, FALSE))/2)</f>
        <v>-30.432344748962876</v>
      </c>
      <c r="AG51" s="180">
        <f t="array" ref="AG51">IF($G51=0, INDEX(LS_previous!$D$4:$AY$138, MATCH('Staging Table'!$A51, LS_previous!$B$4:$B$138, 0), MATCH(AG$4&amp;AG$5, LS_previous!$D$2:$AY$2&amp;LS_previous!$D$3:$AY$3, 0)),SUM(VLOOKUP($A51, LS_previous!$B$4:$AY$138, LS_previous!Y$149, FALSE), VLOOKUP('Staging Table'!$A51, LS_previous!$B$4:$AY$138,LS_previous!AW$149, FALSE))/2)</f>
        <v>-0.56476703418319119</v>
      </c>
      <c r="AH51" s="180">
        <f t="array" ref="AH51">IF($G51=0, INDEX(LS_previous!$D$4:$AY$138, MATCH('Staging Table'!$A51, LS_previous!$B$4:$B$138, 0), MATCH(AH$4&amp;AH$5, LS_previous!$D$2:$AY$2&amp;LS_previous!$D$3:$AY$3, 0)),SUM(VLOOKUP($A51, LS_previous!$B$4:$AY$138, LS_previous!Z$149, FALSE), VLOOKUP('Staging Table'!$A51, LS_previous!$B$4:$AY$138,LS_previous!AX$149, FALSE))/2)</f>
        <v>-6.9458567997320984</v>
      </c>
      <c r="AI51" s="180">
        <f t="array" ref="AI51">IF($G51=0, INDEX(LS_previous!$D$4:$AY$138, MATCH('Staging Table'!$A51, LS_previous!$B$4:$B$138, 0), MATCH(AI$4&amp;AI$5, LS_previous!$D$2:$AY$2&amp;LS_previous!$D$3:$AY$3, 0)),SUM(VLOOKUP($A51, LS_previous!$B$4:$AY$138, LS_previous!AA$149, FALSE), VLOOKUP('Staging Table'!$A51, LS_previous!$B$4:$AY$138,LS_previous!AY$149, FALSE))/2)</f>
        <v>7.7646565290541147</v>
      </c>
      <c r="AJ51" s="298">
        <f t="array" ref="AJ51">INDEX(Demand_previous!$D$4:$AY$138, MATCH('Staging Table'!$A51, Demand_previous!$B$4:$B$138, 0), MATCH(AJ$4&amp;AJ$5,Demand_previous!$D$2:$AY$2&amp;Demand_previous!$D$3:$AY$3, 0))/1000</f>
        <v>0</v>
      </c>
      <c r="AK51" s="298">
        <f t="array" ref="AK51">INDEX(Demand_previous!$D$4:$AY$138, MATCH('Staging Table'!$A51, Demand_previous!$B$4:$B$138, 0), MATCH(AK$4&amp;AK$5,Demand_previous!$D$2:$AY$2&amp;Demand_previous!$D$3:$AY$3, 0))/1000</f>
        <v>0</v>
      </c>
      <c r="AL51" s="298">
        <f t="array" ref="AL51">INDEX(Demand_previous!$D$4:$AY$138, MATCH('Staging Table'!$A51, Demand_previous!$B$4:$B$138, 0), MATCH(AL$4&amp;AL$5,Demand_previous!$D$2:$AY$2&amp;Demand_previous!$D$3:$AY$3, 0))/1000</f>
        <v>0</v>
      </c>
      <c r="AM51" s="298">
        <f t="array" ref="AM51">INDEX(Demand_previous!$D$4:$AY$138, MATCH('Staging Table'!$A51, Demand_previous!$B$4:$B$138, 0), MATCH(AM$4&amp;AM$5,Demand_previous!$D$2:$AY$2&amp;Demand_previous!$D$3:$AY$3, 0))/1000</f>
        <v>0</v>
      </c>
      <c r="AN51" s="298">
        <f t="array" ref="AN51">INDEX(Demand_previous!$D$4:$AY$138, MATCH('Staging Table'!$A51, Demand_previous!$B$4:$B$138, 0), MATCH(AN$4&amp;AN$5,Demand_previous!$D$2:$AY$2&amp;Demand_previous!$D$3:$AY$3, 0))/1000</f>
        <v>0</v>
      </c>
      <c r="AO51" s="298">
        <f t="array" ref="AO51">INDEX(Demand_previous!$D$4:$AY$138, MATCH('Staging Table'!$A51, Demand_previous!$B$4:$B$138, 0), MATCH(AO$4&amp;AO$5,Demand_previous!$D$2:$AY$2&amp;Demand_previous!$D$3:$AY$3, 0))/1000</f>
        <v>0</v>
      </c>
      <c r="AP51" s="298">
        <f t="array" ref="AP51">INDEX(Demand_previous!$D$4:$AY$138, MATCH('Staging Table'!$A51, Demand_previous!$B$4:$B$138, 0), MATCH(AP$4&amp;AP$5,Demand_previous!$D$2:$AY$2&amp;Demand_previous!$D$3:$AY$3, 0))/1000</f>
        <v>0</v>
      </c>
      <c r="AQ51" s="298">
        <f t="array" ref="AQ51">INDEX(Demand_previous!$D$4:$AY$138, MATCH('Staging Table'!$A51, Demand_previous!$B$4:$B$138, 0), MATCH(AQ$4&amp;AQ$5,Demand_previous!$D$2:$AY$2&amp;Demand_previous!$D$3:$AY$3, 0))/1000</f>
        <v>0</v>
      </c>
      <c r="AR51" s="298">
        <f t="array" ref="AR51">INDEX(Demand_previous!$D$4:$AY$138, MATCH('Staging Table'!$A51, Demand_previous!$B$4:$B$138, 0), MATCH(AR$4&amp;AR$5,Demand_previous!$D$2:$AY$2&amp;Demand_previous!$D$3:$AY$3, 0))/1000</f>
        <v>0</v>
      </c>
      <c r="AS51" s="298">
        <f t="array" ref="AS51">INDEX(Demand_previous!$D$4:$AY$138, MATCH('Staging Table'!$A51, Demand_previous!$B$4:$B$138, 0), MATCH(AS$4&amp;AS$5,Demand_previous!$D$2:$AY$2&amp;Demand_previous!$D$3:$AY$3, 0))/1000</f>
        <v>0</v>
      </c>
      <c r="AT51" s="298">
        <f t="array" ref="AT51">INDEX(Demand_previous!$D$4:$AY$138, MATCH('Staging Table'!$A51, Demand_previous!$B$4:$B$138, 0), MATCH(AT$4&amp;AT$5,Demand_previous!$D$2:$AY$2&amp;Demand_previous!$D$3:$AY$3, 0))/1000</f>
        <v>0</v>
      </c>
      <c r="AU51" s="298">
        <f t="array" ref="AU51">INDEX(Demand_previous!$D$4:$AY$138, MATCH('Staging Table'!$A51, Demand_previous!$B$4:$B$138, 0), MATCH(AU$4&amp;AU$5,Demand_previous!$D$2:$AY$2&amp;Demand_previous!$D$3:$AY$3, 0))/1000</f>
        <v>0</v>
      </c>
      <c r="AV51" s="180">
        <f>$F51*(VLOOKUP(AV$4, Rates_previous!$G$6:$Q$29, 10, FALSE)+VLOOKUP(AV$4, Rates_previous!$G$6:$Q$29, 11, FALSE))</f>
        <v>146.63636634856857</v>
      </c>
      <c r="AW51" s="180">
        <f>$F51*(VLOOKUP(AW$4, Rates_previous!$G$6:$Q$29, 10, FALSE)+VLOOKUP(AW$4, Rates_previous!$G$6:$Q$29, 11, FALSE))</f>
        <v>185.64696159724329</v>
      </c>
      <c r="AX51" s="180">
        <f>$F51*(VLOOKUP(AX$4, Rates_previous!$G$6:$Q$29, 10, FALSE)+VLOOKUP(AX$4, Rates_previous!$G$6:$Q$29, 11, FALSE))</f>
        <v>181.71128625671281</v>
      </c>
      <c r="AY51" s="180">
        <f>$F51*(VLOOKUP(AY$4, Rates_previous!$G$6:$Q$29, 10, FALSE)+VLOOKUP(AY$4, Rates_previous!$G$6:$Q$29, 11, FALSE))</f>
        <v>150.08579520432539</v>
      </c>
      <c r="AZ51" s="180">
        <f>$F51*(VLOOKUP(AZ$4, Rates_previous!$G$6:$Q$29, 10, FALSE)+VLOOKUP(AZ$4, Rates_previous!$G$6:$Q$29, 11, FALSE))</f>
        <v>130.08264814720627</v>
      </c>
      <c r="BA51" s="180">
        <f>$F51*(VLOOKUP(BA$4, Rates_previous!$G$6:$Q$29, 10, FALSE)+VLOOKUP(BA$4, Rates_previous!$G$6:$Q$29, 11, FALSE))</f>
        <v>155.29241309575909</v>
      </c>
      <c r="BB51" s="180">
        <f>$F51*(VLOOKUP(BB$4, Rates_previous!$G$6:$Q$29, 10, FALSE)+VLOOKUP(BB$4, Rates_previous!$G$6:$Q$29, 11, FALSE))</f>
        <v>120.56388486081869</v>
      </c>
      <c r="BC51" s="180">
        <f>$F51*(VLOOKUP(BC$4, Rates_previous!$G$6:$Q$29, 10, FALSE)+VLOOKUP(BC$4, Rates_previous!$G$6:$Q$29, 11, FALSE))</f>
        <v>167.04214970237896</v>
      </c>
      <c r="BD51" s="180">
        <f>$F51*(VLOOKUP(BD$4, Rates_previous!$G$6:$Q$29, 10, FALSE)+VLOOKUP(BD$4, Rates_previous!$G$6:$Q$29, 11, FALSE))</f>
        <v>178.48803467783469</v>
      </c>
      <c r="BE51" s="180">
        <f>$F51*(VLOOKUP(BE$4, Rates_previous!$G$6:$Q$29, 10, FALSE)+VLOOKUP(BE$4, Rates_previous!$G$6:$Q$29, 11, FALSE))</f>
        <v>169.46630670303949</v>
      </c>
      <c r="BF51" s="180">
        <f>$F51*(VLOOKUP(BF$4, Rates_previous!$G$6:$Q$29, 10, FALSE)+VLOOKUP(BF$4, Rates_previous!$G$6:$Q$29, 11, FALSE))</f>
        <v>163.77611178314606</v>
      </c>
      <c r="BG51" s="180">
        <f>$F51*(VLOOKUP(BG$4, Rates_previous!$G$6:$Q$29, 10, FALSE)+VLOOKUP(BG$4, Rates_previous!$G$6:$Q$29, 11, FALSE))</f>
        <v>151.346200270678</v>
      </c>
      <c r="BH51" s="298">
        <f>IF($D51=0,IF(C51=0, MAX(BJ51 - (VLOOKUP($A51,TOCA_previous!$A$2:$AI$137,MATCH("RHWM 2022",TOCA_previous!$A$2:$AI$2,0),FALSE)*$F$2*TOCA_previous!C48),0),0), 0)</f>
        <v>141.99309720028873</v>
      </c>
      <c r="BI51" s="192">
        <f>MIN(VLOOKUP($A51,TOCA_previous!$A$2:$AI$137,MATCH("TRL - NLSL - Existing Resource "&amp;$F$1,TOCA_previous!$A$2:$AI$2,0),FALSE)*$F$2,(VLOOKUP($A51,TOCA_previous!$A$2:$AI$137,MATCH("RHWM 2022",TOCA_previous!$A$2:$AI$2,0),FALSE)*$F$2))</f>
        <v>1900.92</v>
      </c>
      <c r="BJ51" s="402">
        <f>SUM(L51:AI51)+(F51*RT1SC!$C$3*$F$2)</f>
        <v>2042.9130972002888</v>
      </c>
      <c r="BK51" s="401">
        <f>VLOOKUP($A51,TOCA_previous!$A$2:$AI$137,MATCH("Above RHWM Not Served with LS "&amp;$F$1,TOCA_previous!$A$2:$AI$2,0),FALSE)*$F$2</f>
        <v>0</v>
      </c>
      <c r="BL51" s="402">
        <f t="shared" si="8"/>
        <v>141.99309720028873</v>
      </c>
      <c r="BM51" s="401">
        <f>(VLOOKUP($A51,TOCA_previous!$A$2:$AI$137,MATCH("RHWM 2022",TOCA_previous!$A$2:$AI$2,0),FALSE)*$F$2) - $BI51</f>
        <v>0</v>
      </c>
      <c r="BN51" s="402">
        <f t="shared" si="9"/>
        <v>0</v>
      </c>
      <c r="BO51" s="401">
        <f t="shared" si="10"/>
        <v>0</v>
      </c>
      <c r="BP51" s="402">
        <f t="shared" si="11"/>
        <v>0</v>
      </c>
      <c r="BQ51" s="401">
        <f t="shared" si="18"/>
        <v>0</v>
      </c>
      <c r="BR51" s="108">
        <f>VLOOKUP($A51,TOCA_current!$A$2:$AI$137,MATCH(BR$4,TOCA_current!$A$2:$AI$2,0),FALSE)</f>
        <v>3.2299999999999999E-5</v>
      </c>
      <c r="BS51" s="108">
        <f>VLOOKUP($A51,TOCA_current!$A$2:$AI$137,MATCH(BS$4,TOCA_current!$A$2:$AI$2,0),FALSE)</f>
        <v>3.2299999999999999E-5</v>
      </c>
      <c r="BT51" s="189">
        <f t="shared" si="12"/>
        <v>0</v>
      </c>
      <c r="BU51" s="108">
        <f>VLOOKUP($A51,TOCA_current!A47:BG182,MATCH(BU$4,TOCA_current!$A$2:$BG$2,0),FALSE)</f>
        <v>0</v>
      </c>
      <c r="BV51" s="108">
        <f t="shared" si="19"/>
        <v>0</v>
      </c>
      <c r="BW51" s="108">
        <f t="shared" si="20"/>
        <v>0</v>
      </c>
      <c r="BX51" s="179">
        <f>VLOOKUP($A51,IRD!$A$4:$G$139, 7, FALSE)</f>
        <v>0</v>
      </c>
      <c r="BY51" s="180">
        <f t="array" ref="BY51">IF($BT51=0, INDEX(LS_current!$D$4:$AY$138, MATCH('Staging Table'!$A51, LS_current!$B$4:$B$138, 0), MATCH(BY$4&amp;BY$5, LS_current!$D$2:$AY$2&amp;LS_current!$D$3:$AY$3, 0)),SUM(VLOOKUP($A51, LS_current!$B$4:$AY$138, LS_current!D$148, FALSE), VLOOKUP($A51, LS_current!$B$4:$AY$138,LS_current!AB$148, FALSE))/2)</f>
        <v>18.542057637200003</v>
      </c>
      <c r="BZ51" s="180">
        <f t="array" ref="BZ51">IF($BT51=0, INDEX(LS_current!$D$4:$AY$138, MATCH('Staging Table'!$A51, LS_current!$B$4:$B$138, 0), MATCH(BZ$4&amp;BZ$5, LS_current!$D$2:$AY$2&amp;LS_current!$D$3:$AY$3, 0)),SUM(VLOOKUP($A51, LS_current!$B$4:$AY$138, LS_current!E$148, FALSE), VLOOKUP($A51, LS_current!$B$4:$AY$138,LS_current!AC$148, FALSE))/2)</f>
        <v>20.962580866350002</v>
      </c>
      <c r="CA51" s="180">
        <f t="array" ref="CA51">IF($BT51=0, INDEX(LS_current!$D$4:$AY$138, MATCH('Staging Table'!$A51, LS_current!$B$4:$B$138, 0), MATCH(CA$4&amp;CA$5, LS_current!$D$2:$AY$2&amp;LS_current!$D$3:$AY$3, 0)),SUM(VLOOKUP($A51, LS_current!$B$4:$AY$138, LS_current!F$148, FALSE), VLOOKUP($A51, LS_current!$B$4:$AY$138,LS_current!AD$148, FALSE))/2)</f>
        <v>-7.0859406944000085</v>
      </c>
      <c r="CB51" s="180">
        <f t="array" ref="CB51">IF($BT51=0, INDEX(LS_current!$D$4:$AY$138, MATCH('Staging Table'!$A51, LS_current!$B$4:$B$138, 0), MATCH(CB$4&amp;CB$5, LS_current!$D$2:$AY$2&amp;LS_current!$D$3:$AY$3, 0)),SUM(VLOOKUP($A51, LS_current!$B$4:$AY$138, LS_current!G$148, FALSE), VLOOKUP($A51, LS_current!$B$4:$AY$138,LS_current!AE$148, FALSE))/2)</f>
        <v>7.9651202187000081</v>
      </c>
      <c r="CC51" s="180">
        <f t="array" ref="CC51">IF($BT51=0, INDEX(LS_current!$D$4:$AY$138, MATCH('Staging Table'!$A51, LS_current!$B$4:$B$138, 0), MATCH(CC$4&amp;CC$5, LS_current!$D$2:$AY$2&amp;LS_current!$D$3:$AY$3, 0)),SUM(VLOOKUP($A51, LS_current!$B$4:$AY$138, LS_current!H$148, FALSE), VLOOKUP($A51, LS_current!$B$4:$AY$138,LS_current!AF$148, FALSE))/2)</f>
        <v>-7.2026893696999963</v>
      </c>
      <c r="CD51" s="180">
        <f t="array" ref="CD51">IF($BT51=0, INDEX(LS_current!$D$4:$AY$138, MATCH('Staging Table'!$A51, LS_current!$B$4:$B$138, 0), MATCH(CD$4&amp;CD$5, LS_current!$D$2:$AY$2&amp;LS_current!$D$3:$AY$3, 0)),SUM(VLOOKUP($A51, LS_current!$B$4:$AY$138, LS_current!I$148, FALSE), VLOOKUP($A51, LS_current!$B$4:$AY$138,LS_current!AG$148, FALSE))/2)</f>
        <v>7.6264036192000049</v>
      </c>
      <c r="CE51" s="180">
        <f t="array" ref="CE51">IF($BT51=0, INDEX(LS_current!$D$4:$AY$138, MATCH('Staging Table'!$A51, LS_current!$B$4:$B$138, 0), MATCH(CE$4&amp;CE$5, LS_current!$D$2:$AY$2&amp;LS_current!$D$3:$AY$3, 0)),SUM(VLOOKUP($A51, LS_current!$B$4:$AY$138, LS_current!J$148, FALSE), VLOOKUP($A51, LS_current!$B$4:$AY$138,LS_current!AH$148, FALSE))/2)</f>
        <v>-9.6668423944999944</v>
      </c>
      <c r="CF51" s="180">
        <f t="array" ref="CF51">IF($BT51=0, INDEX(LS_current!$D$4:$AY$138, MATCH('Staging Table'!$A51, LS_current!$B$4:$B$138, 0), MATCH(CF$4&amp;CF$5, LS_current!$D$2:$AY$2&amp;LS_current!$D$3:$AY$3, 0)),SUM(VLOOKUP($A51, LS_current!$B$4:$AY$138, LS_current!K$148, FALSE), VLOOKUP($A51, LS_current!$B$4:$AY$138,LS_current!AI$148, FALSE))/2)</f>
        <v>11.670141663300001</v>
      </c>
      <c r="CG51" s="180">
        <f t="array" ref="CG51">IF($BT51=0, INDEX(LS_current!$D$4:$AY$138, MATCH('Staging Table'!$A51, LS_current!$B$4:$B$138, 0), MATCH(CG$4&amp;CG$5, LS_current!$D$2:$AY$2&amp;LS_current!$D$3:$AY$3, 0)),SUM(VLOOKUP($A51, LS_current!$B$4:$AY$138, LS_current!L$148, FALSE), VLOOKUP($A51, LS_current!$B$4:$AY$138,LS_current!AJ$148, FALSE))/2)</f>
        <v>2.0891331083000182</v>
      </c>
      <c r="CH51" s="180">
        <f t="array" ref="CH51">IF($BT51=0, INDEX(LS_current!$D$4:$AY$138, MATCH('Staging Table'!$A51, LS_current!$B$4:$B$138, 0), MATCH(CH$4&amp;CH$5, LS_current!$D$2:$AY$2&amp;LS_current!$D$3:$AY$3, 0)),SUM(VLOOKUP($A51, LS_current!$B$4:$AY$138, LS_current!M$148, FALSE), VLOOKUP($A51, LS_current!$B$4:$AY$138,LS_current!AK$148, FALSE))/2)</f>
        <v>15.848166724299993</v>
      </c>
      <c r="CI51" s="180">
        <f t="array" ref="CI51">IF($BT51=0, INDEX(LS_current!$D$4:$AY$138, MATCH('Staging Table'!$A51, LS_current!$B$4:$B$138, 0), MATCH(CI$4&amp;CI$5, LS_current!$D$2:$AY$2&amp;LS_current!$D$3:$AY$3, 0)),SUM(VLOOKUP($A51, LS_current!$B$4:$AY$138, LS_current!N$148, FALSE), VLOOKUP($A51, LS_current!$B$4:$AY$138,LS_current!AL$148, FALSE))/2)</f>
        <v>1.3856126501000006</v>
      </c>
      <c r="CJ51" s="180">
        <f t="array" ref="CJ51">IF($BT51=0, INDEX(LS_current!$D$4:$AY$138, MATCH('Staging Table'!$A51, LS_current!$B$4:$B$138, 0), MATCH(CJ$4&amp;CJ$5, LS_current!$D$2:$AY$2&amp;LS_current!$D$3:$AY$3, 0)),SUM(VLOOKUP($A51, LS_current!$B$4:$AY$138, LS_current!O$148, FALSE), VLOOKUP($A51, LS_current!$B$4:$AY$138,LS_current!AM$148, FALSE))/2)</f>
        <v>6.0365765706000047</v>
      </c>
      <c r="CK51" s="180">
        <f t="array" ref="CK51">IF($BT51=0, INDEX(LS_current!$D$4:$AY$138, MATCH('Staging Table'!$A51, LS_current!$B$4:$B$138, 0), MATCH(CK$4&amp;CK$5, LS_current!$D$2:$AY$2&amp;LS_current!$D$3:$AY$3, 0)),SUM(VLOOKUP($A51, LS_current!$B$4:$AY$138, LS_current!P$148, FALSE), VLOOKUP($A51, LS_current!$B$4:$AY$138,LS_current!AN$148, FALSE))/2)</f>
        <v>20.037228786750006</v>
      </c>
      <c r="CL51" s="180">
        <f t="array" ref="CL51">IF($BT51=0, INDEX(LS_current!$D$4:$AY$138, MATCH('Staging Table'!$A51, LS_current!$B$4:$B$138, 0), MATCH(CL$4&amp;CL$5, LS_current!$D$2:$AY$2&amp;LS_current!$D$3:$AY$3, 0)),SUM(VLOOKUP($A51, LS_current!$B$4:$AY$138, LS_current!Q$148, FALSE), VLOOKUP($A51, LS_current!$B$4:$AY$138,LS_current!AO$148, FALSE))/2)</f>
        <v>18.794105185475004</v>
      </c>
      <c r="CM51" s="180">
        <f t="array" ref="CM51">IF($BT51=0, INDEX(LS_current!$D$4:$AY$138, MATCH('Staging Table'!$A51, LS_current!$B$4:$B$138, 0), MATCH(CM$4&amp;CM$5, LS_current!$D$2:$AY$2&amp;LS_current!$D$3:$AY$3, 0)),SUM(VLOOKUP($A51, LS_current!$B$4:$AY$138, LS_current!R$148, FALSE), VLOOKUP($A51, LS_current!$B$4:$AY$138,LS_current!AP$148, FALSE))/2)</f>
        <v>-19.591684190400002</v>
      </c>
      <c r="CN51" s="180">
        <f t="array" ref="CN51">IF($BT51=0, INDEX(LS_current!$D$4:$AY$138, MATCH('Staging Table'!$A51, LS_current!$B$4:$B$138, 0), MATCH(CN$4&amp;CN$5, LS_current!$D$2:$AY$2&amp;LS_current!$D$3:$AY$3, 0)),SUM(VLOOKUP($A51, LS_current!$B$4:$AY$138, LS_current!S$148, FALSE), VLOOKUP($A51, LS_current!$B$4:$AY$138,LS_current!AQ$148, FALSE))/2)</f>
        <v>-5.0173338195499895</v>
      </c>
      <c r="CO51" s="180">
        <f t="array" ref="CO51">IF($BT51=0, INDEX(LS_current!$D$4:$AY$138, MATCH('Staging Table'!$A51, LS_current!$B$4:$B$138, 0), MATCH(CO$4&amp;CO$5, LS_current!$D$2:$AY$2&amp;LS_current!$D$3:$AY$3, 0)),SUM(VLOOKUP($A51, LS_current!$B$4:$AY$138, LS_current!T$148, FALSE), VLOOKUP($A51, LS_current!$B$4:$AY$138,LS_current!AR$148, FALSE))/2)</f>
        <v>-20.836256009799996</v>
      </c>
      <c r="CP51" s="180">
        <f t="array" ref="CP51">IF($BT51=0, INDEX(LS_current!$D$4:$AY$138, MATCH('Staging Table'!$A51, LS_current!$B$4:$B$138, 0), MATCH(CP$4&amp;CP$5, LS_current!$D$2:$AY$2&amp;LS_current!$D$3:$AY$3, 0)),SUM(VLOOKUP($A51, LS_current!$B$4:$AY$138, LS_current!U$148, FALSE), VLOOKUP($A51, LS_current!$B$4:$AY$138,LS_current!AS$148, FALSE))/2)</f>
        <v>-1.4835842603499998</v>
      </c>
      <c r="CQ51" s="180">
        <f t="array" ref="CQ51">IF($BT51=0, INDEX(LS_current!$D$4:$AY$138, MATCH('Staging Table'!$A51, LS_current!$B$4:$B$138, 0), MATCH(CQ$4&amp;CQ$5, LS_current!$D$2:$AY$2&amp;LS_current!$D$3:$AY$3, 0)),SUM(VLOOKUP($A51, LS_current!$B$4:$AY$138, LS_current!V$148, FALSE), VLOOKUP($A51, LS_current!$B$4:$AY$138,LS_current!AT$148, FALSE))/2)</f>
        <v>-10.093125977200003</v>
      </c>
      <c r="CR51" s="180">
        <f t="array" ref="CR51">IF($BT51=0, INDEX(LS_current!$D$4:$AY$138, MATCH('Staging Table'!$A51, LS_current!$B$4:$B$138, 0), MATCH(CR$4&amp;CR$5, LS_current!$D$2:$AY$2&amp;LS_current!$D$3:$AY$3, 0)),SUM(VLOOKUP($A51, LS_current!$B$4:$AY$138, LS_current!W$148, FALSE), VLOOKUP($A51, LS_current!$B$4:$AY$138,LS_current!AU$148, FALSE))/2)</f>
        <v>-0.94754086824999462</v>
      </c>
      <c r="CS51" s="180">
        <f t="array" ref="CS51">IF($BT51=0, INDEX(LS_current!$D$4:$AY$138, MATCH('Staging Table'!$A51, LS_current!$B$4:$B$138, 0), MATCH(CS$4&amp;CS$5, LS_current!$D$2:$AY$2&amp;LS_current!$D$3:$AY$3, 0)),SUM(VLOOKUP($A51, LS_current!$B$4:$AY$138, LS_current!X$148, FALSE), VLOOKUP($A51, LS_current!$B$4:$AY$138,LS_current!AV$148, FALSE))/2)</f>
        <v>-17.629772539450002</v>
      </c>
      <c r="CT51" s="180">
        <f t="array" ref="CT51">IF($BT51=0, INDEX(LS_current!$D$4:$AY$138, MATCH('Staging Table'!$A51, LS_current!$B$4:$B$138, 0), MATCH(CT$4&amp;CT$5, LS_current!$D$2:$AY$2&amp;LS_current!$D$3:$AY$3, 0)),SUM(VLOOKUP($A51, LS_current!$B$4:$AY$138, LS_current!Y$148, FALSE), VLOOKUP($A51, LS_current!$B$4:$AY$138,LS_current!AW$148, FALSE))/2)</f>
        <v>-3.275539979154992</v>
      </c>
      <c r="CU51" s="180">
        <f t="array" ref="CU51">IF($BT51=0, INDEX(LS_current!$D$4:$AY$138, MATCH('Staging Table'!$A51, LS_current!$B$4:$B$138, 0), MATCH(CU$4&amp;CU$5, LS_current!$D$2:$AY$2&amp;LS_current!$D$3:$AY$3, 0)),SUM(VLOOKUP($A51, LS_current!$B$4:$AY$138, LS_current!Z$148, FALSE), VLOOKUP($A51, LS_current!$B$4:$AY$138,LS_current!AX$148, FALSE))/2)</f>
        <v>5.1814937497999978</v>
      </c>
      <c r="CV51" s="180">
        <f t="array" ref="CV51">IF($BT51=0, INDEX(LS_current!$D$4:$AY$138, MATCH('Staging Table'!$A51, LS_current!$B$4:$B$138, 0), MATCH(CV$4&amp;CV$5, LS_current!$D$2:$AY$2&amp;LS_current!$D$3:$AY$3, 0)),SUM(VLOOKUP($A51, LS_current!$B$4:$AY$138, LS_current!AA$148, FALSE), VLOOKUP($A51, LS_current!$B$4:$AY$138,LS_current!AY$148, FALSE))/2)</f>
        <v>5.5641779408000005</v>
      </c>
      <c r="CW51" s="182">
        <f t="array" ref="CW51">INDEX(Demand_current!$D$4:$AY$138, MATCH($A51, Demand_current!$B$4:$B$138, 0), MATCH(CW$4&amp;CW$5,Demand_current!$D$2:$AY$2&amp;Demand_current!$D$3:$AY$3, 0))/1000</f>
        <v>0</v>
      </c>
      <c r="CX51" s="182">
        <f t="array" ref="CX51">INDEX(Demand_current!$D$4:$AY$138, MATCH($A51, Demand_current!$B$4:$B$138, 0), MATCH(CX$4&amp;CX$5,Demand_current!$D$2:$AY$2&amp;Demand_current!$D$3:$AY$3, 0))/1000</f>
        <v>0</v>
      </c>
      <c r="CY51" s="182">
        <f t="array" ref="CY51">INDEX(Demand_current!$D$4:$AY$138, MATCH($A51, Demand_current!$B$4:$B$138, 0), MATCH(CY$4&amp;CY$5,Demand_current!$D$2:$AY$2&amp;Demand_current!$D$3:$AY$3, 0))/1000</f>
        <v>0</v>
      </c>
      <c r="CZ51" s="182">
        <f t="array" ref="CZ51">INDEX(Demand_current!$D$4:$AY$138, MATCH($A51, Demand_current!$B$4:$B$138, 0), MATCH(CZ$4&amp;CZ$5,Demand_current!$D$2:$AY$2&amp;Demand_current!$D$3:$AY$3, 0))/1000</f>
        <v>0</v>
      </c>
      <c r="DA51" s="182">
        <f t="array" ref="DA51">INDEX(Demand_current!$D$4:$AY$138, MATCH($A51, Demand_current!$B$4:$B$138, 0), MATCH(DA$4&amp;DA$5,Demand_current!$D$2:$AY$2&amp;Demand_current!$D$3:$AY$3, 0))/1000</f>
        <v>0</v>
      </c>
      <c r="DB51" s="182">
        <f t="array" ref="DB51">INDEX(Demand_current!$D$4:$AY$138, MATCH($A51, Demand_current!$B$4:$B$138, 0), MATCH(DB$4&amp;DB$5,Demand_current!$D$2:$AY$2&amp;Demand_current!$D$3:$AY$3, 0))/1000</f>
        <v>0</v>
      </c>
      <c r="DC51" s="182">
        <f t="array" ref="DC51">INDEX(Demand_current!$D$4:$AY$138, MATCH($A51, Demand_current!$B$4:$B$138, 0), MATCH(DC$4&amp;DC$5,Demand_current!$D$2:$AY$2&amp;Demand_current!$D$3:$AY$3, 0))/1000</f>
        <v>0</v>
      </c>
      <c r="DD51" s="182">
        <f t="array" ref="DD51">INDEX(Demand_current!$D$4:$AY$138, MATCH($A51, Demand_current!$B$4:$B$138, 0), MATCH(DD$4&amp;DD$5,Demand_current!$D$2:$AY$2&amp;Demand_current!$D$3:$AY$3, 0))/1000</f>
        <v>0</v>
      </c>
      <c r="DE51" s="182">
        <f t="array" ref="DE51">INDEX(Demand_current!$D$4:$AY$138, MATCH($A51, Demand_current!$B$4:$B$138, 0), MATCH(DE$4&amp;DE$5,Demand_current!$D$2:$AY$2&amp;Demand_current!$D$3:$AY$3, 0))/1000</f>
        <v>0</v>
      </c>
      <c r="DF51" s="182">
        <f t="array" ref="DF51">INDEX(Demand_current!$D$4:$AY$138, MATCH($A51, Demand_current!$B$4:$B$138, 0), MATCH(DF$4&amp;DF$5,Demand_current!$D$2:$AY$2&amp;Demand_current!$D$3:$AY$3, 0))/1000</f>
        <v>0</v>
      </c>
      <c r="DG51" s="182">
        <f t="array" ref="DG51">INDEX(Demand_current!$D$4:$AY$138, MATCH($A51, Demand_current!$B$4:$B$138, 0), MATCH(DG$4&amp;DG$5,Demand_current!$D$2:$AY$2&amp;Demand_current!$D$3:$AY$3, 0))/1000</f>
        <v>0</v>
      </c>
      <c r="DH51" s="182">
        <f t="array" ref="DH51">INDEX(Demand_current!$D$4:$AY$138, MATCH($A51, Demand_current!$B$4:$B$138, 0), MATCH(DH$4&amp;DH$5,Demand_current!$D$2:$AY$2&amp;Demand_current!$D$3:$AY$3, 0))/1000</f>
        <v>0</v>
      </c>
      <c r="DI51" s="180">
        <f>$BS51*(VLOOKUP(DI$4, Rates_current!$G$6:$Q$29, 10, FALSE)+VLOOKUP(DI$4, Rates_current!$G$6:$Q$29, 11, FALSE))</f>
        <v>136.26736149645001</v>
      </c>
      <c r="DJ51" s="180">
        <f>$BS51*(VLOOKUP(DJ$4, Rates_current!$G$6:$Q$29, 10, FALSE)+VLOOKUP(DJ$4, Rates_current!$G$6:$Q$29, 11, FALSE))</f>
        <v>173.78582047570001</v>
      </c>
      <c r="DK51" s="180">
        <f>$BS51*(VLOOKUP(DK$4, Rates_current!$G$6:$Q$29, 10, FALSE)+VLOOKUP(DK$4, Rates_current!$G$6:$Q$29, 11, FALSE))</f>
        <v>187.54928575050002</v>
      </c>
      <c r="DL51" s="180">
        <f>$BS51*(VLOOKUP(DL$4, Rates_current!$G$6:$Q$29, 10, FALSE)+VLOOKUP(DL$4, Rates_current!$G$6:$Q$29, 11, FALSE))</f>
        <v>194.89270073119999</v>
      </c>
      <c r="DM51" s="180">
        <f>$BS51*(VLOOKUP(DM$4, Rates_current!$G$6:$Q$29, 10, FALSE)+VLOOKUP(DM$4, Rates_current!$G$6:$Q$29, 11, FALSE))</f>
        <v>167.63370016739998</v>
      </c>
      <c r="DN51" s="180">
        <f>$BS51*(VLOOKUP(DN$4, Rates_current!$G$6:$Q$29, 10, FALSE)+VLOOKUP(DN$4, Rates_current!$G$6:$Q$29, 11, FALSE))</f>
        <v>183.02281077929999</v>
      </c>
      <c r="DO51" s="180">
        <f>$BS51*(VLOOKUP(DO$4, Rates_current!$G$6:$Q$29, 10, FALSE)+VLOOKUP(DO$4, Rates_current!$G$6:$Q$29, 11, FALSE))</f>
        <v>144.46566602777497</v>
      </c>
      <c r="DP51" s="180">
        <f>$BS51*(VLOOKUP(DP$4, Rates_current!$G$6:$Q$29, 10, FALSE)+VLOOKUP(DP$4, Rates_current!$G$6:$Q$29, 11, FALSE))</f>
        <v>179.22901800995001</v>
      </c>
      <c r="DQ51" s="180">
        <f>$BS51*(VLOOKUP(DQ$4, Rates_current!$G$6:$Q$29, 10, FALSE)+VLOOKUP(DQ$4, Rates_current!$G$6:$Q$29, 11, FALSE))</f>
        <v>183.11784027014997</v>
      </c>
      <c r="DR51" s="180">
        <f>$BS51*(VLOOKUP(DR$4, Rates_current!$G$6:$Q$29, 10, FALSE)+VLOOKUP(DR$4, Rates_current!$G$6:$Q$29, 11, FALSE))</f>
        <v>158.97266684544999</v>
      </c>
      <c r="DS51" s="180">
        <f>$BS51*(VLOOKUP(DS$4, Rates_current!$G$6:$Q$29, 10, FALSE)+VLOOKUP(DS$4, Rates_current!$G$6:$Q$29, 11, FALSE))</f>
        <v>153.68431251860503</v>
      </c>
      <c r="DT51" s="180">
        <f>$BS51*(VLOOKUP(DT$4, Rates_current!$G$6:$Q$29, 10, FALSE)+VLOOKUP(DT$4, Rates_current!$G$6:$Q$29, 11, FALSE))</f>
        <v>141.41932830940002</v>
      </c>
      <c r="DU51" s="402">
        <f>IF(D51=0,IF(C51=0,MAX(0,DW51 - (VLOOKUP($A51,TOCA_current!$A$2:$AI$137,MATCH("RHWM 2024",TOCA_current!$A$2:$AI$2,0),FALSE)*$BS$2)), 0),0)</f>
        <v>40.161009186119827</v>
      </c>
      <c r="DV51" s="403">
        <f>MIN(VLOOKUP($A51,TOCA_current!$A$2:$AI$137,MATCH("TRL - NLSL - Existing Resource "&amp;$BS$1,TOCA_current!$A$2:$AI$2,0),FALSE)*$BS$2, VLOOKUP($A51,TOCA_current!$A$2:$AI$137,MATCH("RHWM 2024",TOCA_current!$A$2:$AI$2,0),FALSE)*$BS$2)</f>
        <v>2002.7520000000002</v>
      </c>
      <c r="DW51" s="403">
        <f>SUM(BY51:CV51)+(BS51*RT1SC!$C$4*$BS$2)</f>
        <v>2042.91300918612</v>
      </c>
      <c r="DX51" s="403">
        <f>VLOOKUP($A51,TOCA_current!$A$2:$AI$137,MATCH("Above RHWM Not Served with LS "&amp;$BS$1,TOCA_current!$A$2:$AI$2,0),FALSE)*$BS$2</f>
        <v>0</v>
      </c>
      <c r="DY51" s="403">
        <f t="shared" si="13"/>
        <v>40.161009186119827</v>
      </c>
      <c r="DZ51" s="403">
        <f>(VLOOKUP($A51,TOCA_current!$A$2:$AI$137,MATCH("RHWM 2024",TOCA_current!$A$2:$AI$2,0),FALSE)*$BS$2) - $DV51</f>
        <v>0</v>
      </c>
      <c r="EA51" s="403">
        <f t="shared" si="14"/>
        <v>0</v>
      </c>
      <c r="EB51" s="403">
        <f t="shared" si="15"/>
        <v>0</v>
      </c>
      <c r="EC51" s="403">
        <f t="shared" si="16"/>
        <v>0</v>
      </c>
      <c r="ED51" s="403">
        <f t="shared" si="17"/>
        <v>0</v>
      </c>
    </row>
    <row r="52" spans="1:134">
      <c r="A52" s="123">
        <v>10118</v>
      </c>
      <c r="B52" s="124" t="s">
        <v>53</v>
      </c>
      <c r="C52" s="232">
        <f>VLOOKUP(A52, TOCA_current!$A$3:$D$137, 4, FALSE)</f>
        <v>1</v>
      </c>
      <c r="D52" s="191">
        <v>0</v>
      </c>
      <c r="E52" s="107">
        <f>VLOOKUP($A52,TOCA_previous!$A$2:$AI$137,MATCH(E$4,TOCA_previous!$A$2:$AI$2,0),FALSE)</f>
        <v>6.4676000000000004E-3</v>
      </c>
      <c r="F52" s="108">
        <f>VLOOKUP($A52,TOCA_previous!$A$2:$AI$137,MATCH(F$4,TOCA_previous!$A$2:$AI$2,0),FALSE)</f>
        <v>6.4676000000000004E-3</v>
      </c>
      <c r="G52" s="108">
        <f t="shared" si="5"/>
        <v>0</v>
      </c>
      <c r="H52" s="108">
        <f>VLOOKUP($A52,TOCA_previous!$A$2:$AI$137,MATCH(H$4,TOCA_previous!$A$2:$AI$2,0),FALSE)</f>
        <v>7.4130000000000001E-2</v>
      </c>
      <c r="I52" s="108">
        <f t="shared" si="6"/>
        <v>7.4130000000000001E-2</v>
      </c>
      <c r="J52" s="108">
        <f t="shared" si="7"/>
        <v>6.4676000000000004E-3</v>
      </c>
      <c r="K52" s="179">
        <f>VLOOKUP(A52, IRD!$A$5:$C$139, 3, FALSE)</f>
        <v>0</v>
      </c>
      <c r="L52" s="180">
        <f t="array" ref="L52">IF($G52=0, INDEX(LS_previous!$D$4:$AY$138, MATCH('Staging Table'!$A52, LS_previous!$B$4:$B$138, 0), MATCH(L$4&amp;L$5, LS_previous!$D$2:$AY$2&amp;LS_previous!$D$3:$AY$3, 0)),SUM(VLOOKUP($A52, LS_previous!$B$4:$AY$138, LS_previous!D$149, FALSE), VLOOKUP('Staging Table'!$A52, LS_previous!$B$4:$AY$138,LS_previous!AB$149, FALSE))/2)</f>
        <v>0</v>
      </c>
      <c r="M52" s="180">
        <f t="array" ref="M52">IF($G52=0, INDEX(LS_previous!$D$4:$AY$138, MATCH('Staging Table'!$A52, LS_previous!$B$4:$B$138, 0), MATCH(M$4&amp;M$5, LS_previous!$D$2:$AY$2&amp;LS_previous!$D$3:$AY$3, 0)),SUM(VLOOKUP($A52, LS_previous!$B$4:$AY$138, LS_previous!E$149, FALSE), VLOOKUP('Staging Table'!$A52, LS_previous!$B$4:$AY$138,LS_previous!AC$149, FALSE))/2)</f>
        <v>0</v>
      </c>
      <c r="N52" s="180">
        <f t="array" ref="N52">IF($G52=0, INDEX(LS_previous!$D$4:$AY$138, MATCH('Staging Table'!$A52, LS_previous!$B$4:$B$138, 0), MATCH(N$4&amp;N$5, LS_previous!$D$2:$AY$2&amp;LS_previous!$D$3:$AY$3, 0)),SUM(VLOOKUP($A52, LS_previous!$B$4:$AY$138, LS_previous!F$149, FALSE), VLOOKUP('Staging Table'!$A52, LS_previous!$B$4:$AY$138,LS_previous!AD$149, FALSE))/2)</f>
        <v>0</v>
      </c>
      <c r="O52" s="180">
        <f t="array" ref="O52">IF($G52=0, INDEX(LS_previous!$D$4:$AY$138, MATCH('Staging Table'!$A52, LS_previous!$B$4:$B$138, 0), MATCH(O$4&amp;O$5, LS_previous!$D$2:$AY$2&amp;LS_previous!$D$3:$AY$3, 0)),SUM(VLOOKUP($A52, LS_previous!$B$4:$AY$138, LS_previous!G$149, FALSE), VLOOKUP('Staging Table'!$A52, LS_previous!$B$4:$AY$138,LS_previous!AE$149, FALSE))/2)</f>
        <v>0</v>
      </c>
      <c r="P52" s="180">
        <f t="array" ref="P52">IF($G52=0, INDEX(LS_previous!$D$4:$AY$138, MATCH('Staging Table'!$A52, LS_previous!$B$4:$B$138, 0), MATCH(P$4&amp;P$5, LS_previous!$D$2:$AY$2&amp;LS_previous!$D$3:$AY$3, 0)),SUM(VLOOKUP($A52, LS_previous!$B$4:$AY$138, LS_previous!H$149, FALSE), VLOOKUP('Staging Table'!$A52, LS_previous!$B$4:$AY$138,LS_previous!AF$149, FALSE))/2)</f>
        <v>0</v>
      </c>
      <c r="Q52" s="180">
        <f t="array" ref="Q52">IF($G52=0, INDEX(LS_previous!$D$4:$AY$138, MATCH('Staging Table'!$A52, LS_previous!$B$4:$B$138, 0), MATCH(Q$4&amp;Q$5, LS_previous!$D$2:$AY$2&amp;LS_previous!$D$3:$AY$3, 0)),SUM(VLOOKUP($A52, LS_previous!$B$4:$AY$138, LS_previous!I$149, FALSE), VLOOKUP('Staging Table'!$A52, LS_previous!$B$4:$AY$138,LS_previous!AG$149, FALSE))/2)</f>
        <v>0</v>
      </c>
      <c r="R52" s="180">
        <f t="array" ref="R52">IF($G52=0, INDEX(LS_previous!$D$4:$AY$138, MATCH('Staging Table'!$A52, LS_previous!$B$4:$B$138, 0), MATCH(R$4&amp;R$5, LS_previous!$D$2:$AY$2&amp;LS_previous!$D$3:$AY$3, 0)),SUM(VLOOKUP($A52, LS_previous!$B$4:$AY$138, LS_previous!J$149, FALSE), VLOOKUP('Staging Table'!$A52, LS_previous!$B$4:$AY$138,LS_previous!AH$149, FALSE))/2)</f>
        <v>0</v>
      </c>
      <c r="S52" s="180">
        <f t="array" ref="S52">IF($G52=0, INDEX(LS_previous!$D$4:$AY$138, MATCH('Staging Table'!$A52, LS_previous!$B$4:$B$138, 0), MATCH(S$4&amp;S$5, LS_previous!$D$2:$AY$2&amp;LS_previous!$D$3:$AY$3, 0)),SUM(VLOOKUP($A52, LS_previous!$B$4:$AY$138, LS_previous!K$149, FALSE), VLOOKUP('Staging Table'!$A52, LS_previous!$B$4:$AY$138,LS_previous!AI$149, FALSE))/2)</f>
        <v>0</v>
      </c>
      <c r="T52" s="180">
        <f t="array" ref="T52">IF($G52=0, INDEX(LS_previous!$D$4:$AY$138, MATCH('Staging Table'!$A52, LS_previous!$B$4:$B$138, 0), MATCH(T$4&amp;T$5, LS_previous!$D$2:$AY$2&amp;LS_previous!$D$3:$AY$3, 0)),SUM(VLOOKUP($A52, LS_previous!$B$4:$AY$138, LS_previous!L$149, FALSE), VLOOKUP('Staging Table'!$A52, LS_previous!$B$4:$AY$138,LS_previous!AJ$149, FALSE))/2)</f>
        <v>0</v>
      </c>
      <c r="U52" s="180">
        <f t="array" ref="U52">IF($G52=0, INDEX(LS_previous!$D$4:$AY$138, MATCH('Staging Table'!$A52, LS_previous!$B$4:$B$138, 0), MATCH(U$4&amp;U$5, LS_previous!$D$2:$AY$2&amp;LS_previous!$D$3:$AY$3, 0)),SUM(VLOOKUP($A52, LS_previous!$B$4:$AY$138, LS_previous!M$149, FALSE), VLOOKUP('Staging Table'!$A52, LS_previous!$B$4:$AY$138,LS_previous!AK$149, FALSE))/2)</f>
        <v>0</v>
      </c>
      <c r="V52" s="180">
        <f t="array" ref="V52">IF($G52=0, INDEX(LS_previous!$D$4:$AY$138, MATCH('Staging Table'!$A52, LS_previous!$B$4:$B$138, 0), MATCH(V$4&amp;V$5, LS_previous!$D$2:$AY$2&amp;LS_previous!$D$3:$AY$3, 0)),SUM(VLOOKUP($A52, LS_previous!$B$4:$AY$138, LS_previous!N$149, FALSE), VLOOKUP('Staging Table'!$A52, LS_previous!$B$4:$AY$138,LS_previous!AL$149, FALSE))/2)</f>
        <v>0</v>
      </c>
      <c r="W52" s="180">
        <f t="array" ref="W52">IF($G52=0, INDEX(LS_previous!$D$4:$AY$138, MATCH('Staging Table'!$A52, LS_previous!$B$4:$B$138, 0), MATCH(W$4&amp;W$5, LS_previous!$D$2:$AY$2&amp;LS_previous!$D$3:$AY$3, 0)),SUM(VLOOKUP($A52, LS_previous!$B$4:$AY$138, LS_previous!O$149, FALSE), VLOOKUP('Staging Table'!$A52, LS_previous!$B$4:$AY$138,LS_previous!AM$149, FALSE))/2)</f>
        <v>0</v>
      </c>
      <c r="X52" s="180">
        <f t="array" ref="X52">IF($G52=0, INDEX(LS_previous!$D$4:$AY$138, MATCH('Staging Table'!$A52, LS_previous!$B$4:$B$138, 0), MATCH(X$4&amp;X$5, LS_previous!$D$2:$AY$2&amp;LS_previous!$D$3:$AY$3, 0)),SUM(VLOOKUP($A52, LS_previous!$B$4:$AY$138, LS_previous!P$149, FALSE), VLOOKUP('Staging Table'!$A52, LS_previous!$B$4:$AY$138,LS_previous!AN$149, FALSE))/2)</f>
        <v>0</v>
      </c>
      <c r="Y52" s="180">
        <f t="array" ref="Y52">IF($G52=0, INDEX(LS_previous!$D$4:$AY$138, MATCH('Staging Table'!$A52, LS_previous!$B$4:$B$138, 0), MATCH(Y$4&amp;Y$5, LS_previous!$D$2:$AY$2&amp;LS_previous!$D$3:$AY$3, 0)),SUM(VLOOKUP($A52, LS_previous!$B$4:$AY$138, LS_previous!Q$149, FALSE), VLOOKUP('Staging Table'!$A52, LS_previous!$B$4:$AY$138,LS_previous!AO$149, FALSE))/2)</f>
        <v>0</v>
      </c>
      <c r="Z52" s="180">
        <f t="array" ref="Z52">IF($G52=0, INDEX(LS_previous!$D$4:$AY$138, MATCH('Staging Table'!$A52, LS_previous!$B$4:$B$138, 0), MATCH(Z$4&amp;Z$5, LS_previous!$D$2:$AY$2&amp;LS_previous!$D$3:$AY$3, 0)),SUM(VLOOKUP($A52, LS_previous!$B$4:$AY$138, LS_previous!R$149, FALSE), VLOOKUP('Staging Table'!$A52, LS_previous!$B$4:$AY$138,LS_previous!AP$149, FALSE))/2)</f>
        <v>0</v>
      </c>
      <c r="AA52" s="180">
        <f t="array" ref="AA52">IF($G52=0, INDEX(LS_previous!$D$4:$AY$138, MATCH('Staging Table'!$A52, LS_previous!$B$4:$B$138, 0), MATCH(AA$4&amp;AA$5, LS_previous!$D$2:$AY$2&amp;LS_previous!$D$3:$AY$3, 0)),SUM(VLOOKUP($A52, LS_previous!$B$4:$AY$138, LS_previous!S$149, FALSE), VLOOKUP('Staging Table'!$A52, LS_previous!$B$4:$AY$138,LS_previous!AQ$149, FALSE))/2)</f>
        <v>0</v>
      </c>
      <c r="AB52" s="180">
        <f t="array" ref="AB52">IF($G52=0, INDEX(LS_previous!$D$4:$AY$138, MATCH('Staging Table'!$A52, LS_previous!$B$4:$B$138, 0), MATCH(AB$4&amp;AB$5, LS_previous!$D$2:$AY$2&amp;LS_previous!$D$3:$AY$3, 0)),SUM(VLOOKUP($A52, LS_previous!$B$4:$AY$138, LS_previous!T$149, FALSE), VLOOKUP('Staging Table'!$A52, LS_previous!$B$4:$AY$138,LS_previous!AR$149, FALSE))/2)</f>
        <v>0</v>
      </c>
      <c r="AC52" s="180">
        <f t="array" ref="AC52">IF($G52=0, INDEX(LS_previous!$D$4:$AY$138, MATCH('Staging Table'!$A52, LS_previous!$B$4:$B$138, 0), MATCH(AC$4&amp;AC$5, LS_previous!$D$2:$AY$2&amp;LS_previous!$D$3:$AY$3, 0)),SUM(VLOOKUP($A52, LS_previous!$B$4:$AY$138, LS_previous!U$149, FALSE), VLOOKUP('Staging Table'!$A52, LS_previous!$B$4:$AY$138,LS_previous!AS$149, FALSE))/2)</f>
        <v>0</v>
      </c>
      <c r="AD52" s="180">
        <f t="array" ref="AD52">IF($G52=0, INDEX(LS_previous!$D$4:$AY$138, MATCH('Staging Table'!$A52, LS_previous!$B$4:$B$138, 0), MATCH(AD$4&amp;AD$5, LS_previous!$D$2:$AY$2&amp;LS_previous!$D$3:$AY$3, 0)),SUM(VLOOKUP($A52, LS_previous!$B$4:$AY$138, LS_previous!V$149, FALSE), VLOOKUP('Staging Table'!$A52, LS_previous!$B$4:$AY$138,LS_previous!AT$149, FALSE))/2)</f>
        <v>0</v>
      </c>
      <c r="AE52" s="180">
        <f t="array" ref="AE52">IF($G52=0, INDEX(LS_previous!$D$4:$AY$138, MATCH('Staging Table'!$A52, LS_previous!$B$4:$B$138, 0), MATCH(AE$4&amp;AE$5, LS_previous!$D$2:$AY$2&amp;LS_previous!$D$3:$AY$3, 0)),SUM(VLOOKUP($A52, LS_previous!$B$4:$AY$138, LS_previous!W$149, FALSE), VLOOKUP('Staging Table'!$A52, LS_previous!$B$4:$AY$138,LS_previous!AU$149, FALSE))/2)</f>
        <v>0</v>
      </c>
      <c r="AF52" s="180">
        <f t="array" ref="AF52">IF($G52=0, INDEX(LS_previous!$D$4:$AY$138, MATCH('Staging Table'!$A52, LS_previous!$B$4:$B$138, 0), MATCH(AF$4&amp;AF$5, LS_previous!$D$2:$AY$2&amp;LS_previous!$D$3:$AY$3, 0)),SUM(VLOOKUP($A52, LS_previous!$B$4:$AY$138, LS_previous!X$149, FALSE), VLOOKUP('Staging Table'!$A52, LS_previous!$B$4:$AY$138,LS_previous!AV$149, FALSE))/2)</f>
        <v>0</v>
      </c>
      <c r="AG52" s="180">
        <f t="array" ref="AG52">IF($G52=0, INDEX(LS_previous!$D$4:$AY$138, MATCH('Staging Table'!$A52, LS_previous!$B$4:$B$138, 0), MATCH(AG$4&amp;AG$5, LS_previous!$D$2:$AY$2&amp;LS_previous!$D$3:$AY$3, 0)),SUM(VLOOKUP($A52, LS_previous!$B$4:$AY$138, LS_previous!Y$149, FALSE), VLOOKUP('Staging Table'!$A52, LS_previous!$B$4:$AY$138,LS_previous!AW$149, FALSE))/2)</f>
        <v>0</v>
      </c>
      <c r="AH52" s="180">
        <f t="array" ref="AH52">IF($G52=0, INDEX(LS_previous!$D$4:$AY$138, MATCH('Staging Table'!$A52, LS_previous!$B$4:$B$138, 0), MATCH(AH$4&amp;AH$5, LS_previous!$D$2:$AY$2&amp;LS_previous!$D$3:$AY$3, 0)),SUM(VLOOKUP($A52, LS_previous!$B$4:$AY$138, LS_previous!Z$149, FALSE), VLOOKUP('Staging Table'!$A52, LS_previous!$B$4:$AY$138,LS_previous!AX$149, FALSE))/2)</f>
        <v>0</v>
      </c>
      <c r="AI52" s="180">
        <f t="array" ref="AI52">IF($G52=0, INDEX(LS_previous!$D$4:$AY$138, MATCH('Staging Table'!$A52, LS_previous!$B$4:$B$138, 0), MATCH(AI$4&amp;AI$5, LS_previous!$D$2:$AY$2&amp;LS_previous!$D$3:$AY$3, 0)),SUM(VLOOKUP($A52, LS_previous!$B$4:$AY$138, LS_previous!AA$149, FALSE), VLOOKUP('Staging Table'!$A52, LS_previous!$B$4:$AY$138,LS_previous!AY$149, FALSE))/2)</f>
        <v>0</v>
      </c>
      <c r="AJ52" s="298">
        <f t="array" ref="AJ52">INDEX(Demand_previous!$D$4:$AY$138, MATCH('Staging Table'!$A52, Demand_previous!$B$4:$B$138, 0), MATCH(AJ$4&amp;AJ$5,Demand_previous!$D$2:$AY$2&amp;Demand_previous!$D$3:$AY$3, 0))/1000</f>
        <v>0</v>
      </c>
      <c r="AK52" s="298">
        <f t="array" ref="AK52">INDEX(Demand_previous!$D$4:$AY$138, MATCH('Staging Table'!$A52, Demand_previous!$B$4:$B$138, 0), MATCH(AK$4&amp;AK$5,Demand_previous!$D$2:$AY$2&amp;Demand_previous!$D$3:$AY$3, 0))/1000</f>
        <v>0</v>
      </c>
      <c r="AL52" s="298">
        <f t="array" ref="AL52">INDEX(Demand_previous!$D$4:$AY$138, MATCH('Staging Table'!$A52, Demand_previous!$B$4:$B$138, 0), MATCH(AL$4&amp;AL$5,Demand_previous!$D$2:$AY$2&amp;Demand_previous!$D$3:$AY$3, 0))/1000</f>
        <v>0</v>
      </c>
      <c r="AM52" s="298">
        <f t="array" ref="AM52">INDEX(Demand_previous!$D$4:$AY$138, MATCH('Staging Table'!$A52, Demand_previous!$B$4:$B$138, 0), MATCH(AM$4&amp;AM$5,Demand_previous!$D$2:$AY$2&amp;Demand_previous!$D$3:$AY$3, 0))/1000</f>
        <v>0</v>
      </c>
      <c r="AN52" s="298">
        <f t="array" ref="AN52">INDEX(Demand_previous!$D$4:$AY$138, MATCH('Staging Table'!$A52, Demand_previous!$B$4:$B$138, 0), MATCH(AN$4&amp;AN$5,Demand_previous!$D$2:$AY$2&amp;Demand_previous!$D$3:$AY$3, 0))/1000</f>
        <v>0</v>
      </c>
      <c r="AO52" s="298">
        <f t="array" ref="AO52">INDEX(Demand_previous!$D$4:$AY$138, MATCH('Staging Table'!$A52, Demand_previous!$B$4:$B$138, 0), MATCH(AO$4&amp;AO$5,Demand_previous!$D$2:$AY$2&amp;Demand_previous!$D$3:$AY$3, 0))/1000</f>
        <v>0</v>
      </c>
      <c r="AP52" s="298">
        <f t="array" ref="AP52">INDEX(Demand_previous!$D$4:$AY$138, MATCH('Staging Table'!$A52, Demand_previous!$B$4:$B$138, 0), MATCH(AP$4&amp;AP$5,Demand_previous!$D$2:$AY$2&amp;Demand_previous!$D$3:$AY$3, 0))/1000</f>
        <v>0</v>
      </c>
      <c r="AQ52" s="298">
        <f t="array" ref="AQ52">INDEX(Demand_previous!$D$4:$AY$138, MATCH('Staging Table'!$A52, Demand_previous!$B$4:$B$138, 0), MATCH(AQ$4&amp;AQ$5,Demand_previous!$D$2:$AY$2&amp;Demand_previous!$D$3:$AY$3, 0))/1000</f>
        <v>0</v>
      </c>
      <c r="AR52" s="298">
        <f t="array" ref="AR52">INDEX(Demand_previous!$D$4:$AY$138, MATCH('Staging Table'!$A52, Demand_previous!$B$4:$B$138, 0), MATCH(AR$4&amp;AR$5,Demand_previous!$D$2:$AY$2&amp;Demand_previous!$D$3:$AY$3, 0))/1000</f>
        <v>0</v>
      </c>
      <c r="AS52" s="298">
        <f t="array" ref="AS52">INDEX(Demand_previous!$D$4:$AY$138, MATCH('Staging Table'!$A52, Demand_previous!$B$4:$B$138, 0), MATCH(AS$4&amp;AS$5,Demand_previous!$D$2:$AY$2&amp;Demand_previous!$D$3:$AY$3, 0))/1000</f>
        <v>0</v>
      </c>
      <c r="AT52" s="298">
        <f t="array" ref="AT52">INDEX(Demand_previous!$D$4:$AY$138, MATCH('Staging Table'!$A52, Demand_previous!$B$4:$B$138, 0), MATCH(AT$4&amp;AT$5,Demand_previous!$D$2:$AY$2&amp;Demand_previous!$D$3:$AY$3, 0))/1000</f>
        <v>0</v>
      </c>
      <c r="AU52" s="298">
        <f t="array" ref="AU52">INDEX(Demand_previous!$D$4:$AY$138, MATCH('Staging Table'!$A52, Demand_previous!$B$4:$B$138, 0), MATCH(AU$4&amp;AU$5,Demand_previous!$D$2:$AY$2&amp;Demand_previous!$D$3:$AY$3, 0))/1000</f>
        <v>0</v>
      </c>
      <c r="AV52" s="180">
        <f>$F52*(VLOOKUP(AV$4, Rates_previous!$G$6:$Q$29, 10, FALSE)+VLOOKUP(AV$4, Rates_previous!$G$6:$Q$29, 11, FALSE))</f>
        <v>29452.961583726781</v>
      </c>
      <c r="AW52" s="180">
        <f>$F52*(VLOOKUP(AW$4, Rates_previous!$G$6:$Q$29, 10, FALSE)+VLOOKUP(AW$4, Rates_previous!$G$6:$Q$29, 11, FALSE))</f>
        <v>37288.518286532017</v>
      </c>
      <c r="AX52" s="180">
        <f>$F52*(VLOOKUP(AX$4, Rates_previous!$G$6:$Q$29, 10, FALSE)+VLOOKUP(AX$4, Rates_previous!$G$6:$Q$29, 11, FALSE))</f>
        <v>36498.009782419751</v>
      </c>
      <c r="AY52" s="180">
        <f>$F52*(VLOOKUP(AY$4, Rates_previous!$G$6:$Q$29, 10, FALSE)+VLOOKUP(AY$4, Rates_previous!$G$6:$Q$29, 11, FALSE))</f>
        <v>30145.804008183073</v>
      </c>
      <c r="AZ52" s="180">
        <f>$F52*(VLOOKUP(AZ$4, Rates_previous!$G$6:$Q$29, 10, FALSE)+VLOOKUP(AZ$4, Rates_previous!$G$6:$Q$29, 11, FALSE))</f>
        <v>26128.029042138864</v>
      </c>
      <c r="BA52" s="180">
        <f>$F52*(VLOOKUP(BA$4, Rates_previous!$G$6:$Q$29, 10, FALSE)+VLOOKUP(BA$4, Rates_previous!$G$6:$Q$29, 11, FALSE))</f>
        <v>31191.59040180533</v>
      </c>
      <c r="BB52" s="180">
        <f>$F52*(VLOOKUP(BB$4, Rates_previous!$G$6:$Q$29, 10, FALSE)+VLOOKUP(BB$4, Rates_previous!$G$6:$Q$29, 11, FALSE))</f>
        <v>24216.117444901585</v>
      </c>
      <c r="BC52" s="180">
        <f>$F52*(VLOOKUP(BC$4, Rates_previous!$G$6:$Q$29, 10, FALSE)+VLOOKUP(BC$4, Rates_previous!$G$6:$Q$29, 11, FALSE))</f>
        <v>33551.608925934983</v>
      </c>
      <c r="BD52" s="180">
        <f>$F52*(VLOOKUP(BD$4, Rates_previous!$G$6:$Q$29, 10, FALSE)+VLOOKUP(BD$4, Rates_previous!$G$6:$Q$29, 11, FALSE))</f>
        <v>35850.596679576513</v>
      </c>
      <c r="BE52" s="180">
        <f>$F52*(VLOOKUP(BE$4, Rates_previous!$G$6:$Q$29, 10, FALSE)+VLOOKUP(BE$4, Rates_previous!$G$6:$Q$29, 11, FALSE))</f>
        <v>34038.518174924793</v>
      </c>
      <c r="BF52" s="180">
        <f>$F52*(VLOOKUP(BF$4, Rates_previous!$G$6:$Q$29, 10, FALSE)+VLOOKUP(BF$4, Rates_previous!$G$6:$Q$29, 11, FALSE))</f>
        <v>32895.601881014773</v>
      </c>
      <c r="BG52" s="180">
        <f>$F52*(VLOOKUP(BG$4, Rates_previous!$G$6:$Q$29, 10, FALSE)+VLOOKUP(BG$4, Rates_previous!$G$6:$Q$29, 11, FALSE))</f>
        <v>30398.965368653327</v>
      </c>
      <c r="BH52" s="298">
        <f>IF($D52=0,IF(C52=0, MAX(BJ52 - (VLOOKUP($A52,TOCA_previous!$A$2:$AI$137,MATCH("RHWM 2022",TOCA_previous!$A$2:$AI$2,0),FALSE)*$F$2*TOCA_previous!C49),0),0), 0)</f>
        <v>0</v>
      </c>
      <c r="BI52" s="192">
        <f>MIN(VLOOKUP($A52,TOCA_previous!$A$2:$AI$137,MATCH("TRL - NLSL - Existing Resource "&amp;$F$1,TOCA_previous!$A$2:$AI$2,0),FALSE)*$F$2,(VLOOKUP($A52,TOCA_previous!$A$2:$AI$137,MATCH("RHWM 2022",TOCA_previous!$A$2:$AI$2,0),FALSE)*$F$2))</f>
        <v>381655.68</v>
      </c>
      <c r="BJ52" s="402">
        <f>SUM(L52:AI52)+(F52*RT1SC!$C$3*$F$2)</f>
        <v>381656.34110318404</v>
      </c>
      <c r="BK52" s="401">
        <f>VLOOKUP($A52,TOCA_previous!$A$2:$AI$137,MATCH("Above RHWM Not Served with LS "&amp;$F$1,TOCA_previous!$A$2:$AI$2,0),FALSE)*$F$2</f>
        <v>53619.960000000006</v>
      </c>
      <c r="BL52" s="402">
        <f t="shared" si="8"/>
        <v>0.66110318404389545</v>
      </c>
      <c r="BM52" s="401">
        <f>(VLOOKUP($A52,TOCA_previous!$A$2:$AI$137,MATCH("RHWM 2022",TOCA_previous!$A$2:$AI$2,0),FALSE)*$F$2) - $BI52</f>
        <v>0</v>
      </c>
      <c r="BN52" s="402">
        <f t="shared" si="9"/>
        <v>0</v>
      </c>
      <c r="BO52" s="401">
        <f t="shared" si="10"/>
        <v>0</v>
      </c>
      <c r="BP52" s="402">
        <f t="shared" si="11"/>
        <v>0</v>
      </c>
      <c r="BQ52" s="401">
        <f t="shared" si="18"/>
        <v>0</v>
      </c>
      <c r="BR52" s="108">
        <f>VLOOKUP($A52,TOCA_current!$A$2:$AI$137,MATCH(BR$4,TOCA_current!$A$2:$AI$2,0),FALSE)</f>
        <v>6.4663000000000003E-3</v>
      </c>
      <c r="BS52" s="108">
        <f>VLOOKUP($A52,TOCA_current!$A$2:$AI$137,MATCH(BS$4,TOCA_current!$A$2:$AI$2,0),FALSE)</f>
        <v>6.4663000000000003E-3</v>
      </c>
      <c r="BT52" s="189">
        <f t="shared" si="12"/>
        <v>0</v>
      </c>
      <c r="BU52" s="108">
        <f>VLOOKUP($A52,TOCA_current!A48:BG183,MATCH(BU$4,TOCA_current!$A$2:$BG$2,0),FALSE)</f>
        <v>7.0042146516617762E-2</v>
      </c>
      <c r="BV52" s="108">
        <f t="shared" si="19"/>
        <v>7.0042146516617762E-2</v>
      </c>
      <c r="BW52" s="108">
        <f t="shared" si="20"/>
        <v>6.4663000000000003E-3</v>
      </c>
      <c r="BX52" s="179">
        <f>VLOOKUP($A52,IRD!$A$4:$G$139, 7, FALSE)</f>
        <v>0</v>
      </c>
      <c r="BY52" s="180">
        <f t="array" ref="BY52">IF($BT52=0, INDEX(LS_current!$D$4:$AY$138, MATCH('Staging Table'!$A52, LS_current!$B$4:$B$138, 0), MATCH(BY$4&amp;BY$5, LS_current!$D$2:$AY$2&amp;LS_current!$D$3:$AY$3, 0)),SUM(VLOOKUP($A52, LS_current!$B$4:$AY$138, LS_current!D$148, FALSE), VLOOKUP($A52, LS_current!$B$4:$AY$138,LS_current!AB$148, FALSE))/2)</f>
        <v>0</v>
      </c>
      <c r="BZ52" s="180">
        <f t="array" ref="BZ52">IF($BT52=0, INDEX(LS_current!$D$4:$AY$138, MATCH('Staging Table'!$A52, LS_current!$B$4:$B$138, 0), MATCH(BZ$4&amp;BZ$5, LS_current!$D$2:$AY$2&amp;LS_current!$D$3:$AY$3, 0)),SUM(VLOOKUP($A52, LS_current!$B$4:$AY$138, LS_current!E$148, FALSE), VLOOKUP($A52, LS_current!$B$4:$AY$138,LS_current!AC$148, FALSE))/2)</f>
        <v>0</v>
      </c>
      <c r="CA52" s="180">
        <f t="array" ref="CA52">IF($BT52=0, INDEX(LS_current!$D$4:$AY$138, MATCH('Staging Table'!$A52, LS_current!$B$4:$B$138, 0), MATCH(CA$4&amp;CA$5, LS_current!$D$2:$AY$2&amp;LS_current!$D$3:$AY$3, 0)),SUM(VLOOKUP($A52, LS_current!$B$4:$AY$138, LS_current!F$148, FALSE), VLOOKUP($A52, LS_current!$B$4:$AY$138,LS_current!AD$148, FALSE))/2)</f>
        <v>0</v>
      </c>
      <c r="CB52" s="180">
        <f t="array" ref="CB52">IF($BT52=0, INDEX(LS_current!$D$4:$AY$138, MATCH('Staging Table'!$A52, LS_current!$B$4:$B$138, 0), MATCH(CB$4&amp;CB$5, LS_current!$D$2:$AY$2&amp;LS_current!$D$3:$AY$3, 0)),SUM(VLOOKUP($A52, LS_current!$B$4:$AY$138, LS_current!G$148, FALSE), VLOOKUP($A52, LS_current!$B$4:$AY$138,LS_current!AE$148, FALSE))/2)</f>
        <v>0</v>
      </c>
      <c r="CC52" s="180">
        <f t="array" ref="CC52">IF($BT52=0, INDEX(LS_current!$D$4:$AY$138, MATCH('Staging Table'!$A52, LS_current!$B$4:$B$138, 0), MATCH(CC$4&amp;CC$5, LS_current!$D$2:$AY$2&amp;LS_current!$D$3:$AY$3, 0)),SUM(VLOOKUP($A52, LS_current!$B$4:$AY$138, LS_current!H$148, FALSE), VLOOKUP($A52, LS_current!$B$4:$AY$138,LS_current!AF$148, FALSE))/2)</f>
        <v>0</v>
      </c>
      <c r="CD52" s="180">
        <f t="array" ref="CD52">IF($BT52=0, INDEX(LS_current!$D$4:$AY$138, MATCH('Staging Table'!$A52, LS_current!$B$4:$B$138, 0), MATCH(CD$4&amp;CD$5, LS_current!$D$2:$AY$2&amp;LS_current!$D$3:$AY$3, 0)),SUM(VLOOKUP($A52, LS_current!$B$4:$AY$138, LS_current!I$148, FALSE), VLOOKUP($A52, LS_current!$B$4:$AY$138,LS_current!AG$148, FALSE))/2)</f>
        <v>0</v>
      </c>
      <c r="CE52" s="180">
        <f t="array" ref="CE52">IF($BT52=0, INDEX(LS_current!$D$4:$AY$138, MATCH('Staging Table'!$A52, LS_current!$B$4:$B$138, 0), MATCH(CE$4&amp;CE$5, LS_current!$D$2:$AY$2&amp;LS_current!$D$3:$AY$3, 0)),SUM(VLOOKUP($A52, LS_current!$B$4:$AY$138, LS_current!J$148, FALSE), VLOOKUP($A52, LS_current!$B$4:$AY$138,LS_current!AH$148, FALSE))/2)</f>
        <v>0</v>
      </c>
      <c r="CF52" s="180">
        <f t="array" ref="CF52">IF($BT52=0, INDEX(LS_current!$D$4:$AY$138, MATCH('Staging Table'!$A52, LS_current!$B$4:$B$138, 0), MATCH(CF$4&amp;CF$5, LS_current!$D$2:$AY$2&amp;LS_current!$D$3:$AY$3, 0)),SUM(VLOOKUP($A52, LS_current!$B$4:$AY$138, LS_current!K$148, FALSE), VLOOKUP($A52, LS_current!$B$4:$AY$138,LS_current!AI$148, FALSE))/2)</f>
        <v>0</v>
      </c>
      <c r="CG52" s="180">
        <f t="array" ref="CG52">IF($BT52=0, INDEX(LS_current!$D$4:$AY$138, MATCH('Staging Table'!$A52, LS_current!$B$4:$B$138, 0), MATCH(CG$4&amp;CG$5, LS_current!$D$2:$AY$2&amp;LS_current!$D$3:$AY$3, 0)),SUM(VLOOKUP($A52, LS_current!$B$4:$AY$138, LS_current!L$148, FALSE), VLOOKUP($A52, LS_current!$B$4:$AY$138,LS_current!AJ$148, FALSE))/2)</f>
        <v>0</v>
      </c>
      <c r="CH52" s="180">
        <f t="array" ref="CH52">IF($BT52=0, INDEX(LS_current!$D$4:$AY$138, MATCH('Staging Table'!$A52, LS_current!$B$4:$B$138, 0), MATCH(CH$4&amp;CH$5, LS_current!$D$2:$AY$2&amp;LS_current!$D$3:$AY$3, 0)),SUM(VLOOKUP($A52, LS_current!$B$4:$AY$138, LS_current!M$148, FALSE), VLOOKUP($A52, LS_current!$B$4:$AY$138,LS_current!AK$148, FALSE))/2)</f>
        <v>0</v>
      </c>
      <c r="CI52" s="180">
        <f t="array" ref="CI52">IF($BT52=0, INDEX(LS_current!$D$4:$AY$138, MATCH('Staging Table'!$A52, LS_current!$B$4:$B$138, 0), MATCH(CI$4&amp;CI$5, LS_current!$D$2:$AY$2&amp;LS_current!$D$3:$AY$3, 0)),SUM(VLOOKUP($A52, LS_current!$B$4:$AY$138, LS_current!N$148, FALSE), VLOOKUP($A52, LS_current!$B$4:$AY$138,LS_current!AL$148, FALSE))/2)</f>
        <v>0</v>
      </c>
      <c r="CJ52" s="180">
        <f t="array" ref="CJ52">IF($BT52=0, INDEX(LS_current!$D$4:$AY$138, MATCH('Staging Table'!$A52, LS_current!$B$4:$B$138, 0), MATCH(CJ$4&amp;CJ$5, LS_current!$D$2:$AY$2&amp;LS_current!$D$3:$AY$3, 0)),SUM(VLOOKUP($A52, LS_current!$B$4:$AY$138, LS_current!O$148, FALSE), VLOOKUP($A52, LS_current!$B$4:$AY$138,LS_current!AM$148, FALSE))/2)</f>
        <v>0</v>
      </c>
      <c r="CK52" s="180">
        <f t="array" ref="CK52">IF($BT52=0, INDEX(LS_current!$D$4:$AY$138, MATCH('Staging Table'!$A52, LS_current!$B$4:$B$138, 0), MATCH(CK$4&amp;CK$5, LS_current!$D$2:$AY$2&amp;LS_current!$D$3:$AY$3, 0)),SUM(VLOOKUP($A52, LS_current!$B$4:$AY$138, LS_current!P$148, FALSE), VLOOKUP($A52, LS_current!$B$4:$AY$138,LS_current!AN$148, FALSE))/2)</f>
        <v>0</v>
      </c>
      <c r="CL52" s="180">
        <f t="array" ref="CL52">IF($BT52=0, INDEX(LS_current!$D$4:$AY$138, MATCH('Staging Table'!$A52, LS_current!$B$4:$B$138, 0), MATCH(CL$4&amp;CL$5, LS_current!$D$2:$AY$2&amp;LS_current!$D$3:$AY$3, 0)),SUM(VLOOKUP($A52, LS_current!$B$4:$AY$138, LS_current!Q$148, FALSE), VLOOKUP($A52, LS_current!$B$4:$AY$138,LS_current!AO$148, FALSE))/2)</f>
        <v>0</v>
      </c>
      <c r="CM52" s="180">
        <f t="array" ref="CM52">IF($BT52=0, INDEX(LS_current!$D$4:$AY$138, MATCH('Staging Table'!$A52, LS_current!$B$4:$B$138, 0), MATCH(CM$4&amp;CM$5, LS_current!$D$2:$AY$2&amp;LS_current!$D$3:$AY$3, 0)),SUM(VLOOKUP($A52, LS_current!$B$4:$AY$138, LS_current!R$148, FALSE), VLOOKUP($A52, LS_current!$B$4:$AY$138,LS_current!AP$148, FALSE))/2)</f>
        <v>0</v>
      </c>
      <c r="CN52" s="180">
        <f t="array" ref="CN52">IF($BT52=0, INDEX(LS_current!$D$4:$AY$138, MATCH('Staging Table'!$A52, LS_current!$B$4:$B$138, 0), MATCH(CN$4&amp;CN$5, LS_current!$D$2:$AY$2&amp;LS_current!$D$3:$AY$3, 0)),SUM(VLOOKUP($A52, LS_current!$B$4:$AY$138, LS_current!S$148, FALSE), VLOOKUP($A52, LS_current!$B$4:$AY$138,LS_current!AQ$148, FALSE))/2)</f>
        <v>0</v>
      </c>
      <c r="CO52" s="180">
        <f t="array" ref="CO52">IF($BT52=0, INDEX(LS_current!$D$4:$AY$138, MATCH('Staging Table'!$A52, LS_current!$B$4:$B$138, 0), MATCH(CO$4&amp;CO$5, LS_current!$D$2:$AY$2&amp;LS_current!$D$3:$AY$3, 0)),SUM(VLOOKUP($A52, LS_current!$B$4:$AY$138, LS_current!T$148, FALSE), VLOOKUP($A52, LS_current!$B$4:$AY$138,LS_current!AR$148, FALSE))/2)</f>
        <v>0</v>
      </c>
      <c r="CP52" s="180">
        <f t="array" ref="CP52">IF($BT52=0, INDEX(LS_current!$D$4:$AY$138, MATCH('Staging Table'!$A52, LS_current!$B$4:$B$138, 0), MATCH(CP$4&amp;CP$5, LS_current!$D$2:$AY$2&amp;LS_current!$D$3:$AY$3, 0)),SUM(VLOOKUP($A52, LS_current!$B$4:$AY$138, LS_current!U$148, FALSE), VLOOKUP($A52, LS_current!$B$4:$AY$138,LS_current!AS$148, FALSE))/2)</f>
        <v>0</v>
      </c>
      <c r="CQ52" s="180">
        <f t="array" ref="CQ52">IF($BT52=0, INDEX(LS_current!$D$4:$AY$138, MATCH('Staging Table'!$A52, LS_current!$B$4:$B$138, 0), MATCH(CQ$4&amp;CQ$5, LS_current!$D$2:$AY$2&amp;LS_current!$D$3:$AY$3, 0)),SUM(VLOOKUP($A52, LS_current!$B$4:$AY$138, LS_current!V$148, FALSE), VLOOKUP($A52, LS_current!$B$4:$AY$138,LS_current!AT$148, FALSE))/2)</f>
        <v>0</v>
      </c>
      <c r="CR52" s="180">
        <f t="array" ref="CR52">IF($BT52=0, INDEX(LS_current!$D$4:$AY$138, MATCH('Staging Table'!$A52, LS_current!$B$4:$B$138, 0), MATCH(CR$4&amp;CR$5, LS_current!$D$2:$AY$2&amp;LS_current!$D$3:$AY$3, 0)),SUM(VLOOKUP($A52, LS_current!$B$4:$AY$138, LS_current!W$148, FALSE), VLOOKUP($A52, LS_current!$B$4:$AY$138,LS_current!AU$148, FALSE))/2)</f>
        <v>0</v>
      </c>
      <c r="CS52" s="180">
        <f t="array" ref="CS52">IF($BT52=0, INDEX(LS_current!$D$4:$AY$138, MATCH('Staging Table'!$A52, LS_current!$B$4:$B$138, 0), MATCH(CS$4&amp;CS$5, LS_current!$D$2:$AY$2&amp;LS_current!$D$3:$AY$3, 0)),SUM(VLOOKUP($A52, LS_current!$B$4:$AY$138, LS_current!X$148, FALSE), VLOOKUP($A52, LS_current!$B$4:$AY$138,LS_current!AV$148, FALSE))/2)</f>
        <v>0</v>
      </c>
      <c r="CT52" s="180">
        <f t="array" ref="CT52">IF($BT52=0, INDEX(LS_current!$D$4:$AY$138, MATCH('Staging Table'!$A52, LS_current!$B$4:$B$138, 0), MATCH(CT$4&amp;CT$5, LS_current!$D$2:$AY$2&amp;LS_current!$D$3:$AY$3, 0)),SUM(VLOOKUP($A52, LS_current!$B$4:$AY$138, LS_current!Y$148, FALSE), VLOOKUP($A52, LS_current!$B$4:$AY$138,LS_current!AW$148, FALSE))/2)</f>
        <v>0</v>
      </c>
      <c r="CU52" s="180">
        <f t="array" ref="CU52">IF($BT52=0, INDEX(LS_current!$D$4:$AY$138, MATCH('Staging Table'!$A52, LS_current!$B$4:$B$138, 0), MATCH(CU$4&amp;CU$5, LS_current!$D$2:$AY$2&amp;LS_current!$D$3:$AY$3, 0)),SUM(VLOOKUP($A52, LS_current!$B$4:$AY$138, LS_current!Z$148, FALSE), VLOOKUP($A52, LS_current!$B$4:$AY$138,LS_current!AX$148, FALSE))/2)</f>
        <v>0</v>
      </c>
      <c r="CV52" s="180">
        <f t="array" ref="CV52">IF($BT52=0, INDEX(LS_current!$D$4:$AY$138, MATCH('Staging Table'!$A52, LS_current!$B$4:$B$138, 0), MATCH(CV$4&amp;CV$5, LS_current!$D$2:$AY$2&amp;LS_current!$D$3:$AY$3, 0)),SUM(VLOOKUP($A52, LS_current!$B$4:$AY$138, LS_current!AA$148, FALSE), VLOOKUP($A52, LS_current!$B$4:$AY$138,LS_current!AY$148, FALSE))/2)</f>
        <v>0</v>
      </c>
      <c r="CW52" s="182">
        <f t="array" ref="CW52">INDEX(Demand_current!$D$4:$AY$138, MATCH($A52, Demand_current!$B$4:$B$138, 0), MATCH(CW$4&amp;CW$5,Demand_current!$D$2:$AY$2&amp;Demand_current!$D$3:$AY$3, 0))/1000</f>
        <v>0</v>
      </c>
      <c r="CX52" s="182">
        <f t="array" ref="CX52">INDEX(Demand_current!$D$4:$AY$138, MATCH($A52, Demand_current!$B$4:$B$138, 0), MATCH(CX$4&amp;CX$5,Demand_current!$D$2:$AY$2&amp;Demand_current!$D$3:$AY$3, 0))/1000</f>
        <v>0</v>
      </c>
      <c r="CY52" s="182">
        <f t="array" ref="CY52">INDEX(Demand_current!$D$4:$AY$138, MATCH($A52, Demand_current!$B$4:$B$138, 0), MATCH(CY$4&amp;CY$5,Demand_current!$D$2:$AY$2&amp;Demand_current!$D$3:$AY$3, 0))/1000</f>
        <v>0</v>
      </c>
      <c r="CZ52" s="182">
        <f t="array" ref="CZ52">INDEX(Demand_current!$D$4:$AY$138, MATCH($A52, Demand_current!$B$4:$B$138, 0), MATCH(CZ$4&amp;CZ$5,Demand_current!$D$2:$AY$2&amp;Demand_current!$D$3:$AY$3, 0))/1000</f>
        <v>0</v>
      </c>
      <c r="DA52" s="182">
        <f t="array" ref="DA52">INDEX(Demand_current!$D$4:$AY$138, MATCH($A52, Demand_current!$B$4:$B$138, 0), MATCH(DA$4&amp;DA$5,Demand_current!$D$2:$AY$2&amp;Demand_current!$D$3:$AY$3, 0))/1000</f>
        <v>0</v>
      </c>
      <c r="DB52" s="182">
        <f t="array" ref="DB52">INDEX(Demand_current!$D$4:$AY$138, MATCH($A52, Demand_current!$B$4:$B$138, 0), MATCH(DB$4&amp;DB$5,Demand_current!$D$2:$AY$2&amp;Demand_current!$D$3:$AY$3, 0))/1000</f>
        <v>0</v>
      </c>
      <c r="DC52" s="182">
        <f t="array" ref="DC52">INDEX(Demand_current!$D$4:$AY$138, MATCH($A52, Demand_current!$B$4:$B$138, 0), MATCH(DC$4&amp;DC$5,Demand_current!$D$2:$AY$2&amp;Demand_current!$D$3:$AY$3, 0))/1000</f>
        <v>0</v>
      </c>
      <c r="DD52" s="182">
        <f t="array" ref="DD52">INDEX(Demand_current!$D$4:$AY$138, MATCH($A52, Demand_current!$B$4:$B$138, 0), MATCH(DD$4&amp;DD$5,Demand_current!$D$2:$AY$2&amp;Demand_current!$D$3:$AY$3, 0))/1000</f>
        <v>0</v>
      </c>
      <c r="DE52" s="182">
        <f t="array" ref="DE52">INDEX(Demand_current!$D$4:$AY$138, MATCH($A52, Demand_current!$B$4:$B$138, 0), MATCH(DE$4&amp;DE$5,Demand_current!$D$2:$AY$2&amp;Demand_current!$D$3:$AY$3, 0))/1000</f>
        <v>0</v>
      </c>
      <c r="DF52" s="182">
        <f t="array" ref="DF52">INDEX(Demand_current!$D$4:$AY$138, MATCH($A52, Demand_current!$B$4:$B$138, 0), MATCH(DF$4&amp;DF$5,Demand_current!$D$2:$AY$2&amp;Demand_current!$D$3:$AY$3, 0))/1000</f>
        <v>0</v>
      </c>
      <c r="DG52" s="182">
        <f t="array" ref="DG52">INDEX(Demand_current!$D$4:$AY$138, MATCH($A52, Demand_current!$B$4:$B$138, 0), MATCH(DG$4&amp;DG$5,Demand_current!$D$2:$AY$2&amp;Demand_current!$D$3:$AY$3, 0))/1000</f>
        <v>0</v>
      </c>
      <c r="DH52" s="182">
        <f t="array" ref="DH52">INDEX(Demand_current!$D$4:$AY$138, MATCH($A52, Demand_current!$B$4:$B$138, 0), MATCH(DH$4&amp;DH$5,Demand_current!$D$2:$AY$2&amp;Demand_current!$D$3:$AY$3, 0))/1000</f>
        <v>0</v>
      </c>
      <c r="DI52" s="180">
        <f>$BS52*(VLOOKUP(DI$4, Rates_current!$G$6:$Q$29, 10, FALSE)+VLOOKUP(DI$4, Rates_current!$G$6:$Q$29, 11, FALSE))</f>
        <v>27280.050762987452</v>
      </c>
      <c r="DJ52" s="180">
        <f>$BS52*(VLOOKUP(DJ$4, Rates_current!$G$6:$Q$29, 10, FALSE)+VLOOKUP(DJ$4, Rates_current!$G$6:$Q$29, 11, FALSE))</f>
        <v>34791.060400681708</v>
      </c>
      <c r="DK52" s="180">
        <f>$BS52*(VLOOKUP(DK$4, Rates_current!$G$6:$Q$29, 10, FALSE)+VLOOKUP(DK$4, Rates_current!$G$6:$Q$29, 11, FALSE))</f>
        <v>37546.437970540508</v>
      </c>
      <c r="DL52" s="180">
        <f>$BS52*(VLOOKUP(DL$4, Rates_current!$G$6:$Q$29, 10, FALSE)+VLOOKUP(DL$4, Rates_current!$G$6:$Q$29, 11, FALSE))</f>
        <v>39016.5532736272</v>
      </c>
      <c r="DM52" s="180">
        <f>$BS52*(VLOOKUP(DM$4, Rates_current!$G$6:$Q$29, 10, FALSE)+VLOOKUP(DM$4, Rates_current!$G$6:$Q$29, 11, FALSE))</f>
        <v>33559.436389859402</v>
      </c>
      <c r="DN52" s="180">
        <f>$BS52*(VLOOKUP(DN$4, Rates_current!$G$6:$Q$29, 10, FALSE)+VLOOKUP(DN$4, Rates_current!$G$6:$Q$29, 11, FALSE))</f>
        <v>36640.260103473302</v>
      </c>
      <c r="DO52" s="180">
        <f>$BS52*(VLOOKUP(DO$4, Rates_current!$G$6:$Q$29, 10, FALSE)+VLOOKUP(DO$4, Rates_current!$G$6:$Q$29, 11, FALSE))</f>
        <v>28921.310719362275</v>
      </c>
      <c r="DP52" s="180">
        <f>$BS52*(VLOOKUP(DP$4, Rates_current!$G$6:$Q$29, 10, FALSE)+VLOOKUP(DP$4, Rates_current!$G$6:$Q$29, 11, FALSE))</f>
        <v>35880.76158383095</v>
      </c>
      <c r="DQ52" s="180">
        <f>$BS52*(VLOOKUP(DQ$4, Rates_current!$G$6:$Q$29, 10, FALSE)+VLOOKUP(DQ$4, Rates_current!$G$6:$Q$29, 11, FALSE))</f>
        <v>36659.28453680715</v>
      </c>
      <c r="DR52" s="180">
        <f>$BS52*(VLOOKUP(DR$4, Rates_current!$G$6:$Q$29, 10, FALSE)+VLOOKUP(DR$4, Rates_current!$G$6:$Q$29, 11, FALSE))</f>
        <v>31825.54042175645</v>
      </c>
      <c r="DS52" s="180">
        <f>$BS52*(VLOOKUP(DS$4, Rates_current!$G$6:$Q$29, 10, FALSE)+VLOOKUP(DS$4, Rates_current!$G$6:$Q$29, 11, FALSE))</f>
        <v>30766.838081704511</v>
      </c>
      <c r="DT52" s="180">
        <f>$BS52*(VLOOKUP(DT$4, Rates_current!$G$6:$Q$29, 10, FALSE)+VLOOKUP(DT$4, Rates_current!$G$6:$Q$29, 11, FALSE))</f>
        <v>28311.448998361404</v>
      </c>
      <c r="DU52" s="402">
        <f>IF(D52=0,IF(C52=0,MAX(0,DW52 - (VLOOKUP($A52,TOCA_current!$A$2:$AI$137,MATCH("RHWM 2024",TOCA_current!$A$2:$AI$2,0),FALSE)*$BS$2)), 0),0)</f>
        <v>0</v>
      </c>
      <c r="DV52" s="403">
        <f>MIN(VLOOKUP($A52,TOCA_current!$A$2:$AI$137,MATCH("TRL - NLSL - Existing Resource "&amp;$BS$1,TOCA_current!$A$2:$AI$2,0),FALSE)*$BS$2, VLOOKUP($A52,TOCA_current!$A$2:$AI$137,MATCH("RHWM 2024",TOCA_current!$A$2:$AI$2,0),FALSE)*$BS$2)</f>
        <v>401200.41599999997</v>
      </c>
      <c r="DW52" s="403">
        <f>SUM(BY52:CV52)+(BS52*RT1SC!$C$4*$BS$2)</f>
        <v>401198.985082008</v>
      </c>
      <c r="DX52" s="403">
        <f>VLOOKUP($A52,TOCA_current!$A$2:$AI$137,MATCH("Above RHWM Not Served with LS "&amp;$BS$1,TOCA_current!$A$2:$AI$2,0),FALSE)*$BS$2</f>
        <v>31121.712</v>
      </c>
      <c r="DY52" s="403">
        <f t="shared" si="13"/>
        <v>-1.4309179919655435</v>
      </c>
      <c r="DZ52" s="403">
        <f>(VLOOKUP($A52,TOCA_current!$A$2:$AI$137,MATCH("RHWM 2024",TOCA_current!$A$2:$AI$2,0),FALSE)*$BS$2) - $DV52</f>
        <v>0</v>
      </c>
      <c r="EA52" s="403">
        <f t="shared" si="14"/>
        <v>0</v>
      </c>
      <c r="EB52" s="403">
        <f t="shared" si="15"/>
        <v>0</v>
      </c>
      <c r="EC52" s="403">
        <f t="shared" si="16"/>
        <v>0</v>
      </c>
      <c r="ED52" s="403">
        <f t="shared" si="17"/>
        <v>0</v>
      </c>
    </row>
    <row r="53" spans="1:134">
      <c r="A53" s="123">
        <v>10121</v>
      </c>
      <c r="B53" s="124" t="s">
        <v>54</v>
      </c>
      <c r="C53" s="232">
        <f>VLOOKUP(A53, TOCA_current!$A$3:$D$137, 4, FALSE)</f>
        <v>1</v>
      </c>
      <c r="D53" s="191">
        <v>0</v>
      </c>
      <c r="E53" s="107">
        <f>VLOOKUP($A53,TOCA_previous!$A$2:$AI$137,MATCH(E$4,TOCA_previous!$A$2:$AI$2,0),FALSE)</f>
        <v>5.7758000000000002E-3</v>
      </c>
      <c r="F53" s="108">
        <f>VLOOKUP($A53,TOCA_previous!$A$2:$AI$137,MATCH(F$4,TOCA_previous!$A$2:$AI$2,0),FALSE)</f>
        <v>5.7758000000000002E-3</v>
      </c>
      <c r="G53" s="108">
        <f t="shared" si="5"/>
        <v>0</v>
      </c>
      <c r="H53" s="108">
        <f>VLOOKUP($A53,TOCA_previous!$A$2:$AI$137,MATCH(H$4,TOCA_previous!$A$2:$AI$2,0),FALSE)</f>
        <v>0.06</v>
      </c>
      <c r="I53" s="108">
        <f t="shared" si="6"/>
        <v>0.06</v>
      </c>
      <c r="J53" s="108">
        <f t="shared" si="7"/>
        <v>5.7758000000000002E-3</v>
      </c>
      <c r="K53" s="179">
        <f>VLOOKUP(A53, IRD!$A$5:$C$139, 3, FALSE)</f>
        <v>0</v>
      </c>
      <c r="L53" s="180">
        <f t="array" ref="L53">IF($G53=0, INDEX(LS_previous!$D$4:$AY$138, MATCH('Staging Table'!$A53, LS_previous!$B$4:$B$138, 0), MATCH(L$4&amp;L$5, LS_previous!$D$2:$AY$2&amp;LS_previous!$D$3:$AY$3, 0)),SUM(VLOOKUP($A53, LS_previous!$B$4:$AY$138, LS_previous!D$149, FALSE), VLOOKUP('Staging Table'!$A53, LS_previous!$B$4:$AY$138,LS_previous!AB$149, FALSE))/2)</f>
        <v>0</v>
      </c>
      <c r="M53" s="180">
        <f t="array" ref="M53">IF($G53=0, INDEX(LS_previous!$D$4:$AY$138, MATCH('Staging Table'!$A53, LS_previous!$B$4:$B$138, 0), MATCH(M$4&amp;M$5, LS_previous!$D$2:$AY$2&amp;LS_previous!$D$3:$AY$3, 0)),SUM(VLOOKUP($A53, LS_previous!$B$4:$AY$138, LS_previous!E$149, FALSE), VLOOKUP('Staging Table'!$A53, LS_previous!$B$4:$AY$138,LS_previous!AC$149, FALSE))/2)</f>
        <v>0</v>
      </c>
      <c r="N53" s="180">
        <f t="array" ref="N53">IF($G53=0, INDEX(LS_previous!$D$4:$AY$138, MATCH('Staging Table'!$A53, LS_previous!$B$4:$B$138, 0), MATCH(N$4&amp;N$5, LS_previous!$D$2:$AY$2&amp;LS_previous!$D$3:$AY$3, 0)),SUM(VLOOKUP($A53, LS_previous!$B$4:$AY$138, LS_previous!F$149, FALSE), VLOOKUP('Staging Table'!$A53, LS_previous!$B$4:$AY$138,LS_previous!AD$149, FALSE))/2)</f>
        <v>0</v>
      </c>
      <c r="O53" s="180">
        <f t="array" ref="O53">IF($G53=0, INDEX(LS_previous!$D$4:$AY$138, MATCH('Staging Table'!$A53, LS_previous!$B$4:$B$138, 0), MATCH(O$4&amp;O$5, LS_previous!$D$2:$AY$2&amp;LS_previous!$D$3:$AY$3, 0)),SUM(VLOOKUP($A53, LS_previous!$B$4:$AY$138, LS_previous!G$149, FALSE), VLOOKUP('Staging Table'!$A53, LS_previous!$B$4:$AY$138,LS_previous!AE$149, FALSE))/2)</f>
        <v>0</v>
      </c>
      <c r="P53" s="180">
        <f t="array" ref="P53">IF($G53=0, INDEX(LS_previous!$D$4:$AY$138, MATCH('Staging Table'!$A53, LS_previous!$B$4:$B$138, 0), MATCH(P$4&amp;P$5, LS_previous!$D$2:$AY$2&amp;LS_previous!$D$3:$AY$3, 0)),SUM(VLOOKUP($A53, LS_previous!$B$4:$AY$138, LS_previous!H$149, FALSE), VLOOKUP('Staging Table'!$A53, LS_previous!$B$4:$AY$138,LS_previous!AF$149, FALSE))/2)</f>
        <v>0</v>
      </c>
      <c r="Q53" s="180">
        <f t="array" ref="Q53">IF($G53=0, INDEX(LS_previous!$D$4:$AY$138, MATCH('Staging Table'!$A53, LS_previous!$B$4:$B$138, 0), MATCH(Q$4&amp;Q$5, LS_previous!$D$2:$AY$2&amp;LS_previous!$D$3:$AY$3, 0)),SUM(VLOOKUP($A53, LS_previous!$B$4:$AY$138, LS_previous!I$149, FALSE), VLOOKUP('Staging Table'!$A53, LS_previous!$B$4:$AY$138,LS_previous!AG$149, FALSE))/2)</f>
        <v>0</v>
      </c>
      <c r="R53" s="180">
        <f t="array" ref="R53">IF($G53=0, INDEX(LS_previous!$D$4:$AY$138, MATCH('Staging Table'!$A53, LS_previous!$B$4:$B$138, 0), MATCH(R$4&amp;R$5, LS_previous!$D$2:$AY$2&amp;LS_previous!$D$3:$AY$3, 0)),SUM(VLOOKUP($A53, LS_previous!$B$4:$AY$138, LS_previous!J$149, FALSE), VLOOKUP('Staging Table'!$A53, LS_previous!$B$4:$AY$138,LS_previous!AH$149, FALSE))/2)</f>
        <v>0</v>
      </c>
      <c r="S53" s="180">
        <f t="array" ref="S53">IF($G53=0, INDEX(LS_previous!$D$4:$AY$138, MATCH('Staging Table'!$A53, LS_previous!$B$4:$B$138, 0), MATCH(S$4&amp;S$5, LS_previous!$D$2:$AY$2&amp;LS_previous!$D$3:$AY$3, 0)),SUM(VLOOKUP($A53, LS_previous!$B$4:$AY$138, LS_previous!K$149, FALSE), VLOOKUP('Staging Table'!$A53, LS_previous!$B$4:$AY$138,LS_previous!AI$149, FALSE))/2)</f>
        <v>0</v>
      </c>
      <c r="T53" s="180">
        <f t="array" ref="T53">IF($G53=0, INDEX(LS_previous!$D$4:$AY$138, MATCH('Staging Table'!$A53, LS_previous!$B$4:$B$138, 0), MATCH(T$4&amp;T$5, LS_previous!$D$2:$AY$2&amp;LS_previous!$D$3:$AY$3, 0)),SUM(VLOOKUP($A53, LS_previous!$B$4:$AY$138, LS_previous!L$149, FALSE), VLOOKUP('Staging Table'!$A53, LS_previous!$B$4:$AY$138,LS_previous!AJ$149, FALSE))/2)</f>
        <v>0</v>
      </c>
      <c r="U53" s="180">
        <f t="array" ref="U53">IF($G53=0, INDEX(LS_previous!$D$4:$AY$138, MATCH('Staging Table'!$A53, LS_previous!$B$4:$B$138, 0), MATCH(U$4&amp;U$5, LS_previous!$D$2:$AY$2&amp;LS_previous!$D$3:$AY$3, 0)),SUM(VLOOKUP($A53, LS_previous!$B$4:$AY$138, LS_previous!M$149, FALSE), VLOOKUP('Staging Table'!$A53, LS_previous!$B$4:$AY$138,LS_previous!AK$149, FALSE))/2)</f>
        <v>0</v>
      </c>
      <c r="V53" s="180">
        <f t="array" ref="V53">IF($G53=0, INDEX(LS_previous!$D$4:$AY$138, MATCH('Staging Table'!$A53, LS_previous!$B$4:$B$138, 0), MATCH(V$4&amp;V$5, LS_previous!$D$2:$AY$2&amp;LS_previous!$D$3:$AY$3, 0)),SUM(VLOOKUP($A53, LS_previous!$B$4:$AY$138, LS_previous!N$149, FALSE), VLOOKUP('Staging Table'!$A53, LS_previous!$B$4:$AY$138,LS_previous!AL$149, FALSE))/2)</f>
        <v>0</v>
      </c>
      <c r="W53" s="180">
        <f t="array" ref="W53">IF($G53=0, INDEX(LS_previous!$D$4:$AY$138, MATCH('Staging Table'!$A53, LS_previous!$B$4:$B$138, 0), MATCH(W$4&amp;W$5, LS_previous!$D$2:$AY$2&amp;LS_previous!$D$3:$AY$3, 0)),SUM(VLOOKUP($A53, LS_previous!$B$4:$AY$138, LS_previous!O$149, FALSE), VLOOKUP('Staging Table'!$A53, LS_previous!$B$4:$AY$138,LS_previous!AM$149, FALSE))/2)</f>
        <v>0</v>
      </c>
      <c r="X53" s="180">
        <f t="array" ref="X53">IF($G53=0, INDEX(LS_previous!$D$4:$AY$138, MATCH('Staging Table'!$A53, LS_previous!$B$4:$B$138, 0), MATCH(X$4&amp;X$5, LS_previous!$D$2:$AY$2&amp;LS_previous!$D$3:$AY$3, 0)),SUM(VLOOKUP($A53, LS_previous!$B$4:$AY$138, LS_previous!P$149, FALSE), VLOOKUP('Staging Table'!$A53, LS_previous!$B$4:$AY$138,LS_previous!AN$149, FALSE))/2)</f>
        <v>0</v>
      </c>
      <c r="Y53" s="180">
        <f t="array" ref="Y53">IF($G53=0, INDEX(LS_previous!$D$4:$AY$138, MATCH('Staging Table'!$A53, LS_previous!$B$4:$B$138, 0), MATCH(Y$4&amp;Y$5, LS_previous!$D$2:$AY$2&amp;LS_previous!$D$3:$AY$3, 0)),SUM(VLOOKUP($A53, LS_previous!$B$4:$AY$138, LS_previous!Q$149, FALSE), VLOOKUP('Staging Table'!$A53, LS_previous!$B$4:$AY$138,LS_previous!AO$149, FALSE))/2)</f>
        <v>0</v>
      </c>
      <c r="Z53" s="180">
        <f t="array" ref="Z53">IF($G53=0, INDEX(LS_previous!$D$4:$AY$138, MATCH('Staging Table'!$A53, LS_previous!$B$4:$B$138, 0), MATCH(Z$4&amp;Z$5, LS_previous!$D$2:$AY$2&amp;LS_previous!$D$3:$AY$3, 0)),SUM(VLOOKUP($A53, LS_previous!$B$4:$AY$138, LS_previous!R$149, FALSE), VLOOKUP('Staging Table'!$A53, LS_previous!$B$4:$AY$138,LS_previous!AP$149, FALSE))/2)</f>
        <v>0</v>
      </c>
      <c r="AA53" s="180">
        <f t="array" ref="AA53">IF($G53=0, INDEX(LS_previous!$D$4:$AY$138, MATCH('Staging Table'!$A53, LS_previous!$B$4:$B$138, 0), MATCH(AA$4&amp;AA$5, LS_previous!$D$2:$AY$2&amp;LS_previous!$D$3:$AY$3, 0)),SUM(VLOOKUP($A53, LS_previous!$B$4:$AY$138, LS_previous!S$149, FALSE), VLOOKUP('Staging Table'!$A53, LS_previous!$B$4:$AY$138,LS_previous!AQ$149, FALSE))/2)</f>
        <v>0</v>
      </c>
      <c r="AB53" s="180">
        <f t="array" ref="AB53">IF($G53=0, INDEX(LS_previous!$D$4:$AY$138, MATCH('Staging Table'!$A53, LS_previous!$B$4:$B$138, 0), MATCH(AB$4&amp;AB$5, LS_previous!$D$2:$AY$2&amp;LS_previous!$D$3:$AY$3, 0)),SUM(VLOOKUP($A53, LS_previous!$B$4:$AY$138, LS_previous!T$149, FALSE), VLOOKUP('Staging Table'!$A53, LS_previous!$B$4:$AY$138,LS_previous!AR$149, FALSE))/2)</f>
        <v>0</v>
      </c>
      <c r="AC53" s="180">
        <f t="array" ref="AC53">IF($G53=0, INDEX(LS_previous!$D$4:$AY$138, MATCH('Staging Table'!$A53, LS_previous!$B$4:$B$138, 0), MATCH(AC$4&amp;AC$5, LS_previous!$D$2:$AY$2&amp;LS_previous!$D$3:$AY$3, 0)),SUM(VLOOKUP($A53, LS_previous!$B$4:$AY$138, LS_previous!U$149, FALSE), VLOOKUP('Staging Table'!$A53, LS_previous!$B$4:$AY$138,LS_previous!AS$149, FALSE))/2)</f>
        <v>0</v>
      </c>
      <c r="AD53" s="180">
        <f t="array" ref="AD53">IF($G53=0, INDEX(LS_previous!$D$4:$AY$138, MATCH('Staging Table'!$A53, LS_previous!$B$4:$B$138, 0), MATCH(AD$4&amp;AD$5, LS_previous!$D$2:$AY$2&amp;LS_previous!$D$3:$AY$3, 0)),SUM(VLOOKUP($A53, LS_previous!$B$4:$AY$138, LS_previous!V$149, FALSE), VLOOKUP('Staging Table'!$A53, LS_previous!$B$4:$AY$138,LS_previous!AT$149, FALSE))/2)</f>
        <v>0</v>
      </c>
      <c r="AE53" s="180">
        <f t="array" ref="AE53">IF($G53=0, INDEX(LS_previous!$D$4:$AY$138, MATCH('Staging Table'!$A53, LS_previous!$B$4:$B$138, 0), MATCH(AE$4&amp;AE$5, LS_previous!$D$2:$AY$2&amp;LS_previous!$D$3:$AY$3, 0)),SUM(VLOOKUP($A53, LS_previous!$B$4:$AY$138, LS_previous!W$149, FALSE), VLOOKUP('Staging Table'!$A53, LS_previous!$B$4:$AY$138,LS_previous!AU$149, FALSE))/2)</f>
        <v>0</v>
      </c>
      <c r="AF53" s="180">
        <f t="array" ref="AF53">IF($G53=0, INDEX(LS_previous!$D$4:$AY$138, MATCH('Staging Table'!$A53, LS_previous!$B$4:$B$138, 0), MATCH(AF$4&amp;AF$5, LS_previous!$D$2:$AY$2&amp;LS_previous!$D$3:$AY$3, 0)),SUM(VLOOKUP($A53, LS_previous!$B$4:$AY$138, LS_previous!X$149, FALSE), VLOOKUP('Staging Table'!$A53, LS_previous!$B$4:$AY$138,LS_previous!AV$149, FALSE))/2)</f>
        <v>0</v>
      </c>
      <c r="AG53" s="180">
        <f t="array" ref="AG53">IF($G53=0, INDEX(LS_previous!$D$4:$AY$138, MATCH('Staging Table'!$A53, LS_previous!$B$4:$B$138, 0), MATCH(AG$4&amp;AG$5, LS_previous!$D$2:$AY$2&amp;LS_previous!$D$3:$AY$3, 0)),SUM(VLOOKUP($A53, LS_previous!$B$4:$AY$138, LS_previous!Y$149, FALSE), VLOOKUP('Staging Table'!$A53, LS_previous!$B$4:$AY$138,LS_previous!AW$149, FALSE))/2)</f>
        <v>0</v>
      </c>
      <c r="AH53" s="180">
        <f t="array" ref="AH53">IF($G53=0, INDEX(LS_previous!$D$4:$AY$138, MATCH('Staging Table'!$A53, LS_previous!$B$4:$B$138, 0), MATCH(AH$4&amp;AH$5, LS_previous!$D$2:$AY$2&amp;LS_previous!$D$3:$AY$3, 0)),SUM(VLOOKUP($A53, LS_previous!$B$4:$AY$138, LS_previous!Z$149, FALSE), VLOOKUP('Staging Table'!$A53, LS_previous!$B$4:$AY$138,LS_previous!AX$149, FALSE))/2)</f>
        <v>0</v>
      </c>
      <c r="AI53" s="180">
        <f t="array" ref="AI53">IF($G53=0, INDEX(LS_previous!$D$4:$AY$138, MATCH('Staging Table'!$A53, LS_previous!$B$4:$B$138, 0), MATCH(AI$4&amp;AI$5, LS_previous!$D$2:$AY$2&amp;LS_previous!$D$3:$AY$3, 0)),SUM(VLOOKUP($A53, LS_previous!$B$4:$AY$138, LS_previous!AA$149, FALSE), VLOOKUP('Staging Table'!$A53, LS_previous!$B$4:$AY$138,LS_previous!AY$149, FALSE))/2)</f>
        <v>0</v>
      </c>
      <c r="AJ53" s="298">
        <f t="array" ref="AJ53">INDEX(Demand_previous!$D$4:$AY$138, MATCH('Staging Table'!$A53, Demand_previous!$B$4:$B$138, 0), MATCH(AJ$4&amp;AJ$5,Demand_previous!$D$2:$AY$2&amp;Demand_previous!$D$3:$AY$3, 0))/1000</f>
        <v>0</v>
      </c>
      <c r="AK53" s="298">
        <f t="array" ref="AK53">INDEX(Demand_previous!$D$4:$AY$138, MATCH('Staging Table'!$A53, Demand_previous!$B$4:$B$138, 0), MATCH(AK$4&amp;AK$5,Demand_previous!$D$2:$AY$2&amp;Demand_previous!$D$3:$AY$3, 0))/1000</f>
        <v>0</v>
      </c>
      <c r="AL53" s="298">
        <f t="array" ref="AL53">INDEX(Demand_previous!$D$4:$AY$138, MATCH('Staging Table'!$A53, Demand_previous!$B$4:$B$138, 0), MATCH(AL$4&amp;AL$5,Demand_previous!$D$2:$AY$2&amp;Demand_previous!$D$3:$AY$3, 0))/1000</f>
        <v>0</v>
      </c>
      <c r="AM53" s="298">
        <f t="array" ref="AM53">INDEX(Demand_previous!$D$4:$AY$138, MATCH('Staging Table'!$A53, Demand_previous!$B$4:$B$138, 0), MATCH(AM$4&amp;AM$5,Demand_previous!$D$2:$AY$2&amp;Demand_previous!$D$3:$AY$3, 0))/1000</f>
        <v>0</v>
      </c>
      <c r="AN53" s="298">
        <f t="array" ref="AN53">INDEX(Demand_previous!$D$4:$AY$138, MATCH('Staging Table'!$A53, Demand_previous!$B$4:$B$138, 0), MATCH(AN$4&amp;AN$5,Demand_previous!$D$2:$AY$2&amp;Demand_previous!$D$3:$AY$3, 0))/1000</f>
        <v>0</v>
      </c>
      <c r="AO53" s="298">
        <f t="array" ref="AO53">INDEX(Demand_previous!$D$4:$AY$138, MATCH('Staging Table'!$A53, Demand_previous!$B$4:$B$138, 0), MATCH(AO$4&amp;AO$5,Demand_previous!$D$2:$AY$2&amp;Demand_previous!$D$3:$AY$3, 0))/1000</f>
        <v>0</v>
      </c>
      <c r="AP53" s="298">
        <f t="array" ref="AP53">INDEX(Demand_previous!$D$4:$AY$138, MATCH('Staging Table'!$A53, Demand_previous!$B$4:$B$138, 0), MATCH(AP$4&amp;AP$5,Demand_previous!$D$2:$AY$2&amp;Demand_previous!$D$3:$AY$3, 0))/1000</f>
        <v>0</v>
      </c>
      <c r="AQ53" s="298">
        <f t="array" ref="AQ53">INDEX(Demand_previous!$D$4:$AY$138, MATCH('Staging Table'!$A53, Demand_previous!$B$4:$B$138, 0), MATCH(AQ$4&amp;AQ$5,Demand_previous!$D$2:$AY$2&amp;Demand_previous!$D$3:$AY$3, 0))/1000</f>
        <v>0</v>
      </c>
      <c r="AR53" s="298">
        <f t="array" ref="AR53">INDEX(Demand_previous!$D$4:$AY$138, MATCH('Staging Table'!$A53, Demand_previous!$B$4:$B$138, 0), MATCH(AR$4&amp;AR$5,Demand_previous!$D$2:$AY$2&amp;Demand_previous!$D$3:$AY$3, 0))/1000</f>
        <v>0</v>
      </c>
      <c r="AS53" s="298">
        <f t="array" ref="AS53">INDEX(Demand_previous!$D$4:$AY$138, MATCH('Staging Table'!$A53, Demand_previous!$B$4:$B$138, 0), MATCH(AS$4&amp;AS$5,Demand_previous!$D$2:$AY$2&amp;Demand_previous!$D$3:$AY$3, 0))/1000</f>
        <v>0</v>
      </c>
      <c r="AT53" s="298">
        <f t="array" ref="AT53">INDEX(Demand_previous!$D$4:$AY$138, MATCH('Staging Table'!$A53, Demand_previous!$B$4:$B$138, 0), MATCH(AT$4&amp;AT$5,Demand_previous!$D$2:$AY$2&amp;Demand_previous!$D$3:$AY$3, 0))/1000</f>
        <v>0</v>
      </c>
      <c r="AU53" s="298">
        <f t="array" ref="AU53">INDEX(Demand_previous!$D$4:$AY$138, MATCH('Staging Table'!$A53, Demand_previous!$B$4:$B$138, 0), MATCH(AU$4&amp;AU$5,Demand_previous!$D$2:$AY$2&amp;Demand_previous!$D$3:$AY$3, 0))/1000</f>
        <v>0</v>
      </c>
      <c r="AV53" s="180">
        <f>$F53*(VLOOKUP(AV$4, Rates_previous!$G$6:$Q$29, 10, FALSE)+VLOOKUP(AV$4, Rates_previous!$G$6:$Q$29, 11, FALSE))</f>
        <v>26302.556669442936</v>
      </c>
      <c r="AW53" s="180">
        <f>$F53*(VLOOKUP(AW$4, Rates_previous!$G$6:$Q$29, 10, FALSE)+VLOOKUP(AW$4, Rates_previous!$G$6:$Q$29, 11, FALSE))</f>
        <v>33299.991328986274</v>
      </c>
      <c r="AX53" s="180">
        <f>$F53*(VLOOKUP(AX$4, Rates_previous!$G$6:$Q$29, 10, FALSE)+VLOOKUP(AX$4, Rates_previous!$G$6:$Q$29, 11, FALSE))</f>
        <v>32594.038731724286</v>
      </c>
      <c r="AY53" s="180">
        <f>$F53*(VLOOKUP(AY$4, Rates_previous!$G$6:$Q$29, 10, FALSE)+VLOOKUP(AY$4, Rates_previous!$G$6:$Q$29, 11, FALSE))</f>
        <v>26921.28993606033</v>
      </c>
      <c r="AZ53" s="180">
        <f>$F53*(VLOOKUP(AZ$4, Rates_previous!$G$6:$Q$29, 10, FALSE)+VLOOKUP(AZ$4, Rates_previous!$G$6:$Q$29, 11, FALSE))</f>
        <v>23333.272023870624</v>
      </c>
      <c r="BA53" s="180">
        <f>$F53*(VLOOKUP(BA$4, Rates_previous!$G$6:$Q$29, 10, FALSE)+VLOOKUP(BA$4, Rates_previous!$G$6:$Q$29, 11, FALSE))</f>
        <v>27855.214893120665</v>
      </c>
      <c r="BB53" s="180">
        <f>$F53*(VLOOKUP(BB$4, Rates_previous!$G$6:$Q$29, 10, FALSE)+VLOOKUP(BB$4, Rates_previous!$G$6:$Q$29, 11, FALSE))</f>
        <v>21625.866030407349</v>
      </c>
      <c r="BC53" s="180">
        <f>$F53*(VLOOKUP(BC$4, Rates_previous!$G$6:$Q$29, 10, FALSE)+VLOOKUP(BC$4, Rates_previous!$G$6:$Q$29, 11, FALSE))</f>
        <v>29962.796529534182</v>
      </c>
      <c r="BD53" s="180">
        <f>$F53*(VLOOKUP(BD$4, Rates_previous!$G$6:$Q$29, 10, FALSE)+VLOOKUP(BD$4, Rates_previous!$G$6:$Q$29, 11, FALSE))</f>
        <v>32015.875487336572</v>
      </c>
      <c r="BE53" s="180">
        <f>$F53*(VLOOKUP(BE$4, Rates_previous!$G$6:$Q$29, 10, FALSE)+VLOOKUP(BE$4, Rates_previous!$G$6:$Q$29, 11, FALSE))</f>
        <v>30397.624045199245</v>
      </c>
      <c r="BF53" s="180">
        <f>$F53*(VLOOKUP(BF$4, Rates_previous!$G$6:$Q$29, 10, FALSE)+VLOOKUP(BF$4, Rates_previous!$G$6:$Q$29, 11, FALSE))</f>
        <v>29376.958585002958</v>
      </c>
      <c r="BG53" s="180">
        <f>$F53*(VLOOKUP(BG$4, Rates_previous!$G$6:$Q$29, 10, FALSE)+VLOOKUP(BG$4, Rates_previous!$G$6:$Q$29, 11, FALSE))</f>
        <v>27147.372159111244</v>
      </c>
      <c r="BH53" s="298">
        <f>IF($D53=0,IF(C53=0, MAX(BJ53 - (VLOOKUP($A53,TOCA_previous!$A$2:$AI$137,MATCH("RHWM 2022",TOCA_previous!$A$2:$AI$2,0),FALSE)*$F$2*TOCA_previous!C50),0),0), 0)</f>
        <v>0</v>
      </c>
      <c r="BI53" s="192">
        <f>MIN(VLOOKUP($A53,TOCA_previous!$A$2:$AI$137,MATCH("TRL - NLSL - Existing Resource "&amp;$F$1,TOCA_previous!$A$2:$AI$2,0),FALSE)*$F$2,(VLOOKUP($A53,TOCA_previous!$A$2:$AI$137,MATCH("RHWM 2022",TOCA_previous!$A$2:$AI$2,0),FALSE)*$F$2))</f>
        <v>340834.08</v>
      </c>
      <c r="BJ53" s="402">
        <f>SUM(L53:AI53)+(F53*RT1SC!$C$3*$F$2)</f>
        <v>340832.87385487201</v>
      </c>
      <c r="BK53" s="401">
        <f>VLOOKUP($A53,TOCA_previous!$A$2:$AI$137,MATCH("Above RHWM Not Served with LS "&amp;$F$1,TOCA_previous!$A$2:$AI$2,0),FALSE)*$F$2</f>
        <v>0</v>
      </c>
      <c r="BL53" s="402">
        <f t="shared" si="8"/>
        <v>-1.2061451280023903</v>
      </c>
      <c r="BM53" s="401">
        <f>(VLOOKUP($A53,TOCA_previous!$A$2:$AI$137,MATCH("RHWM 2022",TOCA_previous!$A$2:$AI$2,0),FALSE)*$F$2) - $BI53</f>
        <v>727.07999999995809</v>
      </c>
      <c r="BN53" s="402">
        <f t="shared" si="9"/>
        <v>0</v>
      </c>
      <c r="BO53" s="401">
        <f t="shared" si="10"/>
        <v>1.2061451280023903</v>
      </c>
      <c r="BP53" s="402">
        <f t="shared" si="11"/>
        <v>0</v>
      </c>
      <c r="BQ53" s="401">
        <f t="shared" si="18"/>
        <v>1.2061451280023903</v>
      </c>
      <c r="BR53" s="108">
        <f>VLOOKUP($A53,TOCA_current!$A$2:$AI$137,MATCH(BR$4,TOCA_current!$A$2:$AI$2,0),FALSE)</f>
        <v>5.5913999999999998E-3</v>
      </c>
      <c r="BS53" s="108">
        <f>VLOOKUP($A53,TOCA_current!$A$2:$AI$137,MATCH(BS$4,TOCA_current!$A$2:$AI$2,0),FALSE)</f>
        <v>5.5913999999999998E-3</v>
      </c>
      <c r="BT53" s="189">
        <f t="shared" si="12"/>
        <v>0</v>
      </c>
      <c r="BU53" s="108">
        <f>VLOOKUP($A53,TOCA_current!A49:BG184,MATCH(BU$4,TOCA_current!$A$2:$BG$2,0),FALSE)</f>
        <v>0.06</v>
      </c>
      <c r="BV53" s="108">
        <f t="shared" si="19"/>
        <v>0.06</v>
      </c>
      <c r="BW53" s="108">
        <f t="shared" si="20"/>
        <v>5.5913999999999998E-3</v>
      </c>
      <c r="BX53" s="179">
        <f>VLOOKUP($A53,IRD!$A$4:$G$139, 7, FALSE)</f>
        <v>0</v>
      </c>
      <c r="BY53" s="180">
        <f t="array" ref="BY53">IF($BT53=0, INDEX(LS_current!$D$4:$AY$138, MATCH('Staging Table'!$A53, LS_current!$B$4:$B$138, 0), MATCH(BY$4&amp;BY$5, LS_current!$D$2:$AY$2&amp;LS_current!$D$3:$AY$3, 0)),SUM(VLOOKUP($A53, LS_current!$B$4:$AY$138, LS_current!D$148, FALSE), VLOOKUP($A53, LS_current!$B$4:$AY$138,LS_current!AB$148, FALSE))/2)</f>
        <v>0</v>
      </c>
      <c r="BZ53" s="180">
        <f t="array" ref="BZ53">IF($BT53=0, INDEX(LS_current!$D$4:$AY$138, MATCH('Staging Table'!$A53, LS_current!$B$4:$B$138, 0), MATCH(BZ$4&amp;BZ$5, LS_current!$D$2:$AY$2&amp;LS_current!$D$3:$AY$3, 0)),SUM(VLOOKUP($A53, LS_current!$B$4:$AY$138, LS_current!E$148, FALSE), VLOOKUP($A53, LS_current!$B$4:$AY$138,LS_current!AC$148, FALSE))/2)</f>
        <v>0</v>
      </c>
      <c r="CA53" s="180">
        <f t="array" ref="CA53">IF($BT53=0, INDEX(LS_current!$D$4:$AY$138, MATCH('Staging Table'!$A53, LS_current!$B$4:$B$138, 0), MATCH(CA$4&amp;CA$5, LS_current!$D$2:$AY$2&amp;LS_current!$D$3:$AY$3, 0)),SUM(VLOOKUP($A53, LS_current!$B$4:$AY$138, LS_current!F$148, FALSE), VLOOKUP($A53, LS_current!$B$4:$AY$138,LS_current!AD$148, FALSE))/2)</f>
        <v>0</v>
      </c>
      <c r="CB53" s="180">
        <f t="array" ref="CB53">IF($BT53=0, INDEX(LS_current!$D$4:$AY$138, MATCH('Staging Table'!$A53, LS_current!$B$4:$B$138, 0), MATCH(CB$4&amp;CB$5, LS_current!$D$2:$AY$2&amp;LS_current!$D$3:$AY$3, 0)),SUM(VLOOKUP($A53, LS_current!$B$4:$AY$138, LS_current!G$148, FALSE), VLOOKUP($A53, LS_current!$B$4:$AY$138,LS_current!AE$148, FALSE))/2)</f>
        <v>0</v>
      </c>
      <c r="CC53" s="180">
        <f t="array" ref="CC53">IF($BT53=0, INDEX(LS_current!$D$4:$AY$138, MATCH('Staging Table'!$A53, LS_current!$B$4:$B$138, 0), MATCH(CC$4&amp;CC$5, LS_current!$D$2:$AY$2&amp;LS_current!$D$3:$AY$3, 0)),SUM(VLOOKUP($A53, LS_current!$B$4:$AY$138, LS_current!H$148, FALSE), VLOOKUP($A53, LS_current!$B$4:$AY$138,LS_current!AF$148, FALSE))/2)</f>
        <v>0</v>
      </c>
      <c r="CD53" s="180">
        <f t="array" ref="CD53">IF($BT53=0, INDEX(LS_current!$D$4:$AY$138, MATCH('Staging Table'!$A53, LS_current!$B$4:$B$138, 0), MATCH(CD$4&amp;CD$5, LS_current!$D$2:$AY$2&amp;LS_current!$D$3:$AY$3, 0)),SUM(VLOOKUP($A53, LS_current!$B$4:$AY$138, LS_current!I$148, FALSE), VLOOKUP($A53, LS_current!$B$4:$AY$138,LS_current!AG$148, FALSE))/2)</f>
        <v>0</v>
      </c>
      <c r="CE53" s="180">
        <f t="array" ref="CE53">IF($BT53=0, INDEX(LS_current!$D$4:$AY$138, MATCH('Staging Table'!$A53, LS_current!$B$4:$B$138, 0), MATCH(CE$4&amp;CE$5, LS_current!$D$2:$AY$2&amp;LS_current!$D$3:$AY$3, 0)),SUM(VLOOKUP($A53, LS_current!$B$4:$AY$138, LS_current!J$148, FALSE), VLOOKUP($A53, LS_current!$B$4:$AY$138,LS_current!AH$148, FALSE))/2)</f>
        <v>0</v>
      </c>
      <c r="CF53" s="180">
        <f t="array" ref="CF53">IF($BT53=0, INDEX(LS_current!$D$4:$AY$138, MATCH('Staging Table'!$A53, LS_current!$B$4:$B$138, 0), MATCH(CF$4&amp;CF$5, LS_current!$D$2:$AY$2&amp;LS_current!$D$3:$AY$3, 0)),SUM(VLOOKUP($A53, LS_current!$B$4:$AY$138, LS_current!K$148, FALSE), VLOOKUP($A53, LS_current!$B$4:$AY$138,LS_current!AI$148, FALSE))/2)</f>
        <v>0</v>
      </c>
      <c r="CG53" s="180">
        <f t="array" ref="CG53">IF($BT53=0, INDEX(LS_current!$D$4:$AY$138, MATCH('Staging Table'!$A53, LS_current!$B$4:$B$138, 0), MATCH(CG$4&amp;CG$5, LS_current!$D$2:$AY$2&amp;LS_current!$D$3:$AY$3, 0)),SUM(VLOOKUP($A53, LS_current!$B$4:$AY$138, LS_current!L$148, FALSE), VLOOKUP($A53, LS_current!$B$4:$AY$138,LS_current!AJ$148, FALSE))/2)</f>
        <v>0</v>
      </c>
      <c r="CH53" s="180">
        <f t="array" ref="CH53">IF($BT53=0, INDEX(LS_current!$D$4:$AY$138, MATCH('Staging Table'!$A53, LS_current!$B$4:$B$138, 0), MATCH(CH$4&amp;CH$5, LS_current!$D$2:$AY$2&amp;LS_current!$D$3:$AY$3, 0)),SUM(VLOOKUP($A53, LS_current!$B$4:$AY$138, LS_current!M$148, FALSE), VLOOKUP($A53, LS_current!$B$4:$AY$138,LS_current!AK$148, FALSE))/2)</f>
        <v>0</v>
      </c>
      <c r="CI53" s="180">
        <f t="array" ref="CI53">IF($BT53=0, INDEX(LS_current!$D$4:$AY$138, MATCH('Staging Table'!$A53, LS_current!$B$4:$B$138, 0), MATCH(CI$4&amp;CI$5, LS_current!$D$2:$AY$2&amp;LS_current!$D$3:$AY$3, 0)),SUM(VLOOKUP($A53, LS_current!$B$4:$AY$138, LS_current!N$148, FALSE), VLOOKUP($A53, LS_current!$B$4:$AY$138,LS_current!AL$148, FALSE))/2)</f>
        <v>0</v>
      </c>
      <c r="CJ53" s="180">
        <f t="array" ref="CJ53">IF($BT53=0, INDEX(LS_current!$D$4:$AY$138, MATCH('Staging Table'!$A53, LS_current!$B$4:$B$138, 0), MATCH(CJ$4&amp;CJ$5, LS_current!$D$2:$AY$2&amp;LS_current!$D$3:$AY$3, 0)),SUM(VLOOKUP($A53, LS_current!$B$4:$AY$138, LS_current!O$148, FALSE), VLOOKUP($A53, LS_current!$B$4:$AY$138,LS_current!AM$148, FALSE))/2)</f>
        <v>0</v>
      </c>
      <c r="CK53" s="180">
        <f t="array" ref="CK53">IF($BT53=0, INDEX(LS_current!$D$4:$AY$138, MATCH('Staging Table'!$A53, LS_current!$B$4:$B$138, 0), MATCH(CK$4&amp;CK$5, LS_current!$D$2:$AY$2&amp;LS_current!$D$3:$AY$3, 0)),SUM(VLOOKUP($A53, LS_current!$B$4:$AY$138, LS_current!P$148, FALSE), VLOOKUP($A53, LS_current!$B$4:$AY$138,LS_current!AN$148, FALSE))/2)</f>
        <v>0</v>
      </c>
      <c r="CL53" s="180">
        <f t="array" ref="CL53">IF($BT53=0, INDEX(LS_current!$D$4:$AY$138, MATCH('Staging Table'!$A53, LS_current!$B$4:$B$138, 0), MATCH(CL$4&amp;CL$5, LS_current!$D$2:$AY$2&amp;LS_current!$D$3:$AY$3, 0)),SUM(VLOOKUP($A53, LS_current!$B$4:$AY$138, LS_current!Q$148, FALSE), VLOOKUP($A53, LS_current!$B$4:$AY$138,LS_current!AO$148, FALSE))/2)</f>
        <v>0</v>
      </c>
      <c r="CM53" s="180">
        <f t="array" ref="CM53">IF($BT53=0, INDEX(LS_current!$D$4:$AY$138, MATCH('Staging Table'!$A53, LS_current!$B$4:$B$138, 0), MATCH(CM$4&amp;CM$5, LS_current!$D$2:$AY$2&amp;LS_current!$D$3:$AY$3, 0)),SUM(VLOOKUP($A53, LS_current!$B$4:$AY$138, LS_current!R$148, FALSE), VLOOKUP($A53, LS_current!$B$4:$AY$138,LS_current!AP$148, FALSE))/2)</f>
        <v>0</v>
      </c>
      <c r="CN53" s="180">
        <f t="array" ref="CN53">IF($BT53=0, INDEX(LS_current!$D$4:$AY$138, MATCH('Staging Table'!$A53, LS_current!$B$4:$B$138, 0), MATCH(CN$4&amp;CN$5, LS_current!$D$2:$AY$2&amp;LS_current!$D$3:$AY$3, 0)),SUM(VLOOKUP($A53, LS_current!$B$4:$AY$138, LS_current!S$148, FALSE), VLOOKUP($A53, LS_current!$B$4:$AY$138,LS_current!AQ$148, FALSE))/2)</f>
        <v>0</v>
      </c>
      <c r="CO53" s="180">
        <f t="array" ref="CO53">IF($BT53=0, INDEX(LS_current!$D$4:$AY$138, MATCH('Staging Table'!$A53, LS_current!$B$4:$B$138, 0), MATCH(CO$4&amp;CO$5, LS_current!$D$2:$AY$2&amp;LS_current!$D$3:$AY$3, 0)),SUM(VLOOKUP($A53, LS_current!$B$4:$AY$138, LS_current!T$148, FALSE), VLOOKUP($A53, LS_current!$B$4:$AY$138,LS_current!AR$148, FALSE))/2)</f>
        <v>0</v>
      </c>
      <c r="CP53" s="180">
        <f t="array" ref="CP53">IF($BT53=0, INDEX(LS_current!$D$4:$AY$138, MATCH('Staging Table'!$A53, LS_current!$B$4:$B$138, 0), MATCH(CP$4&amp;CP$5, LS_current!$D$2:$AY$2&amp;LS_current!$D$3:$AY$3, 0)),SUM(VLOOKUP($A53, LS_current!$B$4:$AY$138, LS_current!U$148, FALSE), VLOOKUP($A53, LS_current!$B$4:$AY$138,LS_current!AS$148, FALSE))/2)</f>
        <v>0</v>
      </c>
      <c r="CQ53" s="180">
        <f t="array" ref="CQ53">IF($BT53=0, INDEX(LS_current!$D$4:$AY$138, MATCH('Staging Table'!$A53, LS_current!$B$4:$B$138, 0), MATCH(CQ$4&amp;CQ$5, LS_current!$D$2:$AY$2&amp;LS_current!$D$3:$AY$3, 0)),SUM(VLOOKUP($A53, LS_current!$B$4:$AY$138, LS_current!V$148, FALSE), VLOOKUP($A53, LS_current!$B$4:$AY$138,LS_current!AT$148, FALSE))/2)</f>
        <v>0</v>
      </c>
      <c r="CR53" s="180">
        <f t="array" ref="CR53">IF($BT53=0, INDEX(LS_current!$D$4:$AY$138, MATCH('Staging Table'!$A53, LS_current!$B$4:$B$138, 0), MATCH(CR$4&amp;CR$5, LS_current!$D$2:$AY$2&amp;LS_current!$D$3:$AY$3, 0)),SUM(VLOOKUP($A53, LS_current!$B$4:$AY$138, LS_current!W$148, FALSE), VLOOKUP($A53, LS_current!$B$4:$AY$138,LS_current!AU$148, FALSE))/2)</f>
        <v>0</v>
      </c>
      <c r="CS53" s="180">
        <f t="array" ref="CS53">IF($BT53=0, INDEX(LS_current!$D$4:$AY$138, MATCH('Staging Table'!$A53, LS_current!$B$4:$B$138, 0), MATCH(CS$4&amp;CS$5, LS_current!$D$2:$AY$2&amp;LS_current!$D$3:$AY$3, 0)),SUM(VLOOKUP($A53, LS_current!$B$4:$AY$138, LS_current!X$148, FALSE), VLOOKUP($A53, LS_current!$B$4:$AY$138,LS_current!AV$148, FALSE))/2)</f>
        <v>0</v>
      </c>
      <c r="CT53" s="180">
        <f t="array" ref="CT53">IF($BT53=0, INDEX(LS_current!$D$4:$AY$138, MATCH('Staging Table'!$A53, LS_current!$B$4:$B$138, 0), MATCH(CT$4&amp;CT$5, LS_current!$D$2:$AY$2&amp;LS_current!$D$3:$AY$3, 0)),SUM(VLOOKUP($A53, LS_current!$B$4:$AY$138, LS_current!Y$148, FALSE), VLOOKUP($A53, LS_current!$B$4:$AY$138,LS_current!AW$148, FALSE))/2)</f>
        <v>0</v>
      </c>
      <c r="CU53" s="180">
        <f t="array" ref="CU53">IF($BT53=0, INDEX(LS_current!$D$4:$AY$138, MATCH('Staging Table'!$A53, LS_current!$B$4:$B$138, 0), MATCH(CU$4&amp;CU$5, LS_current!$D$2:$AY$2&amp;LS_current!$D$3:$AY$3, 0)),SUM(VLOOKUP($A53, LS_current!$B$4:$AY$138, LS_current!Z$148, FALSE), VLOOKUP($A53, LS_current!$B$4:$AY$138,LS_current!AX$148, FALSE))/2)</f>
        <v>0</v>
      </c>
      <c r="CV53" s="180">
        <f t="array" ref="CV53">IF($BT53=0, INDEX(LS_current!$D$4:$AY$138, MATCH('Staging Table'!$A53, LS_current!$B$4:$B$138, 0), MATCH(CV$4&amp;CV$5, LS_current!$D$2:$AY$2&amp;LS_current!$D$3:$AY$3, 0)),SUM(VLOOKUP($A53, LS_current!$B$4:$AY$138, LS_current!AA$148, FALSE), VLOOKUP($A53, LS_current!$B$4:$AY$138,LS_current!AY$148, FALSE))/2)</f>
        <v>0</v>
      </c>
      <c r="CW53" s="182">
        <f t="array" ref="CW53">INDEX(Demand_current!$D$4:$AY$138, MATCH($A53, Demand_current!$B$4:$B$138, 0), MATCH(CW$4&amp;CW$5,Demand_current!$D$2:$AY$2&amp;Demand_current!$D$3:$AY$3, 0))/1000</f>
        <v>0</v>
      </c>
      <c r="CX53" s="182">
        <f t="array" ref="CX53">INDEX(Demand_current!$D$4:$AY$138, MATCH($A53, Demand_current!$B$4:$B$138, 0), MATCH(CX$4&amp;CX$5,Demand_current!$D$2:$AY$2&amp;Demand_current!$D$3:$AY$3, 0))/1000</f>
        <v>0</v>
      </c>
      <c r="CY53" s="182">
        <f t="array" ref="CY53">INDEX(Demand_current!$D$4:$AY$138, MATCH($A53, Demand_current!$B$4:$B$138, 0), MATCH(CY$4&amp;CY$5,Demand_current!$D$2:$AY$2&amp;Demand_current!$D$3:$AY$3, 0))/1000</f>
        <v>0</v>
      </c>
      <c r="CZ53" s="182">
        <f t="array" ref="CZ53">INDEX(Demand_current!$D$4:$AY$138, MATCH($A53, Demand_current!$B$4:$B$138, 0), MATCH(CZ$4&amp;CZ$5,Demand_current!$D$2:$AY$2&amp;Demand_current!$D$3:$AY$3, 0))/1000</f>
        <v>0</v>
      </c>
      <c r="DA53" s="182">
        <f t="array" ref="DA53">INDEX(Demand_current!$D$4:$AY$138, MATCH($A53, Demand_current!$B$4:$B$138, 0), MATCH(DA$4&amp;DA$5,Demand_current!$D$2:$AY$2&amp;Demand_current!$D$3:$AY$3, 0))/1000</f>
        <v>0</v>
      </c>
      <c r="DB53" s="182">
        <f t="array" ref="DB53">INDEX(Demand_current!$D$4:$AY$138, MATCH($A53, Demand_current!$B$4:$B$138, 0), MATCH(DB$4&amp;DB$5,Demand_current!$D$2:$AY$2&amp;Demand_current!$D$3:$AY$3, 0))/1000</f>
        <v>0</v>
      </c>
      <c r="DC53" s="182">
        <f t="array" ref="DC53">INDEX(Demand_current!$D$4:$AY$138, MATCH($A53, Demand_current!$B$4:$B$138, 0), MATCH(DC$4&amp;DC$5,Demand_current!$D$2:$AY$2&amp;Demand_current!$D$3:$AY$3, 0))/1000</f>
        <v>0</v>
      </c>
      <c r="DD53" s="182">
        <f t="array" ref="DD53">INDEX(Demand_current!$D$4:$AY$138, MATCH($A53, Demand_current!$B$4:$B$138, 0), MATCH(DD$4&amp;DD$5,Demand_current!$D$2:$AY$2&amp;Demand_current!$D$3:$AY$3, 0))/1000</f>
        <v>0</v>
      </c>
      <c r="DE53" s="182">
        <f t="array" ref="DE53">INDEX(Demand_current!$D$4:$AY$138, MATCH($A53, Demand_current!$B$4:$B$138, 0), MATCH(DE$4&amp;DE$5,Demand_current!$D$2:$AY$2&amp;Demand_current!$D$3:$AY$3, 0))/1000</f>
        <v>0</v>
      </c>
      <c r="DF53" s="182">
        <f t="array" ref="DF53">INDEX(Demand_current!$D$4:$AY$138, MATCH($A53, Demand_current!$B$4:$B$138, 0), MATCH(DF$4&amp;DF$5,Demand_current!$D$2:$AY$2&amp;Demand_current!$D$3:$AY$3, 0))/1000</f>
        <v>0</v>
      </c>
      <c r="DG53" s="182">
        <f t="array" ref="DG53">INDEX(Demand_current!$D$4:$AY$138, MATCH($A53, Demand_current!$B$4:$B$138, 0), MATCH(DG$4&amp;DG$5,Demand_current!$D$2:$AY$2&amp;Demand_current!$D$3:$AY$3, 0))/1000</f>
        <v>0</v>
      </c>
      <c r="DH53" s="182">
        <f t="array" ref="DH53">INDEX(Demand_current!$D$4:$AY$138, MATCH($A53, Demand_current!$B$4:$B$138, 0), MATCH(DH$4&amp;DH$5,Demand_current!$D$2:$AY$2&amp;Demand_current!$D$3:$AY$3, 0))/1000</f>
        <v>0</v>
      </c>
      <c r="DI53" s="180">
        <f>$BS53*(VLOOKUP(DI$4, Rates_current!$G$6:$Q$29, 10, FALSE)+VLOOKUP(DI$4, Rates_current!$G$6:$Q$29, 11, FALSE))</f>
        <v>23589.019352051098</v>
      </c>
      <c r="DJ53" s="180">
        <f>$BS53*(VLOOKUP(DJ$4, Rates_current!$G$6:$Q$29, 10, FALSE)+VLOOKUP(DJ$4, Rates_current!$G$6:$Q$29, 11, FALSE))</f>
        <v>30083.778223152603</v>
      </c>
      <c r="DK53" s="180">
        <f>$BS53*(VLOOKUP(DK$4, Rates_current!$G$6:$Q$29, 10, FALSE)+VLOOKUP(DK$4, Rates_current!$G$6:$Q$29, 11, FALSE))</f>
        <v>32466.349112859003</v>
      </c>
      <c r="DL53" s="180">
        <f>$BS53*(VLOOKUP(DL$4, Rates_current!$G$6:$Q$29, 10, FALSE)+VLOOKUP(DL$4, Rates_current!$G$6:$Q$29, 11, FALSE))</f>
        <v>33737.555630601601</v>
      </c>
      <c r="DM53" s="180">
        <f>$BS53*(VLOOKUP(DM$4, Rates_current!$G$6:$Q$29, 10, FALSE)+VLOOKUP(DM$4, Rates_current!$G$6:$Q$29, 11, FALSE))</f>
        <v>29018.794771393197</v>
      </c>
      <c r="DN53" s="180">
        <f>$BS53*(VLOOKUP(DN$4, Rates_current!$G$6:$Q$29, 10, FALSE)+VLOOKUP(DN$4, Rates_current!$G$6:$Q$29, 11, FALSE))</f>
        <v>31682.778457937398</v>
      </c>
      <c r="DO53" s="180">
        <f>$BS53*(VLOOKUP(DO$4, Rates_current!$G$6:$Q$29, 10, FALSE)+VLOOKUP(DO$4, Rates_current!$G$6:$Q$29, 11, FALSE))</f>
        <v>25008.214397142448</v>
      </c>
      <c r="DP53" s="180">
        <f>$BS53*(VLOOKUP(DP$4, Rates_current!$G$6:$Q$29, 10, FALSE)+VLOOKUP(DP$4, Rates_current!$G$6:$Q$29, 11, FALSE))</f>
        <v>31026.041216744099</v>
      </c>
      <c r="DQ53" s="180">
        <f>$BS53*(VLOOKUP(DQ$4, Rates_current!$G$6:$Q$29, 10, FALSE)+VLOOKUP(DQ$4, Rates_current!$G$6:$Q$29, 11, FALSE))</f>
        <v>31699.228857167698</v>
      </c>
      <c r="DR53" s="180">
        <f>$BS53*(VLOOKUP(DR$4, Rates_current!$G$6:$Q$29, 10, FALSE)+VLOOKUP(DR$4, Rates_current!$G$6:$Q$29, 11, FALSE))</f>
        <v>27519.497504633098</v>
      </c>
      <c r="DS53" s="180">
        <f>$BS53*(VLOOKUP(DS$4, Rates_current!$G$6:$Q$29, 10, FALSE)+VLOOKUP(DS$4, Rates_current!$G$6:$Q$29, 11, FALSE))</f>
        <v>26604.039164598391</v>
      </c>
      <c r="DT53" s="180">
        <f>$BS53*(VLOOKUP(DT$4, Rates_current!$G$6:$Q$29, 10, FALSE)+VLOOKUP(DT$4, Rates_current!$G$6:$Q$29, 11, FALSE))</f>
        <v>24480.867873349202</v>
      </c>
      <c r="DU53" s="402">
        <f>IF(D53=0,IF(C53=0,MAX(0,DW53 - (VLOOKUP($A53,TOCA_current!$A$2:$AI$137,MATCH("RHWM 2024",TOCA_current!$A$2:$AI$2,0),FALSE)*$BS$2)), 0),0)</f>
        <v>0</v>
      </c>
      <c r="DV53" s="403">
        <f>MIN(VLOOKUP($A53,TOCA_current!$A$2:$AI$137,MATCH("TRL - NLSL - Existing Resource "&amp;$BS$1,TOCA_current!$A$2:$AI$2,0),FALSE)*$BS$2, VLOOKUP($A53,TOCA_current!$A$2:$AI$137,MATCH("RHWM 2024",TOCA_current!$A$2:$AI$2,0),FALSE)*$BS$2)</f>
        <v>346915.29599999997</v>
      </c>
      <c r="DW53" s="403">
        <f>SUM(BY53:CV53)+(BS53*RT1SC!$C$4*$BS$2)</f>
        <v>346916.166151824</v>
      </c>
      <c r="DX53" s="403">
        <f>VLOOKUP($A53,TOCA_current!$A$2:$AI$137,MATCH("Above RHWM Not Served with LS "&amp;$BS$1,TOCA_current!$A$2:$AI$2,0),FALSE)*$BS$2</f>
        <v>0</v>
      </c>
      <c r="DY53" s="403">
        <f t="shared" si="13"/>
        <v>0.87015182402683422</v>
      </c>
      <c r="DZ53" s="403">
        <f>(VLOOKUP($A53,TOCA_current!$A$2:$AI$137,MATCH("RHWM 2024",TOCA_current!$A$2:$AI$2,0),FALSE)*$BS$2) - $DV53</f>
        <v>12130.704000000027</v>
      </c>
      <c r="EA53" s="403">
        <f t="shared" si="14"/>
        <v>-0.87015182402683422</v>
      </c>
      <c r="EB53" s="403">
        <f t="shared" si="15"/>
        <v>0</v>
      </c>
      <c r="EC53" s="403">
        <f t="shared" si="16"/>
        <v>0</v>
      </c>
      <c r="ED53" s="403">
        <f t="shared" si="17"/>
        <v>-0.87015182402683422</v>
      </c>
    </row>
    <row r="54" spans="1:134">
      <c r="A54" s="123">
        <v>10123</v>
      </c>
      <c r="B54" s="124" t="s">
        <v>55</v>
      </c>
      <c r="C54" s="232">
        <f>VLOOKUP(A54, TOCA_current!$A$3:$D$137, 4, FALSE)</f>
        <v>0</v>
      </c>
      <c r="D54" s="191">
        <v>1</v>
      </c>
      <c r="E54" s="107">
        <f>VLOOKUP($A54,TOCA_previous!$A$2:$AI$137,MATCH(E$4,TOCA_previous!$A$2:$AI$2,0),FALSE)</f>
        <v>7.77693E-2</v>
      </c>
      <c r="F54" s="108">
        <f>VLOOKUP($A54,TOCA_previous!$A$2:$AI$137,MATCH(F$4,TOCA_previous!$A$2:$AI$2,0),FALSE)</f>
        <v>3.7885299999999997E-2</v>
      </c>
      <c r="G54" s="108">
        <f t="shared" si="5"/>
        <v>3.9884000000000003E-2</v>
      </c>
      <c r="H54" s="108">
        <f>VLOOKUP($A54,TOCA_previous!$A$2:$AI$137,MATCH(H$4,TOCA_previous!$A$2:$AI$2,0),FALSE)</f>
        <v>0</v>
      </c>
      <c r="I54" s="108">
        <f t="shared" si="6"/>
        <v>0</v>
      </c>
      <c r="J54" s="108">
        <f t="shared" si="7"/>
        <v>0</v>
      </c>
      <c r="K54" s="179">
        <f>VLOOKUP(A54, IRD!$A$5:$C$139, 3, FALSE)</f>
        <v>0</v>
      </c>
      <c r="L54" s="180">
        <f t="array" ref="L54">IF($G54=0, INDEX(LS_previous!$D$4:$AY$138, MATCH('Staging Table'!$A54, LS_previous!$B$4:$B$138, 0), MATCH(L$4&amp;L$5, LS_previous!$D$2:$AY$2&amp;LS_previous!$D$3:$AY$3, 0)),SUM(VLOOKUP($A54, LS_previous!$B$4:$AY$138, LS_previous!D$149, FALSE), VLOOKUP('Staging Table'!$A54, LS_previous!$B$4:$AY$138,LS_previous!AB$149, FALSE))/2)</f>
        <v>-6902.4841780314237</v>
      </c>
      <c r="M54" s="180">
        <f t="array" ref="M54">IF($G54=0, INDEX(LS_previous!$D$4:$AY$138, MATCH('Staging Table'!$A54, LS_previous!$B$4:$B$138, 0), MATCH(M$4&amp;M$5, LS_previous!$D$2:$AY$2&amp;LS_previous!$D$3:$AY$3, 0)),SUM(VLOOKUP($A54, LS_previous!$B$4:$AY$138, LS_previous!E$149, FALSE), VLOOKUP('Staging Table'!$A54, LS_previous!$B$4:$AY$138,LS_previous!AC$149, FALSE))/2)</f>
        <v>19933.102944727914</v>
      </c>
      <c r="N54" s="180">
        <f t="array" ref="N54">IF($G54=0, INDEX(LS_previous!$D$4:$AY$138, MATCH('Staging Table'!$A54, LS_previous!$B$4:$B$138, 0), MATCH(N$4&amp;N$5, LS_previous!$D$2:$AY$2&amp;LS_previous!$D$3:$AY$3, 0)),SUM(VLOOKUP($A54, LS_previous!$B$4:$AY$138, LS_previous!F$149, FALSE), VLOOKUP('Staging Table'!$A54, LS_previous!$B$4:$AY$138,LS_previous!AD$149, FALSE))/2)</f>
        <v>-27370.75715440129</v>
      </c>
      <c r="O54" s="180">
        <f t="array" ref="O54">IF($G54=0, INDEX(LS_previous!$D$4:$AY$138, MATCH('Staging Table'!$A54, LS_previous!$B$4:$B$138, 0), MATCH(O$4&amp;O$5, LS_previous!$D$2:$AY$2&amp;LS_previous!$D$3:$AY$3, 0)),SUM(VLOOKUP($A54, LS_previous!$B$4:$AY$138, LS_previous!G$149, FALSE), VLOOKUP('Staging Table'!$A54, LS_previous!$B$4:$AY$138,LS_previous!AE$149, FALSE))/2)</f>
        <v>1209.8819887647114</v>
      </c>
      <c r="P54" s="180">
        <f t="array" ref="P54">IF($G54=0, INDEX(LS_previous!$D$4:$AY$138, MATCH('Staging Table'!$A54, LS_previous!$B$4:$B$138, 0), MATCH(P$4&amp;P$5, LS_previous!$D$2:$AY$2&amp;LS_previous!$D$3:$AY$3, 0)),SUM(VLOOKUP($A54, LS_previous!$B$4:$AY$138, LS_previous!H$149, FALSE), VLOOKUP('Staging Table'!$A54, LS_previous!$B$4:$AY$138,LS_previous!AF$149, FALSE))/2)</f>
        <v>-7134.5800511964917</v>
      </c>
      <c r="Q54" s="180">
        <f t="array" ref="Q54">IF($G54=0, INDEX(LS_previous!$D$4:$AY$138, MATCH('Staging Table'!$A54, LS_previous!$B$4:$B$138, 0), MATCH(Q$4&amp;Q$5, LS_previous!$D$2:$AY$2&amp;LS_previous!$D$3:$AY$3, 0)),SUM(VLOOKUP($A54, LS_previous!$B$4:$AY$138, LS_previous!I$149, FALSE), VLOOKUP('Staging Table'!$A54, LS_previous!$B$4:$AY$138,LS_previous!AG$149, FALSE))/2)</f>
        <v>-981.93983227948047</v>
      </c>
      <c r="R54" s="180">
        <f t="array" ref="R54">IF($G54=0, INDEX(LS_previous!$D$4:$AY$138, MATCH('Staging Table'!$A54, LS_previous!$B$4:$B$138, 0), MATCH(R$4&amp;R$5, LS_previous!$D$2:$AY$2&amp;LS_previous!$D$3:$AY$3, 0)),SUM(VLOOKUP($A54, LS_previous!$B$4:$AY$138, LS_previous!J$149, FALSE), VLOOKUP('Staging Table'!$A54, LS_previous!$B$4:$AY$138,LS_previous!AH$149, FALSE))/2)</f>
        <v>8921.775103175336</v>
      </c>
      <c r="S54" s="180">
        <f t="array" ref="S54">IF($G54=0, INDEX(LS_previous!$D$4:$AY$138, MATCH('Staging Table'!$A54, LS_previous!$B$4:$B$138, 0), MATCH(S$4&amp;S$5, LS_previous!$D$2:$AY$2&amp;LS_previous!$D$3:$AY$3, 0)),SUM(VLOOKUP($A54, LS_previous!$B$4:$AY$138, LS_previous!K$149, FALSE), VLOOKUP('Staging Table'!$A54, LS_previous!$B$4:$AY$138,LS_previous!AI$149, FALSE))/2)</f>
        <v>17935.428087339482</v>
      </c>
      <c r="T54" s="180">
        <f t="array" ref="T54">IF($G54=0, INDEX(LS_previous!$D$4:$AY$138, MATCH('Staging Table'!$A54, LS_previous!$B$4:$B$138, 0), MATCH(T$4&amp;T$5, LS_previous!$D$2:$AY$2&amp;LS_previous!$D$3:$AY$3, 0)),SUM(VLOOKUP($A54, LS_previous!$B$4:$AY$138, LS_previous!L$149, FALSE), VLOOKUP('Staging Table'!$A54, LS_previous!$B$4:$AY$138,LS_previous!AJ$149, FALSE))/2)</f>
        <v>12017.732598447117</v>
      </c>
      <c r="U54" s="180">
        <f t="array" ref="U54">IF($G54=0, INDEX(LS_previous!$D$4:$AY$138, MATCH('Staging Table'!$A54, LS_previous!$B$4:$B$138, 0), MATCH(U$4&amp;U$5, LS_previous!$D$2:$AY$2&amp;LS_previous!$D$3:$AY$3, 0)),SUM(VLOOKUP($A54, LS_previous!$B$4:$AY$138, LS_previous!M$149, FALSE), VLOOKUP('Staging Table'!$A54, LS_previous!$B$4:$AY$138,LS_previous!AK$149, FALSE))/2)</f>
        <v>11546.837951979025</v>
      </c>
      <c r="V54" s="180">
        <f t="array" ref="V54">IF($G54=0, INDEX(LS_previous!$D$4:$AY$138, MATCH('Staging Table'!$A54, LS_previous!$B$4:$B$138, 0), MATCH(V$4&amp;V$5, LS_previous!$D$2:$AY$2&amp;LS_previous!$D$3:$AY$3, 0)),SUM(VLOOKUP($A54, LS_previous!$B$4:$AY$138, LS_previous!N$149, FALSE), VLOOKUP('Staging Table'!$A54, LS_previous!$B$4:$AY$138,LS_previous!AL$149, FALSE))/2)</f>
        <v>-3022.2888907075831</v>
      </c>
      <c r="W54" s="180">
        <f t="array" ref="W54">IF($G54=0, INDEX(LS_previous!$D$4:$AY$138, MATCH('Staging Table'!$A54, LS_previous!$B$4:$B$138, 0), MATCH(W$4&amp;W$5, LS_previous!$D$2:$AY$2&amp;LS_previous!$D$3:$AY$3, 0)),SUM(VLOOKUP($A54, LS_previous!$B$4:$AY$138, LS_previous!O$149, FALSE), VLOOKUP('Staging Table'!$A54, LS_previous!$B$4:$AY$138,LS_previous!AM$149, FALSE))/2)</f>
        <v>8104.1624820363941</v>
      </c>
      <c r="X54" s="180">
        <f t="array" ref="X54">IF($G54=0, INDEX(LS_previous!$D$4:$AY$138, MATCH('Staging Table'!$A54, LS_previous!$B$4:$B$138, 0), MATCH(X$4&amp;X$5, LS_previous!$D$2:$AY$2&amp;LS_previous!$D$3:$AY$3, 0)),SUM(VLOOKUP($A54, LS_previous!$B$4:$AY$138, LS_previous!P$149, FALSE), VLOOKUP('Staging Table'!$A54, LS_previous!$B$4:$AY$138,LS_previous!AN$149, FALSE))/2)</f>
        <v>16448.079169981247</v>
      </c>
      <c r="Y54" s="180">
        <f t="array" ref="Y54">IF($G54=0, INDEX(LS_previous!$D$4:$AY$138, MATCH('Staging Table'!$A54, LS_previous!$B$4:$B$138, 0), MATCH(Y$4&amp;Y$5, LS_previous!$D$2:$AY$2&amp;LS_previous!$D$3:$AY$3, 0)),SUM(VLOOKUP($A54, LS_previous!$B$4:$AY$138, LS_previous!Q$149, FALSE), VLOOKUP('Staging Table'!$A54, LS_previous!$B$4:$AY$138,LS_previous!AO$149, FALSE))/2)</f>
        <v>25022.802010484134</v>
      </c>
      <c r="Z54" s="180">
        <f t="array" ref="Z54">IF($G54=0, INDEX(LS_previous!$D$4:$AY$138, MATCH('Staging Table'!$A54, LS_previous!$B$4:$B$138, 0), MATCH(Z$4&amp;Z$5, LS_previous!$D$2:$AY$2&amp;LS_previous!$D$3:$AY$3, 0)),SUM(VLOOKUP($A54, LS_previous!$B$4:$AY$138, LS_previous!R$149, FALSE), VLOOKUP('Staging Table'!$A54, LS_previous!$B$4:$AY$138,LS_previous!AP$149, FALSE))/2)</f>
        <v>-33110.633591241778</v>
      </c>
      <c r="AA54" s="180">
        <f t="array" ref="AA54">IF($G54=0, INDEX(LS_previous!$D$4:$AY$138, MATCH('Staging Table'!$A54, LS_previous!$B$4:$B$138, 0), MATCH(AA$4&amp;AA$5, LS_previous!$D$2:$AY$2&amp;LS_previous!$D$3:$AY$3, 0)),SUM(VLOOKUP($A54, LS_previous!$B$4:$AY$138, LS_previous!S$149, FALSE), VLOOKUP('Staging Table'!$A54, LS_previous!$B$4:$AY$138,LS_previous!AQ$149, FALSE))/2)</f>
        <v>17661.31787150634</v>
      </c>
      <c r="AB54" s="180">
        <f t="array" ref="AB54">IF($G54=0, INDEX(LS_previous!$D$4:$AY$138, MATCH('Staging Table'!$A54, LS_previous!$B$4:$B$138, 0), MATCH(AB$4&amp;AB$5, LS_previous!$D$2:$AY$2&amp;LS_previous!$D$3:$AY$3, 0)),SUM(VLOOKUP($A54, LS_previous!$B$4:$AY$138, LS_previous!T$149, FALSE), VLOOKUP('Staging Table'!$A54, LS_previous!$B$4:$AY$138,LS_previous!AR$149, FALSE))/2)</f>
        <v>-49005.591247131677</v>
      </c>
      <c r="AC54" s="180">
        <f t="array" ref="AC54">IF($G54=0, INDEX(LS_previous!$D$4:$AY$138, MATCH('Staging Table'!$A54, LS_previous!$B$4:$B$138, 0), MATCH(AC$4&amp;AC$5, LS_previous!$D$2:$AY$2&amp;LS_previous!$D$3:$AY$3, 0)),SUM(VLOOKUP($A54, LS_previous!$B$4:$AY$138, LS_previous!U$149, FALSE), VLOOKUP('Staging Table'!$A54, LS_previous!$B$4:$AY$138,LS_previous!AS$149, FALSE))/2)</f>
        <v>13382.586533169087</v>
      </c>
      <c r="AD54" s="180">
        <f t="array" ref="AD54">IF($G54=0, INDEX(LS_previous!$D$4:$AY$138, MATCH('Staging Table'!$A54, LS_previous!$B$4:$B$138, 0), MATCH(AD$4&amp;AD$5, LS_previous!$D$2:$AY$2&amp;LS_previous!$D$3:$AY$3, 0)),SUM(VLOOKUP($A54, LS_previous!$B$4:$AY$138, LS_previous!V$149, FALSE), VLOOKUP('Staging Table'!$A54, LS_previous!$B$4:$AY$138,LS_previous!AT$149, FALSE))/2)</f>
        <v>-34240.734504444728</v>
      </c>
      <c r="AE54" s="180">
        <f t="array" ref="AE54">IF($G54=0, INDEX(LS_previous!$D$4:$AY$138, MATCH('Staging Table'!$A54, LS_previous!$B$4:$B$138, 0), MATCH(AE$4&amp;AE$5, LS_previous!$D$2:$AY$2&amp;LS_previous!$D$3:$AY$3, 0)),SUM(VLOOKUP($A54, LS_previous!$B$4:$AY$138, LS_previous!W$149, FALSE), VLOOKUP('Staging Table'!$A54, LS_previous!$B$4:$AY$138,LS_previous!AU$149, FALSE))/2)</f>
        <v>18174.878970031838</v>
      </c>
      <c r="AF54" s="180">
        <f t="array" ref="AF54">IF($G54=0, INDEX(LS_previous!$D$4:$AY$138, MATCH('Staging Table'!$A54, LS_previous!$B$4:$B$138, 0), MATCH(AF$4&amp;AF$5, LS_previous!$D$2:$AY$2&amp;LS_previous!$D$3:$AY$3, 0)),SUM(VLOOKUP($A54, LS_previous!$B$4:$AY$138, LS_previous!X$149, FALSE), VLOOKUP('Staging Table'!$A54, LS_previous!$B$4:$AY$138,LS_previous!AV$149, FALSE))/2)</f>
        <v>-23322.066006852525</v>
      </c>
      <c r="AG54" s="180">
        <f t="array" ref="AG54">IF($G54=0, INDEX(LS_previous!$D$4:$AY$138, MATCH('Staging Table'!$A54, LS_previous!$B$4:$B$138, 0), MATCH(AG$4&amp;AG$5, LS_previous!$D$2:$AY$2&amp;LS_previous!$D$3:$AY$3, 0)),SUM(VLOOKUP($A54, LS_previous!$B$4:$AY$138, LS_previous!Y$149, FALSE), VLOOKUP('Staging Table'!$A54, LS_previous!$B$4:$AY$138,LS_previous!AW$149, FALSE))/2)</f>
        <v>13951.078223950128</v>
      </c>
      <c r="AH54" s="180">
        <f t="array" ref="AH54">IF($G54=0, INDEX(LS_previous!$D$4:$AY$138, MATCH('Staging Table'!$A54, LS_previous!$B$4:$B$138, 0), MATCH(AH$4&amp;AH$5, LS_previous!$D$2:$AY$2&amp;LS_previous!$D$3:$AY$3, 0)),SUM(VLOOKUP($A54, LS_previous!$B$4:$AY$138, LS_previous!Z$149, FALSE), VLOOKUP('Staging Table'!$A54, LS_previous!$B$4:$AY$138,LS_previous!AX$149, FALSE))/2)</f>
        <v>-14282.567434562377</v>
      </c>
      <c r="AI54" s="180">
        <f t="array" ref="AI54">IF($G54=0, INDEX(LS_previous!$D$4:$AY$138, MATCH('Staging Table'!$A54, LS_previous!$B$4:$B$138, 0), MATCH(AI$4&amp;AI$5, LS_previous!$D$2:$AY$2&amp;LS_previous!$D$3:$AY$3, 0)),SUM(VLOOKUP($A54, LS_previous!$B$4:$AY$138, LS_previous!AA$149, FALSE), VLOOKUP('Staging Table'!$A54, LS_previous!$B$4:$AY$138,LS_previous!AY$149, FALSE))/2)</f>
        <v>15064.879659557744</v>
      </c>
      <c r="AJ54" s="298">
        <f t="array" ref="AJ54">INDEX(Demand_previous!$D$4:$AY$138, MATCH('Staging Table'!$A54, Demand_previous!$B$4:$B$138, 0), MATCH(AJ$4&amp;AJ$5,Demand_previous!$D$2:$AY$2&amp;Demand_previous!$D$3:$AY$3, 0))/1000</f>
        <v>0</v>
      </c>
      <c r="AK54" s="298">
        <f t="array" ref="AK54">INDEX(Demand_previous!$D$4:$AY$138, MATCH('Staging Table'!$A54, Demand_previous!$B$4:$B$138, 0), MATCH(AK$4&amp;AK$5,Demand_previous!$D$2:$AY$2&amp;Demand_previous!$D$3:$AY$3, 0))/1000</f>
        <v>0</v>
      </c>
      <c r="AL54" s="298">
        <f t="array" ref="AL54">INDEX(Demand_previous!$D$4:$AY$138, MATCH('Staging Table'!$A54, Demand_previous!$B$4:$B$138, 0), MATCH(AL$4&amp;AL$5,Demand_previous!$D$2:$AY$2&amp;Demand_previous!$D$3:$AY$3, 0))/1000</f>
        <v>0</v>
      </c>
      <c r="AM54" s="298">
        <f t="array" ref="AM54">INDEX(Demand_previous!$D$4:$AY$138, MATCH('Staging Table'!$A54, Demand_previous!$B$4:$B$138, 0), MATCH(AM$4&amp;AM$5,Demand_previous!$D$2:$AY$2&amp;Demand_previous!$D$3:$AY$3, 0))/1000</f>
        <v>0</v>
      </c>
      <c r="AN54" s="298">
        <f t="array" ref="AN54">INDEX(Demand_previous!$D$4:$AY$138, MATCH('Staging Table'!$A54, Demand_previous!$B$4:$B$138, 0), MATCH(AN$4&amp;AN$5,Demand_previous!$D$2:$AY$2&amp;Demand_previous!$D$3:$AY$3, 0))/1000</f>
        <v>0</v>
      </c>
      <c r="AO54" s="298">
        <f t="array" ref="AO54">INDEX(Demand_previous!$D$4:$AY$138, MATCH('Staging Table'!$A54, Demand_previous!$B$4:$B$138, 0), MATCH(AO$4&amp;AO$5,Demand_previous!$D$2:$AY$2&amp;Demand_previous!$D$3:$AY$3, 0))/1000</f>
        <v>0</v>
      </c>
      <c r="AP54" s="298">
        <f t="array" ref="AP54">INDEX(Demand_previous!$D$4:$AY$138, MATCH('Staging Table'!$A54, Demand_previous!$B$4:$B$138, 0), MATCH(AP$4&amp;AP$5,Demand_previous!$D$2:$AY$2&amp;Demand_previous!$D$3:$AY$3, 0))/1000</f>
        <v>0</v>
      </c>
      <c r="AQ54" s="298">
        <f t="array" ref="AQ54">INDEX(Demand_previous!$D$4:$AY$138, MATCH('Staging Table'!$A54, Demand_previous!$B$4:$B$138, 0), MATCH(AQ$4&amp;AQ$5,Demand_previous!$D$2:$AY$2&amp;Demand_previous!$D$3:$AY$3, 0))/1000</f>
        <v>0</v>
      </c>
      <c r="AR54" s="298">
        <f t="array" ref="AR54">INDEX(Demand_previous!$D$4:$AY$138, MATCH('Staging Table'!$A54, Demand_previous!$B$4:$B$138, 0), MATCH(AR$4&amp;AR$5,Demand_previous!$D$2:$AY$2&amp;Demand_previous!$D$3:$AY$3, 0))/1000</f>
        <v>0</v>
      </c>
      <c r="AS54" s="298">
        <f t="array" ref="AS54">INDEX(Demand_previous!$D$4:$AY$138, MATCH('Staging Table'!$A54, Demand_previous!$B$4:$B$138, 0), MATCH(AS$4&amp;AS$5,Demand_previous!$D$2:$AY$2&amp;Demand_previous!$D$3:$AY$3, 0))/1000</f>
        <v>0</v>
      </c>
      <c r="AT54" s="298">
        <f t="array" ref="AT54">INDEX(Demand_previous!$D$4:$AY$138, MATCH('Staging Table'!$A54, Demand_previous!$B$4:$B$138, 0), MATCH(AT$4&amp;AT$5,Demand_previous!$D$2:$AY$2&amp;Demand_previous!$D$3:$AY$3, 0))/1000</f>
        <v>0</v>
      </c>
      <c r="AU54" s="298">
        <f t="array" ref="AU54">INDEX(Demand_previous!$D$4:$AY$138, MATCH('Staging Table'!$A54, Demand_previous!$B$4:$B$138, 0), MATCH(AU$4&amp;AU$5,Demand_previous!$D$2:$AY$2&amp;Demand_previous!$D$3:$AY$3, 0))/1000</f>
        <v>0</v>
      </c>
      <c r="AV54" s="180">
        <f>$F54*(VLOOKUP(AV$4, Rates_previous!$G$6:$Q$29, 10, FALSE)+VLOOKUP(AV$4, Rates_previous!$G$6:$Q$29, 11, FALSE))</f>
        <v>172526.79285793248</v>
      </c>
      <c r="AW54" s="180">
        <f>$F54*(VLOOKUP(AW$4, Rates_previous!$G$6:$Q$29, 10, FALSE)+VLOOKUP(AW$4, Rates_previous!$G$6:$Q$29, 11, FALSE))</f>
        <v>218425.1811863367</v>
      </c>
      <c r="AX54" s="180">
        <f>$F54*(VLOOKUP(AX$4, Rates_previous!$G$6:$Q$29, 10, FALSE)+VLOOKUP(AX$4, Rates_previous!$G$6:$Q$29, 11, FALSE))</f>
        <v>213794.61469631808</v>
      </c>
      <c r="AY54" s="180">
        <f>$F54*(VLOOKUP(AY$4, Rates_previous!$G$6:$Q$29, 10, FALSE)+VLOOKUP(AY$4, Rates_previous!$G$6:$Q$29, 11, FALSE))</f>
        <v>176585.26015696983</v>
      </c>
      <c r="AZ54" s="180">
        <f>$F54*(VLOOKUP(AZ$4, Rates_previous!$G$6:$Q$29, 10, FALSE)+VLOOKUP(AZ$4, Rates_previous!$G$6:$Q$29, 11, FALSE))</f>
        <v>153050.31521277496</v>
      </c>
      <c r="BA54" s="180">
        <f>$F54*(VLOOKUP(BA$4, Rates_previous!$G$6:$Q$29, 10, FALSE)+VLOOKUP(BA$4, Rates_previous!$G$6:$Q$29, 11, FALSE))</f>
        <v>182711.1694986572</v>
      </c>
      <c r="BB54" s="180">
        <f>$F54*(VLOOKUP(BB$4, Rates_previous!$G$6:$Q$29, 10, FALSE)+VLOOKUP(BB$4, Rates_previous!$G$6:$Q$29, 11, FALSE))</f>
        <v>141850.89897880665</v>
      </c>
      <c r="BC54" s="180">
        <f>$F54*(VLOOKUP(BC$4, Rates_previous!$G$6:$Q$29, 10, FALSE)+VLOOKUP(BC$4, Rates_previous!$G$6:$Q$29, 11, FALSE))</f>
        <v>196535.46441365025</v>
      </c>
      <c r="BD54" s="180">
        <f>$F54*(VLOOKUP(BD$4, Rates_previous!$G$6:$Q$29, 10, FALSE)+VLOOKUP(BD$4, Rates_previous!$G$6:$Q$29, 11, FALSE))</f>
        <v>210002.25901180654</v>
      </c>
      <c r="BE54" s="180">
        <f>$F54*(VLOOKUP(BE$4, Rates_previous!$G$6:$Q$29, 10, FALSE)+VLOOKUP(BE$4, Rates_previous!$G$6:$Q$29, 11, FALSE))</f>
        <v>199387.63569368515</v>
      </c>
      <c r="BF54" s="180">
        <f>$F54*(VLOOKUP(BF$4, Rates_previous!$G$6:$Q$29, 10, FALSE)+VLOOKUP(BF$4, Rates_previous!$G$6:$Q$29, 11, FALSE))</f>
        <v>192692.76794217466</v>
      </c>
      <c r="BG54" s="180">
        <f>$F54*(VLOOKUP(BG$4, Rates_previous!$G$6:$Q$29, 10, FALSE)+VLOOKUP(BG$4, Rates_previous!$G$6:$Q$29, 11, FALSE))</f>
        <v>178068.20500356265</v>
      </c>
      <c r="BH54" s="298">
        <f>IF($D54=0,IF(C54=0, MAX(BJ54 - (VLOOKUP($A54,TOCA_previous!$A$2:$AI$137,MATCH("RHWM 2022",TOCA_previous!$A$2:$AI$2,0),FALSE)*$F$2*TOCA_previous!C51),0),0), 0)</f>
        <v>0</v>
      </c>
      <c r="BI54" s="192">
        <f>MIN(VLOOKUP($A54,TOCA_previous!$A$2:$AI$137,MATCH("TRL - NLSL - Existing Resource "&amp;$F$1,TOCA_previous!$A$2:$AI$2,0),FALSE)*$F$2,(VLOOKUP($A54,TOCA_previous!$A$2:$AI$137,MATCH("RHWM 2022",TOCA_previous!$A$2:$AI$2,0),FALSE)*$F$2))</f>
        <v>4589206.3199999994</v>
      </c>
      <c r="BJ54" s="402">
        <f>SUM(L54:AI54)+(F54*RT1SC!$C$3*$F$2)</f>
        <v>2235631.5797191528</v>
      </c>
      <c r="BK54" s="401">
        <f>VLOOKUP($A54,TOCA_previous!$A$2:$AI$137,MATCH("Above RHWM Not Served with LS "&amp;$F$1,TOCA_previous!$A$2:$AI$2,0),FALSE)*$F$2</f>
        <v>0</v>
      </c>
      <c r="BL54" s="402">
        <f t="shared" si="8"/>
        <v>-2353574.7402808466</v>
      </c>
      <c r="BM54" s="401">
        <f>(VLOOKUP($A54,TOCA_previous!$A$2:$AI$137,MATCH("RHWM 2022",TOCA_previous!$A$2:$AI$2,0),FALSE)*$F$2) - $BI54</f>
        <v>0</v>
      </c>
      <c r="BN54" s="402">
        <f t="shared" si="9"/>
        <v>0</v>
      </c>
      <c r="BO54" s="401">
        <f t="shared" si="10"/>
        <v>2353574.7402808466</v>
      </c>
      <c r="BP54" s="402">
        <f t="shared" si="11"/>
        <v>0</v>
      </c>
      <c r="BQ54" s="401">
        <f t="shared" si="18"/>
        <v>0</v>
      </c>
      <c r="BR54" s="108">
        <f>VLOOKUP($A54,TOCA_current!$A$2:$AI$137,MATCH(BR$4,TOCA_current!$A$2:$AI$2,0),FALSE)</f>
        <v>7.5344900000000006E-2</v>
      </c>
      <c r="BS54" s="108">
        <f>VLOOKUP($A54,TOCA_current!$A$2:$AI$137,MATCH(BS$4,TOCA_current!$A$2:$AI$2,0),FALSE)</f>
        <v>3.5469400000000005E-2</v>
      </c>
      <c r="BT54" s="189">
        <f t="shared" si="12"/>
        <v>3.9875500000000001E-2</v>
      </c>
      <c r="BU54" s="108">
        <f>VLOOKUP($A54,TOCA_current!A50:BG185,MATCH(BU$4,TOCA_current!$A$2:$BG$2,0),FALSE)</f>
        <v>0</v>
      </c>
      <c r="BV54" s="108">
        <f t="shared" si="19"/>
        <v>0</v>
      </c>
      <c r="BW54" s="108">
        <f t="shared" si="20"/>
        <v>0</v>
      </c>
      <c r="BX54" s="179">
        <f>VLOOKUP($A54,IRD!$A$4:$G$139, 7, FALSE)</f>
        <v>0</v>
      </c>
      <c r="BY54" s="180">
        <f t="array" ref="BY54">IF($BT54=0, INDEX(LS_current!$D$4:$AY$138, MATCH('Staging Table'!$A54, LS_current!$B$4:$B$138, 0), MATCH(BY$4&amp;BY$5, LS_current!$D$2:$AY$2&amp;LS_current!$D$3:$AY$3, 0)),SUM(VLOOKUP($A54, LS_current!$B$4:$AY$138, LS_current!D$148, FALSE), VLOOKUP($A54, LS_current!$B$4:$AY$138,LS_current!AB$148, FALSE))/2)</f>
        <v>13944.351795287112</v>
      </c>
      <c r="BZ54" s="180">
        <f t="array" ref="BZ54">IF($BT54=0, INDEX(LS_current!$D$4:$AY$138, MATCH('Staging Table'!$A54, LS_current!$B$4:$B$138, 0), MATCH(BZ$4&amp;BZ$5, LS_current!$D$2:$AY$2&amp;LS_current!$D$3:$AY$3, 0)),SUM(VLOOKUP($A54, LS_current!$B$4:$AY$138, LS_current!E$148, FALSE), VLOOKUP($A54, LS_current!$B$4:$AY$138,LS_current!AC$148, FALSE))/2)</f>
        <v>19928.803716711634</v>
      </c>
      <c r="CA54" s="180">
        <f t="array" ref="CA54">IF($BT54=0, INDEX(LS_current!$D$4:$AY$138, MATCH('Staging Table'!$A54, LS_current!$B$4:$B$138, 0), MATCH(CA$4&amp;CA$5, LS_current!$D$2:$AY$2&amp;LS_current!$D$3:$AY$3, 0)),SUM(VLOOKUP($A54, LS_current!$B$4:$AY$138, LS_current!F$148, FALSE), VLOOKUP($A54, LS_current!$B$4:$AY$138,LS_current!AD$148, FALSE))/2)</f>
        <v>-11310.736975862223</v>
      </c>
      <c r="CB54" s="180">
        <f t="array" ref="CB54">IF($BT54=0, INDEX(LS_current!$D$4:$AY$138, MATCH('Staging Table'!$A54, LS_current!$B$4:$B$138, 0), MATCH(CB$4&amp;CB$5, LS_current!$D$2:$AY$2&amp;LS_current!$D$3:$AY$3, 0)),SUM(VLOOKUP($A54, LS_current!$B$4:$AY$138, LS_current!G$148, FALSE), VLOOKUP($A54, LS_current!$B$4:$AY$138,LS_current!AE$148, FALSE))/2)</f>
        <v>9401.8998616769968</v>
      </c>
      <c r="CC54" s="180">
        <f t="array" ref="CC54">IF($BT54=0, INDEX(LS_current!$D$4:$AY$138, MATCH('Staging Table'!$A54, LS_current!$B$4:$B$138, 0), MATCH(CC$4&amp;CC$5, LS_current!$D$2:$AY$2&amp;LS_current!$D$3:$AY$3, 0)),SUM(VLOOKUP($A54, LS_current!$B$4:$AY$138, LS_current!H$148, FALSE), VLOOKUP($A54, LS_current!$B$4:$AY$138,LS_current!AF$148, FALSE))/2)</f>
        <v>-16720.828840148512</v>
      </c>
      <c r="CD54" s="180">
        <f t="array" ref="CD54">IF($BT54=0, INDEX(LS_current!$D$4:$AY$138, MATCH('Staging Table'!$A54, LS_current!$B$4:$B$138, 0), MATCH(CD$4&amp;CD$5, LS_current!$D$2:$AY$2&amp;LS_current!$D$3:$AY$3, 0)),SUM(VLOOKUP($A54, LS_current!$B$4:$AY$138, LS_current!I$148, FALSE), VLOOKUP($A54, LS_current!$B$4:$AY$138,LS_current!AG$148, FALSE))/2)</f>
        <v>12818.036411542475</v>
      </c>
      <c r="CE54" s="180">
        <f t="array" ref="CE54">IF($BT54=0, INDEX(LS_current!$D$4:$AY$138, MATCH('Staging Table'!$A54, LS_current!$B$4:$B$138, 0), MATCH(CE$4&amp;CE$5, LS_current!$D$2:$AY$2&amp;LS_current!$D$3:$AY$3, 0)),SUM(VLOOKUP($A54, LS_current!$B$4:$AY$138, LS_current!J$148, FALSE), VLOOKUP($A54, LS_current!$B$4:$AY$138,LS_current!AH$148, FALSE))/2)</f>
        <v>-21388.146712289468</v>
      </c>
      <c r="CF54" s="180">
        <f t="array" ref="CF54">IF($BT54=0, INDEX(LS_current!$D$4:$AY$138, MATCH('Staging Table'!$A54, LS_current!$B$4:$B$138, 0), MATCH(CF$4&amp;CF$5, LS_current!$D$2:$AY$2&amp;LS_current!$D$3:$AY$3, 0)),SUM(VLOOKUP($A54, LS_current!$B$4:$AY$138, LS_current!K$148, FALSE), VLOOKUP($A54, LS_current!$B$4:$AY$138,LS_current!AI$148, FALSE))/2)</f>
        <v>6875.436518627801</v>
      </c>
      <c r="CG54" s="180">
        <f t="array" ref="CG54">IF($BT54=0, INDEX(LS_current!$D$4:$AY$138, MATCH('Staging Table'!$A54, LS_current!$B$4:$B$138, 0), MATCH(CG$4&amp;CG$5, LS_current!$D$2:$AY$2&amp;LS_current!$D$3:$AY$3, 0)),SUM(VLOOKUP($A54, LS_current!$B$4:$AY$138, LS_current!L$148, FALSE), VLOOKUP($A54, LS_current!$B$4:$AY$138,LS_current!AJ$148, FALSE))/2)</f>
        <v>-16025.161927746158</v>
      </c>
      <c r="CH54" s="180">
        <f t="array" ref="CH54">IF($BT54=0, INDEX(LS_current!$D$4:$AY$138, MATCH('Staging Table'!$A54, LS_current!$B$4:$B$138, 0), MATCH(CH$4&amp;CH$5, LS_current!$D$2:$AY$2&amp;LS_current!$D$3:$AY$3, 0)),SUM(VLOOKUP($A54, LS_current!$B$4:$AY$138, LS_current!M$148, FALSE), VLOOKUP($A54, LS_current!$B$4:$AY$138,LS_current!AK$148, FALSE))/2)</f>
        <v>8406.6737629328345</v>
      </c>
      <c r="CI54" s="180">
        <f t="array" ref="CI54">IF($BT54=0, INDEX(LS_current!$D$4:$AY$138, MATCH('Staging Table'!$A54, LS_current!$B$4:$B$138, 0), MATCH(CI$4&amp;CI$5, LS_current!$D$2:$AY$2&amp;LS_current!$D$3:$AY$3, 0)),SUM(VLOOKUP($A54, LS_current!$B$4:$AY$138, LS_current!N$148, FALSE), VLOOKUP($A54, LS_current!$B$4:$AY$138,LS_current!AL$148, FALSE))/2)</f>
        <v>-19657.519962877159</v>
      </c>
      <c r="CJ54" s="180">
        <f t="array" ref="CJ54">IF($BT54=0, INDEX(LS_current!$D$4:$AY$138, MATCH('Staging Table'!$A54, LS_current!$B$4:$B$138, 0), MATCH(CJ$4&amp;CJ$5, LS_current!$D$2:$AY$2&amp;LS_current!$D$3:$AY$3, 0)),SUM(VLOOKUP($A54, LS_current!$B$4:$AY$138, LS_current!O$148, FALSE), VLOOKUP($A54, LS_current!$B$4:$AY$138,LS_current!AM$148, FALSE))/2)</f>
        <v>2716.6087641015474</v>
      </c>
      <c r="CK54" s="180">
        <f t="array" ref="CK54">IF($BT54=0, INDEX(LS_current!$D$4:$AY$138, MATCH('Staging Table'!$A54, LS_current!$B$4:$B$138, 0), MATCH(CK$4&amp;CK$5, LS_current!$D$2:$AY$2&amp;LS_current!$D$3:$AY$3, 0)),SUM(VLOOKUP($A54, LS_current!$B$4:$AY$138, LS_current!P$148, FALSE), VLOOKUP($A54, LS_current!$B$4:$AY$138,LS_current!AN$148, FALSE))/2)</f>
        <v>7810.91160156572</v>
      </c>
      <c r="CL54" s="180">
        <f t="array" ref="CL54">IF($BT54=0, INDEX(LS_current!$D$4:$AY$138, MATCH('Staging Table'!$A54, LS_current!$B$4:$B$138, 0), MATCH(CL$4&amp;CL$5, LS_current!$D$2:$AY$2&amp;LS_current!$D$3:$AY$3, 0)),SUM(VLOOKUP($A54, LS_current!$B$4:$AY$138, LS_current!Q$148, FALSE), VLOOKUP($A54, LS_current!$B$4:$AY$138,LS_current!AO$148, FALSE))/2)</f>
        <v>14481.682432223974</v>
      </c>
      <c r="CM54" s="180">
        <f t="array" ref="CM54">IF($BT54=0, INDEX(LS_current!$D$4:$AY$138, MATCH('Staging Table'!$A54, LS_current!$B$4:$B$138, 0), MATCH(CM$4&amp;CM$5, LS_current!$D$2:$AY$2&amp;LS_current!$D$3:$AY$3, 0)),SUM(VLOOKUP($A54, LS_current!$B$4:$AY$138, LS_current!R$148, FALSE), VLOOKUP($A54, LS_current!$B$4:$AY$138,LS_current!AP$148, FALSE))/2)</f>
        <v>-20748.278854042204</v>
      </c>
      <c r="CN54" s="180">
        <f t="array" ref="CN54">IF($BT54=0, INDEX(LS_current!$D$4:$AY$138, MATCH('Staging Table'!$A54, LS_current!$B$4:$B$138, 0), MATCH(CN$4&amp;CN$5, LS_current!$D$2:$AY$2&amp;LS_current!$D$3:$AY$3, 0)),SUM(VLOOKUP($A54, LS_current!$B$4:$AY$138, LS_current!S$148, FALSE), VLOOKUP($A54, LS_current!$B$4:$AY$138,LS_current!AQ$148, FALSE))/2)</f>
        <v>1298.2907381448313</v>
      </c>
      <c r="CO54" s="180">
        <f t="array" ref="CO54">IF($BT54=0, INDEX(LS_current!$D$4:$AY$138, MATCH('Staging Table'!$A54, LS_current!$B$4:$B$138, 0), MATCH(CO$4&amp;CO$5, LS_current!$D$2:$AY$2&amp;LS_current!$D$3:$AY$3, 0)),SUM(VLOOKUP($A54, LS_current!$B$4:$AY$138, LS_current!T$148, FALSE), VLOOKUP($A54, LS_current!$B$4:$AY$138,LS_current!AR$148, FALSE))/2)</f>
        <v>-32096.548329912206</v>
      </c>
      <c r="CP54" s="180">
        <f t="array" ref="CP54">IF($BT54=0, INDEX(LS_current!$D$4:$AY$138, MATCH('Staging Table'!$A54, LS_current!$B$4:$B$138, 0), MATCH(CP$4&amp;CP$5, LS_current!$D$2:$AY$2&amp;LS_current!$D$3:$AY$3, 0)),SUM(VLOOKUP($A54, LS_current!$B$4:$AY$138, LS_current!U$148, FALSE), VLOOKUP($A54, LS_current!$B$4:$AY$138,LS_current!AS$148, FALSE))/2)</f>
        <v>1414.6231641932754</v>
      </c>
      <c r="CQ54" s="180">
        <f t="array" ref="CQ54">IF($BT54=0, INDEX(LS_current!$D$4:$AY$138, MATCH('Staging Table'!$A54, LS_current!$B$4:$B$138, 0), MATCH(CQ$4&amp;CQ$5, LS_current!$D$2:$AY$2&amp;LS_current!$D$3:$AY$3, 0)),SUM(VLOOKUP($A54, LS_current!$B$4:$AY$138, LS_current!V$148, FALSE), VLOOKUP($A54, LS_current!$B$4:$AY$138,LS_current!AT$148, FALSE))/2)</f>
        <v>-8300.2733683005063</v>
      </c>
      <c r="CR54" s="180">
        <f t="array" ref="CR54">IF($BT54=0, INDEX(LS_current!$D$4:$AY$138, MATCH('Staging Table'!$A54, LS_current!$B$4:$B$138, 0), MATCH(CR$4&amp;CR$5, LS_current!$D$2:$AY$2&amp;LS_current!$D$3:$AY$3, 0)),SUM(VLOOKUP($A54, LS_current!$B$4:$AY$138, LS_current!W$148, FALSE), VLOOKUP($A54, LS_current!$B$4:$AY$138,LS_current!AU$148, FALSE))/2)</f>
        <v>14121.582743049781</v>
      </c>
      <c r="CS54" s="180">
        <f t="array" ref="CS54">IF($BT54=0, INDEX(LS_current!$D$4:$AY$138, MATCH('Staging Table'!$A54, LS_current!$B$4:$B$138, 0), MATCH(CS$4&amp;CS$5, LS_current!$D$2:$AY$2&amp;LS_current!$D$3:$AY$3, 0)),SUM(VLOOKUP($A54, LS_current!$B$4:$AY$138, LS_current!X$148, FALSE), VLOOKUP($A54, LS_current!$B$4:$AY$138,LS_current!AV$148, FALSE))/2)</f>
        <v>-4582.9745972381788</v>
      </c>
      <c r="CT54" s="180">
        <f t="array" ref="CT54">IF($BT54=0, INDEX(LS_current!$D$4:$AY$138, MATCH('Staging Table'!$A54, LS_current!$B$4:$B$138, 0), MATCH(CT$4&amp;CT$5, LS_current!$D$2:$AY$2&amp;LS_current!$D$3:$AY$3, 0)),SUM(VLOOKUP($A54, LS_current!$B$4:$AY$138, LS_current!Y$148, FALSE), VLOOKUP($A54, LS_current!$B$4:$AY$138,LS_current!AW$148, FALSE))/2)</f>
        <v>16408.69457277847</v>
      </c>
      <c r="CU54" s="180">
        <f t="array" ref="CU54">IF($BT54=0, INDEX(LS_current!$D$4:$AY$138, MATCH('Staging Table'!$A54, LS_current!$B$4:$B$138, 0), MATCH(CU$4&amp;CU$5, LS_current!$D$2:$AY$2&amp;LS_current!$D$3:$AY$3, 0)),SUM(VLOOKUP($A54, LS_current!$B$4:$AY$138, LS_current!Z$148, FALSE), VLOOKUP($A54, LS_current!$B$4:$AY$138,LS_current!AX$148, FALSE))/2)</f>
        <v>3141.6516970186931</v>
      </c>
      <c r="CV54" s="180">
        <f t="array" ref="CV54">IF($BT54=0, INDEX(LS_current!$D$4:$AY$138, MATCH('Staging Table'!$A54, LS_current!$B$4:$B$138, 0), MATCH(CV$4&amp;CV$5, LS_current!$D$2:$AY$2&amp;LS_current!$D$3:$AY$3, 0)),SUM(VLOOKUP($A54, LS_current!$B$4:$AY$138, LS_current!AA$148, FALSE), VLOOKUP($A54, LS_current!$B$4:$AY$138,LS_current!AY$148, FALSE))/2)</f>
        <v>18065.389311434119</v>
      </c>
      <c r="CW54" s="182">
        <f t="array" ref="CW54">INDEX(Demand_current!$D$4:$AY$138, MATCH($A54, Demand_current!$B$4:$B$138, 0), MATCH(CW$4&amp;CW$5,Demand_current!$D$2:$AY$2&amp;Demand_current!$D$3:$AY$3, 0))/1000</f>
        <v>0</v>
      </c>
      <c r="CX54" s="182">
        <f t="array" ref="CX54">INDEX(Demand_current!$D$4:$AY$138, MATCH($A54, Demand_current!$B$4:$B$138, 0), MATCH(CX$4&amp;CX$5,Demand_current!$D$2:$AY$2&amp;Demand_current!$D$3:$AY$3, 0))/1000</f>
        <v>0</v>
      </c>
      <c r="CY54" s="182">
        <f t="array" ref="CY54">INDEX(Demand_current!$D$4:$AY$138, MATCH($A54, Demand_current!$B$4:$B$138, 0), MATCH(CY$4&amp;CY$5,Demand_current!$D$2:$AY$2&amp;Demand_current!$D$3:$AY$3, 0))/1000</f>
        <v>0</v>
      </c>
      <c r="CZ54" s="182">
        <f t="array" ref="CZ54">INDEX(Demand_current!$D$4:$AY$138, MATCH($A54, Demand_current!$B$4:$B$138, 0), MATCH(CZ$4&amp;CZ$5,Demand_current!$D$2:$AY$2&amp;Demand_current!$D$3:$AY$3, 0))/1000</f>
        <v>0</v>
      </c>
      <c r="DA54" s="182">
        <f t="array" ref="DA54">INDEX(Demand_current!$D$4:$AY$138, MATCH($A54, Demand_current!$B$4:$B$138, 0), MATCH(DA$4&amp;DA$5,Demand_current!$D$2:$AY$2&amp;Demand_current!$D$3:$AY$3, 0))/1000</f>
        <v>0</v>
      </c>
      <c r="DB54" s="182">
        <f t="array" ref="DB54">INDEX(Demand_current!$D$4:$AY$138, MATCH($A54, Demand_current!$B$4:$B$138, 0), MATCH(DB$4&amp;DB$5,Demand_current!$D$2:$AY$2&amp;Demand_current!$D$3:$AY$3, 0))/1000</f>
        <v>0</v>
      </c>
      <c r="DC54" s="182">
        <f t="array" ref="DC54">INDEX(Demand_current!$D$4:$AY$138, MATCH($A54, Demand_current!$B$4:$B$138, 0), MATCH(DC$4&amp;DC$5,Demand_current!$D$2:$AY$2&amp;Demand_current!$D$3:$AY$3, 0))/1000</f>
        <v>0</v>
      </c>
      <c r="DD54" s="182">
        <f t="array" ref="DD54">INDEX(Demand_current!$D$4:$AY$138, MATCH($A54, Demand_current!$B$4:$B$138, 0), MATCH(DD$4&amp;DD$5,Demand_current!$D$2:$AY$2&amp;Demand_current!$D$3:$AY$3, 0))/1000</f>
        <v>0</v>
      </c>
      <c r="DE54" s="182">
        <f t="array" ref="DE54">INDEX(Demand_current!$D$4:$AY$138, MATCH($A54, Demand_current!$B$4:$B$138, 0), MATCH(DE$4&amp;DE$5,Demand_current!$D$2:$AY$2&amp;Demand_current!$D$3:$AY$3, 0))/1000</f>
        <v>0</v>
      </c>
      <c r="DF54" s="182">
        <f t="array" ref="DF54">INDEX(Demand_current!$D$4:$AY$138, MATCH($A54, Demand_current!$B$4:$B$138, 0), MATCH(DF$4&amp;DF$5,Demand_current!$D$2:$AY$2&amp;Demand_current!$D$3:$AY$3, 0))/1000</f>
        <v>0</v>
      </c>
      <c r="DG54" s="182">
        <f t="array" ref="DG54">INDEX(Demand_current!$D$4:$AY$138, MATCH($A54, Demand_current!$B$4:$B$138, 0), MATCH(DG$4&amp;DG$5,Demand_current!$D$2:$AY$2&amp;Demand_current!$D$3:$AY$3, 0))/1000</f>
        <v>0</v>
      </c>
      <c r="DH54" s="182">
        <f t="array" ref="DH54">INDEX(Demand_current!$D$4:$AY$138, MATCH($A54, Demand_current!$B$4:$B$138, 0), MATCH(DH$4&amp;DH$5,Demand_current!$D$2:$AY$2&amp;Demand_current!$D$3:$AY$3, 0))/1000</f>
        <v>0</v>
      </c>
      <c r="DI54" s="180">
        <f>$BS54*(VLOOKUP(DI$4, Rates_current!$G$6:$Q$29, 10, FALSE)+VLOOKUP(DI$4, Rates_current!$G$6:$Q$29, 11, FALSE))</f>
        <v>149638.43813814814</v>
      </c>
      <c r="DJ54" s="180">
        <f>$BS54*(VLOOKUP(DJ$4, Rates_current!$G$6:$Q$29, 10, FALSE)+VLOOKUP(DJ$4, Rates_current!$G$6:$Q$29, 11, FALSE))</f>
        <v>190838.35234615466</v>
      </c>
      <c r="DK54" s="180">
        <f>$BS54*(VLOOKUP(DK$4, Rates_current!$G$6:$Q$29, 10, FALSE)+VLOOKUP(DK$4, Rates_current!$G$6:$Q$29, 11, FALSE))</f>
        <v>205952.34167178904</v>
      </c>
      <c r="DL54" s="180">
        <f>$BS54*(VLOOKUP(DL$4, Rates_current!$G$6:$Q$29, 10, FALSE)+VLOOKUP(DL$4, Rates_current!$G$6:$Q$29, 11, FALSE))</f>
        <v>214016.32072183362</v>
      </c>
      <c r="DM54" s="180">
        <f>$BS54*(VLOOKUP(DM$4, Rates_current!$G$6:$Q$29, 10, FALSE)+VLOOKUP(DM$4, Rates_current!$G$6:$Q$29, 11, FALSE))</f>
        <v>184082.5623751572</v>
      </c>
      <c r="DN54" s="180">
        <f>$BS54*(VLOOKUP(DN$4, Rates_current!$G$6:$Q$29, 10, FALSE)+VLOOKUP(DN$4, Rates_current!$G$6:$Q$29, 11, FALSE))</f>
        <v>200981.71159923542</v>
      </c>
      <c r="DO54" s="180">
        <f>$BS54*(VLOOKUP(DO$4, Rates_current!$G$6:$Q$29, 10, FALSE)+VLOOKUP(DO$4, Rates_current!$G$6:$Q$29, 11, FALSE))</f>
        <v>158641.19178345395</v>
      </c>
      <c r="DP54" s="180">
        <f>$BS54*(VLOOKUP(DP$4, Rates_current!$G$6:$Q$29, 10, FALSE)+VLOOKUP(DP$4, Rates_current!$G$6:$Q$29, 11, FALSE))</f>
        <v>196815.65731895113</v>
      </c>
      <c r="DQ54" s="180">
        <f>$BS54*(VLOOKUP(DQ$4, Rates_current!$G$6:$Q$29, 10, FALSE)+VLOOKUP(DQ$4, Rates_current!$G$6:$Q$29, 11, FALSE))</f>
        <v>201086.06574854671</v>
      </c>
      <c r="DR54" s="180">
        <f>$BS54*(VLOOKUP(DR$4, Rates_current!$G$6:$Q$29, 10, FALSE)+VLOOKUP(DR$4, Rates_current!$G$6:$Q$29, 11, FALSE))</f>
        <v>174571.67521387013</v>
      </c>
      <c r="DS54" s="180">
        <f>$BS54*(VLOOKUP(DS$4, Rates_current!$G$6:$Q$29, 10, FALSE)+VLOOKUP(DS$4, Rates_current!$G$6:$Q$29, 11, FALSE))</f>
        <v>168764.40725843373</v>
      </c>
      <c r="DT54" s="180">
        <f>$BS54*(VLOOKUP(DT$4, Rates_current!$G$6:$Q$29, 10, FALSE)+VLOOKUP(DT$4, Rates_current!$G$6:$Q$29, 11, FALSE))</f>
        <v>155295.93571323325</v>
      </c>
      <c r="DU54" s="402">
        <f>IF(D54=0,IF(C54=0,MAX(0,DW54 - (VLOOKUP($A54,TOCA_current!$A$2:$AI$137,MATCH("RHWM 2024",TOCA_current!$A$2:$AI$2,0),FALSE)*$BS$2)), 0),0)</f>
        <v>0</v>
      </c>
      <c r="DV54" s="403">
        <f>MIN(VLOOKUP($A54,TOCA_current!$A$2:$AI$137,MATCH("TRL - NLSL - Existing Resource "&amp;$BS$1,TOCA_current!$A$2:$AI$2,0),FALSE)*$BS$2, VLOOKUP($A54,TOCA_current!$A$2:$AI$137,MATCH("RHWM 2024",TOCA_current!$A$2:$AI$2,0),FALSE)*$BS$2)</f>
        <v>4674748.176</v>
      </c>
      <c r="DW54" s="403">
        <f>SUM(BY54:CV54)+(BS54*RT1SC!$C$4*$BS$2)</f>
        <v>2200688.8374991771</v>
      </c>
      <c r="DX54" s="403">
        <f>VLOOKUP($A54,TOCA_current!$A$2:$AI$137,MATCH("Above RHWM Not Served with LS "&amp;$BS$1,TOCA_current!$A$2:$AI$2,0),FALSE)*$BS$2</f>
        <v>0</v>
      </c>
      <c r="DY54" s="403">
        <f t="shared" si="13"/>
        <v>-2474059.3385008229</v>
      </c>
      <c r="DZ54" s="403">
        <f>(VLOOKUP($A54,TOCA_current!$A$2:$AI$137,MATCH("RHWM 2024",TOCA_current!$A$2:$AI$2,0),FALSE)*$BS$2) - $DV54</f>
        <v>149415.83999999985</v>
      </c>
      <c r="EA54" s="403">
        <f t="shared" si="14"/>
        <v>0</v>
      </c>
      <c r="EB54" s="403">
        <f t="shared" si="15"/>
        <v>2474059.3385008229</v>
      </c>
      <c r="EC54" s="403">
        <f t="shared" si="16"/>
        <v>0</v>
      </c>
      <c r="ED54" s="403">
        <f t="shared" si="17"/>
        <v>0</v>
      </c>
    </row>
    <row r="55" spans="1:134">
      <c r="A55" s="123">
        <v>10136</v>
      </c>
      <c r="B55" s="124" t="s">
        <v>56</v>
      </c>
      <c r="C55" s="232">
        <f>VLOOKUP(A55, TOCA_current!$A$3:$D$137, 4, FALSE)</f>
        <v>1</v>
      </c>
      <c r="D55" s="191">
        <v>0</v>
      </c>
      <c r="E55" s="107">
        <f>VLOOKUP($A55,TOCA_previous!$A$2:$AI$137,MATCH(E$4,TOCA_previous!$A$2:$AI$2,0),FALSE)</f>
        <v>2.6250000000000002E-3</v>
      </c>
      <c r="F55" s="108">
        <f>VLOOKUP($A55,TOCA_previous!$A$2:$AI$137,MATCH(F$4,TOCA_previous!$A$2:$AI$2,0),FALSE)</f>
        <v>2.6250000000000002E-3</v>
      </c>
      <c r="G55" s="108">
        <f t="shared" si="5"/>
        <v>0</v>
      </c>
      <c r="H55" s="108">
        <f>VLOOKUP($A55,TOCA_previous!$A$2:$AI$137,MATCH(H$4,TOCA_previous!$A$2:$AI$2,0),FALSE)</f>
        <v>7.2270000000000001E-2</v>
      </c>
      <c r="I55" s="108">
        <f t="shared" si="6"/>
        <v>7.2270000000000001E-2</v>
      </c>
      <c r="J55" s="108">
        <f t="shared" si="7"/>
        <v>2.6250000000000002E-3</v>
      </c>
      <c r="K55" s="179">
        <f>VLOOKUP(A55, IRD!$A$5:$C$139, 3, FALSE)</f>
        <v>0</v>
      </c>
      <c r="L55" s="180">
        <f t="array" ref="L55">IF($G55=0, INDEX(LS_previous!$D$4:$AY$138, MATCH('Staging Table'!$A55, LS_previous!$B$4:$B$138, 0), MATCH(L$4&amp;L$5, LS_previous!$D$2:$AY$2&amp;LS_previous!$D$3:$AY$3, 0)),SUM(VLOOKUP($A55, LS_previous!$B$4:$AY$138, LS_previous!D$149, FALSE), VLOOKUP('Staging Table'!$A55, LS_previous!$B$4:$AY$138,LS_previous!AB$149, FALSE))/2)</f>
        <v>0</v>
      </c>
      <c r="M55" s="180">
        <f t="array" ref="M55">IF($G55=0, INDEX(LS_previous!$D$4:$AY$138, MATCH('Staging Table'!$A55, LS_previous!$B$4:$B$138, 0), MATCH(M$4&amp;M$5, LS_previous!$D$2:$AY$2&amp;LS_previous!$D$3:$AY$3, 0)),SUM(VLOOKUP($A55, LS_previous!$B$4:$AY$138, LS_previous!E$149, FALSE), VLOOKUP('Staging Table'!$A55, LS_previous!$B$4:$AY$138,LS_previous!AC$149, FALSE))/2)</f>
        <v>0</v>
      </c>
      <c r="N55" s="180">
        <f t="array" ref="N55">IF($G55=0, INDEX(LS_previous!$D$4:$AY$138, MATCH('Staging Table'!$A55, LS_previous!$B$4:$B$138, 0), MATCH(N$4&amp;N$5, LS_previous!$D$2:$AY$2&amp;LS_previous!$D$3:$AY$3, 0)),SUM(VLOOKUP($A55, LS_previous!$B$4:$AY$138, LS_previous!F$149, FALSE), VLOOKUP('Staging Table'!$A55, LS_previous!$B$4:$AY$138,LS_previous!AD$149, FALSE))/2)</f>
        <v>0</v>
      </c>
      <c r="O55" s="180">
        <f t="array" ref="O55">IF($G55=0, INDEX(LS_previous!$D$4:$AY$138, MATCH('Staging Table'!$A55, LS_previous!$B$4:$B$138, 0), MATCH(O$4&amp;O$5, LS_previous!$D$2:$AY$2&amp;LS_previous!$D$3:$AY$3, 0)),SUM(VLOOKUP($A55, LS_previous!$B$4:$AY$138, LS_previous!G$149, FALSE), VLOOKUP('Staging Table'!$A55, LS_previous!$B$4:$AY$138,LS_previous!AE$149, FALSE))/2)</f>
        <v>0</v>
      </c>
      <c r="P55" s="180">
        <f t="array" ref="P55">IF($G55=0, INDEX(LS_previous!$D$4:$AY$138, MATCH('Staging Table'!$A55, LS_previous!$B$4:$B$138, 0), MATCH(P$4&amp;P$5, LS_previous!$D$2:$AY$2&amp;LS_previous!$D$3:$AY$3, 0)),SUM(VLOOKUP($A55, LS_previous!$B$4:$AY$138, LS_previous!H$149, FALSE), VLOOKUP('Staging Table'!$A55, LS_previous!$B$4:$AY$138,LS_previous!AF$149, FALSE))/2)</f>
        <v>0</v>
      </c>
      <c r="Q55" s="180">
        <f t="array" ref="Q55">IF($G55=0, INDEX(LS_previous!$D$4:$AY$138, MATCH('Staging Table'!$A55, LS_previous!$B$4:$B$138, 0), MATCH(Q$4&amp;Q$5, LS_previous!$D$2:$AY$2&amp;LS_previous!$D$3:$AY$3, 0)),SUM(VLOOKUP($A55, LS_previous!$B$4:$AY$138, LS_previous!I$149, FALSE), VLOOKUP('Staging Table'!$A55, LS_previous!$B$4:$AY$138,LS_previous!AG$149, FALSE))/2)</f>
        <v>0</v>
      </c>
      <c r="R55" s="180">
        <f t="array" ref="R55">IF($G55=0, INDEX(LS_previous!$D$4:$AY$138, MATCH('Staging Table'!$A55, LS_previous!$B$4:$B$138, 0), MATCH(R$4&amp;R$5, LS_previous!$D$2:$AY$2&amp;LS_previous!$D$3:$AY$3, 0)),SUM(VLOOKUP($A55, LS_previous!$B$4:$AY$138, LS_previous!J$149, FALSE), VLOOKUP('Staging Table'!$A55, LS_previous!$B$4:$AY$138,LS_previous!AH$149, FALSE))/2)</f>
        <v>0</v>
      </c>
      <c r="S55" s="180">
        <f t="array" ref="S55">IF($G55=0, INDEX(LS_previous!$D$4:$AY$138, MATCH('Staging Table'!$A55, LS_previous!$B$4:$B$138, 0), MATCH(S$4&amp;S$5, LS_previous!$D$2:$AY$2&amp;LS_previous!$D$3:$AY$3, 0)),SUM(VLOOKUP($A55, LS_previous!$B$4:$AY$138, LS_previous!K$149, FALSE), VLOOKUP('Staging Table'!$A55, LS_previous!$B$4:$AY$138,LS_previous!AI$149, FALSE))/2)</f>
        <v>0</v>
      </c>
      <c r="T55" s="180">
        <f t="array" ref="T55">IF($G55=0, INDEX(LS_previous!$D$4:$AY$138, MATCH('Staging Table'!$A55, LS_previous!$B$4:$B$138, 0), MATCH(T$4&amp;T$5, LS_previous!$D$2:$AY$2&amp;LS_previous!$D$3:$AY$3, 0)),SUM(VLOOKUP($A55, LS_previous!$B$4:$AY$138, LS_previous!L$149, FALSE), VLOOKUP('Staging Table'!$A55, LS_previous!$B$4:$AY$138,LS_previous!AJ$149, FALSE))/2)</f>
        <v>0</v>
      </c>
      <c r="U55" s="180">
        <f t="array" ref="U55">IF($G55=0, INDEX(LS_previous!$D$4:$AY$138, MATCH('Staging Table'!$A55, LS_previous!$B$4:$B$138, 0), MATCH(U$4&amp;U$5, LS_previous!$D$2:$AY$2&amp;LS_previous!$D$3:$AY$3, 0)),SUM(VLOOKUP($A55, LS_previous!$B$4:$AY$138, LS_previous!M$149, FALSE), VLOOKUP('Staging Table'!$A55, LS_previous!$B$4:$AY$138,LS_previous!AK$149, FALSE))/2)</f>
        <v>0</v>
      </c>
      <c r="V55" s="180">
        <f t="array" ref="V55">IF($G55=0, INDEX(LS_previous!$D$4:$AY$138, MATCH('Staging Table'!$A55, LS_previous!$B$4:$B$138, 0), MATCH(V$4&amp;V$5, LS_previous!$D$2:$AY$2&amp;LS_previous!$D$3:$AY$3, 0)),SUM(VLOOKUP($A55, LS_previous!$B$4:$AY$138, LS_previous!N$149, FALSE), VLOOKUP('Staging Table'!$A55, LS_previous!$B$4:$AY$138,LS_previous!AL$149, FALSE))/2)</f>
        <v>0</v>
      </c>
      <c r="W55" s="180">
        <f t="array" ref="W55">IF($G55=0, INDEX(LS_previous!$D$4:$AY$138, MATCH('Staging Table'!$A55, LS_previous!$B$4:$B$138, 0), MATCH(W$4&amp;W$5, LS_previous!$D$2:$AY$2&amp;LS_previous!$D$3:$AY$3, 0)),SUM(VLOOKUP($A55, LS_previous!$B$4:$AY$138, LS_previous!O$149, FALSE), VLOOKUP('Staging Table'!$A55, LS_previous!$B$4:$AY$138,LS_previous!AM$149, FALSE))/2)</f>
        <v>0</v>
      </c>
      <c r="X55" s="180">
        <f t="array" ref="X55">IF($G55=0, INDEX(LS_previous!$D$4:$AY$138, MATCH('Staging Table'!$A55, LS_previous!$B$4:$B$138, 0), MATCH(X$4&amp;X$5, LS_previous!$D$2:$AY$2&amp;LS_previous!$D$3:$AY$3, 0)),SUM(VLOOKUP($A55, LS_previous!$B$4:$AY$138, LS_previous!P$149, FALSE), VLOOKUP('Staging Table'!$A55, LS_previous!$B$4:$AY$138,LS_previous!AN$149, FALSE))/2)</f>
        <v>0</v>
      </c>
      <c r="Y55" s="180">
        <f t="array" ref="Y55">IF($G55=0, INDEX(LS_previous!$D$4:$AY$138, MATCH('Staging Table'!$A55, LS_previous!$B$4:$B$138, 0), MATCH(Y$4&amp;Y$5, LS_previous!$D$2:$AY$2&amp;LS_previous!$D$3:$AY$3, 0)),SUM(VLOOKUP($A55, LS_previous!$B$4:$AY$138, LS_previous!Q$149, FALSE), VLOOKUP('Staging Table'!$A55, LS_previous!$B$4:$AY$138,LS_previous!AO$149, FALSE))/2)</f>
        <v>0</v>
      </c>
      <c r="Z55" s="180">
        <f t="array" ref="Z55">IF($G55=0, INDEX(LS_previous!$D$4:$AY$138, MATCH('Staging Table'!$A55, LS_previous!$B$4:$B$138, 0), MATCH(Z$4&amp;Z$5, LS_previous!$D$2:$AY$2&amp;LS_previous!$D$3:$AY$3, 0)),SUM(VLOOKUP($A55, LS_previous!$B$4:$AY$138, LS_previous!R$149, FALSE), VLOOKUP('Staging Table'!$A55, LS_previous!$B$4:$AY$138,LS_previous!AP$149, FALSE))/2)</f>
        <v>0</v>
      </c>
      <c r="AA55" s="180">
        <f t="array" ref="AA55">IF($G55=0, INDEX(LS_previous!$D$4:$AY$138, MATCH('Staging Table'!$A55, LS_previous!$B$4:$B$138, 0), MATCH(AA$4&amp;AA$5, LS_previous!$D$2:$AY$2&amp;LS_previous!$D$3:$AY$3, 0)),SUM(VLOOKUP($A55, LS_previous!$B$4:$AY$138, LS_previous!S$149, FALSE), VLOOKUP('Staging Table'!$A55, LS_previous!$B$4:$AY$138,LS_previous!AQ$149, FALSE))/2)</f>
        <v>0</v>
      </c>
      <c r="AB55" s="180">
        <f t="array" ref="AB55">IF($G55=0, INDEX(LS_previous!$D$4:$AY$138, MATCH('Staging Table'!$A55, LS_previous!$B$4:$B$138, 0), MATCH(AB$4&amp;AB$5, LS_previous!$D$2:$AY$2&amp;LS_previous!$D$3:$AY$3, 0)),SUM(VLOOKUP($A55, LS_previous!$B$4:$AY$138, LS_previous!T$149, FALSE), VLOOKUP('Staging Table'!$A55, LS_previous!$B$4:$AY$138,LS_previous!AR$149, FALSE))/2)</f>
        <v>0</v>
      </c>
      <c r="AC55" s="180">
        <f t="array" ref="AC55">IF($G55=0, INDEX(LS_previous!$D$4:$AY$138, MATCH('Staging Table'!$A55, LS_previous!$B$4:$B$138, 0), MATCH(AC$4&amp;AC$5, LS_previous!$D$2:$AY$2&amp;LS_previous!$D$3:$AY$3, 0)),SUM(VLOOKUP($A55, LS_previous!$B$4:$AY$138, LS_previous!U$149, FALSE), VLOOKUP('Staging Table'!$A55, LS_previous!$B$4:$AY$138,LS_previous!AS$149, FALSE))/2)</f>
        <v>0</v>
      </c>
      <c r="AD55" s="180">
        <f t="array" ref="AD55">IF($G55=0, INDEX(LS_previous!$D$4:$AY$138, MATCH('Staging Table'!$A55, LS_previous!$B$4:$B$138, 0), MATCH(AD$4&amp;AD$5, LS_previous!$D$2:$AY$2&amp;LS_previous!$D$3:$AY$3, 0)),SUM(VLOOKUP($A55, LS_previous!$B$4:$AY$138, LS_previous!V$149, FALSE), VLOOKUP('Staging Table'!$A55, LS_previous!$B$4:$AY$138,LS_previous!AT$149, FALSE))/2)</f>
        <v>0</v>
      </c>
      <c r="AE55" s="180">
        <f t="array" ref="AE55">IF($G55=0, INDEX(LS_previous!$D$4:$AY$138, MATCH('Staging Table'!$A55, LS_previous!$B$4:$B$138, 0), MATCH(AE$4&amp;AE$5, LS_previous!$D$2:$AY$2&amp;LS_previous!$D$3:$AY$3, 0)),SUM(VLOOKUP($A55, LS_previous!$B$4:$AY$138, LS_previous!W$149, FALSE), VLOOKUP('Staging Table'!$A55, LS_previous!$B$4:$AY$138,LS_previous!AU$149, FALSE))/2)</f>
        <v>0</v>
      </c>
      <c r="AF55" s="180">
        <f t="array" ref="AF55">IF($G55=0, INDEX(LS_previous!$D$4:$AY$138, MATCH('Staging Table'!$A55, LS_previous!$B$4:$B$138, 0), MATCH(AF$4&amp;AF$5, LS_previous!$D$2:$AY$2&amp;LS_previous!$D$3:$AY$3, 0)),SUM(VLOOKUP($A55, LS_previous!$B$4:$AY$138, LS_previous!X$149, FALSE), VLOOKUP('Staging Table'!$A55, LS_previous!$B$4:$AY$138,LS_previous!AV$149, FALSE))/2)</f>
        <v>0</v>
      </c>
      <c r="AG55" s="180">
        <f t="array" ref="AG55">IF($G55=0, INDEX(LS_previous!$D$4:$AY$138, MATCH('Staging Table'!$A55, LS_previous!$B$4:$B$138, 0), MATCH(AG$4&amp;AG$5, LS_previous!$D$2:$AY$2&amp;LS_previous!$D$3:$AY$3, 0)),SUM(VLOOKUP($A55, LS_previous!$B$4:$AY$138, LS_previous!Y$149, FALSE), VLOOKUP('Staging Table'!$A55, LS_previous!$B$4:$AY$138,LS_previous!AW$149, FALSE))/2)</f>
        <v>0</v>
      </c>
      <c r="AH55" s="180">
        <f t="array" ref="AH55">IF($G55=0, INDEX(LS_previous!$D$4:$AY$138, MATCH('Staging Table'!$A55, LS_previous!$B$4:$B$138, 0), MATCH(AH$4&amp;AH$5, LS_previous!$D$2:$AY$2&amp;LS_previous!$D$3:$AY$3, 0)),SUM(VLOOKUP($A55, LS_previous!$B$4:$AY$138, LS_previous!Z$149, FALSE), VLOOKUP('Staging Table'!$A55, LS_previous!$B$4:$AY$138,LS_previous!AX$149, FALSE))/2)</f>
        <v>0</v>
      </c>
      <c r="AI55" s="180">
        <f t="array" ref="AI55">IF($G55=0, INDEX(LS_previous!$D$4:$AY$138, MATCH('Staging Table'!$A55, LS_previous!$B$4:$B$138, 0), MATCH(AI$4&amp;AI$5, LS_previous!$D$2:$AY$2&amp;LS_previous!$D$3:$AY$3, 0)),SUM(VLOOKUP($A55, LS_previous!$B$4:$AY$138, LS_previous!AA$149, FALSE), VLOOKUP('Staging Table'!$A55, LS_previous!$B$4:$AY$138,LS_previous!AY$149, FALSE))/2)</f>
        <v>0</v>
      </c>
      <c r="AJ55" s="298">
        <f t="array" ref="AJ55">INDEX(Demand_previous!$D$4:$AY$138, MATCH('Staging Table'!$A55, Demand_previous!$B$4:$B$138, 0), MATCH(AJ$4&amp;AJ$5,Demand_previous!$D$2:$AY$2&amp;Demand_previous!$D$3:$AY$3, 0))/1000</f>
        <v>0</v>
      </c>
      <c r="AK55" s="298">
        <f t="array" ref="AK55">INDEX(Demand_previous!$D$4:$AY$138, MATCH('Staging Table'!$A55, Demand_previous!$B$4:$B$138, 0), MATCH(AK$4&amp;AK$5,Demand_previous!$D$2:$AY$2&amp;Demand_previous!$D$3:$AY$3, 0))/1000</f>
        <v>0</v>
      </c>
      <c r="AL55" s="298">
        <f t="array" ref="AL55">INDEX(Demand_previous!$D$4:$AY$138, MATCH('Staging Table'!$A55, Demand_previous!$B$4:$B$138, 0), MATCH(AL$4&amp;AL$5,Demand_previous!$D$2:$AY$2&amp;Demand_previous!$D$3:$AY$3, 0))/1000</f>
        <v>0</v>
      </c>
      <c r="AM55" s="298">
        <f t="array" ref="AM55">INDEX(Demand_previous!$D$4:$AY$138, MATCH('Staging Table'!$A55, Demand_previous!$B$4:$B$138, 0), MATCH(AM$4&amp;AM$5,Demand_previous!$D$2:$AY$2&amp;Demand_previous!$D$3:$AY$3, 0))/1000</f>
        <v>0</v>
      </c>
      <c r="AN55" s="298">
        <f t="array" ref="AN55">INDEX(Demand_previous!$D$4:$AY$138, MATCH('Staging Table'!$A55, Demand_previous!$B$4:$B$138, 0), MATCH(AN$4&amp;AN$5,Demand_previous!$D$2:$AY$2&amp;Demand_previous!$D$3:$AY$3, 0))/1000</f>
        <v>0</v>
      </c>
      <c r="AO55" s="298">
        <f t="array" ref="AO55">INDEX(Demand_previous!$D$4:$AY$138, MATCH('Staging Table'!$A55, Demand_previous!$B$4:$B$138, 0), MATCH(AO$4&amp;AO$5,Demand_previous!$D$2:$AY$2&amp;Demand_previous!$D$3:$AY$3, 0))/1000</f>
        <v>0</v>
      </c>
      <c r="AP55" s="298">
        <f t="array" ref="AP55">INDEX(Demand_previous!$D$4:$AY$138, MATCH('Staging Table'!$A55, Demand_previous!$B$4:$B$138, 0), MATCH(AP$4&amp;AP$5,Demand_previous!$D$2:$AY$2&amp;Demand_previous!$D$3:$AY$3, 0))/1000</f>
        <v>0</v>
      </c>
      <c r="AQ55" s="298">
        <f t="array" ref="AQ55">INDEX(Demand_previous!$D$4:$AY$138, MATCH('Staging Table'!$A55, Demand_previous!$B$4:$B$138, 0), MATCH(AQ$4&amp;AQ$5,Demand_previous!$D$2:$AY$2&amp;Demand_previous!$D$3:$AY$3, 0))/1000</f>
        <v>0</v>
      </c>
      <c r="AR55" s="298">
        <f t="array" ref="AR55">INDEX(Demand_previous!$D$4:$AY$138, MATCH('Staging Table'!$A55, Demand_previous!$B$4:$B$138, 0), MATCH(AR$4&amp;AR$5,Demand_previous!$D$2:$AY$2&amp;Demand_previous!$D$3:$AY$3, 0))/1000</f>
        <v>0</v>
      </c>
      <c r="AS55" s="298">
        <f t="array" ref="AS55">INDEX(Demand_previous!$D$4:$AY$138, MATCH('Staging Table'!$A55, Demand_previous!$B$4:$B$138, 0), MATCH(AS$4&amp;AS$5,Demand_previous!$D$2:$AY$2&amp;Demand_previous!$D$3:$AY$3, 0))/1000</f>
        <v>0</v>
      </c>
      <c r="AT55" s="298">
        <f t="array" ref="AT55">INDEX(Demand_previous!$D$4:$AY$138, MATCH('Staging Table'!$A55, Demand_previous!$B$4:$B$138, 0), MATCH(AT$4&amp;AT$5,Demand_previous!$D$2:$AY$2&amp;Demand_previous!$D$3:$AY$3, 0))/1000</f>
        <v>0</v>
      </c>
      <c r="AU55" s="298">
        <f t="array" ref="AU55">INDEX(Demand_previous!$D$4:$AY$138, MATCH('Staging Table'!$A55, Demand_previous!$B$4:$B$138, 0), MATCH(AU$4&amp;AU$5,Demand_previous!$D$2:$AY$2&amp;Demand_previous!$D$3:$AY$3, 0))/1000</f>
        <v>0</v>
      </c>
      <c r="AV55" s="180">
        <f>$F55*(VLOOKUP(AV$4, Rates_previous!$G$6:$Q$29, 10, FALSE)+VLOOKUP(AV$4, Rates_previous!$G$6:$Q$29, 11, FALSE))</f>
        <v>11954.051604502876</v>
      </c>
      <c r="AW55" s="180">
        <f>$F55*(VLOOKUP(AW$4, Rates_previous!$G$6:$Q$29, 10, FALSE)+VLOOKUP(AW$4, Rates_previous!$G$6:$Q$29, 11, FALSE))</f>
        <v>15134.263173688316</v>
      </c>
      <c r="AX55" s="180">
        <f>$F55*(VLOOKUP(AX$4, Rates_previous!$G$6:$Q$29, 10, FALSE)+VLOOKUP(AX$4, Rates_previous!$G$6:$Q$29, 11, FALSE))</f>
        <v>14813.420075275502</v>
      </c>
      <c r="AY55" s="180">
        <f>$F55*(VLOOKUP(AY$4, Rates_previous!$G$6:$Q$29, 10, FALSE)+VLOOKUP(AY$4, Rates_previous!$G$6:$Q$29, 11, FALSE))</f>
        <v>12235.255043830875</v>
      </c>
      <c r="AZ55" s="180">
        <f>$F55*(VLOOKUP(AZ$4, Rates_previous!$G$6:$Q$29, 10, FALSE)+VLOOKUP(AZ$4, Rates_previous!$G$6:$Q$29, 11, FALSE))</f>
        <v>10604.563707652687</v>
      </c>
      <c r="BA55" s="180">
        <f>$F55*(VLOOKUP(BA$4, Rates_previous!$G$6:$Q$29, 10, FALSE)+VLOOKUP(BA$4, Rates_previous!$G$6:$Q$29, 11, FALSE))</f>
        <v>12659.707589328189</v>
      </c>
      <c r="BB55" s="180">
        <f>$F55*(VLOOKUP(BB$4, Rates_previous!$G$6:$Q$29, 10, FALSE)+VLOOKUP(BB$4, Rates_previous!$G$6:$Q$29, 11, FALSE))</f>
        <v>9828.5775701754374</v>
      </c>
      <c r="BC55" s="180">
        <f>$F55*(VLOOKUP(BC$4, Rates_previous!$G$6:$Q$29, 10, FALSE)+VLOOKUP(BC$4, Rates_previous!$G$6:$Q$29, 11, FALSE))</f>
        <v>13617.566551824375</v>
      </c>
      <c r="BD55" s="180">
        <f>$F55*(VLOOKUP(BD$4, Rates_previous!$G$6:$Q$29, 10, FALSE)+VLOOKUP(BD$4, Rates_previous!$G$6:$Q$29, 11, FALSE))</f>
        <v>14550.655000910438</v>
      </c>
      <c r="BE55" s="180">
        <f>$F55*(VLOOKUP(BE$4, Rates_previous!$G$6:$Q$29, 10, FALSE)+VLOOKUP(BE$4, Rates_previous!$G$6:$Q$29, 11, FALSE))</f>
        <v>13815.18804644344</v>
      </c>
      <c r="BF55" s="180">
        <f>$F55*(VLOOKUP(BF$4, Rates_previous!$G$6:$Q$29, 10, FALSE)+VLOOKUP(BF$4, Rates_previous!$G$6:$Q$29, 11, FALSE))</f>
        <v>13351.313460582562</v>
      </c>
      <c r="BG55" s="180">
        <f>$F55*(VLOOKUP(BG$4, Rates_previous!$G$6:$Q$29, 10, FALSE)+VLOOKUP(BG$4, Rates_previous!$G$6:$Q$29, 11, FALSE))</f>
        <v>12338.00545684875</v>
      </c>
      <c r="BH55" s="298">
        <f>IF($D55=0,IF(C55=0, MAX(BJ55 - (VLOOKUP($A55,TOCA_previous!$A$2:$AI$137,MATCH("RHWM 2022",TOCA_previous!$A$2:$AI$2,0),FALSE)*$F$2*TOCA_previous!C52),0),0), 0)</f>
        <v>0</v>
      </c>
      <c r="BI55" s="192">
        <f>MIN(VLOOKUP($A55,TOCA_previous!$A$2:$AI$137,MATCH("TRL - NLSL - Existing Resource "&amp;$F$1,TOCA_previous!$A$2:$AI$2,0),FALSE)*$F$2,(VLOOKUP($A55,TOCA_previous!$A$2:$AI$137,MATCH("RHWM 2022",TOCA_previous!$A$2:$AI$2,0),FALSE)*$F$2))</f>
        <v>154903.07999999999</v>
      </c>
      <c r="BJ55" s="402">
        <f>SUM(L55:AI55)+(F55*RT1SC!$C$3*$F$2)</f>
        <v>154902.57520500003</v>
      </c>
      <c r="BK55" s="401">
        <f>VLOOKUP($A55,TOCA_previous!$A$2:$AI$137,MATCH("Above RHWM Not Served with LS "&amp;$F$1,TOCA_previous!$A$2:$AI$2,0),FALSE)*$F$2</f>
        <v>5028.24</v>
      </c>
      <c r="BL55" s="402">
        <f t="shared" si="8"/>
        <v>-0.50479499995708466</v>
      </c>
      <c r="BM55" s="401">
        <f>(VLOOKUP($A55,TOCA_previous!$A$2:$AI$137,MATCH("RHWM 2022",TOCA_previous!$A$2:$AI$2,0),FALSE)*$F$2) - $BI55</f>
        <v>0</v>
      </c>
      <c r="BN55" s="402">
        <f t="shared" si="9"/>
        <v>0</v>
      </c>
      <c r="BO55" s="401">
        <f t="shared" si="10"/>
        <v>0</v>
      </c>
      <c r="BP55" s="402">
        <f t="shared" si="11"/>
        <v>0</v>
      </c>
      <c r="BQ55" s="401">
        <f t="shared" si="18"/>
        <v>0</v>
      </c>
      <c r="BR55" s="108">
        <f>VLOOKUP($A55,TOCA_current!$A$2:$AI$137,MATCH(BR$4,TOCA_current!$A$2:$AI$2,0),FALSE)</f>
        <v>2.6044000000000002E-3</v>
      </c>
      <c r="BS55" s="108">
        <f>VLOOKUP($A55,TOCA_current!$A$2:$AI$137,MATCH(BS$4,TOCA_current!$A$2:$AI$2,0),FALSE)</f>
        <v>2.6044000000000002E-3</v>
      </c>
      <c r="BT55" s="189">
        <f t="shared" si="12"/>
        <v>0</v>
      </c>
      <c r="BU55" s="108">
        <f>VLOOKUP($A55,TOCA_current!A51:BG186,MATCH(BU$4,TOCA_current!$A$2:$BG$2,0),FALSE)</f>
        <v>7.0000000000000007E-2</v>
      </c>
      <c r="BV55" s="108">
        <f t="shared" si="19"/>
        <v>7.0000000000000007E-2</v>
      </c>
      <c r="BW55" s="108">
        <f t="shared" si="20"/>
        <v>2.6044000000000002E-3</v>
      </c>
      <c r="BX55" s="179">
        <f>VLOOKUP($A55,IRD!$A$4:$G$139, 7, FALSE)</f>
        <v>0</v>
      </c>
      <c r="BY55" s="180">
        <f t="array" ref="BY55">IF($BT55=0, INDEX(LS_current!$D$4:$AY$138, MATCH('Staging Table'!$A55, LS_current!$B$4:$B$138, 0), MATCH(BY$4&amp;BY$5, LS_current!$D$2:$AY$2&amp;LS_current!$D$3:$AY$3, 0)),SUM(VLOOKUP($A55, LS_current!$B$4:$AY$138, LS_current!D$148, FALSE), VLOOKUP($A55, LS_current!$B$4:$AY$138,LS_current!AB$148, FALSE))/2)</f>
        <v>0</v>
      </c>
      <c r="BZ55" s="180">
        <f t="array" ref="BZ55">IF($BT55=0, INDEX(LS_current!$D$4:$AY$138, MATCH('Staging Table'!$A55, LS_current!$B$4:$B$138, 0), MATCH(BZ$4&amp;BZ$5, LS_current!$D$2:$AY$2&amp;LS_current!$D$3:$AY$3, 0)),SUM(VLOOKUP($A55, LS_current!$B$4:$AY$138, LS_current!E$148, FALSE), VLOOKUP($A55, LS_current!$B$4:$AY$138,LS_current!AC$148, FALSE))/2)</f>
        <v>0</v>
      </c>
      <c r="CA55" s="180">
        <f t="array" ref="CA55">IF($BT55=0, INDEX(LS_current!$D$4:$AY$138, MATCH('Staging Table'!$A55, LS_current!$B$4:$B$138, 0), MATCH(CA$4&amp;CA$5, LS_current!$D$2:$AY$2&amp;LS_current!$D$3:$AY$3, 0)),SUM(VLOOKUP($A55, LS_current!$B$4:$AY$138, LS_current!F$148, FALSE), VLOOKUP($A55, LS_current!$B$4:$AY$138,LS_current!AD$148, FALSE))/2)</f>
        <v>0</v>
      </c>
      <c r="CB55" s="180">
        <f t="array" ref="CB55">IF($BT55=0, INDEX(LS_current!$D$4:$AY$138, MATCH('Staging Table'!$A55, LS_current!$B$4:$B$138, 0), MATCH(CB$4&amp;CB$5, LS_current!$D$2:$AY$2&amp;LS_current!$D$3:$AY$3, 0)),SUM(VLOOKUP($A55, LS_current!$B$4:$AY$138, LS_current!G$148, FALSE), VLOOKUP($A55, LS_current!$B$4:$AY$138,LS_current!AE$148, FALSE))/2)</f>
        <v>0</v>
      </c>
      <c r="CC55" s="180">
        <f t="array" ref="CC55">IF($BT55=0, INDEX(LS_current!$D$4:$AY$138, MATCH('Staging Table'!$A55, LS_current!$B$4:$B$138, 0), MATCH(CC$4&amp;CC$5, LS_current!$D$2:$AY$2&amp;LS_current!$D$3:$AY$3, 0)),SUM(VLOOKUP($A55, LS_current!$B$4:$AY$138, LS_current!H$148, FALSE), VLOOKUP($A55, LS_current!$B$4:$AY$138,LS_current!AF$148, FALSE))/2)</f>
        <v>0</v>
      </c>
      <c r="CD55" s="180">
        <f t="array" ref="CD55">IF($BT55=0, INDEX(LS_current!$D$4:$AY$138, MATCH('Staging Table'!$A55, LS_current!$B$4:$B$138, 0), MATCH(CD$4&amp;CD$5, LS_current!$D$2:$AY$2&amp;LS_current!$D$3:$AY$3, 0)),SUM(VLOOKUP($A55, LS_current!$B$4:$AY$138, LS_current!I$148, FALSE), VLOOKUP($A55, LS_current!$B$4:$AY$138,LS_current!AG$148, FALSE))/2)</f>
        <v>0</v>
      </c>
      <c r="CE55" s="180">
        <f t="array" ref="CE55">IF($BT55=0, INDEX(LS_current!$D$4:$AY$138, MATCH('Staging Table'!$A55, LS_current!$B$4:$B$138, 0), MATCH(CE$4&amp;CE$5, LS_current!$D$2:$AY$2&amp;LS_current!$D$3:$AY$3, 0)),SUM(VLOOKUP($A55, LS_current!$B$4:$AY$138, LS_current!J$148, FALSE), VLOOKUP($A55, LS_current!$B$4:$AY$138,LS_current!AH$148, FALSE))/2)</f>
        <v>0</v>
      </c>
      <c r="CF55" s="180">
        <f t="array" ref="CF55">IF($BT55=0, INDEX(LS_current!$D$4:$AY$138, MATCH('Staging Table'!$A55, LS_current!$B$4:$B$138, 0), MATCH(CF$4&amp;CF$5, LS_current!$D$2:$AY$2&amp;LS_current!$D$3:$AY$3, 0)),SUM(VLOOKUP($A55, LS_current!$B$4:$AY$138, LS_current!K$148, FALSE), VLOOKUP($A55, LS_current!$B$4:$AY$138,LS_current!AI$148, FALSE))/2)</f>
        <v>0</v>
      </c>
      <c r="CG55" s="180">
        <f t="array" ref="CG55">IF($BT55=0, INDEX(LS_current!$D$4:$AY$138, MATCH('Staging Table'!$A55, LS_current!$B$4:$B$138, 0), MATCH(CG$4&amp;CG$5, LS_current!$D$2:$AY$2&amp;LS_current!$D$3:$AY$3, 0)),SUM(VLOOKUP($A55, LS_current!$B$4:$AY$138, LS_current!L$148, FALSE), VLOOKUP($A55, LS_current!$B$4:$AY$138,LS_current!AJ$148, FALSE))/2)</f>
        <v>0</v>
      </c>
      <c r="CH55" s="180">
        <f t="array" ref="CH55">IF($BT55=0, INDEX(LS_current!$D$4:$AY$138, MATCH('Staging Table'!$A55, LS_current!$B$4:$B$138, 0), MATCH(CH$4&amp;CH$5, LS_current!$D$2:$AY$2&amp;LS_current!$D$3:$AY$3, 0)),SUM(VLOOKUP($A55, LS_current!$B$4:$AY$138, LS_current!M$148, FALSE), VLOOKUP($A55, LS_current!$B$4:$AY$138,LS_current!AK$148, FALSE))/2)</f>
        <v>0</v>
      </c>
      <c r="CI55" s="180">
        <f t="array" ref="CI55">IF($BT55=0, INDEX(LS_current!$D$4:$AY$138, MATCH('Staging Table'!$A55, LS_current!$B$4:$B$138, 0), MATCH(CI$4&amp;CI$5, LS_current!$D$2:$AY$2&amp;LS_current!$D$3:$AY$3, 0)),SUM(VLOOKUP($A55, LS_current!$B$4:$AY$138, LS_current!N$148, FALSE), VLOOKUP($A55, LS_current!$B$4:$AY$138,LS_current!AL$148, FALSE))/2)</f>
        <v>0</v>
      </c>
      <c r="CJ55" s="180">
        <f t="array" ref="CJ55">IF($BT55=0, INDEX(LS_current!$D$4:$AY$138, MATCH('Staging Table'!$A55, LS_current!$B$4:$B$138, 0), MATCH(CJ$4&amp;CJ$5, LS_current!$D$2:$AY$2&amp;LS_current!$D$3:$AY$3, 0)),SUM(VLOOKUP($A55, LS_current!$B$4:$AY$138, LS_current!O$148, FALSE), VLOOKUP($A55, LS_current!$B$4:$AY$138,LS_current!AM$148, FALSE))/2)</f>
        <v>0</v>
      </c>
      <c r="CK55" s="180">
        <f t="array" ref="CK55">IF($BT55=0, INDEX(LS_current!$D$4:$AY$138, MATCH('Staging Table'!$A55, LS_current!$B$4:$B$138, 0), MATCH(CK$4&amp;CK$5, LS_current!$D$2:$AY$2&amp;LS_current!$D$3:$AY$3, 0)),SUM(VLOOKUP($A55, LS_current!$B$4:$AY$138, LS_current!P$148, FALSE), VLOOKUP($A55, LS_current!$B$4:$AY$138,LS_current!AN$148, FALSE))/2)</f>
        <v>0</v>
      </c>
      <c r="CL55" s="180">
        <f t="array" ref="CL55">IF($BT55=0, INDEX(LS_current!$D$4:$AY$138, MATCH('Staging Table'!$A55, LS_current!$B$4:$B$138, 0), MATCH(CL$4&amp;CL$5, LS_current!$D$2:$AY$2&amp;LS_current!$D$3:$AY$3, 0)),SUM(VLOOKUP($A55, LS_current!$B$4:$AY$138, LS_current!Q$148, FALSE), VLOOKUP($A55, LS_current!$B$4:$AY$138,LS_current!AO$148, FALSE))/2)</f>
        <v>0</v>
      </c>
      <c r="CM55" s="180">
        <f t="array" ref="CM55">IF($BT55=0, INDEX(LS_current!$D$4:$AY$138, MATCH('Staging Table'!$A55, LS_current!$B$4:$B$138, 0), MATCH(CM$4&amp;CM$5, LS_current!$D$2:$AY$2&amp;LS_current!$D$3:$AY$3, 0)),SUM(VLOOKUP($A55, LS_current!$B$4:$AY$138, LS_current!R$148, FALSE), VLOOKUP($A55, LS_current!$B$4:$AY$138,LS_current!AP$148, FALSE))/2)</f>
        <v>0</v>
      </c>
      <c r="CN55" s="180">
        <f t="array" ref="CN55">IF($BT55=0, INDEX(LS_current!$D$4:$AY$138, MATCH('Staging Table'!$A55, LS_current!$B$4:$B$138, 0), MATCH(CN$4&amp;CN$5, LS_current!$D$2:$AY$2&amp;LS_current!$D$3:$AY$3, 0)),SUM(VLOOKUP($A55, LS_current!$B$4:$AY$138, LS_current!S$148, FALSE), VLOOKUP($A55, LS_current!$B$4:$AY$138,LS_current!AQ$148, FALSE))/2)</f>
        <v>0</v>
      </c>
      <c r="CO55" s="180">
        <f t="array" ref="CO55">IF($BT55=0, INDEX(LS_current!$D$4:$AY$138, MATCH('Staging Table'!$A55, LS_current!$B$4:$B$138, 0), MATCH(CO$4&amp;CO$5, LS_current!$D$2:$AY$2&amp;LS_current!$D$3:$AY$3, 0)),SUM(VLOOKUP($A55, LS_current!$B$4:$AY$138, LS_current!T$148, FALSE), VLOOKUP($A55, LS_current!$B$4:$AY$138,LS_current!AR$148, FALSE))/2)</f>
        <v>0</v>
      </c>
      <c r="CP55" s="180">
        <f t="array" ref="CP55">IF($BT55=0, INDEX(LS_current!$D$4:$AY$138, MATCH('Staging Table'!$A55, LS_current!$B$4:$B$138, 0), MATCH(CP$4&amp;CP$5, LS_current!$D$2:$AY$2&amp;LS_current!$D$3:$AY$3, 0)),SUM(VLOOKUP($A55, LS_current!$B$4:$AY$138, LS_current!U$148, FALSE), VLOOKUP($A55, LS_current!$B$4:$AY$138,LS_current!AS$148, FALSE))/2)</f>
        <v>0</v>
      </c>
      <c r="CQ55" s="180">
        <f t="array" ref="CQ55">IF($BT55=0, INDEX(LS_current!$D$4:$AY$138, MATCH('Staging Table'!$A55, LS_current!$B$4:$B$138, 0), MATCH(CQ$4&amp;CQ$5, LS_current!$D$2:$AY$2&amp;LS_current!$D$3:$AY$3, 0)),SUM(VLOOKUP($A55, LS_current!$B$4:$AY$138, LS_current!V$148, FALSE), VLOOKUP($A55, LS_current!$B$4:$AY$138,LS_current!AT$148, FALSE))/2)</f>
        <v>0</v>
      </c>
      <c r="CR55" s="180">
        <f t="array" ref="CR55">IF($BT55=0, INDEX(LS_current!$D$4:$AY$138, MATCH('Staging Table'!$A55, LS_current!$B$4:$B$138, 0), MATCH(CR$4&amp;CR$5, LS_current!$D$2:$AY$2&amp;LS_current!$D$3:$AY$3, 0)),SUM(VLOOKUP($A55, LS_current!$B$4:$AY$138, LS_current!W$148, FALSE), VLOOKUP($A55, LS_current!$B$4:$AY$138,LS_current!AU$148, FALSE))/2)</f>
        <v>0</v>
      </c>
      <c r="CS55" s="180">
        <f t="array" ref="CS55">IF($BT55=0, INDEX(LS_current!$D$4:$AY$138, MATCH('Staging Table'!$A55, LS_current!$B$4:$B$138, 0), MATCH(CS$4&amp;CS$5, LS_current!$D$2:$AY$2&amp;LS_current!$D$3:$AY$3, 0)),SUM(VLOOKUP($A55, LS_current!$B$4:$AY$138, LS_current!X$148, FALSE), VLOOKUP($A55, LS_current!$B$4:$AY$138,LS_current!AV$148, FALSE))/2)</f>
        <v>0</v>
      </c>
      <c r="CT55" s="180">
        <f t="array" ref="CT55">IF($BT55=0, INDEX(LS_current!$D$4:$AY$138, MATCH('Staging Table'!$A55, LS_current!$B$4:$B$138, 0), MATCH(CT$4&amp;CT$5, LS_current!$D$2:$AY$2&amp;LS_current!$D$3:$AY$3, 0)),SUM(VLOOKUP($A55, LS_current!$B$4:$AY$138, LS_current!Y$148, FALSE), VLOOKUP($A55, LS_current!$B$4:$AY$138,LS_current!AW$148, FALSE))/2)</f>
        <v>0</v>
      </c>
      <c r="CU55" s="180">
        <f t="array" ref="CU55">IF($BT55=0, INDEX(LS_current!$D$4:$AY$138, MATCH('Staging Table'!$A55, LS_current!$B$4:$B$138, 0), MATCH(CU$4&amp;CU$5, LS_current!$D$2:$AY$2&amp;LS_current!$D$3:$AY$3, 0)),SUM(VLOOKUP($A55, LS_current!$B$4:$AY$138, LS_current!Z$148, FALSE), VLOOKUP($A55, LS_current!$B$4:$AY$138,LS_current!AX$148, FALSE))/2)</f>
        <v>0</v>
      </c>
      <c r="CV55" s="180">
        <f t="array" ref="CV55">IF($BT55=0, INDEX(LS_current!$D$4:$AY$138, MATCH('Staging Table'!$A55, LS_current!$B$4:$B$138, 0), MATCH(CV$4&amp;CV$5, LS_current!$D$2:$AY$2&amp;LS_current!$D$3:$AY$3, 0)),SUM(VLOOKUP($A55, LS_current!$B$4:$AY$138, LS_current!AA$148, FALSE), VLOOKUP($A55, LS_current!$B$4:$AY$138,LS_current!AY$148, FALSE))/2)</f>
        <v>0</v>
      </c>
      <c r="CW55" s="182">
        <f t="array" ref="CW55">INDEX(Demand_current!$D$4:$AY$138, MATCH($A55, Demand_current!$B$4:$B$138, 0), MATCH(CW$4&amp;CW$5,Demand_current!$D$2:$AY$2&amp;Demand_current!$D$3:$AY$3, 0))/1000</f>
        <v>0</v>
      </c>
      <c r="CX55" s="182">
        <f t="array" ref="CX55">INDEX(Demand_current!$D$4:$AY$138, MATCH($A55, Demand_current!$B$4:$B$138, 0), MATCH(CX$4&amp;CX$5,Demand_current!$D$2:$AY$2&amp;Demand_current!$D$3:$AY$3, 0))/1000</f>
        <v>0</v>
      </c>
      <c r="CY55" s="182">
        <f t="array" ref="CY55">INDEX(Demand_current!$D$4:$AY$138, MATCH($A55, Demand_current!$B$4:$B$138, 0), MATCH(CY$4&amp;CY$5,Demand_current!$D$2:$AY$2&amp;Demand_current!$D$3:$AY$3, 0))/1000</f>
        <v>0</v>
      </c>
      <c r="CZ55" s="182">
        <f t="array" ref="CZ55">INDEX(Demand_current!$D$4:$AY$138, MATCH($A55, Demand_current!$B$4:$B$138, 0), MATCH(CZ$4&amp;CZ$5,Demand_current!$D$2:$AY$2&amp;Demand_current!$D$3:$AY$3, 0))/1000</f>
        <v>0</v>
      </c>
      <c r="DA55" s="182">
        <f t="array" ref="DA55">INDEX(Demand_current!$D$4:$AY$138, MATCH($A55, Demand_current!$B$4:$B$138, 0), MATCH(DA$4&amp;DA$5,Demand_current!$D$2:$AY$2&amp;Demand_current!$D$3:$AY$3, 0))/1000</f>
        <v>0</v>
      </c>
      <c r="DB55" s="182">
        <f t="array" ref="DB55">INDEX(Demand_current!$D$4:$AY$138, MATCH($A55, Demand_current!$B$4:$B$138, 0), MATCH(DB$4&amp;DB$5,Demand_current!$D$2:$AY$2&amp;Demand_current!$D$3:$AY$3, 0))/1000</f>
        <v>0</v>
      </c>
      <c r="DC55" s="182">
        <f t="array" ref="DC55">INDEX(Demand_current!$D$4:$AY$138, MATCH($A55, Demand_current!$B$4:$B$138, 0), MATCH(DC$4&amp;DC$5,Demand_current!$D$2:$AY$2&amp;Demand_current!$D$3:$AY$3, 0))/1000</f>
        <v>0</v>
      </c>
      <c r="DD55" s="182">
        <f t="array" ref="DD55">INDEX(Demand_current!$D$4:$AY$138, MATCH($A55, Demand_current!$B$4:$B$138, 0), MATCH(DD$4&amp;DD$5,Demand_current!$D$2:$AY$2&amp;Demand_current!$D$3:$AY$3, 0))/1000</f>
        <v>0</v>
      </c>
      <c r="DE55" s="182">
        <f t="array" ref="DE55">INDEX(Demand_current!$D$4:$AY$138, MATCH($A55, Demand_current!$B$4:$B$138, 0), MATCH(DE$4&amp;DE$5,Demand_current!$D$2:$AY$2&amp;Demand_current!$D$3:$AY$3, 0))/1000</f>
        <v>0</v>
      </c>
      <c r="DF55" s="182">
        <f t="array" ref="DF55">INDEX(Demand_current!$D$4:$AY$138, MATCH($A55, Demand_current!$B$4:$B$138, 0), MATCH(DF$4&amp;DF$5,Demand_current!$D$2:$AY$2&amp;Demand_current!$D$3:$AY$3, 0))/1000</f>
        <v>0</v>
      </c>
      <c r="DG55" s="182">
        <f t="array" ref="DG55">INDEX(Demand_current!$D$4:$AY$138, MATCH($A55, Demand_current!$B$4:$B$138, 0), MATCH(DG$4&amp;DG$5,Demand_current!$D$2:$AY$2&amp;Demand_current!$D$3:$AY$3, 0))/1000</f>
        <v>0</v>
      </c>
      <c r="DH55" s="182">
        <f t="array" ref="DH55">INDEX(Demand_current!$D$4:$AY$138, MATCH($A55, Demand_current!$B$4:$B$138, 0), MATCH(DH$4&amp;DH$5,Demand_current!$D$2:$AY$2&amp;Demand_current!$D$3:$AY$3, 0))/1000</f>
        <v>0</v>
      </c>
      <c r="DI55" s="180">
        <f>$BS55*(VLOOKUP(DI$4, Rates_current!$G$6:$Q$29, 10, FALSE)+VLOOKUP(DI$4, Rates_current!$G$6:$Q$29, 11, FALSE))</f>
        <v>10987.452516450601</v>
      </c>
      <c r="DJ55" s="180">
        <f>$BS55*(VLOOKUP(DJ$4, Rates_current!$G$6:$Q$29, 10, FALSE)+VLOOKUP(DJ$4, Rates_current!$G$6:$Q$29, 11, FALSE))</f>
        <v>14012.625103619603</v>
      </c>
      <c r="DK55" s="180">
        <f>$BS55*(VLOOKUP(DK$4, Rates_current!$G$6:$Q$29, 10, FALSE)+VLOOKUP(DK$4, Rates_current!$G$6:$Q$29, 11, FALSE))</f>
        <v>15122.395040514002</v>
      </c>
      <c r="DL55" s="180">
        <f>$BS55*(VLOOKUP(DL$4, Rates_current!$G$6:$Q$29, 10, FALSE)+VLOOKUP(DL$4, Rates_current!$G$6:$Q$29, 11, FALSE))</f>
        <v>15714.506185273602</v>
      </c>
      <c r="DM55" s="180">
        <f>$BS55*(VLOOKUP(DM$4, Rates_current!$G$6:$Q$29, 10, FALSE)+VLOOKUP(DM$4, Rates_current!$G$6:$Q$29, 11, FALSE))</f>
        <v>13516.5699292872</v>
      </c>
      <c r="DN55" s="180">
        <f>$BS55*(VLOOKUP(DN$4, Rates_current!$G$6:$Q$29, 10, FALSE)+VLOOKUP(DN$4, Rates_current!$G$6:$Q$29, 11, FALSE))</f>
        <v>14757.4182165204</v>
      </c>
      <c r="DO55" s="180">
        <f>$BS55*(VLOOKUP(DO$4, Rates_current!$G$6:$Q$29, 10, FALSE)+VLOOKUP(DO$4, Rates_current!$G$6:$Q$29, 11, FALSE))</f>
        <v>11648.494755502699</v>
      </c>
      <c r="DP55" s="180">
        <f>$BS55*(VLOOKUP(DP$4, Rates_current!$G$6:$Q$29, 10, FALSE)+VLOOKUP(DP$4, Rates_current!$G$6:$Q$29, 11, FALSE))</f>
        <v>14451.518715328601</v>
      </c>
      <c r="DQ55" s="180">
        <f>$BS55*(VLOOKUP(DQ$4, Rates_current!$G$6:$Q$29, 10, FALSE)+VLOOKUP(DQ$4, Rates_current!$G$6:$Q$29, 11, FALSE))</f>
        <v>14765.080594414199</v>
      </c>
      <c r="DR55" s="180">
        <f>$BS55*(VLOOKUP(DR$4, Rates_current!$G$6:$Q$29, 10, FALSE)+VLOOKUP(DR$4, Rates_current!$G$6:$Q$29, 11, FALSE))</f>
        <v>12818.2171372226</v>
      </c>
      <c r="DS55" s="180">
        <f>$BS55*(VLOOKUP(DS$4, Rates_current!$G$6:$Q$29, 10, FALSE)+VLOOKUP(DS$4, Rates_current!$G$6:$Q$29, 11, FALSE))</f>
        <v>12391.808777815942</v>
      </c>
      <c r="DT55" s="180">
        <f>$BS55*(VLOOKUP(DT$4, Rates_current!$G$6:$Q$29, 10, FALSE)+VLOOKUP(DT$4, Rates_current!$G$6:$Q$29, 11, FALSE))</f>
        <v>11402.863735263201</v>
      </c>
      <c r="DU55" s="402">
        <f>IF(D55=0,IF(C55=0,MAX(0,DW55 - (VLOOKUP($A55,TOCA_current!$A$2:$AI$137,MATCH("RHWM 2024",TOCA_current!$A$2:$AI$2,0),FALSE)*$BS$2)), 0),0)</f>
        <v>0</v>
      </c>
      <c r="DV55" s="403">
        <f>MIN(VLOOKUP($A55,TOCA_current!$A$2:$AI$137,MATCH("TRL - NLSL - Existing Resource "&amp;$BS$1,TOCA_current!$A$2:$AI$2,0),FALSE)*$BS$2, VLOOKUP($A55,TOCA_current!$A$2:$AI$137,MATCH("RHWM 2024",TOCA_current!$A$2:$AI$2,0),FALSE)*$BS$2)</f>
        <v>161590.46400000001</v>
      </c>
      <c r="DW55" s="403">
        <f>SUM(BY55:CV55)+(BS55*RT1SC!$C$4*$BS$2)</f>
        <v>161588.95144790399</v>
      </c>
      <c r="DX55" s="403">
        <f>VLOOKUP($A55,TOCA_current!$A$2:$AI$137,MATCH("Above RHWM Not Served with LS "&amp;$BS$1,TOCA_current!$A$2:$AI$2,0),FALSE)*$BS$2</f>
        <v>0</v>
      </c>
      <c r="DY55" s="403">
        <f t="shared" si="13"/>
        <v>-1.5125520960136782</v>
      </c>
      <c r="DZ55" s="403">
        <f>(VLOOKUP($A55,TOCA_current!$A$2:$AI$137,MATCH("RHWM 2024",TOCA_current!$A$2:$AI$2,0),FALSE)*$BS$2) - $DV55</f>
        <v>1238.5439999999944</v>
      </c>
      <c r="EA55" s="403">
        <f t="shared" si="14"/>
        <v>0</v>
      </c>
      <c r="EB55" s="403">
        <f t="shared" si="15"/>
        <v>1.5125520960136782</v>
      </c>
      <c r="EC55" s="403">
        <f t="shared" si="16"/>
        <v>0</v>
      </c>
      <c r="ED55" s="403">
        <f t="shared" si="17"/>
        <v>1.5125520960136782</v>
      </c>
    </row>
    <row r="56" spans="1:134">
      <c r="A56" s="123">
        <v>10142</v>
      </c>
      <c r="B56" s="124" t="s">
        <v>57</v>
      </c>
      <c r="C56" s="232">
        <f>VLOOKUP(A56, TOCA_current!$A$3:$D$137, 4, FALSE)</f>
        <v>0</v>
      </c>
      <c r="D56" s="191">
        <v>0</v>
      </c>
      <c r="E56" s="107">
        <f>VLOOKUP($A56,TOCA_previous!$A$2:$AI$137,MATCH(E$4,TOCA_previous!$A$2:$AI$2,0),FALSE)</f>
        <v>3.8049999999999998E-4</v>
      </c>
      <c r="F56" s="108">
        <f>VLOOKUP($A56,TOCA_previous!$A$2:$AI$137,MATCH(F$4,TOCA_previous!$A$2:$AI$2,0),FALSE)</f>
        <v>3.8049999999999998E-4</v>
      </c>
      <c r="G56" s="108">
        <f t="shared" si="5"/>
        <v>0</v>
      </c>
      <c r="H56" s="108">
        <f>VLOOKUP($A56,TOCA_previous!$A$2:$AI$137,MATCH(H$4,TOCA_previous!$A$2:$AI$2,0),FALSE)</f>
        <v>2.9260000000000001E-2</v>
      </c>
      <c r="I56" s="108">
        <f t="shared" si="6"/>
        <v>0</v>
      </c>
      <c r="J56" s="108">
        <f t="shared" si="7"/>
        <v>0</v>
      </c>
      <c r="K56" s="179">
        <f>VLOOKUP(A56, IRD!$A$5:$C$139, 3, FALSE)</f>
        <v>5769.4840000000004</v>
      </c>
      <c r="L56" s="180">
        <f t="array" ref="L56">IF($G56=0, INDEX(LS_previous!$D$4:$AY$138, MATCH('Staging Table'!$A56, LS_previous!$B$4:$B$138, 0), MATCH(L$4&amp;L$5, LS_previous!$D$2:$AY$2&amp;LS_previous!$D$3:$AY$3, 0)),SUM(VLOOKUP($A56, LS_previous!$B$4:$AY$138, LS_previous!D$149, FALSE), VLOOKUP('Staging Table'!$A56, LS_previous!$B$4:$AY$138,LS_previous!AB$149, FALSE))/2)</f>
        <v>-46.283695655757583</v>
      </c>
      <c r="M56" s="180">
        <f t="array" ref="M56">IF($G56=0, INDEX(LS_previous!$D$4:$AY$138, MATCH('Staging Table'!$A56, LS_previous!$B$4:$B$138, 0), MATCH(M$4&amp;M$5, LS_previous!$D$2:$AY$2&amp;LS_previous!$D$3:$AY$3, 0)),SUM(VLOOKUP($A56, LS_previous!$B$4:$AY$138, LS_previous!E$149, FALSE), VLOOKUP('Staging Table'!$A56, LS_previous!$B$4:$AY$138,LS_previous!AC$149, FALSE))/2)</f>
        <v>99.429453555436226</v>
      </c>
      <c r="N56" s="180">
        <f t="array" ref="N56">IF($G56=0, INDEX(LS_previous!$D$4:$AY$138, MATCH('Staging Table'!$A56, LS_previous!$B$4:$B$138, 0), MATCH(N$4&amp;N$5, LS_previous!$D$2:$AY$2&amp;LS_previous!$D$3:$AY$3, 0)),SUM(VLOOKUP($A56, LS_previous!$B$4:$AY$138, LS_previous!F$149, FALSE), VLOOKUP('Staging Table'!$A56, LS_previous!$B$4:$AY$138,LS_previous!AD$149, FALSE))/2)</f>
        <v>-348.90813739636792</v>
      </c>
      <c r="O56" s="180">
        <f t="array" ref="O56">IF($G56=0, INDEX(LS_previous!$D$4:$AY$138, MATCH('Staging Table'!$A56, LS_previous!$B$4:$B$138, 0), MATCH(O$4&amp;O$5, LS_previous!$D$2:$AY$2&amp;LS_previous!$D$3:$AY$3, 0)),SUM(VLOOKUP($A56, LS_previous!$B$4:$AY$138, LS_previous!G$149, FALSE), VLOOKUP('Staging Table'!$A56, LS_previous!$B$4:$AY$138,LS_previous!AE$149, FALSE))/2)</f>
        <v>-109.15334358969051</v>
      </c>
      <c r="P56" s="180">
        <f t="array" ref="P56">IF($G56=0, INDEX(LS_previous!$D$4:$AY$138, MATCH('Staging Table'!$A56, LS_previous!$B$4:$B$138, 0), MATCH(P$4&amp;P$5, LS_previous!$D$2:$AY$2&amp;LS_previous!$D$3:$AY$3, 0)),SUM(VLOOKUP($A56, LS_previous!$B$4:$AY$138, LS_previous!H$149, FALSE), VLOOKUP('Staging Table'!$A56, LS_previous!$B$4:$AY$138,LS_previous!AF$149, FALSE))/2)</f>
        <v>130.12242407433087</v>
      </c>
      <c r="Q56" s="180">
        <f t="array" ref="Q56">IF($G56=0, INDEX(LS_previous!$D$4:$AY$138, MATCH('Staging Table'!$A56, LS_previous!$B$4:$B$138, 0), MATCH(Q$4&amp;Q$5, LS_previous!$D$2:$AY$2&amp;LS_previous!$D$3:$AY$3, 0)),SUM(VLOOKUP($A56, LS_previous!$B$4:$AY$138, LS_previous!I$149, FALSE), VLOOKUP('Staging Table'!$A56, LS_previous!$B$4:$AY$138,LS_previous!AG$149, FALSE))/2)</f>
        <v>144.02706596668725</v>
      </c>
      <c r="R56" s="180">
        <f t="array" ref="R56">IF($G56=0, INDEX(LS_previous!$D$4:$AY$138, MATCH('Staging Table'!$A56, LS_previous!$B$4:$B$138, 0), MATCH(R$4&amp;R$5, LS_previous!$D$2:$AY$2&amp;LS_previous!$D$3:$AY$3, 0)),SUM(VLOOKUP($A56, LS_previous!$B$4:$AY$138, LS_previous!J$149, FALSE), VLOOKUP('Staging Table'!$A56, LS_previous!$B$4:$AY$138,LS_previous!AH$149, FALSE))/2)</f>
        <v>383.37591456044879</v>
      </c>
      <c r="S56" s="180">
        <f t="array" ref="S56">IF($G56=0, INDEX(LS_previous!$D$4:$AY$138, MATCH('Staging Table'!$A56, LS_previous!$B$4:$B$138, 0), MATCH(S$4&amp;S$5, LS_previous!$D$2:$AY$2&amp;LS_previous!$D$3:$AY$3, 0)),SUM(VLOOKUP($A56, LS_previous!$B$4:$AY$138, LS_previous!K$149, FALSE), VLOOKUP('Staging Table'!$A56, LS_previous!$B$4:$AY$138,LS_previous!AI$149, FALSE))/2)</f>
        <v>257.34373527663774</v>
      </c>
      <c r="T56" s="180">
        <f t="array" ref="T56">IF($G56=0, INDEX(LS_previous!$D$4:$AY$138, MATCH('Staging Table'!$A56, LS_previous!$B$4:$B$138, 0), MATCH(T$4&amp;T$5, LS_previous!$D$2:$AY$2&amp;LS_previous!$D$3:$AY$3, 0)),SUM(VLOOKUP($A56, LS_previous!$B$4:$AY$138, LS_previous!L$149, FALSE), VLOOKUP('Staging Table'!$A56, LS_previous!$B$4:$AY$138,LS_previous!AJ$149, FALSE))/2)</f>
        <v>265.07040870722881</v>
      </c>
      <c r="U56" s="180">
        <f t="array" ref="U56">IF($G56=0, INDEX(LS_previous!$D$4:$AY$138, MATCH('Staging Table'!$A56, LS_previous!$B$4:$B$138, 0), MATCH(U$4&amp;U$5, LS_previous!$D$2:$AY$2&amp;LS_previous!$D$3:$AY$3, 0)),SUM(VLOOKUP($A56, LS_previous!$B$4:$AY$138, LS_previous!M$149, FALSE), VLOOKUP('Staging Table'!$A56, LS_previous!$B$4:$AY$138,LS_previous!AK$149, FALSE))/2)</f>
        <v>145.12883290730576</v>
      </c>
      <c r="V56" s="180">
        <f t="array" ref="V56">IF($G56=0, INDEX(LS_previous!$D$4:$AY$138, MATCH('Staging Table'!$A56, LS_previous!$B$4:$B$138, 0), MATCH(V$4&amp;V$5, LS_previous!$D$2:$AY$2&amp;LS_previous!$D$3:$AY$3, 0)),SUM(VLOOKUP($A56, LS_previous!$B$4:$AY$138, LS_previous!N$149, FALSE), VLOOKUP('Staging Table'!$A56, LS_previous!$B$4:$AY$138,LS_previous!AL$149, FALSE))/2)</f>
        <v>-126.26083512402556</v>
      </c>
      <c r="W56" s="180">
        <f t="array" ref="W56">IF($G56=0, INDEX(LS_previous!$D$4:$AY$138, MATCH('Staging Table'!$A56, LS_previous!$B$4:$B$138, 0), MATCH(W$4&amp;W$5, LS_previous!$D$2:$AY$2&amp;LS_previous!$D$3:$AY$3, 0)),SUM(VLOOKUP($A56, LS_previous!$B$4:$AY$138, LS_previous!O$149, FALSE), VLOOKUP('Staging Table'!$A56, LS_previous!$B$4:$AY$138,LS_previous!AM$149, FALSE))/2)</f>
        <v>9.2870778899780362</v>
      </c>
      <c r="X56" s="180">
        <f t="array" ref="X56">IF($G56=0, INDEX(LS_previous!$D$4:$AY$138, MATCH('Staging Table'!$A56, LS_previous!$B$4:$B$138, 0), MATCH(X$4&amp;X$5, LS_previous!$D$2:$AY$2&amp;LS_previous!$D$3:$AY$3, 0)),SUM(VLOOKUP($A56, LS_previous!$B$4:$AY$138, LS_previous!P$149, FALSE), VLOOKUP('Staging Table'!$A56, LS_previous!$B$4:$AY$138,LS_previous!AN$149, FALSE))/2)</f>
        <v>168.69616282937432</v>
      </c>
      <c r="Y56" s="180">
        <f t="array" ref="Y56">IF($G56=0, INDEX(LS_previous!$D$4:$AY$138, MATCH('Staging Table'!$A56, LS_previous!$B$4:$B$138, 0), MATCH(Y$4&amp;Y$5, LS_previous!$D$2:$AY$2&amp;LS_previous!$D$3:$AY$3, 0)),SUM(VLOOKUP($A56, LS_previous!$B$4:$AY$138, LS_previous!Q$149, FALSE), VLOOKUP('Staging Table'!$A56, LS_previous!$B$4:$AY$138,LS_previous!AO$149, FALSE))/2)</f>
        <v>96.481116998529046</v>
      </c>
      <c r="Z56" s="180">
        <f t="array" ref="Z56">IF($G56=0, INDEX(LS_previous!$D$4:$AY$138, MATCH('Staging Table'!$A56, LS_previous!$B$4:$B$138, 0), MATCH(Z$4&amp;Z$5, LS_previous!$D$2:$AY$2&amp;LS_previous!$D$3:$AY$3, 0)),SUM(VLOOKUP($A56, LS_previous!$B$4:$AY$138, LS_previous!R$149, FALSE), VLOOKUP('Staging Table'!$A56, LS_previous!$B$4:$AY$138,LS_previous!AP$149, FALSE))/2)</f>
        <v>309.35646899372523</v>
      </c>
      <c r="AA56" s="180">
        <f t="array" ref="AA56">IF($G56=0, INDEX(LS_previous!$D$4:$AY$138, MATCH('Staging Table'!$A56, LS_previous!$B$4:$B$138, 0), MATCH(AA$4&amp;AA$5, LS_previous!$D$2:$AY$2&amp;LS_previous!$D$3:$AY$3, 0)),SUM(VLOOKUP($A56, LS_previous!$B$4:$AY$138, LS_previous!S$149, FALSE), VLOOKUP('Staging Table'!$A56, LS_previous!$B$4:$AY$138,LS_previous!AQ$149, FALSE))/2)</f>
        <v>378.18083654182726</v>
      </c>
      <c r="AB56" s="180">
        <f t="array" ref="AB56">IF($G56=0, INDEX(LS_previous!$D$4:$AY$138, MATCH('Staging Table'!$A56, LS_previous!$B$4:$B$138, 0), MATCH(AB$4&amp;AB$5, LS_previous!$D$2:$AY$2&amp;LS_previous!$D$3:$AY$3, 0)),SUM(VLOOKUP($A56, LS_previous!$B$4:$AY$138, LS_previous!T$149, FALSE), VLOOKUP('Staging Table'!$A56, LS_previous!$B$4:$AY$138,LS_previous!AR$149, FALSE))/2)</f>
        <v>625.05002663355958</v>
      </c>
      <c r="AC56" s="180">
        <f t="array" ref="AC56">IF($G56=0, INDEX(LS_previous!$D$4:$AY$138, MATCH('Staging Table'!$A56, LS_previous!$B$4:$B$138, 0), MATCH(AC$4&amp;AC$5, LS_previous!$D$2:$AY$2&amp;LS_previous!$D$3:$AY$3, 0)),SUM(VLOOKUP($A56, LS_previous!$B$4:$AY$138, LS_previous!U$149, FALSE), VLOOKUP('Staging Table'!$A56, LS_previous!$B$4:$AY$138,LS_previous!AS$149, FALSE))/2)</f>
        <v>761.4678865678037</v>
      </c>
      <c r="AD56" s="180">
        <f t="array" ref="AD56">IF($G56=0, INDEX(LS_previous!$D$4:$AY$138, MATCH('Staging Table'!$A56, LS_previous!$B$4:$B$138, 0), MATCH(AD$4&amp;AD$5, LS_previous!$D$2:$AY$2&amp;LS_previous!$D$3:$AY$3, 0)),SUM(VLOOKUP($A56, LS_previous!$B$4:$AY$138, LS_previous!V$149, FALSE), VLOOKUP('Staging Table'!$A56, LS_previous!$B$4:$AY$138,LS_previous!AT$149, FALSE))/2)</f>
        <v>919.23239251360906</v>
      </c>
      <c r="AE56" s="180">
        <f t="array" ref="AE56">IF($G56=0, INDEX(LS_previous!$D$4:$AY$138, MATCH('Staging Table'!$A56, LS_previous!$B$4:$B$138, 0), MATCH(AE$4&amp;AE$5, LS_previous!$D$2:$AY$2&amp;LS_previous!$D$3:$AY$3, 0)),SUM(VLOOKUP($A56, LS_previous!$B$4:$AY$138, LS_previous!W$149, FALSE), VLOOKUP('Staging Table'!$A56, LS_previous!$B$4:$AY$138,LS_previous!AU$149, FALSE))/2)</f>
        <v>776.21620684954257</v>
      </c>
      <c r="AF56" s="180">
        <f t="array" ref="AF56">IF($G56=0, INDEX(LS_previous!$D$4:$AY$138, MATCH('Staging Table'!$A56, LS_previous!$B$4:$B$138, 0), MATCH(AF$4&amp;AF$5, LS_previous!$D$2:$AY$2&amp;LS_previous!$D$3:$AY$3, 0)),SUM(VLOOKUP($A56, LS_previous!$B$4:$AY$138, LS_previous!X$149, FALSE), VLOOKUP('Staging Table'!$A56, LS_previous!$B$4:$AY$138,LS_previous!AV$149, FALSE))/2)</f>
        <v>832.14789201924282</v>
      </c>
      <c r="AG56" s="180">
        <f t="array" ref="AG56">IF($G56=0, INDEX(LS_previous!$D$4:$AY$138, MATCH('Staging Table'!$A56, LS_previous!$B$4:$B$138, 0), MATCH(AG$4&amp;AG$5, LS_previous!$D$2:$AY$2&amp;LS_previous!$D$3:$AY$3, 0)),SUM(VLOOKUP($A56, LS_previous!$B$4:$AY$138, LS_previous!Y$149, FALSE), VLOOKUP('Staging Table'!$A56, LS_previous!$B$4:$AY$138,LS_previous!AW$149, FALSE))/2)</f>
        <v>560.27843302774204</v>
      </c>
      <c r="AH56" s="180">
        <f t="array" ref="AH56">IF($G56=0, INDEX(LS_previous!$D$4:$AY$138, MATCH('Staging Table'!$A56, LS_previous!$B$4:$B$138, 0), MATCH(AH$4&amp;AH$5, LS_previous!$D$2:$AY$2&amp;LS_previous!$D$3:$AY$3, 0)),SUM(VLOOKUP($A56, LS_previous!$B$4:$AY$138, LS_previous!Z$149, FALSE), VLOOKUP('Staging Table'!$A56, LS_previous!$B$4:$AY$138,LS_previous!AX$149, FALSE))/2)</f>
        <v>169.99785986651955</v>
      </c>
      <c r="AI56" s="180">
        <f t="array" ref="AI56">IF($G56=0, INDEX(LS_previous!$D$4:$AY$138, MATCH('Staging Table'!$A56, LS_previous!$B$4:$B$138, 0), MATCH(AI$4&amp;AI$5, LS_previous!$D$2:$AY$2&amp;LS_previous!$D$3:$AY$3, 0)),SUM(VLOOKUP($A56, LS_previous!$B$4:$AY$138, LS_previous!AA$149, FALSE), VLOOKUP('Staging Table'!$A56, LS_previous!$B$4:$AY$138,LS_previous!AY$149, FALSE))/2)</f>
        <v>258.03687295978534</v>
      </c>
      <c r="AJ56" s="298">
        <f t="array" ref="AJ56">INDEX(Demand_previous!$D$4:$AY$138, MATCH('Staging Table'!$A56, Demand_previous!$B$4:$B$138, 0), MATCH(AJ$4&amp;AJ$5,Demand_previous!$D$2:$AY$2&amp;Demand_previous!$D$3:$AY$3, 0))/1000</f>
        <v>0.61271874999999998</v>
      </c>
      <c r="AK56" s="298">
        <f t="array" ref="AK56">INDEX(Demand_previous!$D$4:$AY$138, MATCH('Staging Table'!$A56, Demand_previous!$B$4:$B$138, 0), MATCH(AK$4&amp;AK$5,Demand_previous!$D$2:$AY$2&amp;Demand_previous!$D$3:$AY$3, 0))/1000</f>
        <v>0.1858000000000003</v>
      </c>
      <c r="AL56" s="298">
        <f t="array" ref="AL56">INDEX(Demand_previous!$D$4:$AY$138, MATCH('Staging Table'!$A56, Demand_previous!$B$4:$B$138, 0), MATCH(AL$4&amp;AL$5,Demand_previous!$D$2:$AY$2&amp;Demand_previous!$D$3:$AY$3, 0))/1000</f>
        <v>0.7664471153846153</v>
      </c>
      <c r="AM56" s="298">
        <f t="array" ref="AM56">INDEX(Demand_previous!$D$4:$AY$138, MATCH('Staging Table'!$A56, Demand_previous!$B$4:$B$138, 0), MATCH(AM$4&amp;AM$5,Demand_previous!$D$2:$AY$2&amp;Demand_previous!$D$3:$AY$3, 0))/1000</f>
        <v>0.56924500000000022</v>
      </c>
      <c r="AN56" s="298">
        <f t="array" ref="AN56">INDEX(Demand_previous!$D$4:$AY$138, MATCH('Staging Table'!$A56, Demand_previous!$B$4:$B$138, 0), MATCH(AN$4&amp;AN$5,Demand_previous!$D$2:$AY$2&amp;Demand_previous!$D$3:$AY$3, 0))/1000</f>
        <v>0.15441145833333336</v>
      </c>
      <c r="AO56" s="298">
        <f t="array" ref="AO56">INDEX(Demand_previous!$D$4:$AY$138, MATCH('Staging Table'!$A56, Demand_previous!$B$4:$B$138, 0), MATCH(AO$4&amp;AO$5,Demand_previous!$D$2:$AY$2&amp;Demand_previous!$D$3:$AY$3, 0))/1000</f>
        <v>0.51352083333333298</v>
      </c>
      <c r="AP56" s="298">
        <f t="array" ref="AP56">INDEX(Demand_previous!$D$4:$AY$138, MATCH('Staging Table'!$A56, Demand_previous!$B$4:$B$138, 0), MATCH(AP$4&amp;AP$5,Demand_previous!$D$2:$AY$2&amp;Demand_previous!$D$3:$AY$3, 0))/1000</f>
        <v>0.49306490384615387</v>
      </c>
      <c r="AQ56" s="298">
        <f t="array" ref="AQ56">INDEX(Demand_previous!$D$4:$AY$138, MATCH('Staging Table'!$A56, Demand_previous!$B$4:$B$138, 0), MATCH(AQ$4&amp;AQ$5,Demand_previous!$D$2:$AY$2&amp;Demand_previous!$D$3:$AY$3, 0))/1000</f>
        <v>0.31931500000000068</v>
      </c>
      <c r="AR56" s="298">
        <f t="array" ref="AR56">INDEX(Demand_previous!$D$4:$AY$138, MATCH('Staging Table'!$A56, Demand_previous!$B$4:$B$138, 0), MATCH(AR$4&amp;AR$5,Demand_previous!$D$2:$AY$2&amp;Demand_previous!$D$3:$AY$3, 0))/1000</f>
        <v>0.88087259615384572</v>
      </c>
      <c r="AS56" s="298">
        <f t="array" ref="AS56">INDEX(Demand_previous!$D$4:$AY$138, MATCH('Staging Table'!$A56, Demand_previous!$B$4:$B$138, 0), MATCH(AS$4&amp;AS$5,Demand_previous!$D$2:$AY$2&amp;Demand_previous!$D$3:$AY$3, 0))/1000</f>
        <v>0.78746499999999908</v>
      </c>
      <c r="AT56" s="298">
        <f t="array" ref="AT56">INDEX(Demand_previous!$D$4:$AY$138, MATCH('Staging Table'!$A56, Demand_previous!$B$4:$B$138, 0), MATCH(AT$4&amp;AT$5,Demand_previous!$D$2:$AY$2&amp;Demand_previous!$D$3:$AY$3, 0))/1000</f>
        <v>0.87580787037037067</v>
      </c>
      <c r="AU56" s="298">
        <f t="array" ref="AU56">INDEX(Demand_previous!$D$4:$AY$138, MATCH('Staging Table'!$A56, Demand_previous!$B$4:$B$138, 0), MATCH(AU$4&amp;AU$5,Demand_previous!$D$2:$AY$2&amp;Demand_previous!$D$3:$AY$3, 0))/1000</f>
        <v>0.58955500000000005</v>
      </c>
      <c r="AV56" s="180">
        <f>$F56*(VLOOKUP(AV$4, Rates_previous!$G$6:$Q$29, 10, FALSE)+VLOOKUP(AV$4, Rates_previous!$G$6:$Q$29, 11, FALSE))</f>
        <v>1732.7682421003215</v>
      </c>
      <c r="AW56" s="180">
        <f>$F56*(VLOOKUP(AW$4, Rates_previous!$G$6:$Q$29, 10, FALSE)+VLOOKUP(AW$4, Rates_previous!$G$6:$Q$29, 11, FALSE))</f>
        <v>2193.7474809860582</v>
      </c>
      <c r="AX56" s="180">
        <f>$F56*(VLOOKUP(AX$4, Rates_previous!$G$6:$Q$29, 10, FALSE)+VLOOKUP(AX$4, Rates_previous!$G$6:$Q$29, 11, FALSE))</f>
        <v>2147.2405099589823</v>
      </c>
      <c r="AY56" s="180">
        <f>$F56*(VLOOKUP(AY$4, Rates_previous!$G$6:$Q$29, 10, FALSE)+VLOOKUP(AY$4, Rates_previous!$G$6:$Q$29, 11, FALSE))</f>
        <v>1773.5293501629135</v>
      </c>
      <c r="AZ56" s="180">
        <f>$F56*(VLOOKUP(AZ$4, Rates_previous!$G$6:$Q$29, 10, FALSE)+VLOOKUP(AZ$4, Rates_previous!$G$6:$Q$29, 11, FALSE))</f>
        <v>1537.1567583854655</v>
      </c>
      <c r="BA56" s="180">
        <f>$F56*(VLOOKUP(BA$4, Rates_previous!$G$6:$Q$29, 10, FALSE)+VLOOKUP(BA$4, Rates_previous!$G$6:$Q$29, 11, FALSE))</f>
        <v>1835.0547572340477</v>
      </c>
      <c r="BB56" s="180">
        <f>$F56*(VLOOKUP(BB$4, Rates_previous!$G$6:$Q$29, 10, FALSE)+VLOOKUP(BB$4, Rates_previous!$G$6:$Q$29, 11, FALSE))</f>
        <v>1424.6757201720966</v>
      </c>
      <c r="BC56" s="180">
        <f>$F56*(VLOOKUP(BC$4, Rates_previous!$G$6:$Q$29, 10, FALSE)+VLOOKUP(BC$4, Rates_previous!$G$6:$Q$29, 11, FALSE))</f>
        <v>1973.8986944644473</v>
      </c>
      <c r="BD56" s="180">
        <f>$F56*(VLOOKUP(BD$4, Rates_previous!$G$6:$Q$29, 10, FALSE)+VLOOKUP(BD$4, Rates_previous!$G$6:$Q$29, 11, FALSE))</f>
        <v>2109.1520867986364</v>
      </c>
      <c r="BE56" s="180">
        <f>$F56*(VLOOKUP(BE$4, Rates_previous!$G$6:$Q$29, 10, FALSE)+VLOOKUP(BE$4, Rates_previous!$G$6:$Q$29, 11, FALSE))</f>
        <v>2002.5444006368489</v>
      </c>
      <c r="BF56" s="180">
        <f>$F56*(VLOOKUP(BF$4, Rates_previous!$G$6:$Q$29, 10, FALSE)+VLOOKUP(BF$4, Rates_previous!$G$6:$Q$29, 11, FALSE))</f>
        <v>1935.3046749530149</v>
      </c>
      <c r="BG56" s="180">
        <f>$F56*(VLOOKUP(BG$4, Rates_previous!$G$6:$Q$29, 10, FALSE)+VLOOKUP(BG$4, Rates_previous!$G$6:$Q$29, 11, FALSE))</f>
        <v>1788.423267173695</v>
      </c>
      <c r="BH56" s="298">
        <f>IF($D56=0,IF(C56=0, MAX(BJ56 - (VLOOKUP($A56,TOCA_previous!$A$2:$AI$137,MATCH("RHWM 2022",TOCA_previous!$A$2:$AI$2,0),FALSE)*$F$2*TOCA_previous!C53),0),0), 0)</f>
        <v>6659.9381485934719</v>
      </c>
      <c r="BI56" s="192">
        <f>MIN(VLOOKUP($A56,TOCA_previous!$A$2:$AI$137,MATCH("TRL - NLSL - Existing Resource "&amp;$F$1,TOCA_previous!$A$2:$AI$2,0),FALSE)*$F$2,(VLOOKUP($A56,TOCA_previous!$A$2:$AI$137,MATCH("RHWM 2022",TOCA_previous!$A$2:$AI$2,0),FALSE)*$F$2))</f>
        <v>22451.88</v>
      </c>
      <c r="BJ56" s="402">
        <f>SUM(L56:AI56)+(F56*RT1SC!$C$3*$F$2)</f>
        <v>29111.818148593473</v>
      </c>
      <c r="BK56" s="401">
        <f>VLOOKUP($A56,TOCA_previous!$A$2:$AI$137,MATCH("Above RHWM Not Served with LS "&amp;$F$1,TOCA_previous!$A$2:$AI$2,0),FALSE)*$F$2</f>
        <v>0</v>
      </c>
      <c r="BL56" s="402">
        <f t="shared" si="8"/>
        <v>6659.9381485934719</v>
      </c>
      <c r="BM56" s="401">
        <f>(VLOOKUP($A56,TOCA_previous!$A$2:$AI$137,MATCH("RHWM 2022",TOCA_previous!$A$2:$AI$2,0),FALSE)*$F$2) - $BI56</f>
        <v>0</v>
      </c>
      <c r="BN56" s="402">
        <f t="shared" si="9"/>
        <v>0</v>
      </c>
      <c r="BO56" s="401">
        <f t="shared" si="10"/>
        <v>0</v>
      </c>
      <c r="BP56" s="402">
        <f t="shared" si="11"/>
        <v>0</v>
      </c>
      <c r="BQ56" s="401">
        <f t="shared" si="18"/>
        <v>0</v>
      </c>
      <c r="BR56" s="108">
        <f>VLOOKUP($A56,TOCA_current!$A$2:$AI$137,MATCH(BR$4,TOCA_current!$A$2:$AI$2,0),FALSE)</f>
        <v>3.8039999999999998E-4</v>
      </c>
      <c r="BS56" s="108">
        <f>VLOOKUP($A56,TOCA_current!$A$2:$AI$137,MATCH(BS$4,TOCA_current!$A$2:$AI$2,0),FALSE)</f>
        <v>3.8039999999999998E-4</v>
      </c>
      <c r="BT56" s="189">
        <f t="shared" si="12"/>
        <v>0</v>
      </c>
      <c r="BU56" s="108">
        <f>VLOOKUP($A56,TOCA_current!A52:BG187,MATCH(BU$4,TOCA_current!$A$2:$BG$2,0),FALSE)</f>
        <v>3.0833643468552292E-2</v>
      </c>
      <c r="BV56" s="108">
        <f t="shared" si="19"/>
        <v>0</v>
      </c>
      <c r="BW56" s="108">
        <f t="shared" si="20"/>
        <v>0</v>
      </c>
      <c r="BX56" s="179">
        <f>VLOOKUP($A56,IRD!$A$4:$G$139, 7, FALSE)</f>
        <v>5769.4840000000004</v>
      </c>
      <c r="BY56" s="180">
        <f t="array" ref="BY56">IF($BT56=0, INDEX(LS_current!$D$4:$AY$138, MATCH('Staging Table'!$A56, LS_current!$B$4:$B$138, 0), MATCH(BY$4&amp;BY$5, LS_current!$D$2:$AY$2&amp;LS_current!$D$3:$AY$3, 0)),SUM(VLOOKUP($A56, LS_current!$B$4:$AY$138, LS_current!D$148, FALSE), VLOOKUP($A56, LS_current!$B$4:$AY$138,LS_current!AB$148, FALSE))/2)</f>
        <v>94.127288705599995</v>
      </c>
      <c r="BZ56" s="180">
        <f t="array" ref="BZ56">IF($BT56=0, INDEX(LS_current!$D$4:$AY$138, MATCH('Staging Table'!$A56, LS_current!$B$4:$B$138, 0), MATCH(BZ$4&amp;BZ$5, LS_current!$D$2:$AY$2&amp;LS_current!$D$3:$AY$3, 0)),SUM(VLOOKUP($A56, LS_current!$B$4:$AY$138, LS_current!E$148, FALSE), VLOOKUP($A56, LS_current!$B$4:$AY$138,LS_current!AC$148, FALSE))/2)</f>
        <v>86.953760419800005</v>
      </c>
      <c r="CA56" s="180">
        <f t="array" ref="CA56">IF($BT56=0, INDEX(LS_current!$D$4:$AY$138, MATCH('Staging Table'!$A56, LS_current!$B$4:$B$138, 0), MATCH(CA$4&amp;CA$5, LS_current!$D$2:$AY$2&amp;LS_current!$D$3:$AY$3, 0)),SUM(VLOOKUP($A56, LS_current!$B$4:$AY$138, LS_current!F$148, FALSE), VLOOKUP($A56, LS_current!$B$4:$AY$138,LS_current!AD$148, FALSE))/2)</f>
        <v>-244.53097957120008</v>
      </c>
      <c r="CB56" s="180">
        <f t="array" ref="CB56">IF($BT56=0, INDEX(LS_current!$D$4:$AY$138, MATCH('Staging Table'!$A56, LS_current!$B$4:$B$138, 0), MATCH(CB$4&amp;CB$5, LS_current!$D$2:$AY$2&amp;LS_current!$D$3:$AY$3, 0)),SUM(VLOOKUP($A56, LS_current!$B$4:$AY$138, LS_current!G$148, FALSE), VLOOKUP($A56, LS_current!$B$4:$AY$138,LS_current!AE$148, FALSE))/2)</f>
        <v>-66.47423123240003</v>
      </c>
      <c r="CC56" s="180">
        <f t="array" ref="CC56">IF($BT56=0, INDEX(LS_current!$D$4:$AY$138, MATCH('Staging Table'!$A56, LS_current!$B$4:$B$138, 0), MATCH(CC$4&amp;CC$5, LS_current!$D$2:$AY$2&amp;LS_current!$D$3:$AY$3, 0)),SUM(VLOOKUP($A56, LS_current!$B$4:$AY$138, LS_current!H$148, FALSE), VLOOKUP($A56, LS_current!$B$4:$AY$138,LS_current!AF$148, FALSE))/2)</f>
        <v>17.613224884400097</v>
      </c>
      <c r="CD56" s="180">
        <f t="array" ref="CD56">IF($BT56=0, INDEX(LS_current!$D$4:$AY$138, MATCH('Staging Table'!$A56, LS_current!$B$4:$B$138, 0), MATCH(CD$4&amp;CD$5, LS_current!$D$2:$AY$2&amp;LS_current!$D$3:$AY$3, 0)),SUM(VLOOKUP($A56, LS_current!$B$4:$AY$138, LS_current!I$148, FALSE), VLOOKUP($A56, LS_current!$B$4:$AY$138,LS_current!AG$148, FALSE))/2)</f>
        <v>194.99199804160014</v>
      </c>
      <c r="CE56" s="180">
        <f t="array" ref="CE56">IF($BT56=0, INDEX(LS_current!$D$4:$AY$138, MATCH('Staging Table'!$A56, LS_current!$B$4:$B$138, 0), MATCH(CE$4&amp;CE$5, LS_current!$D$2:$AY$2&amp;LS_current!$D$3:$AY$3, 0)),SUM(VLOOKUP($A56, LS_current!$B$4:$AY$138, LS_current!J$148, FALSE), VLOOKUP($A56, LS_current!$B$4:$AY$138,LS_current!AH$148, FALSE))/2)</f>
        <v>-28.755128386000024</v>
      </c>
      <c r="CF56" s="180">
        <f t="array" ref="CF56">IF($BT56=0, INDEX(LS_current!$D$4:$AY$138, MATCH('Staging Table'!$A56, LS_current!$B$4:$B$138, 0), MATCH(CF$4&amp;CF$5, LS_current!$D$2:$AY$2&amp;LS_current!$D$3:$AY$3, 0)),SUM(VLOOKUP($A56, LS_current!$B$4:$AY$138, LS_current!K$148, FALSE), VLOOKUP($A56, LS_current!$B$4:$AY$138,LS_current!AI$148, FALSE))/2)</f>
        <v>147.73529376839997</v>
      </c>
      <c r="CG56" s="180">
        <f t="array" ref="CG56">IF($BT56=0, INDEX(LS_current!$D$4:$AY$138, MATCH('Staging Table'!$A56, LS_current!$B$4:$B$138, 0), MATCH(CG$4&amp;CG$5, LS_current!$D$2:$AY$2&amp;LS_current!$D$3:$AY$3, 0)),SUM(VLOOKUP($A56, LS_current!$B$4:$AY$138, LS_current!L$148, FALSE), VLOOKUP($A56, LS_current!$B$4:$AY$138,LS_current!AJ$148, FALSE))/2)</f>
        <v>-97.33243237159968</v>
      </c>
      <c r="CH56" s="180">
        <f t="array" ref="CH56">IF($BT56=0, INDEX(LS_current!$D$4:$AY$138, MATCH('Staging Table'!$A56, LS_current!$B$4:$B$138, 0), MATCH(CH$4&amp;CH$5, LS_current!$D$2:$AY$2&amp;LS_current!$D$3:$AY$3, 0)),SUM(VLOOKUP($A56, LS_current!$B$4:$AY$138, LS_current!M$148, FALSE), VLOOKUP($A56, LS_current!$B$4:$AY$138,LS_current!AK$148, FALSE))/2)</f>
        <v>70.45129479640002</v>
      </c>
      <c r="CI56" s="180">
        <f t="array" ref="CI56">IF($BT56=0, INDEX(LS_current!$D$4:$AY$138, MATCH('Staging Table'!$A56, LS_current!$B$4:$B$138, 0), MATCH(CI$4&amp;CI$5, LS_current!$D$2:$AY$2&amp;LS_current!$D$3:$AY$3, 0)),SUM(VLOOKUP($A56, LS_current!$B$4:$AY$138, LS_current!N$148, FALSE), VLOOKUP($A56, LS_current!$B$4:$AY$138,LS_current!AL$148, FALSE))/2)</f>
        <v>-311.6302305851998</v>
      </c>
      <c r="CJ56" s="180">
        <f t="array" ref="CJ56">IF($BT56=0, INDEX(LS_current!$D$4:$AY$138, MATCH('Staging Table'!$A56, LS_current!$B$4:$B$138, 0), MATCH(CJ$4&amp;CJ$5, LS_current!$D$2:$AY$2&amp;LS_current!$D$3:$AY$3, 0)),SUM(VLOOKUP($A56, LS_current!$B$4:$AY$138, LS_current!O$148, FALSE), VLOOKUP($A56, LS_current!$B$4:$AY$138,LS_current!AM$148, FALSE))/2)</f>
        <v>-125.76484435119994</v>
      </c>
      <c r="CK56" s="180">
        <f t="array" ref="CK56">IF($BT56=0, INDEX(LS_current!$D$4:$AY$138, MATCH('Staging Table'!$A56, LS_current!$B$4:$B$138, 0), MATCH(CK$4&amp;CK$5, LS_current!$D$2:$AY$2&amp;LS_current!$D$3:$AY$3, 0)),SUM(VLOOKUP($A56, LS_current!$B$4:$AY$138, LS_current!P$148, FALSE), VLOOKUP($A56, LS_current!$B$4:$AY$138,LS_current!AN$148, FALSE))/2)</f>
        <v>11.025081439000132</v>
      </c>
      <c r="CL56" s="180">
        <f t="array" ref="CL56">IF($BT56=0, INDEX(LS_current!$D$4:$AY$138, MATCH('Staging Table'!$A56, LS_current!$B$4:$B$138, 0), MATCH(CL$4&amp;CL$5, LS_current!$D$2:$AY$2&amp;LS_current!$D$3:$AY$3, 0)),SUM(VLOOKUP($A56, LS_current!$B$4:$AY$138, LS_current!Q$148, FALSE), VLOOKUP($A56, LS_current!$B$4:$AY$138,LS_current!AO$148, FALSE))/2)</f>
        <v>-22.557200849699825</v>
      </c>
      <c r="CM56" s="180">
        <f t="array" ref="CM56">IF($BT56=0, INDEX(LS_current!$D$4:$AY$138, MATCH('Staging Table'!$A56, LS_current!$B$4:$B$138, 0), MATCH(CM$4&amp;CM$5, LS_current!$D$2:$AY$2&amp;LS_current!$D$3:$AY$3, 0)),SUM(VLOOKUP($A56, LS_current!$B$4:$AY$138, LS_current!R$148, FALSE), VLOOKUP($A56, LS_current!$B$4:$AY$138,LS_current!AP$148, FALSE))/2)</f>
        <v>356.83487102079994</v>
      </c>
      <c r="CN56" s="180">
        <f t="array" ref="CN56">IF($BT56=0, INDEX(LS_current!$D$4:$AY$138, MATCH('Staging Table'!$A56, LS_current!$B$4:$B$138, 0), MATCH(CN$4&amp;CN$5, LS_current!$D$2:$AY$2&amp;LS_current!$D$3:$AY$3, 0)),SUM(VLOOKUP($A56, LS_current!$B$4:$AY$138, LS_current!S$148, FALSE), VLOOKUP($A56, LS_current!$B$4:$AY$138,LS_current!AQ$148, FALSE))/2)</f>
        <v>193.80489210660005</v>
      </c>
      <c r="CO56" s="180">
        <f t="array" ref="CO56">IF($BT56=0, INDEX(LS_current!$D$4:$AY$138, MATCH('Staging Table'!$A56, LS_current!$B$4:$B$138, 0), MATCH(CO$4&amp;CO$5, LS_current!$D$2:$AY$2&amp;LS_current!$D$3:$AY$3, 0)),SUM(VLOOKUP($A56, LS_current!$B$4:$AY$138, LS_current!T$148, FALSE), VLOOKUP($A56, LS_current!$B$4:$AY$138,LS_current!AR$148, FALSE))/2)</f>
        <v>774.91398494960026</v>
      </c>
      <c r="CP56" s="180">
        <f t="array" ref="CP56">IF($BT56=0, INDEX(LS_current!$D$4:$AY$138, MATCH('Staging Table'!$A56, LS_current!$B$4:$B$138, 0), MATCH(CP$4&amp;CP$5, LS_current!$D$2:$AY$2&amp;LS_current!$D$3:$AY$3, 0)),SUM(VLOOKUP($A56, LS_current!$B$4:$AY$138, LS_current!U$148, FALSE), VLOOKUP($A56, LS_current!$B$4:$AY$138,LS_current!AS$148, FALSE))/2)</f>
        <v>564.16076926820006</v>
      </c>
      <c r="CQ56" s="180">
        <f t="array" ref="CQ56">IF($BT56=0, INDEX(LS_current!$D$4:$AY$138, MATCH('Staging Table'!$A56, LS_current!$B$4:$B$138, 0), MATCH(CQ$4&amp;CQ$5, LS_current!$D$2:$AY$2&amp;LS_current!$D$3:$AY$3, 0)),SUM(VLOOKUP($A56, LS_current!$B$4:$AY$138, LS_current!V$148, FALSE), VLOOKUP($A56, LS_current!$B$4:$AY$138,LS_current!AT$148, FALSE))/2)</f>
        <v>1086.3151169744001</v>
      </c>
      <c r="CR56" s="180">
        <f t="array" ref="CR56">IF($BT56=0, INDEX(LS_current!$D$4:$AY$138, MATCH('Staging Table'!$A56, LS_current!$B$4:$B$138, 0), MATCH(CR$4&amp;CR$5, LS_current!$D$2:$AY$2&amp;LS_current!$D$3:$AY$3, 0)),SUM(VLOOKUP($A56, LS_current!$B$4:$AY$138, LS_current!W$148, FALSE), VLOOKUP($A56, LS_current!$B$4:$AY$138,LS_current!AU$148, FALSE))/2)</f>
        <v>739.44251249900014</v>
      </c>
      <c r="CS56" s="180">
        <f t="array" ref="CS56">IF($BT56=0, INDEX(LS_current!$D$4:$AY$138, MATCH('Staging Table'!$A56, LS_current!$B$4:$B$138, 0), MATCH(CS$4&amp;CS$5, LS_current!$D$2:$AY$2&amp;LS_current!$D$3:$AY$3, 0)),SUM(VLOOKUP($A56, LS_current!$B$4:$AY$138, LS_current!X$148, FALSE), VLOOKUP($A56, LS_current!$B$4:$AY$138,LS_current!AV$148, FALSE))/2)</f>
        <v>987.30141876139987</v>
      </c>
      <c r="CT56" s="180">
        <f t="array" ref="CT56">IF($BT56=0, INDEX(LS_current!$D$4:$AY$138, MATCH('Staging Table'!$A56, LS_current!$B$4:$B$138, 0), MATCH(CT$4&amp;CT$5, LS_current!$D$2:$AY$2&amp;LS_current!$D$3:$AY$3, 0)),SUM(VLOOKUP($A56, LS_current!$B$4:$AY$138, LS_current!Y$148, FALSE), VLOOKUP($A56, LS_current!$B$4:$AY$138,LS_current!AW$148, FALSE))/2)</f>
        <v>530.47563442505998</v>
      </c>
      <c r="CU56" s="180">
        <f t="array" ref="CU56">IF($BT56=0, INDEX(LS_current!$D$4:$AY$138, MATCH('Staging Table'!$A56, LS_current!$B$4:$B$138, 0), MATCH(CU$4&amp;CU$5, LS_current!$D$2:$AY$2&amp;LS_current!$D$3:$AY$3, 0)),SUM(VLOOKUP($A56, LS_current!$B$4:$AY$138, LS_current!Z$148, FALSE), VLOOKUP($A56, LS_current!$B$4:$AY$138,LS_current!AX$148, FALSE))/2)</f>
        <v>316.65548057039996</v>
      </c>
      <c r="CV56" s="180">
        <f t="array" ref="CV56">IF($BT56=0, INDEX(LS_current!$D$4:$AY$138, MATCH('Staging Table'!$A56, LS_current!$B$4:$B$138, 0), MATCH(CV$4&amp;CV$5, LS_current!$D$2:$AY$2&amp;LS_current!$D$3:$AY$3, 0)),SUM(VLOOKUP($A56, LS_current!$B$4:$AY$138, LS_current!AA$148, FALSE), VLOOKUP($A56, LS_current!$B$4:$AY$138,LS_current!AY$148, FALSE))/2)</f>
        <v>234.29439283840009</v>
      </c>
      <c r="CW56" s="182">
        <f t="array" ref="CW56">INDEX(Demand_current!$D$4:$AY$138, MATCH($A56, Demand_current!$B$4:$B$138, 0), MATCH(CW$4&amp;CW$5,Demand_current!$D$2:$AY$2&amp;Demand_current!$D$3:$AY$3, 0))/1000</f>
        <v>0.61271874999999998</v>
      </c>
      <c r="CX56" s="182">
        <f t="array" ref="CX56">INDEX(Demand_current!$D$4:$AY$138, MATCH($A56, Demand_current!$B$4:$B$138, 0), MATCH(CX$4&amp;CX$5,Demand_current!$D$2:$AY$2&amp;Demand_current!$D$3:$AY$3, 0))/1000</f>
        <v>0.1858000000000003</v>
      </c>
      <c r="CY56" s="182">
        <f t="array" ref="CY56">INDEX(Demand_current!$D$4:$AY$138, MATCH($A56, Demand_current!$B$4:$B$138, 0), MATCH(CY$4&amp;CY$5,Demand_current!$D$2:$AY$2&amp;Demand_current!$D$3:$AY$3, 0))/1000</f>
        <v>0.63598499999999958</v>
      </c>
      <c r="CZ56" s="182">
        <f t="array" ref="CZ56">INDEX(Demand_current!$D$4:$AY$138, MATCH($A56, Demand_current!$B$4:$B$138, 0), MATCH(CZ$4&amp;CZ$5,Demand_current!$D$2:$AY$2&amp;Demand_current!$D$3:$AY$3, 0))/1000</f>
        <v>0.7031201923076924</v>
      </c>
      <c r="DA56" s="182">
        <f t="array" ref="DA56">INDEX(Demand_current!$D$4:$AY$138, MATCH($A56, Demand_current!$B$4:$B$138, 0), MATCH(DA$4&amp;DA$5,Demand_current!$D$2:$AY$2&amp;Demand_current!$D$3:$AY$3, 0))/1000</f>
        <v>0.2750349999999997</v>
      </c>
      <c r="DB56" s="182">
        <f t="array" ref="DB56">INDEX(Demand_current!$D$4:$AY$138, MATCH($A56, Demand_current!$B$4:$B$138, 0), MATCH(DB$4&amp;DB$5,Demand_current!$D$2:$AY$2&amp;Demand_current!$D$3:$AY$3, 0))/1000</f>
        <v>0.4244254807692307</v>
      </c>
      <c r="DC56" s="182">
        <f t="array" ref="DC56">INDEX(Demand_current!$D$4:$AY$138, MATCH($A56, Demand_current!$B$4:$B$138, 0), MATCH(DC$4&amp;DC$5,Demand_current!$D$2:$AY$2&amp;Demand_current!$D$3:$AY$3, 0))/1000</f>
        <v>0.49306490384615387</v>
      </c>
      <c r="DD56" s="182">
        <f t="array" ref="DD56">INDEX(Demand_current!$D$4:$AY$138, MATCH($A56, Demand_current!$B$4:$B$138, 0), MATCH(DD$4&amp;DD$5,Demand_current!$D$2:$AY$2&amp;Demand_current!$D$3:$AY$3, 0))/1000</f>
        <v>0.47695673076923151</v>
      </c>
      <c r="DE56" s="182">
        <f t="array" ref="DE56">INDEX(Demand_current!$D$4:$AY$138, MATCH($A56, Demand_current!$B$4:$B$138, 0), MATCH(DE$4&amp;DE$5,Demand_current!$D$2:$AY$2&amp;Demand_current!$D$3:$AY$3, 0))/1000</f>
        <v>0.67614750000000012</v>
      </c>
      <c r="DF56" s="182">
        <f t="array" ref="DF56">INDEX(Demand_current!$D$4:$AY$138, MATCH($A56, Demand_current!$B$4:$B$138, 0), MATCH(DF$4&amp;DF$5,Demand_current!$D$2:$AY$2&amp;Demand_current!$D$3:$AY$3, 0))/1000</f>
        <v>1.0041009615384615</v>
      </c>
      <c r="DG56" s="182">
        <f t="array" ref="DG56">INDEX(Demand_current!$D$4:$AY$138, MATCH($A56, Demand_current!$B$4:$B$138, 0), MATCH(DG$4&amp;DG$5,Demand_current!$D$2:$AY$2&amp;Demand_current!$D$3:$AY$3, 0))/1000</f>
        <v>0.87580787037037067</v>
      </c>
      <c r="DH56" s="182">
        <f t="array" ref="DH56">INDEX(Demand_current!$D$4:$AY$138, MATCH($A56, Demand_current!$B$4:$B$138, 0), MATCH(DH$4&amp;DH$5,Demand_current!$D$2:$AY$2&amp;Demand_current!$D$3:$AY$3, 0))/1000</f>
        <v>0.45295312499999985</v>
      </c>
      <c r="DI56" s="180">
        <f>$BS56*(VLOOKUP(DI$4, Rates_current!$G$6:$Q$29, 10, FALSE)+VLOOKUP(DI$4, Rates_current!$G$6:$Q$29, 11, FALSE))</f>
        <v>1604.8329508745999</v>
      </c>
      <c r="DJ56" s="180">
        <f>$BS56*(VLOOKUP(DJ$4, Rates_current!$G$6:$Q$29, 10, FALSE)+VLOOKUP(DJ$4, Rates_current!$G$6:$Q$29, 11, FALSE))</f>
        <v>2046.6912108036001</v>
      </c>
      <c r="DK56" s="180">
        <f>$BS56*(VLOOKUP(DK$4, Rates_current!$G$6:$Q$29, 10, FALSE)+VLOOKUP(DK$4, Rates_current!$G$6:$Q$29, 11, FALSE))</f>
        <v>2208.784777074</v>
      </c>
      <c r="DL56" s="180">
        <f>$BS56*(VLOOKUP(DL$4, Rates_current!$G$6:$Q$29, 10, FALSE)+VLOOKUP(DL$4, Rates_current!$G$6:$Q$29, 11, FALSE))</f>
        <v>2295.2688346175996</v>
      </c>
      <c r="DM56" s="180">
        <f>$BS56*(VLOOKUP(DM$4, Rates_current!$G$6:$Q$29, 10, FALSE)+VLOOKUP(DM$4, Rates_current!$G$6:$Q$29, 11, FALSE))</f>
        <v>1974.2371375751998</v>
      </c>
      <c r="DN56" s="180">
        <f>$BS56*(VLOOKUP(DN$4, Rates_current!$G$6:$Q$29, 10, FALSE)+VLOOKUP(DN$4, Rates_current!$G$6:$Q$29, 11, FALSE))</f>
        <v>2155.4760749364</v>
      </c>
      <c r="DO56" s="180">
        <f>$BS56*(VLOOKUP(DO$4, Rates_current!$G$6:$Q$29, 10, FALSE)+VLOOKUP(DO$4, Rates_current!$G$6:$Q$29, 11, FALSE))</f>
        <v>1701.3851194106996</v>
      </c>
      <c r="DP56" s="180">
        <f>$BS56*(VLOOKUP(DP$4, Rates_current!$G$6:$Q$29, 10, FALSE)+VLOOKUP(DP$4, Rates_current!$G$6:$Q$29, 11, FALSE))</f>
        <v>2110.7962368725998</v>
      </c>
      <c r="DQ56" s="180">
        <f>$BS56*(VLOOKUP(DQ$4, Rates_current!$G$6:$Q$29, 10, FALSE)+VLOOKUP(DQ$4, Rates_current!$G$6:$Q$29, 11, FALSE))</f>
        <v>2156.5952457821995</v>
      </c>
      <c r="DR56" s="180">
        <f>$BS56*(VLOOKUP(DR$4, Rates_current!$G$6:$Q$29, 10, FALSE)+VLOOKUP(DR$4, Rates_current!$G$6:$Q$29, 11, FALSE))</f>
        <v>1872.2353705265998</v>
      </c>
      <c r="DS56" s="180">
        <f>$BS56*(VLOOKUP(DS$4, Rates_current!$G$6:$Q$29, 10, FALSE)+VLOOKUP(DS$4, Rates_current!$G$6:$Q$29, 11, FALSE))</f>
        <v>1809.9539468135401</v>
      </c>
      <c r="DT56" s="180">
        <f>$BS56*(VLOOKUP(DT$4, Rates_current!$G$6:$Q$29, 10, FALSE)+VLOOKUP(DT$4, Rates_current!$G$6:$Q$29, 11, FALSE))</f>
        <v>1665.5081265912002</v>
      </c>
      <c r="DU56" s="402">
        <f>IF(D56=0,IF(C56=0,MAX(0,DW56 - (VLOOKUP($A56,TOCA_current!$A$2:$AI$137,MATCH("RHWM 2024",TOCA_current!$A$2:$AI$2,0),FALSE)*$BS$2)), 0),0)</f>
        <v>5509.2091081857579</v>
      </c>
      <c r="DV56" s="403">
        <f>MIN(VLOOKUP($A56,TOCA_current!$A$2:$AI$137,MATCH("TRL - NLSL - Existing Resource "&amp;$BS$1,TOCA_current!$A$2:$AI$2,0),FALSE)*$BS$2, VLOOKUP($A56,TOCA_current!$A$2:$AI$137,MATCH("RHWM 2024",TOCA_current!$A$2:$AI$2,0),FALSE)*$BS$2)</f>
        <v>23602.608</v>
      </c>
      <c r="DW56" s="403">
        <f>SUM(BY56:CV56)+(BS56*RT1SC!$C$4*$BS$2)</f>
        <v>29111.817108185758</v>
      </c>
      <c r="DX56" s="403">
        <f>VLOOKUP($A56,TOCA_current!$A$2:$AI$137,MATCH("Above RHWM Not Served with LS "&amp;$BS$1,TOCA_current!$A$2:$AI$2,0),FALSE)*$BS$2</f>
        <v>0</v>
      </c>
      <c r="DY56" s="403">
        <f t="shared" si="13"/>
        <v>5509.2091081857579</v>
      </c>
      <c r="DZ56" s="403">
        <f>(VLOOKUP($A56,TOCA_current!$A$2:$AI$137,MATCH("RHWM 2024",TOCA_current!$A$2:$AI$2,0),FALSE)*$BS$2) - $DV56</f>
        <v>0</v>
      </c>
      <c r="EA56" s="403">
        <f t="shared" si="14"/>
        <v>0</v>
      </c>
      <c r="EB56" s="403">
        <f t="shared" si="15"/>
        <v>0</v>
      </c>
      <c r="EC56" s="403">
        <f t="shared" si="16"/>
        <v>0</v>
      </c>
      <c r="ED56" s="403">
        <f t="shared" si="17"/>
        <v>0</v>
      </c>
    </row>
    <row r="57" spans="1:134">
      <c r="A57" s="123">
        <v>10144</v>
      </c>
      <c r="B57" s="124" t="s">
        <v>58</v>
      </c>
      <c r="C57" s="232">
        <f>VLOOKUP(A57, TOCA_current!$A$3:$D$137, 4, FALSE)</f>
        <v>0</v>
      </c>
      <c r="D57" s="191">
        <v>0</v>
      </c>
      <c r="E57" s="107">
        <f>VLOOKUP($A57,TOCA_previous!$A$2:$AI$137,MATCH(E$4,TOCA_previous!$A$2:$AI$2,0),FALSE)</f>
        <v>4.7699999999999999E-4</v>
      </c>
      <c r="F57" s="108">
        <f>VLOOKUP($A57,TOCA_previous!$A$2:$AI$137,MATCH(F$4,TOCA_previous!$A$2:$AI$2,0),FALSE)</f>
        <v>4.7699999999999999E-4</v>
      </c>
      <c r="G57" s="108">
        <f t="shared" si="5"/>
        <v>0</v>
      </c>
      <c r="H57" s="108">
        <f>VLOOKUP($A57,TOCA_previous!$A$2:$AI$137,MATCH(H$4,TOCA_previous!$A$2:$AI$2,0),FALSE)</f>
        <v>0</v>
      </c>
      <c r="I57" s="108">
        <f t="shared" si="6"/>
        <v>0</v>
      </c>
      <c r="J57" s="108">
        <f t="shared" si="7"/>
        <v>0</v>
      </c>
      <c r="K57" s="179">
        <f>VLOOKUP(A57, IRD!$A$5:$C$139, 3, FALSE)</f>
        <v>0</v>
      </c>
      <c r="L57" s="180">
        <f t="array" ref="L57">IF($G57=0, INDEX(LS_previous!$D$4:$AY$138, MATCH('Staging Table'!$A57, LS_previous!$B$4:$B$138, 0), MATCH(L$4&amp;L$5, LS_previous!$D$2:$AY$2&amp;LS_previous!$D$3:$AY$3, 0)),SUM(VLOOKUP($A57, LS_previous!$B$4:$AY$138, LS_previous!D$149, FALSE), VLOOKUP('Staging Table'!$A57, LS_previous!$B$4:$AY$138,LS_previous!AB$149, FALSE))/2)</f>
        <v>25.000043816566631</v>
      </c>
      <c r="M57" s="180">
        <f t="array" ref="M57">IF($G57=0, INDEX(LS_previous!$D$4:$AY$138, MATCH('Staging Table'!$A57, LS_previous!$B$4:$B$138, 0), MATCH(M$4&amp;M$5, LS_previous!$D$2:$AY$2&amp;LS_previous!$D$3:$AY$3, 0)),SUM(VLOOKUP($A57, LS_previous!$B$4:$AY$138, LS_previous!E$149, FALSE), VLOOKUP('Staging Table'!$A57, LS_previous!$B$4:$AY$138,LS_previous!AC$149, FALSE))/2)</f>
        <v>105.4090074794824</v>
      </c>
      <c r="N57" s="180">
        <f t="array" ref="N57">IF($G57=0, INDEX(LS_previous!$D$4:$AY$138, MATCH('Staging Table'!$A57, LS_previous!$B$4:$B$138, 0), MATCH(N$4&amp;N$5, LS_previous!$D$2:$AY$2&amp;LS_previous!$D$3:$AY$3, 0)),SUM(VLOOKUP($A57, LS_previous!$B$4:$AY$138, LS_previous!F$149, FALSE), VLOOKUP('Staging Table'!$A57, LS_previous!$B$4:$AY$138,LS_previous!AD$149, FALSE))/2)</f>
        <v>-79.919846354973515</v>
      </c>
      <c r="O57" s="180">
        <f t="array" ref="O57">IF($G57=0, INDEX(LS_previous!$D$4:$AY$138, MATCH('Staging Table'!$A57, LS_previous!$B$4:$B$138, 0), MATCH(O$4&amp;O$5, LS_previous!$D$2:$AY$2&amp;LS_previous!$D$3:$AY$3, 0)),SUM(VLOOKUP($A57, LS_previous!$B$4:$AY$138, LS_previous!G$149, FALSE), VLOOKUP('Staging Table'!$A57, LS_previous!$B$4:$AY$138,LS_previous!AE$149, FALSE))/2)</f>
        <v>-4.0149760638169028</v>
      </c>
      <c r="P57" s="180">
        <f t="array" ref="P57">IF($G57=0, INDEX(LS_previous!$D$4:$AY$138, MATCH('Staging Table'!$A57, LS_previous!$B$4:$B$138, 0), MATCH(P$4&amp;P$5, LS_previous!$D$2:$AY$2&amp;LS_previous!$D$3:$AY$3, 0)),SUM(VLOOKUP($A57, LS_previous!$B$4:$AY$138, LS_previous!H$149, FALSE), VLOOKUP('Staging Table'!$A57, LS_previous!$B$4:$AY$138,LS_previous!AF$149, FALSE))/2)</f>
        <v>464.14770508135553</v>
      </c>
      <c r="Q57" s="180">
        <f t="array" ref="Q57">IF($G57=0, INDEX(LS_previous!$D$4:$AY$138, MATCH('Staging Table'!$A57, LS_previous!$B$4:$B$138, 0), MATCH(Q$4&amp;Q$5, LS_previous!$D$2:$AY$2&amp;LS_previous!$D$3:$AY$3, 0)),SUM(VLOOKUP($A57, LS_previous!$B$4:$AY$138, LS_previous!I$149, FALSE), VLOOKUP('Staging Table'!$A57, LS_previous!$B$4:$AY$138,LS_previous!AG$149, FALSE))/2)</f>
        <v>285.88224695429631</v>
      </c>
      <c r="R57" s="180">
        <f t="array" ref="R57">IF($G57=0, INDEX(LS_previous!$D$4:$AY$138, MATCH('Staging Table'!$A57, LS_previous!$B$4:$B$138, 0), MATCH(R$4&amp;R$5, LS_previous!$D$2:$AY$2&amp;LS_previous!$D$3:$AY$3, 0)),SUM(VLOOKUP($A57, LS_previous!$B$4:$AY$138, LS_previous!J$149, FALSE), VLOOKUP('Staging Table'!$A57, LS_previous!$B$4:$AY$138,LS_previous!AH$149, FALSE))/2)</f>
        <v>911.99047107840738</v>
      </c>
      <c r="S57" s="180">
        <f t="array" ref="S57">IF($G57=0, INDEX(LS_previous!$D$4:$AY$138, MATCH('Staging Table'!$A57, LS_previous!$B$4:$B$138, 0), MATCH(S$4&amp;S$5, LS_previous!$D$2:$AY$2&amp;LS_previous!$D$3:$AY$3, 0)),SUM(VLOOKUP($A57, LS_previous!$B$4:$AY$138, LS_previous!K$149, FALSE), VLOOKUP('Staging Table'!$A57, LS_previous!$B$4:$AY$138,LS_previous!AI$149, FALSE))/2)</f>
        <v>453.51589809975337</v>
      </c>
      <c r="T57" s="180">
        <f t="array" ref="T57">IF($G57=0, INDEX(LS_previous!$D$4:$AY$138, MATCH('Staging Table'!$A57, LS_previous!$B$4:$B$138, 0), MATCH(T$4&amp;T$5, LS_previous!$D$2:$AY$2&amp;LS_previous!$D$3:$AY$3, 0)),SUM(VLOOKUP($A57, LS_previous!$B$4:$AY$138, LS_previous!L$149, FALSE), VLOOKUP('Staging Table'!$A57, LS_previous!$B$4:$AY$138,LS_previous!AJ$149, FALSE))/2)</f>
        <v>687.03281196674925</v>
      </c>
      <c r="U57" s="180">
        <f t="array" ref="U57">IF($G57=0, INDEX(LS_previous!$D$4:$AY$138, MATCH('Staging Table'!$A57, LS_previous!$B$4:$B$138, 0), MATCH(U$4&amp;U$5, LS_previous!$D$2:$AY$2&amp;LS_previous!$D$3:$AY$3, 0)),SUM(VLOOKUP($A57, LS_previous!$B$4:$AY$138, LS_previous!M$149, FALSE), VLOOKUP('Staging Table'!$A57, LS_previous!$B$4:$AY$138,LS_previous!AK$149, FALSE))/2)</f>
        <v>308.73046858550549</v>
      </c>
      <c r="V57" s="180">
        <f t="array" ref="V57">IF($G57=0, INDEX(LS_previous!$D$4:$AY$138, MATCH('Staging Table'!$A57, LS_previous!$B$4:$B$138, 0), MATCH(V$4&amp;V$5, LS_previous!$D$2:$AY$2&amp;LS_previous!$D$3:$AY$3, 0)),SUM(VLOOKUP($A57, LS_previous!$B$4:$AY$138, LS_previous!N$149, FALSE), VLOOKUP('Staging Table'!$A57, LS_previous!$B$4:$AY$138,LS_previous!AL$149, FALSE))/2)</f>
        <v>204.81267712441468</v>
      </c>
      <c r="W57" s="180">
        <f t="array" ref="W57">IF($G57=0, INDEX(LS_previous!$D$4:$AY$138, MATCH('Staging Table'!$A57, LS_previous!$B$4:$B$138, 0), MATCH(W$4&amp;W$5, LS_previous!$D$2:$AY$2&amp;LS_previous!$D$3:$AY$3, 0)),SUM(VLOOKUP($A57, LS_previous!$B$4:$AY$138, LS_previous!O$149, FALSE), VLOOKUP('Staging Table'!$A57, LS_previous!$B$4:$AY$138,LS_previous!AM$149, FALSE))/2)</f>
        <v>195.01860092909203</v>
      </c>
      <c r="X57" s="180">
        <f t="array" ref="X57">IF($G57=0, INDEX(LS_previous!$D$4:$AY$138, MATCH('Staging Table'!$A57, LS_previous!$B$4:$B$138, 0), MATCH(X$4&amp;X$5, LS_previous!$D$2:$AY$2&amp;LS_previous!$D$3:$AY$3, 0)),SUM(VLOOKUP($A57, LS_previous!$B$4:$AY$138, LS_previous!P$149, FALSE), VLOOKUP('Staging Table'!$A57, LS_previous!$B$4:$AY$138,LS_previous!AN$149, FALSE))/2)</f>
        <v>360.62339729201449</v>
      </c>
      <c r="Y57" s="180">
        <f t="array" ref="Y57">IF($G57=0, INDEX(LS_previous!$D$4:$AY$138, MATCH('Staging Table'!$A57, LS_previous!$B$4:$B$138, 0), MATCH(Y$4&amp;Y$5, LS_previous!$D$2:$AY$2&amp;LS_previous!$D$3:$AY$3, 0)),SUM(VLOOKUP($A57, LS_previous!$B$4:$AY$138, LS_previous!Q$149, FALSE), VLOOKUP('Staging Table'!$A57, LS_previous!$B$4:$AY$138,LS_previous!AO$149, FALSE))/2)</f>
        <v>192.70664995610593</v>
      </c>
      <c r="Z57" s="180">
        <f t="array" ref="Z57">IF($G57=0, INDEX(LS_previous!$D$4:$AY$138, MATCH('Staging Table'!$A57, LS_previous!$B$4:$B$138, 0), MATCH(Z$4&amp;Z$5, LS_previous!$D$2:$AY$2&amp;LS_previous!$D$3:$AY$3, 0)),SUM(VLOOKUP($A57, LS_previous!$B$4:$AY$138, LS_previous!R$149, FALSE), VLOOKUP('Staging Table'!$A57, LS_previous!$B$4:$AY$138,LS_previous!AP$149, FALSE))/2)</f>
        <v>-583.12551455977155</v>
      </c>
      <c r="AA57" s="180">
        <f t="array" ref="AA57">IF($G57=0, INDEX(LS_previous!$D$4:$AY$138, MATCH('Staging Table'!$A57, LS_previous!$B$4:$B$138, 0), MATCH(AA$4&amp;AA$5, LS_previous!$D$2:$AY$2&amp;LS_previous!$D$3:$AY$3, 0)),SUM(VLOOKUP($A57, LS_previous!$B$4:$AY$138, LS_previous!S$149, FALSE), VLOOKUP('Staging Table'!$A57, LS_previous!$B$4:$AY$138,LS_previous!AQ$149, FALSE))/2)</f>
        <v>-154.73786457174344</v>
      </c>
      <c r="AB57" s="180">
        <f t="array" ref="AB57">IF($G57=0, INDEX(LS_previous!$D$4:$AY$138, MATCH('Staging Table'!$A57, LS_previous!$B$4:$B$138, 0), MATCH(AB$4&amp;AB$5, LS_previous!$D$2:$AY$2&amp;LS_previous!$D$3:$AY$3, 0)),SUM(VLOOKUP($A57, LS_previous!$B$4:$AY$138, LS_previous!T$149, FALSE), VLOOKUP('Staging Table'!$A57, LS_previous!$B$4:$AY$138,LS_previous!AR$149, FALSE))/2)</f>
        <v>-806.9989994633172</v>
      </c>
      <c r="AC57" s="180">
        <f t="array" ref="AC57">IF($G57=0, INDEX(LS_previous!$D$4:$AY$138, MATCH('Staging Table'!$A57, LS_previous!$B$4:$B$138, 0), MATCH(AC$4&amp;AC$5, LS_previous!$D$2:$AY$2&amp;LS_previous!$D$3:$AY$3, 0)),SUM(VLOOKUP($A57, LS_previous!$B$4:$AY$138, LS_previous!U$149, FALSE), VLOOKUP('Staging Table'!$A57, LS_previous!$B$4:$AY$138,LS_previous!AS$149, FALSE))/2)</f>
        <v>-90.57688070212248</v>
      </c>
      <c r="AD57" s="180">
        <f t="array" ref="AD57">IF($G57=0, INDEX(LS_previous!$D$4:$AY$138, MATCH('Staging Table'!$A57, LS_previous!$B$4:$B$138, 0), MATCH(AD$4&amp;AD$5, LS_previous!$D$2:$AY$2&amp;LS_previous!$D$3:$AY$3, 0)),SUM(VLOOKUP($A57, LS_previous!$B$4:$AY$138, LS_previous!V$149, FALSE), VLOOKUP('Staging Table'!$A57, LS_previous!$B$4:$AY$138,LS_previous!AT$149, FALSE))/2)</f>
        <v>-581.79585090935234</v>
      </c>
      <c r="AE57" s="180">
        <f t="array" ref="AE57">IF($G57=0, INDEX(LS_previous!$D$4:$AY$138, MATCH('Staging Table'!$A57, LS_previous!$B$4:$B$138, 0), MATCH(AE$4&amp;AE$5, LS_previous!$D$2:$AY$2&amp;LS_previous!$D$3:$AY$3, 0)),SUM(VLOOKUP($A57, LS_previous!$B$4:$AY$138, LS_previous!W$149, FALSE), VLOOKUP('Staging Table'!$A57, LS_previous!$B$4:$AY$138,LS_previous!AU$149, FALSE))/2)</f>
        <v>-190.02917695865494</v>
      </c>
      <c r="AF57" s="180">
        <f t="array" ref="AF57">IF($G57=0, INDEX(LS_previous!$D$4:$AY$138, MATCH('Staging Table'!$A57, LS_previous!$B$4:$B$138, 0), MATCH(AF$4&amp;AF$5, LS_previous!$D$2:$AY$2&amp;LS_previous!$D$3:$AY$3, 0)),SUM(VLOOKUP($A57, LS_previous!$B$4:$AY$138, LS_previous!X$149, FALSE), VLOOKUP('Staging Table'!$A57, LS_previous!$B$4:$AY$138,LS_previous!AV$149, FALSE))/2)</f>
        <v>-465.93561631227635</v>
      </c>
      <c r="AG57" s="180">
        <f t="array" ref="AG57">IF($G57=0, INDEX(LS_previous!$D$4:$AY$138, MATCH('Staging Table'!$A57, LS_previous!$B$4:$B$138, 0), MATCH(AG$4&amp;AG$5, LS_previous!$D$2:$AY$2&amp;LS_previous!$D$3:$AY$3, 0)),SUM(VLOOKUP($A57, LS_previous!$B$4:$AY$138, LS_previous!Y$149, FALSE), VLOOKUP('Staging Table'!$A57, LS_previous!$B$4:$AY$138,LS_previous!AW$149, FALSE))/2)</f>
        <v>-179.32777252501194</v>
      </c>
      <c r="AH57" s="180">
        <f t="array" ref="AH57">IF($G57=0, INDEX(LS_previous!$D$4:$AY$138, MATCH('Staging Table'!$A57, LS_previous!$B$4:$B$138, 0), MATCH(AH$4&amp;AH$5, LS_previous!$D$2:$AY$2&amp;LS_previous!$D$3:$AY$3, 0)),SUM(VLOOKUP($A57, LS_previous!$B$4:$AY$138, LS_previous!Z$149, FALSE), VLOOKUP('Staging Table'!$A57, LS_previous!$B$4:$AY$138,LS_previous!AX$149, FALSE))/2)</f>
        <v>-443.54274203329851</v>
      </c>
      <c r="AI57" s="180">
        <f t="array" ref="AI57">IF($G57=0, INDEX(LS_previous!$D$4:$AY$138, MATCH('Staging Table'!$A57, LS_previous!$B$4:$B$138, 0), MATCH(AI$4&amp;AI$5, LS_previous!$D$2:$AY$2&amp;LS_previous!$D$3:$AY$3, 0)),SUM(VLOOKUP($A57, LS_previous!$B$4:$AY$138, LS_previous!AA$149, FALSE), VLOOKUP('Staging Table'!$A57, LS_previous!$B$4:$AY$138,LS_previous!AY$149, FALSE))/2)</f>
        <v>-155.77810669693133</v>
      </c>
      <c r="AJ57" s="298">
        <f t="array" ref="AJ57">INDEX(Demand_previous!$D$4:$AY$138, MATCH('Staging Table'!$A57, Demand_previous!$B$4:$B$138, 0), MATCH(AJ$4&amp;AJ$5,Demand_previous!$D$2:$AY$2&amp;Demand_previous!$D$3:$AY$3, 0))/1000</f>
        <v>0.48082451923076869</v>
      </c>
      <c r="AK57" s="298">
        <f t="array" ref="AK57">INDEX(Demand_previous!$D$4:$AY$138, MATCH('Staging Table'!$A57, Demand_previous!$B$4:$B$138, 0), MATCH(AK$4&amp;AK$5,Demand_previous!$D$2:$AY$2&amp;Demand_previous!$D$3:$AY$3, 0))/1000</f>
        <v>0.29579999999999984</v>
      </c>
      <c r="AL57" s="298">
        <f t="array" ref="AL57">INDEX(Demand_previous!$D$4:$AY$138, MATCH('Staging Table'!$A57, Demand_previous!$B$4:$B$138, 0), MATCH(AL$4&amp;AL$5,Demand_previous!$D$2:$AY$2&amp;Demand_previous!$D$3:$AY$3, 0))/1000</f>
        <v>1.30765625</v>
      </c>
      <c r="AM57" s="298">
        <f t="array" ref="AM57">INDEX(Demand_previous!$D$4:$AY$138, MATCH('Staging Table'!$A57, Demand_previous!$B$4:$B$138, 0), MATCH(AM$4&amp;AM$5,Demand_previous!$D$2:$AY$2&amp;Demand_previous!$D$3:$AY$3, 0))/1000</f>
        <v>1.2590150000000002</v>
      </c>
      <c r="AN57" s="298">
        <f t="array" ref="AN57">INDEX(Demand_previous!$D$4:$AY$138, MATCH('Staging Table'!$A57, Demand_previous!$B$4:$B$138, 0), MATCH(AN$4&amp;AN$5,Demand_previous!$D$2:$AY$2&amp;Demand_previous!$D$3:$AY$3, 0))/1000</f>
        <v>0.50282291666666601</v>
      </c>
      <c r="AO57" s="298">
        <f t="array" ref="AO57">INDEX(Demand_previous!$D$4:$AY$138, MATCH('Staging Table'!$A57, Demand_previous!$B$4:$B$138, 0), MATCH(AO$4&amp;AO$5,Demand_previous!$D$2:$AY$2&amp;Demand_previous!$D$3:$AY$3, 0))/1000</f>
        <v>1.2885324074074074</v>
      </c>
      <c r="AP57" s="298">
        <f t="array" ref="AP57">INDEX(Demand_previous!$D$4:$AY$138, MATCH('Staging Table'!$A57, Demand_previous!$B$4:$B$138, 0), MATCH(AP$4&amp;AP$5,Demand_previous!$D$2:$AY$2&amp;Demand_previous!$D$3:$AY$3, 0))/1000</f>
        <v>0.72847115384615346</v>
      </c>
      <c r="AQ57" s="298">
        <f t="array" ref="AQ57">INDEX(Demand_previous!$D$4:$AY$138, MATCH('Staging Table'!$A57, Demand_previous!$B$4:$B$138, 0), MATCH(AQ$4&amp;AQ$5,Demand_previous!$D$2:$AY$2&amp;Demand_previous!$D$3:$AY$3, 0))/1000</f>
        <v>0.50617999999999963</v>
      </c>
      <c r="AR57" s="298">
        <f t="array" ref="AR57">INDEX(Demand_previous!$D$4:$AY$138, MATCH('Staging Table'!$A57, Demand_previous!$B$4:$B$138, 0), MATCH(AR$4&amp;AR$5,Demand_previous!$D$2:$AY$2&amp;Demand_previous!$D$3:$AY$3, 0))/1000</f>
        <v>0.68533173076923104</v>
      </c>
      <c r="AS57" s="298">
        <f t="array" ref="AS57">INDEX(Demand_previous!$D$4:$AY$138, MATCH('Staging Table'!$A57, Demand_previous!$B$4:$B$138, 0), MATCH(AS$4&amp;AS$5,Demand_previous!$D$2:$AY$2&amp;Demand_previous!$D$3:$AY$3, 0))/1000</f>
        <v>0.40237250000000013</v>
      </c>
      <c r="AT57" s="298">
        <f t="array" ref="AT57">INDEX(Demand_previous!$D$4:$AY$138, MATCH('Staging Table'!$A57, Demand_previous!$B$4:$B$138, 0), MATCH(AT$4&amp;AT$5,Demand_previous!$D$2:$AY$2&amp;Demand_previous!$D$3:$AY$3, 0))/1000</f>
        <v>0.7224976851851852</v>
      </c>
      <c r="AU57" s="298">
        <f t="array" ref="AU57">INDEX(Demand_previous!$D$4:$AY$138, MATCH('Staging Table'!$A57, Demand_previous!$B$4:$B$138, 0), MATCH(AU$4&amp;AU$5,Demand_previous!$D$2:$AY$2&amp;Demand_previous!$D$3:$AY$3, 0))/1000</f>
        <v>0.52373250000000016</v>
      </c>
      <c r="AV57" s="180">
        <f>$F57*(VLOOKUP(AV$4, Rates_previous!$G$6:$Q$29, 10, FALSE)+VLOOKUP(AV$4, Rates_previous!$G$6:$Q$29, 11, FALSE))</f>
        <v>2172.2219487039511</v>
      </c>
      <c r="AW57" s="180">
        <f>$F57*(VLOOKUP(AW$4, Rates_previous!$G$6:$Q$29, 10, FALSE)+VLOOKUP(AW$4, Rates_previous!$G$6:$Q$29, 11, FALSE))</f>
        <v>2750.1118224187908</v>
      </c>
      <c r="AX57" s="180">
        <f>$F57*(VLOOKUP(AX$4, Rates_previous!$G$6:$Q$29, 10, FALSE)+VLOOKUP(AX$4, Rates_previous!$G$6:$Q$29, 11, FALSE))</f>
        <v>2691.8100479643485</v>
      </c>
      <c r="AY57" s="180">
        <f>$F57*(VLOOKUP(AY$4, Rates_previous!$G$6:$Q$29, 10, FALSE)+VLOOKUP(AY$4, Rates_previous!$G$6:$Q$29, 11, FALSE))</f>
        <v>2223.3206308218391</v>
      </c>
      <c r="AZ57" s="180">
        <f>$F57*(VLOOKUP(AZ$4, Rates_previous!$G$6:$Q$29, 10, FALSE)+VLOOKUP(AZ$4, Rates_previous!$G$6:$Q$29, 11, FALSE))</f>
        <v>1927.0007194477453</v>
      </c>
      <c r="BA57" s="180">
        <f>$F57*(VLOOKUP(BA$4, Rates_previous!$G$6:$Q$29, 10, FALSE)+VLOOKUP(BA$4, Rates_previous!$G$6:$Q$29, 11, FALSE))</f>
        <v>2300.4497219464934</v>
      </c>
      <c r="BB57" s="180">
        <f>$F57*(VLOOKUP(BB$4, Rates_previous!$G$6:$Q$29, 10, FALSE)+VLOOKUP(BB$4, Rates_previous!$G$6:$Q$29, 11, FALSE))</f>
        <v>1785.9929527518796</v>
      </c>
      <c r="BC57" s="180">
        <f>$F57*(VLOOKUP(BC$4, Rates_previous!$G$6:$Q$29, 10, FALSE)+VLOOKUP(BC$4, Rates_previous!$G$6:$Q$29, 11, FALSE))</f>
        <v>2474.5063791315147</v>
      </c>
      <c r="BD57" s="180">
        <f>$F57*(VLOOKUP(BD$4, Rates_previous!$G$6:$Q$29, 10, FALSE)+VLOOKUP(BD$4, Rates_previous!$G$6:$Q$29, 11, FALSE))</f>
        <v>2644.0618801654396</v>
      </c>
      <c r="BE57" s="180">
        <f>$F57*(VLOOKUP(BE$4, Rates_previous!$G$6:$Q$29, 10, FALSE)+VLOOKUP(BE$4, Rates_previous!$G$6:$Q$29, 11, FALSE))</f>
        <v>2510.4170278680076</v>
      </c>
      <c r="BF57" s="180">
        <f>$F57*(VLOOKUP(BF$4, Rates_previous!$G$6:$Q$29, 10, FALSE)+VLOOKUP(BF$4, Rates_previous!$G$6:$Q$29, 11, FALSE))</f>
        <v>2426.1243888372883</v>
      </c>
      <c r="BG57" s="180">
        <f>$F57*(VLOOKUP(BG$4, Rates_previous!$G$6:$Q$29, 10, FALSE)+VLOOKUP(BG$4, Rates_previous!$G$6:$Q$29, 11, FALSE))</f>
        <v>2241.9918487302302</v>
      </c>
      <c r="BH57" s="298">
        <f>IF($D57=0,IF(C57=0, MAX(BJ57 - (VLOOKUP($A57,TOCA_previous!$A$2:$AI$137,MATCH("RHWM 2022",TOCA_previous!$A$2:$AI$2,0),FALSE)*$F$2*TOCA_previous!C54),0),0), 0)</f>
        <v>461.21743989247261</v>
      </c>
      <c r="BI57" s="192">
        <f>MIN(VLOOKUP($A57,TOCA_previous!$A$2:$AI$137,MATCH("TRL - NLSL - Existing Resource "&amp;$F$1,TOCA_previous!$A$2:$AI$2,0),FALSE)*$F$2,(VLOOKUP($A57,TOCA_previous!$A$2:$AI$137,MATCH("RHWM 2022",TOCA_previous!$A$2:$AI$2,0),FALSE)*$F$2))</f>
        <v>28145.88</v>
      </c>
      <c r="BJ57" s="402">
        <f>SUM(L57:AI57)+(F57*RT1SC!$C$3*$F$2)</f>
        <v>28607.097439892474</v>
      </c>
      <c r="BK57" s="401">
        <f>VLOOKUP($A57,TOCA_previous!$A$2:$AI$137,MATCH("Above RHWM Not Served with LS "&amp;$F$1,TOCA_previous!$A$2:$AI$2,0),FALSE)*$F$2</f>
        <v>0</v>
      </c>
      <c r="BL57" s="402">
        <f t="shared" si="8"/>
        <v>461.21743989247261</v>
      </c>
      <c r="BM57" s="401">
        <f>(VLOOKUP($A57,TOCA_previous!$A$2:$AI$137,MATCH("RHWM 2022",TOCA_previous!$A$2:$AI$2,0),FALSE)*$F$2) - $BI57</f>
        <v>0</v>
      </c>
      <c r="BN57" s="402">
        <f t="shared" si="9"/>
        <v>0</v>
      </c>
      <c r="BO57" s="401">
        <f t="shared" si="10"/>
        <v>0</v>
      </c>
      <c r="BP57" s="402">
        <f t="shared" si="11"/>
        <v>0</v>
      </c>
      <c r="BQ57" s="401">
        <f t="shared" si="18"/>
        <v>0</v>
      </c>
      <c r="BR57" s="108">
        <f>VLOOKUP($A57,TOCA_current!$A$2:$AI$137,MATCH(BR$4,TOCA_current!$A$2:$AI$2,0),FALSE)</f>
        <v>4.6109999999999999E-4</v>
      </c>
      <c r="BS57" s="108">
        <f>VLOOKUP($A57,TOCA_current!$A$2:$AI$137,MATCH(BS$4,TOCA_current!$A$2:$AI$2,0),FALSE)</f>
        <v>4.6109999999999999E-4</v>
      </c>
      <c r="BT57" s="189">
        <f t="shared" si="12"/>
        <v>0</v>
      </c>
      <c r="BU57" s="108">
        <f>VLOOKUP($A57,TOCA_current!A53:BG188,MATCH(BU$4,TOCA_current!$A$2:$BG$2,0),FALSE)</f>
        <v>0</v>
      </c>
      <c r="BV57" s="108">
        <f t="shared" si="19"/>
        <v>0</v>
      </c>
      <c r="BW57" s="108">
        <f t="shared" si="20"/>
        <v>0</v>
      </c>
      <c r="BX57" s="179">
        <f>VLOOKUP($A57,IRD!$A$4:$G$139, 7, FALSE)</f>
        <v>0</v>
      </c>
      <c r="BY57" s="180">
        <f t="array" ref="BY57">IF($BT57=0, INDEX(LS_current!$D$4:$AY$138, MATCH('Staging Table'!$A57, LS_current!$B$4:$B$138, 0), MATCH(BY$4&amp;BY$5, LS_current!$D$2:$AY$2&amp;LS_current!$D$3:$AY$3, 0)),SUM(VLOOKUP($A57, LS_current!$B$4:$AY$138, LS_current!D$148, FALSE), VLOOKUP($A57, LS_current!$B$4:$AY$138,LS_current!AB$148, FALSE))/2)</f>
        <v>241.28505500040001</v>
      </c>
      <c r="BZ57" s="180">
        <f t="array" ref="BZ57">IF($BT57=0, INDEX(LS_current!$D$4:$AY$138, MATCH('Staging Table'!$A57, LS_current!$B$4:$B$138, 0), MATCH(BZ$4&amp;BZ$5, LS_current!$D$2:$AY$2&amp;LS_current!$D$3:$AY$3, 0)),SUM(VLOOKUP($A57, LS_current!$B$4:$AY$138, LS_current!E$148, FALSE), VLOOKUP($A57, LS_current!$B$4:$AY$138,LS_current!AC$148, FALSE))/2)</f>
        <v>116.05553057195004</v>
      </c>
      <c r="CA57" s="180">
        <f t="array" ref="CA57">IF($BT57=0, INDEX(LS_current!$D$4:$AY$138, MATCH('Staging Table'!$A57, LS_current!$B$4:$B$138, 0), MATCH(CA$4&amp;CA$5, LS_current!$D$2:$AY$2&amp;LS_current!$D$3:$AY$3, 0)),SUM(VLOOKUP($A57, LS_current!$B$4:$AY$138, LS_current!F$148, FALSE), VLOOKUP($A57, LS_current!$B$4:$AY$138,LS_current!AD$148, FALSE))/2)</f>
        <v>102.42489305920003</v>
      </c>
      <c r="CB57" s="180">
        <f t="array" ref="CB57">IF($BT57=0, INDEX(LS_current!$D$4:$AY$138, MATCH('Staging Table'!$A57, LS_current!$B$4:$B$138, 0), MATCH(CB$4&amp;CB$5, LS_current!$D$2:$AY$2&amp;LS_current!$D$3:$AY$3, 0)),SUM(VLOOKUP($A57, LS_current!$B$4:$AY$138, LS_current!G$148, FALSE), VLOOKUP($A57, LS_current!$B$4:$AY$138,LS_current!AE$148, FALSE))/2)</f>
        <v>82.865363245900085</v>
      </c>
      <c r="CC57" s="180">
        <f t="array" ref="CC57">IF($BT57=0, INDEX(LS_current!$D$4:$AY$138, MATCH('Staging Table'!$A57, LS_current!$B$4:$B$138, 0), MATCH(CC$4&amp;CC$5, LS_current!$D$2:$AY$2&amp;LS_current!$D$3:$AY$3, 0)),SUM(VLOOKUP($A57, LS_current!$B$4:$AY$138, LS_current!H$148, FALSE), VLOOKUP($A57, LS_current!$B$4:$AY$138,LS_current!AF$148, FALSE))/2)</f>
        <v>378.63902574710005</v>
      </c>
      <c r="CD57" s="180">
        <f t="array" ref="CD57">IF($BT57=0, INDEX(LS_current!$D$4:$AY$138, MATCH('Staging Table'!$A57, LS_current!$B$4:$B$138, 0), MATCH(CD$4&amp;CD$5, LS_current!$D$2:$AY$2&amp;LS_current!$D$3:$AY$3, 0)),SUM(VLOOKUP($A57, LS_current!$B$4:$AY$138, LS_current!I$148, FALSE), VLOOKUP($A57, LS_current!$B$4:$AY$138,LS_current!AG$148, FALSE))/2)</f>
        <v>385.83330677439994</v>
      </c>
      <c r="CE57" s="180">
        <f t="array" ref="CE57">IF($BT57=0, INDEX(LS_current!$D$4:$AY$138, MATCH('Staging Table'!$A57, LS_current!$B$4:$B$138, 0), MATCH(CE$4&amp;CE$5, LS_current!$D$2:$AY$2&amp;LS_current!$D$3:$AY$3, 0)),SUM(VLOOKUP($A57, LS_current!$B$4:$AY$138, LS_current!J$148, FALSE), VLOOKUP($A57, LS_current!$B$4:$AY$138,LS_current!AH$148, FALSE))/2)</f>
        <v>454.26655021350007</v>
      </c>
      <c r="CF57" s="180">
        <f t="array" ref="CF57">IF($BT57=0, INDEX(LS_current!$D$4:$AY$138, MATCH('Staging Table'!$A57, LS_current!$B$4:$B$138, 0), MATCH(CF$4&amp;CF$5, LS_current!$D$2:$AY$2&amp;LS_current!$D$3:$AY$3, 0)),SUM(VLOOKUP($A57, LS_current!$B$4:$AY$138, LS_current!K$148, FALSE), VLOOKUP($A57, LS_current!$B$4:$AY$138,LS_current!AI$148, FALSE))/2)</f>
        <v>352.3615548281</v>
      </c>
      <c r="CG57" s="180">
        <f t="array" ref="CG57">IF($BT57=0, INDEX(LS_current!$D$4:$AY$138, MATCH('Staging Table'!$A57, LS_current!$B$4:$B$138, 0), MATCH(CG$4&amp;CG$5, LS_current!$D$2:$AY$2&amp;LS_current!$D$3:$AY$3, 0)),SUM(VLOOKUP($A57, LS_current!$B$4:$AY$138, LS_current!L$148, FALSE), VLOOKUP($A57, LS_current!$B$4:$AY$138,LS_current!AJ$148, FALSE))/2)</f>
        <v>284.77590019310014</v>
      </c>
      <c r="CH57" s="180">
        <f t="array" ref="CH57">IF($BT57=0, INDEX(LS_current!$D$4:$AY$138, MATCH('Staging Table'!$A57, LS_current!$B$4:$B$138, 0), MATCH(CH$4&amp;CH$5, LS_current!$D$2:$AY$2&amp;LS_current!$D$3:$AY$3, 0)),SUM(VLOOKUP($A57, LS_current!$B$4:$AY$138, LS_current!M$148, FALSE), VLOOKUP($A57, LS_current!$B$4:$AY$138,LS_current!AK$148, FALSE))/2)</f>
        <v>244.92620670509996</v>
      </c>
      <c r="CI57" s="180">
        <f t="array" ref="CI57">IF($BT57=0, INDEX(LS_current!$D$4:$AY$138, MATCH('Staging Table'!$A57, LS_current!$B$4:$B$138, 0), MATCH(CI$4&amp;CI$5, LS_current!$D$2:$AY$2&amp;LS_current!$D$3:$AY$3, 0)),SUM(VLOOKUP($A57, LS_current!$B$4:$AY$138, LS_current!N$148, FALSE), VLOOKUP($A57, LS_current!$B$4:$AY$138,LS_current!AL$148, FALSE))/2)</f>
        <v>26.852296995700044</v>
      </c>
      <c r="CJ57" s="180">
        <f t="array" ref="CJ57">IF($BT57=0, INDEX(LS_current!$D$4:$AY$138, MATCH('Staging Table'!$A57, LS_current!$B$4:$B$138, 0), MATCH(CJ$4&amp;CJ$5, LS_current!$D$2:$AY$2&amp;LS_current!$D$3:$AY$3, 0)),SUM(VLOOKUP($A57, LS_current!$B$4:$AY$138, LS_current!O$148, FALSE), VLOOKUP($A57, LS_current!$B$4:$AY$138,LS_current!AM$148, FALSE))/2)</f>
        <v>60.678918164200127</v>
      </c>
      <c r="CK57" s="180">
        <f t="array" ref="CK57">IF($BT57=0, INDEX(LS_current!$D$4:$AY$138, MATCH('Staging Table'!$A57, LS_current!$B$4:$B$138, 0), MATCH(CK$4&amp;CK$5, LS_current!$D$2:$AY$2&amp;LS_current!$D$3:$AY$3, 0)),SUM(VLOOKUP($A57, LS_current!$B$4:$AY$138, LS_current!P$148, FALSE), VLOOKUP($A57, LS_current!$B$4:$AY$138,LS_current!AN$148, FALSE))/2)</f>
        <v>205.90977379475021</v>
      </c>
      <c r="CL57" s="180">
        <f t="array" ref="CL57">IF($BT57=0, INDEX(LS_current!$D$4:$AY$138, MATCH('Staging Table'!$A57, LS_current!$B$4:$B$138, 0), MATCH(CL$4&amp;CL$5, LS_current!$D$2:$AY$2&amp;LS_current!$D$3:$AY$3, 0)),SUM(VLOOKUP($A57, LS_current!$B$4:$AY$138, LS_current!Q$148, FALSE), VLOOKUP($A57, LS_current!$B$4:$AY$138,LS_current!AO$148, FALSE))/2)</f>
        <v>71.087572787075146</v>
      </c>
      <c r="CM57" s="180">
        <f t="array" ref="CM57">IF($BT57=0, INDEX(LS_current!$D$4:$AY$138, MATCH('Staging Table'!$A57, LS_current!$B$4:$B$138, 0), MATCH(CM$4&amp;CM$5, LS_current!$D$2:$AY$2&amp;LS_current!$D$3:$AY$3, 0)),SUM(VLOOKUP($A57, LS_current!$B$4:$AY$138, LS_current!R$148, FALSE), VLOOKUP($A57, LS_current!$B$4:$AY$138,LS_current!AP$148, FALSE))/2)</f>
        <v>-470.41674861280012</v>
      </c>
      <c r="CN57" s="180">
        <f t="array" ref="CN57">IF($BT57=0, INDEX(LS_current!$D$4:$AY$138, MATCH('Staging Table'!$A57, LS_current!$B$4:$B$138, 0), MATCH(CN$4&amp;CN$5, LS_current!$D$2:$AY$2&amp;LS_current!$D$3:$AY$3, 0)),SUM(VLOOKUP($A57, LS_current!$B$4:$AY$138, LS_current!S$148, FALSE), VLOOKUP($A57, LS_current!$B$4:$AY$138,LS_current!AQ$148, FALSE))/2)</f>
        <v>-351.53158898434992</v>
      </c>
      <c r="CO57" s="180">
        <f t="array" ref="CO57">IF($BT57=0, INDEX(LS_current!$D$4:$AY$138, MATCH('Staging Table'!$A57, LS_current!$B$4:$B$138, 0), MATCH(CO$4&amp;CO$5, LS_current!$D$2:$AY$2&amp;LS_current!$D$3:$AY$3, 0)),SUM(VLOOKUP($A57, LS_current!$B$4:$AY$138, LS_current!T$148, FALSE), VLOOKUP($A57, LS_current!$B$4:$AY$138,LS_current!AR$148, FALSE))/2)</f>
        <v>-562.96965467859991</v>
      </c>
      <c r="CP57" s="180">
        <f t="array" ref="CP57">IF($BT57=0, INDEX(LS_current!$D$4:$AY$138, MATCH('Staging Table'!$A57, LS_current!$B$4:$B$138, 0), MATCH(CP$4&amp;CP$5, LS_current!$D$2:$AY$2&amp;LS_current!$D$3:$AY$3, 0)),SUM(VLOOKUP($A57, LS_current!$B$4:$AY$138, LS_current!U$148, FALSE), VLOOKUP($A57, LS_current!$B$4:$AY$138,LS_current!AS$148, FALSE))/2)</f>
        <v>-304.65072762994998</v>
      </c>
      <c r="CQ57" s="180">
        <f t="array" ref="CQ57">IF($BT57=0, INDEX(LS_current!$D$4:$AY$138, MATCH('Staging Table'!$A57, LS_current!$B$4:$B$138, 0), MATCH(CQ$4&amp;CQ$5, LS_current!$D$2:$AY$2&amp;LS_current!$D$3:$AY$3, 0)),SUM(VLOOKUP($A57, LS_current!$B$4:$AY$138, LS_current!V$148, FALSE), VLOOKUP($A57, LS_current!$B$4:$AY$138,LS_current!AT$148, FALSE))/2)</f>
        <v>-323.95734638039994</v>
      </c>
      <c r="CR57" s="180">
        <f t="array" ref="CR57">IF($BT57=0, INDEX(LS_current!$D$4:$AY$138, MATCH('Staging Table'!$A57, LS_current!$B$4:$B$138, 0), MATCH(CR$4&amp;CR$5, LS_current!$D$2:$AY$2&amp;LS_current!$D$3:$AY$3, 0)),SUM(VLOOKUP($A57, LS_current!$B$4:$AY$138, LS_current!W$148, FALSE), VLOOKUP($A57, LS_current!$B$4:$AY$138,LS_current!AU$148, FALSE))/2)</f>
        <v>-206.87160354024991</v>
      </c>
      <c r="CS57" s="180">
        <f t="array" ref="CS57">IF($BT57=0, INDEX(LS_current!$D$4:$AY$138, MATCH('Staging Table'!$A57, LS_current!$B$4:$B$138, 0), MATCH(CS$4&amp;CS$5, LS_current!$D$2:$AY$2&amp;LS_current!$D$3:$AY$3, 0)),SUM(VLOOKUP($A57, LS_current!$B$4:$AY$138, LS_current!X$148, FALSE), VLOOKUP($A57, LS_current!$B$4:$AY$138,LS_current!AV$148, FALSE))/2)</f>
        <v>-223.82059807864994</v>
      </c>
      <c r="CT57" s="180">
        <f t="array" ref="CT57">IF($BT57=0, INDEX(LS_current!$D$4:$AY$138, MATCH('Staging Table'!$A57, LS_current!$B$4:$B$138, 0), MATCH(CT$4&amp;CT$5, LS_current!$D$2:$AY$2&amp;LS_current!$D$3:$AY$3, 0)),SUM(VLOOKUP($A57, LS_current!$B$4:$AY$138, LS_current!Y$148, FALSE), VLOOKUP($A57, LS_current!$B$4:$AY$138,LS_current!AW$148, FALSE))/2)</f>
        <v>-189.24522861883497</v>
      </c>
      <c r="CU57" s="180">
        <f t="array" ref="CU57">IF($BT57=0, INDEX(LS_current!$D$4:$AY$138, MATCH('Staging Table'!$A57, LS_current!$B$4:$B$138, 0), MATCH(CU$4&amp;CU$5, LS_current!$D$2:$AY$2&amp;LS_current!$D$3:$AY$3, 0)),SUM(VLOOKUP($A57, LS_current!$B$4:$AY$138, LS_current!Z$148, FALSE), VLOOKUP($A57, LS_current!$B$4:$AY$138,LS_current!AX$148, FALSE))/2)</f>
        <v>-218.44103814139999</v>
      </c>
      <c r="CV57" s="180">
        <f t="array" ref="CV57">IF($BT57=0, INDEX(LS_current!$D$4:$AY$138, MATCH('Staging Table'!$A57, LS_current!$B$4:$B$138, 0), MATCH(CV$4&amp;CV$5, LS_current!$D$2:$AY$2&amp;LS_current!$D$3:$AY$3, 0)),SUM(VLOOKUP($A57, LS_current!$B$4:$AY$138, LS_current!AA$148, FALSE), VLOOKUP($A57, LS_current!$B$4:$AY$138,LS_current!AY$148, FALSE))/2)</f>
        <v>-157.72549385439993</v>
      </c>
      <c r="CW57" s="182">
        <f t="array" ref="CW57">INDEX(Demand_current!$D$4:$AY$138, MATCH($A57, Demand_current!$B$4:$B$138, 0), MATCH(CW$4&amp;CW$5,Demand_current!$D$2:$AY$2&amp;Demand_current!$D$3:$AY$3, 0))/1000</f>
        <v>0.48082451923076869</v>
      </c>
      <c r="CX57" s="182">
        <f t="array" ref="CX57">INDEX(Demand_current!$D$4:$AY$138, MATCH($A57, Demand_current!$B$4:$B$138, 0), MATCH(CX$4&amp;CX$5,Demand_current!$D$2:$AY$2&amp;Demand_current!$D$3:$AY$3, 0))/1000</f>
        <v>0.29579999999999984</v>
      </c>
      <c r="CY57" s="182">
        <f t="array" ref="CY57">INDEX(Demand_current!$D$4:$AY$138, MATCH($A57, Demand_current!$B$4:$B$138, 0), MATCH(CY$4&amp;CY$5,Demand_current!$D$2:$AY$2&amp;Demand_current!$D$3:$AY$3, 0))/1000</f>
        <v>1.1151625000000003</v>
      </c>
      <c r="CZ57" s="182">
        <f t="array" ref="CZ57">INDEX(Demand_current!$D$4:$AY$138, MATCH($A57, Demand_current!$B$4:$B$138, 0), MATCH(CZ$4&amp;CZ$5,Demand_current!$D$2:$AY$2&amp;Demand_current!$D$3:$AY$3, 0))/1000</f>
        <v>1.468322115384616</v>
      </c>
      <c r="DA57" s="182">
        <f t="array" ref="DA57">INDEX(Demand_current!$D$4:$AY$138, MATCH($A57, Demand_current!$B$4:$B$138, 0), MATCH(DA$4&amp;DA$5,Demand_current!$D$2:$AY$2&amp;Demand_current!$D$3:$AY$3, 0))/1000</f>
        <v>0.69098999999999999</v>
      </c>
      <c r="DB57" s="182">
        <f t="array" ref="DB57">INDEX(Demand_current!$D$4:$AY$138, MATCH($A57, Demand_current!$B$4:$B$138, 0), MATCH(DB$4&amp;DB$5,Demand_current!$D$2:$AY$2&amp;Demand_current!$D$3:$AY$3, 0))/1000</f>
        <v>1.1445144230769233</v>
      </c>
      <c r="DC57" s="182">
        <f t="array" ref="DC57">INDEX(Demand_current!$D$4:$AY$138, MATCH($A57, Demand_current!$B$4:$B$138, 0), MATCH(DC$4&amp;DC$5,Demand_current!$D$2:$AY$2&amp;Demand_current!$D$3:$AY$3, 0))/1000</f>
        <v>0.72847115384615346</v>
      </c>
      <c r="DD57" s="182">
        <f t="array" ref="DD57">INDEX(Demand_current!$D$4:$AY$138, MATCH($A57, Demand_current!$B$4:$B$138, 0), MATCH(DD$4&amp;DD$5,Demand_current!$D$2:$AY$2&amp;Demand_current!$D$3:$AY$3, 0))/1000</f>
        <v>0.61044230769230756</v>
      </c>
      <c r="DE57" s="182">
        <f t="array" ref="DE57">INDEX(Demand_current!$D$4:$AY$138, MATCH($A57, Demand_current!$B$4:$B$138, 0), MATCH(DE$4&amp;DE$5,Demand_current!$D$2:$AY$2&amp;Demand_current!$D$3:$AY$3, 0))/1000</f>
        <v>0.58162500000000028</v>
      </c>
      <c r="DF57" s="182">
        <f t="array" ref="DF57">INDEX(Demand_current!$D$4:$AY$138, MATCH($A57, Demand_current!$B$4:$B$138, 0), MATCH(DF$4&amp;DF$5,Demand_current!$D$2:$AY$2&amp;Demand_current!$D$3:$AY$3, 0))/1000</f>
        <v>0.50720432692307715</v>
      </c>
      <c r="DG57" s="182">
        <f t="array" ref="DG57">INDEX(Demand_current!$D$4:$AY$138, MATCH($A57, Demand_current!$B$4:$B$138, 0), MATCH(DG$4&amp;DG$5,Demand_current!$D$2:$AY$2&amp;Demand_current!$D$3:$AY$3, 0))/1000</f>
        <v>0.7224976851851852</v>
      </c>
      <c r="DH57" s="182">
        <f t="array" ref="DH57">INDEX(Demand_current!$D$4:$AY$138, MATCH($A57, Demand_current!$B$4:$B$138, 0), MATCH(DH$4&amp;DH$5,Demand_current!$D$2:$AY$2&amp;Demand_current!$D$3:$AY$3, 0))/1000</f>
        <v>0.42088802083333365</v>
      </c>
      <c r="DI57" s="180">
        <f>$BS57*(VLOOKUP(DI$4, Rates_current!$G$6:$Q$29, 10, FALSE)+VLOOKUP(DI$4, Rates_current!$G$6:$Q$29, 11, FALSE))</f>
        <v>1945.2904144276499</v>
      </c>
      <c r="DJ57" s="180">
        <f>$BS57*(VLOOKUP(DJ$4, Rates_current!$G$6:$Q$29, 10, FALSE)+VLOOKUP(DJ$4, Rates_current!$G$6:$Q$29, 11, FALSE))</f>
        <v>2480.8867436949004</v>
      </c>
      <c r="DK57" s="180">
        <f>$BS57*(VLOOKUP(DK$4, Rates_current!$G$6:$Q$29, 10, FALSE)+VLOOKUP(DK$4, Rates_current!$G$6:$Q$29, 11, FALSE))</f>
        <v>2677.3676674785002</v>
      </c>
      <c r="DL57" s="180">
        <f>$BS57*(VLOOKUP(DL$4, Rates_current!$G$6:$Q$29, 10, FALSE)+VLOOKUP(DL$4, Rates_current!$G$6:$Q$29, 11, FALSE))</f>
        <v>2782.1988949583997</v>
      </c>
      <c r="DM57" s="180">
        <f>$BS57*(VLOOKUP(DM$4, Rates_current!$G$6:$Q$29, 10, FALSE)+VLOOKUP(DM$4, Rates_current!$G$6:$Q$29, 11, FALSE))</f>
        <v>2393.0618931017998</v>
      </c>
      <c r="DN57" s="180">
        <f>$BS57*(VLOOKUP(DN$4, Rates_current!$G$6:$Q$29, 10, FALSE)+VLOOKUP(DN$4, Rates_current!$G$6:$Q$29, 11, FALSE))</f>
        <v>2612.7497848400999</v>
      </c>
      <c r="DO57" s="180">
        <f>$BS57*(VLOOKUP(DO$4, Rates_current!$G$6:$Q$29, 10, FALSE)+VLOOKUP(DO$4, Rates_current!$G$6:$Q$29, 11, FALSE))</f>
        <v>2062.3256534181746</v>
      </c>
      <c r="DP57" s="180">
        <f>$BS57*(VLOOKUP(DP$4, Rates_current!$G$6:$Q$29, 10, FALSE)+VLOOKUP(DP$4, Rates_current!$G$6:$Q$29, 11, FALSE))</f>
        <v>2558.59133759715</v>
      </c>
      <c r="DQ57" s="180">
        <f>$BS57*(VLOOKUP(DQ$4, Rates_current!$G$6:$Q$29, 10, FALSE)+VLOOKUP(DQ$4, Rates_current!$G$6:$Q$29, 11, FALSE))</f>
        <v>2614.1063823085497</v>
      </c>
      <c r="DR57" s="180">
        <f>$BS57*(VLOOKUP(DR$4, Rates_current!$G$6:$Q$29, 10, FALSE)+VLOOKUP(DR$4, Rates_current!$G$6:$Q$29, 11, FALSE))</f>
        <v>2269.4209499206499</v>
      </c>
      <c r="DS57" s="180">
        <f>$BS57*(VLOOKUP(DS$4, Rates_current!$G$6:$Q$29, 10, FALSE)+VLOOKUP(DS$4, Rates_current!$G$6:$Q$29, 11, FALSE))</f>
        <v>2193.926826697485</v>
      </c>
      <c r="DT57" s="180">
        <f>$BS57*(VLOOKUP(DT$4, Rates_current!$G$6:$Q$29, 10, FALSE)+VLOOKUP(DT$4, Rates_current!$G$6:$Q$29, 11, FALSE))</f>
        <v>2018.8375319958002</v>
      </c>
      <c r="DU57" s="402">
        <f>IF(D57=0,IF(C57=0,MAX(0,DW57 - (VLOOKUP($A57,TOCA_current!$A$2:$AI$137,MATCH("RHWM 2024",TOCA_current!$A$2:$AI$2,0),FALSE)*$BS$2)), 0),0)</f>
        <v>0</v>
      </c>
      <c r="DV57" s="403">
        <f>MIN(VLOOKUP($A57,TOCA_current!$A$2:$AI$137,MATCH("TRL - NLSL - Existing Resource "&amp;$BS$1,TOCA_current!$A$2:$AI$2,0),FALSE)*$BS$2, VLOOKUP($A57,TOCA_current!$A$2:$AI$137,MATCH("RHWM 2024",TOCA_current!$A$2:$AI$2,0),FALSE)*$BS$2)</f>
        <v>28609.488000000001</v>
      </c>
      <c r="DW57" s="403">
        <f>SUM(BY57:CV57)+(BS57*RT1SC!$C$4*$BS$2)</f>
        <v>28607.096131136837</v>
      </c>
      <c r="DX57" s="403">
        <f>VLOOKUP($A57,TOCA_current!$A$2:$AI$137,MATCH("Above RHWM Not Served with LS "&amp;$BS$1,TOCA_current!$A$2:$AI$2,0),FALSE)*$BS$2</f>
        <v>0</v>
      </c>
      <c r="DY57" s="403">
        <f t="shared" si="13"/>
        <v>-2.3918688631638361</v>
      </c>
      <c r="DZ57" s="403">
        <f>(VLOOKUP($A57,TOCA_current!$A$2:$AI$137,MATCH("RHWM 2024",TOCA_current!$A$2:$AI$2,0),FALSE)*$BS$2) - $DV57</f>
        <v>975.02399999999761</v>
      </c>
      <c r="EA57" s="403">
        <f t="shared" si="14"/>
        <v>0</v>
      </c>
      <c r="EB57" s="403">
        <f t="shared" si="15"/>
        <v>2.3918688631638361</v>
      </c>
      <c r="EC57" s="403">
        <f t="shared" si="16"/>
        <v>0</v>
      </c>
      <c r="ED57" s="403">
        <f t="shared" si="17"/>
        <v>2.3918688631638361</v>
      </c>
    </row>
    <row r="58" spans="1:134">
      <c r="A58" s="123">
        <v>10156</v>
      </c>
      <c r="B58" s="124" t="s">
        <v>59</v>
      </c>
      <c r="C58" s="232">
        <f>VLOOKUP(A58, TOCA_current!$A$3:$D$137, 4, FALSE)</f>
        <v>0</v>
      </c>
      <c r="D58" s="191">
        <v>0</v>
      </c>
      <c r="E58" s="107">
        <f>VLOOKUP($A58,TOCA_previous!$A$2:$AI$137,MATCH(E$4,TOCA_previous!$A$2:$AI$2,0),FALSE)</f>
        <v>4.5650999999999999E-3</v>
      </c>
      <c r="F58" s="108">
        <f>VLOOKUP($A58,TOCA_previous!$A$2:$AI$137,MATCH(F$4,TOCA_previous!$A$2:$AI$2,0),FALSE)</f>
        <v>4.5650999999999999E-3</v>
      </c>
      <c r="G58" s="108">
        <f t="shared" si="5"/>
        <v>0</v>
      </c>
      <c r="H58" s="108">
        <f>VLOOKUP($A58,TOCA_previous!$A$2:$AI$137,MATCH(H$4,TOCA_previous!$A$2:$AI$2,0),FALSE)</f>
        <v>0</v>
      </c>
      <c r="I58" s="108">
        <f t="shared" si="6"/>
        <v>0</v>
      </c>
      <c r="J58" s="108">
        <f t="shared" si="7"/>
        <v>0</v>
      </c>
      <c r="K58" s="179">
        <f>VLOOKUP(A58, IRD!$A$5:$C$139, 3, FALSE)</f>
        <v>0</v>
      </c>
      <c r="L58" s="180">
        <f t="array" ref="L58">IF($G58=0, INDEX(LS_previous!$D$4:$AY$138, MATCH('Staging Table'!$A58, LS_previous!$B$4:$B$138, 0), MATCH(L$4&amp;L$5, LS_previous!$D$2:$AY$2&amp;LS_previous!$D$3:$AY$3, 0)),SUM(VLOOKUP($A58, LS_previous!$B$4:$AY$138, LS_previous!D$149, FALSE), VLOOKUP('Staging Table'!$A58, LS_previous!$B$4:$AY$138,LS_previous!AB$149, FALSE))/2)</f>
        <v>-53.930636631008383</v>
      </c>
      <c r="M58" s="180">
        <f t="array" ref="M58">IF($G58=0, INDEX(LS_previous!$D$4:$AY$138, MATCH('Staging Table'!$A58, LS_previous!$B$4:$B$138, 0), MATCH(M$4&amp;M$5, LS_previous!$D$2:$AY$2&amp;LS_previous!$D$3:$AY$3, 0)),SUM(VLOOKUP($A58, LS_previous!$B$4:$AY$138, LS_previous!E$149, FALSE), VLOOKUP('Staging Table'!$A58, LS_previous!$B$4:$AY$138,LS_previous!AC$149, FALSE))/2)</f>
        <v>749.82026340583889</v>
      </c>
      <c r="N58" s="180">
        <f t="array" ref="N58">IF($G58=0, INDEX(LS_previous!$D$4:$AY$138, MATCH('Staging Table'!$A58, LS_previous!$B$4:$B$138, 0), MATCH(N$4&amp;N$5, LS_previous!$D$2:$AY$2&amp;LS_previous!$D$3:$AY$3, 0)),SUM(VLOOKUP($A58, LS_previous!$B$4:$AY$138, LS_previous!F$149, FALSE), VLOOKUP('Staging Table'!$A58, LS_previous!$B$4:$AY$138,LS_previous!AD$149, FALSE))/2)</f>
        <v>-809.88249810291563</v>
      </c>
      <c r="O58" s="180">
        <f t="array" ref="O58">IF($G58=0, INDEX(LS_previous!$D$4:$AY$138, MATCH('Staging Table'!$A58, LS_previous!$B$4:$B$138, 0), MATCH(O$4&amp;O$5, LS_previous!$D$2:$AY$2&amp;LS_previous!$D$3:$AY$3, 0)),SUM(VLOOKUP($A58, LS_previous!$B$4:$AY$138, LS_previous!G$149, FALSE), VLOOKUP('Staging Table'!$A58, LS_previous!$B$4:$AY$138,LS_previous!AE$149, FALSE))/2)</f>
        <v>926.65561650119525</v>
      </c>
      <c r="P58" s="180">
        <f t="array" ref="P58">IF($G58=0, INDEX(LS_previous!$D$4:$AY$138, MATCH('Staging Table'!$A58, LS_previous!$B$4:$B$138, 0), MATCH(P$4&amp;P$5, LS_previous!$D$2:$AY$2&amp;LS_previous!$D$3:$AY$3, 0)),SUM(VLOOKUP($A58, LS_previous!$B$4:$AY$138, LS_previous!H$149, FALSE), VLOOKUP('Staging Table'!$A58, LS_previous!$B$4:$AY$138,LS_previous!AF$149, FALSE))/2)</f>
        <v>4869.5845743540776</v>
      </c>
      <c r="Q58" s="180">
        <f t="array" ref="Q58">IF($G58=0, INDEX(LS_previous!$D$4:$AY$138, MATCH('Staging Table'!$A58, LS_previous!$B$4:$B$138, 0), MATCH(Q$4&amp;Q$5, LS_previous!$D$2:$AY$2&amp;LS_previous!$D$3:$AY$3, 0)),SUM(VLOOKUP($A58, LS_previous!$B$4:$AY$138, LS_previous!I$149, FALSE), VLOOKUP('Staging Table'!$A58, LS_previous!$B$4:$AY$138,LS_previous!AG$149, FALSE))/2)</f>
        <v>2875.0851930210883</v>
      </c>
      <c r="R58" s="180">
        <f t="array" ref="R58">IF($G58=0, INDEX(LS_previous!$D$4:$AY$138, MATCH('Staging Table'!$A58, LS_previous!$B$4:$B$138, 0), MATCH(R$4&amp;R$5, LS_previous!$D$2:$AY$2&amp;LS_previous!$D$3:$AY$3, 0)),SUM(VLOOKUP($A58, LS_previous!$B$4:$AY$138, LS_previous!J$149, FALSE), VLOOKUP('Staging Table'!$A58, LS_previous!$B$4:$AY$138,LS_previous!AH$149, FALSE))/2)</f>
        <v>7862.0993964780682</v>
      </c>
      <c r="S58" s="180">
        <f t="array" ref="S58">IF($G58=0, INDEX(LS_previous!$D$4:$AY$138, MATCH('Staging Table'!$A58, LS_previous!$B$4:$B$138, 0), MATCH(S$4&amp;S$5, LS_previous!$D$2:$AY$2&amp;LS_previous!$D$3:$AY$3, 0)),SUM(VLOOKUP($A58, LS_previous!$B$4:$AY$138, LS_previous!K$149, FALSE), VLOOKUP('Staging Table'!$A58, LS_previous!$B$4:$AY$138,LS_previous!AI$149, FALSE))/2)</f>
        <v>4725.258346153425</v>
      </c>
      <c r="T58" s="180">
        <f t="array" ref="T58">IF($G58=0, INDEX(LS_previous!$D$4:$AY$138, MATCH('Staging Table'!$A58, LS_previous!$B$4:$B$138, 0), MATCH(T$4&amp;T$5, LS_previous!$D$2:$AY$2&amp;LS_previous!$D$3:$AY$3, 0)),SUM(VLOOKUP($A58, LS_previous!$B$4:$AY$138, LS_previous!L$149, FALSE), VLOOKUP('Staging Table'!$A58, LS_previous!$B$4:$AY$138,LS_previous!AJ$149, FALSE))/2)</f>
        <v>6649.0239255962424</v>
      </c>
      <c r="U58" s="180">
        <f t="array" ref="U58">IF($G58=0, INDEX(LS_previous!$D$4:$AY$138, MATCH('Staging Table'!$A58, LS_previous!$B$4:$B$138, 0), MATCH(U$4&amp;U$5, LS_previous!$D$2:$AY$2&amp;LS_previous!$D$3:$AY$3, 0)),SUM(VLOOKUP($A58, LS_previous!$B$4:$AY$138, LS_previous!M$149, FALSE), VLOOKUP('Staging Table'!$A58, LS_previous!$B$4:$AY$138,LS_previous!AK$149, FALSE))/2)</f>
        <v>3877.3368241922253</v>
      </c>
      <c r="V58" s="180">
        <f t="array" ref="V58">IF($G58=0, INDEX(LS_previous!$D$4:$AY$138, MATCH('Staging Table'!$A58, LS_previous!$B$4:$B$138, 0), MATCH(V$4&amp;V$5, LS_previous!$D$2:$AY$2&amp;LS_previous!$D$3:$AY$3, 0)),SUM(VLOOKUP($A58, LS_previous!$B$4:$AY$138, LS_previous!N$149, FALSE), VLOOKUP('Staging Table'!$A58, LS_previous!$B$4:$AY$138,LS_previous!AL$149, FALSE))/2)</f>
        <v>2215.2636338378725</v>
      </c>
      <c r="W58" s="180">
        <f t="array" ref="W58">IF($G58=0, INDEX(LS_previous!$D$4:$AY$138, MATCH('Staging Table'!$A58, LS_previous!$B$4:$B$138, 0), MATCH(W$4&amp;W$5, LS_previous!$D$2:$AY$2&amp;LS_previous!$D$3:$AY$3, 0)),SUM(VLOOKUP($A58, LS_previous!$B$4:$AY$138, LS_previous!O$149, FALSE), VLOOKUP('Staging Table'!$A58, LS_previous!$B$4:$AY$138,LS_previous!AM$149, FALSE))/2)</f>
        <v>1882.6327505270401</v>
      </c>
      <c r="X58" s="180">
        <f t="array" ref="X58">IF($G58=0, INDEX(LS_previous!$D$4:$AY$138, MATCH('Staging Table'!$A58, LS_previous!$B$4:$B$138, 0), MATCH(X$4&amp;X$5, LS_previous!$D$2:$AY$2&amp;LS_previous!$D$3:$AY$3, 0)),SUM(VLOOKUP($A58, LS_previous!$B$4:$AY$138, LS_previous!P$149, FALSE), VLOOKUP('Staging Table'!$A58, LS_previous!$B$4:$AY$138,LS_previous!AN$149, FALSE))/2)</f>
        <v>2161.7625362217532</v>
      </c>
      <c r="Y58" s="180">
        <f t="array" ref="Y58">IF($G58=0, INDEX(LS_previous!$D$4:$AY$138, MATCH('Staging Table'!$A58, LS_previous!$B$4:$B$138, 0), MATCH(Y$4&amp;Y$5, LS_previous!$D$2:$AY$2&amp;LS_previous!$D$3:$AY$3, 0)),SUM(VLOOKUP($A58, LS_previous!$B$4:$AY$138, LS_previous!Q$149, FALSE), VLOOKUP('Staging Table'!$A58, LS_previous!$B$4:$AY$138,LS_previous!AO$149, FALSE))/2)</f>
        <v>1777.0736197371471</v>
      </c>
      <c r="Z58" s="180">
        <f t="array" ref="Z58">IF($G58=0, INDEX(LS_previous!$D$4:$AY$138, MATCH('Staging Table'!$A58, LS_previous!$B$4:$B$138, 0), MATCH(Z$4&amp;Z$5, LS_previous!$D$2:$AY$2&amp;LS_previous!$D$3:$AY$3, 0)),SUM(VLOOKUP($A58, LS_previous!$B$4:$AY$138, LS_previous!R$149, FALSE), VLOOKUP('Staging Table'!$A58, LS_previous!$B$4:$AY$138,LS_previous!AP$149, FALSE))/2)</f>
        <v>-5633.698233368581</v>
      </c>
      <c r="AA58" s="180">
        <f t="array" ref="AA58">IF($G58=0, INDEX(LS_previous!$D$4:$AY$138, MATCH('Staging Table'!$A58, LS_previous!$B$4:$B$138, 0), MATCH(AA$4&amp;AA$5, LS_previous!$D$2:$AY$2&amp;LS_previous!$D$3:$AY$3, 0)),SUM(VLOOKUP($A58, LS_previous!$B$4:$AY$138, LS_previous!S$149, FALSE), VLOOKUP('Staging Table'!$A58, LS_previous!$B$4:$AY$138,LS_previous!AQ$149, FALSE))/2)</f>
        <v>-505.086220244164</v>
      </c>
      <c r="AB58" s="180">
        <f t="array" ref="AB58">IF($G58=0, INDEX(LS_previous!$D$4:$AY$138, MATCH('Staging Table'!$A58, LS_previous!$B$4:$B$138, 0), MATCH(AB$4&amp;AB$5, LS_previous!$D$2:$AY$2&amp;LS_previous!$D$3:$AY$3, 0)),SUM(VLOOKUP($A58, LS_previous!$B$4:$AY$138, LS_previous!T$149, FALSE), VLOOKUP('Staging Table'!$A58, LS_previous!$B$4:$AY$138,LS_previous!AR$149, FALSE))/2)</f>
        <v>-8181.1110407756587</v>
      </c>
      <c r="AC58" s="180">
        <f t="array" ref="AC58">IF($G58=0, INDEX(LS_previous!$D$4:$AY$138, MATCH('Staging Table'!$A58, LS_previous!$B$4:$B$138, 0), MATCH(AC$4&amp;AC$5, LS_previous!$D$2:$AY$2&amp;LS_previous!$D$3:$AY$3, 0)),SUM(VLOOKUP($A58, LS_previous!$B$4:$AY$138, LS_previous!U$149, FALSE), VLOOKUP('Staging Table'!$A58, LS_previous!$B$4:$AY$138,LS_previous!AS$149, FALSE))/2)</f>
        <v>-1147.9542048076719</v>
      </c>
      <c r="AD58" s="180">
        <f t="array" ref="AD58">IF($G58=0, INDEX(LS_previous!$D$4:$AY$138, MATCH('Staging Table'!$A58, LS_previous!$B$4:$B$138, 0), MATCH(AD$4&amp;AD$5, LS_previous!$D$2:$AY$2&amp;LS_previous!$D$3:$AY$3, 0)),SUM(VLOOKUP($A58, LS_previous!$B$4:$AY$138, LS_previous!V$149, FALSE), VLOOKUP('Staging Table'!$A58, LS_previous!$B$4:$AY$138,LS_previous!AT$149, FALSE))/2)</f>
        <v>-5791.8654844576195</v>
      </c>
      <c r="AE58" s="180">
        <f t="array" ref="AE58">IF($G58=0, INDEX(LS_previous!$D$4:$AY$138, MATCH('Staging Table'!$A58, LS_previous!$B$4:$B$138, 0), MATCH(AE$4&amp;AE$5, LS_previous!$D$2:$AY$2&amp;LS_previous!$D$3:$AY$3, 0)),SUM(VLOOKUP($A58, LS_previous!$B$4:$AY$138, LS_previous!W$149, FALSE), VLOOKUP('Staging Table'!$A58, LS_previous!$B$4:$AY$138,LS_previous!AU$149, FALSE))/2)</f>
        <v>-1290.079687282926</v>
      </c>
      <c r="AF58" s="180">
        <f t="array" ref="AF58">IF($G58=0, INDEX(LS_previous!$D$4:$AY$138, MATCH('Staging Table'!$A58, LS_previous!$B$4:$B$138, 0), MATCH(AF$4&amp;AF$5, LS_previous!$D$2:$AY$2&amp;LS_previous!$D$3:$AY$3, 0)),SUM(VLOOKUP($A58, LS_previous!$B$4:$AY$138, LS_previous!X$149, FALSE), VLOOKUP('Staging Table'!$A58, LS_previous!$B$4:$AY$138,LS_previous!AV$149, FALSE))/2)</f>
        <v>-4965.0735625307589</v>
      </c>
      <c r="AG58" s="180">
        <f t="array" ref="AG58">IF($G58=0, INDEX(LS_previous!$D$4:$AY$138, MATCH('Staging Table'!$A58, LS_previous!$B$4:$B$138, 0), MATCH(AG$4&amp;AG$5, LS_previous!$D$2:$AY$2&amp;LS_previous!$D$3:$AY$3, 0)),SUM(VLOOKUP($A58, LS_previous!$B$4:$AY$138, LS_previous!Y$149, FALSE), VLOOKUP('Staging Table'!$A58, LS_previous!$B$4:$AY$138,LS_previous!AW$149, FALSE))/2)</f>
        <v>-958.44294371893466</v>
      </c>
      <c r="AH58" s="180">
        <f t="array" ref="AH58">IF($G58=0, INDEX(LS_previous!$D$4:$AY$138, MATCH('Staging Table'!$A58, LS_previous!$B$4:$B$138, 0), MATCH(AH$4&amp;AH$5, LS_previous!$D$2:$AY$2&amp;LS_previous!$D$3:$AY$3, 0)),SUM(VLOOKUP($A58, LS_previous!$B$4:$AY$138, LS_previous!Z$149, FALSE), VLOOKUP('Staging Table'!$A58, LS_previous!$B$4:$AY$138,LS_previous!AX$149, FALSE))/2)</f>
        <v>-4116.2769651073631</v>
      </c>
      <c r="AI58" s="180">
        <f t="array" ref="AI58">IF($G58=0, INDEX(LS_previous!$D$4:$AY$138, MATCH('Staging Table'!$A58, LS_previous!$B$4:$B$138, 0), MATCH(AI$4&amp;AI$5, LS_previous!$D$2:$AY$2&amp;LS_previous!$D$3:$AY$3, 0)),SUM(VLOOKUP($A58, LS_previous!$B$4:$AY$138, LS_previous!AA$149, FALSE), VLOOKUP('Staging Table'!$A58, LS_previous!$B$4:$AY$138,LS_previous!AY$149, FALSE))/2)</f>
        <v>-1438.406067677487</v>
      </c>
      <c r="AJ58" s="298">
        <f t="array" ref="AJ58">INDEX(Demand_previous!$D$4:$AY$138, MATCH('Staging Table'!$A58, Demand_previous!$B$4:$B$138, 0), MATCH(AJ$4&amp;AJ$5,Demand_previous!$D$2:$AY$2&amp;Demand_previous!$D$3:$AY$3, 0))/1000</f>
        <v>0</v>
      </c>
      <c r="AK58" s="298">
        <f t="array" ref="AK58">INDEX(Demand_previous!$D$4:$AY$138, MATCH('Staging Table'!$A58, Demand_previous!$B$4:$B$138, 0), MATCH(AK$4&amp;AK$5,Demand_previous!$D$2:$AY$2&amp;Demand_previous!$D$3:$AY$3, 0))/1000</f>
        <v>1.6900225000000013</v>
      </c>
      <c r="AL58" s="298">
        <f t="array" ref="AL58">INDEX(Demand_previous!$D$4:$AY$138, MATCH('Staging Table'!$A58, Demand_previous!$B$4:$B$138, 0), MATCH(AL$4&amp;AL$5,Demand_previous!$D$2:$AY$2&amp;Demand_previous!$D$3:$AY$3, 0))/1000</f>
        <v>10.654139423076922</v>
      </c>
      <c r="AM58" s="298">
        <f t="array" ref="AM58">INDEX(Demand_previous!$D$4:$AY$138, MATCH('Staging Table'!$A58, Demand_previous!$B$4:$B$138, 0), MATCH(AM$4&amp;AM$5,Demand_previous!$D$2:$AY$2&amp;Demand_previous!$D$3:$AY$3, 0))/1000</f>
        <v>6.1499349999999975</v>
      </c>
      <c r="AN58" s="298">
        <f t="array" ref="AN58">INDEX(Demand_previous!$D$4:$AY$138, MATCH('Staging Table'!$A58, Demand_previous!$B$4:$B$138, 0), MATCH(AN$4&amp;AN$5,Demand_previous!$D$2:$AY$2&amp;Demand_previous!$D$3:$AY$3, 0))/1000</f>
        <v>4.350721354166657</v>
      </c>
      <c r="AO58" s="298">
        <f t="array" ref="AO58">INDEX(Demand_previous!$D$4:$AY$138, MATCH('Staging Table'!$A58, Demand_previous!$B$4:$B$138, 0), MATCH(AO$4&amp;AO$5,Demand_previous!$D$2:$AY$2&amp;Demand_previous!$D$3:$AY$3, 0))/1000</f>
        <v>1.5292499999999976</v>
      </c>
      <c r="AP58" s="298">
        <f t="array" ref="AP58">INDEX(Demand_previous!$D$4:$AY$138, MATCH('Staging Table'!$A58, Demand_previous!$B$4:$B$138, 0), MATCH(AP$4&amp;AP$5,Demand_previous!$D$2:$AY$2&amp;Demand_previous!$D$3:$AY$3, 0))/1000</f>
        <v>5.0144615384615392</v>
      </c>
      <c r="AQ58" s="298">
        <f t="array" ref="AQ58">INDEX(Demand_previous!$D$4:$AY$138, MATCH('Staging Table'!$A58, Demand_previous!$B$4:$B$138, 0), MATCH(AQ$4&amp;AQ$5,Demand_previous!$D$2:$AY$2&amp;Demand_previous!$D$3:$AY$3, 0))/1000</f>
        <v>0.65658500000000153</v>
      </c>
      <c r="AR58" s="298">
        <f t="array" ref="AR58">INDEX(Demand_previous!$D$4:$AY$138, MATCH('Staging Table'!$A58, Demand_previous!$B$4:$B$138, 0), MATCH(AR$4&amp;AR$5,Demand_previous!$D$2:$AY$2&amp;Demand_previous!$D$3:$AY$3, 0))/1000</f>
        <v>8.0024447115384607</v>
      </c>
      <c r="AS58" s="298">
        <f t="array" ref="AS58">INDEX(Demand_previous!$D$4:$AY$138, MATCH('Staging Table'!$A58, Demand_previous!$B$4:$B$138, 0), MATCH(AS$4&amp;AS$5,Demand_previous!$D$2:$AY$2&amp;Demand_previous!$D$3:$AY$3, 0))/1000</f>
        <v>8.8101024999999957</v>
      </c>
      <c r="AT58" s="298">
        <f t="array" ref="AT58">INDEX(Demand_previous!$D$4:$AY$138, MATCH('Staging Table'!$A58, Demand_previous!$B$4:$B$138, 0), MATCH(AT$4&amp;AT$5,Demand_previous!$D$2:$AY$2&amp;Demand_previous!$D$3:$AY$3, 0))/1000</f>
        <v>10.836275462962959</v>
      </c>
      <c r="AU58" s="298">
        <f t="array" ref="AU58">INDEX(Demand_previous!$D$4:$AY$138, MATCH('Staging Table'!$A58, Demand_previous!$B$4:$B$138, 0), MATCH(AU$4&amp;AU$5,Demand_previous!$D$2:$AY$2&amp;Demand_previous!$D$3:$AY$3, 0))/1000</f>
        <v>5.4160375000000034</v>
      </c>
      <c r="AV58" s="180">
        <f>$F58*(VLOOKUP(AV$4, Rates_previous!$G$6:$Q$29, 10, FALSE)+VLOOKUP(AV$4, Rates_previous!$G$6:$Q$29, 11, FALSE))</f>
        <v>20789.120373225171</v>
      </c>
      <c r="AW58" s="180">
        <f>$F58*(VLOOKUP(AW$4, Rates_previous!$G$6:$Q$29, 10, FALSE)+VLOOKUP(AW$4, Rates_previous!$G$6:$Q$29, 11, FALSE))</f>
        <v>26319.780881601724</v>
      </c>
      <c r="AX58" s="180">
        <f>$F58*(VLOOKUP(AX$4, Rates_previous!$G$6:$Q$29, 10, FALSE)+VLOOKUP(AX$4, Rates_previous!$G$6:$Q$29, 11, FALSE))</f>
        <v>25761.807232624837</v>
      </c>
      <c r="AY58" s="180">
        <f>$F58*(VLOOKUP(AY$4, Rates_previous!$G$6:$Q$29, 10, FALSE)+VLOOKUP(AY$4, Rates_previous!$G$6:$Q$29, 11, FALSE))</f>
        <v>21278.157257368504</v>
      </c>
      <c r="AZ58" s="180">
        <f>$F58*(VLOOKUP(AZ$4, Rates_previous!$G$6:$Q$29, 10, FALSE)+VLOOKUP(AZ$4, Rates_previous!$G$6:$Q$29, 11, FALSE))</f>
        <v>18442.245250211534</v>
      </c>
      <c r="BA58" s="180">
        <f>$F58*(VLOOKUP(BA$4, Rates_previous!$G$6:$Q$29, 10, FALSE)+VLOOKUP(BA$4, Rates_previous!$G$6:$Q$29, 11, FALSE))</f>
        <v>22016.316615635089</v>
      </c>
      <c r="BB58" s="180">
        <f>$F58*(VLOOKUP(BB$4, Rates_previous!$G$6:$Q$29, 10, FALSE)+VLOOKUP(BB$4, Rates_previous!$G$6:$Q$29, 11, FALSE))</f>
        <v>17092.738844041101</v>
      </c>
      <c r="BC58" s="180">
        <f>$F58*(VLOOKUP(BC$4, Rates_previous!$G$6:$Q$29, 10, FALSE)+VLOOKUP(BC$4, Rates_previous!$G$6:$Q$29, 11, FALSE))</f>
        <v>23682.115453612743</v>
      </c>
      <c r="BD58" s="180">
        <f>$F58*(VLOOKUP(BD$4, Rates_previous!$G$6:$Q$29, 10, FALSE)+VLOOKUP(BD$4, Rates_previous!$G$6:$Q$29, 11, FALSE))</f>
        <v>25304.836245583327</v>
      </c>
      <c r="BE58" s="180">
        <f>$F58*(VLOOKUP(BE$4, Rates_previous!$G$6:$Q$29, 10, FALSE)+VLOOKUP(BE$4, Rates_previous!$G$6:$Q$29, 11, FALSE))</f>
        <v>24025.796171740549</v>
      </c>
      <c r="BF58" s="180">
        <f>$F58*(VLOOKUP(BF$4, Rates_previous!$G$6:$Q$29, 10, FALSE)+VLOOKUP(BF$4, Rates_previous!$G$6:$Q$29, 11, FALSE))</f>
        <v>23219.078506249694</v>
      </c>
      <c r="BG58" s="180">
        <f>$F58*(VLOOKUP(BG$4, Rates_previous!$G$6:$Q$29, 10, FALSE)+VLOOKUP(BG$4, Rates_previous!$G$6:$Q$29, 11, FALSE))</f>
        <v>21456.849032784849</v>
      </c>
      <c r="BH58" s="298">
        <f>IF($D58=0,IF(C58=0, MAX(BJ58 - (VLOOKUP($A58,TOCA_previous!$A$2:$AI$137,MATCH("RHWM 2022",TOCA_previous!$A$2:$AI$2,0),FALSE)*$F$2*TOCA_previous!C55),0),0), 0)</f>
        <v>5681.1247804048471</v>
      </c>
      <c r="BI58" s="192">
        <f>MIN(VLOOKUP($A58,TOCA_previous!$A$2:$AI$137,MATCH("TRL - NLSL - Existing Resource "&amp;$F$1,TOCA_previous!$A$2:$AI$2,0),FALSE)*$F$2,(VLOOKUP($A58,TOCA_previous!$A$2:$AI$137,MATCH("RHWM 2022",TOCA_previous!$A$2:$AI$2,0),FALSE)*$F$2))</f>
        <v>269387.52000000002</v>
      </c>
      <c r="BJ58" s="402">
        <f>SUM(L58:AI58)+(F58*RT1SC!$C$3*$F$2)</f>
        <v>275068.64478040487</v>
      </c>
      <c r="BK58" s="401">
        <f>VLOOKUP($A58,TOCA_previous!$A$2:$AI$137,MATCH("Above RHWM Not Served with LS "&amp;$F$1,TOCA_previous!$A$2:$AI$2,0),FALSE)*$F$2</f>
        <v>13744.439999999999</v>
      </c>
      <c r="BL58" s="402">
        <f t="shared" si="8"/>
        <v>5681.1247804048471</v>
      </c>
      <c r="BM58" s="401">
        <f>(VLOOKUP($A58,TOCA_previous!$A$2:$AI$137,MATCH("RHWM 2022",TOCA_previous!$A$2:$AI$2,0),FALSE)*$F$2) - $BI58</f>
        <v>0</v>
      </c>
      <c r="BN58" s="402">
        <f t="shared" si="9"/>
        <v>0</v>
      </c>
      <c r="BO58" s="401">
        <f t="shared" si="10"/>
        <v>0</v>
      </c>
      <c r="BP58" s="402">
        <f t="shared" si="11"/>
        <v>0</v>
      </c>
      <c r="BQ58" s="401">
        <f t="shared" si="18"/>
        <v>0</v>
      </c>
      <c r="BR58" s="108">
        <f>VLOOKUP($A58,TOCA_current!$A$2:$AI$137,MATCH(BR$4,TOCA_current!$A$2:$AI$2,0),FALSE)</f>
        <v>4.5640999999999998E-3</v>
      </c>
      <c r="BS58" s="108">
        <f>VLOOKUP($A58,TOCA_current!$A$2:$AI$137,MATCH(BS$4,TOCA_current!$A$2:$AI$2,0),FALSE)</f>
        <v>4.5640999999999998E-3</v>
      </c>
      <c r="BT58" s="189">
        <f t="shared" si="12"/>
        <v>0</v>
      </c>
      <c r="BU58" s="108">
        <f>VLOOKUP($A58,TOCA_current!A54:BG189,MATCH(BU$4,TOCA_current!$A$2:$BG$2,0),FALSE)</f>
        <v>0</v>
      </c>
      <c r="BV58" s="108">
        <f t="shared" si="19"/>
        <v>0</v>
      </c>
      <c r="BW58" s="108">
        <f t="shared" si="20"/>
        <v>0</v>
      </c>
      <c r="BX58" s="179">
        <f>VLOOKUP($A58,IRD!$A$4:$G$139, 7, FALSE)</f>
        <v>0</v>
      </c>
      <c r="BY58" s="180">
        <f t="array" ref="BY58">IF($BT58=0, INDEX(LS_current!$D$4:$AY$138, MATCH('Staging Table'!$A58, LS_current!$B$4:$B$138, 0), MATCH(BY$4&amp;BY$5, LS_current!$D$2:$AY$2&amp;LS_current!$D$3:$AY$3, 0)),SUM(VLOOKUP($A58, LS_current!$B$4:$AY$138, LS_current!D$148, FALSE), VLOOKUP($A58, LS_current!$B$4:$AY$138,LS_current!AB$148, FALSE))/2)</f>
        <v>2282.8631752923993</v>
      </c>
      <c r="BZ58" s="180">
        <f t="array" ref="BZ58">IF($BT58=0, INDEX(LS_current!$D$4:$AY$138, MATCH('Staging Table'!$A58, LS_current!$B$4:$B$138, 0), MATCH(BZ$4&amp;BZ$5, LS_current!$D$2:$AY$2&amp;LS_current!$D$3:$AY$3, 0)),SUM(VLOOKUP($A58, LS_current!$B$4:$AY$138, LS_current!E$148, FALSE), VLOOKUP($A58, LS_current!$B$4:$AY$138,LS_current!AC$148, FALSE))/2)</f>
        <v>1114.4405768454499</v>
      </c>
      <c r="CA58" s="180">
        <f t="array" ref="CA58">IF($BT58=0, INDEX(LS_current!$D$4:$AY$138, MATCH('Staging Table'!$A58, LS_current!$B$4:$B$138, 0), MATCH(CA$4&amp;CA$5, LS_current!$D$2:$AY$2&amp;LS_current!$D$3:$AY$3, 0)),SUM(VLOOKUP($A58, LS_current!$B$4:$AY$138, LS_current!F$148, FALSE), VLOOKUP($A58, LS_current!$B$4:$AY$138,LS_current!AD$148, FALSE))/2)</f>
        <v>1069.3443862751992</v>
      </c>
      <c r="CB58" s="180">
        <f t="array" ref="CB58">IF($BT58=0, INDEX(LS_current!$D$4:$AY$138, MATCH('Staging Table'!$A58, LS_current!$B$4:$B$138, 0), MATCH(CB$4&amp;CB$5, LS_current!$D$2:$AY$2&amp;LS_current!$D$3:$AY$3, 0)),SUM(VLOOKUP($A58, LS_current!$B$4:$AY$138, LS_current!G$148, FALSE), VLOOKUP($A58, LS_current!$B$4:$AY$138,LS_current!AE$148, FALSE))/2)</f>
        <v>1941.9303402529004</v>
      </c>
      <c r="CC58" s="180">
        <f t="array" ref="CC58">IF($BT58=0, INDEX(LS_current!$D$4:$AY$138, MATCH('Staging Table'!$A58, LS_current!$B$4:$B$138, 0), MATCH(CC$4&amp;CC$5, LS_current!$D$2:$AY$2&amp;LS_current!$D$3:$AY$3, 0)),SUM(VLOOKUP($A58, LS_current!$B$4:$AY$138, LS_current!H$148, FALSE), VLOOKUP($A58, LS_current!$B$4:$AY$138,LS_current!AF$148, FALSE))/2)</f>
        <v>4171.7410386300999</v>
      </c>
      <c r="CD58" s="180">
        <f t="array" ref="CD58">IF($BT58=0, INDEX(LS_current!$D$4:$AY$138, MATCH('Staging Table'!$A58, LS_current!$B$4:$B$138, 0), MATCH(CD$4&amp;CD$5, LS_current!$D$2:$AY$2&amp;LS_current!$D$3:$AY$3, 0)),SUM(VLOOKUP($A58, LS_current!$B$4:$AY$138, LS_current!I$148, FALSE), VLOOKUP($A58, LS_current!$B$4:$AY$138,LS_current!AG$148, FALSE))/2)</f>
        <v>4000.7191720864012</v>
      </c>
      <c r="CE58" s="180">
        <f t="array" ref="CE58">IF($BT58=0, INDEX(LS_current!$D$4:$AY$138, MATCH('Staging Table'!$A58, LS_current!$B$4:$B$138, 0), MATCH(CE$4&amp;CE$5, LS_current!$D$2:$AY$2&amp;LS_current!$D$3:$AY$3, 0)),SUM(VLOOKUP($A58, LS_current!$B$4:$AY$138, LS_current!J$148, FALSE), VLOOKUP($A58, LS_current!$B$4:$AY$138,LS_current!AH$148, FALSE))/2)</f>
        <v>3544.3554435685</v>
      </c>
      <c r="CF58" s="180">
        <f t="array" ref="CF58">IF($BT58=0, INDEX(LS_current!$D$4:$AY$138, MATCH('Staging Table'!$A58, LS_current!$B$4:$B$138, 0), MATCH(CF$4&amp;CF$5, LS_current!$D$2:$AY$2&amp;LS_current!$D$3:$AY$3, 0)),SUM(VLOOKUP($A58, LS_current!$B$4:$AY$138, LS_current!K$148, FALSE), VLOOKUP($A58, LS_current!$B$4:$AY$138,LS_current!AI$148, FALSE))/2)</f>
        <v>3949.4932218410995</v>
      </c>
      <c r="CG58" s="180">
        <f t="array" ref="CG58">IF($BT58=0, INDEX(LS_current!$D$4:$AY$138, MATCH('Staging Table'!$A58, LS_current!$B$4:$B$138, 0), MATCH(CG$4&amp;CG$5, LS_current!$D$2:$AY$2&amp;LS_current!$D$3:$AY$3, 0)),SUM(VLOOKUP($A58, LS_current!$B$4:$AY$138, LS_current!L$148, FALSE), VLOOKUP($A58, LS_current!$B$4:$AY$138,LS_current!AJ$148, FALSE))/2)</f>
        <v>2902.8838086561027</v>
      </c>
      <c r="CH58" s="180">
        <f t="array" ref="CH58">IF($BT58=0, INDEX(LS_current!$D$4:$AY$138, MATCH('Staging Table'!$A58, LS_current!$B$4:$B$138, 0), MATCH(CH$4&amp;CH$5, LS_current!$D$2:$AY$2&amp;LS_current!$D$3:$AY$3, 0)),SUM(VLOOKUP($A58, LS_current!$B$4:$AY$138, LS_current!M$148, FALSE), VLOOKUP($A58, LS_current!$B$4:$AY$138,LS_current!AK$148, FALSE))/2)</f>
        <v>3432.8774689280999</v>
      </c>
      <c r="CI58" s="180">
        <f t="array" ref="CI58">IF($BT58=0, INDEX(LS_current!$D$4:$AY$138, MATCH('Staging Table'!$A58, LS_current!$B$4:$B$138, 0), MATCH(CI$4&amp;CI$5, LS_current!$D$2:$AY$2&amp;LS_current!$D$3:$AY$3, 0)),SUM(VLOOKUP($A58, LS_current!$B$4:$AY$138, LS_current!N$148, FALSE), VLOOKUP($A58, LS_current!$B$4:$AY$138,LS_current!AL$148, FALSE))/2)</f>
        <v>668.38817635670239</v>
      </c>
      <c r="CJ58" s="180">
        <f t="array" ref="CJ58">IF($BT58=0, INDEX(LS_current!$D$4:$AY$138, MATCH('Staging Table'!$A58, LS_current!$B$4:$B$138, 0), MATCH(CJ$4&amp;CJ$5, LS_current!$D$2:$AY$2&amp;LS_current!$D$3:$AY$3, 0)),SUM(VLOOKUP($A58, LS_current!$B$4:$AY$138, LS_current!O$148, FALSE), VLOOKUP($A58, LS_current!$B$4:$AY$138,LS_current!AM$148, FALSE))/2)</f>
        <v>749.84536303020104</v>
      </c>
      <c r="CK58" s="180">
        <f t="array" ref="CK58">IF($BT58=0, INDEX(LS_current!$D$4:$AY$138, MATCH('Staging Table'!$A58, LS_current!$B$4:$B$138, 0), MATCH(CK$4&amp;CK$5, LS_current!$D$2:$AY$2&amp;LS_current!$D$3:$AY$3, 0)),SUM(VLOOKUP($A58, LS_current!$B$4:$AY$138, LS_current!P$148, FALSE), VLOOKUP($A58, LS_current!$B$4:$AY$138,LS_current!AN$148, FALSE))/2)</f>
        <v>922.24266271225133</v>
      </c>
      <c r="CL58" s="180">
        <f t="array" ref="CL58">IF($BT58=0, INDEX(LS_current!$D$4:$AY$138, MATCH('Staging Table'!$A58, LS_current!$B$4:$B$138, 0), MATCH(CL$4&amp;CL$5, LS_current!$D$2:$AY$2&amp;LS_current!$D$3:$AY$3, 0)),SUM(VLOOKUP($A58, LS_current!$B$4:$AY$138, LS_current!Q$148, FALSE), VLOOKUP($A58, LS_current!$B$4:$AY$138,LS_current!AO$148, FALSE))/2)</f>
        <v>825.52173922682687</v>
      </c>
      <c r="CM58" s="180">
        <f t="array" ref="CM58">IF($BT58=0, INDEX(LS_current!$D$4:$AY$138, MATCH('Staging Table'!$A58, LS_current!$B$4:$B$138, 0), MATCH(CM$4&amp;CM$5, LS_current!$D$2:$AY$2&amp;LS_current!$D$3:$AY$3, 0)),SUM(VLOOKUP($A58, LS_current!$B$4:$AY$138, LS_current!R$148, FALSE), VLOOKUP($A58, LS_current!$B$4:$AY$138,LS_current!AP$148, FALSE))/2)</f>
        <v>-4437.1432759568015</v>
      </c>
      <c r="CN58" s="180">
        <f t="array" ref="CN58">IF($BT58=0, INDEX(LS_current!$D$4:$AY$138, MATCH('Staging Table'!$A58, LS_current!$B$4:$B$138, 0), MATCH(CN$4&amp;CN$5, LS_current!$D$2:$AY$2&amp;LS_current!$D$3:$AY$3, 0)),SUM(VLOOKUP($A58, LS_current!$B$4:$AY$138, LS_current!S$148, FALSE), VLOOKUP($A58, LS_current!$B$4:$AY$138,LS_current!AQ$148, FALSE))/2)</f>
        <v>-2177.860346309848</v>
      </c>
      <c r="CO58" s="180">
        <f t="array" ref="CO58">IF($BT58=0, INDEX(LS_current!$D$4:$AY$138, MATCH('Staging Table'!$A58, LS_current!$B$4:$B$138, 0), MATCH(CO$4&amp;CO$5, LS_current!$D$2:$AY$2&amp;LS_current!$D$3:$AY$3, 0)),SUM(VLOOKUP($A58, LS_current!$B$4:$AY$138, LS_current!T$148, FALSE), VLOOKUP($A58, LS_current!$B$4:$AY$138,LS_current!AR$148, FALSE))/2)</f>
        <v>-5731.1051750565985</v>
      </c>
      <c r="CP58" s="180">
        <f t="array" ref="CP58">IF($BT58=0, INDEX(LS_current!$D$4:$AY$138, MATCH('Staging Table'!$A58, LS_current!$B$4:$B$138, 0), MATCH(CP$4&amp;CP$5, LS_current!$D$2:$AY$2&amp;LS_current!$D$3:$AY$3, 0)),SUM(VLOOKUP($A58, LS_current!$B$4:$AY$138, LS_current!U$148, FALSE), VLOOKUP($A58, LS_current!$B$4:$AY$138,LS_current!AS$148, FALSE))/2)</f>
        <v>-3038.6182762434501</v>
      </c>
      <c r="CQ58" s="180">
        <f t="array" ref="CQ58">IF($BT58=0, INDEX(LS_current!$D$4:$AY$138, MATCH('Staging Table'!$A58, LS_current!$B$4:$B$138, 0), MATCH(CQ$4&amp;CQ$5, LS_current!$D$2:$AY$2&amp;LS_current!$D$3:$AY$3, 0)),SUM(VLOOKUP($A58, LS_current!$B$4:$AY$138, LS_current!V$148, FALSE), VLOOKUP($A58, LS_current!$B$4:$AY$138,LS_current!AT$148, FALSE))/2)</f>
        <v>-3160.2806740723991</v>
      </c>
      <c r="CR58" s="180">
        <f t="array" ref="CR58">IF($BT58=0, INDEX(LS_current!$D$4:$AY$138, MATCH('Staging Table'!$A58, LS_current!$B$4:$B$138, 0), MATCH(CR$4&amp;CR$5, LS_current!$D$2:$AY$2&amp;LS_current!$D$3:$AY$3, 0)),SUM(VLOOKUP($A58, LS_current!$B$4:$AY$138, LS_current!W$148, FALSE), VLOOKUP($A58, LS_current!$B$4:$AY$138,LS_current!AU$148, FALSE))/2)</f>
        <v>-1191.911544172749</v>
      </c>
      <c r="CS58" s="180">
        <f t="array" ref="CS58">IF($BT58=0, INDEX(LS_current!$D$4:$AY$138, MATCH('Staging Table'!$A58, LS_current!$B$4:$B$138, 0), MATCH(CS$4&amp;CS$5, LS_current!$D$2:$AY$2&amp;LS_current!$D$3:$AY$3, 0)),SUM(VLOOKUP($A58, LS_current!$B$4:$AY$138, LS_current!X$148, FALSE), VLOOKUP($A58, LS_current!$B$4:$AY$138,LS_current!AV$148, FALSE))/2)</f>
        <v>-2426.3931717431497</v>
      </c>
      <c r="CT58" s="180">
        <f t="array" ref="CT58">IF($BT58=0, INDEX(LS_current!$D$4:$AY$138, MATCH('Staging Table'!$A58, LS_current!$B$4:$B$138, 0), MATCH(CT$4&amp;CT$5, LS_current!$D$2:$AY$2&amp;LS_current!$D$3:$AY$3, 0)),SUM(VLOOKUP($A58, LS_current!$B$4:$AY$138, LS_current!Y$148, FALSE), VLOOKUP($A58, LS_current!$B$4:$AY$138,LS_current!AW$148, FALSE))/2)</f>
        <v>-826.82557024338439</v>
      </c>
      <c r="CU58" s="180">
        <f t="array" ref="CU58">IF($BT58=0, INDEX(LS_current!$D$4:$AY$138, MATCH('Staging Table'!$A58, LS_current!$B$4:$B$138, 0), MATCH(CU$4&amp;CU$5, LS_current!$D$2:$AY$2&amp;LS_current!$D$3:$AY$3, 0)),SUM(VLOOKUP($A58, LS_current!$B$4:$AY$138, LS_current!Z$148, FALSE), VLOOKUP($A58, LS_current!$B$4:$AY$138,LS_current!AX$148, FALSE))/2)</f>
        <v>-1729.6547763634007</v>
      </c>
      <c r="CV58" s="180">
        <f t="array" ref="CV58">IF($BT58=0, INDEX(LS_current!$D$4:$AY$138, MATCH('Staging Table'!$A58, LS_current!$B$4:$B$138, 0), MATCH(CV$4&amp;CV$5, LS_current!$D$2:$AY$2&amp;LS_current!$D$3:$AY$3, 0)),SUM(VLOOKUP($A58, LS_current!$B$4:$AY$138, LS_current!AA$148, FALSE), VLOOKUP($A58, LS_current!$B$4:$AY$138,LS_current!AY$148, FALSE))/2)</f>
        <v>-1221.5319275663996</v>
      </c>
      <c r="CW58" s="182">
        <f t="array" ref="CW58">INDEX(Demand_current!$D$4:$AY$138, MATCH($A58, Demand_current!$B$4:$B$138, 0), MATCH(CW$4&amp;CW$5,Demand_current!$D$2:$AY$2&amp;Demand_current!$D$3:$AY$3, 0))/1000</f>
        <v>0</v>
      </c>
      <c r="CX58" s="182">
        <f t="array" ref="CX58">INDEX(Demand_current!$D$4:$AY$138, MATCH($A58, Demand_current!$B$4:$B$138, 0), MATCH(CX$4&amp;CX$5,Demand_current!$D$2:$AY$2&amp;Demand_current!$D$3:$AY$3, 0))/1000</f>
        <v>1.6900225000000013</v>
      </c>
      <c r="CY58" s="182">
        <f t="array" ref="CY58">INDEX(Demand_current!$D$4:$AY$138, MATCH($A58, Demand_current!$B$4:$B$138, 0), MATCH(CY$4&amp;CY$5,Demand_current!$D$2:$AY$2&amp;Demand_current!$D$3:$AY$3, 0))/1000</f>
        <v>8.7080249999999939</v>
      </c>
      <c r="CZ58" s="182">
        <f t="array" ref="CZ58">INDEX(Demand_current!$D$4:$AY$138, MATCH($A58, Demand_current!$B$4:$B$138, 0), MATCH(CZ$4&amp;CZ$5,Demand_current!$D$2:$AY$2&amp;Demand_current!$D$3:$AY$3, 0))/1000</f>
        <v>8.1301682692307633</v>
      </c>
      <c r="DA58" s="182">
        <f t="array" ref="DA58">INDEX(Demand_current!$D$4:$AY$138, MATCH($A58, Demand_current!$B$4:$B$138, 0), MATCH(DA$4&amp;DA$5,Demand_current!$D$2:$AY$2&amp;Demand_current!$D$3:$AY$3, 0))/1000</f>
        <v>6.2220124999999893</v>
      </c>
      <c r="DB58" s="182">
        <f t="array" ref="DB58">INDEX(Demand_current!$D$4:$AY$138, MATCH($A58, Demand_current!$B$4:$B$138, 0), MATCH(DB$4&amp;DB$5,Demand_current!$D$2:$AY$2&amp;Demand_current!$D$3:$AY$3, 0))/1000</f>
        <v>6.787499999999369E-2</v>
      </c>
      <c r="DC58" s="182">
        <f t="array" ref="DC58">INDEX(Demand_current!$D$4:$AY$138, MATCH($A58, Demand_current!$B$4:$B$138, 0), MATCH(DC$4&amp;DC$5,Demand_current!$D$2:$AY$2&amp;Demand_current!$D$3:$AY$3, 0))/1000</f>
        <v>5.0144615384615392</v>
      </c>
      <c r="DD58" s="182">
        <f t="array" ref="DD58">INDEX(Demand_current!$D$4:$AY$138, MATCH($A58, Demand_current!$B$4:$B$138, 0), MATCH(DD$4&amp;DD$5,Demand_current!$D$2:$AY$2&amp;Demand_current!$D$3:$AY$3, 0))/1000</f>
        <v>1.7096778846153864</v>
      </c>
      <c r="DE58" s="182">
        <f t="array" ref="DE58">INDEX(Demand_current!$D$4:$AY$138, MATCH($A58, Demand_current!$B$4:$B$138, 0), MATCH(DE$4&amp;DE$5,Demand_current!$D$2:$AY$2&amp;Demand_current!$D$3:$AY$3, 0))/1000</f>
        <v>6.991182499999999</v>
      </c>
      <c r="DF58" s="182">
        <f t="array" ref="DF58">INDEX(Demand_current!$D$4:$AY$138, MATCH($A58, Demand_current!$B$4:$B$138, 0), MATCH(DF$4&amp;DF$5,Demand_current!$D$2:$AY$2&amp;Demand_current!$D$3:$AY$3, 0))/1000</f>
        <v>9.8522139423076887</v>
      </c>
      <c r="DG58" s="182">
        <f t="array" ref="DG58">INDEX(Demand_current!$D$4:$AY$138, MATCH($A58, Demand_current!$B$4:$B$138, 0), MATCH(DG$4&amp;DG$5,Demand_current!$D$2:$AY$2&amp;Demand_current!$D$3:$AY$3, 0))/1000</f>
        <v>10.836275462962963</v>
      </c>
      <c r="DH58" s="182">
        <f t="array" ref="DH58">INDEX(Demand_current!$D$4:$AY$138, MATCH($A58, Demand_current!$B$4:$B$138, 0), MATCH(DH$4&amp;DH$5,Demand_current!$D$2:$AY$2&amp;Demand_current!$D$3:$AY$3, 0))/1000</f>
        <v>4.3529973958333397</v>
      </c>
      <c r="DI58" s="180">
        <f>$BS58*(VLOOKUP(DI$4, Rates_current!$G$6:$Q$29, 10, FALSE)+VLOOKUP(DI$4, Rates_current!$G$6:$Q$29, 11, FALSE))</f>
        <v>19255.042247862148</v>
      </c>
      <c r="DJ58" s="180">
        <f>$BS58*(VLOOKUP(DJ$4, Rates_current!$G$6:$Q$29, 10, FALSE)+VLOOKUP(DJ$4, Rates_current!$G$6:$Q$29, 11, FALSE))</f>
        <v>24556.5282734719</v>
      </c>
      <c r="DK58" s="180">
        <f>$BS58*(VLOOKUP(DK$4, Rates_current!$G$6:$Q$29, 10, FALSE)+VLOOKUP(DK$4, Rates_current!$G$6:$Q$29, 11, FALSE))</f>
        <v>26501.352789283501</v>
      </c>
      <c r="DL58" s="180">
        <f>$BS58*(VLOOKUP(DL$4, Rates_current!$G$6:$Q$29, 10, FALSE)+VLOOKUP(DL$4, Rates_current!$G$6:$Q$29, 11, FALSE))</f>
        <v>27539.002334590397</v>
      </c>
      <c r="DM58" s="180">
        <f>$BS58*(VLOOKUP(DM$4, Rates_current!$G$6:$Q$29, 10, FALSE)+VLOOKUP(DM$4, Rates_current!$G$6:$Q$29, 11, FALSE))</f>
        <v>23687.212722415796</v>
      </c>
      <c r="DN58" s="180">
        <f>$BS58*(VLOOKUP(DN$4, Rates_current!$G$6:$Q$29, 10, FALSE)+VLOOKUP(DN$4, Rates_current!$G$6:$Q$29, 11, FALSE))</f>
        <v>25861.746460613096</v>
      </c>
      <c r="DO58" s="180">
        <f>$BS58*(VLOOKUP(DO$4, Rates_current!$G$6:$Q$29, 10, FALSE)+VLOOKUP(DO$4, Rates_current!$G$6:$Q$29, 11, FALSE))</f>
        <v>20413.490598060922</v>
      </c>
      <c r="DP58" s="180">
        <f>$BS58*(VLOOKUP(DP$4, Rates_current!$G$6:$Q$29, 10, FALSE)+VLOOKUP(DP$4, Rates_current!$G$6:$Q$29, 11, FALSE))</f>
        <v>25325.670622266651</v>
      </c>
      <c r="DQ58" s="180">
        <f>$BS58*(VLOOKUP(DQ$4, Rates_current!$G$6:$Q$29, 10, FALSE)+VLOOKUP(DQ$4, Rates_current!$G$6:$Q$29, 11, FALSE))</f>
        <v>25875.174451300049</v>
      </c>
      <c r="DR58" s="180">
        <f>$BS58*(VLOOKUP(DR$4, Rates_current!$G$6:$Q$29, 10, FALSE)+VLOOKUP(DR$4, Rates_current!$G$6:$Q$29, 11, FALSE))</f>
        <v>22463.379218245147</v>
      </c>
      <c r="DS58" s="180">
        <f>$BS58*(VLOOKUP(DS$4, Rates_current!$G$6:$Q$29, 10, FALSE)+VLOOKUP(DS$4, Rates_current!$G$6:$Q$29, 11, FALSE))</f>
        <v>21716.116741986538</v>
      </c>
      <c r="DT58" s="180">
        <f>$BS58*(VLOOKUP(DT$4, Rates_current!$G$6:$Q$29, 10, FALSE)+VLOOKUP(DT$4, Rates_current!$G$6:$Q$29, 11, FALSE))</f>
        <v>19983.032703929803</v>
      </c>
      <c r="DU58" s="402">
        <f>IF(D58=0,IF(C58=0,MAX(0,DW58 - (VLOOKUP($A58,TOCA_current!$A$2:$AI$137,MATCH("RHWM 2024",TOCA_current!$A$2:$AI$2,0),FALSE)*$BS$2)), 0),0)</f>
        <v>5634.4802980300155</v>
      </c>
      <c r="DV58" s="403">
        <f>MIN(VLOOKUP($A58,TOCA_current!$A$2:$AI$137,MATCH("TRL - NLSL - Existing Resource "&amp;$BS$1,TOCA_current!$A$2:$AI$2,0),FALSE)*$BS$2, VLOOKUP($A58,TOCA_current!$A$2:$AI$137,MATCH("RHWM 2024",TOCA_current!$A$2:$AI$2,0),FALSE)*$BS$2)</f>
        <v>283178.592</v>
      </c>
      <c r="DW58" s="403">
        <f>SUM(BY58:CV58)+(BS58*RT1SC!$C$4*$BS$2)</f>
        <v>288813.07229803002</v>
      </c>
      <c r="DX58" s="403">
        <f>VLOOKUP($A58,TOCA_current!$A$2:$AI$137,MATCH("Above RHWM Not Served with LS "&amp;$BS$1,TOCA_current!$A$2:$AI$2,0),FALSE)*$BS$2</f>
        <v>0</v>
      </c>
      <c r="DY58" s="403">
        <f t="shared" si="13"/>
        <v>5634.4802980300155</v>
      </c>
      <c r="DZ58" s="403">
        <f>(VLOOKUP($A58,TOCA_current!$A$2:$AI$137,MATCH("RHWM 2024",TOCA_current!$A$2:$AI$2,0),FALSE)*$BS$2) - $DV58</f>
        <v>0</v>
      </c>
      <c r="EA58" s="403">
        <f t="shared" si="14"/>
        <v>0</v>
      </c>
      <c r="EB58" s="403">
        <f t="shared" si="15"/>
        <v>0</v>
      </c>
      <c r="EC58" s="403">
        <f t="shared" si="16"/>
        <v>0</v>
      </c>
      <c r="ED58" s="403">
        <f t="shared" si="17"/>
        <v>0</v>
      </c>
    </row>
    <row r="59" spans="1:134">
      <c r="A59" s="123">
        <v>10157</v>
      </c>
      <c r="B59" s="124" t="s">
        <v>60</v>
      </c>
      <c r="C59" s="232">
        <f>VLOOKUP(A59, TOCA_current!$A$3:$D$137, 4, FALSE)</f>
        <v>0</v>
      </c>
      <c r="D59" s="191">
        <v>1</v>
      </c>
      <c r="E59" s="107">
        <f>VLOOKUP($A59,TOCA_previous!$A$2:$AI$137,MATCH(E$4,TOCA_previous!$A$2:$AI$2,0),FALSE)</f>
        <v>7.0743000000000004E-3</v>
      </c>
      <c r="F59" s="108">
        <f>VLOOKUP($A59,TOCA_previous!$A$2:$AI$137,MATCH(F$4,TOCA_previous!$A$2:$AI$2,0),FALSE)</f>
        <v>3.3763000000000005E-3</v>
      </c>
      <c r="G59" s="108">
        <f t="shared" si="5"/>
        <v>3.6979999999999999E-3</v>
      </c>
      <c r="H59" s="294">
        <f>84000*12</f>
        <v>1008000</v>
      </c>
      <c r="I59" s="108">
        <f t="shared" si="6"/>
        <v>0</v>
      </c>
      <c r="J59" s="108">
        <f t="shared" si="7"/>
        <v>0</v>
      </c>
      <c r="K59" s="179">
        <f>VLOOKUP(A59, IRD!$A$5:$C$139, 3, FALSE)</f>
        <v>0</v>
      </c>
      <c r="L59" s="180">
        <f t="array" ref="L59">IF($G59=0, INDEX(LS_previous!$D$4:$AY$138, MATCH('Staging Table'!$A59, LS_previous!$B$4:$B$138, 0), MATCH(L$4&amp;L$5, LS_previous!$D$2:$AY$2&amp;LS_previous!$D$3:$AY$3, 0)),SUM(VLOOKUP($A59, LS_previous!$B$4:$AY$138, LS_previous!D$149, FALSE), VLOOKUP('Staging Table'!$A59, LS_previous!$B$4:$AY$138,LS_previous!AB$149, FALSE))/2)</f>
        <v>-1394.9643553793958</v>
      </c>
      <c r="M59" s="180">
        <f t="array" ref="M59">IF($G59=0, INDEX(LS_previous!$D$4:$AY$138, MATCH('Staging Table'!$A59, LS_previous!$B$4:$B$138, 0), MATCH(M$4&amp;M$5, LS_previous!$D$2:$AY$2&amp;LS_previous!$D$3:$AY$3, 0)),SUM(VLOOKUP($A59, LS_previous!$B$4:$AY$138, LS_previous!E$149, FALSE), VLOOKUP('Staging Table'!$A59, LS_previous!$B$4:$AY$138,LS_previous!AC$149, FALSE))/2)</f>
        <v>1161.558617668406</v>
      </c>
      <c r="N59" s="180">
        <f t="array" ref="N59">IF($G59=0, INDEX(LS_previous!$D$4:$AY$138, MATCH('Staging Table'!$A59, LS_previous!$B$4:$B$138, 0), MATCH(N$4&amp;N$5, LS_previous!$D$2:$AY$2&amp;LS_previous!$D$3:$AY$3, 0)),SUM(VLOOKUP($A59, LS_previous!$B$4:$AY$138, LS_previous!F$149, FALSE), VLOOKUP('Staging Table'!$A59, LS_previous!$B$4:$AY$138,LS_previous!AD$149, FALSE))/2)</f>
        <v>-1665.5317264424384</v>
      </c>
      <c r="O59" s="180">
        <f t="array" ref="O59">IF($G59=0, INDEX(LS_previous!$D$4:$AY$138, MATCH('Staging Table'!$A59, LS_previous!$B$4:$B$138, 0), MATCH(O$4&amp;O$5, LS_previous!$D$2:$AY$2&amp;LS_previous!$D$3:$AY$3, 0)),SUM(VLOOKUP($A59, LS_previous!$B$4:$AY$138, LS_previous!G$149, FALSE), VLOOKUP('Staging Table'!$A59, LS_previous!$B$4:$AY$138,LS_previous!AE$149, FALSE))/2)</f>
        <v>728.73597321441684</v>
      </c>
      <c r="P59" s="180">
        <f t="array" ref="P59">IF($G59=0, INDEX(LS_previous!$D$4:$AY$138, MATCH('Staging Table'!$A59, LS_previous!$B$4:$B$138, 0), MATCH(P$4&amp;P$5, LS_previous!$D$2:$AY$2&amp;LS_previous!$D$3:$AY$3, 0)),SUM(VLOOKUP($A59, LS_previous!$B$4:$AY$138, LS_previous!H$149, FALSE), VLOOKUP('Staging Table'!$A59, LS_previous!$B$4:$AY$138,LS_previous!AF$149, FALSE))/2)</f>
        <v>1814.9882046863795</v>
      </c>
      <c r="Q59" s="180">
        <f t="array" ref="Q59">IF($G59=0, INDEX(LS_previous!$D$4:$AY$138, MATCH('Staging Table'!$A59, LS_previous!$B$4:$B$138, 0), MATCH(Q$4&amp;Q$5, LS_previous!$D$2:$AY$2&amp;LS_previous!$D$3:$AY$3, 0)),SUM(VLOOKUP($A59, LS_previous!$B$4:$AY$138, LS_previous!I$149, FALSE), VLOOKUP('Staging Table'!$A59, LS_previous!$B$4:$AY$138,LS_previous!AG$149, FALSE))/2)</f>
        <v>1844.863740469732</v>
      </c>
      <c r="R59" s="180">
        <f t="array" ref="R59">IF($G59=0, INDEX(LS_previous!$D$4:$AY$138, MATCH('Staging Table'!$A59, LS_previous!$B$4:$B$138, 0), MATCH(R$4&amp;R$5, LS_previous!$D$2:$AY$2&amp;LS_previous!$D$3:$AY$3, 0)),SUM(VLOOKUP($A59, LS_previous!$B$4:$AY$138, LS_previous!J$149, FALSE), VLOOKUP('Staging Table'!$A59, LS_previous!$B$4:$AY$138,LS_previous!AH$149, FALSE))/2)</f>
        <v>2294.7193564789586</v>
      </c>
      <c r="S59" s="180">
        <f t="array" ref="S59">IF($G59=0, INDEX(LS_previous!$D$4:$AY$138, MATCH('Staging Table'!$A59, LS_previous!$B$4:$B$138, 0), MATCH(S$4&amp;S$5, LS_previous!$D$2:$AY$2&amp;LS_previous!$D$3:$AY$3, 0)),SUM(VLOOKUP($A59, LS_previous!$B$4:$AY$138, LS_previous!K$149, FALSE), VLOOKUP('Staging Table'!$A59, LS_previous!$B$4:$AY$138,LS_previous!AI$149, FALSE))/2)</f>
        <v>2888.0603276923521</v>
      </c>
      <c r="T59" s="180">
        <f t="array" ref="T59">IF($G59=0, INDEX(LS_previous!$D$4:$AY$138, MATCH('Staging Table'!$A59, LS_previous!$B$4:$B$138, 0), MATCH(T$4&amp;T$5, LS_previous!$D$2:$AY$2&amp;LS_previous!$D$3:$AY$3, 0)),SUM(VLOOKUP($A59, LS_previous!$B$4:$AY$138, LS_previous!L$149, FALSE), VLOOKUP('Staging Table'!$A59, LS_previous!$B$4:$AY$138,LS_previous!AJ$149, FALSE))/2)</f>
        <v>2437.1922839894441</v>
      </c>
      <c r="U59" s="180">
        <f t="array" ref="U59">IF($G59=0, INDEX(LS_previous!$D$4:$AY$138, MATCH('Staging Table'!$A59, LS_previous!$B$4:$B$138, 0), MATCH(U$4&amp;U$5, LS_previous!$D$2:$AY$2&amp;LS_previous!$D$3:$AY$3, 0)),SUM(VLOOKUP($A59, LS_previous!$B$4:$AY$138, LS_previous!M$149, FALSE), VLOOKUP('Staging Table'!$A59, LS_previous!$B$4:$AY$138,LS_previous!AK$149, FALSE))/2)</f>
        <v>2053.6806274632372</v>
      </c>
      <c r="V59" s="180">
        <f t="array" ref="V59">IF($G59=0, INDEX(LS_previous!$D$4:$AY$138, MATCH('Staging Table'!$A59, LS_previous!$B$4:$B$138, 0), MATCH(V$4&amp;V$5, LS_previous!$D$2:$AY$2&amp;LS_previous!$D$3:$AY$3, 0)),SUM(VLOOKUP($A59, LS_previous!$B$4:$AY$138, LS_previous!N$149, FALSE), VLOOKUP('Staging Table'!$A59, LS_previous!$B$4:$AY$138,LS_previous!AL$149, FALSE))/2)</f>
        <v>78.168333537852959</v>
      </c>
      <c r="W59" s="180">
        <f t="array" ref="W59">IF($G59=0, INDEX(LS_previous!$D$4:$AY$138, MATCH('Staging Table'!$A59, LS_previous!$B$4:$B$138, 0), MATCH(W$4&amp;W$5, LS_previous!$D$2:$AY$2&amp;LS_previous!$D$3:$AY$3, 0)),SUM(VLOOKUP($A59, LS_previous!$B$4:$AY$138, LS_previous!O$149, FALSE), VLOOKUP('Staging Table'!$A59, LS_previous!$B$4:$AY$138,LS_previous!AM$149, FALSE))/2)</f>
        <v>972.41108744643725</v>
      </c>
      <c r="X59" s="180">
        <f t="array" ref="X59">IF($G59=0, INDEX(LS_previous!$D$4:$AY$138, MATCH('Staging Table'!$A59, LS_previous!$B$4:$B$138, 0), MATCH(X$4&amp;X$5, LS_previous!$D$2:$AY$2&amp;LS_previous!$D$3:$AY$3, 0)),SUM(VLOOKUP($A59, LS_previous!$B$4:$AY$138, LS_previous!P$149, FALSE), VLOOKUP('Staging Table'!$A59, LS_previous!$B$4:$AY$138,LS_previous!AN$149, FALSE))/2)</f>
        <v>1127.1164456590132</v>
      </c>
      <c r="Y59" s="180">
        <f t="array" ref="Y59">IF($G59=0, INDEX(LS_previous!$D$4:$AY$138, MATCH('Staging Table'!$A59, LS_previous!$B$4:$B$138, 0), MATCH(Y$4&amp;Y$5, LS_previous!$D$2:$AY$2&amp;LS_previous!$D$3:$AY$3, 0)),SUM(VLOOKUP($A59, LS_previous!$B$4:$AY$138, LS_previous!Q$149, FALSE), VLOOKUP('Staging Table'!$A59, LS_previous!$B$4:$AY$138,LS_previous!AO$149, FALSE))/2)</f>
        <v>1970.9936549856257</v>
      </c>
      <c r="Z59" s="180">
        <f t="array" ref="Z59">IF($G59=0, INDEX(LS_previous!$D$4:$AY$138, MATCH('Staging Table'!$A59, LS_previous!$B$4:$B$138, 0), MATCH(Z$4&amp;Z$5, LS_previous!$D$2:$AY$2&amp;LS_previous!$D$3:$AY$3, 0)),SUM(VLOOKUP($A59, LS_previous!$B$4:$AY$138, LS_previous!R$149, FALSE), VLOOKUP('Staging Table'!$A59, LS_previous!$B$4:$AY$138,LS_previous!AP$149, FALSE))/2)</f>
        <v>-4043.5459322450797</v>
      </c>
      <c r="AA59" s="180">
        <f t="array" ref="AA59">IF($G59=0, INDEX(LS_previous!$D$4:$AY$138, MATCH('Staging Table'!$A59, LS_previous!$B$4:$B$138, 0), MATCH(AA$4&amp;AA$5, LS_previous!$D$2:$AY$2&amp;LS_previous!$D$3:$AY$3, 0)),SUM(VLOOKUP($A59, LS_previous!$B$4:$AY$138, LS_previous!S$149, FALSE), VLOOKUP('Staging Table'!$A59, LS_previous!$B$4:$AY$138,LS_previous!AQ$149, FALSE))/2)</f>
        <v>674.32660496658445</v>
      </c>
      <c r="AB59" s="180">
        <f t="array" ref="AB59">IF($G59=0, INDEX(LS_previous!$D$4:$AY$138, MATCH('Staging Table'!$A59, LS_previous!$B$4:$B$138, 0), MATCH(AB$4&amp;AB$5, LS_previous!$D$2:$AY$2&amp;LS_previous!$D$3:$AY$3, 0)),SUM(VLOOKUP($A59, LS_previous!$B$4:$AY$138, LS_previous!T$149, FALSE), VLOOKUP('Staging Table'!$A59, LS_previous!$B$4:$AY$138,LS_previous!AR$149, FALSE))/2)</f>
        <v>-5748.7178232709994</v>
      </c>
      <c r="AC59" s="180">
        <f t="array" ref="AC59">IF($G59=0, INDEX(LS_previous!$D$4:$AY$138, MATCH('Staging Table'!$A59, LS_previous!$B$4:$B$138, 0), MATCH(AC$4&amp;AC$5, LS_previous!$D$2:$AY$2&amp;LS_previous!$D$3:$AY$3, 0)),SUM(VLOOKUP($A59, LS_previous!$B$4:$AY$138, LS_previous!U$149, FALSE), VLOOKUP('Staging Table'!$A59, LS_previous!$B$4:$AY$138,LS_previous!AS$149, FALSE))/2)</f>
        <v>183.16642489823471</v>
      </c>
      <c r="AD59" s="180">
        <f t="array" ref="AD59">IF($G59=0, INDEX(LS_previous!$D$4:$AY$138, MATCH('Staging Table'!$A59, LS_previous!$B$4:$B$138, 0), MATCH(AD$4&amp;AD$5, LS_previous!$D$2:$AY$2&amp;LS_previous!$D$3:$AY$3, 0)),SUM(VLOOKUP($A59, LS_previous!$B$4:$AY$138, LS_previous!V$149, FALSE), VLOOKUP('Staging Table'!$A59, LS_previous!$B$4:$AY$138,LS_previous!AT$149, FALSE))/2)</f>
        <v>-3694.2119061201865</v>
      </c>
      <c r="AE59" s="180">
        <f t="array" ref="AE59">IF($G59=0, INDEX(LS_previous!$D$4:$AY$138, MATCH('Staging Table'!$A59, LS_previous!$B$4:$B$138, 0), MATCH(AE$4&amp;AE$5, LS_previous!$D$2:$AY$2&amp;LS_previous!$D$3:$AY$3, 0)),SUM(VLOOKUP($A59, LS_previous!$B$4:$AY$138, LS_previous!W$149, FALSE), VLOOKUP('Staging Table'!$A59, LS_previous!$B$4:$AY$138,LS_previous!AU$149, FALSE))/2)</f>
        <v>1066.9947516762741</v>
      </c>
      <c r="AF59" s="180">
        <f t="array" ref="AF59">IF($G59=0, INDEX(LS_previous!$D$4:$AY$138, MATCH('Staging Table'!$A59, LS_previous!$B$4:$B$138, 0), MATCH(AF$4&amp;AF$5, LS_previous!$D$2:$AY$2&amp;LS_previous!$D$3:$AY$3, 0)),SUM(VLOOKUP($A59, LS_previous!$B$4:$AY$138, LS_previous!X$149, FALSE), VLOOKUP('Staging Table'!$A59, LS_previous!$B$4:$AY$138,LS_previous!AV$149, FALSE))/2)</f>
        <v>-2888.2540368369009</v>
      </c>
      <c r="AG59" s="180">
        <f t="array" ref="AG59">IF($G59=0, INDEX(LS_previous!$D$4:$AY$138, MATCH('Staging Table'!$A59, LS_previous!$B$4:$B$138, 0), MATCH(AG$4&amp;AG$5, LS_previous!$D$2:$AY$2&amp;LS_previous!$D$3:$AY$3, 0)),SUM(VLOOKUP($A59, LS_previous!$B$4:$AY$138, LS_previous!Y$149, FALSE), VLOOKUP('Staging Table'!$A59, LS_previous!$B$4:$AY$138,LS_previous!AW$149, FALSE))/2)</f>
        <v>658.43982831582025</v>
      </c>
      <c r="AH59" s="180">
        <f t="array" ref="AH59">IF($G59=0, INDEX(LS_previous!$D$4:$AY$138, MATCH('Staging Table'!$A59, LS_previous!$B$4:$B$138, 0), MATCH(AH$4&amp;AH$5, LS_previous!$D$2:$AY$2&amp;LS_previous!$D$3:$AY$3, 0)),SUM(VLOOKUP($A59, LS_previous!$B$4:$AY$138, LS_previous!Z$149, FALSE), VLOOKUP('Staging Table'!$A59, LS_previous!$B$4:$AY$138,LS_previous!AX$149, FALSE))/2)</f>
        <v>-2711.7938857624649</v>
      </c>
      <c r="AI59" s="180">
        <f t="array" ref="AI59">IF($G59=0, INDEX(LS_previous!$D$4:$AY$138, MATCH('Staging Table'!$A59, LS_previous!$B$4:$B$138, 0), MATCH(AI$4&amp;AI$5, LS_previous!$D$2:$AY$2&amp;LS_previous!$D$3:$AY$3, 0)),SUM(VLOOKUP($A59, LS_previous!$B$4:$AY$138, LS_previous!AA$149, FALSE), VLOOKUP('Staging Table'!$A59, LS_previous!$B$4:$AY$138,LS_previous!AY$149, FALSE))/2)</f>
        <v>191.4103680792773</v>
      </c>
      <c r="AJ59" s="298">
        <f t="array" ref="AJ59">INDEX(Demand_previous!$D$4:$AY$138, MATCH('Staging Table'!$A59, Demand_previous!$B$4:$B$138, 0), MATCH(AJ$4&amp;AJ$5,Demand_previous!$D$2:$AY$2&amp;Demand_previous!$D$3:$AY$3, 0))/1000</f>
        <v>0</v>
      </c>
      <c r="AK59" s="298">
        <f t="array" ref="AK59">INDEX(Demand_previous!$D$4:$AY$138, MATCH('Staging Table'!$A59, Demand_previous!$B$4:$B$138, 0), MATCH(AK$4&amp;AK$5,Demand_previous!$D$2:$AY$2&amp;Demand_previous!$D$3:$AY$3, 0))/1000</f>
        <v>0</v>
      </c>
      <c r="AL59" s="298">
        <f t="array" ref="AL59">INDEX(Demand_previous!$D$4:$AY$138, MATCH('Staging Table'!$A59, Demand_previous!$B$4:$B$138, 0), MATCH(AL$4&amp;AL$5,Demand_previous!$D$2:$AY$2&amp;Demand_previous!$D$3:$AY$3, 0))/1000</f>
        <v>0</v>
      </c>
      <c r="AM59" s="298">
        <f t="array" ref="AM59">INDEX(Demand_previous!$D$4:$AY$138, MATCH('Staging Table'!$A59, Demand_previous!$B$4:$B$138, 0), MATCH(AM$4&amp;AM$5,Demand_previous!$D$2:$AY$2&amp;Demand_previous!$D$3:$AY$3, 0))/1000</f>
        <v>0</v>
      </c>
      <c r="AN59" s="298">
        <f t="array" ref="AN59">INDEX(Demand_previous!$D$4:$AY$138, MATCH('Staging Table'!$A59, Demand_previous!$B$4:$B$138, 0), MATCH(AN$4&amp;AN$5,Demand_previous!$D$2:$AY$2&amp;Demand_previous!$D$3:$AY$3, 0))/1000</f>
        <v>0</v>
      </c>
      <c r="AO59" s="298">
        <f t="array" ref="AO59">INDEX(Demand_previous!$D$4:$AY$138, MATCH('Staging Table'!$A59, Demand_previous!$B$4:$B$138, 0), MATCH(AO$4&amp;AO$5,Demand_previous!$D$2:$AY$2&amp;Demand_previous!$D$3:$AY$3, 0))/1000</f>
        <v>0</v>
      </c>
      <c r="AP59" s="298">
        <f t="array" ref="AP59">INDEX(Demand_previous!$D$4:$AY$138, MATCH('Staging Table'!$A59, Demand_previous!$B$4:$B$138, 0), MATCH(AP$4&amp;AP$5,Demand_previous!$D$2:$AY$2&amp;Demand_previous!$D$3:$AY$3, 0))/1000</f>
        <v>0</v>
      </c>
      <c r="AQ59" s="298">
        <f t="array" ref="AQ59">INDEX(Demand_previous!$D$4:$AY$138, MATCH('Staging Table'!$A59, Demand_previous!$B$4:$B$138, 0), MATCH(AQ$4&amp;AQ$5,Demand_previous!$D$2:$AY$2&amp;Demand_previous!$D$3:$AY$3, 0))/1000</f>
        <v>0</v>
      </c>
      <c r="AR59" s="298">
        <f t="array" ref="AR59">INDEX(Demand_previous!$D$4:$AY$138, MATCH('Staging Table'!$A59, Demand_previous!$B$4:$B$138, 0), MATCH(AR$4&amp;AR$5,Demand_previous!$D$2:$AY$2&amp;Demand_previous!$D$3:$AY$3, 0))/1000</f>
        <v>0</v>
      </c>
      <c r="AS59" s="298">
        <f t="array" ref="AS59">INDEX(Demand_previous!$D$4:$AY$138, MATCH('Staging Table'!$A59, Demand_previous!$B$4:$B$138, 0), MATCH(AS$4&amp;AS$5,Demand_previous!$D$2:$AY$2&amp;Demand_previous!$D$3:$AY$3, 0))/1000</f>
        <v>0</v>
      </c>
      <c r="AT59" s="298">
        <f t="array" ref="AT59">INDEX(Demand_previous!$D$4:$AY$138, MATCH('Staging Table'!$A59, Demand_previous!$B$4:$B$138, 0), MATCH(AT$4&amp;AT$5,Demand_previous!$D$2:$AY$2&amp;Demand_previous!$D$3:$AY$3, 0))/1000</f>
        <v>0</v>
      </c>
      <c r="AU59" s="298">
        <f t="array" ref="AU59">INDEX(Demand_previous!$D$4:$AY$138, MATCH('Staging Table'!$A59, Demand_previous!$B$4:$B$138, 0), MATCH(AU$4&amp;AU$5,Demand_previous!$D$2:$AY$2&amp;Demand_previous!$D$3:$AY$3, 0))/1000</f>
        <v>0</v>
      </c>
      <c r="AV59" s="180">
        <f>$F59*(VLOOKUP(AV$4, Rates_previous!$G$6:$Q$29, 10, FALSE)+VLOOKUP(AV$4, Rates_previous!$G$6:$Q$29, 11, FALSE))</f>
        <v>15375.415021822118</v>
      </c>
      <c r="AW59" s="180">
        <f>$F59*(VLOOKUP(AW$4, Rates_previous!$G$6:$Q$29, 10, FALSE)+VLOOKUP(AW$4, Rates_previous!$G$6:$Q$29, 11, FALSE))</f>
        <v>19465.833429837661</v>
      </c>
      <c r="AX59" s="180">
        <f>$F59*(VLOOKUP(AX$4, Rates_previous!$G$6:$Q$29, 10, FALSE)+VLOOKUP(AX$4, Rates_previous!$G$6:$Q$29, 11, FALSE))</f>
        <v>19053.161981010548</v>
      </c>
      <c r="AY59" s="180">
        <f>$F59*(VLOOKUP(AY$4, Rates_previous!$G$6:$Q$29, 10, FALSE)+VLOOKUP(AY$4, Rates_previous!$G$6:$Q$29, 11, FALSE))</f>
        <v>15737.101563613785</v>
      </c>
      <c r="AZ59" s="180">
        <f>$F59*(VLOOKUP(AZ$4, Rates_previous!$G$6:$Q$29, 10, FALSE)+VLOOKUP(AZ$4, Rates_previous!$G$6:$Q$29, 11, FALSE))</f>
        <v>13639.690836627722</v>
      </c>
      <c r="BA59" s="180">
        <f>$F59*(VLOOKUP(BA$4, Rates_previous!$G$6:$Q$29, 10, FALSE)+VLOOKUP(BA$4, Rates_previous!$G$6:$Q$29, 11, FALSE))</f>
        <v>16283.036470037625</v>
      </c>
      <c r="BB59" s="180">
        <f>$F59*(VLOOKUP(BB$4, Rates_previous!$G$6:$Q$29, 10, FALSE)+VLOOKUP(BB$4, Rates_previous!$G$6:$Q$29, 11, FALSE))</f>
        <v>12641.610076260318</v>
      </c>
      <c r="BC59" s="180">
        <f>$F59*(VLOOKUP(BC$4, Rates_previous!$G$6:$Q$29, 10, FALSE)+VLOOKUP(BC$4, Rates_previous!$G$6:$Q$29, 11, FALSE))</f>
        <v>17515.043790066531</v>
      </c>
      <c r="BD59" s="180">
        <f>$F59*(VLOOKUP(BD$4, Rates_previous!$G$6:$Q$29, 10, FALSE)+VLOOKUP(BD$4, Rates_previous!$G$6:$Q$29, 11, FALSE))</f>
        <v>18715.191039837682</v>
      </c>
      <c r="BE59" s="180">
        <f>$F59*(VLOOKUP(BE$4, Rates_previous!$G$6:$Q$29, 10, FALSE)+VLOOKUP(BE$4, Rates_previous!$G$6:$Q$29, 11, FALSE))</f>
        <v>17769.226438555044</v>
      </c>
      <c r="BF59" s="180">
        <f>$F59*(VLOOKUP(BF$4, Rates_previous!$G$6:$Q$29, 10, FALSE)+VLOOKUP(BF$4, Rates_previous!$G$6:$Q$29, 11, FALSE))</f>
        <v>17172.586528367585</v>
      </c>
      <c r="BG59" s="180">
        <f>$F59*(VLOOKUP(BG$4, Rates_previous!$G$6:$Q$29, 10, FALSE)+VLOOKUP(BG$4, Rates_previous!$G$6:$Q$29, 11, FALSE))</f>
        <v>15869.26012341274</v>
      </c>
      <c r="BH59" s="298">
        <f>IF($D59=0,IF(C59=0, MAX(BJ59 - (VLOOKUP($A59,TOCA_previous!$A$2:$AI$137,MATCH("RHWM 2022",TOCA_previous!$A$2:$AI$2,0),FALSE)*$F$2*TOCA_previous!C56),0),0), 0)</f>
        <v>0</v>
      </c>
      <c r="BI59" s="192">
        <f>MIN(VLOOKUP($A59,TOCA_previous!$A$2:$AI$137,MATCH("TRL - NLSL - Existing Resource "&amp;$F$1,TOCA_previous!$A$2:$AI$2,0),FALSE)*$F$2,(VLOOKUP($A59,TOCA_previous!$A$2:$AI$137,MATCH("RHWM 2022",TOCA_previous!$A$2:$AI$2,0),FALSE)*$F$2))</f>
        <v>417457.8</v>
      </c>
      <c r="BJ59" s="402">
        <f>SUM(L59:AI59)+(F59*RT1SC!$C$3*$F$2)</f>
        <v>199236.9744564626</v>
      </c>
      <c r="BK59" s="401">
        <f>VLOOKUP($A59,TOCA_previous!$A$2:$AI$137,MATCH("Above RHWM Not Served with LS "&amp;$F$1,TOCA_previous!$A$2:$AI$2,0),FALSE)*$F$2</f>
        <v>21488.28</v>
      </c>
      <c r="BL59" s="402">
        <f t="shared" si="8"/>
        <v>-218220.82554353739</v>
      </c>
      <c r="BM59" s="401">
        <f>(VLOOKUP($A59,TOCA_previous!$A$2:$AI$137,MATCH("RHWM 2022",TOCA_previous!$A$2:$AI$2,0),FALSE)*$F$2) - $BI59</f>
        <v>0</v>
      </c>
      <c r="BN59" s="402">
        <f t="shared" si="9"/>
        <v>0</v>
      </c>
      <c r="BO59" s="401">
        <f t="shared" si="10"/>
        <v>196732.54554353739</v>
      </c>
      <c r="BP59" s="402">
        <f t="shared" si="11"/>
        <v>0</v>
      </c>
      <c r="BQ59" s="401">
        <f t="shared" si="18"/>
        <v>0</v>
      </c>
      <c r="BR59" s="108">
        <f>VLOOKUP($A59,TOCA_current!$A$2:$AI$137,MATCH(BR$4,TOCA_current!$A$2:$AI$2,0),FALSE)</f>
        <v>7.0727999999999997E-3</v>
      </c>
      <c r="BS59" s="108">
        <f>VLOOKUP($A59,TOCA_current!$A$2:$AI$137,MATCH(BS$4,TOCA_current!$A$2:$AI$2,0),FALSE)</f>
        <v>3.3755999999999999E-3</v>
      </c>
      <c r="BT59" s="189">
        <f t="shared" si="12"/>
        <v>3.6971999999999999E-3</v>
      </c>
      <c r="BU59" s="294">
        <f>84000*12</f>
        <v>1008000</v>
      </c>
      <c r="BV59" s="108">
        <f t="shared" si="19"/>
        <v>0</v>
      </c>
      <c r="BW59" s="108">
        <f t="shared" si="20"/>
        <v>0</v>
      </c>
      <c r="BX59" s="179">
        <f>VLOOKUP($A59,IRD!$A$4:$G$139, 7, FALSE)</f>
        <v>0</v>
      </c>
      <c r="BY59" s="180">
        <f t="array" ref="BY59">IF($BT59=0, INDEX(LS_current!$D$4:$AY$138, MATCH('Staging Table'!$A59, LS_current!$B$4:$B$138, 0), MATCH(BY$4&amp;BY$5, LS_current!$D$2:$AY$2&amp;LS_current!$D$3:$AY$3, 0)),SUM(VLOOKUP($A59, LS_current!$B$4:$AY$138, LS_current!D$148, FALSE), VLOOKUP($A59, LS_current!$B$4:$AY$138,LS_current!AB$148, FALSE))/2)</f>
        <v>443.47611743872585</v>
      </c>
      <c r="BZ59" s="180">
        <f t="array" ref="BZ59">IF($BT59=0, INDEX(LS_current!$D$4:$AY$138, MATCH('Staging Table'!$A59, LS_current!$B$4:$B$138, 0), MATCH(BZ$4&amp;BZ$5, LS_current!$D$2:$AY$2&amp;LS_current!$D$3:$AY$3, 0)),SUM(VLOOKUP($A59, LS_current!$B$4:$AY$138, LS_current!E$148, FALSE), VLOOKUP($A59, LS_current!$B$4:$AY$138,LS_current!AC$148, FALSE))/2)</f>
        <v>1211.2084308981944</v>
      </c>
      <c r="CA59" s="180">
        <f t="array" ref="CA59">IF($BT59=0, INDEX(LS_current!$D$4:$AY$138, MATCH('Staging Table'!$A59, LS_current!$B$4:$B$138, 0), MATCH(CA$4&amp;CA$5, LS_current!$D$2:$AY$2&amp;LS_current!$D$3:$AY$3, 0)),SUM(VLOOKUP($A59, LS_current!$B$4:$AY$138, LS_current!F$148, FALSE), VLOOKUP($A59, LS_current!$B$4:$AY$138,LS_current!AD$148, FALSE))/2)</f>
        <v>-228.31863801794134</v>
      </c>
      <c r="CB59" s="180">
        <f t="array" ref="CB59">IF($BT59=0, INDEX(LS_current!$D$4:$AY$138, MATCH('Staging Table'!$A59, LS_current!$B$4:$B$138, 0), MATCH(CB$4&amp;CB$5, LS_current!$D$2:$AY$2&amp;LS_current!$D$3:$AY$3, 0)),SUM(VLOOKUP($A59, LS_current!$B$4:$AY$138, LS_current!G$148, FALSE), VLOOKUP($A59, LS_current!$B$4:$AY$138,LS_current!AE$148, FALSE))/2)</f>
        <v>1517.6461342654347</v>
      </c>
      <c r="CC59" s="180">
        <f t="array" ref="CC59">IF($BT59=0, INDEX(LS_current!$D$4:$AY$138, MATCH('Staging Table'!$A59, LS_current!$B$4:$B$138, 0), MATCH(CC$4&amp;CC$5, LS_current!$D$2:$AY$2&amp;LS_current!$D$3:$AY$3, 0)),SUM(VLOOKUP($A59, LS_current!$B$4:$AY$138, LS_current!H$148, FALSE), VLOOKUP($A59, LS_current!$B$4:$AY$138,LS_current!AF$148, FALSE))/2)</f>
        <v>935.34392463831955</v>
      </c>
      <c r="CD59" s="180">
        <f t="array" ref="CD59">IF($BT59=0, INDEX(LS_current!$D$4:$AY$138, MATCH('Staging Table'!$A59, LS_current!$B$4:$B$138, 0), MATCH(CD$4&amp;CD$5, LS_current!$D$2:$AY$2&amp;LS_current!$D$3:$AY$3, 0)),SUM(VLOOKUP($A59, LS_current!$B$4:$AY$138, LS_current!I$148, FALSE), VLOOKUP($A59, LS_current!$B$4:$AY$138,LS_current!AG$148, FALSE))/2)</f>
        <v>3307.8218830601791</v>
      </c>
      <c r="CE59" s="180">
        <f t="array" ref="CE59">IF($BT59=0, INDEX(LS_current!$D$4:$AY$138, MATCH('Staging Table'!$A59, LS_current!$B$4:$B$138, 0), MATCH(CE$4&amp;CE$5, LS_current!$D$2:$AY$2&amp;LS_current!$D$3:$AY$3, 0)),SUM(VLOOKUP($A59, LS_current!$B$4:$AY$138, LS_current!J$148, FALSE), VLOOKUP($A59, LS_current!$B$4:$AY$138,LS_current!AH$148, FALSE))/2)</f>
        <v>-330.85676100860928</v>
      </c>
      <c r="CF59" s="180">
        <f t="array" ref="CF59">IF($BT59=0, INDEX(LS_current!$D$4:$AY$138, MATCH('Staging Table'!$A59, LS_current!$B$4:$B$138, 0), MATCH(CF$4&amp;CF$5, LS_current!$D$2:$AY$2&amp;LS_current!$D$3:$AY$3, 0)),SUM(VLOOKUP($A59, LS_current!$B$4:$AY$138, LS_current!K$148, FALSE), VLOOKUP($A59, LS_current!$B$4:$AY$138,LS_current!AI$148, FALSE))/2)</f>
        <v>1924.1958823453106</v>
      </c>
      <c r="CG59" s="180">
        <f t="array" ref="CG59">IF($BT59=0, INDEX(LS_current!$D$4:$AY$138, MATCH('Staging Table'!$A59, LS_current!$B$4:$B$138, 0), MATCH(CG$4&amp;CG$5, LS_current!$D$2:$AY$2&amp;LS_current!$D$3:$AY$3, 0)),SUM(VLOOKUP($A59, LS_current!$B$4:$AY$138, LS_current!L$148, FALSE), VLOOKUP($A59, LS_current!$B$4:$AY$138,LS_current!AJ$148, FALSE))/2)</f>
        <v>-41.602005620590717</v>
      </c>
      <c r="CH59" s="180">
        <f t="array" ref="CH59">IF($BT59=0, INDEX(LS_current!$D$4:$AY$138, MATCH('Staging Table'!$A59, LS_current!$B$4:$B$138, 0), MATCH(CH$4&amp;CH$5, LS_current!$D$2:$AY$2&amp;LS_current!$D$3:$AY$3, 0)),SUM(VLOOKUP($A59, LS_current!$B$4:$AY$138, LS_current!M$148, FALSE), VLOOKUP($A59, LS_current!$B$4:$AY$138,LS_current!AK$148, FALSE))/2)</f>
        <v>1841.6835002211214</v>
      </c>
      <c r="CI59" s="180">
        <f t="array" ref="CI59">IF($BT59=0, INDEX(LS_current!$D$4:$AY$138, MATCH('Staging Table'!$A59, LS_current!$B$4:$B$138, 0), MATCH(CI$4&amp;CI$5, LS_current!$D$2:$AY$2&amp;LS_current!$D$3:$AY$3, 0)),SUM(VLOOKUP($A59, LS_current!$B$4:$AY$138, LS_current!N$148, FALSE), VLOOKUP($A59, LS_current!$B$4:$AY$138,LS_current!AL$148, FALSE))/2)</f>
        <v>-1457.5396404142657</v>
      </c>
      <c r="CJ59" s="180">
        <f t="array" ref="CJ59">IF($BT59=0, INDEX(LS_current!$D$4:$AY$138, MATCH('Staging Table'!$A59, LS_current!$B$4:$B$138, 0), MATCH(CJ$4&amp;CJ$5, LS_current!$D$2:$AY$2&amp;LS_current!$D$3:$AY$3, 0)),SUM(VLOOKUP($A59, LS_current!$B$4:$AY$138, LS_current!O$148, FALSE), VLOOKUP($A59, LS_current!$B$4:$AY$138,LS_current!AM$148, FALSE))/2)</f>
        <v>526.60816733495631</v>
      </c>
      <c r="CK59" s="180">
        <f t="array" ref="CK59">IF($BT59=0, INDEX(LS_current!$D$4:$AY$138, MATCH('Staging Table'!$A59, LS_current!$B$4:$B$138, 0), MATCH(CK$4&amp;CK$5, LS_current!$D$2:$AY$2&amp;LS_current!$D$3:$AY$3, 0)),SUM(VLOOKUP($A59, LS_current!$B$4:$AY$138, LS_current!P$148, FALSE), VLOOKUP($A59, LS_current!$B$4:$AY$138,LS_current!AN$148, FALSE))/2)</f>
        <v>356.94314010084508</v>
      </c>
      <c r="CL59" s="180">
        <f t="array" ref="CL59">IF($BT59=0, INDEX(LS_current!$D$4:$AY$138, MATCH('Staging Table'!$A59, LS_current!$B$4:$B$138, 0), MATCH(CL$4&amp;CL$5, LS_current!$D$2:$AY$2&amp;LS_current!$D$3:$AY$3, 0)),SUM(VLOOKUP($A59, LS_current!$B$4:$AY$138, LS_current!Q$148, FALSE), VLOOKUP($A59, LS_current!$B$4:$AY$138,LS_current!AO$148, FALSE))/2)</f>
        <v>1068.4161247769721</v>
      </c>
      <c r="CM59" s="180">
        <f t="array" ref="CM59">IF($BT59=0, INDEX(LS_current!$D$4:$AY$138, MATCH('Staging Table'!$A59, LS_current!$B$4:$B$138, 0), MATCH(CM$4&amp;CM$5, LS_current!$D$2:$AY$2&amp;LS_current!$D$3:$AY$3, 0)),SUM(VLOOKUP($A59, LS_current!$B$4:$AY$138, LS_current!R$148, FALSE), VLOOKUP($A59, LS_current!$B$4:$AY$138,LS_current!AP$148, FALSE))/2)</f>
        <v>-3078.7293555152492</v>
      </c>
      <c r="CN59" s="180">
        <f t="array" ref="CN59">IF($BT59=0, INDEX(LS_current!$D$4:$AY$138, MATCH('Staging Table'!$A59, LS_current!$B$4:$B$138, 0), MATCH(CN$4&amp;CN$5, LS_current!$D$2:$AY$2&amp;LS_current!$D$3:$AY$3, 0)),SUM(VLOOKUP($A59, LS_current!$B$4:$AY$138, LS_current!S$148, FALSE), VLOOKUP($A59, LS_current!$B$4:$AY$138,LS_current!AQ$148, FALSE))/2)</f>
        <v>-802.18004642614596</v>
      </c>
      <c r="CO59" s="180">
        <f t="array" ref="CO59">IF($BT59=0, INDEX(LS_current!$D$4:$AY$138, MATCH('Staging Table'!$A59, LS_current!$B$4:$B$138, 0), MATCH(CO$4&amp;CO$5, LS_current!$D$2:$AY$2&amp;LS_current!$D$3:$AY$3, 0)),SUM(VLOOKUP($A59, LS_current!$B$4:$AY$138, LS_current!T$148, FALSE), VLOOKUP($A59, LS_current!$B$4:$AY$138,LS_current!AR$148, FALSE))/2)</f>
        <v>-4348.19504525912</v>
      </c>
      <c r="CP59" s="180">
        <f t="array" ref="CP59">IF($BT59=0, INDEX(LS_current!$D$4:$AY$138, MATCH('Staging Table'!$A59, LS_current!$B$4:$B$138, 0), MATCH(CP$4&amp;CP$5, LS_current!$D$2:$AY$2&amp;LS_current!$D$3:$AY$3, 0)),SUM(VLOOKUP($A59, LS_current!$B$4:$AY$138, LS_current!U$148, FALSE), VLOOKUP($A59, LS_current!$B$4:$AY$138,LS_current!AS$148, FALSE))/2)</f>
        <v>-984.89470617301595</v>
      </c>
      <c r="CQ59" s="180">
        <f t="array" ref="CQ59">IF($BT59=0, INDEX(LS_current!$D$4:$AY$138, MATCH('Staging Table'!$A59, LS_current!$B$4:$B$138, 0), MATCH(CQ$4&amp;CQ$5, LS_current!$D$2:$AY$2&amp;LS_current!$D$3:$AY$3, 0)),SUM(VLOOKUP($A59, LS_current!$B$4:$AY$138, LS_current!V$148, FALSE), VLOOKUP($A59, LS_current!$B$4:$AY$138,LS_current!AT$148, FALSE))/2)</f>
        <v>-1465.1661501484141</v>
      </c>
      <c r="CR59" s="180">
        <f t="array" ref="CR59">IF($BT59=0, INDEX(LS_current!$D$4:$AY$138, MATCH('Staging Table'!$A59, LS_current!$B$4:$B$138, 0), MATCH(CR$4&amp;CR$5, LS_current!$D$2:$AY$2&amp;LS_current!$D$3:$AY$3, 0)),SUM(VLOOKUP($A59, LS_current!$B$4:$AY$138, LS_current!W$148, FALSE), VLOOKUP($A59, LS_current!$B$4:$AY$138,LS_current!AU$148, FALSE))/2)</f>
        <v>746.97055185733552</v>
      </c>
      <c r="CS59" s="180">
        <f t="array" ref="CS59">IF($BT59=0, INDEX(LS_current!$D$4:$AY$138, MATCH('Staging Table'!$A59, LS_current!$B$4:$B$138, 0), MATCH(CS$4&amp;CS$5, LS_current!$D$2:$AY$2&amp;LS_current!$D$3:$AY$3, 0)),SUM(VLOOKUP($A59, LS_current!$B$4:$AY$138, LS_current!X$148, FALSE), VLOOKUP($A59, LS_current!$B$4:$AY$138,LS_current!AV$148, FALSE))/2)</f>
        <v>-1249.5775841010809</v>
      </c>
      <c r="CT59" s="180">
        <f t="array" ref="CT59">IF($BT59=0, INDEX(LS_current!$D$4:$AY$138, MATCH('Staging Table'!$A59, LS_current!$B$4:$B$138, 0), MATCH(CT$4&amp;CT$5, LS_current!$D$2:$AY$2&amp;LS_current!$D$3:$AY$3, 0)),SUM(VLOOKUP($A59, LS_current!$B$4:$AY$138, LS_current!Y$148, FALSE), VLOOKUP($A59, LS_current!$B$4:$AY$138,LS_current!AW$148, FALSE))/2)</f>
        <v>874.90227968910858</v>
      </c>
      <c r="CU59" s="180">
        <f t="array" ref="CU59">IF($BT59=0, INDEX(LS_current!$D$4:$AY$138, MATCH('Staging Table'!$A59, LS_current!$B$4:$B$138, 0), MATCH(CU$4&amp;CU$5, LS_current!$D$2:$AY$2&amp;LS_current!$D$3:$AY$3, 0)),SUM(VLOOKUP($A59, LS_current!$B$4:$AY$138, LS_current!Z$148, FALSE), VLOOKUP($A59, LS_current!$B$4:$AY$138,LS_current!AX$148, FALSE))/2)</f>
        <v>-1196.9064972576261</v>
      </c>
      <c r="CV59" s="180">
        <f t="array" ref="CV59">IF($BT59=0, INDEX(LS_current!$D$4:$AY$138, MATCH('Staging Table'!$A59, LS_current!$B$4:$B$138, 0), MATCH(CV$4&amp;CV$5, LS_current!$D$2:$AY$2&amp;LS_current!$D$3:$AY$3, 0)),SUM(VLOOKUP($A59, LS_current!$B$4:$AY$138, LS_current!AA$148, FALSE), VLOOKUP($A59, LS_current!$B$4:$AY$138,LS_current!AY$148, FALSE))/2)</f>
        <v>430.78765443574957</v>
      </c>
      <c r="CW59" s="182">
        <f t="array" ref="CW59">INDEX(Demand_current!$D$4:$AY$138, MATCH($A59, Demand_current!$B$4:$B$138, 0), MATCH(CW$4&amp;CW$5,Demand_current!$D$2:$AY$2&amp;Demand_current!$D$3:$AY$3, 0))/1000</f>
        <v>0</v>
      </c>
      <c r="CX59" s="182">
        <f t="array" ref="CX59">INDEX(Demand_current!$D$4:$AY$138, MATCH($A59, Demand_current!$B$4:$B$138, 0), MATCH(CX$4&amp;CX$5,Demand_current!$D$2:$AY$2&amp;Demand_current!$D$3:$AY$3, 0))/1000</f>
        <v>0</v>
      </c>
      <c r="CY59" s="182">
        <f t="array" ref="CY59">INDEX(Demand_current!$D$4:$AY$138, MATCH($A59, Demand_current!$B$4:$B$138, 0), MATCH(CY$4&amp;CY$5,Demand_current!$D$2:$AY$2&amp;Demand_current!$D$3:$AY$3, 0))/1000</f>
        <v>0</v>
      </c>
      <c r="CZ59" s="182">
        <f t="array" ref="CZ59">INDEX(Demand_current!$D$4:$AY$138, MATCH($A59, Demand_current!$B$4:$B$138, 0), MATCH(CZ$4&amp;CZ$5,Demand_current!$D$2:$AY$2&amp;Demand_current!$D$3:$AY$3, 0))/1000</f>
        <v>0</v>
      </c>
      <c r="DA59" s="182">
        <f t="array" ref="DA59">INDEX(Demand_current!$D$4:$AY$138, MATCH($A59, Demand_current!$B$4:$B$138, 0), MATCH(DA$4&amp;DA$5,Demand_current!$D$2:$AY$2&amp;Demand_current!$D$3:$AY$3, 0))/1000</f>
        <v>0</v>
      </c>
      <c r="DB59" s="182">
        <f t="array" ref="DB59">INDEX(Demand_current!$D$4:$AY$138, MATCH($A59, Demand_current!$B$4:$B$138, 0), MATCH(DB$4&amp;DB$5,Demand_current!$D$2:$AY$2&amp;Demand_current!$D$3:$AY$3, 0))/1000</f>
        <v>0</v>
      </c>
      <c r="DC59" s="182">
        <f t="array" ref="DC59">INDEX(Demand_current!$D$4:$AY$138, MATCH($A59, Demand_current!$B$4:$B$138, 0), MATCH(DC$4&amp;DC$5,Demand_current!$D$2:$AY$2&amp;Demand_current!$D$3:$AY$3, 0))/1000</f>
        <v>0</v>
      </c>
      <c r="DD59" s="182">
        <f t="array" ref="DD59">INDEX(Demand_current!$D$4:$AY$138, MATCH($A59, Demand_current!$B$4:$B$138, 0), MATCH(DD$4&amp;DD$5,Demand_current!$D$2:$AY$2&amp;Demand_current!$D$3:$AY$3, 0))/1000</f>
        <v>0</v>
      </c>
      <c r="DE59" s="182">
        <f t="array" ref="DE59">INDEX(Demand_current!$D$4:$AY$138, MATCH($A59, Demand_current!$B$4:$B$138, 0), MATCH(DE$4&amp;DE$5,Demand_current!$D$2:$AY$2&amp;Demand_current!$D$3:$AY$3, 0))/1000</f>
        <v>0</v>
      </c>
      <c r="DF59" s="182">
        <f t="array" ref="DF59">INDEX(Demand_current!$D$4:$AY$138, MATCH($A59, Demand_current!$B$4:$B$138, 0), MATCH(DF$4&amp;DF$5,Demand_current!$D$2:$AY$2&amp;Demand_current!$D$3:$AY$3, 0))/1000</f>
        <v>0</v>
      </c>
      <c r="DG59" s="182">
        <f t="array" ref="DG59">INDEX(Demand_current!$D$4:$AY$138, MATCH($A59, Demand_current!$B$4:$B$138, 0), MATCH(DG$4&amp;DG$5,Demand_current!$D$2:$AY$2&amp;Demand_current!$D$3:$AY$3, 0))/1000</f>
        <v>0</v>
      </c>
      <c r="DH59" s="182">
        <f t="array" ref="DH59">INDEX(Demand_current!$D$4:$AY$138, MATCH($A59, Demand_current!$B$4:$B$138, 0), MATCH(DH$4&amp;DH$5,Demand_current!$D$2:$AY$2&amp;Demand_current!$D$3:$AY$3, 0))/1000</f>
        <v>0</v>
      </c>
      <c r="DI59" s="180">
        <f>$BS59*(VLOOKUP(DI$4, Rates_current!$G$6:$Q$29, 10, FALSE)+VLOOKUP(DI$4, Rates_current!$G$6:$Q$29, 11, FALSE))</f>
        <v>14240.9939773194</v>
      </c>
      <c r="DJ59" s="180">
        <f>$BS59*(VLOOKUP(DJ$4, Rates_current!$G$6:$Q$29, 10, FALSE)+VLOOKUP(DJ$4, Rates_current!$G$6:$Q$29, 11, FALSE))</f>
        <v>18161.963331200401</v>
      </c>
      <c r="DK59" s="180">
        <f>$BS59*(VLOOKUP(DK$4, Rates_current!$G$6:$Q$29, 10, FALSE)+VLOOKUP(DK$4, Rates_current!$G$6:$Q$29, 11, FALSE))</f>
        <v>19600.351980785999</v>
      </c>
      <c r="DL59" s="180">
        <f>$BS59*(VLOOKUP(DL$4, Rates_current!$G$6:$Q$29, 10, FALSE)+VLOOKUP(DL$4, Rates_current!$G$6:$Q$29, 11, FALSE))</f>
        <v>20367.795683846398</v>
      </c>
      <c r="DM59" s="180">
        <f>$BS59*(VLOOKUP(DM$4, Rates_current!$G$6:$Q$29, 10, FALSE)+VLOOKUP(DM$4, Rates_current!$G$6:$Q$29, 11, FALSE))</f>
        <v>17519.019141952798</v>
      </c>
      <c r="DN59" s="180">
        <f>$BS59*(VLOOKUP(DN$4, Rates_current!$G$6:$Q$29, 10, FALSE)+VLOOKUP(DN$4, Rates_current!$G$6:$Q$29, 11, FALSE))</f>
        <v>19127.300311659597</v>
      </c>
      <c r="DO59" s="180">
        <f>$BS59*(VLOOKUP(DO$4, Rates_current!$G$6:$Q$29, 10, FALSE)+VLOOKUP(DO$4, Rates_current!$G$6:$Q$29, 11, FALSE))</f>
        <v>15097.780255212298</v>
      </c>
      <c r="DP59" s="180">
        <f>$BS59*(VLOOKUP(DP$4, Rates_current!$G$6:$Q$29, 10, FALSE)+VLOOKUP(DP$4, Rates_current!$G$6:$Q$29, 11, FALSE))</f>
        <v>18730.8196035414</v>
      </c>
      <c r="DQ59" s="180">
        <f>$BS59*(VLOOKUP(DQ$4, Rates_current!$G$6:$Q$29, 10, FALSE)+VLOOKUP(DQ$4, Rates_current!$G$6:$Q$29, 11, FALSE))</f>
        <v>19137.231628975798</v>
      </c>
      <c r="DR59" s="180">
        <f>$BS59*(VLOOKUP(DR$4, Rates_current!$G$6:$Q$29, 10, FALSE)+VLOOKUP(DR$4, Rates_current!$G$6:$Q$29, 11, FALSE))</f>
        <v>16613.8741239474</v>
      </c>
      <c r="DS59" s="180">
        <f>$BS59*(VLOOKUP(DS$4, Rates_current!$G$6:$Q$29, 10, FALSE)+VLOOKUP(DS$4, Rates_current!$G$6:$Q$29, 11, FALSE))</f>
        <v>16061.200165257062</v>
      </c>
      <c r="DT59" s="180">
        <f>$BS59*(VLOOKUP(DT$4, Rates_current!$G$6:$Q$29, 10, FALSE)+VLOOKUP(DT$4, Rates_current!$G$6:$Q$29, 11, FALSE))</f>
        <v>14779.4143851768</v>
      </c>
      <c r="DU59" s="402">
        <f>IF(D59=0,IF(C59=0,MAX(0,DW59 - (VLOOKUP($A59,TOCA_current!$A$2:$AI$137,MATCH("RHWM 2024",TOCA_current!$A$2:$AI$2,0),FALSE)*$BS$2)), 0),0)</f>
        <v>0</v>
      </c>
      <c r="DV59" s="403">
        <f>MIN(VLOOKUP($A59,TOCA_current!$A$2:$AI$137,MATCH("TRL - NLSL - Existing Resource "&amp;$BS$1,TOCA_current!$A$2:$AI$2,0),FALSE)*$BS$2, VLOOKUP($A59,TOCA_current!$A$2:$AI$137,MATCH("RHWM 2024",TOCA_current!$A$2:$AI$2,0),FALSE)*$BS$2)</f>
        <v>438831.07199999999</v>
      </c>
      <c r="DW59" s="403">
        <f>SUM(BY59:CV59)+(BS59*RT1SC!$C$4*$BS$2)</f>
        <v>209439.78291001619</v>
      </c>
      <c r="DX59" s="403">
        <f>VLOOKUP($A59,TOCA_current!$A$2:$AI$137,MATCH("Above RHWM Not Served with LS "&amp;$BS$1,TOCA_current!$A$2:$AI$2,0),FALSE)*$BS$2</f>
        <v>42242.256000000001</v>
      </c>
      <c r="DY59" s="403">
        <f t="shared" si="13"/>
        <v>-229391.28908998379</v>
      </c>
      <c r="DZ59" s="403">
        <f>(VLOOKUP($A59,TOCA_current!$A$2:$AI$137,MATCH("RHWM 2024",TOCA_current!$A$2:$AI$2,0),FALSE)*$BS$2) - $DV59</f>
        <v>0</v>
      </c>
      <c r="EA59" s="403">
        <f t="shared" si="14"/>
        <v>0</v>
      </c>
      <c r="EB59" s="403">
        <f t="shared" si="15"/>
        <v>187149.0330899838</v>
      </c>
      <c r="EC59" s="403">
        <f t="shared" si="16"/>
        <v>0</v>
      </c>
      <c r="ED59" s="403">
        <f t="shared" si="17"/>
        <v>0</v>
      </c>
    </row>
    <row r="60" spans="1:134">
      <c r="A60" s="123">
        <v>10158</v>
      </c>
      <c r="B60" s="124" t="s">
        <v>61</v>
      </c>
      <c r="C60" s="232">
        <f>VLOOKUP(A60, TOCA_current!$A$3:$D$137, 4, FALSE)</f>
        <v>0</v>
      </c>
      <c r="D60" s="191">
        <v>0</v>
      </c>
      <c r="E60" s="107">
        <f>VLOOKUP($A60,TOCA_previous!$A$2:$AI$137,MATCH(E$4,TOCA_previous!$A$2:$AI$2,0),FALSE)</f>
        <v>3.523E-4</v>
      </c>
      <c r="F60" s="108">
        <f>VLOOKUP($A60,TOCA_previous!$A$2:$AI$137,MATCH(F$4,TOCA_previous!$A$2:$AI$2,0),FALSE)</f>
        <v>3.523E-4</v>
      </c>
      <c r="G60" s="108">
        <f t="shared" si="5"/>
        <v>0</v>
      </c>
      <c r="H60" s="108">
        <f>VLOOKUP($A60,TOCA_previous!$A$2:$AI$137,MATCH(H$4,TOCA_previous!$A$2:$AI$2,0),FALSE)</f>
        <v>0</v>
      </c>
      <c r="I60" s="108">
        <f t="shared" si="6"/>
        <v>0</v>
      </c>
      <c r="J60" s="108">
        <f t="shared" si="7"/>
        <v>0</v>
      </c>
      <c r="K60" s="179">
        <f>VLOOKUP(A60, IRD!$A$5:$C$139, 3, FALSE)</f>
        <v>0</v>
      </c>
      <c r="L60" s="180">
        <f t="array" ref="L60">IF($G60=0, INDEX(LS_previous!$D$4:$AY$138, MATCH('Staging Table'!$A60, LS_previous!$B$4:$B$138, 0), MATCH(L$4&amp;L$5, LS_previous!$D$2:$AY$2&amp;LS_previous!$D$3:$AY$3, 0)),SUM(VLOOKUP($A60, LS_previous!$B$4:$AY$138, LS_previous!D$149, FALSE), VLOOKUP('Staging Table'!$A60, LS_previous!$B$4:$AY$138,LS_previous!AB$149, FALSE))/2)</f>
        <v>-245.38641019585657</v>
      </c>
      <c r="M60" s="180">
        <f t="array" ref="M60">IF($G60=0, INDEX(LS_previous!$D$4:$AY$138, MATCH('Staging Table'!$A60, LS_previous!$B$4:$B$138, 0), MATCH(M$4&amp;M$5, LS_previous!$D$2:$AY$2&amp;LS_previous!$D$3:$AY$3, 0)),SUM(VLOOKUP($A60, LS_previous!$B$4:$AY$138, LS_previous!E$149, FALSE), VLOOKUP('Staging Table'!$A60, LS_previous!$B$4:$AY$138,LS_previous!AC$149, FALSE))/2)</f>
        <v>28.295836761051646</v>
      </c>
      <c r="N60" s="180">
        <f t="array" ref="N60">IF($G60=0, INDEX(LS_previous!$D$4:$AY$138, MATCH('Staging Table'!$A60, LS_previous!$B$4:$B$138, 0), MATCH(N$4&amp;N$5, LS_previous!$D$2:$AY$2&amp;LS_previous!$D$3:$AY$3, 0)),SUM(VLOOKUP($A60, LS_previous!$B$4:$AY$138, LS_previous!F$149, FALSE), VLOOKUP('Staging Table'!$A60, LS_previous!$B$4:$AY$138,LS_previous!AD$149, FALSE))/2)</f>
        <v>-293.62508358670277</v>
      </c>
      <c r="O60" s="180">
        <f t="array" ref="O60">IF($G60=0, INDEX(LS_previous!$D$4:$AY$138, MATCH('Staging Table'!$A60, LS_previous!$B$4:$B$138, 0), MATCH(O$4&amp;O$5, LS_previous!$D$2:$AY$2&amp;LS_previous!$D$3:$AY$3, 0)),SUM(VLOOKUP($A60, LS_previous!$B$4:$AY$138, LS_previous!G$149, FALSE), VLOOKUP('Staging Table'!$A60, LS_previous!$B$4:$AY$138,LS_previous!AE$149, FALSE))/2)</f>
        <v>-5.8621701620182876</v>
      </c>
      <c r="P60" s="180">
        <f t="array" ref="P60">IF($G60=0, INDEX(LS_previous!$D$4:$AY$138, MATCH('Staging Table'!$A60, LS_previous!$B$4:$B$138, 0), MATCH(P$4&amp;P$5, LS_previous!$D$2:$AY$2&amp;LS_previous!$D$3:$AY$3, 0)),SUM(VLOOKUP($A60, LS_previous!$B$4:$AY$138, LS_previous!H$149, FALSE), VLOOKUP('Staging Table'!$A60, LS_previous!$B$4:$AY$138,LS_previous!AF$149, FALSE))/2)</f>
        <v>156.04463522046444</v>
      </c>
      <c r="Q60" s="180">
        <f t="array" ref="Q60">IF($G60=0, INDEX(LS_previous!$D$4:$AY$138, MATCH('Staging Table'!$A60, LS_previous!$B$4:$B$138, 0), MATCH(Q$4&amp;Q$5, LS_previous!$D$2:$AY$2&amp;LS_previous!$D$3:$AY$3, 0)),SUM(VLOOKUP($A60, LS_previous!$B$4:$AY$138, LS_previous!I$149, FALSE), VLOOKUP('Staging Table'!$A60, LS_previous!$B$4:$AY$138,LS_previous!AG$149, FALSE))/2)</f>
        <v>263.32231048637027</v>
      </c>
      <c r="R60" s="180">
        <f t="array" ref="R60">IF($G60=0, INDEX(LS_previous!$D$4:$AY$138, MATCH('Staging Table'!$A60, LS_previous!$B$4:$B$138, 0), MATCH(R$4&amp;R$5, LS_previous!$D$2:$AY$2&amp;LS_previous!$D$3:$AY$3, 0)),SUM(VLOOKUP($A60, LS_previous!$B$4:$AY$138, LS_previous!J$149, FALSE), VLOOKUP('Staging Table'!$A60, LS_previous!$B$4:$AY$138,LS_previous!AH$149, FALSE))/2)</f>
        <v>441.83846281115927</v>
      </c>
      <c r="S60" s="180">
        <f t="array" ref="S60">IF($G60=0, INDEX(LS_previous!$D$4:$AY$138, MATCH('Staging Table'!$A60, LS_previous!$B$4:$B$138, 0), MATCH(S$4&amp;S$5, LS_previous!$D$2:$AY$2&amp;LS_previous!$D$3:$AY$3, 0)),SUM(VLOOKUP($A60, LS_previous!$B$4:$AY$138, LS_previous!K$149, FALSE), VLOOKUP('Staging Table'!$A60, LS_previous!$B$4:$AY$138,LS_previous!AI$149, FALSE))/2)</f>
        <v>368.8507840682247</v>
      </c>
      <c r="T60" s="180">
        <f t="array" ref="T60">IF($G60=0, INDEX(LS_previous!$D$4:$AY$138, MATCH('Staging Table'!$A60, LS_previous!$B$4:$B$138, 0), MATCH(T$4&amp;T$5, LS_previous!$D$2:$AY$2&amp;LS_previous!$D$3:$AY$3, 0)),SUM(VLOOKUP($A60, LS_previous!$B$4:$AY$138, LS_previous!L$149, FALSE), VLOOKUP('Staging Table'!$A60, LS_previous!$B$4:$AY$138,LS_previous!AJ$149, FALSE))/2)</f>
        <v>227.25707013812541</v>
      </c>
      <c r="U60" s="180">
        <f t="array" ref="U60">IF($G60=0, INDEX(LS_previous!$D$4:$AY$138, MATCH('Staging Table'!$A60, LS_previous!$B$4:$B$138, 0), MATCH(U$4&amp;U$5, LS_previous!$D$2:$AY$2&amp;LS_previous!$D$3:$AY$3, 0)),SUM(VLOOKUP($A60, LS_previous!$B$4:$AY$138, LS_previous!M$149, FALSE), VLOOKUP('Staging Table'!$A60, LS_previous!$B$4:$AY$138,LS_previous!AK$149, FALSE))/2)</f>
        <v>214.31748445004951</v>
      </c>
      <c r="V60" s="180">
        <f t="array" ref="V60">IF($G60=0, INDEX(LS_previous!$D$4:$AY$138, MATCH('Staging Table'!$A60, LS_previous!$B$4:$B$138, 0), MATCH(V$4&amp;V$5, LS_previous!$D$2:$AY$2&amp;LS_previous!$D$3:$AY$3, 0)),SUM(VLOOKUP($A60, LS_previous!$B$4:$AY$138, LS_previous!N$149, FALSE), VLOOKUP('Staging Table'!$A60, LS_previous!$B$4:$AY$138,LS_previous!AL$149, FALSE))/2)</f>
        <v>-15.936968237041356</v>
      </c>
      <c r="W60" s="180">
        <f t="array" ref="W60">IF($G60=0, INDEX(LS_previous!$D$4:$AY$138, MATCH('Staging Table'!$A60, LS_previous!$B$4:$B$138, 0), MATCH(W$4&amp;W$5, LS_previous!$D$2:$AY$2&amp;LS_previous!$D$3:$AY$3, 0)),SUM(VLOOKUP($A60, LS_previous!$B$4:$AY$138, LS_previous!O$149, FALSE), VLOOKUP('Staging Table'!$A60, LS_previous!$B$4:$AY$138,LS_previous!AM$149, FALSE))/2)</f>
        <v>198.07464110549085</v>
      </c>
      <c r="X60" s="180">
        <f t="array" ref="X60">IF($G60=0, INDEX(LS_previous!$D$4:$AY$138, MATCH('Staging Table'!$A60, LS_previous!$B$4:$B$138, 0), MATCH(X$4&amp;X$5, LS_previous!$D$2:$AY$2&amp;LS_previous!$D$3:$AY$3, 0)),SUM(VLOOKUP($A60, LS_previous!$B$4:$AY$138, LS_previous!P$149, FALSE), VLOOKUP('Staging Table'!$A60, LS_previous!$B$4:$AY$138,LS_previous!AN$149, FALSE))/2)</f>
        <v>53.838407266198715</v>
      </c>
      <c r="Y60" s="180">
        <f t="array" ref="Y60">IF($G60=0, INDEX(LS_previous!$D$4:$AY$138, MATCH('Staging Table'!$A60, LS_previous!$B$4:$B$138, 0), MATCH(Y$4&amp;Y$5, LS_previous!$D$2:$AY$2&amp;LS_previous!$D$3:$AY$3, 0)),SUM(VLOOKUP($A60, LS_previous!$B$4:$AY$138, LS_previous!Q$149, FALSE), VLOOKUP('Staging Table'!$A60, LS_previous!$B$4:$AY$138,LS_previous!AO$149, FALSE))/2)</f>
        <v>146.61587731558933</v>
      </c>
      <c r="Z60" s="180">
        <f t="array" ref="Z60">IF($G60=0, INDEX(LS_previous!$D$4:$AY$138, MATCH('Staging Table'!$A60, LS_previous!$B$4:$B$138, 0), MATCH(Z$4&amp;Z$5, LS_previous!$D$2:$AY$2&amp;LS_previous!$D$3:$AY$3, 0)),SUM(VLOOKUP($A60, LS_previous!$B$4:$AY$138, LS_previous!R$149, FALSE), VLOOKUP('Staging Table'!$A60, LS_previous!$B$4:$AY$138,LS_previous!AP$149, FALSE))/2)</f>
        <v>-417.04051819582287</v>
      </c>
      <c r="AA60" s="180">
        <f t="array" ref="AA60">IF($G60=0, INDEX(LS_previous!$D$4:$AY$138, MATCH('Staging Table'!$A60, LS_previous!$B$4:$B$138, 0), MATCH(AA$4&amp;AA$5, LS_previous!$D$2:$AY$2&amp;LS_previous!$D$3:$AY$3, 0)),SUM(VLOOKUP($A60, LS_previous!$B$4:$AY$138, LS_previous!S$149, FALSE), VLOOKUP('Staging Table'!$A60, LS_previous!$B$4:$AY$138,LS_previous!AQ$149, FALSE))/2)</f>
        <v>12.438395830974287</v>
      </c>
      <c r="AB60" s="180">
        <f t="array" ref="AB60">IF($G60=0, INDEX(LS_previous!$D$4:$AY$138, MATCH('Staging Table'!$A60, LS_previous!$B$4:$B$138, 0), MATCH(AB$4&amp;AB$5, LS_previous!$D$2:$AY$2&amp;LS_previous!$D$3:$AY$3, 0)),SUM(VLOOKUP($A60, LS_previous!$B$4:$AY$138, LS_previous!T$149, FALSE), VLOOKUP('Staging Table'!$A60, LS_previous!$B$4:$AY$138,LS_previous!AR$149, FALSE))/2)</f>
        <v>-626.82926522206844</v>
      </c>
      <c r="AC60" s="180">
        <f t="array" ref="AC60">IF($G60=0, INDEX(LS_previous!$D$4:$AY$138, MATCH('Staging Table'!$A60, LS_previous!$B$4:$B$138, 0), MATCH(AC$4&amp;AC$5, LS_previous!$D$2:$AY$2&amp;LS_previous!$D$3:$AY$3, 0)),SUM(VLOOKUP($A60, LS_previous!$B$4:$AY$138, LS_previous!U$149, FALSE), VLOOKUP('Staging Table'!$A60, LS_previous!$B$4:$AY$138,LS_previous!AS$149, FALSE))/2)</f>
        <v>-8.1482135667877174</v>
      </c>
      <c r="AD60" s="180">
        <f t="array" ref="AD60">IF($G60=0, INDEX(LS_previous!$D$4:$AY$138, MATCH('Staging Table'!$A60, LS_previous!$B$4:$B$138, 0), MATCH(AD$4&amp;AD$5, LS_previous!$D$2:$AY$2&amp;LS_previous!$D$3:$AY$3, 0)),SUM(VLOOKUP($A60, LS_previous!$B$4:$AY$138, LS_previous!V$149, FALSE), VLOOKUP('Staging Table'!$A60, LS_previous!$B$4:$AY$138,LS_previous!AT$149, FALSE))/2)</f>
        <v>-410.77803894206477</v>
      </c>
      <c r="AE60" s="180">
        <f t="array" ref="AE60">IF($G60=0, INDEX(LS_previous!$D$4:$AY$138, MATCH('Staging Table'!$A60, LS_previous!$B$4:$B$138, 0), MATCH(AE$4&amp;AE$5, LS_previous!$D$2:$AY$2&amp;LS_previous!$D$3:$AY$3, 0)),SUM(VLOOKUP($A60, LS_previous!$B$4:$AY$138, LS_previous!W$149, FALSE), VLOOKUP('Staging Table'!$A60, LS_previous!$B$4:$AY$138,LS_previous!AU$149, FALSE))/2)</f>
        <v>-56.4747701101345</v>
      </c>
      <c r="AF60" s="180">
        <f t="array" ref="AF60">IF($G60=0, INDEX(LS_previous!$D$4:$AY$138, MATCH('Staging Table'!$A60, LS_previous!$B$4:$B$138, 0), MATCH(AF$4&amp;AF$5, LS_previous!$D$2:$AY$2&amp;LS_previous!$D$3:$AY$3, 0)),SUM(VLOOKUP($A60, LS_previous!$B$4:$AY$138, LS_previous!X$149, FALSE), VLOOKUP('Staging Table'!$A60, LS_previous!$B$4:$AY$138,LS_previous!AV$149, FALSE))/2)</f>
        <v>-351.26979984657225</v>
      </c>
      <c r="AG60" s="180">
        <f t="array" ref="AG60">IF($G60=0, INDEX(LS_previous!$D$4:$AY$138, MATCH('Staging Table'!$A60, LS_previous!$B$4:$B$138, 0), MATCH(AG$4&amp;AG$5, LS_previous!$D$2:$AY$2&amp;LS_previous!$D$3:$AY$3, 0)),SUM(VLOOKUP($A60, LS_previous!$B$4:$AY$138, LS_previous!Y$149, FALSE), VLOOKUP('Staging Table'!$A60, LS_previous!$B$4:$AY$138,LS_previous!AW$149, FALSE))/2)</f>
        <v>-52.555621929898734</v>
      </c>
      <c r="AH60" s="180">
        <f t="array" ref="AH60">IF($G60=0, INDEX(LS_previous!$D$4:$AY$138, MATCH('Staging Table'!$A60, LS_previous!$B$4:$B$138, 0), MATCH(AH$4&amp;AH$5, LS_previous!$D$2:$AY$2&amp;LS_previous!$D$3:$AY$3, 0)),SUM(VLOOKUP($A60, LS_previous!$B$4:$AY$138, LS_previous!Z$149, FALSE), VLOOKUP('Staging Table'!$A60, LS_previous!$B$4:$AY$138,LS_previous!AX$149, FALSE))/2)</f>
        <v>-407.52502330887012</v>
      </c>
      <c r="AI60" s="180">
        <f t="array" ref="AI60">IF($G60=0, INDEX(LS_previous!$D$4:$AY$138, MATCH('Staging Table'!$A60, LS_previous!$B$4:$B$138, 0), MATCH(AI$4&amp;AI$5, LS_previous!$D$2:$AY$2&amp;LS_previous!$D$3:$AY$3, 0)),SUM(VLOOKUP($A60, LS_previous!$B$4:$AY$138, LS_previous!AA$149, FALSE), VLOOKUP('Staging Table'!$A60, LS_previous!$B$4:$AY$138,LS_previous!AY$149, FALSE))/2)</f>
        <v>-78.01681381410674</v>
      </c>
      <c r="AJ60" s="298">
        <f t="array" ref="AJ60">INDEX(Demand_previous!$D$4:$AY$138, MATCH('Staging Table'!$A60, Demand_previous!$B$4:$B$138, 0), MATCH(AJ$4&amp;AJ$5,Demand_previous!$D$2:$AY$2&amp;Demand_previous!$D$3:$AY$3, 0))/1000</f>
        <v>0.25432692307692328</v>
      </c>
      <c r="AK60" s="298">
        <f t="array" ref="AK60">INDEX(Demand_previous!$D$4:$AY$138, MATCH('Staging Table'!$A60, Demand_previous!$B$4:$B$138, 0), MATCH(AK$4&amp;AK$5,Demand_previous!$D$2:$AY$2&amp;Demand_previous!$D$3:$AY$3, 0))/1000</f>
        <v>0</v>
      </c>
      <c r="AL60" s="298">
        <f t="array" ref="AL60">INDEX(Demand_previous!$D$4:$AY$138, MATCH('Staging Table'!$A60, Demand_previous!$B$4:$B$138, 0), MATCH(AL$4&amp;AL$5,Demand_previous!$D$2:$AY$2&amp;Demand_previous!$D$3:$AY$3, 0))/1000</f>
        <v>0.83567548076923059</v>
      </c>
      <c r="AM60" s="298">
        <f t="array" ref="AM60">INDEX(Demand_previous!$D$4:$AY$138, MATCH('Staging Table'!$A60, Demand_previous!$B$4:$B$138, 0), MATCH(AM$4&amp;AM$5,Demand_previous!$D$2:$AY$2&amp;Demand_previous!$D$3:$AY$3, 0))/1000</f>
        <v>0.50402499999999983</v>
      </c>
      <c r="AN60" s="298">
        <f t="array" ref="AN60">INDEX(Demand_previous!$D$4:$AY$138, MATCH('Staging Table'!$A60, Demand_previous!$B$4:$B$138, 0), MATCH(AN$4&amp;AN$5,Demand_previous!$D$2:$AY$2&amp;Demand_previous!$D$3:$AY$3, 0))/1000</f>
        <v>0.22921874999999947</v>
      </c>
      <c r="AO60" s="298">
        <f t="array" ref="AO60">INDEX(Demand_previous!$D$4:$AY$138, MATCH('Staging Table'!$A60, Demand_previous!$B$4:$B$138, 0), MATCH(AO$4&amp;AO$5,Demand_previous!$D$2:$AY$2&amp;Demand_previous!$D$3:$AY$3, 0))/1000</f>
        <v>0.66548379629629661</v>
      </c>
      <c r="AP60" s="298">
        <f t="array" ref="AP60">INDEX(Demand_previous!$D$4:$AY$138, MATCH('Staging Table'!$A60, Demand_previous!$B$4:$B$138, 0), MATCH(AP$4&amp;AP$5,Demand_previous!$D$2:$AY$2&amp;Demand_previous!$D$3:$AY$3, 0))/1000</f>
        <v>0.4405745192307694</v>
      </c>
      <c r="AQ60" s="298">
        <f t="array" ref="AQ60">INDEX(Demand_previous!$D$4:$AY$138, MATCH('Staging Table'!$A60, Demand_previous!$B$4:$B$138, 0), MATCH(AQ$4&amp;AQ$5,Demand_previous!$D$2:$AY$2&amp;Demand_previous!$D$3:$AY$3, 0))/1000</f>
        <v>0.12875500000000001</v>
      </c>
      <c r="AR60" s="298">
        <f t="array" ref="AR60">INDEX(Demand_previous!$D$4:$AY$138, MATCH('Staging Table'!$A60, Demand_previous!$B$4:$B$138, 0), MATCH(AR$4&amp;AR$5,Demand_previous!$D$2:$AY$2&amp;Demand_previous!$D$3:$AY$3, 0))/1000</f>
        <v>0.20316105769230769</v>
      </c>
      <c r="AS60" s="298">
        <f t="array" ref="AS60">INDEX(Demand_previous!$D$4:$AY$138, MATCH('Staging Table'!$A60, Demand_previous!$B$4:$B$138, 0), MATCH(AS$4&amp;AS$5,Demand_previous!$D$2:$AY$2&amp;Demand_previous!$D$3:$AY$3, 0))/1000</f>
        <v>0.22761749999999981</v>
      </c>
      <c r="AT60" s="298">
        <f t="array" ref="AT60">INDEX(Demand_previous!$D$4:$AY$138, MATCH('Staging Table'!$A60, Demand_previous!$B$4:$B$138, 0), MATCH(AT$4&amp;AT$5,Demand_previous!$D$2:$AY$2&amp;Demand_previous!$D$3:$AY$3, 0))/1000</f>
        <v>0.32079398148148142</v>
      </c>
      <c r="AU60" s="298">
        <f t="array" ref="AU60">INDEX(Demand_previous!$D$4:$AY$138, MATCH('Staging Table'!$A60, Demand_previous!$B$4:$B$138, 0), MATCH(AU$4&amp;AU$5,Demand_previous!$D$2:$AY$2&amp;Demand_previous!$D$3:$AY$3, 0))/1000</f>
        <v>1.7840000000000078E-2</v>
      </c>
      <c r="AV60" s="180">
        <f>$F60*(VLOOKUP(AV$4, Rates_previous!$G$6:$Q$29, 10, FALSE)+VLOOKUP(AV$4, Rates_previous!$G$6:$Q$29, 11, FALSE))</f>
        <v>1604.3475734348049</v>
      </c>
      <c r="AW60" s="180">
        <f>$F60*(VLOOKUP(AW$4, Rates_previous!$G$6:$Q$29, 10, FALSE)+VLOOKUP(AW$4, Rates_previous!$G$6:$Q$29, 11, FALSE))</f>
        <v>2031.1622537487212</v>
      </c>
      <c r="AX60" s="180">
        <f>$F60*(VLOOKUP(AX$4, Rates_previous!$G$6:$Q$29, 10, FALSE)+VLOOKUP(AX$4, Rates_previous!$G$6:$Q$29, 11, FALSE))</f>
        <v>1988.1020542931653</v>
      </c>
      <c r="AY60" s="180">
        <f>$F60*(VLOOKUP(AY$4, Rates_previous!$G$6:$Q$29, 10, FALSE)+VLOOKUP(AY$4, Rates_previous!$G$6:$Q$29, 11, FALSE))</f>
        <v>1642.0877531206161</v>
      </c>
      <c r="AZ60" s="180">
        <f>$F60*(VLOOKUP(AZ$4, Rates_previous!$G$6:$Q$29, 10, FALSE)+VLOOKUP(AZ$4, Rates_previous!$G$6:$Q$29, 11, FALSE))</f>
        <v>1423.2334454118254</v>
      </c>
      <c r="BA60" s="180">
        <f>$F60*(VLOOKUP(BA$4, Rates_previous!$G$6:$Q$29, 10, FALSE)+VLOOKUP(BA$4, Rates_previous!$G$6:$Q$29, 11, FALSE))</f>
        <v>1699.0533271315508</v>
      </c>
      <c r="BB60" s="180">
        <f>$F60*(VLOOKUP(BB$4, Rates_previous!$G$6:$Q$29, 10, FALSE)+VLOOKUP(BB$4, Rates_previous!$G$6:$Q$29, 11, FALSE))</f>
        <v>1319.0887154182121</v>
      </c>
      <c r="BC60" s="180">
        <f>$F60*(VLOOKUP(BC$4, Rates_previous!$G$6:$Q$29, 10, FALSE)+VLOOKUP(BC$4, Rates_previous!$G$6:$Q$29, 11, FALSE))</f>
        <v>1827.6071223648485</v>
      </c>
      <c r="BD60" s="180">
        <f>$F60*(VLOOKUP(BD$4, Rates_previous!$G$6:$Q$29, 10, FALSE)+VLOOKUP(BD$4, Rates_previous!$G$6:$Q$29, 11, FALSE))</f>
        <v>1952.8364787888561</v>
      </c>
      <c r="BE60" s="180">
        <f>$F60*(VLOOKUP(BE$4, Rates_previous!$G$6:$Q$29, 10, FALSE)+VLOOKUP(BE$4, Rates_previous!$G$6:$Q$29, 11, FALSE))</f>
        <v>1854.1298090521993</v>
      </c>
      <c r="BF60" s="180">
        <f>$F60*(VLOOKUP(BF$4, Rates_previous!$G$6:$Q$29, 10, FALSE)+VLOOKUP(BF$4, Rates_previous!$G$6:$Q$29, 11, FALSE))</f>
        <v>1791.8734217764709</v>
      </c>
      <c r="BG60" s="180">
        <f>$F60*(VLOOKUP(BG$4, Rates_previous!$G$6:$Q$29, 10, FALSE)+VLOOKUP(BG$4, Rates_previous!$G$6:$Q$29, 11, FALSE))</f>
        <v>1655.8778371229771</v>
      </c>
      <c r="BH60" s="298">
        <f>IF($D60=0,IF(C60=0, MAX(BJ60 - (VLOOKUP($A60,TOCA_previous!$A$2:$AI$137,MATCH("RHWM 2022",TOCA_previous!$A$2:$AI$2,0),FALSE)*$F$2*TOCA_previous!C57),0),0), 0)</f>
        <v>0</v>
      </c>
      <c r="BI60" s="192">
        <f>MIN(VLOOKUP($A60,TOCA_previous!$A$2:$AI$137,MATCH("TRL - NLSL - Existing Resource "&amp;$F$1,TOCA_previous!$A$2:$AI$2,0),FALSE)*$F$2,(VLOOKUP($A60,TOCA_previous!$A$2:$AI$137,MATCH("RHWM 2022",TOCA_previous!$A$2:$AI$2,0),FALSE)*$F$2))</f>
        <v>20787.480000000003</v>
      </c>
      <c r="BJ60" s="402">
        <f>SUM(L60:AI60)+(F60*RT1SC!$C$3*$F$2)</f>
        <v>19930.846063467754</v>
      </c>
      <c r="BK60" s="401">
        <f>VLOOKUP($A60,TOCA_previous!$A$2:$AI$137,MATCH("Above RHWM Not Served with LS "&amp;$F$1,TOCA_previous!$A$2:$AI$2,0),FALSE)*$F$2</f>
        <v>0</v>
      </c>
      <c r="BL60" s="402">
        <f t="shared" si="8"/>
        <v>-856.63393653224921</v>
      </c>
      <c r="BM60" s="401">
        <f>(VLOOKUP($A60,TOCA_previous!$A$2:$AI$137,MATCH("RHWM 2022",TOCA_previous!$A$2:$AI$2,0),FALSE)*$F$2) - $BI60</f>
        <v>2540.3999999999942</v>
      </c>
      <c r="BN60" s="402">
        <f t="shared" si="9"/>
        <v>0</v>
      </c>
      <c r="BO60" s="401">
        <f t="shared" si="10"/>
        <v>856.63393653224921</v>
      </c>
      <c r="BP60" s="402">
        <f t="shared" si="11"/>
        <v>0</v>
      </c>
      <c r="BQ60" s="401">
        <f t="shared" si="18"/>
        <v>856.63393653224921</v>
      </c>
      <c r="BR60" s="108">
        <f>VLOOKUP($A60,TOCA_current!$A$2:$AI$137,MATCH(BR$4,TOCA_current!$A$2:$AI$2,0),FALSE)</f>
        <v>3.212E-4</v>
      </c>
      <c r="BS60" s="108">
        <f>VLOOKUP($A60,TOCA_current!$A$2:$AI$137,MATCH(BS$4,TOCA_current!$A$2:$AI$2,0),FALSE)</f>
        <v>3.212E-4</v>
      </c>
      <c r="BT60" s="189">
        <f t="shared" si="12"/>
        <v>0</v>
      </c>
      <c r="BU60" s="108">
        <f>VLOOKUP($A60,TOCA_current!A56:BG191,MATCH(BU$4,TOCA_current!$A$2:$BG$2,0),FALSE)</f>
        <v>0</v>
      </c>
      <c r="BV60" s="108">
        <f t="shared" si="19"/>
        <v>0</v>
      </c>
      <c r="BW60" s="108">
        <f t="shared" si="20"/>
        <v>0</v>
      </c>
      <c r="BX60" s="179">
        <f>VLOOKUP($A60,IRD!$A$4:$G$139, 7, FALSE)</f>
        <v>0</v>
      </c>
      <c r="BY60" s="180">
        <f t="array" ref="BY60">IF($BT60=0, INDEX(LS_current!$D$4:$AY$138, MATCH('Staging Table'!$A60, LS_current!$B$4:$B$138, 0), MATCH(BY$4&amp;BY$5, LS_current!$D$2:$AY$2&amp;LS_current!$D$3:$AY$3, 0)),SUM(VLOOKUP($A60, LS_current!$B$4:$AY$138, LS_current!D$148, FALSE), VLOOKUP($A60, LS_current!$B$4:$AY$138,LS_current!AB$148, FALSE))/2)</f>
        <v>-36.237024363200135</v>
      </c>
      <c r="BZ60" s="180">
        <f t="array" ref="BZ60">IF($BT60=0, INDEX(LS_current!$D$4:$AY$138, MATCH('Staging Table'!$A60, LS_current!$B$4:$B$138, 0), MATCH(BZ$4&amp;BZ$5, LS_current!$D$2:$AY$2&amp;LS_current!$D$3:$AY$3, 0)),SUM(VLOOKUP($A60, LS_current!$B$4:$AY$138, LS_current!E$148, FALSE), VLOOKUP($A60, LS_current!$B$4:$AY$138,LS_current!AC$148, FALSE))/2)</f>
        <v>68.414256169400005</v>
      </c>
      <c r="CA60" s="180">
        <f t="array" ref="CA60">IF($BT60=0, INDEX(LS_current!$D$4:$AY$138, MATCH('Staging Table'!$A60, LS_current!$B$4:$B$138, 0), MATCH(CA$4&amp;CA$5, LS_current!$D$2:$AY$2&amp;LS_current!$D$3:$AY$3, 0)),SUM(VLOOKUP($A60, LS_current!$B$4:$AY$138, LS_current!F$148, FALSE), VLOOKUP($A60, LS_current!$B$4:$AY$138,LS_current!AD$148, FALSE))/2)</f>
        <v>-95.760329753600104</v>
      </c>
      <c r="CB60" s="180">
        <f t="array" ref="CB60">IF($BT60=0, INDEX(LS_current!$D$4:$AY$138, MATCH('Staging Table'!$A60, LS_current!$B$4:$B$138, 0), MATCH(CB$4&amp;CB$5, LS_current!$D$2:$AY$2&amp;LS_current!$D$3:$AY$3, 0)),SUM(VLOOKUP($A60, LS_current!$B$4:$AY$138, LS_current!G$148, FALSE), VLOOKUP($A60, LS_current!$B$4:$AY$138,LS_current!AE$148, FALSE))/2)</f>
        <v>99.261783722799919</v>
      </c>
      <c r="CC60" s="180">
        <f t="array" ref="CC60">IF($BT60=0, INDEX(LS_current!$D$4:$AY$138, MATCH('Staging Table'!$A60, LS_current!$B$4:$B$138, 0), MATCH(CC$4&amp;CC$5, LS_current!$D$2:$AY$2&amp;LS_current!$D$3:$AY$3, 0)),SUM(VLOOKUP($A60, LS_current!$B$4:$AY$138, LS_current!H$148, FALSE), VLOOKUP($A60, LS_current!$B$4:$AY$138,LS_current!AF$148, FALSE))/2)</f>
        <v>161.03498063320012</v>
      </c>
      <c r="CD60" s="180">
        <f t="array" ref="CD60">IF($BT60=0, INDEX(LS_current!$D$4:$AY$138, MATCH('Staging Table'!$A60, LS_current!$B$4:$B$138, 0), MATCH(CD$4&amp;CD$5, LS_current!$D$2:$AY$2&amp;LS_current!$D$3:$AY$3, 0)),SUM(VLOOKUP($A60, LS_current!$B$4:$AY$138, LS_current!I$148, FALSE), VLOOKUP($A60, LS_current!$B$4:$AY$138,LS_current!AG$148, FALSE))/2)</f>
        <v>381.39282484479997</v>
      </c>
      <c r="CE60" s="180">
        <f t="array" ref="CE60">IF($BT60=0, INDEX(LS_current!$D$4:$AY$138, MATCH('Staging Table'!$A60, LS_current!$B$4:$B$138, 0), MATCH(CE$4&amp;CE$5, LS_current!$D$2:$AY$2&amp;LS_current!$D$3:$AY$3, 0)),SUM(VLOOKUP($A60, LS_current!$B$4:$AY$138, LS_current!J$148, FALSE), VLOOKUP($A60, LS_current!$B$4:$AY$138,LS_current!AH$148, FALSE))/2)</f>
        <v>176.08582114199999</v>
      </c>
      <c r="CF60" s="180">
        <f t="array" ref="CF60">IF($BT60=0, INDEX(LS_current!$D$4:$AY$138, MATCH('Staging Table'!$A60, LS_current!$B$4:$B$138, 0), MATCH(CF$4&amp;CF$5, LS_current!$D$2:$AY$2&amp;LS_current!$D$3:$AY$3, 0)),SUM(VLOOKUP($A60, LS_current!$B$4:$AY$138, LS_current!K$148, FALSE), VLOOKUP($A60, LS_current!$B$4:$AY$138,LS_current!AI$148, FALSE))/2)</f>
        <v>338.62506508520005</v>
      </c>
      <c r="CG60" s="180">
        <f t="array" ref="CG60">IF($BT60=0, INDEX(LS_current!$D$4:$AY$138, MATCH('Staging Table'!$A60, LS_current!$B$4:$B$138, 0), MATCH(CG$4&amp;CG$5, LS_current!$D$2:$AY$2&amp;LS_current!$D$3:$AY$3, 0)),SUM(VLOOKUP($A60, LS_current!$B$4:$AY$138, LS_current!L$148, FALSE), VLOOKUP($A60, LS_current!$B$4:$AY$138,LS_current!AJ$148, FALSE))/2)</f>
        <v>-5.9626763347998804</v>
      </c>
      <c r="CH60" s="180">
        <f t="array" ref="CH60">IF($BT60=0, INDEX(LS_current!$D$4:$AY$138, MATCH('Staging Table'!$A60, LS_current!$B$4:$B$138, 0), MATCH(CH$4&amp;CH$5, LS_current!$D$2:$AY$2&amp;LS_current!$D$3:$AY$3, 0)),SUM(VLOOKUP($A60, LS_current!$B$4:$AY$138, LS_current!M$148, FALSE), VLOOKUP($A60, LS_current!$B$4:$AY$138,LS_current!AK$148, FALSE))/2)</f>
        <v>203.77549076920002</v>
      </c>
      <c r="CI60" s="180">
        <f t="array" ref="CI60">IF($BT60=0, INDEX(LS_current!$D$4:$AY$138, MATCH('Staging Table'!$A60, LS_current!$B$4:$B$138, 0), MATCH(CI$4&amp;CI$5, LS_current!$D$2:$AY$2&amp;LS_current!$D$3:$AY$3, 0)),SUM(VLOOKUP($A60, LS_current!$B$4:$AY$138, LS_current!N$148, FALSE), VLOOKUP($A60, LS_current!$B$4:$AY$138,LS_current!AL$148, FALSE))/2)</f>
        <v>-80.595019095600037</v>
      </c>
      <c r="CJ60" s="180">
        <f t="array" ref="CJ60">IF($BT60=0, INDEX(LS_current!$D$4:$AY$138, MATCH('Staging Table'!$A60, LS_current!$B$4:$B$138, 0), MATCH(CJ$4&amp;CJ$5, LS_current!$D$2:$AY$2&amp;LS_current!$D$3:$AY$3, 0)),SUM(VLOOKUP($A60, LS_current!$B$4:$AY$138, LS_current!O$148, FALSE), VLOOKUP($A60, LS_current!$B$4:$AY$138,LS_current!AM$148, FALSE))/2)</f>
        <v>141.75732490640007</v>
      </c>
      <c r="CK60" s="180">
        <f t="array" ref="CK60">IF($BT60=0, INDEX(LS_current!$D$4:$AY$138, MATCH('Staging Table'!$A60, LS_current!$B$4:$B$138, 0), MATCH(CK$4&amp;CK$5, LS_current!$D$2:$AY$2&amp;LS_current!$D$3:$AY$3, 0)),SUM(VLOOKUP($A60, LS_current!$B$4:$AY$138, LS_current!P$148, FALSE), VLOOKUP($A60, LS_current!$B$4:$AY$138,LS_current!AN$148, FALSE))/2)</f>
        <v>-7.7323781329998837</v>
      </c>
      <c r="CL60" s="180">
        <f t="array" ref="CL60">IF($BT60=0, INDEX(LS_current!$D$4:$AY$138, MATCH('Staging Table'!$A60, LS_current!$B$4:$B$138, 0), MATCH(CL$4&amp;CL$5, LS_current!$D$2:$AY$2&amp;LS_current!$D$3:$AY$3, 0)),SUM(VLOOKUP($A60, LS_current!$B$4:$AY$138, LS_current!Q$148, FALSE), VLOOKUP($A60, LS_current!$B$4:$AY$138,LS_current!AO$148, FALSE))/2)</f>
        <v>90.669436085900088</v>
      </c>
      <c r="CM60" s="180">
        <f t="array" ref="CM60">IF($BT60=0, INDEX(LS_current!$D$4:$AY$138, MATCH('Staging Table'!$A60, LS_current!$B$4:$B$138, 0), MATCH(CM$4&amp;CM$5, LS_current!$D$2:$AY$2&amp;LS_current!$D$3:$AY$3, 0)),SUM(VLOOKUP($A60, LS_current!$B$4:$AY$138, LS_current!R$148, FALSE), VLOOKUP($A60, LS_current!$B$4:$AY$138,LS_current!AP$148, FALSE))/2)</f>
        <v>-268.52957157760011</v>
      </c>
      <c r="CN60" s="180">
        <f t="array" ref="CN60">IF($BT60=0, INDEX(LS_current!$D$4:$AY$138, MATCH('Staging Table'!$A60, LS_current!$B$4:$B$138, 0), MATCH(CN$4&amp;CN$5, LS_current!$D$2:$AY$2&amp;LS_current!$D$3:$AY$3, 0)),SUM(VLOOKUP($A60, LS_current!$B$4:$AY$138, LS_current!S$148, FALSE), VLOOKUP($A60, LS_current!$B$4:$AY$138,LS_current!AQ$148, FALSE))/2)</f>
        <v>-90.767613710200067</v>
      </c>
      <c r="CO60" s="180">
        <f t="array" ref="CO60">IF($BT60=0, INDEX(LS_current!$D$4:$AY$138, MATCH('Staging Table'!$A60, LS_current!$B$4:$B$138, 0), MATCH(CO$4&amp;CO$5, LS_current!$D$2:$AY$2&amp;LS_current!$D$3:$AY$3, 0)),SUM(VLOOKUP($A60, LS_current!$B$4:$AY$138, LS_current!T$148, FALSE), VLOOKUP($A60, LS_current!$B$4:$AY$138,LS_current!AR$148, FALSE))/2)</f>
        <v>-377.68554583119999</v>
      </c>
      <c r="CP60" s="180">
        <f t="array" ref="CP60">IF($BT60=0, INDEX(LS_current!$D$4:$AY$138, MATCH('Staging Table'!$A60, LS_current!$B$4:$B$138, 0), MATCH(CP$4&amp;CP$5, LS_current!$D$2:$AY$2&amp;LS_current!$D$3:$AY$3, 0)),SUM(VLOOKUP($A60, LS_current!$B$4:$AY$138, LS_current!U$148, FALSE), VLOOKUP($A60, LS_current!$B$4:$AY$138,LS_current!AS$148, FALSE))/2)</f>
        <v>-125.42914750540001</v>
      </c>
      <c r="CQ60" s="180">
        <f t="array" ref="CQ60">IF($BT60=0, INDEX(LS_current!$D$4:$AY$138, MATCH('Staging Table'!$A60, LS_current!$B$4:$B$138, 0), MATCH(CQ$4&amp;CQ$5, LS_current!$D$2:$AY$2&amp;LS_current!$D$3:$AY$3, 0)),SUM(VLOOKUP($A60, LS_current!$B$4:$AY$138, LS_current!V$148, FALSE), VLOOKUP($A60, LS_current!$B$4:$AY$138,LS_current!AT$148, FALSE))/2)</f>
        <v>-160.97760259680001</v>
      </c>
      <c r="CR60" s="180">
        <f t="array" ref="CR60">IF($BT60=0, INDEX(LS_current!$D$4:$AY$138, MATCH('Staging Table'!$A60, LS_current!$B$4:$B$138, 0), MATCH(CR$4&amp;CR$5, LS_current!$D$2:$AY$2&amp;LS_current!$D$3:$AY$3, 0)),SUM(VLOOKUP($A60, LS_current!$B$4:$AY$138, LS_current!W$148, FALSE), VLOOKUP($A60, LS_current!$B$4:$AY$138,LS_current!AU$148, FALSE))/2)</f>
        <v>-33.012907952999967</v>
      </c>
      <c r="CS60" s="180">
        <f t="array" ref="CS60">IF($BT60=0, INDEX(LS_current!$D$4:$AY$138, MATCH('Staging Table'!$A60, LS_current!$B$4:$B$138, 0), MATCH(CS$4&amp;CS$5, LS_current!$D$2:$AY$2&amp;LS_current!$D$3:$AY$3, 0)),SUM(VLOOKUP($A60, LS_current!$B$4:$AY$138, LS_current!X$148, FALSE), VLOOKUP($A60, LS_current!$B$4:$AY$138,LS_current!AV$148, FALSE))/2)</f>
        <v>-114.02580308580013</v>
      </c>
      <c r="CT60" s="180">
        <f t="array" ref="CT60">IF($BT60=0, INDEX(LS_current!$D$4:$AY$138, MATCH('Staging Table'!$A60, LS_current!$B$4:$B$138, 0), MATCH(CT$4&amp;CT$5, LS_current!$D$2:$AY$2&amp;LS_current!$D$3:$AY$3, 0)),SUM(VLOOKUP($A60, LS_current!$B$4:$AY$138, LS_current!Y$148, FALSE), VLOOKUP($A60, LS_current!$B$4:$AY$138,LS_current!AW$148, FALSE))/2)</f>
        <v>-26.204871247819938</v>
      </c>
      <c r="CU60" s="180">
        <f t="array" ref="CU60">IF($BT60=0, INDEX(LS_current!$D$4:$AY$138, MATCH('Staging Table'!$A60, LS_current!$B$4:$B$138, 0), MATCH(CU$4&amp;CU$5, LS_current!$D$2:$AY$2&amp;LS_current!$D$3:$AY$3, 0)),SUM(VLOOKUP($A60, LS_current!$B$4:$AY$138, LS_current!Z$148, FALSE), VLOOKUP($A60, LS_current!$B$4:$AY$138,LS_current!AX$148, FALSE))/2)</f>
        <v>-190.65417360880008</v>
      </c>
      <c r="CV60" s="180">
        <f t="array" ref="CV60">IF($BT60=0, INDEX(LS_current!$D$4:$AY$138, MATCH('Staging Table'!$A60, LS_current!$B$4:$B$138, 0), MATCH(CV$4&amp;CV$5, LS_current!$D$2:$AY$2&amp;LS_current!$D$3:$AY$3, 0)),SUM(VLOOKUP($A60, LS_current!$B$4:$AY$138, LS_current!AA$148, FALSE), VLOOKUP($A60, LS_current!$B$4:$AY$138,LS_current!AY$148, FALSE))/2)</f>
        <v>-45.322156204799967</v>
      </c>
      <c r="CW60" s="182">
        <f t="array" ref="CW60">INDEX(Demand_current!$D$4:$AY$138, MATCH($A60, Demand_current!$B$4:$B$138, 0), MATCH(CW$4&amp;CW$5,Demand_current!$D$2:$AY$2&amp;Demand_current!$D$3:$AY$3, 0))/1000</f>
        <v>0.25432692307692328</v>
      </c>
      <c r="CX60" s="182">
        <f t="array" ref="CX60">INDEX(Demand_current!$D$4:$AY$138, MATCH($A60, Demand_current!$B$4:$B$138, 0), MATCH(CX$4&amp;CX$5,Demand_current!$D$2:$AY$2&amp;Demand_current!$D$3:$AY$3, 0))/1000</f>
        <v>0</v>
      </c>
      <c r="CY60" s="182">
        <f t="array" ref="CY60">INDEX(Demand_current!$D$4:$AY$138, MATCH($A60, Demand_current!$B$4:$B$138, 0), MATCH(CY$4&amp;CY$5,Demand_current!$D$2:$AY$2&amp;Demand_current!$D$3:$AY$3, 0))/1000</f>
        <v>0.71146249999999989</v>
      </c>
      <c r="CZ60" s="182">
        <f t="array" ref="CZ60">INDEX(Demand_current!$D$4:$AY$138, MATCH($A60, Demand_current!$B$4:$B$138, 0), MATCH(CZ$4&amp;CZ$5,Demand_current!$D$2:$AY$2&amp;Demand_current!$D$3:$AY$3, 0))/1000</f>
        <v>0.63633173076923055</v>
      </c>
      <c r="DA60" s="182">
        <f t="array" ref="DA60">INDEX(Demand_current!$D$4:$AY$138, MATCH($A60, Demand_current!$B$4:$B$138, 0), MATCH(DA$4&amp;DA$5,Demand_current!$D$2:$AY$2&amp;Demand_current!$D$3:$AY$3, 0))/1000</f>
        <v>0.3390099999999997</v>
      </c>
      <c r="DB60" s="182">
        <f t="array" ref="DB60">INDEX(Demand_current!$D$4:$AY$138, MATCH($A60, Demand_current!$B$4:$B$138, 0), MATCH(DB$4&amp;DB$5,Demand_current!$D$2:$AY$2&amp;Demand_current!$D$3:$AY$3, 0))/1000</f>
        <v>0.57400240384615409</v>
      </c>
      <c r="DC60" s="182">
        <f t="array" ref="DC60">INDEX(Demand_current!$D$4:$AY$138, MATCH($A60, Demand_current!$B$4:$B$138, 0), MATCH(DC$4&amp;DC$5,Demand_current!$D$2:$AY$2&amp;Demand_current!$D$3:$AY$3, 0))/1000</f>
        <v>0.4405745192307694</v>
      </c>
      <c r="DD60" s="182">
        <f t="array" ref="DD60">INDEX(Demand_current!$D$4:$AY$138, MATCH($A60, Demand_current!$B$4:$B$138, 0), MATCH(DD$4&amp;DD$5,Demand_current!$D$2:$AY$2&amp;Demand_current!$D$3:$AY$3, 0))/1000</f>
        <v>0.2070721153846154</v>
      </c>
      <c r="DE60" s="182">
        <f t="array" ref="DE60">INDEX(Demand_current!$D$4:$AY$138, MATCH($A60, Demand_current!$B$4:$B$138, 0), MATCH(DE$4&amp;DE$5,Demand_current!$D$2:$AY$2&amp;Demand_current!$D$3:$AY$3, 0))/1000</f>
        <v>0.12952749999999996</v>
      </c>
      <c r="DF60" s="182">
        <f t="array" ref="DF60">INDEX(Demand_current!$D$4:$AY$138, MATCH($A60, Demand_current!$B$4:$B$138, 0), MATCH(DF$4&amp;DF$5,Demand_current!$D$2:$AY$2&amp;Demand_current!$D$3:$AY$3, 0))/1000</f>
        <v>0.30686298076923069</v>
      </c>
      <c r="DG60" s="182">
        <f t="array" ref="DG60">INDEX(Demand_current!$D$4:$AY$138, MATCH($A60, Demand_current!$B$4:$B$138, 0), MATCH(DG$4&amp;DG$5,Demand_current!$D$2:$AY$2&amp;Demand_current!$D$3:$AY$3, 0))/1000</f>
        <v>0.32079398148148142</v>
      </c>
      <c r="DH60" s="182">
        <f t="array" ref="DH60">INDEX(Demand_current!$D$4:$AY$138, MATCH($A60, Demand_current!$B$4:$B$138, 0), MATCH(DH$4&amp;DH$5,Demand_current!$D$2:$AY$2&amp;Demand_current!$D$3:$AY$3, 0))/1000</f>
        <v>0</v>
      </c>
      <c r="DI60" s="180">
        <f>$BS60*(VLOOKUP(DI$4, Rates_current!$G$6:$Q$29, 10, FALSE)+VLOOKUP(DI$4, Rates_current!$G$6:$Q$29, 11, FALSE))</f>
        <v>1355.0797681938</v>
      </c>
      <c r="DJ60" s="180">
        <f>$BS60*(VLOOKUP(DJ$4, Rates_current!$G$6:$Q$29, 10, FALSE)+VLOOKUP(DJ$4, Rates_current!$G$6:$Q$29, 11, FALSE))</f>
        <v>1728.1735460308003</v>
      </c>
      <c r="DK60" s="180">
        <f>$BS60*(VLOOKUP(DK$4, Rates_current!$G$6:$Q$29, 10, FALSE)+VLOOKUP(DK$4, Rates_current!$G$6:$Q$29, 11, FALSE))</f>
        <v>1865.0411945220001</v>
      </c>
      <c r="DL60" s="180">
        <f>$BS60*(VLOOKUP(DL$4, Rates_current!$G$6:$Q$29, 10, FALSE)+VLOOKUP(DL$4, Rates_current!$G$6:$Q$29, 11, FALSE))</f>
        <v>1938.0661137728</v>
      </c>
      <c r="DM60" s="180">
        <f>$BS60*(VLOOKUP(DM$4, Rates_current!$G$6:$Q$29, 10, FALSE)+VLOOKUP(DM$4, Rates_current!$G$6:$Q$29, 11, FALSE))</f>
        <v>1666.9951855655997</v>
      </c>
      <c r="DN60" s="180">
        <f>$BS60*(VLOOKUP(DN$4, Rates_current!$G$6:$Q$29, 10, FALSE)+VLOOKUP(DN$4, Rates_current!$G$6:$Q$29, 11, FALSE))</f>
        <v>1820.0286941892</v>
      </c>
      <c r="DO60" s="180">
        <f>$BS60*(VLOOKUP(DO$4, Rates_current!$G$6:$Q$29, 10, FALSE)+VLOOKUP(DO$4, Rates_current!$G$6:$Q$29, 11, FALSE))</f>
        <v>1436.6059420470999</v>
      </c>
      <c r="DP60" s="180">
        <f>$BS60*(VLOOKUP(DP$4, Rates_current!$G$6:$Q$29, 10, FALSE)+VLOOKUP(DP$4, Rates_current!$G$6:$Q$29, 11, FALSE))</f>
        <v>1782.3021852878001</v>
      </c>
      <c r="DQ60" s="180">
        <f>$BS60*(VLOOKUP(DQ$4, Rates_current!$G$6:$Q$29, 10, FALSE)+VLOOKUP(DQ$4, Rates_current!$G$6:$Q$29, 11, FALSE))</f>
        <v>1820.9736933365998</v>
      </c>
      <c r="DR60" s="180">
        <f>$BS60*(VLOOKUP(DR$4, Rates_current!$G$6:$Q$29, 10, FALSE)+VLOOKUP(DR$4, Rates_current!$G$6:$Q$29, 11, FALSE))</f>
        <v>1580.8675105498</v>
      </c>
      <c r="DS60" s="180">
        <f>$BS60*(VLOOKUP(DS$4, Rates_current!$G$6:$Q$29, 10, FALSE)+VLOOKUP(DS$4, Rates_current!$G$6:$Q$29, 11, FALSE))</f>
        <v>1528.2786743336201</v>
      </c>
      <c r="DT60" s="180">
        <f>$BS60*(VLOOKUP(DT$4, Rates_current!$G$6:$Q$29, 10, FALSE)+VLOOKUP(DT$4, Rates_current!$G$6:$Q$29, 11, FALSE))</f>
        <v>1406.3123298136002</v>
      </c>
      <c r="DU60" s="402">
        <f>IF(D60=0,IF(C60=0,MAX(0,DW60 - (VLOOKUP($A60,TOCA_current!$A$2:$AI$137,MATCH("RHWM 2024",TOCA_current!$A$2:$AI$2,0),FALSE)*$BS$2)), 0),0)</f>
        <v>0</v>
      </c>
      <c r="DV60" s="403">
        <f>MIN(VLOOKUP($A60,TOCA_current!$A$2:$AI$137,MATCH("TRL - NLSL - Existing Resource "&amp;$BS$1,TOCA_current!$A$2:$AI$2,0),FALSE)*$BS$2, VLOOKUP($A60,TOCA_current!$A$2:$AI$137,MATCH("RHWM 2024",TOCA_current!$A$2:$AI$2,0),FALSE)*$BS$2)</f>
        <v>19930.896000000001</v>
      </c>
      <c r="DW60" s="403">
        <f>SUM(BY60:CV60)+(BS60*RT1SC!$C$4*$BS$2)</f>
        <v>19930.845091349278</v>
      </c>
      <c r="DX60" s="403">
        <f>VLOOKUP($A60,TOCA_current!$A$2:$AI$137,MATCH("Above RHWM Not Served with LS "&amp;$BS$1,TOCA_current!$A$2:$AI$2,0),FALSE)*$BS$2</f>
        <v>0</v>
      </c>
      <c r="DY60" s="403">
        <f t="shared" si="13"/>
        <v>-5.0908650722703896E-2</v>
      </c>
      <c r="DZ60" s="403">
        <f>(VLOOKUP($A60,TOCA_current!$A$2:$AI$137,MATCH("RHWM 2024",TOCA_current!$A$2:$AI$2,0),FALSE)*$BS$2) - $DV60</f>
        <v>4585.2479999999996</v>
      </c>
      <c r="EA60" s="403">
        <f t="shared" si="14"/>
        <v>0</v>
      </c>
      <c r="EB60" s="403">
        <f t="shared" si="15"/>
        <v>5.0908650722703896E-2</v>
      </c>
      <c r="EC60" s="403">
        <f t="shared" si="16"/>
        <v>0</v>
      </c>
      <c r="ED60" s="403">
        <f t="shared" si="17"/>
        <v>5.0908650722703896E-2</v>
      </c>
    </row>
    <row r="61" spans="1:134">
      <c r="A61" s="123">
        <v>10170</v>
      </c>
      <c r="B61" s="124" t="s">
        <v>62</v>
      </c>
      <c r="C61" s="232">
        <f>VLOOKUP(A61, TOCA_current!$A$3:$D$137, 4, FALSE)</f>
        <v>0</v>
      </c>
      <c r="D61" s="191">
        <v>1</v>
      </c>
      <c r="E61" s="107">
        <f>VLOOKUP($A61,TOCA_previous!$A$2:$AI$137,MATCH(E$4,TOCA_previous!$A$2:$AI$2,0),FALSE)</f>
        <v>3.4290500000000002E-2</v>
      </c>
      <c r="F61" s="108">
        <f>VLOOKUP($A61,TOCA_previous!$A$2:$AI$137,MATCH(F$4,TOCA_previous!$A$2:$AI$2,0),FALSE)</f>
        <v>1.6356900000000001E-2</v>
      </c>
      <c r="G61" s="108">
        <f t="shared" si="5"/>
        <v>1.7933600000000001E-2</v>
      </c>
      <c r="H61" s="108">
        <f>VLOOKUP($A61,TOCA_previous!$A$2:$AI$137,MATCH(H$4,TOCA_previous!$A$2:$AI$2,0),FALSE)</f>
        <v>0</v>
      </c>
      <c r="I61" s="108">
        <f t="shared" si="6"/>
        <v>0</v>
      </c>
      <c r="J61" s="108">
        <f t="shared" si="7"/>
        <v>0</v>
      </c>
      <c r="K61" s="179">
        <f>VLOOKUP(A61, IRD!$A$5:$C$139, 3, FALSE)</f>
        <v>0</v>
      </c>
      <c r="L61" s="180">
        <f t="array" ref="L61">IF($G61=0, INDEX(LS_previous!$D$4:$AY$138, MATCH('Staging Table'!$A61, LS_previous!$B$4:$B$138, 0), MATCH(L$4&amp;L$5, LS_previous!$D$2:$AY$2&amp;LS_previous!$D$3:$AY$3, 0)),SUM(VLOOKUP($A61, LS_previous!$B$4:$AY$138, LS_previous!D$149, FALSE), VLOOKUP('Staging Table'!$A61, LS_previous!$B$4:$AY$138,LS_previous!AB$149, FALSE))/2)</f>
        <v>-4106.3880815737648</v>
      </c>
      <c r="M61" s="180">
        <f t="array" ref="M61">IF($G61=0, INDEX(LS_previous!$D$4:$AY$138, MATCH('Staging Table'!$A61, LS_previous!$B$4:$B$138, 0), MATCH(M$4&amp;M$5, LS_previous!$D$2:$AY$2&amp;LS_previous!$D$3:$AY$3, 0)),SUM(VLOOKUP($A61, LS_previous!$B$4:$AY$138, LS_previous!E$149, FALSE), VLOOKUP('Staging Table'!$A61, LS_previous!$B$4:$AY$138,LS_previous!AC$149, FALSE))/2)</f>
        <v>7844.3910652962113</v>
      </c>
      <c r="N61" s="180">
        <f t="array" ref="N61">IF($G61=0, INDEX(LS_previous!$D$4:$AY$138, MATCH('Staging Table'!$A61, LS_previous!$B$4:$B$138, 0), MATCH(N$4&amp;N$5, LS_previous!$D$2:$AY$2&amp;LS_previous!$D$3:$AY$3, 0)),SUM(VLOOKUP($A61, LS_previous!$B$4:$AY$138, LS_previous!F$149, FALSE), VLOOKUP('Staging Table'!$A61, LS_previous!$B$4:$AY$138,LS_previous!AD$149, FALSE))/2)</f>
        <v>-16828.595043109432</v>
      </c>
      <c r="O61" s="180">
        <f t="array" ref="O61">IF($G61=0, INDEX(LS_previous!$D$4:$AY$138, MATCH('Staging Table'!$A61, LS_previous!$B$4:$B$138, 0), MATCH(O$4&amp;O$5, LS_previous!$D$2:$AY$2&amp;LS_previous!$D$3:$AY$3, 0)),SUM(VLOOKUP($A61, LS_previous!$B$4:$AY$138, LS_previous!G$149, FALSE), VLOOKUP('Staging Table'!$A61, LS_previous!$B$4:$AY$138,LS_previous!AE$149, FALSE))/2)</f>
        <v>-3383.8570305360845</v>
      </c>
      <c r="P61" s="180">
        <f t="array" ref="P61">IF($G61=0, INDEX(LS_previous!$D$4:$AY$138, MATCH('Staging Table'!$A61, LS_previous!$B$4:$B$138, 0), MATCH(P$4&amp;P$5, LS_previous!$D$2:$AY$2&amp;LS_previous!$D$3:$AY$3, 0)),SUM(VLOOKUP($A61, LS_previous!$B$4:$AY$138, LS_previous!H$149, FALSE), VLOOKUP('Staging Table'!$A61, LS_previous!$B$4:$AY$138,LS_previous!AF$149, FALSE))/2)</f>
        <v>705.52694552940739</v>
      </c>
      <c r="Q61" s="180">
        <f t="array" ref="Q61">IF($G61=0, INDEX(LS_previous!$D$4:$AY$138, MATCH('Staging Table'!$A61, LS_previous!$B$4:$B$138, 0), MATCH(Q$4&amp;Q$5, LS_previous!$D$2:$AY$2&amp;LS_previous!$D$3:$AY$3, 0)),SUM(VLOOKUP($A61, LS_previous!$B$4:$AY$138, LS_previous!I$149, FALSE), VLOOKUP('Staging Table'!$A61, LS_previous!$B$4:$AY$138,LS_previous!AG$149, FALSE))/2)</f>
        <v>2584.1758481669312</v>
      </c>
      <c r="R61" s="180">
        <f t="array" ref="R61">IF($G61=0, INDEX(LS_previous!$D$4:$AY$138, MATCH('Staging Table'!$A61, LS_previous!$B$4:$B$138, 0), MATCH(R$4&amp;R$5, LS_previous!$D$2:$AY$2&amp;LS_previous!$D$3:$AY$3, 0)),SUM(VLOOKUP($A61, LS_previous!$B$4:$AY$138, LS_previous!J$149, FALSE), VLOOKUP('Staging Table'!$A61, LS_previous!$B$4:$AY$138,LS_previous!AH$149, FALSE))/2)</f>
        <v>11245.244686948434</v>
      </c>
      <c r="S61" s="180">
        <f t="array" ref="S61">IF($G61=0, INDEX(LS_previous!$D$4:$AY$138, MATCH('Staging Table'!$A61, LS_previous!$B$4:$B$138, 0), MATCH(S$4&amp;S$5, LS_previous!$D$2:$AY$2&amp;LS_previous!$D$3:$AY$3, 0)),SUM(VLOOKUP($A61, LS_previous!$B$4:$AY$138, LS_previous!K$149, FALSE), VLOOKUP('Staging Table'!$A61, LS_previous!$B$4:$AY$138,LS_previous!AI$149, FALSE))/2)</f>
        <v>14152.900216925867</v>
      </c>
      <c r="T61" s="180">
        <f t="array" ref="T61">IF($G61=0, INDEX(LS_previous!$D$4:$AY$138, MATCH('Staging Table'!$A61, LS_previous!$B$4:$B$138, 0), MATCH(T$4&amp;T$5, LS_previous!$D$2:$AY$2&amp;LS_previous!$D$3:$AY$3, 0)),SUM(VLOOKUP($A61, LS_previous!$B$4:$AY$138, LS_previous!L$149, FALSE), VLOOKUP('Staging Table'!$A61, LS_previous!$B$4:$AY$138,LS_previous!AJ$149, FALSE))/2)</f>
        <v>13059.267038821894</v>
      </c>
      <c r="U61" s="180">
        <f t="array" ref="U61">IF($G61=0, INDEX(LS_previous!$D$4:$AY$138, MATCH('Staging Table'!$A61, LS_previous!$B$4:$B$138, 0), MATCH(U$4&amp;U$5, LS_previous!$D$2:$AY$2&amp;LS_previous!$D$3:$AY$3, 0)),SUM(VLOOKUP($A61, LS_previous!$B$4:$AY$138, LS_previous!M$149, FALSE), VLOOKUP('Staging Table'!$A61, LS_previous!$B$4:$AY$138,LS_previous!AK$149, FALSE))/2)</f>
        <v>10900.912714513895</v>
      </c>
      <c r="V61" s="180">
        <f t="array" ref="V61">IF($G61=0, INDEX(LS_previous!$D$4:$AY$138, MATCH('Staging Table'!$A61, LS_previous!$B$4:$B$138, 0), MATCH(V$4&amp;V$5, LS_previous!$D$2:$AY$2&amp;LS_previous!$D$3:$AY$3, 0)),SUM(VLOOKUP($A61, LS_previous!$B$4:$AY$138, LS_previous!N$149, FALSE), VLOOKUP('Staging Table'!$A61, LS_previous!$B$4:$AY$138,LS_previous!AL$149, FALSE))/2)</f>
        <v>3221.4747443820561</v>
      </c>
      <c r="W61" s="180">
        <f t="array" ref="W61">IF($G61=0, INDEX(LS_previous!$D$4:$AY$138, MATCH('Staging Table'!$A61, LS_previous!$B$4:$B$138, 0), MATCH(W$4&amp;W$5, LS_previous!$D$2:$AY$2&amp;LS_previous!$D$3:$AY$3, 0)),SUM(VLOOKUP($A61, LS_previous!$B$4:$AY$138, LS_previous!O$149, FALSE), VLOOKUP('Staging Table'!$A61, LS_previous!$B$4:$AY$138,LS_previous!AM$149, FALSE))/2)</f>
        <v>6808.677734221852</v>
      </c>
      <c r="X61" s="180">
        <f t="array" ref="X61">IF($G61=0, INDEX(LS_previous!$D$4:$AY$138, MATCH('Staging Table'!$A61, LS_previous!$B$4:$B$138, 0), MATCH(X$4&amp;X$5, LS_previous!$D$2:$AY$2&amp;LS_previous!$D$3:$AY$3, 0)),SUM(VLOOKUP($A61, LS_previous!$B$4:$AY$138, LS_previous!P$149, FALSE), VLOOKUP('Staging Table'!$A61, LS_previous!$B$4:$AY$138,LS_previous!AN$149, FALSE))/2)</f>
        <v>6619.8114491466476</v>
      </c>
      <c r="Y61" s="180">
        <f t="array" ref="Y61">IF($G61=0, INDEX(LS_previous!$D$4:$AY$138, MATCH('Staging Table'!$A61, LS_previous!$B$4:$B$138, 0), MATCH(Y$4&amp;Y$5, LS_previous!$D$2:$AY$2&amp;LS_previous!$D$3:$AY$3, 0)),SUM(VLOOKUP($A61, LS_previous!$B$4:$AY$138, LS_previous!Q$149, FALSE), VLOOKUP('Staging Table'!$A61, LS_previous!$B$4:$AY$138,LS_previous!AO$149, FALSE))/2)</f>
        <v>10515.155585990902</v>
      </c>
      <c r="Z61" s="180">
        <f t="array" ref="Z61">IF($G61=0, INDEX(LS_previous!$D$4:$AY$138, MATCH('Staging Table'!$A61, LS_previous!$B$4:$B$138, 0), MATCH(Z$4&amp;Z$5, LS_previous!$D$2:$AY$2&amp;LS_previous!$D$3:$AY$3, 0)),SUM(VLOOKUP($A61, LS_previous!$B$4:$AY$138, LS_previous!R$149, FALSE), VLOOKUP('Staging Table'!$A61, LS_previous!$B$4:$AY$138,LS_previous!AP$149, FALSE))/2)</f>
        <v>-22485.16996438937</v>
      </c>
      <c r="AA61" s="180">
        <f t="array" ref="AA61">IF($G61=0, INDEX(LS_previous!$D$4:$AY$138, MATCH('Staging Table'!$A61, LS_previous!$B$4:$B$138, 0), MATCH(AA$4&amp;AA$5, LS_previous!$D$2:$AY$2&amp;LS_previous!$D$3:$AY$3, 0)),SUM(VLOOKUP($A61, LS_previous!$B$4:$AY$138, LS_previous!S$149, FALSE), VLOOKUP('Staging Table'!$A61, LS_previous!$B$4:$AY$138,LS_previous!AQ$149, FALSE))/2)</f>
        <v>1092.5961520994333</v>
      </c>
      <c r="AB61" s="180">
        <f t="array" ref="AB61">IF($G61=0, INDEX(LS_previous!$D$4:$AY$138, MATCH('Staging Table'!$A61, LS_previous!$B$4:$B$138, 0), MATCH(AB$4&amp;AB$5, LS_previous!$D$2:$AY$2&amp;LS_previous!$D$3:$AY$3, 0)),SUM(VLOOKUP($A61, LS_previous!$B$4:$AY$138, LS_previous!T$149, FALSE), VLOOKUP('Staging Table'!$A61, LS_previous!$B$4:$AY$138,LS_previous!AR$149, FALSE))/2)</f>
        <v>-28171.484575075767</v>
      </c>
      <c r="AC61" s="180">
        <f t="array" ref="AC61">IF($G61=0, INDEX(LS_previous!$D$4:$AY$138, MATCH('Staging Table'!$A61, LS_previous!$B$4:$B$138, 0), MATCH(AC$4&amp;AC$5, LS_previous!$D$2:$AY$2&amp;LS_previous!$D$3:$AY$3, 0)),SUM(VLOOKUP($A61, LS_previous!$B$4:$AY$138, LS_previous!U$149, FALSE), VLOOKUP('Staging Table'!$A61, LS_previous!$B$4:$AY$138,LS_previous!AS$149, FALSE))/2)</f>
        <v>897.60983541309361</v>
      </c>
      <c r="AD61" s="180">
        <f t="array" ref="AD61">IF($G61=0, INDEX(LS_previous!$D$4:$AY$138, MATCH('Staging Table'!$A61, LS_previous!$B$4:$B$138, 0), MATCH(AD$4&amp;AD$5, LS_previous!$D$2:$AY$2&amp;LS_previous!$D$3:$AY$3, 0)),SUM(VLOOKUP($A61, LS_previous!$B$4:$AY$138, LS_previous!V$149, FALSE), VLOOKUP('Staging Table'!$A61, LS_previous!$B$4:$AY$138,LS_previous!AT$149, FALSE))/2)</f>
        <v>-15478.796131606203</v>
      </c>
      <c r="AE61" s="180">
        <f t="array" ref="AE61">IF($G61=0, INDEX(LS_previous!$D$4:$AY$138, MATCH('Staging Table'!$A61, LS_previous!$B$4:$B$138, 0), MATCH(AE$4&amp;AE$5, LS_previous!$D$2:$AY$2&amp;LS_previous!$D$3:$AY$3, 0)),SUM(VLOOKUP($A61, LS_previous!$B$4:$AY$138, LS_previous!W$149, FALSE), VLOOKUP('Staging Table'!$A61, LS_previous!$B$4:$AY$138,LS_previous!AU$149, FALSE))/2)</f>
        <v>7485.9674962324316</v>
      </c>
      <c r="AF61" s="180">
        <f t="array" ref="AF61">IF($G61=0, INDEX(LS_previous!$D$4:$AY$138, MATCH('Staging Table'!$A61, LS_previous!$B$4:$B$138, 0), MATCH(AF$4&amp;AF$5, LS_previous!$D$2:$AY$2&amp;LS_previous!$D$3:$AY$3, 0)),SUM(VLOOKUP($A61, LS_previous!$B$4:$AY$138, LS_previous!X$149, FALSE), VLOOKUP('Staging Table'!$A61, LS_previous!$B$4:$AY$138,LS_previous!AV$149, FALSE))/2)</f>
        <v>-9618.4917255964974</v>
      </c>
      <c r="AG61" s="180">
        <f t="array" ref="AG61">IF($G61=0, INDEX(LS_previous!$D$4:$AY$138, MATCH('Staging Table'!$A61, LS_previous!$B$4:$B$138, 0), MATCH(AG$4&amp;AG$5, LS_previous!$D$2:$AY$2&amp;LS_previous!$D$3:$AY$3, 0)),SUM(VLOOKUP($A61, LS_previous!$B$4:$AY$138, LS_previous!Y$149, FALSE), VLOOKUP('Staging Table'!$A61, LS_previous!$B$4:$AY$138,LS_previous!AW$149, FALSE))/2)</f>
        <v>6502.2017432426692</v>
      </c>
      <c r="AH61" s="180">
        <f t="array" ref="AH61">IF($G61=0, INDEX(LS_previous!$D$4:$AY$138, MATCH('Staging Table'!$A61, LS_previous!$B$4:$B$138, 0), MATCH(AH$4&amp;AH$5, LS_previous!$D$2:$AY$2&amp;LS_previous!$D$3:$AY$3, 0)),SUM(VLOOKUP($A61, LS_previous!$B$4:$AY$138, LS_previous!Z$149, FALSE), VLOOKUP('Staging Table'!$A61, LS_previous!$B$4:$AY$138,LS_previous!AX$149, FALSE))/2)</f>
        <v>-8407.3036952762704</v>
      </c>
      <c r="AI61" s="180">
        <f t="array" ref="AI61">IF($G61=0, INDEX(LS_previous!$D$4:$AY$138, MATCH('Staging Table'!$A61, LS_previous!$B$4:$B$138, 0), MATCH(AI$4&amp;AI$5, LS_previous!$D$2:$AY$2&amp;LS_previous!$D$3:$AY$3, 0)),SUM(VLOOKUP($A61, LS_previous!$B$4:$AY$138, LS_previous!AA$149, FALSE), VLOOKUP('Staging Table'!$A61, LS_previous!$B$4:$AY$138,LS_previous!AY$149, FALSE))/2)</f>
        <v>4843.4396414634175</v>
      </c>
      <c r="AJ61" s="298">
        <f t="array" ref="AJ61">INDEX(Demand_previous!$D$4:$AY$138, MATCH('Staging Table'!$A61, Demand_previous!$B$4:$B$138, 0), MATCH(AJ$4&amp;AJ$5,Demand_previous!$D$2:$AY$2&amp;Demand_previous!$D$3:$AY$3, 0))/1000</f>
        <v>0</v>
      </c>
      <c r="AK61" s="298">
        <f t="array" ref="AK61">INDEX(Demand_previous!$D$4:$AY$138, MATCH('Staging Table'!$A61, Demand_previous!$B$4:$B$138, 0), MATCH(AK$4&amp;AK$5,Demand_previous!$D$2:$AY$2&amp;Demand_previous!$D$3:$AY$3, 0))/1000</f>
        <v>0</v>
      </c>
      <c r="AL61" s="298">
        <f t="array" ref="AL61">INDEX(Demand_previous!$D$4:$AY$138, MATCH('Staging Table'!$A61, Demand_previous!$B$4:$B$138, 0), MATCH(AL$4&amp;AL$5,Demand_previous!$D$2:$AY$2&amp;Demand_previous!$D$3:$AY$3, 0))/1000</f>
        <v>0</v>
      </c>
      <c r="AM61" s="298">
        <f t="array" ref="AM61">INDEX(Demand_previous!$D$4:$AY$138, MATCH('Staging Table'!$A61, Demand_previous!$B$4:$B$138, 0), MATCH(AM$4&amp;AM$5,Demand_previous!$D$2:$AY$2&amp;Demand_previous!$D$3:$AY$3, 0))/1000</f>
        <v>0</v>
      </c>
      <c r="AN61" s="298">
        <f t="array" ref="AN61">INDEX(Demand_previous!$D$4:$AY$138, MATCH('Staging Table'!$A61, Demand_previous!$B$4:$B$138, 0), MATCH(AN$4&amp;AN$5,Demand_previous!$D$2:$AY$2&amp;Demand_previous!$D$3:$AY$3, 0))/1000</f>
        <v>0</v>
      </c>
      <c r="AO61" s="298">
        <f t="array" ref="AO61">INDEX(Demand_previous!$D$4:$AY$138, MATCH('Staging Table'!$A61, Demand_previous!$B$4:$B$138, 0), MATCH(AO$4&amp;AO$5,Demand_previous!$D$2:$AY$2&amp;Demand_previous!$D$3:$AY$3, 0))/1000</f>
        <v>0</v>
      </c>
      <c r="AP61" s="298">
        <f t="array" ref="AP61">INDEX(Demand_previous!$D$4:$AY$138, MATCH('Staging Table'!$A61, Demand_previous!$B$4:$B$138, 0), MATCH(AP$4&amp;AP$5,Demand_previous!$D$2:$AY$2&amp;Demand_previous!$D$3:$AY$3, 0))/1000</f>
        <v>0</v>
      </c>
      <c r="AQ61" s="298">
        <f t="array" ref="AQ61">INDEX(Demand_previous!$D$4:$AY$138, MATCH('Staging Table'!$A61, Demand_previous!$B$4:$B$138, 0), MATCH(AQ$4&amp;AQ$5,Demand_previous!$D$2:$AY$2&amp;Demand_previous!$D$3:$AY$3, 0))/1000</f>
        <v>0</v>
      </c>
      <c r="AR61" s="298">
        <f t="array" ref="AR61">INDEX(Demand_previous!$D$4:$AY$138, MATCH('Staging Table'!$A61, Demand_previous!$B$4:$B$138, 0), MATCH(AR$4&amp;AR$5,Demand_previous!$D$2:$AY$2&amp;Demand_previous!$D$3:$AY$3, 0))/1000</f>
        <v>0</v>
      </c>
      <c r="AS61" s="298">
        <f t="array" ref="AS61">INDEX(Demand_previous!$D$4:$AY$138, MATCH('Staging Table'!$A61, Demand_previous!$B$4:$B$138, 0), MATCH(AS$4&amp;AS$5,Demand_previous!$D$2:$AY$2&amp;Demand_previous!$D$3:$AY$3, 0))/1000</f>
        <v>0</v>
      </c>
      <c r="AT61" s="298">
        <f t="array" ref="AT61">INDEX(Demand_previous!$D$4:$AY$138, MATCH('Staging Table'!$A61, Demand_previous!$B$4:$B$138, 0), MATCH(AT$4&amp;AT$5,Demand_previous!$D$2:$AY$2&amp;Demand_previous!$D$3:$AY$3, 0))/1000</f>
        <v>0</v>
      </c>
      <c r="AU61" s="298">
        <f t="array" ref="AU61">INDEX(Demand_previous!$D$4:$AY$138, MATCH('Staging Table'!$A61, Demand_previous!$B$4:$B$138, 0), MATCH(AU$4&amp;AU$5,Demand_previous!$D$2:$AY$2&amp;Demand_previous!$D$3:$AY$3, 0))/1000</f>
        <v>0</v>
      </c>
      <c r="AV61" s="180">
        <f>$F61*(VLOOKUP(AV$4, Rates_previous!$G$6:$Q$29, 10, FALSE)+VLOOKUP(AV$4, Rates_previous!$G$6:$Q$29, 11, FALSE))</f>
        <v>74488.086357978318</v>
      </c>
      <c r="AW61" s="180">
        <f>$F61*(VLOOKUP(AW$4, Rates_previous!$G$6:$Q$29, 10, FALSE)+VLOOKUP(AW$4, Rates_previous!$G$6:$Q$29, 11, FALSE))</f>
        <v>94304.620687886621</v>
      </c>
      <c r="AX61" s="180">
        <f>$F61*(VLOOKUP(AX$4, Rates_previous!$G$6:$Q$29, 10, FALSE)+VLOOKUP(AX$4, Rates_previous!$G$6:$Q$29, 11, FALSE))</f>
        <v>92305.383173056718</v>
      </c>
      <c r="AY61" s="180">
        <f>$F61*(VLOOKUP(AY$4, Rates_previous!$G$6:$Q$29, 10, FALSE)+VLOOKUP(AY$4, Rates_previous!$G$6:$Q$29, 11, FALSE))</f>
        <v>76240.321229118956</v>
      </c>
      <c r="AZ61" s="180">
        <f>$F61*(VLOOKUP(AZ$4, Rates_previous!$G$6:$Q$29, 10, FALSE)+VLOOKUP(AZ$4, Rates_previous!$G$6:$Q$29, 11, FALSE))</f>
        <v>66079.157375125418</v>
      </c>
      <c r="BA61" s="180">
        <f>$F61*(VLOOKUP(BA$4, Rates_previous!$G$6:$Q$29, 10, FALSE)+VLOOKUP(BA$4, Rates_previous!$G$6:$Q$29, 11, FALSE))</f>
        <v>78885.169930621807</v>
      </c>
      <c r="BB61" s="180">
        <f>$F61*(VLOOKUP(BB$4, Rates_previous!$G$6:$Q$29, 10, FALSE)+VLOOKUP(BB$4, Rates_previous!$G$6:$Q$29, 11, FALSE))</f>
        <v>61243.832555277186</v>
      </c>
      <c r="BC61" s="180">
        <f>$F61*(VLOOKUP(BC$4, Rates_previous!$G$6:$Q$29, 10, FALSE)+VLOOKUP(BC$4, Rates_previous!$G$6:$Q$29, 11, FALSE))</f>
        <v>84853.780697728042</v>
      </c>
      <c r="BD61" s="180">
        <f>$F61*(VLOOKUP(BD$4, Rates_previous!$G$6:$Q$29, 10, FALSE)+VLOOKUP(BD$4, Rates_previous!$G$6:$Q$29, 11, FALSE))</f>
        <v>90668.041441673122</v>
      </c>
      <c r="BE61" s="180">
        <f>$F61*(VLOOKUP(BE$4, Rates_previous!$G$6:$Q$29, 10, FALSE)+VLOOKUP(BE$4, Rates_previous!$G$6:$Q$29, 11, FALSE))</f>
        <v>86085.19975499835</v>
      </c>
      <c r="BF61" s="180">
        <f>$F61*(VLOOKUP(BF$4, Rates_previous!$G$6:$Q$29, 10, FALSE)+VLOOKUP(BF$4, Rates_previous!$G$6:$Q$29, 11, FALSE))</f>
        <v>83194.704435582054</v>
      </c>
      <c r="BG61" s="180">
        <f>$F61*(VLOOKUP(BG$4, Rates_previous!$G$6:$Q$29, 10, FALSE)+VLOOKUP(BG$4, Rates_previous!$G$6:$Q$29, 11, FALSE))</f>
        <v>76880.579602715938</v>
      </c>
      <c r="BH61" s="298">
        <f>IF($D61=0,IF(C61=0, MAX(BJ61 - (VLOOKUP($A61,TOCA_previous!$A$2:$AI$137,MATCH("RHWM 2022",TOCA_previous!$A$2:$AI$2,0),FALSE)*$F$2*TOCA_previous!C58),0),0), 0)</f>
        <v>0</v>
      </c>
      <c r="BI61" s="192">
        <f>MIN(VLOOKUP($A61,TOCA_previous!$A$2:$AI$137,MATCH("TRL - NLSL - Existing Resource "&amp;$F$1,TOCA_previous!$A$2:$AI$2,0),FALSE)*$F$2,(VLOOKUP($A61,TOCA_previous!$A$2:$AI$137,MATCH("RHWM 2022",TOCA_previous!$A$2:$AI$2,0),FALSE)*$F$2))</f>
        <v>2023498.68</v>
      </c>
      <c r="BJ61" s="402">
        <f>SUM(L61:AI61)+(F61*RT1SC!$C$3*$F$2)</f>
        <v>965228.19326862786</v>
      </c>
      <c r="BK61" s="401">
        <f>VLOOKUP($A61,TOCA_previous!$A$2:$AI$137,MATCH("Above RHWM Not Served with LS "&amp;$F$1,TOCA_previous!$A$2:$AI$2,0),FALSE)*$F$2</f>
        <v>0</v>
      </c>
      <c r="BL61" s="402">
        <f t="shared" si="8"/>
        <v>-1058270.4867313721</v>
      </c>
      <c r="BM61" s="401">
        <f>(VLOOKUP($A61,TOCA_previous!$A$2:$AI$137,MATCH("RHWM 2022",TOCA_previous!$A$2:$AI$2,0),FALSE)*$F$2) - $BI61</f>
        <v>74714.039999999804</v>
      </c>
      <c r="BN61" s="402">
        <f t="shared" si="9"/>
        <v>0</v>
      </c>
      <c r="BO61" s="401">
        <f t="shared" si="10"/>
        <v>1058270.4867313721</v>
      </c>
      <c r="BP61" s="402">
        <f t="shared" si="11"/>
        <v>0</v>
      </c>
      <c r="BQ61" s="401">
        <f t="shared" si="18"/>
        <v>0</v>
      </c>
      <c r="BR61" s="108">
        <f>VLOOKUP($A61,TOCA_current!$A$2:$AI$137,MATCH(BR$4,TOCA_current!$A$2:$AI$2,0),FALSE)</f>
        <v>3.26136E-2</v>
      </c>
      <c r="BS61" s="108">
        <f>VLOOKUP($A61,TOCA_current!$A$2:$AI$137,MATCH(BS$4,TOCA_current!$A$2:$AI$2,0),FALSE)</f>
        <v>1.46838E-2</v>
      </c>
      <c r="BT61" s="189">
        <f t="shared" si="12"/>
        <v>1.7929799999999999E-2</v>
      </c>
      <c r="BU61" s="108">
        <f>VLOOKUP($A61,TOCA_current!A57:BG192,MATCH(BU$4,TOCA_current!$A$2:$BG$2,0),FALSE)</f>
        <v>0</v>
      </c>
      <c r="BV61" s="108">
        <f t="shared" si="19"/>
        <v>0</v>
      </c>
      <c r="BW61" s="108">
        <f t="shared" si="20"/>
        <v>0</v>
      </c>
      <c r="BX61" s="179">
        <f>VLOOKUP($A61,IRD!$A$4:$G$139, 7, FALSE)</f>
        <v>0</v>
      </c>
      <c r="BY61" s="180">
        <f t="array" ref="BY61">IF($BT61=0, INDEX(LS_current!$D$4:$AY$138, MATCH('Staging Table'!$A61, LS_current!$B$4:$B$138, 0), MATCH(BY$4&amp;BY$5, LS_current!$D$2:$AY$2&amp;LS_current!$D$3:$AY$3, 0)),SUM(VLOOKUP($A61, LS_current!$B$4:$AY$138, LS_current!D$148, FALSE), VLOOKUP($A61, LS_current!$B$4:$AY$138,LS_current!AB$148, FALSE))/2)</f>
        <v>4602.2491008338984</v>
      </c>
      <c r="BZ61" s="180">
        <f t="array" ref="BZ61">IF($BT61=0, INDEX(LS_current!$D$4:$AY$138, MATCH('Staging Table'!$A61, LS_current!$B$4:$B$138, 0), MATCH(BZ$4&amp;BZ$5, LS_current!$D$2:$AY$2&amp;LS_current!$D$3:$AY$3, 0)),SUM(VLOOKUP($A61, LS_current!$B$4:$AY$138, LS_current!E$148, FALSE), VLOOKUP($A61, LS_current!$B$4:$AY$138,LS_current!AC$148, FALSE))/2)</f>
        <v>7322.155544790372</v>
      </c>
      <c r="CA61" s="180">
        <f t="array" ref="CA61">IF($BT61=0, INDEX(LS_current!$D$4:$AY$138, MATCH('Staging Table'!$A61, LS_current!$B$4:$B$138, 0), MATCH(CA$4&amp;CA$5, LS_current!$D$2:$AY$2&amp;LS_current!$D$3:$AY$3, 0)),SUM(VLOOKUP($A61, LS_current!$B$4:$AY$138, LS_current!F$148, FALSE), VLOOKUP($A61, LS_current!$B$4:$AY$138,LS_current!AD$148, FALSE))/2)</f>
        <v>-9209.033728678849</v>
      </c>
      <c r="CB61" s="180">
        <f t="array" ref="CB61">IF($BT61=0, INDEX(LS_current!$D$4:$AY$138, MATCH('Staging Table'!$A61, LS_current!$B$4:$B$138, 0), MATCH(CB$4&amp;CB$5, LS_current!$D$2:$AY$2&amp;LS_current!$D$3:$AY$3, 0)),SUM(VLOOKUP($A61, LS_current!$B$4:$AY$138, LS_current!G$148, FALSE), VLOOKUP($A61, LS_current!$B$4:$AY$138,LS_current!AE$148, FALSE))/2)</f>
        <v>121.65726851838917</v>
      </c>
      <c r="CC61" s="180">
        <f t="array" ref="CC61">IF($BT61=0, INDEX(LS_current!$D$4:$AY$138, MATCH('Staging Table'!$A61, LS_current!$B$4:$B$138, 0), MATCH(CC$4&amp;CC$5, LS_current!$D$2:$AY$2&amp;LS_current!$D$3:$AY$3, 0)),SUM(VLOOKUP($A61, LS_current!$B$4:$AY$138, LS_current!H$148, FALSE), VLOOKUP($A61, LS_current!$B$4:$AY$138,LS_current!AF$148, FALSE))/2)</f>
        <v>-3319.8853748336551</v>
      </c>
      <c r="CD61" s="180">
        <f t="array" ref="CD61">IF($BT61=0, INDEX(LS_current!$D$4:$AY$138, MATCH('Staging Table'!$A61, LS_current!$B$4:$B$138, 0), MATCH(CD$4&amp;CD$5, LS_current!$D$2:$AY$2&amp;LS_current!$D$3:$AY$3, 0)),SUM(VLOOKUP($A61, LS_current!$B$4:$AY$138, LS_current!I$148, FALSE), VLOOKUP($A61, LS_current!$B$4:$AY$138,LS_current!AG$148, FALSE))/2)</f>
        <v>8201.2893275192182</v>
      </c>
      <c r="CE61" s="180">
        <f t="array" ref="CE61">IF($BT61=0, INDEX(LS_current!$D$4:$AY$138, MATCH('Staging Table'!$A61, LS_current!$B$4:$B$138, 0), MATCH(CE$4&amp;CE$5, LS_current!$D$2:$AY$2&amp;LS_current!$D$3:$AY$3, 0)),SUM(VLOOKUP($A61, LS_current!$B$4:$AY$138, LS_current!J$148, FALSE), VLOOKUP($A61, LS_current!$B$4:$AY$138,LS_current!AH$148, FALSE))/2)</f>
        <v>-1462.7924824838847</v>
      </c>
      <c r="CF61" s="180">
        <f t="array" ref="CF61">IF($BT61=0, INDEX(LS_current!$D$4:$AY$138, MATCH('Staging Table'!$A61, LS_current!$B$4:$B$138, 0), MATCH(CF$4&amp;CF$5, LS_current!$D$2:$AY$2&amp;LS_current!$D$3:$AY$3, 0)),SUM(VLOOKUP($A61, LS_current!$B$4:$AY$138, LS_current!K$148, FALSE), VLOOKUP($A61, LS_current!$B$4:$AY$138,LS_current!AI$148, FALSE))/2)</f>
        <v>8496.9864340174572</v>
      </c>
      <c r="CG61" s="180">
        <f t="array" ref="CG61">IF($BT61=0, INDEX(LS_current!$D$4:$AY$138, MATCH('Staging Table'!$A61, LS_current!$B$4:$B$138, 0), MATCH(CG$4&amp;CG$5, LS_current!$D$2:$AY$2&amp;LS_current!$D$3:$AY$3, 0)),SUM(VLOOKUP($A61, LS_current!$B$4:$AY$138, LS_current!L$148, FALSE), VLOOKUP($A61, LS_current!$B$4:$AY$138,LS_current!AJ$148, FALSE))/2)</f>
        <v>884.04715577773823</v>
      </c>
      <c r="CH61" s="180">
        <f t="array" ref="CH61">IF($BT61=0, INDEX(LS_current!$D$4:$AY$138, MATCH('Staging Table'!$A61, LS_current!$B$4:$B$138, 0), MATCH(CH$4&amp;CH$5, LS_current!$D$2:$AY$2&amp;LS_current!$D$3:$AY$3, 0)),SUM(VLOOKUP($A61, LS_current!$B$4:$AY$138, LS_current!M$148, FALSE), VLOOKUP($A61, LS_current!$B$4:$AY$138,LS_current!AK$148, FALSE))/2)</f>
        <v>8930.0334250162687</v>
      </c>
      <c r="CI61" s="180">
        <f t="array" ref="CI61">IF($BT61=0, INDEX(LS_current!$D$4:$AY$138, MATCH('Staging Table'!$A61, LS_current!$B$4:$B$138, 0), MATCH(CI$4&amp;CI$5, LS_current!$D$2:$AY$2&amp;LS_current!$D$3:$AY$3, 0)),SUM(VLOOKUP($A61, LS_current!$B$4:$AY$138, LS_current!N$148, FALSE), VLOOKUP($A61, LS_current!$B$4:$AY$138,LS_current!AL$148, FALSE))/2)</f>
        <v>-3852.6590925688142</v>
      </c>
      <c r="CJ61" s="180">
        <f t="array" ref="CJ61">IF($BT61=0, INDEX(LS_current!$D$4:$AY$138, MATCH('Staging Table'!$A61, LS_current!$B$4:$B$138, 0), MATCH(CJ$4&amp;CJ$5, LS_current!$D$2:$AY$2&amp;LS_current!$D$3:$AY$3, 0)),SUM(VLOOKUP($A61, LS_current!$B$4:$AY$138, LS_current!O$148, FALSE), VLOOKUP($A61, LS_current!$B$4:$AY$138,LS_current!AM$148, FALSE))/2)</f>
        <v>4357.3881999969399</v>
      </c>
      <c r="CK61" s="180">
        <f t="array" ref="CK61">IF($BT61=0, INDEX(LS_current!$D$4:$AY$138, MATCH('Staging Table'!$A61, LS_current!$B$4:$B$138, 0), MATCH(CK$4&amp;CK$5, LS_current!$D$2:$AY$2&amp;LS_current!$D$3:$AY$3, 0)),SUM(VLOOKUP($A61, LS_current!$B$4:$AY$138, LS_current!P$148, FALSE), VLOOKUP($A61, LS_current!$B$4:$AY$138,LS_current!AN$148, FALSE))/2)</f>
        <v>2642.614238928978</v>
      </c>
      <c r="CL61" s="180">
        <f t="array" ref="CL61">IF($BT61=0, INDEX(LS_current!$D$4:$AY$138, MATCH('Staging Table'!$A61, LS_current!$B$4:$B$138, 0), MATCH(CL$4&amp;CL$5, LS_current!$D$2:$AY$2&amp;LS_current!$D$3:$AY$3, 0)),SUM(VLOOKUP($A61, LS_current!$B$4:$AY$138, LS_current!Q$148, FALSE), VLOOKUP($A61, LS_current!$B$4:$AY$138,LS_current!AO$148, FALSE))/2)</f>
        <v>5497.7906122809636</v>
      </c>
      <c r="CM61" s="180">
        <f t="array" ref="CM61">IF($BT61=0, INDEX(LS_current!$D$4:$AY$138, MATCH('Staging Table'!$A61, LS_current!$B$4:$B$138, 0), MATCH(CM$4&amp;CM$5, LS_current!$D$2:$AY$2&amp;LS_current!$D$3:$AY$3, 0)),SUM(VLOOKUP($A61, LS_current!$B$4:$AY$138, LS_current!R$148, FALSE), VLOOKUP($A61, LS_current!$B$4:$AY$138,LS_current!AP$148, FALSE))/2)</f>
        <v>-16180.666959297854</v>
      </c>
      <c r="CN61" s="180">
        <f t="array" ref="CN61">IF($BT61=0, INDEX(LS_current!$D$4:$AY$138, MATCH('Staging Table'!$A61, LS_current!$B$4:$B$138, 0), MATCH(CN$4&amp;CN$5, LS_current!$D$2:$AY$2&amp;LS_current!$D$3:$AY$3, 0)),SUM(VLOOKUP($A61, LS_current!$B$4:$AY$138, LS_current!S$148, FALSE), VLOOKUP($A61, LS_current!$B$4:$AY$138,LS_current!AQ$148, FALSE))/2)</f>
        <v>-5579.7799773946099</v>
      </c>
      <c r="CO61" s="180">
        <f t="array" ref="CO61">IF($BT61=0, INDEX(LS_current!$D$4:$AY$138, MATCH('Staging Table'!$A61, LS_current!$B$4:$B$138, 0), MATCH(CO$4&amp;CO$5, LS_current!$D$2:$AY$2&amp;LS_current!$D$3:$AY$3, 0)),SUM(VLOOKUP($A61, LS_current!$B$4:$AY$138, LS_current!T$148, FALSE), VLOOKUP($A61, LS_current!$B$4:$AY$138,LS_current!AR$148, FALSE))/2)</f>
        <v>-19204.795408964445</v>
      </c>
      <c r="CP61" s="180">
        <f t="array" ref="CP61">IF($BT61=0, INDEX(LS_current!$D$4:$AY$138, MATCH('Staging Table'!$A61, LS_current!$B$4:$B$138, 0), MATCH(CP$4&amp;CP$5, LS_current!$D$2:$AY$2&amp;LS_current!$D$3:$AY$3, 0)),SUM(VLOOKUP($A61, LS_current!$B$4:$AY$138, LS_current!U$148, FALSE), VLOOKUP($A61, LS_current!$B$4:$AY$138,LS_current!AS$148, FALSE))/2)</f>
        <v>-4350.5717550609497</v>
      </c>
      <c r="CQ61" s="180">
        <f t="array" ref="CQ61">IF($BT61=0, INDEX(LS_current!$D$4:$AY$138, MATCH('Staging Table'!$A61, LS_current!$B$4:$B$138, 0), MATCH(CQ$4&amp;CQ$5, LS_current!$D$2:$AY$2&amp;LS_current!$D$3:$AY$3, 0)),SUM(VLOOKUP($A61, LS_current!$B$4:$AY$138, LS_current!V$148, FALSE), VLOOKUP($A61, LS_current!$B$4:$AY$138,LS_current!AT$148, FALSE))/2)</f>
        <v>-3889.6518098411689</v>
      </c>
      <c r="CR61" s="180">
        <f t="array" ref="CR61">IF($BT61=0, INDEX(LS_current!$D$4:$AY$138, MATCH('Staging Table'!$A61, LS_current!$B$4:$B$138, 0), MATCH(CR$4&amp;CR$5, LS_current!$D$2:$AY$2&amp;LS_current!$D$3:$AY$3, 0)),SUM(VLOOKUP($A61, LS_current!$B$4:$AY$138, LS_current!W$148, FALSE), VLOOKUP($A61, LS_current!$B$4:$AY$138,LS_current!AU$148, FALSE))/2)</f>
        <v>5334.2224307049437</v>
      </c>
      <c r="CS61" s="180">
        <f t="array" ref="CS61">IF($BT61=0, INDEX(LS_current!$D$4:$AY$138, MATCH('Staging Table'!$A61, LS_current!$B$4:$B$138, 0), MATCH(CS$4&amp;CS$5, LS_current!$D$2:$AY$2&amp;LS_current!$D$3:$AY$3, 0)),SUM(VLOOKUP($A61, LS_current!$B$4:$AY$138, LS_current!X$148, FALSE), VLOOKUP($A61, LS_current!$B$4:$AY$138,LS_current!AV$148, FALSE))/2)</f>
        <v>-1321.7815187423839</v>
      </c>
      <c r="CT61" s="180">
        <f t="array" ref="CT61">IF($BT61=0, INDEX(LS_current!$D$4:$AY$138, MATCH('Staging Table'!$A61, LS_current!$B$4:$B$138, 0), MATCH(CT$4&amp;CT$5, LS_current!$D$2:$AY$2&amp;LS_current!$D$3:$AY$3, 0)),SUM(VLOOKUP($A61, LS_current!$B$4:$AY$138, LS_current!Y$148, FALSE), VLOOKUP($A61, LS_current!$B$4:$AY$138,LS_current!AW$148, FALSE))/2)</f>
        <v>7054.641400454122</v>
      </c>
      <c r="CU61" s="180">
        <f t="array" ref="CU61">IF($BT61=0, INDEX(LS_current!$D$4:$AY$138, MATCH('Staging Table'!$A61, LS_current!$B$4:$B$138, 0), MATCH(CU$4&amp;CU$5, LS_current!$D$2:$AY$2&amp;LS_current!$D$3:$AY$3, 0)),SUM(VLOOKUP($A61, LS_current!$B$4:$AY$138, LS_current!Z$148, FALSE), VLOOKUP($A61, LS_current!$B$4:$AY$138,LS_current!AX$148, FALSE))/2)</f>
        <v>-748.45287911271953</v>
      </c>
      <c r="CV61" s="180">
        <f t="array" ref="CV61">IF($BT61=0, INDEX(LS_current!$D$4:$AY$138, MATCH('Staging Table'!$A61, LS_current!$B$4:$B$138, 0), MATCH(CV$4&amp;CV$5, LS_current!$D$2:$AY$2&amp;LS_current!$D$3:$AY$3, 0)),SUM(VLOOKUP($A61, LS_current!$B$4:$AY$138, LS_current!AA$148, FALSE), VLOOKUP($A61, LS_current!$B$4:$AY$138,LS_current!AY$148, FALSE))/2)</f>
        <v>5676.415135332114</v>
      </c>
      <c r="CW61" s="182">
        <f t="array" ref="CW61">INDEX(Demand_current!$D$4:$AY$138, MATCH($A61, Demand_current!$B$4:$B$138, 0), MATCH(CW$4&amp;CW$5,Demand_current!$D$2:$AY$2&amp;Demand_current!$D$3:$AY$3, 0))/1000</f>
        <v>0</v>
      </c>
      <c r="CX61" s="182">
        <f t="array" ref="CX61">INDEX(Demand_current!$D$4:$AY$138, MATCH($A61, Demand_current!$B$4:$B$138, 0), MATCH(CX$4&amp;CX$5,Demand_current!$D$2:$AY$2&amp;Demand_current!$D$3:$AY$3, 0))/1000</f>
        <v>0</v>
      </c>
      <c r="CY61" s="182">
        <f t="array" ref="CY61">INDEX(Demand_current!$D$4:$AY$138, MATCH($A61, Demand_current!$B$4:$B$138, 0), MATCH(CY$4&amp;CY$5,Demand_current!$D$2:$AY$2&amp;Demand_current!$D$3:$AY$3, 0))/1000</f>
        <v>0</v>
      </c>
      <c r="CZ61" s="182">
        <f t="array" ref="CZ61">INDEX(Demand_current!$D$4:$AY$138, MATCH($A61, Demand_current!$B$4:$B$138, 0), MATCH(CZ$4&amp;CZ$5,Demand_current!$D$2:$AY$2&amp;Demand_current!$D$3:$AY$3, 0))/1000</f>
        <v>0</v>
      </c>
      <c r="DA61" s="182">
        <f t="array" ref="DA61">INDEX(Demand_current!$D$4:$AY$138, MATCH($A61, Demand_current!$B$4:$B$138, 0), MATCH(DA$4&amp;DA$5,Demand_current!$D$2:$AY$2&amp;Demand_current!$D$3:$AY$3, 0))/1000</f>
        <v>0</v>
      </c>
      <c r="DB61" s="182">
        <f t="array" ref="DB61">INDEX(Demand_current!$D$4:$AY$138, MATCH($A61, Demand_current!$B$4:$B$138, 0), MATCH(DB$4&amp;DB$5,Demand_current!$D$2:$AY$2&amp;Demand_current!$D$3:$AY$3, 0))/1000</f>
        <v>0</v>
      </c>
      <c r="DC61" s="182">
        <f t="array" ref="DC61">INDEX(Demand_current!$D$4:$AY$138, MATCH($A61, Demand_current!$B$4:$B$138, 0), MATCH(DC$4&amp;DC$5,Demand_current!$D$2:$AY$2&amp;Demand_current!$D$3:$AY$3, 0))/1000</f>
        <v>0</v>
      </c>
      <c r="DD61" s="182">
        <f t="array" ref="DD61">INDEX(Demand_current!$D$4:$AY$138, MATCH($A61, Demand_current!$B$4:$B$138, 0), MATCH(DD$4&amp;DD$5,Demand_current!$D$2:$AY$2&amp;Demand_current!$D$3:$AY$3, 0))/1000</f>
        <v>0</v>
      </c>
      <c r="DE61" s="182">
        <f t="array" ref="DE61">INDEX(Demand_current!$D$4:$AY$138, MATCH($A61, Demand_current!$B$4:$B$138, 0), MATCH(DE$4&amp;DE$5,Demand_current!$D$2:$AY$2&amp;Demand_current!$D$3:$AY$3, 0))/1000</f>
        <v>0</v>
      </c>
      <c r="DF61" s="182">
        <f t="array" ref="DF61">INDEX(Demand_current!$D$4:$AY$138, MATCH($A61, Demand_current!$B$4:$B$138, 0), MATCH(DF$4&amp;DF$5,Demand_current!$D$2:$AY$2&amp;Demand_current!$D$3:$AY$3, 0))/1000</f>
        <v>0</v>
      </c>
      <c r="DG61" s="182">
        <f t="array" ref="DG61">INDEX(Demand_current!$D$4:$AY$138, MATCH($A61, Demand_current!$B$4:$B$138, 0), MATCH(DG$4&amp;DG$5,Demand_current!$D$2:$AY$2&amp;Demand_current!$D$3:$AY$3, 0))/1000</f>
        <v>0</v>
      </c>
      <c r="DH61" s="182">
        <f t="array" ref="DH61">INDEX(Demand_current!$D$4:$AY$138, MATCH($A61, Demand_current!$B$4:$B$138, 0), MATCH(DH$4&amp;DH$5,Demand_current!$D$2:$AY$2&amp;Demand_current!$D$3:$AY$3, 0))/1000</f>
        <v>0</v>
      </c>
      <c r="DI61" s="180">
        <f>$BS61*(VLOOKUP(DI$4, Rates_current!$G$6:$Q$29, 10, FALSE)+VLOOKUP(DI$4, Rates_current!$G$6:$Q$29, 11, FALSE))</f>
        <v>61948.070673113703</v>
      </c>
      <c r="DJ61" s="180">
        <f>$BS61*(VLOOKUP(DJ$4, Rates_current!$G$6:$Q$29, 10, FALSE)+VLOOKUP(DJ$4, Rates_current!$G$6:$Q$29, 11, FALSE))</f>
        <v>79004.217668764206</v>
      </c>
      <c r="DK61" s="180">
        <f>$BS61*(VLOOKUP(DK$4, Rates_current!$G$6:$Q$29, 10, FALSE)+VLOOKUP(DK$4, Rates_current!$G$6:$Q$29, 11, FALSE))</f>
        <v>85261.182727653009</v>
      </c>
      <c r="DL61" s="180">
        <f>$BS61*(VLOOKUP(DL$4, Rates_current!$G$6:$Q$29, 10, FALSE)+VLOOKUP(DL$4, Rates_current!$G$6:$Q$29, 11, FALSE))</f>
        <v>88599.549194947205</v>
      </c>
      <c r="DM61" s="180">
        <f>$BS61*(VLOOKUP(DM$4, Rates_current!$G$6:$Q$29, 10, FALSE)+VLOOKUP(DM$4, Rates_current!$G$6:$Q$29, 11, FALSE))</f>
        <v>76207.421873624393</v>
      </c>
      <c r="DN61" s="180">
        <f>$BS61*(VLOOKUP(DN$4, Rates_current!$G$6:$Q$29, 10, FALSE)+VLOOKUP(DN$4, Rates_current!$G$6:$Q$29, 11, FALSE))</f>
        <v>83203.416375265806</v>
      </c>
      <c r="DO61" s="180">
        <f>$BS61*(VLOOKUP(DO$4, Rates_current!$G$6:$Q$29, 10, FALSE)+VLOOKUP(DO$4, Rates_current!$G$6:$Q$29, 11, FALSE))</f>
        <v>65675.075752899153</v>
      </c>
      <c r="DP61" s="180">
        <f>$BS61*(VLOOKUP(DP$4, Rates_current!$G$6:$Q$29, 10, FALSE)+VLOOKUP(DP$4, Rates_current!$G$6:$Q$29, 11, FALSE))</f>
        <v>81478.732342244708</v>
      </c>
      <c r="DQ61" s="180">
        <f>$BS61*(VLOOKUP(DQ$4, Rates_current!$G$6:$Q$29, 10, FALSE)+VLOOKUP(DQ$4, Rates_current!$G$6:$Q$29, 11, FALSE))</f>
        <v>83246.617429065896</v>
      </c>
      <c r="DR61" s="180">
        <f>$BS61*(VLOOKUP(DR$4, Rates_current!$G$6:$Q$29, 10, FALSE)+VLOOKUP(DR$4, Rates_current!$G$6:$Q$29, 11, FALSE))</f>
        <v>72270.0571339077</v>
      </c>
      <c r="DS61" s="180">
        <f>$BS61*(VLOOKUP(DS$4, Rates_current!$G$6:$Q$29, 10, FALSE)+VLOOKUP(DS$4, Rates_current!$G$6:$Q$29, 11, FALSE))</f>
        <v>69865.935237173137</v>
      </c>
      <c r="DT61" s="180">
        <f>$BS61*(VLOOKUP(DT$4, Rates_current!$G$6:$Q$29, 10, FALSE)+VLOOKUP(DT$4, Rates_current!$G$6:$Q$29, 11, FALSE))</f>
        <v>64290.189877076409</v>
      </c>
      <c r="DU61" s="402">
        <f>IF(D61=0,IF(C61=0,MAX(0,DW61 - (VLOOKUP($A61,TOCA_current!$A$2:$AI$137,MATCH("RHWM 2024",TOCA_current!$A$2:$AI$2,0),FALSE)*$BS$2)), 0),0)</f>
        <v>0</v>
      </c>
      <c r="DV61" s="403">
        <f>MIN(VLOOKUP($A61,TOCA_current!$A$2:$AI$137,MATCH("TRL - NLSL - Existing Resource "&amp;$BS$1,TOCA_current!$A$2:$AI$2,0),FALSE)*$BS$2, VLOOKUP($A61,TOCA_current!$A$2:$AI$137,MATCH("RHWM 2024",TOCA_current!$A$2:$AI$2,0),FALSE)*$BS$2)</f>
        <v>2023499.808</v>
      </c>
      <c r="DW61" s="403">
        <f>SUM(BY61:CV61)+(BS61*RT1SC!$C$4*$BS$2)</f>
        <v>911051.88974899997</v>
      </c>
      <c r="DX61" s="403">
        <f>VLOOKUP($A61,TOCA_current!$A$2:$AI$137,MATCH("Above RHWM Not Served with LS "&amp;$BS$1,TOCA_current!$A$2:$AI$2,0),FALSE)*$BS$2</f>
        <v>0</v>
      </c>
      <c r="DY61" s="403">
        <f t="shared" si="13"/>
        <v>-1112447.9182509999</v>
      </c>
      <c r="DZ61" s="403">
        <f>(VLOOKUP($A61,TOCA_current!$A$2:$AI$137,MATCH("RHWM 2024",TOCA_current!$A$2:$AI$2,0),FALSE)*$BS$2) - $DV61</f>
        <v>182136.24</v>
      </c>
      <c r="EA61" s="403">
        <f t="shared" si="14"/>
        <v>0</v>
      </c>
      <c r="EB61" s="403">
        <f t="shared" si="15"/>
        <v>1112447.9182509999</v>
      </c>
      <c r="EC61" s="403">
        <f t="shared" si="16"/>
        <v>0</v>
      </c>
      <c r="ED61" s="403">
        <f t="shared" si="17"/>
        <v>0</v>
      </c>
    </row>
    <row r="62" spans="1:134">
      <c r="A62" s="123">
        <v>10172</v>
      </c>
      <c r="B62" s="124" t="s">
        <v>63</v>
      </c>
      <c r="C62" s="232">
        <f>VLOOKUP(A62, TOCA_current!$A$3:$D$137, 4, FALSE)</f>
        <v>0</v>
      </c>
      <c r="D62" s="191">
        <v>0</v>
      </c>
      <c r="E62" s="107">
        <f>VLOOKUP($A62,TOCA_previous!$A$2:$AI$137,MATCH(E$4,TOCA_previous!$A$2:$AI$2,0),FALSE)</f>
        <v>8.12E-4</v>
      </c>
      <c r="F62" s="108">
        <f>VLOOKUP($A62,TOCA_previous!$A$2:$AI$137,MATCH(F$4,TOCA_previous!$A$2:$AI$2,0),FALSE)</f>
        <v>8.12E-4</v>
      </c>
      <c r="G62" s="108">
        <f t="shared" si="5"/>
        <v>0</v>
      </c>
      <c r="H62" s="108">
        <f>VLOOKUP($A62,TOCA_previous!$A$2:$AI$137,MATCH(H$4,TOCA_previous!$A$2:$AI$2,0),FALSE)</f>
        <v>0</v>
      </c>
      <c r="I62" s="108">
        <f t="shared" si="6"/>
        <v>0</v>
      </c>
      <c r="J62" s="108">
        <f t="shared" si="7"/>
        <v>0</v>
      </c>
      <c r="K62" s="179">
        <f>VLOOKUP(A62, IRD!$A$5:$C$139, 3, FALSE)</f>
        <v>0</v>
      </c>
      <c r="L62" s="180">
        <f t="array" ref="L62">IF($G62=0, INDEX(LS_previous!$D$4:$AY$138, MATCH('Staging Table'!$A62, LS_previous!$B$4:$B$138, 0), MATCH(L$4&amp;L$5, LS_previous!$D$2:$AY$2&amp;LS_previous!$D$3:$AY$3, 0)),SUM(VLOOKUP($A62, LS_previous!$B$4:$AY$138, LS_previous!D$149, FALSE), VLOOKUP('Staging Table'!$A62, LS_previous!$B$4:$AY$138,LS_previous!AB$149, FALSE))/2)</f>
        <v>-49.961694802826059</v>
      </c>
      <c r="M62" s="180">
        <f t="array" ref="M62">IF($G62=0, INDEX(LS_previous!$D$4:$AY$138, MATCH('Staging Table'!$A62, LS_previous!$B$4:$B$138, 0), MATCH(M$4&amp;M$5, LS_previous!$D$2:$AY$2&amp;LS_previous!$D$3:$AY$3, 0)),SUM(VLOOKUP($A62, LS_previous!$B$4:$AY$138, LS_previous!E$149, FALSE), VLOOKUP('Staging Table'!$A62, LS_previous!$B$4:$AY$138,LS_previous!AC$149, FALSE))/2)</f>
        <v>69.581065143269825</v>
      </c>
      <c r="N62" s="180">
        <f t="array" ref="N62">IF($G62=0, INDEX(LS_previous!$D$4:$AY$138, MATCH('Staging Table'!$A62, LS_previous!$B$4:$B$138, 0), MATCH(N$4&amp;N$5, LS_previous!$D$2:$AY$2&amp;LS_previous!$D$3:$AY$3, 0)),SUM(VLOOKUP($A62, LS_previous!$B$4:$AY$138, LS_previous!F$149, FALSE), VLOOKUP('Staging Table'!$A62, LS_previous!$B$4:$AY$138,LS_previous!AD$149, FALSE))/2)</f>
        <v>-689.58147849106626</v>
      </c>
      <c r="O62" s="180">
        <f t="array" ref="O62">IF($G62=0, INDEX(LS_previous!$D$4:$AY$138, MATCH('Staging Table'!$A62, LS_previous!$B$4:$B$138, 0), MATCH(O$4&amp;O$5, LS_previous!$D$2:$AY$2&amp;LS_previous!$D$3:$AY$3, 0)),SUM(VLOOKUP($A62, LS_previous!$B$4:$AY$138, LS_previous!G$149, FALSE), VLOOKUP('Staging Table'!$A62, LS_previous!$B$4:$AY$138,LS_previous!AE$149, FALSE))/2)</f>
        <v>-306.48959656985198</v>
      </c>
      <c r="P62" s="180">
        <f t="array" ref="P62">IF($G62=0, INDEX(LS_previous!$D$4:$AY$138, MATCH('Staging Table'!$A62, LS_previous!$B$4:$B$138, 0), MATCH(P$4&amp;P$5, LS_previous!$D$2:$AY$2&amp;LS_previous!$D$3:$AY$3, 0)),SUM(VLOOKUP($A62, LS_previous!$B$4:$AY$138, LS_previous!H$149, FALSE), VLOOKUP('Staging Table'!$A62, LS_previous!$B$4:$AY$138,LS_previous!AF$149, FALSE))/2)</f>
        <v>-13.445661370942162</v>
      </c>
      <c r="Q62" s="180">
        <f t="array" ref="Q62">IF($G62=0, INDEX(LS_previous!$D$4:$AY$138, MATCH('Staging Table'!$A62, LS_previous!$B$4:$B$138, 0), MATCH(Q$4&amp;Q$5, LS_previous!$D$2:$AY$2&amp;LS_previous!$D$3:$AY$3, 0)),SUM(VLOOKUP($A62, LS_previous!$B$4:$AY$138, LS_previous!I$149, FALSE), VLOOKUP('Staging Table'!$A62, LS_previous!$B$4:$AY$138,LS_previous!AG$149, FALSE))/2)</f>
        <v>-156.57594858094626</v>
      </c>
      <c r="R62" s="180">
        <f t="array" ref="R62">IF($G62=0, INDEX(LS_previous!$D$4:$AY$138, MATCH('Staging Table'!$A62, LS_previous!$B$4:$B$138, 0), MATCH(R$4&amp;R$5, LS_previous!$D$2:$AY$2&amp;LS_previous!$D$3:$AY$3, 0)),SUM(VLOOKUP($A62, LS_previous!$B$4:$AY$138, LS_previous!J$149, FALSE), VLOOKUP('Staging Table'!$A62, LS_previous!$B$4:$AY$138,LS_previous!AH$149, FALSE))/2)</f>
        <v>440.18526313557004</v>
      </c>
      <c r="S62" s="180">
        <f t="array" ref="S62">IF($G62=0, INDEX(LS_previous!$D$4:$AY$138, MATCH('Staging Table'!$A62, LS_previous!$B$4:$B$138, 0), MATCH(S$4&amp;S$5, LS_previous!$D$2:$AY$2&amp;LS_previous!$D$3:$AY$3, 0)),SUM(VLOOKUP($A62, LS_previous!$B$4:$AY$138, LS_previous!K$149, FALSE), VLOOKUP('Staging Table'!$A62, LS_previous!$B$4:$AY$138,LS_previous!AI$149, FALSE))/2)</f>
        <v>142.11450997274596</v>
      </c>
      <c r="T62" s="180">
        <f t="array" ref="T62">IF($G62=0, INDEX(LS_previous!$D$4:$AY$138, MATCH('Staging Table'!$A62, LS_previous!$B$4:$B$138, 0), MATCH(T$4&amp;T$5, LS_previous!$D$2:$AY$2&amp;LS_previous!$D$3:$AY$3, 0)),SUM(VLOOKUP($A62, LS_previous!$B$4:$AY$138, LS_previous!L$149, FALSE), VLOOKUP('Staging Table'!$A62, LS_previous!$B$4:$AY$138,LS_previous!AJ$149, FALSE))/2)</f>
        <v>385.70662120964448</v>
      </c>
      <c r="U62" s="180">
        <f t="array" ref="U62">IF($G62=0, INDEX(LS_previous!$D$4:$AY$138, MATCH('Staging Table'!$A62, LS_previous!$B$4:$B$138, 0), MATCH(U$4&amp;U$5, LS_previous!$D$2:$AY$2&amp;LS_previous!$D$3:$AY$3, 0)),SUM(VLOOKUP($A62, LS_previous!$B$4:$AY$138, LS_previous!M$149, FALSE), VLOOKUP('Staging Table'!$A62, LS_previous!$B$4:$AY$138,LS_previous!AK$149, FALSE))/2)</f>
        <v>112.05033855645797</v>
      </c>
      <c r="V62" s="180">
        <f t="array" ref="V62">IF($G62=0, INDEX(LS_previous!$D$4:$AY$138, MATCH('Staging Table'!$A62, LS_previous!$B$4:$B$138, 0), MATCH(V$4&amp;V$5, LS_previous!$D$2:$AY$2&amp;LS_previous!$D$3:$AY$3, 0)),SUM(VLOOKUP($A62, LS_previous!$B$4:$AY$138, LS_previous!N$149, FALSE), VLOOKUP('Staging Table'!$A62, LS_previous!$B$4:$AY$138,LS_previous!AL$149, FALSE))/2)</f>
        <v>-120.36647206493762</v>
      </c>
      <c r="W62" s="180">
        <f t="array" ref="W62">IF($G62=0, INDEX(LS_previous!$D$4:$AY$138, MATCH('Staging Table'!$A62, LS_previous!$B$4:$B$138, 0), MATCH(W$4&amp;W$5, LS_previous!$D$2:$AY$2&amp;LS_previous!$D$3:$AY$3, 0)),SUM(VLOOKUP($A62, LS_previous!$B$4:$AY$138, LS_previous!O$149, FALSE), VLOOKUP('Staging Table'!$A62, LS_previous!$B$4:$AY$138,LS_previous!AM$149, FALSE))/2)</f>
        <v>-65.226075567248017</v>
      </c>
      <c r="X62" s="180">
        <f t="array" ref="X62">IF($G62=0, INDEX(LS_previous!$D$4:$AY$138, MATCH('Staging Table'!$A62, LS_previous!$B$4:$B$138, 0), MATCH(X$4&amp;X$5, LS_previous!$D$2:$AY$2&amp;LS_previous!$D$3:$AY$3, 0)),SUM(VLOOKUP($A62, LS_previous!$B$4:$AY$138, LS_previous!P$149, FALSE), VLOOKUP('Staging Table'!$A62, LS_previous!$B$4:$AY$138,LS_previous!AN$149, FALSE))/2)</f>
        <v>340.52733040066187</v>
      </c>
      <c r="Y62" s="180">
        <f t="array" ref="Y62">IF($G62=0, INDEX(LS_previous!$D$4:$AY$138, MATCH('Staging Table'!$A62, LS_previous!$B$4:$B$138, 0), MATCH(Y$4&amp;Y$5, LS_previous!$D$2:$AY$2&amp;LS_previous!$D$3:$AY$3, 0)),SUM(VLOOKUP($A62, LS_previous!$B$4:$AY$138, LS_previous!Q$149, FALSE), VLOOKUP('Staging Table'!$A62, LS_previous!$B$4:$AY$138,LS_previous!AO$149, FALSE))/2)</f>
        <v>216.12300789173605</v>
      </c>
      <c r="Z62" s="180">
        <f t="array" ref="Z62">IF($G62=0, INDEX(LS_previous!$D$4:$AY$138, MATCH('Staging Table'!$A62, LS_previous!$B$4:$B$138, 0), MATCH(Z$4&amp;Z$5, LS_previous!$D$2:$AY$2&amp;LS_previous!$D$3:$AY$3, 0)),SUM(VLOOKUP($A62, LS_previous!$B$4:$AY$138, LS_previous!R$149, FALSE), VLOOKUP('Staging Table'!$A62, LS_previous!$B$4:$AY$138,LS_previous!AP$149, FALSE))/2)</f>
        <v>-633.02825539315427</v>
      </c>
      <c r="AA62" s="180">
        <f t="array" ref="AA62">IF($G62=0, INDEX(LS_previous!$D$4:$AY$138, MATCH('Staging Table'!$A62, LS_previous!$B$4:$B$138, 0), MATCH(AA$4&amp;AA$5, LS_previous!$D$2:$AY$2&amp;LS_previous!$D$3:$AY$3, 0)),SUM(VLOOKUP($A62, LS_previous!$B$4:$AY$138, LS_previous!S$149, FALSE), VLOOKUP('Staging Table'!$A62, LS_previous!$B$4:$AY$138,LS_previous!AQ$149, FALSE))/2)</f>
        <v>73.775002028814015</v>
      </c>
      <c r="AB62" s="180">
        <f t="array" ref="AB62">IF($G62=0, INDEX(LS_previous!$D$4:$AY$138, MATCH('Staging Table'!$A62, LS_previous!$B$4:$B$138, 0), MATCH(AB$4&amp;AB$5, LS_previous!$D$2:$AY$2&amp;LS_previous!$D$3:$AY$3, 0)),SUM(VLOOKUP($A62, LS_previous!$B$4:$AY$138, LS_previous!T$149, FALSE), VLOOKUP('Staging Table'!$A62, LS_previous!$B$4:$AY$138,LS_previous!AR$149, FALSE))/2)</f>
        <v>-862.96252529185222</v>
      </c>
      <c r="AC62" s="180">
        <f t="array" ref="AC62">IF($G62=0, INDEX(LS_previous!$D$4:$AY$138, MATCH('Staging Table'!$A62, LS_previous!$B$4:$B$138, 0), MATCH(AC$4&amp;AC$5, LS_previous!$D$2:$AY$2&amp;LS_previous!$D$3:$AY$3, 0)),SUM(VLOOKUP($A62, LS_previous!$B$4:$AY$138, LS_previous!U$149, FALSE), VLOOKUP('Staging Table'!$A62, LS_previous!$B$4:$AY$138,LS_previous!AS$149, FALSE))/2)</f>
        <v>89.330911676889855</v>
      </c>
      <c r="AD62" s="180">
        <f t="array" ref="AD62">IF($G62=0, INDEX(LS_previous!$D$4:$AY$138, MATCH('Staging Table'!$A62, LS_previous!$B$4:$B$138, 0), MATCH(AD$4&amp;AD$5, LS_previous!$D$2:$AY$2&amp;LS_previous!$D$3:$AY$3, 0)),SUM(VLOOKUP($A62, LS_previous!$B$4:$AY$138, LS_previous!V$149, FALSE), VLOOKUP('Staging Table'!$A62, LS_previous!$B$4:$AY$138,LS_previous!AT$149, FALSE))/2)</f>
        <v>-320.95651978699016</v>
      </c>
      <c r="AE62" s="180">
        <f t="array" ref="AE62">IF($G62=0, INDEX(LS_previous!$D$4:$AY$138, MATCH('Staging Table'!$A62, LS_previous!$B$4:$B$138, 0), MATCH(AE$4&amp;AE$5, LS_previous!$D$2:$AY$2&amp;LS_previous!$D$3:$AY$3, 0)),SUM(VLOOKUP($A62, LS_previous!$B$4:$AY$138, LS_previous!W$149, FALSE), VLOOKUP('Staging Table'!$A62, LS_previous!$B$4:$AY$138,LS_previous!AU$149, FALSE))/2)</f>
        <v>147.26035075381992</v>
      </c>
      <c r="AF62" s="180">
        <f t="array" ref="AF62">IF($G62=0, INDEX(LS_previous!$D$4:$AY$138, MATCH('Staging Table'!$A62, LS_previous!$B$4:$B$138, 0), MATCH(AF$4&amp;AF$5, LS_previous!$D$2:$AY$2&amp;LS_previous!$D$3:$AY$3, 0)),SUM(VLOOKUP($A62, LS_previous!$B$4:$AY$138, LS_previous!X$149, FALSE), VLOOKUP('Staging Table'!$A62, LS_previous!$B$4:$AY$138,LS_previous!AV$149, FALSE))/2)</f>
        <v>-240.89943279993395</v>
      </c>
      <c r="AG62" s="180">
        <f t="array" ref="AG62">IF($G62=0, INDEX(LS_previous!$D$4:$AY$138, MATCH('Staging Table'!$A62, LS_previous!$B$4:$B$138, 0), MATCH(AG$4&amp;AG$5, LS_previous!$D$2:$AY$2&amp;LS_previous!$D$3:$AY$3, 0)),SUM(VLOOKUP($A62, LS_previous!$B$4:$AY$138, LS_previous!Y$149, FALSE), VLOOKUP('Staging Table'!$A62, LS_previous!$B$4:$AY$138,LS_previous!AW$149, FALSE))/2)</f>
        <v>103.35413565972817</v>
      </c>
      <c r="AH62" s="180">
        <f t="array" ref="AH62">IF($G62=0, INDEX(LS_previous!$D$4:$AY$138, MATCH('Staging Table'!$A62, LS_previous!$B$4:$B$138, 0), MATCH(AH$4&amp;AH$5, LS_previous!$D$2:$AY$2&amp;LS_previous!$D$3:$AY$3, 0)),SUM(VLOOKUP($A62, LS_previous!$B$4:$AY$138, LS_previous!Z$149, FALSE), VLOOKUP('Staging Table'!$A62, LS_previous!$B$4:$AY$138,LS_previous!AX$149, FALSE))/2)</f>
        <v>-280.5002149497659</v>
      </c>
      <c r="AI62" s="180">
        <f t="array" ref="AI62">IF($G62=0, INDEX(LS_previous!$D$4:$AY$138, MATCH('Staging Table'!$A62, LS_previous!$B$4:$B$138, 0), MATCH(AI$4&amp;AI$5, LS_previous!$D$2:$AY$2&amp;LS_previous!$D$3:$AY$3, 0)),SUM(VLOOKUP($A62, LS_previous!$B$4:$AY$138, LS_previous!AA$149, FALSE), VLOOKUP('Staging Table'!$A62, LS_previous!$B$4:$AY$138,LS_previous!AY$149, FALSE))/2)</f>
        <v>19.893860297886022</v>
      </c>
      <c r="AJ62" s="298">
        <f t="array" ref="AJ62">INDEX(Demand_previous!$D$4:$AY$138, MATCH('Staging Table'!$A62, Demand_previous!$B$4:$B$138, 0), MATCH(AJ$4&amp;AJ$5,Demand_previous!$D$2:$AY$2&amp;Demand_previous!$D$3:$AY$3, 0))/1000</f>
        <v>0.93594230769230835</v>
      </c>
      <c r="AK62" s="298">
        <f t="array" ref="AK62">INDEX(Demand_previous!$D$4:$AY$138, MATCH('Staging Table'!$A62, Demand_previous!$B$4:$B$138, 0), MATCH(AK$4&amp;AK$5,Demand_previous!$D$2:$AY$2&amp;Demand_previous!$D$3:$AY$3, 0))/1000</f>
        <v>1.3839250000000001</v>
      </c>
      <c r="AL62" s="298">
        <f t="array" ref="AL62">INDEX(Demand_previous!$D$4:$AY$138, MATCH('Staging Table'!$A62, Demand_previous!$B$4:$B$138, 0), MATCH(AL$4&amp;AL$5,Demand_previous!$D$2:$AY$2&amp;Demand_previous!$D$3:$AY$3, 0))/1000</f>
        <v>1.325569711538461</v>
      </c>
      <c r="AM62" s="298">
        <f t="array" ref="AM62">INDEX(Demand_previous!$D$4:$AY$138, MATCH('Staging Table'!$A62, Demand_previous!$B$4:$B$138, 0), MATCH(AM$4&amp;AM$5,Demand_previous!$D$2:$AY$2&amp;Demand_previous!$D$3:$AY$3, 0))/1000</f>
        <v>1.2588299999999999</v>
      </c>
      <c r="AN62" s="298">
        <f t="array" ref="AN62">INDEX(Demand_previous!$D$4:$AY$138, MATCH('Staging Table'!$A62, Demand_previous!$B$4:$B$138, 0), MATCH(AN$4&amp;AN$5,Demand_previous!$D$2:$AY$2&amp;Demand_previous!$D$3:$AY$3, 0))/1000</f>
        <v>1.4102838541666662</v>
      </c>
      <c r="AO62" s="298">
        <f t="array" ref="AO62">INDEX(Demand_previous!$D$4:$AY$138, MATCH('Staging Table'!$A62, Demand_previous!$B$4:$B$138, 0), MATCH(AO$4&amp;AO$5,Demand_previous!$D$2:$AY$2&amp;Demand_previous!$D$3:$AY$3, 0))/1000</f>
        <v>1.3984652777777788</v>
      </c>
      <c r="AP62" s="298">
        <f t="array" ref="AP62">INDEX(Demand_previous!$D$4:$AY$138, MATCH('Staging Table'!$A62, Demand_previous!$B$4:$B$138, 0), MATCH(AP$4&amp;AP$5,Demand_previous!$D$2:$AY$2&amp;Demand_previous!$D$3:$AY$3, 0))/1000</f>
        <v>1.2707259615384618</v>
      </c>
      <c r="AQ62" s="298">
        <f t="array" ref="AQ62">INDEX(Demand_previous!$D$4:$AY$138, MATCH('Staging Table'!$A62, Demand_previous!$B$4:$B$138, 0), MATCH(AQ$4&amp;AQ$5,Demand_previous!$D$2:$AY$2&amp;Demand_previous!$D$3:$AY$3, 0))/1000</f>
        <v>1.3192800000000002</v>
      </c>
      <c r="AR62" s="298">
        <f t="array" ref="AR62">INDEX(Demand_previous!$D$4:$AY$138, MATCH('Staging Table'!$A62, Demand_previous!$B$4:$B$138, 0), MATCH(AR$4&amp;AR$5,Demand_previous!$D$2:$AY$2&amp;Demand_previous!$D$3:$AY$3, 0))/1000</f>
        <v>0.94960817307692214</v>
      </c>
      <c r="AS62" s="298">
        <f t="array" ref="AS62">INDEX(Demand_previous!$D$4:$AY$138, MATCH('Staging Table'!$A62, Demand_previous!$B$4:$B$138, 0), MATCH(AS$4&amp;AS$5,Demand_previous!$D$2:$AY$2&amp;Demand_previous!$D$3:$AY$3, 0))/1000</f>
        <v>0.88055249999999985</v>
      </c>
      <c r="AT62" s="298">
        <f t="array" ref="AT62">INDEX(Demand_previous!$D$4:$AY$138, MATCH('Staging Table'!$A62, Demand_previous!$B$4:$B$138, 0), MATCH(AT$4&amp;AT$5,Demand_previous!$D$2:$AY$2&amp;Demand_previous!$D$3:$AY$3, 0))/1000</f>
        <v>1.4844189814814814</v>
      </c>
      <c r="AU62" s="298">
        <f t="array" ref="AU62">INDEX(Demand_previous!$D$4:$AY$138, MATCH('Staging Table'!$A62, Demand_previous!$B$4:$B$138, 0), MATCH(AU$4&amp;AU$5,Demand_previous!$D$2:$AY$2&amp;Demand_previous!$D$3:$AY$3, 0))/1000</f>
        <v>0.72789000000000015</v>
      </c>
      <c r="AV62" s="180">
        <f>$F62*(VLOOKUP(AV$4, Rates_previous!$G$6:$Q$29, 10, FALSE)+VLOOKUP(AV$4, Rates_previous!$G$6:$Q$29, 11, FALSE))</f>
        <v>3697.7866296595557</v>
      </c>
      <c r="AW62" s="180">
        <f>$F62*(VLOOKUP(AW$4, Rates_previous!$G$6:$Q$29, 10, FALSE)+VLOOKUP(AW$4, Rates_previous!$G$6:$Q$29, 11, FALSE))</f>
        <v>4681.5320750609189</v>
      </c>
      <c r="AX62" s="180">
        <f>$F62*(VLOOKUP(AX$4, Rates_previous!$G$6:$Q$29, 10, FALSE)+VLOOKUP(AX$4, Rates_previous!$G$6:$Q$29, 11, FALSE))</f>
        <v>4582.2846099518883</v>
      </c>
      <c r="AY62" s="180">
        <f>$F62*(VLOOKUP(AY$4, Rates_previous!$G$6:$Q$29, 10, FALSE)+VLOOKUP(AY$4, Rates_previous!$G$6:$Q$29, 11, FALSE))</f>
        <v>3784.7722268916841</v>
      </c>
      <c r="AZ62" s="180">
        <f>$F62*(VLOOKUP(AZ$4, Rates_previous!$G$6:$Q$29, 10, FALSE)+VLOOKUP(AZ$4, Rates_previous!$G$6:$Q$29, 11, FALSE))</f>
        <v>3280.3450402338976</v>
      </c>
      <c r="BA62" s="180">
        <f>$F62*(VLOOKUP(BA$4, Rates_previous!$G$6:$Q$29, 10, FALSE)+VLOOKUP(BA$4, Rates_previous!$G$6:$Q$29, 11, FALSE))</f>
        <v>3916.0695476321862</v>
      </c>
      <c r="BB62" s="180">
        <f>$F62*(VLOOKUP(BB$4, Rates_previous!$G$6:$Q$29, 10, FALSE)+VLOOKUP(BB$4, Rates_previous!$G$6:$Q$29, 11, FALSE))</f>
        <v>3040.306661707602</v>
      </c>
      <c r="BC62" s="180">
        <f>$F62*(VLOOKUP(BC$4, Rates_previous!$G$6:$Q$29, 10, FALSE)+VLOOKUP(BC$4, Rates_previous!$G$6:$Q$29, 11, FALSE))</f>
        <v>4212.3672533643403</v>
      </c>
      <c r="BD62" s="180">
        <f>$F62*(VLOOKUP(BD$4, Rates_previous!$G$6:$Q$29, 10, FALSE)+VLOOKUP(BD$4, Rates_previous!$G$6:$Q$29, 11, FALSE))</f>
        <v>4501.0026136149618</v>
      </c>
      <c r="BE62" s="180">
        <f>$F62*(VLOOKUP(BE$4, Rates_previous!$G$6:$Q$29, 10, FALSE)+VLOOKUP(BE$4, Rates_previous!$G$6:$Q$29, 11, FALSE))</f>
        <v>4273.4981690331706</v>
      </c>
      <c r="BF62" s="180">
        <f>$F62*(VLOOKUP(BF$4, Rates_previous!$G$6:$Q$29, 10, FALSE)+VLOOKUP(BF$4, Rates_previous!$G$6:$Q$29, 11, FALSE))</f>
        <v>4130.0062971402058</v>
      </c>
      <c r="BG62" s="180">
        <f>$F62*(VLOOKUP(BG$4, Rates_previous!$G$6:$Q$29, 10, FALSE)+VLOOKUP(BG$4, Rates_previous!$G$6:$Q$29, 11, FALSE))</f>
        <v>3816.5563546518802</v>
      </c>
      <c r="BH62" s="298">
        <f>IF($D62=0,IF(C62=0, MAX(BJ62 - (VLOOKUP($A62,TOCA_previous!$A$2:$AI$137,MATCH("RHWM 2022",TOCA_previous!$A$2:$AI$2,0),FALSE)*$F$2*TOCA_previous!C59),0),0), 0)</f>
        <v>0</v>
      </c>
      <c r="BI62" s="192">
        <f>MIN(VLOOKUP($A62,TOCA_previous!$A$2:$AI$137,MATCH("TRL - NLSL - Existing Resource "&amp;$F$1,TOCA_previous!$A$2:$AI$2,0),FALSE)*$F$2,(VLOOKUP($A62,TOCA_previous!$A$2:$AI$137,MATCH("RHWM 2022",TOCA_previous!$A$2:$AI$2,0),FALSE)*$F$2))</f>
        <v>47917.2</v>
      </c>
      <c r="BJ62" s="402">
        <f>SUM(L62:AI62)+(F62*RT1SC!$C$3*$F$2)</f>
        <v>46316.438451137707</v>
      </c>
      <c r="BK62" s="401">
        <f>VLOOKUP($A62,TOCA_previous!$A$2:$AI$137,MATCH("Above RHWM Not Served with LS "&amp;$F$1,TOCA_previous!$A$2:$AI$2,0),FALSE)*$F$2</f>
        <v>0</v>
      </c>
      <c r="BL62" s="402">
        <f t="shared" si="8"/>
        <v>-1600.7615488622905</v>
      </c>
      <c r="BM62" s="401">
        <f>(VLOOKUP($A62,TOCA_previous!$A$2:$AI$137,MATCH("RHWM 2022",TOCA_previous!$A$2:$AI$2,0),FALSE)*$F$2) - $BI62</f>
        <v>3074.760000000002</v>
      </c>
      <c r="BN62" s="402">
        <f t="shared" si="9"/>
        <v>0</v>
      </c>
      <c r="BO62" s="401">
        <f t="shared" si="10"/>
        <v>1600.7615488622905</v>
      </c>
      <c r="BP62" s="402">
        <f t="shared" si="11"/>
        <v>0</v>
      </c>
      <c r="BQ62" s="401">
        <f t="shared" si="18"/>
        <v>1600.7615488622905</v>
      </c>
      <c r="BR62" s="108">
        <f>VLOOKUP($A62,TOCA_current!$A$2:$AI$137,MATCH(BR$4,TOCA_current!$A$2:$AI$2,0),FALSE)</f>
        <v>7.4649999999999998E-4</v>
      </c>
      <c r="BS62" s="108">
        <f>VLOOKUP($A62,TOCA_current!$A$2:$AI$137,MATCH(BS$4,TOCA_current!$A$2:$AI$2,0),FALSE)</f>
        <v>7.4649999999999998E-4</v>
      </c>
      <c r="BT62" s="189">
        <f t="shared" si="12"/>
        <v>0</v>
      </c>
      <c r="BU62" s="108">
        <f>VLOOKUP($A62,TOCA_current!A58:BG193,MATCH(BU$4,TOCA_current!$A$2:$BG$2,0),FALSE)</f>
        <v>0</v>
      </c>
      <c r="BV62" s="108">
        <f t="shared" si="19"/>
        <v>0</v>
      </c>
      <c r="BW62" s="108">
        <f t="shared" si="20"/>
        <v>0</v>
      </c>
      <c r="BX62" s="179">
        <f>VLOOKUP($A62,IRD!$A$4:$G$139, 7, FALSE)</f>
        <v>0</v>
      </c>
      <c r="BY62" s="180">
        <f t="array" ref="BY62">IF($BT62=0, INDEX(LS_current!$D$4:$AY$138, MATCH('Staging Table'!$A62, LS_current!$B$4:$B$138, 0), MATCH(BY$4&amp;BY$5, LS_current!$D$2:$AY$2&amp;LS_current!$D$3:$AY$3, 0)),SUM(VLOOKUP($A62, LS_current!$B$4:$AY$138, LS_current!D$148, FALSE), VLOOKUP($A62, LS_current!$B$4:$AY$138,LS_current!AB$148, FALSE))/2)</f>
        <v>416.32052712599966</v>
      </c>
      <c r="BZ62" s="180">
        <f t="array" ref="BZ62">IF($BT62=0, INDEX(LS_current!$D$4:$AY$138, MATCH('Staging Table'!$A62, LS_current!$B$4:$B$138, 0), MATCH(BZ$4&amp;BZ$5, LS_current!$D$2:$AY$2&amp;LS_current!$D$3:$AY$3, 0)),SUM(VLOOKUP($A62, LS_current!$B$4:$AY$138, LS_current!E$148, FALSE), VLOOKUP($A62, LS_current!$B$4:$AY$138,LS_current!AC$148, FALSE))/2)</f>
        <v>151.74846491425001</v>
      </c>
      <c r="CA62" s="180">
        <f t="array" ref="CA62">IF($BT62=0, INDEX(LS_current!$D$4:$AY$138, MATCH('Staging Table'!$A62, LS_current!$B$4:$B$138, 0), MATCH(CA$4&amp;CA$5, LS_current!$D$2:$AY$2&amp;LS_current!$D$3:$AY$3, 0)),SUM(VLOOKUP($A62, LS_current!$B$4:$AY$138, LS_current!F$148, FALSE), VLOOKUP($A62, LS_current!$B$4:$AY$138,LS_current!AD$148, FALSE))/2)</f>
        <v>-253.70979035200025</v>
      </c>
      <c r="CB62" s="180">
        <f t="array" ref="CB62">IF($BT62=0, INDEX(LS_current!$D$4:$AY$138, MATCH('Staging Table'!$A62, LS_current!$B$4:$B$138, 0), MATCH(CB$4&amp;CB$5, LS_current!$D$2:$AY$2&amp;LS_current!$D$3:$AY$3, 0)),SUM(VLOOKUP($A62, LS_current!$B$4:$AY$138, LS_current!G$148, FALSE), VLOOKUP($A62, LS_current!$B$4:$AY$138,LS_current!AE$148, FALSE))/2)</f>
        <v>-77.272398041500082</v>
      </c>
      <c r="CC62" s="180">
        <f t="array" ref="CC62">IF($BT62=0, INDEX(LS_current!$D$4:$AY$138, MATCH('Staging Table'!$A62, LS_current!$B$4:$B$138, 0), MATCH(CC$4&amp;CC$5, LS_current!$D$2:$AY$2&amp;LS_current!$D$3:$AY$3, 0)),SUM(VLOOKUP($A62, LS_current!$B$4:$AY$138, LS_current!H$148, FALSE), VLOOKUP($A62, LS_current!$B$4:$AY$138,LS_current!AF$148, FALSE))/2)</f>
        <v>-23.703604163500131</v>
      </c>
      <c r="CD62" s="180">
        <f t="array" ref="CD62">IF($BT62=0, INDEX(LS_current!$D$4:$AY$138, MATCH('Staging Table'!$A62, LS_current!$B$4:$B$138, 0), MATCH(CD$4&amp;CD$5, LS_current!$D$2:$AY$2&amp;LS_current!$D$3:$AY$3, 0)),SUM(VLOOKUP($A62, LS_current!$B$4:$AY$138, LS_current!I$148, FALSE), VLOOKUP($A62, LS_current!$B$4:$AY$138,LS_current!AG$148, FALSE))/2)</f>
        <v>101.42970593600012</v>
      </c>
      <c r="CE62" s="180">
        <f t="array" ref="CE62">IF($BT62=0, INDEX(LS_current!$D$4:$AY$138, MATCH('Staging Table'!$A62, LS_current!$B$4:$B$138, 0), MATCH(CE$4&amp;CE$5, LS_current!$D$2:$AY$2&amp;LS_current!$D$3:$AY$3, 0)),SUM(VLOOKUP($A62, LS_current!$B$4:$AY$138, LS_current!J$148, FALSE), VLOOKUP($A62, LS_current!$B$4:$AY$138,LS_current!AH$148, FALSE))/2)</f>
        <v>-195.42586524749959</v>
      </c>
      <c r="CF62" s="180">
        <f t="array" ref="CF62">IF($BT62=0, INDEX(LS_current!$D$4:$AY$138, MATCH('Staging Table'!$A62, LS_current!$B$4:$B$138, 0), MATCH(CF$4&amp;CF$5, LS_current!$D$2:$AY$2&amp;LS_current!$D$3:$AY$3, 0)),SUM(VLOOKUP($A62, LS_current!$B$4:$AY$138, LS_current!K$148, FALSE), VLOOKUP($A62, LS_current!$B$4:$AY$138,LS_current!AI$148, FALSE))/2)</f>
        <v>58.243961351500047</v>
      </c>
      <c r="CG62" s="180">
        <f t="array" ref="CG62">IF($BT62=0, INDEX(LS_current!$D$4:$AY$138, MATCH('Staging Table'!$A62, LS_current!$B$4:$B$138, 0), MATCH(CG$4&amp;CG$5, LS_current!$D$2:$AY$2&amp;LS_current!$D$3:$AY$3, 0)),SUM(VLOOKUP($A62, LS_current!$B$4:$AY$138, LS_current!L$148, FALSE), VLOOKUP($A62, LS_current!$B$4:$AY$138,LS_current!AJ$148, FALSE))/2)</f>
        <v>-172.22792367349984</v>
      </c>
      <c r="CH62" s="180">
        <f t="array" ref="CH62">IF($BT62=0, INDEX(LS_current!$D$4:$AY$138, MATCH('Staging Table'!$A62, LS_current!$B$4:$B$138, 0), MATCH(CH$4&amp;CH$5, LS_current!$D$2:$AY$2&amp;LS_current!$D$3:$AY$3, 0)),SUM(VLOOKUP($A62, LS_current!$B$4:$AY$138, LS_current!M$148, FALSE), VLOOKUP($A62, LS_current!$B$4:$AY$138,LS_current!AK$148, FALSE))/2)</f>
        <v>76.071187606499961</v>
      </c>
      <c r="CI62" s="180">
        <f t="array" ref="CI62">IF($BT62=0, INDEX(LS_current!$D$4:$AY$138, MATCH('Staging Table'!$A62, LS_current!$B$4:$B$138, 0), MATCH(CI$4&amp;CI$5, LS_current!$D$2:$AY$2&amp;LS_current!$D$3:$AY$3, 0)),SUM(VLOOKUP($A62, LS_current!$B$4:$AY$138, LS_current!N$148, FALSE), VLOOKUP($A62, LS_current!$B$4:$AY$138,LS_current!AL$148, FALSE))/2)</f>
        <v>-290.71761785450008</v>
      </c>
      <c r="CJ62" s="180">
        <f t="array" ref="CJ62">IF($BT62=0, INDEX(LS_current!$D$4:$AY$138, MATCH('Staging Table'!$A62, LS_current!$B$4:$B$138, 0), MATCH(CJ$4&amp;CJ$5, LS_current!$D$2:$AY$2&amp;LS_current!$D$3:$AY$3, 0)),SUM(VLOOKUP($A62, LS_current!$B$4:$AY$138, LS_current!O$148, FALSE), VLOOKUP($A62, LS_current!$B$4:$AY$138,LS_current!AM$148, FALSE))/2)</f>
        <v>-208.72885727700009</v>
      </c>
      <c r="CK62" s="180">
        <f t="array" ref="CK62">IF($BT62=0, INDEX(LS_current!$D$4:$AY$138, MATCH('Staging Table'!$A62, LS_current!$B$4:$B$138, 0), MATCH(CK$4&amp;CK$5, LS_current!$D$2:$AY$2&amp;LS_current!$D$3:$AY$3, 0)),SUM(VLOOKUP($A62, LS_current!$B$4:$AY$138, LS_current!P$148, FALSE), VLOOKUP($A62, LS_current!$B$4:$AY$138,LS_current!AN$148, FALSE))/2)</f>
        <v>181.78859409624988</v>
      </c>
      <c r="CL62" s="180">
        <f t="array" ref="CL62">IF($BT62=0, INDEX(LS_current!$D$4:$AY$138, MATCH('Staging Table'!$A62, LS_current!$B$4:$B$138, 0), MATCH(CL$4&amp;CL$5, LS_current!$D$2:$AY$2&amp;LS_current!$D$3:$AY$3, 0)),SUM(VLOOKUP($A62, LS_current!$B$4:$AY$138, LS_current!Q$148, FALSE), VLOOKUP($A62, LS_current!$B$4:$AY$138,LS_current!AO$148, FALSE))/2)</f>
        <v>76.356650803625371</v>
      </c>
      <c r="CM62" s="180">
        <f t="array" ref="CM62">IF($BT62=0, INDEX(LS_current!$D$4:$AY$138, MATCH('Staging Table'!$A62, LS_current!$B$4:$B$138, 0), MATCH(CM$4&amp;CM$5, LS_current!$D$2:$AY$2&amp;LS_current!$D$3:$AY$3, 0)),SUM(VLOOKUP($A62, LS_current!$B$4:$AY$138, LS_current!R$148, FALSE), VLOOKUP($A62, LS_current!$B$4:$AY$138,LS_current!AP$148, FALSE))/2)</f>
        <v>-311.57327703200008</v>
      </c>
      <c r="CN62" s="180">
        <f t="array" ref="CN62">IF($BT62=0, INDEX(LS_current!$D$4:$AY$138, MATCH('Staging Table'!$A62, LS_current!$B$4:$B$138, 0), MATCH(CN$4&amp;CN$5, LS_current!$D$2:$AY$2&amp;LS_current!$D$3:$AY$3, 0)),SUM(VLOOKUP($A62, LS_current!$B$4:$AY$138, LS_current!S$148, FALSE), VLOOKUP($A62, LS_current!$B$4:$AY$138,LS_current!AQ$148, FALSE))/2)</f>
        <v>-177.55612682025003</v>
      </c>
      <c r="CO62" s="180">
        <f t="array" ref="CO62">IF($BT62=0, INDEX(LS_current!$D$4:$AY$138, MATCH('Staging Table'!$A62, LS_current!$B$4:$B$138, 0), MATCH(CO$4&amp;CO$5, LS_current!$D$2:$AY$2&amp;LS_current!$D$3:$AY$3, 0)),SUM(VLOOKUP($A62, LS_current!$B$4:$AY$138, LS_current!T$148, FALSE), VLOOKUP($A62, LS_current!$B$4:$AY$138,LS_current!AR$148, FALSE))/2)</f>
        <v>-310.72691675899978</v>
      </c>
      <c r="CP62" s="180">
        <f t="array" ref="CP62">IF($BT62=0, INDEX(LS_current!$D$4:$AY$138, MATCH('Staging Table'!$A62, LS_current!$B$4:$B$138, 0), MATCH(CP$4&amp;CP$5, LS_current!$D$2:$AY$2&amp;LS_current!$D$3:$AY$3, 0)),SUM(VLOOKUP($A62, LS_current!$B$4:$AY$138, LS_current!U$148, FALSE), VLOOKUP($A62, LS_current!$B$4:$AY$138,LS_current!AS$148, FALSE))/2)</f>
        <v>-194.02182818425013</v>
      </c>
      <c r="CQ62" s="180">
        <f t="array" ref="CQ62">IF($BT62=0, INDEX(LS_current!$D$4:$AY$138, MATCH('Staging Table'!$A62, LS_current!$B$4:$B$138, 0), MATCH(CQ$4&amp;CQ$5, LS_current!$D$2:$AY$2&amp;LS_current!$D$3:$AY$3, 0)),SUM(VLOOKUP($A62, LS_current!$B$4:$AY$138, LS_current!V$148, FALSE), VLOOKUP($A62, LS_current!$B$4:$AY$138,LS_current!AT$148, FALSE))/2)</f>
        <v>235.83978817399975</v>
      </c>
      <c r="CR62" s="180">
        <f t="array" ref="CR62">IF($BT62=0, INDEX(LS_current!$D$4:$AY$138, MATCH('Staging Table'!$A62, LS_current!$B$4:$B$138, 0), MATCH(CR$4&amp;CR$5, LS_current!$D$2:$AY$2&amp;LS_current!$D$3:$AY$3, 0)),SUM(VLOOKUP($A62, LS_current!$B$4:$AY$138, LS_current!W$148, FALSE), VLOOKUP($A62, LS_current!$B$4:$AY$138,LS_current!AU$148, FALSE))/2)</f>
        <v>189.87255857125001</v>
      </c>
      <c r="CS62" s="180">
        <f t="array" ref="CS62">IF($BT62=0, INDEX(LS_current!$D$4:$AY$138, MATCH('Staging Table'!$A62, LS_current!$B$4:$B$138, 0), MATCH(CS$4&amp;CS$5, LS_current!$D$2:$AY$2&amp;LS_current!$D$3:$AY$3, 0)),SUM(VLOOKUP($A62, LS_current!$B$4:$AY$138, LS_current!X$148, FALSE), VLOOKUP($A62, LS_current!$B$4:$AY$138,LS_current!AV$148, FALSE))/2)</f>
        <v>287.25738697525003</v>
      </c>
      <c r="CT62" s="180">
        <f t="array" ref="CT62">IF($BT62=0, INDEX(LS_current!$D$4:$AY$138, MATCH('Staging Table'!$A62, LS_current!$B$4:$B$138, 0), MATCH(CT$4&amp;CT$5, LS_current!$D$2:$AY$2&amp;LS_current!$D$3:$AY$3, 0)),SUM(VLOOKUP($A62, LS_current!$B$4:$AY$138, LS_current!Y$148, FALSE), VLOOKUP($A62, LS_current!$B$4:$AY$138,LS_current!AW$148, FALSE))/2)</f>
        <v>153.33552339197513</v>
      </c>
      <c r="CU62" s="180">
        <f t="array" ref="CU62">IF($BT62=0, INDEX(LS_current!$D$4:$AY$138, MATCH('Staging Table'!$A62, LS_current!$B$4:$B$138, 0), MATCH(CU$4&amp;CU$5, LS_current!$D$2:$AY$2&amp;LS_current!$D$3:$AY$3, 0)),SUM(VLOOKUP($A62, LS_current!$B$4:$AY$138, LS_current!Z$148, FALSE), VLOOKUP($A62, LS_current!$B$4:$AY$138,LS_current!AX$148, FALSE))/2)</f>
        <v>203.19257845900006</v>
      </c>
      <c r="CV62" s="180">
        <f t="array" ref="CV62">IF($BT62=0, INDEX(LS_current!$D$4:$AY$138, MATCH('Staging Table'!$A62, LS_current!$B$4:$B$138, 0), MATCH(CV$4&amp;CV$5, LS_current!$D$2:$AY$2&amp;LS_current!$D$3:$AY$3, 0)),SUM(VLOOKUP($A62, LS_current!$B$4:$AY$138, LS_current!AA$148, FALSE), VLOOKUP($A62, LS_current!$B$4:$AY$138,LS_current!AY$148, FALSE))/2)</f>
        <v>84.350963863999823</v>
      </c>
      <c r="CW62" s="182">
        <f t="array" ref="CW62">INDEX(Demand_current!$D$4:$AY$138, MATCH($A62, Demand_current!$B$4:$B$138, 0), MATCH(CW$4&amp;CW$5,Demand_current!$D$2:$AY$2&amp;Demand_current!$D$3:$AY$3, 0))/1000</f>
        <v>0.93594230769230835</v>
      </c>
      <c r="CX62" s="182">
        <f t="array" ref="CX62">INDEX(Demand_current!$D$4:$AY$138, MATCH($A62, Demand_current!$B$4:$B$138, 0), MATCH(CX$4&amp;CX$5,Demand_current!$D$2:$AY$2&amp;Demand_current!$D$3:$AY$3, 0))/1000</f>
        <v>1.3839250000000001</v>
      </c>
      <c r="CY62" s="182">
        <f t="array" ref="CY62">INDEX(Demand_current!$D$4:$AY$138, MATCH($A62, Demand_current!$B$4:$B$138, 0), MATCH(CY$4&amp;CY$5,Demand_current!$D$2:$AY$2&amp;Demand_current!$D$3:$AY$3, 0))/1000</f>
        <v>1.0751525</v>
      </c>
      <c r="CZ62" s="182">
        <f t="array" ref="CZ62">INDEX(Demand_current!$D$4:$AY$138, MATCH($A62, Demand_current!$B$4:$B$138, 0), MATCH(CZ$4&amp;CZ$5,Demand_current!$D$2:$AY$2&amp;Demand_current!$D$3:$AY$3, 0))/1000</f>
        <v>1.5081826923076929</v>
      </c>
      <c r="DA62" s="182">
        <f t="array" ref="DA62">INDEX(Demand_current!$D$4:$AY$138, MATCH($A62, Demand_current!$B$4:$B$138, 0), MATCH(DA$4&amp;DA$5,Demand_current!$D$2:$AY$2&amp;Demand_current!$D$3:$AY$3, 0))/1000</f>
        <v>1.6489525000000003</v>
      </c>
      <c r="DB62" s="182">
        <f t="array" ref="DB62">INDEX(Demand_current!$D$4:$AY$138, MATCH($A62, Demand_current!$B$4:$B$138, 0), MATCH(DB$4&amp;DB$5,Demand_current!$D$2:$AY$2&amp;Demand_current!$D$3:$AY$3, 0))/1000</f>
        <v>1.1950600961538467</v>
      </c>
      <c r="DC62" s="182">
        <f t="array" ref="DC62">INDEX(Demand_current!$D$4:$AY$138, MATCH($A62, Demand_current!$B$4:$B$138, 0), MATCH(DC$4&amp;DC$5,Demand_current!$D$2:$AY$2&amp;Demand_current!$D$3:$AY$3, 0))/1000</f>
        <v>1.2707259615384618</v>
      </c>
      <c r="DD62" s="182">
        <f t="array" ref="DD62">INDEX(Demand_current!$D$4:$AY$138, MATCH($A62, Demand_current!$B$4:$B$138, 0), MATCH(DD$4&amp;DD$5,Demand_current!$D$2:$AY$2&amp;Demand_current!$D$3:$AY$3, 0))/1000</f>
        <v>1.5313461538461539</v>
      </c>
      <c r="DE62" s="182">
        <f t="array" ref="DE62">INDEX(Demand_current!$D$4:$AY$138, MATCH($A62, Demand_current!$B$4:$B$138, 0), MATCH(DE$4&amp;DE$5,Demand_current!$D$2:$AY$2&amp;Demand_current!$D$3:$AY$3, 0))/1000</f>
        <v>0.72395249999999933</v>
      </c>
      <c r="DF62" s="182">
        <f t="array" ref="DF62">INDEX(Demand_current!$D$4:$AY$138, MATCH($A62, Demand_current!$B$4:$B$138, 0), MATCH(DF$4&amp;DF$5,Demand_current!$D$2:$AY$2&amp;Demand_current!$D$3:$AY$3, 0))/1000</f>
        <v>1.1233774038461539</v>
      </c>
      <c r="DG62" s="182">
        <f t="array" ref="DG62">INDEX(Demand_current!$D$4:$AY$138, MATCH($A62, Demand_current!$B$4:$B$138, 0), MATCH(DG$4&amp;DG$5,Demand_current!$D$2:$AY$2&amp;Demand_current!$D$3:$AY$3, 0))/1000</f>
        <v>1.4844189814814814</v>
      </c>
      <c r="DH62" s="182">
        <f t="array" ref="DH62">INDEX(Demand_current!$D$4:$AY$138, MATCH($A62, Demand_current!$B$4:$B$138, 0), MATCH(DH$4&amp;DH$5,Demand_current!$D$2:$AY$2&amp;Demand_current!$D$3:$AY$3, 0))/1000</f>
        <v>0.50338541666666692</v>
      </c>
      <c r="DI62" s="180">
        <f>$BS62*(VLOOKUP(DI$4, Rates_current!$G$6:$Q$29, 10, FALSE)+VLOOKUP(DI$4, Rates_current!$G$6:$Q$29, 11, FALSE))</f>
        <v>3149.3370079597498</v>
      </c>
      <c r="DJ62" s="180">
        <f>$BS62*(VLOOKUP(DJ$4, Rates_current!$G$6:$Q$29, 10, FALSE)+VLOOKUP(DJ$4, Rates_current!$G$6:$Q$29, 11, FALSE))</f>
        <v>4016.4431883935003</v>
      </c>
      <c r="DK62" s="180">
        <f>$BS62*(VLOOKUP(DK$4, Rates_current!$G$6:$Q$29, 10, FALSE)+VLOOKUP(DK$4, Rates_current!$G$6:$Q$29, 11, FALSE))</f>
        <v>4334.5368982275004</v>
      </c>
      <c r="DL62" s="180">
        <f>$BS62*(VLOOKUP(DL$4, Rates_current!$G$6:$Q$29, 10, FALSE)+VLOOKUP(DL$4, Rates_current!$G$6:$Q$29, 11, FALSE))</f>
        <v>4504.2539038959994</v>
      </c>
      <c r="DM62" s="180">
        <f>$BS62*(VLOOKUP(DM$4, Rates_current!$G$6:$Q$29, 10, FALSE)+VLOOKUP(DM$4, Rates_current!$G$6:$Q$29, 11, FALSE))</f>
        <v>3874.2587360669995</v>
      </c>
      <c r="DN62" s="180">
        <f>$BS62*(VLOOKUP(DN$4, Rates_current!$G$6:$Q$29, 10, FALSE)+VLOOKUP(DN$4, Rates_current!$G$6:$Q$29, 11, FALSE))</f>
        <v>4229.9234751314998</v>
      </c>
      <c r="DO62" s="180">
        <f>$BS62*(VLOOKUP(DO$4, Rates_current!$G$6:$Q$29, 10, FALSE)+VLOOKUP(DO$4, Rates_current!$G$6:$Q$29, 11, FALSE))</f>
        <v>3338.8117551001246</v>
      </c>
      <c r="DP62" s="180">
        <f>$BS62*(VLOOKUP(DP$4, Rates_current!$G$6:$Q$29, 10, FALSE)+VLOOKUP(DP$4, Rates_current!$G$6:$Q$29, 11, FALSE))</f>
        <v>4142.2434038522497</v>
      </c>
      <c r="DQ62" s="180">
        <f>$BS62*(VLOOKUP(DQ$4, Rates_current!$G$6:$Q$29, 10, FALSE)+VLOOKUP(DQ$4, Rates_current!$G$6:$Q$29, 11, FALSE))</f>
        <v>4232.1197449432493</v>
      </c>
      <c r="DR62" s="180">
        <f>$BS62*(VLOOKUP(DR$4, Rates_current!$G$6:$Q$29, 10, FALSE)+VLOOKUP(DR$4, Rates_current!$G$6:$Q$29, 11, FALSE))</f>
        <v>3674.0896532547499</v>
      </c>
      <c r="DS62" s="180">
        <f>$BS62*(VLOOKUP(DS$4, Rates_current!$G$6:$Q$29, 10, FALSE)+VLOOKUP(DS$4, Rates_current!$G$6:$Q$29, 11, FALSE))</f>
        <v>3551.8680896327751</v>
      </c>
      <c r="DT62" s="180">
        <f>$BS62*(VLOOKUP(DT$4, Rates_current!$G$6:$Q$29, 10, FALSE)+VLOOKUP(DT$4, Rates_current!$G$6:$Q$29, 11, FALSE))</f>
        <v>3268.4064576770002</v>
      </c>
      <c r="DU62" s="402">
        <f>IF(D62=0,IF(C62=0,MAX(0,DW62 - (VLOOKUP($A62,TOCA_current!$A$2:$AI$137,MATCH("RHWM 2024",TOCA_current!$A$2:$AI$2,0),FALSE)*$BS$2)), 0),0)</f>
        <v>0</v>
      </c>
      <c r="DV62" s="403">
        <f>MIN(VLOOKUP($A62,TOCA_current!$A$2:$AI$137,MATCH("TRL - NLSL - Existing Resource "&amp;$BS$1,TOCA_current!$A$2:$AI$2,0),FALSE)*$BS$2, VLOOKUP($A62,TOCA_current!$A$2:$AI$137,MATCH("RHWM 2024",TOCA_current!$A$2:$AI$2,0),FALSE)*$BS$2)</f>
        <v>46318.031999999999</v>
      </c>
      <c r="DW62" s="403">
        <f>SUM(BY62:CV62)+(BS62*RT1SC!$C$4*$BS$2)</f>
        <v>46316.436212304594</v>
      </c>
      <c r="DX62" s="403">
        <f>VLOOKUP($A62,TOCA_current!$A$2:$AI$137,MATCH("Above RHWM Not Served with LS "&amp;$BS$1,TOCA_current!$A$2:$AI$2,0),FALSE)*$BS$2</f>
        <v>0</v>
      </c>
      <c r="DY62" s="403">
        <f t="shared" si="13"/>
        <v>-1.5957876954053063</v>
      </c>
      <c r="DZ62" s="403">
        <f>(VLOOKUP($A62,TOCA_current!$A$2:$AI$137,MATCH("RHWM 2024",TOCA_current!$A$2:$AI$2,0),FALSE)*$BS$2) - $DV62</f>
        <v>7281.9360000000015</v>
      </c>
      <c r="EA62" s="403">
        <f t="shared" si="14"/>
        <v>0</v>
      </c>
      <c r="EB62" s="403">
        <f t="shared" si="15"/>
        <v>1.5957876954053063</v>
      </c>
      <c r="EC62" s="403">
        <f t="shared" si="16"/>
        <v>0</v>
      </c>
      <c r="ED62" s="403">
        <f t="shared" si="17"/>
        <v>1.5957876954053063</v>
      </c>
    </row>
    <row r="63" spans="1:134">
      <c r="A63" s="123">
        <v>10173</v>
      </c>
      <c r="B63" s="124" t="s">
        <v>64</v>
      </c>
      <c r="C63" s="232">
        <f>VLOOKUP(A63, TOCA_current!$A$3:$D$137, 4, FALSE)</f>
        <v>1</v>
      </c>
      <c r="D63" s="191">
        <v>0</v>
      </c>
      <c r="E63" s="107">
        <f>VLOOKUP($A63,TOCA_previous!$A$2:$AI$137,MATCH(E$4,TOCA_previous!$A$2:$AI$2,0),FALSE)</f>
        <v>4.6914000000000001E-3</v>
      </c>
      <c r="F63" s="108">
        <f>VLOOKUP($A63,TOCA_previous!$A$2:$AI$137,MATCH(F$4,TOCA_previous!$A$2:$AI$2,0),FALSE)</f>
        <v>4.6914000000000001E-3</v>
      </c>
      <c r="G63" s="108">
        <f t="shared" si="5"/>
        <v>0</v>
      </c>
      <c r="H63" s="108">
        <f>VLOOKUP($A63,TOCA_previous!$A$2:$AI$137,MATCH(H$4,TOCA_previous!$A$2:$AI$2,0),FALSE)</f>
        <v>8.4830000000000003E-2</v>
      </c>
      <c r="I63" s="108">
        <f t="shared" si="6"/>
        <v>8.4830000000000003E-2</v>
      </c>
      <c r="J63" s="108">
        <f t="shared" si="7"/>
        <v>4.6914000000000001E-3</v>
      </c>
      <c r="K63" s="179">
        <f>VLOOKUP(A63, IRD!$A$5:$C$139, 3, FALSE)</f>
        <v>44309.995999999999</v>
      </c>
      <c r="L63" s="180">
        <f t="array" ref="L63">IF($G63=0, INDEX(LS_previous!$D$4:$AY$138, MATCH('Staging Table'!$A63, LS_previous!$B$4:$B$138, 0), MATCH(L$4&amp;L$5, LS_previous!$D$2:$AY$2&amp;LS_previous!$D$3:$AY$3, 0)),SUM(VLOOKUP($A63, LS_previous!$B$4:$AY$138, LS_previous!D$149, FALSE), VLOOKUP('Staging Table'!$A63, LS_previous!$B$4:$AY$138,LS_previous!AB$149, FALSE))/2)</f>
        <v>0</v>
      </c>
      <c r="M63" s="180">
        <f t="array" ref="M63">IF($G63=0, INDEX(LS_previous!$D$4:$AY$138, MATCH('Staging Table'!$A63, LS_previous!$B$4:$B$138, 0), MATCH(M$4&amp;M$5, LS_previous!$D$2:$AY$2&amp;LS_previous!$D$3:$AY$3, 0)),SUM(VLOOKUP($A63, LS_previous!$B$4:$AY$138, LS_previous!E$149, FALSE), VLOOKUP('Staging Table'!$A63, LS_previous!$B$4:$AY$138,LS_previous!AC$149, FALSE))/2)</f>
        <v>0</v>
      </c>
      <c r="N63" s="180">
        <f t="array" ref="N63">IF($G63=0, INDEX(LS_previous!$D$4:$AY$138, MATCH('Staging Table'!$A63, LS_previous!$B$4:$B$138, 0), MATCH(N$4&amp;N$5, LS_previous!$D$2:$AY$2&amp;LS_previous!$D$3:$AY$3, 0)),SUM(VLOOKUP($A63, LS_previous!$B$4:$AY$138, LS_previous!F$149, FALSE), VLOOKUP('Staging Table'!$A63, LS_previous!$B$4:$AY$138,LS_previous!AD$149, FALSE))/2)</f>
        <v>0</v>
      </c>
      <c r="O63" s="180">
        <f t="array" ref="O63">IF($G63=0, INDEX(LS_previous!$D$4:$AY$138, MATCH('Staging Table'!$A63, LS_previous!$B$4:$B$138, 0), MATCH(O$4&amp;O$5, LS_previous!$D$2:$AY$2&amp;LS_previous!$D$3:$AY$3, 0)),SUM(VLOOKUP($A63, LS_previous!$B$4:$AY$138, LS_previous!G$149, FALSE), VLOOKUP('Staging Table'!$A63, LS_previous!$B$4:$AY$138,LS_previous!AE$149, FALSE))/2)</f>
        <v>0</v>
      </c>
      <c r="P63" s="180">
        <f t="array" ref="P63">IF($G63=0, INDEX(LS_previous!$D$4:$AY$138, MATCH('Staging Table'!$A63, LS_previous!$B$4:$B$138, 0), MATCH(P$4&amp;P$5, LS_previous!$D$2:$AY$2&amp;LS_previous!$D$3:$AY$3, 0)),SUM(VLOOKUP($A63, LS_previous!$B$4:$AY$138, LS_previous!H$149, FALSE), VLOOKUP('Staging Table'!$A63, LS_previous!$B$4:$AY$138,LS_previous!AF$149, FALSE))/2)</f>
        <v>0</v>
      </c>
      <c r="Q63" s="180">
        <f t="array" ref="Q63">IF($G63=0, INDEX(LS_previous!$D$4:$AY$138, MATCH('Staging Table'!$A63, LS_previous!$B$4:$B$138, 0), MATCH(Q$4&amp;Q$5, LS_previous!$D$2:$AY$2&amp;LS_previous!$D$3:$AY$3, 0)),SUM(VLOOKUP($A63, LS_previous!$B$4:$AY$138, LS_previous!I$149, FALSE), VLOOKUP('Staging Table'!$A63, LS_previous!$B$4:$AY$138,LS_previous!AG$149, FALSE))/2)</f>
        <v>0</v>
      </c>
      <c r="R63" s="180">
        <f t="array" ref="R63">IF($G63=0, INDEX(LS_previous!$D$4:$AY$138, MATCH('Staging Table'!$A63, LS_previous!$B$4:$B$138, 0), MATCH(R$4&amp;R$5, LS_previous!$D$2:$AY$2&amp;LS_previous!$D$3:$AY$3, 0)),SUM(VLOOKUP($A63, LS_previous!$B$4:$AY$138, LS_previous!J$149, FALSE), VLOOKUP('Staging Table'!$A63, LS_previous!$B$4:$AY$138,LS_previous!AH$149, FALSE))/2)</f>
        <v>0</v>
      </c>
      <c r="S63" s="180">
        <f t="array" ref="S63">IF($G63=0, INDEX(LS_previous!$D$4:$AY$138, MATCH('Staging Table'!$A63, LS_previous!$B$4:$B$138, 0), MATCH(S$4&amp;S$5, LS_previous!$D$2:$AY$2&amp;LS_previous!$D$3:$AY$3, 0)),SUM(VLOOKUP($A63, LS_previous!$B$4:$AY$138, LS_previous!K$149, FALSE), VLOOKUP('Staging Table'!$A63, LS_previous!$B$4:$AY$138,LS_previous!AI$149, FALSE))/2)</f>
        <v>0</v>
      </c>
      <c r="T63" s="180">
        <f t="array" ref="T63">IF($G63=0, INDEX(LS_previous!$D$4:$AY$138, MATCH('Staging Table'!$A63, LS_previous!$B$4:$B$138, 0), MATCH(T$4&amp;T$5, LS_previous!$D$2:$AY$2&amp;LS_previous!$D$3:$AY$3, 0)),SUM(VLOOKUP($A63, LS_previous!$B$4:$AY$138, LS_previous!L$149, FALSE), VLOOKUP('Staging Table'!$A63, LS_previous!$B$4:$AY$138,LS_previous!AJ$149, FALSE))/2)</f>
        <v>0</v>
      </c>
      <c r="U63" s="180">
        <f t="array" ref="U63">IF($G63=0, INDEX(LS_previous!$D$4:$AY$138, MATCH('Staging Table'!$A63, LS_previous!$B$4:$B$138, 0), MATCH(U$4&amp;U$5, LS_previous!$D$2:$AY$2&amp;LS_previous!$D$3:$AY$3, 0)),SUM(VLOOKUP($A63, LS_previous!$B$4:$AY$138, LS_previous!M$149, FALSE), VLOOKUP('Staging Table'!$A63, LS_previous!$B$4:$AY$138,LS_previous!AK$149, FALSE))/2)</f>
        <v>0</v>
      </c>
      <c r="V63" s="180">
        <f t="array" ref="V63">IF($G63=0, INDEX(LS_previous!$D$4:$AY$138, MATCH('Staging Table'!$A63, LS_previous!$B$4:$B$138, 0), MATCH(V$4&amp;V$5, LS_previous!$D$2:$AY$2&amp;LS_previous!$D$3:$AY$3, 0)),SUM(VLOOKUP($A63, LS_previous!$B$4:$AY$138, LS_previous!N$149, FALSE), VLOOKUP('Staging Table'!$A63, LS_previous!$B$4:$AY$138,LS_previous!AL$149, FALSE))/2)</f>
        <v>0</v>
      </c>
      <c r="W63" s="180">
        <f t="array" ref="W63">IF($G63=0, INDEX(LS_previous!$D$4:$AY$138, MATCH('Staging Table'!$A63, LS_previous!$B$4:$B$138, 0), MATCH(W$4&amp;W$5, LS_previous!$D$2:$AY$2&amp;LS_previous!$D$3:$AY$3, 0)),SUM(VLOOKUP($A63, LS_previous!$B$4:$AY$138, LS_previous!O$149, FALSE), VLOOKUP('Staging Table'!$A63, LS_previous!$B$4:$AY$138,LS_previous!AM$149, FALSE))/2)</f>
        <v>0</v>
      </c>
      <c r="X63" s="180">
        <f t="array" ref="X63">IF($G63=0, INDEX(LS_previous!$D$4:$AY$138, MATCH('Staging Table'!$A63, LS_previous!$B$4:$B$138, 0), MATCH(X$4&amp;X$5, LS_previous!$D$2:$AY$2&amp;LS_previous!$D$3:$AY$3, 0)),SUM(VLOOKUP($A63, LS_previous!$B$4:$AY$138, LS_previous!P$149, FALSE), VLOOKUP('Staging Table'!$A63, LS_previous!$B$4:$AY$138,LS_previous!AN$149, FALSE))/2)</f>
        <v>0</v>
      </c>
      <c r="Y63" s="180">
        <f t="array" ref="Y63">IF($G63=0, INDEX(LS_previous!$D$4:$AY$138, MATCH('Staging Table'!$A63, LS_previous!$B$4:$B$138, 0), MATCH(Y$4&amp;Y$5, LS_previous!$D$2:$AY$2&amp;LS_previous!$D$3:$AY$3, 0)),SUM(VLOOKUP($A63, LS_previous!$B$4:$AY$138, LS_previous!Q$149, FALSE), VLOOKUP('Staging Table'!$A63, LS_previous!$B$4:$AY$138,LS_previous!AO$149, FALSE))/2)</f>
        <v>0</v>
      </c>
      <c r="Z63" s="180">
        <f t="array" ref="Z63">IF($G63=0, INDEX(LS_previous!$D$4:$AY$138, MATCH('Staging Table'!$A63, LS_previous!$B$4:$B$138, 0), MATCH(Z$4&amp;Z$5, LS_previous!$D$2:$AY$2&amp;LS_previous!$D$3:$AY$3, 0)),SUM(VLOOKUP($A63, LS_previous!$B$4:$AY$138, LS_previous!R$149, FALSE), VLOOKUP('Staging Table'!$A63, LS_previous!$B$4:$AY$138,LS_previous!AP$149, FALSE))/2)</f>
        <v>0</v>
      </c>
      <c r="AA63" s="180">
        <f t="array" ref="AA63">IF($G63=0, INDEX(LS_previous!$D$4:$AY$138, MATCH('Staging Table'!$A63, LS_previous!$B$4:$B$138, 0), MATCH(AA$4&amp;AA$5, LS_previous!$D$2:$AY$2&amp;LS_previous!$D$3:$AY$3, 0)),SUM(VLOOKUP($A63, LS_previous!$B$4:$AY$138, LS_previous!S$149, FALSE), VLOOKUP('Staging Table'!$A63, LS_previous!$B$4:$AY$138,LS_previous!AQ$149, FALSE))/2)</f>
        <v>0</v>
      </c>
      <c r="AB63" s="180">
        <f t="array" ref="AB63">IF($G63=0, INDEX(LS_previous!$D$4:$AY$138, MATCH('Staging Table'!$A63, LS_previous!$B$4:$B$138, 0), MATCH(AB$4&amp;AB$5, LS_previous!$D$2:$AY$2&amp;LS_previous!$D$3:$AY$3, 0)),SUM(VLOOKUP($A63, LS_previous!$B$4:$AY$138, LS_previous!T$149, FALSE), VLOOKUP('Staging Table'!$A63, LS_previous!$B$4:$AY$138,LS_previous!AR$149, FALSE))/2)</f>
        <v>0</v>
      </c>
      <c r="AC63" s="180">
        <f t="array" ref="AC63">IF($G63=0, INDEX(LS_previous!$D$4:$AY$138, MATCH('Staging Table'!$A63, LS_previous!$B$4:$B$138, 0), MATCH(AC$4&amp;AC$5, LS_previous!$D$2:$AY$2&amp;LS_previous!$D$3:$AY$3, 0)),SUM(VLOOKUP($A63, LS_previous!$B$4:$AY$138, LS_previous!U$149, FALSE), VLOOKUP('Staging Table'!$A63, LS_previous!$B$4:$AY$138,LS_previous!AS$149, FALSE))/2)</f>
        <v>0</v>
      </c>
      <c r="AD63" s="180">
        <f t="array" ref="AD63">IF($G63=0, INDEX(LS_previous!$D$4:$AY$138, MATCH('Staging Table'!$A63, LS_previous!$B$4:$B$138, 0), MATCH(AD$4&amp;AD$5, LS_previous!$D$2:$AY$2&amp;LS_previous!$D$3:$AY$3, 0)),SUM(VLOOKUP($A63, LS_previous!$B$4:$AY$138, LS_previous!V$149, FALSE), VLOOKUP('Staging Table'!$A63, LS_previous!$B$4:$AY$138,LS_previous!AT$149, FALSE))/2)</f>
        <v>0</v>
      </c>
      <c r="AE63" s="180">
        <f t="array" ref="AE63">IF($G63=0, INDEX(LS_previous!$D$4:$AY$138, MATCH('Staging Table'!$A63, LS_previous!$B$4:$B$138, 0), MATCH(AE$4&amp;AE$5, LS_previous!$D$2:$AY$2&amp;LS_previous!$D$3:$AY$3, 0)),SUM(VLOOKUP($A63, LS_previous!$B$4:$AY$138, LS_previous!W$149, FALSE), VLOOKUP('Staging Table'!$A63, LS_previous!$B$4:$AY$138,LS_previous!AU$149, FALSE))/2)</f>
        <v>0</v>
      </c>
      <c r="AF63" s="180">
        <f t="array" ref="AF63">IF($G63=0, INDEX(LS_previous!$D$4:$AY$138, MATCH('Staging Table'!$A63, LS_previous!$B$4:$B$138, 0), MATCH(AF$4&amp;AF$5, LS_previous!$D$2:$AY$2&amp;LS_previous!$D$3:$AY$3, 0)),SUM(VLOOKUP($A63, LS_previous!$B$4:$AY$138, LS_previous!X$149, FALSE), VLOOKUP('Staging Table'!$A63, LS_previous!$B$4:$AY$138,LS_previous!AV$149, FALSE))/2)</f>
        <v>0</v>
      </c>
      <c r="AG63" s="180">
        <f t="array" ref="AG63">IF($G63=0, INDEX(LS_previous!$D$4:$AY$138, MATCH('Staging Table'!$A63, LS_previous!$B$4:$B$138, 0), MATCH(AG$4&amp;AG$5, LS_previous!$D$2:$AY$2&amp;LS_previous!$D$3:$AY$3, 0)),SUM(VLOOKUP($A63, LS_previous!$B$4:$AY$138, LS_previous!Y$149, FALSE), VLOOKUP('Staging Table'!$A63, LS_previous!$B$4:$AY$138,LS_previous!AW$149, FALSE))/2)</f>
        <v>0</v>
      </c>
      <c r="AH63" s="180">
        <f t="array" ref="AH63">IF($G63=0, INDEX(LS_previous!$D$4:$AY$138, MATCH('Staging Table'!$A63, LS_previous!$B$4:$B$138, 0), MATCH(AH$4&amp;AH$5, LS_previous!$D$2:$AY$2&amp;LS_previous!$D$3:$AY$3, 0)),SUM(VLOOKUP($A63, LS_previous!$B$4:$AY$138, LS_previous!Z$149, FALSE), VLOOKUP('Staging Table'!$A63, LS_previous!$B$4:$AY$138,LS_previous!AX$149, FALSE))/2)</f>
        <v>0</v>
      </c>
      <c r="AI63" s="180">
        <f t="array" ref="AI63">IF($G63=0, INDEX(LS_previous!$D$4:$AY$138, MATCH('Staging Table'!$A63, LS_previous!$B$4:$B$138, 0), MATCH(AI$4&amp;AI$5, LS_previous!$D$2:$AY$2&amp;LS_previous!$D$3:$AY$3, 0)),SUM(VLOOKUP($A63, LS_previous!$B$4:$AY$138, LS_previous!AA$149, FALSE), VLOOKUP('Staging Table'!$A63, LS_previous!$B$4:$AY$138,LS_previous!AY$149, FALSE))/2)</f>
        <v>0</v>
      </c>
      <c r="AJ63" s="298">
        <f t="array" ref="AJ63">INDEX(Demand_previous!$D$4:$AY$138, MATCH('Staging Table'!$A63, Demand_previous!$B$4:$B$138, 0), MATCH(AJ$4&amp;AJ$5,Demand_previous!$D$2:$AY$2&amp;Demand_previous!$D$3:$AY$3, 0))/1000</f>
        <v>0</v>
      </c>
      <c r="AK63" s="298">
        <f t="array" ref="AK63">INDEX(Demand_previous!$D$4:$AY$138, MATCH('Staging Table'!$A63, Demand_previous!$B$4:$B$138, 0), MATCH(AK$4&amp;AK$5,Demand_previous!$D$2:$AY$2&amp;Demand_previous!$D$3:$AY$3, 0))/1000</f>
        <v>0</v>
      </c>
      <c r="AL63" s="298">
        <f t="array" ref="AL63">INDEX(Demand_previous!$D$4:$AY$138, MATCH('Staging Table'!$A63, Demand_previous!$B$4:$B$138, 0), MATCH(AL$4&amp;AL$5,Demand_previous!$D$2:$AY$2&amp;Demand_previous!$D$3:$AY$3, 0))/1000</f>
        <v>0</v>
      </c>
      <c r="AM63" s="298">
        <f t="array" ref="AM63">INDEX(Demand_previous!$D$4:$AY$138, MATCH('Staging Table'!$A63, Demand_previous!$B$4:$B$138, 0), MATCH(AM$4&amp;AM$5,Demand_previous!$D$2:$AY$2&amp;Demand_previous!$D$3:$AY$3, 0))/1000</f>
        <v>0</v>
      </c>
      <c r="AN63" s="298">
        <f t="array" ref="AN63">INDEX(Demand_previous!$D$4:$AY$138, MATCH('Staging Table'!$A63, Demand_previous!$B$4:$B$138, 0), MATCH(AN$4&amp;AN$5,Demand_previous!$D$2:$AY$2&amp;Demand_previous!$D$3:$AY$3, 0))/1000</f>
        <v>0</v>
      </c>
      <c r="AO63" s="298">
        <f t="array" ref="AO63">INDEX(Demand_previous!$D$4:$AY$138, MATCH('Staging Table'!$A63, Demand_previous!$B$4:$B$138, 0), MATCH(AO$4&amp;AO$5,Demand_previous!$D$2:$AY$2&amp;Demand_previous!$D$3:$AY$3, 0))/1000</f>
        <v>0</v>
      </c>
      <c r="AP63" s="298">
        <f t="array" ref="AP63">INDEX(Demand_previous!$D$4:$AY$138, MATCH('Staging Table'!$A63, Demand_previous!$B$4:$B$138, 0), MATCH(AP$4&amp;AP$5,Demand_previous!$D$2:$AY$2&amp;Demand_previous!$D$3:$AY$3, 0))/1000</f>
        <v>0</v>
      </c>
      <c r="AQ63" s="298">
        <f t="array" ref="AQ63">INDEX(Demand_previous!$D$4:$AY$138, MATCH('Staging Table'!$A63, Demand_previous!$B$4:$B$138, 0), MATCH(AQ$4&amp;AQ$5,Demand_previous!$D$2:$AY$2&amp;Demand_previous!$D$3:$AY$3, 0))/1000</f>
        <v>0</v>
      </c>
      <c r="AR63" s="298">
        <f t="array" ref="AR63">INDEX(Demand_previous!$D$4:$AY$138, MATCH('Staging Table'!$A63, Demand_previous!$B$4:$B$138, 0), MATCH(AR$4&amp;AR$5,Demand_previous!$D$2:$AY$2&amp;Demand_previous!$D$3:$AY$3, 0))/1000</f>
        <v>0</v>
      </c>
      <c r="AS63" s="298">
        <f t="array" ref="AS63">INDEX(Demand_previous!$D$4:$AY$138, MATCH('Staging Table'!$A63, Demand_previous!$B$4:$B$138, 0), MATCH(AS$4&amp;AS$5,Demand_previous!$D$2:$AY$2&amp;Demand_previous!$D$3:$AY$3, 0))/1000</f>
        <v>0</v>
      </c>
      <c r="AT63" s="298">
        <f t="array" ref="AT63">INDEX(Demand_previous!$D$4:$AY$138, MATCH('Staging Table'!$A63, Demand_previous!$B$4:$B$138, 0), MATCH(AT$4&amp;AT$5,Demand_previous!$D$2:$AY$2&amp;Demand_previous!$D$3:$AY$3, 0))/1000</f>
        <v>0</v>
      </c>
      <c r="AU63" s="298">
        <f t="array" ref="AU63">INDEX(Demand_previous!$D$4:$AY$138, MATCH('Staging Table'!$A63, Demand_previous!$B$4:$B$138, 0), MATCH(AU$4&amp;AU$5,Demand_previous!$D$2:$AY$2&amp;Demand_previous!$D$3:$AY$3, 0))/1000</f>
        <v>0</v>
      </c>
      <c r="AV63" s="180">
        <f>$F63*(VLOOKUP(AV$4, Rates_previous!$G$6:$Q$29, 10, FALSE)+VLOOKUP(AV$4, Rates_previous!$G$6:$Q$29, 11, FALSE))</f>
        <v>21364.281027567537</v>
      </c>
      <c r="AW63" s="180">
        <f>$F63*(VLOOKUP(AW$4, Rates_previous!$G$6:$Q$29, 10, FALSE)+VLOOKUP(AW$4, Rates_previous!$G$6:$Q$29, 11, FALSE))</f>
        <v>27047.955144015756</v>
      </c>
      <c r="AX63" s="180">
        <f>$F63*(VLOOKUP(AX$4, Rates_previous!$G$6:$Q$29, 10, FALSE)+VLOOKUP(AX$4, Rates_previous!$G$6:$Q$29, 11, FALSE))</f>
        <v>26474.544358532377</v>
      </c>
      <c r="AY63" s="180">
        <f>$F63*(VLOOKUP(AY$4, Rates_previous!$G$6:$Q$29, 10, FALSE)+VLOOKUP(AY$4, Rates_previous!$G$6:$Q$29, 11, FALSE))</f>
        <v>21866.847814334538</v>
      </c>
      <c r="AZ63" s="180">
        <f>$F63*(VLOOKUP(AZ$4, Rates_previous!$G$6:$Q$29, 10, FALSE)+VLOOKUP(AZ$4, Rates_previous!$G$6:$Q$29, 11, FALSE))</f>
        <v>18952.476258316881</v>
      </c>
      <c r="BA63" s="180">
        <f>$F63*(VLOOKUP(BA$4, Rates_previous!$G$6:$Q$29, 10, FALSE)+VLOOKUP(BA$4, Rates_previous!$G$6:$Q$29, 11, FALSE))</f>
        <v>22625.429403647337</v>
      </c>
      <c r="BB63" s="180">
        <f>$F63*(VLOOKUP(BB$4, Rates_previous!$G$6:$Q$29, 10, FALSE)+VLOOKUP(BB$4, Rates_previous!$G$6:$Q$29, 11, FALSE))</f>
        <v>17565.633833417542</v>
      </c>
      <c r="BC63" s="180">
        <f>$F63*(VLOOKUP(BC$4, Rates_previous!$G$6:$Q$29, 10, FALSE)+VLOOKUP(BC$4, Rates_previous!$G$6:$Q$29, 11, FALSE))</f>
        <v>24337.314941420522</v>
      </c>
      <c r="BD63" s="180">
        <f>$F63*(VLOOKUP(BD$4, Rates_previous!$G$6:$Q$29, 10, FALSE)+VLOOKUP(BD$4, Rates_previous!$G$6:$Q$29, 11, FALSE))</f>
        <v>26004.930617627135</v>
      </c>
      <c r="BE63" s="180">
        <f>$F63*(VLOOKUP(BE$4, Rates_previous!$G$6:$Q$29, 10, FALSE)+VLOOKUP(BE$4, Rates_previous!$G$6:$Q$29, 11, FALSE))</f>
        <v>24690.504076603713</v>
      </c>
      <c r="BF63" s="180">
        <f>$F63*(VLOOKUP(BF$4, Rates_previous!$G$6:$Q$29, 10, FALSE)+VLOOKUP(BF$4, Rates_previous!$G$6:$Q$29, 11, FALSE))</f>
        <v>23861.467416753156</v>
      </c>
      <c r="BG63" s="180">
        <f>$F63*(VLOOKUP(BG$4, Rates_previous!$G$6:$Q$29, 10, FALSE)+VLOOKUP(BG$4, Rates_previous!$G$6:$Q$29, 11, FALSE))</f>
        <v>22050.483352480085</v>
      </c>
      <c r="BH63" s="298">
        <f>IF($D63=0,IF(C63=0, MAX(BJ63 - (VLOOKUP($A63,TOCA_previous!$A$2:$AI$137,MATCH("RHWM 2022",TOCA_previous!$A$2:$AI$2,0),FALSE)*$F$2*TOCA_previous!C60),0),0), 0)</f>
        <v>0</v>
      </c>
      <c r="BI63" s="192">
        <f>MIN(VLOOKUP($A63,TOCA_previous!$A$2:$AI$137,MATCH("TRL - NLSL - Existing Resource "&amp;$F$1,TOCA_previous!$A$2:$AI$2,0),FALSE)*$F$2,(VLOOKUP($A63,TOCA_previous!$A$2:$AI$137,MATCH("RHWM 2022",TOCA_previous!$A$2:$AI$2,0),FALSE)*$F$2))</f>
        <v>276842.28000000003</v>
      </c>
      <c r="BJ63" s="402">
        <f>SUM(L63:AI63)+(F63*RT1SC!$C$3*$F$2)</f>
        <v>276841.88240637601</v>
      </c>
      <c r="BK63" s="401">
        <f>VLOOKUP($A63,TOCA_previous!$A$2:$AI$137,MATCH("Above RHWM Not Served with LS "&amp;$F$1,TOCA_previous!$A$2:$AI$2,0),FALSE)*$F$2</f>
        <v>58648.200000000004</v>
      </c>
      <c r="BL63" s="402">
        <f t="shared" si="8"/>
        <v>-0.3975936240167357</v>
      </c>
      <c r="BM63" s="401">
        <f>(VLOOKUP($A63,TOCA_previous!$A$2:$AI$137,MATCH("RHWM 2022",TOCA_previous!$A$2:$AI$2,0),FALSE)*$F$2) - $BI63</f>
        <v>0</v>
      </c>
      <c r="BN63" s="402">
        <f t="shared" si="9"/>
        <v>0</v>
      </c>
      <c r="BO63" s="401">
        <f t="shared" si="10"/>
        <v>0</v>
      </c>
      <c r="BP63" s="402">
        <f t="shared" si="11"/>
        <v>0</v>
      </c>
      <c r="BQ63" s="401">
        <f t="shared" si="18"/>
        <v>0</v>
      </c>
      <c r="BR63" s="108">
        <f>VLOOKUP($A63,TOCA_current!$A$2:$AI$137,MATCH(BR$4,TOCA_current!$A$2:$AI$2,0),FALSE)</f>
        <v>4.6904E-3</v>
      </c>
      <c r="BS63" s="108">
        <f>VLOOKUP($A63,TOCA_current!$A$2:$AI$137,MATCH(BS$4,TOCA_current!$A$2:$AI$2,0),FALSE)</f>
        <v>4.6904E-3</v>
      </c>
      <c r="BT63" s="189">
        <f t="shared" si="12"/>
        <v>0</v>
      </c>
      <c r="BU63" s="108">
        <f>VLOOKUP($A63,TOCA_current!A59:BG194,MATCH(BU$4,TOCA_current!$A$2:$BG$2,0),FALSE)</f>
        <v>8.4775430123754894E-2</v>
      </c>
      <c r="BV63" s="108">
        <f t="shared" si="19"/>
        <v>8.4775430123754894E-2</v>
      </c>
      <c r="BW63" s="108">
        <f t="shared" si="20"/>
        <v>4.6904E-3</v>
      </c>
      <c r="BX63" s="179">
        <f>VLOOKUP($A63,IRD!$A$4:$G$139, 7, FALSE)</f>
        <v>44309.995999999999</v>
      </c>
      <c r="BY63" s="180">
        <f t="array" ref="BY63">IF($BT63=0, INDEX(LS_current!$D$4:$AY$138, MATCH('Staging Table'!$A63, LS_current!$B$4:$B$138, 0), MATCH(BY$4&amp;BY$5, LS_current!$D$2:$AY$2&amp;LS_current!$D$3:$AY$3, 0)),SUM(VLOOKUP($A63, LS_current!$B$4:$AY$138, LS_current!D$148, FALSE), VLOOKUP($A63, LS_current!$B$4:$AY$138,LS_current!AB$148, FALSE))/2)</f>
        <v>0</v>
      </c>
      <c r="BZ63" s="180">
        <f t="array" ref="BZ63">IF($BT63=0, INDEX(LS_current!$D$4:$AY$138, MATCH('Staging Table'!$A63, LS_current!$B$4:$B$138, 0), MATCH(BZ$4&amp;BZ$5, LS_current!$D$2:$AY$2&amp;LS_current!$D$3:$AY$3, 0)),SUM(VLOOKUP($A63, LS_current!$B$4:$AY$138, LS_current!E$148, FALSE), VLOOKUP($A63, LS_current!$B$4:$AY$138,LS_current!AC$148, FALSE))/2)</f>
        <v>0</v>
      </c>
      <c r="CA63" s="180">
        <f t="array" ref="CA63">IF($BT63=0, INDEX(LS_current!$D$4:$AY$138, MATCH('Staging Table'!$A63, LS_current!$B$4:$B$138, 0), MATCH(CA$4&amp;CA$5, LS_current!$D$2:$AY$2&amp;LS_current!$D$3:$AY$3, 0)),SUM(VLOOKUP($A63, LS_current!$B$4:$AY$138, LS_current!F$148, FALSE), VLOOKUP($A63, LS_current!$B$4:$AY$138,LS_current!AD$148, FALSE))/2)</f>
        <v>0</v>
      </c>
      <c r="CB63" s="180">
        <f t="array" ref="CB63">IF($BT63=0, INDEX(LS_current!$D$4:$AY$138, MATCH('Staging Table'!$A63, LS_current!$B$4:$B$138, 0), MATCH(CB$4&amp;CB$5, LS_current!$D$2:$AY$2&amp;LS_current!$D$3:$AY$3, 0)),SUM(VLOOKUP($A63, LS_current!$B$4:$AY$138, LS_current!G$148, FALSE), VLOOKUP($A63, LS_current!$B$4:$AY$138,LS_current!AE$148, FALSE))/2)</f>
        <v>0</v>
      </c>
      <c r="CC63" s="180">
        <f t="array" ref="CC63">IF($BT63=0, INDEX(LS_current!$D$4:$AY$138, MATCH('Staging Table'!$A63, LS_current!$B$4:$B$138, 0), MATCH(CC$4&amp;CC$5, LS_current!$D$2:$AY$2&amp;LS_current!$D$3:$AY$3, 0)),SUM(VLOOKUP($A63, LS_current!$B$4:$AY$138, LS_current!H$148, FALSE), VLOOKUP($A63, LS_current!$B$4:$AY$138,LS_current!AF$148, FALSE))/2)</f>
        <v>0</v>
      </c>
      <c r="CD63" s="180">
        <f t="array" ref="CD63">IF($BT63=0, INDEX(LS_current!$D$4:$AY$138, MATCH('Staging Table'!$A63, LS_current!$B$4:$B$138, 0), MATCH(CD$4&amp;CD$5, LS_current!$D$2:$AY$2&amp;LS_current!$D$3:$AY$3, 0)),SUM(VLOOKUP($A63, LS_current!$B$4:$AY$138, LS_current!I$148, FALSE), VLOOKUP($A63, LS_current!$B$4:$AY$138,LS_current!AG$148, FALSE))/2)</f>
        <v>0</v>
      </c>
      <c r="CE63" s="180">
        <f t="array" ref="CE63">IF($BT63=0, INDEX(LS_current!$D$4:$AY$138, MATCH('Staging Table'!$A63, LS_current!$B$4:$B$138, 0), MATCH(CE$4&amp;CE$5, LS_current!$D$2:$AY$2&amp;LS_current!$D$3:$AY$3, 0)),SUM(VLOOKUP($A63, LS_current!$B$4:$AY$138, LS_current!J$148, FALSE), VLOOKUP($A63, LS_current!$B$4:$AY$138,LS_current!AH$148, FALSE))/2)</f>
        <v>0</v>
      </c>
      <c r="CF63" s="180">
        <f t="array" ref="CF63">IF($BT63=0, INDEX(LS_current!$D$4:$AY$138, MATCH('Staging Table'!$A63, LS_current!$B$4:$B$138, 0), MATCH(CF$4&amp;CF$5, LS_current!$D$2:$AY$2&amp;LS_current!$D$3:$AY$3, 0)),SUM(VLOOKUP($A63, LS_current!$B$4:$AY$138, LS_current!K$148, FALSE), VLOOKUP($A63, LS_current!$B$4:$AY$138,LS_current!AI$148, FALSE))/2)</f>
        <v>0</v>
      </c>
      <c r="CG63" s="180">
        <f t="array" ref="CG63">IF($BT63=0, INDEX(LS_current!$D$4:$AY$138, MATCH('Staging Table'!$A63, LS_current!$B$4:$B$138, 0), MATCH(CG$4&amp;CG$5, LS_current!$D$2:$AY$2&amp;LS_current!$D$3:$AY$3, 0)),SUM(VLOOKUP($A63, LS_current!$B$4:$AY$138, LS_current!L$148, FALSE), VLOOKUP($A63, LS_current!$B$4:$AY$138,LS_current!AJ$148, FALSE))/2)</f>
        <v>0</v>
      </c>
      <c r="CH63" s="180">
        <f t="array" ref="CH63">IF($BT63=0, INDEX(LS_current!$D$4:$AY$138, MATCH('Staging Table'!$A63, LS_current!$B$4:$B$138, 0), MATCH(CH$4&amp;CH$5, LS_current!$D$2:$AY$2&amp;LS_current!$D$3:$AY$3, 0)),SUM(VLOOKUP($A63, LS_current!$B$4:$AY$138, LS_current!M$148, FALSE), VLOOKUP($A63, LS_current!$B$4:$AY$138,LS_current!AK$148, FALSE))/2)</f>
        <v>0</v>
      </c>
      <c r="CI63" s="180">
        <f t="array" ref="CI63">IF($BT63=0, INDEX(LS_current!$D$4:$AY$138, MATCH('Staging Table'!$A63, LS_current!$B$4:$B$138, 0), MATCH(CI$4&amp;CI$5, LS_current!$D$2:$AY$2&amp;LS_current!$D$3:$AY$3, 0)),SUM(VLOOKUP($A63, LS_current!$B$4:$AY$138, LS_current!N$148, FALSE), VLOOKUP($A63, LS_current!$B$4:$AY$138,LS_current!AL$148, FALSE))/2)</f>
        <v>0</v>
      </c>
      <c r="CJ63" s="180">
        <f t="array" ref="CJ63">IF($BT63=0, INDEX(LS_current!$D$4:$AY$138, MATCH('Staging Table'!$A63, LS_current!$B$4:$B$138, 0), MATCH(CJ$4&amp;CJ$5, LS_current!$D$2:$AY$2&amp;LS_current!$D$3:$AY$3, 0)),SUM(VLOOKUP($A63, LS_current!$B$4:$AY$138, LS_current!O$148, FALSE), VLOOKUP($A63, LS_current!$B$4:$AY$138,LS_current!AM$148, FALSE))/2)</f>
        <v>0</v>
      </c>
      <c r="CK63" s="180">
        <f t="array" ref="CK63">IF($BT63=0, INDEX(LS_current!$D$4:$AY$138, MATCH('Staging Table'!$A63, LS_current!$B$4:$B$138, 0), MATCH(CK$4&amp;CK$5, LS_current!$D$2:$AY$2&amp;LS_current!$D$3:$AY$3, 0)),SUM(VLOOKUP($A63, LS_current!$B$4:$AY$138, LS_current!P$148, FALSE), VLOOKUP($A63, LS_current!$B$4:$AY$138,LS_current!AN$148, FALSE))/2)</f>
        <v>0</v>
      </c>
      <c r="CL63" s="180">
        <f t="array" ref="CL63">IF($BT63=0, INDEX(LS_current!$D$4:$AY$138, MATCH('Staging Table'!$A63, LS_current!$B$4:$B$138, 0), MATCH(CL$4&amp;CL$5, LS_current!$D$2:$AY$2&amp;LS_current!$D$3:$AY$3, 0)),SUM(VLOOKUP($A63, LS_current!$B$4:$AY$138, LS_current!Q$148, FALSE), VLOOKUP($A63, LS_current!$B$4:$AY$138,LS_current!AO$148, FALSE))/2)</f>
        <v>0</v>
      </c>
      <c r="CM63" s="180">
        <f t="array" ref="CM63">IF($BT63=0, INDEX(LS_current!$D$4:$AY$138, MATCH('Staging Table'!$A63, LS_current!$B$4:$B$138, 0), MATCH(CM$4&amp;CM$5, LS_current!$D$2:$AY$2&amp;LS_current!$D$3:$AY$3, 0)),SUM(VLOOKUP($A63, LS_current!$B$4:$AY$138, LS_current!R$148, FALSE), VLOOKUP($A63, LS_current!$B$4:$AY$138,LS_current!AP$148, FALSE))/2)</f>
        <v>0</v>
      </c>
      <c r="CN63" s="180">
        <f t="array" ref="CN63">IF($BT63=0, INDEX(LS_current!$D$4:$AY$138, MATCH('Staging Table'!$A63, LS_current!$B$4:$B$138, 0), MATCH(CN$4&amp;CN$5, LS_current!$D$2:$AY$2&amp;LS_current!$D$3:$AY$3, 0)),SUM(VLOOKUP($A63, LS_current!$B$4:$AY$138, LS_current!S$148, FALSE), VLOOKUP($A63, LS_current!$B$4:$AY$138,LS_current!AQ$148, FALSE))/2)</f>
        <v>0</v>
      </c>
      <c r="CO63" s="180">
        <f t="array" ref="CO63">IF($BT63=0, INDEX(LS_current!$D$4:$AY$138, MATCH('Staging Table'!$A63, LS_current!$B$4:$B$138, 0), MATCH(CO$4&amp;CO$5, LS_current!$D$2:$AY$2&amp;LS_current!$D$3:$AY$3, 0)),SUM(VLOOKUP($A63, LS_current!$B$4:$AY$138, LS_current!T$148, FALSE), VLOOKUP($A63, LS_current!$B$4:$AY$138,LS_current!AR$148, FALSE))/2)</f>
        <v>0</v>
      </c>
      <c r="CP63" s="180">
        <f t="array" ref="CP63">IF($BT63=0, INDEX(LS_current!$D$4:$AY$138, MATCH('Staging Table'!$A63, LS_current!$B$4:$B$138, 0), MATCH(CP$4&amp;CP$5, LS_current!$D$2:$AY$2&amp;LS_current!$D$3:$AY$3, 0)),SUM(VLOOKUP($A63, LS_current!$B$4:$AY$138, LS_current!U$148, FALSE), VLOOKUP($A63, LS_current!$B$4:$AY$138,LS_current!AS$148, FALSE))/2)</f>
        <v>0</v>
      </c>
      <c r="CQ63" s="180">
        <f t="array" ref="CQ63">IF($BT63=0, INDEX(LS_current!$D$4:$AY$138, MATCH('Staging Table'!$A63, LS_current!$B$4:$B$138, 0), MATCH(CQ$4&amp;CQ$5, LS_current!$D$2:$AY$2&amp;LS_current!$D$3:$AY$3, 0)),SUM(VLOOKUP($A63, LS_current!$B$4:$AY$138, LS_current!V$148, FALSE), VLOOKUP($A63, LS_current!$B$4:$AY$138,LS_current!AT$148, FALSE))/2)</f>
        <v>0</v>
      </c>
      <c r="CR63" s="180">
        <f t="array" ref="CR63">IF($BT63=0, INDEX(LS_current!$D$4:$AY$138, MATCH('Staging Table'!$A63, LS_current!$B$4:$B$138, 0), MATCH(CR$4&amp;CR$5, LS_current!$D$2:$AY$2&amp;LS_current!$D$3:$AY$3, 0)),SUM(VLOOKUP($A63, LS_current!$B$4:$AY$138, LS_current!W$148, FALSE), VLOOKUP($A63, LS_current!$B$4:$AY$138,LS_current!AU$148, FALSE))/2)</f>
        <v>0</v>
      </c>
      <c r="CS63" s="180">
        <f t="array" ref="CS63">IF($BT63=0, INDEX(LS_current!$D$4:$AY$138, MATCH('Staging Table'!$A63, LS_current!$B$4:$B$138, 0), MATCH(CS$4&amp;CS$5, LS_current!$D$2:$AY$2&amp;LS_current!$D$3:$AY$3, 0)),SUM(VLOOKUP($A63, LS_current!$B$4:$AY$138, LS_current!X$148, FALSE), VLOOKUP($A63, LS_current!$B$4:$AY$138,LS_current!AV$148, FALSE))/2)</f>
        <v>0</v>
      </c>
      <c r="CT63" s="180">
        <f t="array" ref="CT63">IF($BT63=0, INDEX(LS_current!$D$4:$AY$138, MATCH('Staging Table'!$A63, LS_current!$B$4:$B$138, 0), MATCH(CT$4&amp;CT$5, LS_current!$D$2:$AY$2&amp;LS_current!$D$3:$AY$3, 0)),SUM(VLOOKUP($A63, LS_current!$B$4:$AY$138, LS_current!Y$148, FALSE), VLOOKUP($A63, LS_current!$B$4:$AY$138,LS_current!AW$148, FALSE))/2)</f>
        <v>0</v>
      </c>
      <c r="CU63" s="180">
        <f t="array" ref="CU63">IF($BT63=0, INDEX(LS_current!$D$4:$AY$138, MATCH('Staging Table'!$A63, LS_current!$B$4:$B$138, 0), MATCH(CU$4&amp;CU$5, LS_current!$D$2:$AY$2&amp;LS_current!$D$3:$AY$3, 0)),SUM(VLOOKUP($A63, LS_current!$B$4:$AY$138, LS_current!Z$148, FALSE), VLOOKUP($A63, LS_current!$B$4:$AY$138,LS_current!AX$148, FALSE))/2)</f>
        <v>0</v>
      </c>
      <c r="CV63" s="180">
        <f t="array" ref="CV63">IF($BT63=0, INDEX(LS_current!$D$4:$AY$138, MATCH('Staging Table'!$A63, LS_current!$B$4:$B$138, 0), MATCH(CV$4&amp;CV$5, LS_current!$D$2:$AY$2&amp;LS_current!$D$3:$AY$3, 0)),SUM(VLOOKUP($A63, LS_current!$B$4:$AY$138, LS_current!AA$148, FALSE), VLOOKUP($A63, LS_current!$B$4:$AY$138,LS_current!AY$148, FALSE))/2)</f>
        <v>0</v>
      </c>
      <c r="CW63" s="182">
        <f t="array" ref="CW63">INDEX(Demand_current!$D$4:$AY$138, MATCH($A63, Demand_current!$B$4:$B$138, 0), MATCH(CW$4&amp;CW$5,Demand_current!$D$2:$AY$2&amp;Demand_current!$D$3:$AY$3, 0))/1000</f>
        <v>0</v>
      </c>
      <c r="CX63" s="182">
        <f t="array" ref="CX63">INDEX(Demand_current!$D$4:$AY$138, MATCH($A63, Demand_current!$B$4:$B$138, 0), MATCH(CX$4&amp;CX$5,Demand_current!$D$2:$AY$2&amp;Demand_current!$D$3:$AY$3, 0))/1000</f>
        <v>0</v>
      </c>
      <c r="CY63" s="182">
        <f t="array" ref="CY63">INDEX(Demand_current!$D$4:$AY$138, MATCH($A63, Demand_current!$B$4:$B$138, 0), MATCH(CY$4&amp;CY$5,Demand_current!$D$2:$AY$2&amp;Demand_current!$D$3:$AY$3, 0))/1000</f>
        <v>0</v>
      </c>
      <c r="CZ63" s="182">
        <f t="array" ref="CZ63">INDEX(Demand_current!$D$4:$AY$138, MATCH($A63, Demand_current!$B$4:$B$138, 0), MATCH(CZ$4&amp;CZ$5,Demand_current!$D$2:$AY$2&amp;Demand_current!$D$3:$AY$3, 0))/1000</f>
        <v>0</v>
      </c>
      <c r="DA63" s="182">
        <f t="array" ref="DA63">INDEX(Demand_current!$D$4:$AY$138, MATCH($A63, Demand_current!$B$4:$B$138, 0), MATCH(DA$4&amp;DA$5,Demand_current!$D$2:$AY$2&amp;Demand_current!$D$3:$AY$3, 0))/1000</f>
        <v>0</v>
      </c>
      <c r="DB63" s="182">
        <f t="array" ref="DB63">INDEX(Demand_current!$D$4:$AY$138, MATCH($A63, Demand_current!$B$4:$B$138, 0), MATCH(DB$4&amp;DB$5,Demand_current!$D$2:$AY$2&amp;Demand_current!$D$3:$AY$3, 0))/1000</f>
        <v>0</v>
      </c>
      <c r="DC63" s="182">
        <f t="array" ref="DC63">INDEX(Demand_current!$D$4:$AY$138, MATCH($A63, Demand_current!$B$4:$B$138, 0), MATCH(DC$4&amp;DC$5,Demand_current!$D$2:$AY$2&amp;Demand_current!$D$3:$AY$3, 0))/1000</f>
        <v>0</v>
      </c>
      <c r="DD63" s="182">
        <f t="array" ref="DD63">INDEX(Demand_current!$D$4:$AY$138, MATCH($A63, Demand_current!$B$4:$B$138, 0), MATCH(DD$4&amp;DD$5,Demand_current!$D$2:$AY$2&amp;Demand_current!$D$3:$AY$3, 0))/1000</f>
        <v>0</v>
      </c>
      <c r="DE63" s="182">
        <f t="array" ref="DE63">INDEX(Demand_current!$D$4:$AY$138, MATCH($A63, Demand_current!$B$4:$B$138, 0), MATCH(DE$4&amp;DE$5,Demand_current!$D$2:$AY$2&amp;Demand_current!$D$3:$AY$3, 0))/1000</f>
        <v>0</v>
      </c>
      <c r="DF63" s="182">
        <f t="array" ref="DF63">INDEX(Demand_current!$D$4:$AY$138, MATCH($A63, Demand_current!$B$4:$B$138, 0), MATCH(DF$4&amp;DF$5,Demand_current!$D$2:$AY$2&amp;Demand_current!$D$3:$AY$3, 0))/1000</f>
        <v>0</v>
      </c>
      <c r="DG63" s="182">
        <f t="array" ref="DG63">INDEX(Demand_current!$D$4:$AY$138, MATCH($A63, Demand_current!$B$4:$B$138, 0), MATCH(DG$4&amp;DG$5,Demand_current!$D$2:$AY$2&amp;Demand_current!$D$3:$AY$3, 0))/1000</f>
        <v>0</v>
      </c>
      <c r="DH63" s="182">
        <f t="array" ref="DH63">INDEX(Demand_current!$D$4:$AY$138, MATCH($A63, Demand_current!$B$4:$B$138, 0), MATCH(DH$4&amp;DH$5,Demand_current!$D$2:$AY$2&amp;Demand_current!$D$3:$AY$3, 0))/1000</f>
        <v>0</v>
      </c>
      <c r="DI63" s="180">
        <f>$BS63*(VLOOKUP(DI$4, Rates_current!$G$6:$Q$29, 10, FALSE)+VLOOKUP(DI$4, Rates_current!$G$6:$Q$29, 11, FALSE))</f>
        <v>19787.8771629396</v>
      </c>
      <c r="DJ63" s="180">
        <f>$BS63*(VLOOKUP(DJ$4, Rates_current!$G$6:$Q$29, 10, FALSE)+VLOOKUP(DJ$4, Rates_current!$G$6:$Q$29, 11, FALSE))</f>
        <v>25236.068494093604</v>
      </c>
      <c r="DK63" s="180">
        <f>$BS63*(VLOOKUP(DK$4, Rates_current!$G$6:$Q$29, 10, FALSE)+VLOOKUP(DK$4, Rates_current!$G$6:$Q$29, 11, FALSE))</f>
        <v>27234.711141924003</v>
      </c>
      <c r="DL63" s="180">
        <f>$BS63*(VLOOKUP(DL$4, Rates_current!$G$6:$Q$29, 10, FALSE)+VLOOKUP(DL$4, Rates_current!$G$6:$Q$29, 11, FALSE))</f>
        <v>28301.075031257598</v>
      </c>
      <c r="DM63" s="180">
        <f>$BS63*(VLOOKUP(DM$4, Rates_current!$G$6:$Q$29, 10, FALSE)+VLOOKUP(DM$4, Rates_current!$G$6:$Q$29, 11, FALSE))</f>
        <v>24342.696819355198</v>
      </c>
      <c r="DN63" s="180">
        <f>$BS63*(VLOOKUP(DN$4, Rates_current!$G$6:$Q$29, 10, FALSE)+VLOOKUP(DN$4, Rates_current!$G$6:$Q$29, 11, FALSE))</f>
        <v>26577.4053151464</v>
      </c>
      <c r="DO63" s="180">
        <f>$BS63*(VLOOKUP(DO$4, Rates_current!$G$6:$Q$29, 10, FALSE)+VLOOKUP(DO$4, Rates_current!$G$6:$Q$29, 11, FALSE))</f>
        <v>20978.382660578198</v>
      </c>
      <c r="DP63" s="180">
        <f>$BS63*(VLOOKUP(DP$4, Rates_current!$G$6:$Q$29, 10, FALSE)+VLOOKUP(DP$4, Rates_current!$G$6:$Q$29, 11, FALSE))</f>
        <v>26026.4949248876</v>
      </c>
      <c r="DQ63" s="180">
        <f>$BS63*(VLOOKUP(DQ$4, Rates_current!$G$6:$Q$29, 10, FALSE)+VLOOKUP(DQ$4, Rates_current!$G$6:$Q$29, 11, FALSE))</f>
        <v>26591.204891737198</v>
      </c>
      <c r="DR63" s="180">
        <f>$BS63*(VLOOKUP(DR$4, Rates_current!$G$6:$Q$29, 10, FALSE)+VLOOKUP(DR$4, Rates_current!$G$6:$Q$29, 11, FALSE))</f>
        <v>23084.996797891599</v>
      </c>
      <c r="DS63" s="180">
        <f>$BS63*(VLOOKUP(DS$4, Rates_current!$G$6:$Q$29, 10, FALSE)+VLOOKUP(DS$4, Rates_current!$G$6:$Q$29, 11, FALSE))</f>
        <v>22317.055710132041</v>
      </c>
      <c r="DT63" s="180">
        <f>$BS63*(VLOOKUP(DT$4, Rates_current!$G$6:$Q$29, 10, FALSE)+VLOOKUP(DT$4, Rates_current!$G$6:$Q$29, 11, FALSE))</f>
        <v>20536.012925771203</v>
      </c>
      <c r="DU63" s="402">
        <f>IF(D63=0,IF(C63=0,MAX(0,DW63 - (VLOOKUP($A63,TOCA_current!$A$2:$AI$137,MATCH("RHWM 2024",TOCA_current!$A$2:$AI$2,0),FALSE)*$BS$2)), 0),0)</f>
        <v>0</v>
      </c>
      <c r="DV63" s="403">
        <f>MIN(VLOOKUP($A63,TOCA_current!$A$2:$AI$137,MATCH("TRL - NLSL - Existing Resource "&amp;$BS$1,TOCA_current!$A$2:$AI$2,0),FALSE)*$BS$2, VLOOKUP($A63,TOCA_current!$A$2:$AI$137,MATCH("RHWM 2024",TOCA_current!$A$2:$AI$2,0),FALSE)*$BS$2)</f>
        <v>291013.92000000004</v>
      </c>
      <c r="DW63" s="403">
        <f>SUM(BY63:CV63)+(BS63*RT1SC!$C$4*$BS$2)</f>
        <v>291013.983209664</v>
      </c>
      <c r="DX63" s="403">
        <f>VLOOKUP($A63,TOCA_current!$A$2:$AI$137,MATCH("Above RHWM Not Served with LS "&amp;$BS$1,TOCA_current!$A$2:$AI$2,0),FALSE)*$BS$2</f>
        <v>61426.512000000002</v>
      </c>
      <c r="DY63" s="403">
        <f t="shared" si="13"/>
        <v>6.3209663960151374E-2</v>
      </c>
      <c r="DZ63" s="403">
        <f>(VLOOKUP($A63,TOCA_current!$A$2:$AI$137,MATCH("RHWM 2024",TOCA_current!$A$2:$AI$2,0),FALSE)*$BS$2) - $DV63</f>
        <v>0</v>
      </c>
      <c r="EA63" s="403">
        <f t="shared" si="14"/>
        <v>0</v>
      </c>
      <c r="EB63" s="403">
        <f t="shared" si="15"/>
        <v>0</v>
      </c>
      <c r="EC63" s="403">
        <f t="shared" si="16"/>
        <v>0</v>
      </c>
      <c r="ED63" s="403">
        <f t="shared" si="17"/>
        <v>0</v>
      </c>
    </row>
    <row r="64" spans="1:134">
      <c r="A64" s="123">
        <v>10174</v>
      </c>
      <c r="B64" s="124" t="s">
        <v>65</v>
      </c>
      <c r="C64" s="232">
        <f>VLOOKUP(A64, TOCA_current!$A$3:$D$137, 4, FALSE)</f>
        <v>0</v>
      </c>
      <c r="D64" s="191">
        <v>0</v>
      </c>
      <c r="E64" s="107">
        <f>VLOOKUP($A64,TOCA_previous!$A$2:$AI$137,MATCH(E$4,TOCA_previous!$A$2:$AI$2,0),FALSE)</f>
        <v>7.1799999999999997E-5</v>
      </c>
      <c r="F64" s="108">
        <f>VLOOKUP($A64,TOCA_previous!$A$2:$AI$137,MATCH(F$4,TOCA_previous!$A$2:$AI$2,0),FALSE)</f>
        <v>7.1799999999999997E-5</v>
      </c>
      <c r="G64" s="108">
        <f t="shared" si="5"/>
        <v>0</v>
      </c>
      <c r="H64" s="108">
        <f>VLOOKUP($A64,TOCA_previous!$A$2:$AI$137,MATCH(H$4,TOCA_previous!$A$2:$AI$2,0),FALSE)</f>
        <v>0</v>
      </c>
      <c r="I64" s="108">
        <f t="shared" si="6"/>
        <v>0</v>
      </c>
      <c r="J64" s="108">
        <f t="shared" si="7"/>
        <v>0</v>
      </c>
      <c r="K64" s="179">
        <f>VLOOKUP(A64, IRD!$A$5:$C$139, 3, FALSE)</f>
        <v>0</v>
      </c>
      <c r="L64" s="180">
        <f t="array" ref="L64">IF($G64=0, INDEX(LS_previous!$D$4:$AY$138, MATCH('Staging Table'!$A64, LS_previous!$B$4:$B$138, 0), MATCH(L$4&amp;L$5, LS_previous!$D$2:$AY$2&amp;LS_previous!$D$3:$AY$3, 0)),SUM(VLOOKUP($A64, LS_previous!$B$4:$AY$138, LS_previous!D$149, FALSE), VLOOKUP('Staging Table'!$A64, LS_previous!$B$4:$AY$138,LS_previous!AB$149, FALSE))/2)</f>
        <v>-32.333740993648888</v>
      </c>
      <c r="M64" s="180">
        <f t="array" ref="M64">IF($G64=0, INDEX(LS_previous!$D$4:$AY$138, MATCH('Staging Table'!$A64, LS_previous!$B$4:$B$138, 0), MATCH(M$4&amp;M$5, LS_previous!$D$2:$AY$2&amp;LS_previous!$D$3:$AY$3, 0)),SUM(VLOOKUP($A64, LS_previous!$B$4:$AY$138, LS_previous!E$149, FALSE), VLOOKUP('Staging Table'!$A64, LS_previous!$B$4:$AY$138,LS_previous!AC$149, FALSE))/2)</f>
        <v>16.772967582865505</v>
      </c>
      <c r="N64" s="180">
        <f t="array" ref="N64">IF($G64=0, INDEX(LS_previous!$D$4:$AY$138, MATCH('Staging Table'!$A64, LS_previous!$B$4:$B$138, 0), MATCH(N$4&amp;N$5, LS_previous!$D$2:$AY$2&amp;LS_previous!$D$3:$AY$3, 0)),SUM(VLOOKUP($A64, LS_previous!$B$4:$AY$138, LS_previous!F$149, FALSE), VLOOKUP('Staging Table'!$A64, LS_previous!$B$4:$AY$138,LS_previous!AD$149, FALSE))/2)</f>
        <v>-47.253463245884916</v>
      </c>
      <c r="O64" s="180">
        <f t="array" ref="O64">IF($G64=0, INDEX(LS_previous!$D$4:$AY$138, MATCH('Staging Table'!$A64, LS_previous!$B$4:$B$138, 0), MATCH(O$4&amp;O$5, LS_previous!$D$2:$AY$2&amp;LS_previous!$D$3:$AY$3, 0)),SUM(VLOOKUP($A64, LS_previous!$B$4:$AY$138, LS_previous!G$149, FALSE), VLOOKUP('Staging Table'!$A64, LS_previous!$B$4:$AY$138,LS_previous!AE$149, FALSE))/2)</f>
        <v>-0.1636685144277692</v>
      </c>
      <c r="P64" s="180">
        <f t="array" ref="P64">IF($G64=0, INDEX(LS_previous!$D$4:$AY$138, MATCH('Staging Table'!$A64, LS_previous!$B$4:$B$138, 0), MATCH(P$4&amp;P$5, LS_previous!$D$2:$AY$2&amp;LS_previous!$D$3:$AY$3, 0)),SUM(VLOOKUP($A64, LS_previous!$B$4:$AY$138, LS_previous!H$149, FALSE), VLOOKUP('Staging Table'!$A64, LS_previous!$B$4:$AY$138,LS_previous!AF$149, FALSE))/2)</f>
        <v>54.847937578283705</v>
      </c>
      <c r="Q64" s="180">
        <f t="array" ref="Q64">IF($G64=0, INDEX(LS_previous!$D$4:$AY$138, MATCH('Staging Table'!$A64, LS_previous!$B$4:$B$138, 0), MATCH(Q$4&amp;Q$5, LS_previous!$D$2:$AY$2&amp;LS_previous!$D$3:$AY$3, 0)),SUM(VLOOKUP($A64, LS_previous!$B$4:$AY$138, LS_previous!I$149, FALSE), VLOOKUP('Staging Table'!$A64, LS_previous!$B$4:$AY$138,LS_previous!AG$149, FALSE))/2)</f>
        <v>67.454753315133104</v>
      </c>
      <c r="R64" s="180">
        <f t="array" ref="R64">IF($G64=0, INDEX(LS_previous!$D$4:$AY$138, MATCH('Staging Table'!$A64, LS_previous!$B$4:$B$138, 0), MATCH(R$4&amp;R$5, LS_previous!$D$2:$AY$2&amp;LS_previous!$D$3:$AY$3, 0)),SUM(VLOOKUP($A64, LS_previous!$B$4:$AY$138, LS_previous!J$149, FALSE), VLOOKUP('Staging Table'!$A64, LS_previous!$B$4:$AY$138,LS_previous!AH$149, FALSE))/2)</f>
        <v>100.46857573046049</v>
      </c>
      <c r="S64" s="180">
        <f t="array" ref="S64">IF($G64=0, INDEX(LS_previous!$D$4:$AY$138, MATCH('Staging Table'!$A64, LS_previous!$B$4:$B$138, 0), MATCH(S$4&amp;S$5, LS_previous!$D$2:$AY$2&amp;LS_previous!$D$3:$AY$3, 0)),SUM(VLOOKUP($A64, LS_previous!$B$4:$AY$138, LS_previous!K$149, FALSE), VLOOKUP('Staging Table'!$A64, LS_previous!$B$4:$AY$138,LS_previous!AI$149, FALSE))/2)</f>
        <v>83.796067261136898</v>
      </c>
      <c r="T64" s="180">
        <f t="array" ref="T64">IF($G64=0, INDEX(LS_previous!$D$4:$AY$138, MATCH('Staging Table'!$A64, LS_previous!$B$4:$B$138, 0), MATCH(T$4&amp;T$5, LS_previous!$D$2:$AY$2&amp;LS_previous!$D$3:$AY$3, 0)),SUM(VLOOKUP($A64, LS_previous!$B$4:$AY$138, LS_previous!L$149, FALSE), VLOOKUP('Staging Table'!$A64, LS_previous!$B$4:$AY$138,LS_previous!AJ$149, FALSE))/2)</f>
        <v>76.256649264596632</v>
      </c>
      <c r="U64" s="180">
        <f t="array" ref="U64">IF($G64=0, INDEX(LS_previous!$D$4:$AY$138, MATCH('Staging Table'!$A64, LS_previous!$B$4:$B$138, 0), MATCH(U$4&amp;U$5, LS_previous!$D$2:$AY$2&amp;LS_previous!$D$3:$AY$3, 0)),SUM(VLOOKUP($A64, LS_previous!$B$4:$AY$138, LS_previous!M$149, FALSE), VLOOKUP('Staging Table'!$A64, LS_previous!$B$4:$AY$138,LS_previous!AK$149, FALSE))/2)</f>
        <v>57.74828436989371</v>
      </c>
      <c r="V64" s="180">
        <f t="array" ref="V64">IF($G64=0, INDEX(LS_previous!$D$4:$AY$138, MATCH('Staging Table'!$A64, LS_previous!$B$4:$B$138, 0), MATCH(V$4&amp;V$5, LS_previous!$D$2:$AY$2&amp;LS_previous!$D$3:$AY$3, 0)),SUM(VLOOKUP($A64, LS_previous!$B$4:$AY$138, LS_previous!N$149, FALSE), VLOOKUP('Staging Table'!$A64, LS_previous!$B$4:$AY$138,LS_previous!AL$149, FALSE))/2)</f>
        <v>-3.8070582441656597</v>
      </c>
      <c r="W64" s="180">
        <f t="array" ref="W64">IF($G64=0, INDEX(LS_previous!$D$4:$AY$138, MATCH('Staging Table'!$A64, LS_previous!$B$4:$B$138, 0), MATCH(W$4&amp;W$5, LS_previous!$D$2:$AY$2&amp;LS_previous!$D$3:$AY$3, 0)),SUM(VLOOKUP($A64, LS_previous!$B$4:$AY$138, LS_previous!O$149, FALSE), VLOOKUP('Staging Table'!$A64, LS_previous!$B$4:$AY$138,LS_previous!AM$149, FALSE))/2)</f>
        <v>33.003913515112799</v>
      </c>
      <c r="X64" s="180">
        <f t="array" ref="X64">IF($G64=0, INDEX(LS_previous!$D$4:$AY$138, MATCH('Staging Table'!$A64, LS_previous!$B$4:$B$138, 0), MATCH(X$4&amp;X$5, LS_previous!$D$2:$AY$2&amp;LS_previous!$D$3:$AY$3, 0)),SUM(VLOOKUP($A64, LS_previous!$B$4:$AY$138, LS_previous!P$149, FALSE), VLOOKUP('Staging Table'!$A64, LS_previous!$B$4:$AY$138,LS_previous!AN$149, FALSE))/2)</f>
        <v>16.839881185674329</v>
      </c>
      <c r="Y64" s="180">
        <f t="array" ref="Y64">IF($G64=0, INDEX(LS_previous!$D$4:$AY$138, MATCH('Staging Table'!$A64, LS_previous!$B$4:$B$138, 0), MATCH(Y$4&amp;Y$5, LS_previous!$D$2:$AY$2&amp;LS_previous!$D$3:$AY$3, 0)),SUM(VLOOKUP($A64, LS_previous!$B$4:$AY$138, LS_previous!Q$149, FALSE), VLOOKUP('Staging Table'!$A64, LS_previous!$B$4:$AY$138,LS_previous!AO$149, FALSE))/2)</f>
        <v>26.753120894860402</v>
      </c>
      <c r="Z64" s="180">
        <f t="array" ref="Z64">IF($G64=0, INDEX(LS_previous!$D$4:$AY$138, MATCH('Staging Table'!$A64, LS_previous!$B$4:$B$138, 0), MATCH(Z$4&amp;Z$5, LS_previous!$D$2:$AY$2&amp;LS_previous!$D$3:$AY$3, 0)),SUM(VLOOKUP($A64, LS_previous!$B$4:$AY$138, LS_previous!R$149, FALSE), VLOOKUP('Staging Table'!$A64, LS_previous!$B$4:$AY$138,LS_previous!AP$149, FALSE))/2)</f>
        <v>-76.870954602498074</v>
      </c>
      <c r="AA64" s="180">
        <f t="array" ref="AA64">IF($G64=0, INDEX(LS_previous!$D$4:$AY$138, MATCH('Staging Table'!$A64, LS_previous!$B$4:$B$138, 0), MATCH(AA$4&amp;AA$5, LS_previous!$D$2:$AY$2&amp;LS_previous!$D$3:$AY$3, 0)),SUM(VLOOKUP($A64, LS_previous!$B$4:$AY$138, LS_previous!S$149, FALSE), VLOOKUP('Staging Table'!$A64, LS_previous!$B$4:$AY$138,LS_previous!AQ$149, FALSE))/2)</f>
        <v>1.2450866325971077</v>
      </c>
      <c r="AB64" s="180">
        <f t="array" ref="AB64">IF($G64=0, INDEX(LS_previous!$D$4:$AY$138, MATCH('Staging Table'!$A64, LS_previous!$B$4:$B$138, 0), MATCH(AB$4&amp;AB$5, LS_previous!$D$2:$AY$2&amp;LS_previous!$D$3:$AY$3, 0)),SUM(VLOOKUP($A64, LS_previous!$B$4:$AY$138, LS_previous!T$149, FALSE), VLOOKUP('Staging Table'!$A64, LS_previous!$B$4:$AY$138,LS_previous!AR$149, FALSE))/2)</f>
        <v>-96.147583147727801</v>
      </c>
      <c r="AC64" s="180">
        <f t="array" ref="AC64">IF($G64=0, INDEX(LS_previous!$D$4:$AY$138, MATCH('Staging Table'!$A64, LS_previous!$B$4:$B$138, 0), MATCH(AC$4&amp;AC$5, LS_previous!$D$2:$AY$2&amp;LS_previous!$D$3:$AY$3, 0)),SUM(VLOOKUP($A64, LS_previous!$B$4:$AY$138, LS_previous!U$149, FALSE), VLOOKUP('Staging Table'!$A64, LS_previous!$B$4:$AY$138,LS_previous!AS$149, FALSE))/2)</f>
        <v>11.549524456158508</v>
      </c>
      <c r="AD64" s="180">
        <f t="array" ref="AD64">IF($G64=0, INDEX(LS_previous!$D$4:$AY$138, MATCH('Staging Table'!$A64, LS_previous!$B$4:$B$138, 0), MATCH(AD$4&amp;AD$5, LS_previous!$D$2:$AY$2&amp;LS_previous!$D$3:$AY$3, 0)),SUM(VLOOKUP($A64, LS_previous!$B$4:$AY$138, LS_previous!V$149, FALSE), VLOOKUP('Staging Table'!$A64, LS_previous!$B$4:$AY$138,LS_previous!AT$149, FALSE))/2)</f>
        <v>-45.490362463923475</v>
      </c>
      <c r="AE64" s="180">
        <f t="array" ref="AE64">IF($G64=0, INDEX(LS_previous!$D$4:$AY$138, MATCH('Staging Table'!$A64, LS_previous!$B$4:$B$138, 0), MATCH(AE$4&amp;AE$5, LS_previous!$D$2:$AY$2&amp;LS_previous!$D$3:$AY$3, 0)),SUM(VLOOKUP($A64, LS_previous!$B$4:$AY$138, LS_previous!W$149, FALSE), VLOOKUP('Staging Table'!$A64, LS_previous!$B$4:$AY$138,LS_previous!AU$149, FALSE))/2)</f>
        <v>4.0040760888230125</v>
      </c>
      <c r="AF64" s="180">
        <f t="array" ref="AF64">IF($G64=0, INDEX(LS_previous!$D$4:$AY$138, MATCH('Staging Table'!$A64, LS_previous!$B$4:$B$138, 0), MATCH(AF$4&amp;AF$5, LS_previous!$D$2:$AY$2&amp;LS_previous!$D$3:$AY$3, 0)),SUM(VLOOKUP($A64, LS_previous!$B$4:$AY$138, LS_previous!X$149, FALSE), VLOOKUP('Staging Table'!$A64, LS_previous!$B$4:$AY$138,LS_previous!AV$149, FALSE))/2)</f>
        <v>-51.093607235265068</v>
      </c>
      <c r="AG64" s="180">
        <f t="array" ref="AG64">IF($G64=0, INDEX(LS_previous!$D$4:$AY$138, MATCH('Staging Table'!$A64, LS_previous!$B$4:$B$138, 0), MATCH(AG$4&amp;AG$5, LS_previous!$D$2:$AY$2&amp;LS_previous!$D$3:$AY$3, 0)),SUM(VLOOKUP($A64, LS_previous!$B$4:$AY$138, LS_previous!Y$149, FALSE), VLOOKUP('Staging Table'!$A64, LS_previous!$B$4:$AY$138,LS_previous!AW$149, FALSE))/2)</f>
        <v>-8.4416047532407816</v>
      </c>
      <c r="AH64" s="180">
        <f t="array" ref="AH64">IF($G64=0, INDEX(LS_previous!$D$4:$AY$138, MATCH('Staging Table'!$A64, LS_previous!$B$4:$B$138, 0), MATCH(AH$4&amp;AH$5, LS_previous!$D$2:$AY$2&amp;LS_previous!$D$3:$AY$3, 0)),SUM(VLOOKUP($A64, LS_previous!$B$4:$AY$138, LS_previous!Z$149, FALSE), VLOOKUP('Staging Table'!$A64, LS_previous!$B$4:$AY$138,LS_previous!AX$149, FALSE))/2)</f>
        <v>-63.135382553439911</v>
      </c>
      <c r="AI64" s="180">
        <f t="array" ref="AI64">IF($G64=0, INDEX(LS_previous!$D$4:$AY$138, MATCH('Staging Table'!$A64, LS_previous!$B$4:$B$138, 0), MATCH(AI$4&amp;AI$5, LS_previous!$D$2:$AY$2&amp;LS_previous!$D$3:$AY$3, 0)),SUM(VLOOKUP($A64, LS_previous!$B$4:$AY$138, LS_previous!AA$149, FALSE), VLOOKUP('Staging Table'!$A64, LS_previous!$B$4:$AY$138,LS_previous!AY$149, FALSE))/2)</f>
        <v>-8.1074428948420802</v>
      </c>
      <c r="AJ64" s="298">
        <f t="array" ref="AJ64">INDEX(Demand_previous!$D$4:$AY$138, MATCH('Staging Table'!$A64, Demand_previous!$B$4:$B$138, 0), MATCH(AJ$4&amp;AJ$5,Demand_previous!$D$2:$AY$2&amp;Demand_previous!$D$3:$AY$3, 0))/1000</f>
        <v>5.9608173076923038E-2</v>
      </c>
      <c r="AK64" s="298">
        <f t="array" ref="AK64">INDEX(Demand_previous!$D$4:$AY$138, MATCH('Staging Table'!$A64, Demand_previous!$B$4:$B$138, 0), MATCH(AK$4&amp;AK$5,Demand_previous!$D$2:$AY$2&amp;Demand_previous!$D$3:$AY$3, 0))/1000</f>
        <v>0</v>
      </c>
      <c r="AL64" s="298">
        <f t="array" ref="AL64">INDEX(Demand_previous!$D$4:$AY$138, MATCH('Staging Table'!$A64, Demand_previous!$B$4:$B$138, 0), MATCH(AL$4&amp;AL$5,Demand_previous!$D$2:$AY$2&amp;Demand_previous!$D$3:$AY$3, 0))/1000</f>
        <v>0.16572596153846147</v>
      </c>
      <c r="AM64" s="298">
        <f t="array" ref="AM64">INDEX(Demand_previous!$D$4:$AY$138, MATCH('Staging Table'!$A64, Demand_previous!$B$4:$B$138, 0), MATCH(AM$4&amp;AM$5,Demand_previous!$D$2:$AY$2&amp;Demand_previous!$D$3:$AY$3, 0))/1000</f>
        <v>0.12186999999999998</v>
      </c>
      <c r="AN64" s="298">
        <f t="array" ref="AN64">INDEX(Demand_previous!$D$4:$AY$138, MATCH('Staging Table'!$A64, Demand_previous!$B$4:$B$138, 0), MATCH(AN$4&amp;AN$5,Demand_previous!$D$2:$AY$2&amp;Demand_previous!$D$3:$AY$3, 0))/1000</f>
        <v>3.6328124999999993E-3</v>
      </c>
      <c r="AO64" s="298">
        <f t="array" ref="AO64">INDEX(Demand_previous!$D$4:$AY$138, MATCH('Staging Table'!$A64, Demand_previous!$B$4:$B$138, 0), MATCH(AO$4&amp;AO$5,Demand_previous!$D$2:$AY$2&amp;Demand_previous!$D$3:$AY$3, 0))/1000</f>
        <v>6.4543981481481466E-2</v>
      </c>
      <c r="AP64" s="298">
        <f t="array" ref="AP64">INDEX(Demand_previous!$D$4:$AY$138, MATCH('Staging Table'!$A64, Demand_previous!$B$4:$B$138, 0), MATCH(AP$4&amp;AP$5,Demand_previous!$D$2:$AY$2&amp;Demand_previous!$D$3:$AY$3, 0))/1000</f>
        <v>8.28605769230778E-3</v>
      </c>
      <c r="AQ64" s="298">
        <f t="array" ref="AQ64">INDEX(Demand_previous!$D$4:$AY$138, MATCH('Staging Table'!$A64, Demand_previous!$B$4:$B$138, 0), MATCH(AQ$4&amp;AQ$5,Demand_previous!$D$2:$AY$2&amp;Demand_previous!$D$3:$AY$3, 0))/1000</f>
        <v>0</v>
      </c>
      <c r="AR64" s="298">
        <f t="array" ref="AR64">INDEX(Demand_previous!$D$4:$AY$138, MATCH('Staging Table'!$A64, Demand_previous!$B$4:$B$138, 0), MATCH(AR$4&amp;AR$5,Demand_previous!$D$2:$AY$2&amp;Demand_previous!$D$3:$AY$3, 0))/1000</f>
        <v>5.8862980769230785E-2</v>
      </c>
      <c r="AS64" s="298">
        <f t="array" ref="AS64">INDEX(Demand_previous!$D$4:$AY$138, MATCH('Staging Table'!$A64, Demand_previous!$B$4:$B$138, 0), MATCH(AS$4&amp;AS$5,Demand_previous!$D$2:$AY$2&amp;Demand_previous!$D$3:$AY$3, 0))/1000</f>
        <v>4.5174999999999382E-3</v>
      </c>
      <c r="AT64" s="298">
        <f t="array" ref="AT64">INDEX(Demand_previous!$D$4:$AY$138, MATCH('Staging Table'!$A64, Demand_previous!$B$4:$B$138, 0), MATCH(AT$4&amp;AT$5,Demand_previous!$D$2:$AY$2&amp;Demand_previous!$D$3:$AY$3, 0))/1000</f>
        <v>6.9814814814814228E-3</v>
      </c>
      <c r="AU64" s="298">
        <f t="array" ref="AU64">INDEX(Demand_previous!$D$4:$AY$138, MATCH('Staging Table'!$A64, Demand_previous!$B$4:$B$138, 0), MATCH(AU$4&amp;AU$5,Demand_previous!$D$2:$AY$2&amp;Demand_previous!$D$3:$AY$3, 0))/1000</f>
        <v>0</v>
      </c>
      <c r="AV64" s="180">
        <f>$F64*(VLOOKUP(AV$4, Rates_previous!$G$6:$Q$29, 10, FALSE)+VLOOKUP(AV$4, Rates_previous!$G$6:$Q$29, 11, FALSE))</f>
        <v>326.97177341078338</v>
      </c>
      <c r="AW64" s="180">
        <f>$F64*(VLOOKUP(AW$4, Rates_previous!$G$6:$Q$29, 10, FALSE)+VLOOKUP(AW$4, Rates_previous!$G$6:$Q$29, 11, FALSE))</f>
        <v>413.95813176031271</v>
      </c>
      <c r="AX64" s="180">
        <f>$F64*(VLOOKUP(AX$4, Rates_previous!$G$6:$Q$29, 10, FALSE)+VLOOKUP(AX$4, Rates_previous!$G$6:$Q$29, 11, FALSE))</f>
        <v>405.18230910658326</v>
      </c>
      <c r="AY64" s="180">
        <f>$F64*(VLOOKUP(AY$4, Rates_previous!$G$6:$Q$29, 10, FALSE)+VLOOKUP(AY$4, Rates_previous!$G$6:$Q$29, 11, FALSE))</f>
        <v>334.66335700840256</v>
      </c>
      <c r="AZ64" s="180">
        <f>$F64*(VLOOKUP(AZ$4, Rates_previous!$G$6:$Q$29, 10, FALSE)+VLOOKUP(AZ$4, Rates_previous!$G$6:$Q$29, 11, FALSE))</f>
        <v>290.06006636550967</v>
      </c>
      <c r="BA64" s="180">
        <f>$F64*(VLOOKUP(BA$4, Rates_previous!$G$6:$Q$29, 10, FALSE)+VLOOKUP(BA$4, Rates_previous!$G$6:$Q$29, 11, FALSE))</f>
        <v>346.27314472905289</v>
      </c>
      <c r="BB64" s="180">
        <f>$F64*(VLOOKUP(BB$4, Rates_previous!$G$6:$Q$29, 10, FALSE)+VLOOKUP(BB$4, Rates_previous!$G$6:$Q$29, 11, FALSE))</f>
        <v>268.83499791946531</v>
      </c>
      <c r="BC64" s="180">
        <f>$F64*(VLOOKUP(BC$4, Rates_previous!$G$6:$Q$29, 10, FALSE)+VLOOKUP(BC$4, Rates_previous!$G$6:$Q$29, 11, FALSE))</f>
        <v>372.47286796990096</v>
      </c>
      <c r="BD64" s="180">
        <f>$F64*(VLOOKUP(BD$4, Rates_previous!$G$6:$Q$29, 10, FALSE)+VLOOKUP(BD$4, Rates_previous!$G$6:$Q$29, 11, FALSE))</f>
        <v>397.99505869156928</v>
      </c>
      <c r="BE64" s="180">
        <f>$F64*(VLOOKUP(BE$4, Rates_previous!$G$6:$Q$29, 10, FALSE)+VLOOKUP(BE$4, Rates_previous!$G$6:$Q$29, 11, FALSE))</f>
        <v>377.87828637510052</v>
      </c>
      <c r="BF64" s="180">
        <f>$F64*(VLOOKUP(BF$4, Rates_previous!$G$6:$Q$29, 10, FALSE)+VLOOKUP(BF$4, Rates_previous!$G$6:$Q$29, 11, FALSE))</f>
        <v>365.19021198850584</v>
      </c>
      <c r="BG64" s="180">
        <f>$F64*(VLOOKUP(BG$4, Rates_previous!$G$6:$Q$29, 10, FALSE)+VLOOKUP(BG$4, Rates_previous!$G$6:$Q$29, 11, FALSE))</f>
        <v>337.47382544828201</v>
      </c>
      <c r="BH64" s="298">
        <f>IF($D64=0,IF(C64=0, MAX(BJ64 - (VLOOKUP($A64,TOCA_previous!$A$2:$AI$137,MATCH("RHWM 2022",TOCA_previous!$A$2:$AI$2,0),FALSE)*$F$2*TOCA_previous!C61),0),0), 0)</f>
        <v>115.0102167385312</v>
      </c>
      <c r="BI64" s="192">
        <f>MIN(VLOOKUP($A64,TOCA_previous!$A$2:$AI$137,MATCH("TRL - NLSL - Existing Resource "&amp;$F$1,TOCA_previous!$A$2:$AI$2,0),FALSE)*$F$2,(VLOOKUP($A64,TOCA_previous!$A$2:$AI$137,MATCH("RHWM 2022",TOCA_previous!$A$2:$AI$2,0),FALSE)*$F$2))</f>
        <v>4239.84</v>
      </c>
      <c r="BJ64" s="402">
        <f>SUM(L64:AI64)+(F64*RT1SC!$C$3*$F$2)</f>
        <v>4354.8502167385313</v>
      </c>
      <c r="BK64" s="401">
        <f>VLOOKUP($A64,TOCA_previous!$A$2:$AI$137,MATCH("Above RHWM Not Served with LS "&amp;$F$1,TOCA_previous!$A$2:$AI$2,0),FALSE)*$F$2</f>
        <v>0</v>
      </c>
      <c r="BL64" s="402">
        <f t="shared" si="8"/>
        <v>115.0102167385312</v>
      </c>
      <c r="BM64" s="401">
        <f>(VLOOKUP($A64,TOCA_previous!$A$2:$AI$137,MATCH("RHWM 2022",TOCA_previous!$A$2:$AI$2,0),FALSE)*$F$2) - $BI64</f>
        <v>0</v>
      </c>
      <c r="BN64" s="402">
        <f t="shared" si="9"/>
        <v>0</v>
      </c>
      <c r="BO64" s="401">
        <f t="shared" si="10"/>
        <v>0</v>
      </c>
      <c r="BP64" s="402">
        <f t="shared" si="11"/>
        <v>0</v>
      </c>
      <c r="BQ64" s="401">
        <f t="shared" si="18"/>
        <v>0</v>
      </c>
      <c r="BR64" s="108">
        <f>VLOOKUP($A64,TOCA_current!$A$2:$AI$137,MATCH(BR$4,TOCA_current!$A$2:$AI$2,0),FALSE)</f>
        <v>7.0199999999999999E-5</v>
      </c>
      <c r="BS64" s="108">
        <f>VLOOKUP($A64,TOCA_current!$A$2:$AI$137,MATCH(BS$4,TOCA_current!$A$2:$AI$2,0),FALSE)</f>
        <v>7.0199999999999999E-5</v>
      </c>
      <c r="BT64" s="189">
        <f t="shared" si="12"/>
        <v>0</v>
      </c>
      <c r="BU64" s="108">
        <f>VLOOKUP($A64,TOCA_current!A60:BG195,MATCH(BU$4,TOCA_current!$A$2:$BG$2,0),FALSE)</f>
        <v>0</v>
      </c>
      <c r="BV64" s="108">
        <f t="shared" si="19"/>
        <v>0</v>
      </c>
      <c r="BW64" s="108">
        <f t="shared" si="20"/>
        <v>0</v>
      </c>
      <c r="BX64" s="179">
        <f>VLOOKUP($A64,IRD!$A$4:$G$139, 7, FALSE)</f>
        <v>0</v>
      </c>
      <c r="BY64" s="180">
        <f t="array" ref="BY64">IF($BT64=0, INDEX(LS_current!$D$4:$AY$138, MATCH('Staging Table'!$A64, LS_current!$B$4:$B$138, 0), MATCH(BY$4&amp;BY$5, LS_current!$D$2:$AY$2&amp;LS_current!$D$3:$AY$3, 0)),SUM(VLOOKUP($A64, LS_current!$B$4:$AY$138, LS_current!D$148, FALSE), VLOOKUP($A64, LS_current!$B$4:$AY$138,LS_current!AB$148, FALSE))/2)</f>
        <v>-1.8025713272000417</v>
      </c>
      <c r="BZ64" s="180">
        <f t="array" ref="BZ64">IF($BT64=0, INDEX(LS_current!$D$4:$AY$138, MATCH('Staging Table'!$A64, LS_current!$B$4:$B$138, 0), MATCH(BZ$4&amp;BZ$5, LS_current!$D$2:$AY$2&amp;LS_current!$D$3:$AY$3, 0)),SUM(VLOOKUP($A64, LS_current!$B$4:$AY$138, LS_current!E$148, FALSE), VLOOKUP($A64, LS_current!$B$4:$AY$138,LS_current!AC$148, FALSE))/2)</f>
        <v>17.053547269900022</v>
      </c>
      <c r="CA64" s="180">
        <f t="array" ref="CA64">IF($BT64=0, INDEX(LS_current!$D$4:$AY$138, MATCH('Staging Table'!$A64, LS_current!$B$4:$B$138, 0), MATCH(CA$4&amp;CA$5, LS_current!$D$2:$AY$2&amp;LS_current!$D$3:$AY$3, 0)),SUM(VLOOKUP($A64, LS_current!$B$4:$AY$138, LS_current!F$148, FALSE), VLOOKUP($A64, LS_current!$B$4:$AY$138,LS_current!AD$148, FALSE))/2)</f>
        <v>-22.396010425600025</v>
      </c>
      <c r="CB64" s="180">
        <f t="array" ref="CB64">IF($BT64=0, INDEX(LS_current!$D$4:$AY$138, MATCH('Staging Table'!$A64, LS_current!$B$4:$B$138, 0), MATCH(CB$4&amp;CB$5, LS_current!$D$2:$AY$2&amp;LS_current!$D$3:$AY$3, 0)),SUM(VLOOKUP($A64, LS_current!$B$4:$AY$138, LS_current!G$148, FALSE), VLOOKUP($A64, LS_current!$B$4:$AY$138,LS_current!AE$148, FALSE))/2)</f>
        <v>11.235320103800007</v>
      </c>
      <c r="CC64" s="180">
        <f t="array" ref="CC64">IF($BT64=0, INDEX(LS_current!$D$4:$AY$138, MATCH('Staging Table'!$A64, LS_current!$B$4:$B$138, 0), MATCH(CC$4&amp;CC$5, LS_current!$D$2:$AY$2&amp;LS_current!$D$3:$AY$3, 0)),SUM(VLOOKUP($A64, LS_current!$B$4:$AY$138, LS_current!H$148, FALSE), VLOOKUP($A64, LS_current!$B$4:$AY$138,LS_current!AF$148, FALSE))/2)</f>
        <v>39.183901122200012</v>
      </c>
      <c r="CD64" s="180">
        <f t="array" ref="CD64">IF($BT64=0, INDEX(LS_current!$D$4:$AY$138, MATCH('Staging Table'!$A64, LS_current!$B$4:$B$138, 0), MATCH(CD$4&amp;CD$5, LS_current!$D$2:$AY$2&amp;LS_current!$D$3:$AY$3, 0)),SUM(VLOOKUP($A64, LS_current!$B$4:$AY$138, LS_current!I$148, FALSE), VLOOKUP($A64, LS_current!$B$4:$AY$138,LS_current!AG$148, FALSE))/2)</f>
        <v>80.686242540800009</v>
      </c>
      <c r="CE64" s="180">
        <f t="array" ref="CE64">IF($BT64=0, INDEX(LS_current!$D$4:$AY$138, MATCH('Staging Table'!$A64, LS_current!$B$4:$B$138, 0), MATCH(CE$4&amp;CE$5, LS_current!$D$2:$AY$2&amp;LS_current!$D$3:$AY$3, 0)),SUM(VLOOKUP($A64, LS_current!$B$4:$AY$138, LS_current!J$148, FALSE), VLOOKUP($A64, LS_current!$B$4:$AY$138,LS_current!AH$148, FALSE))/2)</f>
        <v>28.606441606999965</v>
      </c>
      <c r="CF64" s="180">
        <f t="array" ref="CF64">IF($BT64=0, INDEX(LS_current!$D$4:$AY$138, MATCH('Staging Table'!$A64, LS_current!$B$4:$B$138, 0), MATCH(CF$4&amp;CF$5, LS_current!$D$2:$AY$2&amp;LS_current!$D$3:$AY$3, 0)),SUM(VLOOKUP($A64, LS_current!$B$4:$AY$138, LS_current!K$148, FALSE), VLOOKUP($A64, LS_current!$B$4:$AY$138,LS_current!AI$148, FALSE))/2)</f>
        <v>66.746710364199998</v>
      </c>
      <c r="CG64" s="180">
        <f t="array" ref="CG64">IF($BT64=0, INDEX(LS_current!$D$4:$AY$138, MATCH('Staging Table'!$A64, LS_current!$B$4:$B$138, 0), MATCH(CG$4&amp;CG$5, LS_current!$D$2:$AY$2&amp;LS_current!$D$3:$AY$3, 0)),SUM(VLOOKUP($A64, LS_current!$B$4:$AY$138, LS_current!L$148, FALSE), VLOOKUP($A64, LS_current!$B$4:$AY$138,LS_current!AJ$148, FALSE))/2)</f>
        <v>13.089289294200029</v>
      </c>
      <c r="CH64" s="180">
        <f t="array" ref="CH64">IF($BT64=0, INDEX(LS_current!$D$4:$AY$138, MATCH('Staging Table'!$A64, LS_current!$B$4:$B$138, 0), MATCH(CH$4&amp;CH$5, LS_current!$D$2:$AY$2&amp;LS_current!$D$3:$AY$3, 0)),SUM(VLOOKUP($A64, LS_current!$B$4:$AY$138, LS_current!M$148, FALSE), VLOOKUP($A64, LS_current!$B$4:$AY$138,LS_current!AK$148, FALSE))/2)</f>
        <v>46.644882478200003</v>
      </c>
      <c r="CI64" s="180">
        <f t="array" ref="CI64">IF($BT64=0, INDEX(LS_current!$D$4:$AY$138, MATCH('Staging Table'!$A64, LS_current!$B$4:$B$138, 0), MATCH(CI$4&amp;CI$5, LS_current!$D$2:$AY$2&amp;LS_current!$D$3:$AY$3, 0)),SUM(VLOOKUP($A64, LS_current!$B$4:$AY$138, LS_current!N$148, FALSE), VLOOKUP($A64, LS_current!$B$4:$AY$138,LS_current!AL$148, FALSE))/2)</f>
        <v>-33.331321732599974</v>
      </c>
      <c r="CJ64" s="180">
        <f t="array" ref="CJ64">IF($BT64=0, INDEX(LS_current!$D$4:$AY$138, MATCH('Staging Table'!$A64, LS_current!$B$4:$B$138, 0), MATCH(CJ$4&amp;CJ$5, LS_current!$D$2:$AY$2&amp;LS_current!$D$3:$AY$3, 0)),SUM(VLOOKUP($A64, LS_current!$B$4:$AY$138, LS_current!O$148, FALSE), VLOOKUP($A64, LS_current!$B$4:$AY$138,LS_current!AM$148, FALSE))/2)</f>
        <v>11.024191184399996</v>
      </c>
      <c r="CK64" s="180">
        <f t="array" ref="CK64">IF($BT64=0, INDEX(LS_current!$D$4:$AY$138, MATCH('Staging Table'!$A64, LS_current!$B$4:$B$138, 0), MATCH(CK$4&amp;CK$5, LS_current!$D$2:$AY$2&amp;LS_current!$D$3:$AY$3, 0)),SUM(VLOOKUP($A64, LS_current!$B$4:$AY$138, LS_current!P$148, FALSE), VLOOKUP($A64, LS_current!$B$4:$AY$138,LS_current!AN$148, FALSE))/2)</f>
        <v>-8.6080259805000026</v>
      </c>
      <c r="CL64" s="180">
        <f t="array" ref="CL64">IF($BT64=0, INDEX(LS_current!$D$4:$AY$138, MATCH('Staging Table'!$A64, LS_current!$B$4:$B$138, 0), MATCH(CL$4&amp;CL$5, LS_current!$D$2:$AY$2&amp;LS_current!$D$3:$AY$3, 0)),SUM(VLOOKUP($A64, LS_current!$B$4:$AY$138, LS_current!Q$148, FALSE), VLOOKUP($A64, LS_current!$B$4:$AY$138,LS_current!AO$148, FALSE))/2)</f>
        <v>7.0580149851500238</v>
      </c>
      <c r="CM64" s="180">
        <f t="array" ref="CM64">IF($BT64=0, INDEX(LS_current!$D$4:$AY$138, MATCH('Staging Table'!$A64, LS_current!$B$4:$B$138, 0), MATCH(CM$4&amp;CM$5, LS_current!$D$2:$AY$2&amp;LS_current!$D$3:$AY$3, 0)),SUM(VLOOKUP($A64, LS_current!$B$4:$AY$138, LS_current!R$148, FALSE), VLOOKUP($A64, LS_current!$B$4:$AY$138,LS_current!AP$148, FALSE))/2)</f>
        <v>-62.580542729600012</v>
      </c>
      <c r="CN64" s="180">
        <f t="array" ref="CN64">IF($BT64=0, INDEX(LS_current!$D$4:$AY$138, MATCH('Staging Table'!$A64, LS_current!$B$4:$B$138, 0), MATCH(CN$4&amp;CN$5, LS_current!$D$2:$AY$2&amp;LS_current!$D$3:$AY$3, 0)),SUM(VLOOKUP($A64, LS_current!$B$4:$AY$138, LS_current!S$148, FALSE), VLOOKUP($A64, LS_current!$B$4:$AY$138,LS_current!AQ$148, FALSE))/2)</f>
        <v>-30.10425492669998</v>
      </c>
      <c r="CO64" s="180">
        <f t="array" ref="CO64">IF($BT64=0, INDEX(LS_current!$D$4:$AY$138, MATCH('Staging Table'!$A64, LS_current!$B$4:$B$138, 0), MATCH(CO$4&amp;CO$5, LS_current!$D$2:$AY$2&amp;LS_current!$D$3:$AY$3, 0)),SUM(VLOOKUP($A64, LS_current!$B$4:$AY$138, LS_current!T$148, FALSE), VLOOKUP($A64, LS_current!$B$4:$AY$138,LS_current!AR$148, FALSE))/2)</f>
        <v>-62.239556405200005</v>
      </c>
      <c r="CP64" s="180">
        <f t="array" ref="CP64">IF($BT64=0, INDEX(LS_current!$D$4:$AY$138, MATCH('Staging Table'!$A64, LS_current!$B$4:$B$138, 0), MATCH(CP$4&amp;CP$5, LS_current!$D$2:$AY$2&amp;LS_current!$D$3:$AY$3, 0)),SUM(VLOOKUP($A64, LS_current!$B$4:$AY$138, LS_current!U$148, FALSE), VLOOKUP($A64, LS_current!$B$4:$AY$138,LS_current!AS$148, FALSE))/2)</f>
        <v>-22.347108825900008</v>
      </c>
      <c r="CQ64" s="180">
        <f t="array" ref="CQ64">IF($BT64=0, INDEX(LS_current!$D$4:$AY$138, MATCH('Staging Table'!$A64, LS_current!$B$4:$B$138, 0), MATCH(CQ$4&amp;CQ$5, LS_current!$D$2:$AY$2&amp;LS_current!$D$3:$AY$3, 0)),SUM(VLOOKUP($A64, LS_current!$B$4:$AY$138, LS_current!V$148, FALSE), VLOOKUP($A64, LS_current!$B$4:$AY$138,LS_current!AT$148, FALSE))/2)</f>
        <v>-9.1126298327999677</v>
      </c>
      <c r="CR64" s="180">
        <f t="array" ref="CR64">IF($BT64=0, INDEX(LS_current!$D$4:$AY$138, MATCH('Staging Table'!$A64, LS_current!$B$4:$B$138, 0), MATCH(CR$4&amp;CR$5, LS_current!$D$2:$AY$2&amp;LS_current!$D$3:$AY$3, 0)),SUM(VLOOKUP($A64, LS_current!$B$4:$AY$138, LS_current!W$148, FALSE), VLOOKUP($A64, LS_current!$B$4:$AY$138,LS_current!AU$148, FALSE))/2)</f>
        <v>-2.5284504999945057E-3</v>
      </c>
      <c r="CS64" s="180">
        <f t="array" ref="CS64">IF($BT64=0, INDEX(LS_current!$D$4:$AY$138, MATCH('Staging Table'!$A64, LS_current!$B$4:$B$138, 0), MATCH(CS$4&amp;CS$5, LS_current!$D$2:$AY$2&amp;LS_current!$D$3:$AY$3, 0)),SUM(VLOOKUP($A64, LS_current!$B$4:$AY$138, LS_current!X$148, FALSE), VLOOKUP($A64, LS_current!$B$4:$AY$138,LS_current!AV$148, FALSE))/2)</f>
        <v>-17.043970039300007</v>
      </c>
      <c r="CT64" s="180">
        <f t="array" ref="CT64">IF($BT64=0, INDEX(LS_current!$D$4:$AY$138, MATCH('Staging Table'!$A64, LS_current!$B$4:$B$138, 0), MATCH(CT$4&amp;CT$5, LS_current!$D$2:$AY$2&amp;LS_current!$D$3:$AY$3, 0)),SUM(VLOOKUP($A64, LS_current!$B$4:$AY$138, LS_current!Y$148, FALSE), VLOOKUP($A64, LS_current!$B$4:$AY$138,LS_current!AW$148, FALSE))/2)</f>
        <v>-11.314613205469996</v>
      </c>
      <c r="CU64" s="180">
        <f t="array" ref="CU64">IF($BT64=0, INDEX(LS_current!$D$4:$AY$138, MATCH('Staging Table'!$A64, LS_current!$B$4:$B$138, 0), MATCH(CU$4&amp;CU$5, LS_current!$D$2:$AY$2&amp;LS_current!$D$3:$AY$3, 0)),SUM(VLOOKUP($A64, LS_current!$B$4:$AY$138, LS_current!Z$148, FALSE), VLOOKUP($A64, LS_current!$B$4:$AY$138,LS_current!AX$148, FALSE))/2)</f>
        <v>-31.326666834800022</v>
      </c>
      <c r="CV64" s="180">
        <f t="array" ref="CV64">IF($BT64=0, INDEX(LS_current!$D$4:$AY$138, MATCH('Staging Table'!$A64, LS_current!$B$4:$B$138, 0), MATCH(CV$4&amp;CV$5, LS_current!$D$2:$AY$2&amp;LS_current!$D$3:$AY$3, 0)),SUM(VLOOKUP($A64, LS_current!$B$4:$AY$138, LS_current!AA$148, FALSE), VLOOKUP($A64, LS_current!$B$4:$AY$138,LS_current!AY$148, FALSE))/2)</f>
        <v>-9.7995111008000038</v>
      </c>
      <c r="CW64" s="182">
        <f t="array" ref="CW64">INDEX(Demand_current!$D$4:$AY$138, MATCH($A64, Demand_current!$B$4:$B$138, 0), MATCH(CW$4&amp;CW$5,Demand_current!$D$2:$AY$2&amp;Demand_current!$D$3:$AY$3, 0))/1000</f>
        <v>5.9608173076923038E-2</v>
      </c>
      <c r="CX64" s="182">
        <f t="array" ref="CX64">INDEX(Demand_current!$D$4:$AY$138, MATCH($A64, Demand_current!$B$4:$B$138, 0), MATCH(CX$4&amp;CX$5,Demand_current!$D$2:$AY$2&amp;Demand_current!$D$3:$AY$3, 0))/1000</f>
        <v>0</v>
      </c>
      <c r="CY64" s="182">
        <f t="array" ref="CY64">INDEX(Demand_current!$D$4:$AY$138, MATCH($A64, Demand_current!$B$4:$B$138, 0), MATCH(CY$4&amp;CY$5,Demand_current!$D$2:$AY$2&amp;Demand_current!$D$3:$AY$3, 0))/1000</f>
        <v>0.1381949999999999</v>
      </c>
      <c r="CZ64" s="182">
        <f t="array" ref="CZ64">INDEX(Demand_current!$D$4:$AY$138, MATCH($A64, Demand_current!$B$4:$B$138, 0), MATCH(CZ$4&amp;CZ$5,Demand_current!$D$2:$AY$2&amp;Demand_current!$D$3:$AY$3, 0))/1000</f>
        <v>0.14983653846153849</v>
      </c>
      <c r="DA64" s="182">
        <f t="array" ref="DA64">INDEX(Demand_current!$D$4:$AY$138, MATCH($A64, Demand_current!$B$4:$B$138, 0), MATCH(DA$4&amp;DA$5,Demand_current!$D$2:$AY$2&amp;Demand_current!$D$3:$AY$3, 0))/1000</f>
        <v>2.9127499999999945E-2</v>
      </c>
      <c r="DB64" s="182">
        <f t="array" ref="DB64">INDEX(Demand_current!$D$4:$AY$138, MATCH($A64, Demand_current!$B$4:$B$138, 0), MATCH(DB$4&amp;DB$5,Demand_current!$D$2:$AY$2&amp;Demand_current!$D$3:$AY$3, 0))/1000</f>
        <v>4.5949519230769259E-2</v>
      </c>
      <c r="DC64" s="182">
        <f t="array" ref="DC64">INDEX(Demand_current!$D$4:$AY$138, MATCH($A64, Demand_current!$B$4:$B$138, 0), MATCH(DC$4&amp;DC$5,Demand_current!$D$2:$AY$2&amp;Demand_current!$D$3:$AY$3, 0))/1000</f>
        <v>8.28605769230778E-3</v>
      </c>
      <c r="DD64" s="182">
        <f t="array" ref="DD64">INDEX(Demand_current!$D$4:$AY$138, MATCH($A64, Demand_current!$B$4:$B$138, 0), MATCH(DD$4&amp;DD$5,Demand_current!$D$2:$AY$2&amp;Demand_current!$D$3:$AY$3, 0))/1000</f>
        <v>1.6439903846153788E-2</v>
      </c>
      <c r="DE64" s="182">
        <f t="array" ref="DE64">INDEX(Demand_current!$D$4:$AY$138, MATCH($A64, Demand_current!$B$4:$B$138, 0), MATCH(DE$4&amp;DE$5,Demand_current!$D$2:$AY$2&amp;Demand_current!$D$3:$AY$3, 0))/1000</f>
        <v>4.0817499999999993E-2</v>
      </c>
      <c r="DF64" s="182">
        <f t="array" ref="DF64">INDEX(Demand_current!$D$4:$AY$138, MATCH($A64, Demand_current!$B$4:$B$138, 0), MATCH(DF$4&amp;DF$5,Demand_current!$D$2:$AY$2&amp;Demand_current!$D$3:$AY$3, 0))/1000</f>
        <v>2.4343749999999983E-2</v>
      </c>
      <c r="DG64" s="182">
        <f t="array" ref="DG64">INDEX(Demand_current!$D$4:$AY$138, MATCH($A64, Demand_current!$B$4:$B$138, 0), MATCH(DG$4&amp;DG$5,Demand_current!$D$2:$AY$2&amp;Demand_current!$D$3:$AY$3, 0))/1000</f>
        <v>6.9814814814814228E-3</v>
      </c>
      <c r="DH64" s="182">
        <f t="array" ref="DH64">INDEX(Demand_current!$D$4:$AY$138, MATCH($A64, Demand_current!$B$4:$B$138, 0), MATCH(DH$4&amp;DH$5,Demand_current!$D$2:$AY$2&amp;Demand_current!$D$3:$AY$3, 0))/1000</f>
        <v>0</v>
      </c>
      <c r="DI64" s="180">
        <f>$BS64*(VLOOKUP(DI$4, Rates_current!$G$6:$Q$29, 10, FALSE)+VLOOKUP(DI$4, Rates_current!$G$6:$Q$29, 11, FALSE))</f>
        <v>296.16002405730001</v>
      </c>
      <c r="DJ64" s="180">
        <f>$BS64*(VLOOKUP(DJ$4, Rates_current!$G$6:$Q$29, 10, FALSE)+VLOOKUP(DJ$4, Rates_current!$G$6:$Q$29, 11, FALSE))</f>
        <v>377.70169032180007</v>
      </c>
      <c r="DK64" s="180">
        <f>$BS64*(VLOOKUP(DK$4, Rates_current!$G$6:$Q$29, 10, FALSE)+VLOOKUP(DK$4, Rates_current!$G$6:$Q$29, 11, FALSE))</f>
        <v>407.61485633700005</v>
      </c>
      <c r="DL64" s="180">
        <f>$BS64*(VLOOKUP(DL$4, Rates_current!$G$6:$Q$29, 10, FALSE)+VLOOKUP(DL$4, Rates_current!$G$6:$Q$29, 11, FALSE))</f>
        <v>423.57484802879998</v>
      </c>
      <c r="DM64" s="180">
        <f>$BS64*(VLOOKUP(DM$4, Rates_current!$G$6:$Q$29, 10, FALSE)+VLOOKUP(DM$4, Rates_current!$G$6:$Q$29, 11, FALSE))</f>
        <v>364.33082822759997</v>
      </c>
      <c r="DN64" s="180">
        <f>$BS64*(VLOOKUP(DN$4, Rates_current!$G$6:$Q$29, 10, FALSE)+VLOOKUP(DN$4, Rates_current!$G$6:$Q$29, 11, FALSE))</f>
        <v>397.77713054819998</v>
      </c>
      <c r="DO64" s="180">
        <f>$BS64*(VLOOKUP(DO$4, Rates_current!$G$6:$Q$29, 10, FALSE)+VLOOKUP(DO$4, Rates_current!$G$6:$Q$29, 11, FALSE))</f>
        <v>313.97801099534996</v>
      </c>
      <c r="DP64" s="180">
        <f>$BS64*(VLOOKUP(DP$4, Rates_current!$G$6:$Q$29, 10, FALSE)+VLOOKUP(DP$4, Rates_current!$G$6:$Q$29, 11, FALSE))</f>
        <v>389.5317976563</v>
      </c>
      <c r="DQ64" s="180">
        <f>$BS64*(VLOOKUP(DQ$4, Rates_current!$G$6:$Q$29, 10, FALSE)+VLOOKUP(DQ$4, Rates_current!$G$6:$Q$29, 11, FALSE))</f>
        <v>397.98366523109996</v>
      </c>
      <c r="DR64" s="180">
        <f>$BS64*(VLOOKUP(DR$4, Rates_current!$G$6:$Q$29, 10, FALSE)+VLOOKUP(DR$4, Rates_current!$G$6:$Q$29, 11, FALSE))</f>
        <v>345.50715828329999</v>
      </c>
      <c r="DS64" s="180">
        <f>$BS64*(VLOOKUP(DS$4, Rates_current!$G$6:$Q$29, 10, FALSE)+VLOOKUP(DS$4, Rates_current!$G$6:$Q$29, 11, FALSE))</f>
        <v>334.01358324477002</v>
      </c>
      <c r="DT64" s="180">
        <f>$BS64*(VLOOKUP(DT$4, Rates_current!$G$6:$Q$29, 10, FALSE)+VLOOKUP(DT$4, Rates_current!$G$6:$Q$29, 11, FALSE))</f>
        <v>307.35717793560002</v>
      </c>
      <c r="DU64" s="402">
        <f>IF(D64=0,IF(C64=0,MAX(0,DW64 - (VLOOKUP($A64,TOCA_current!$A$2:$AI$137,MATCH("RHWM 2024",TOCA_current!$A$2:$AI$2,0),FALSE)*$BS$2)), 0),0)</f>
        <v>0</v>
      </c>
      <c r="DV64" s="403">
        <f>MIN(VLOOKUP($A64,TOCA_current!$A$2:$AI$137,MATCH("TRL - NLSL - Existing Resource "&amp;$BS$1,TOCA_current!$A$2:$AI$2,0),FALSE)*$BS$2, VLOOKUP($A64,TOCA_current!$A$2:$AI$137,MATCH("RHWM 2024",TOCA_current!$A$2:$AI$2,0),FALSE)*$BS$2)</f>
        <v>4356.8639999999996</v>
      </c>
      <c r="DW64" s="403">
        <f>SUM(BY64:CV64)+(BS64*RT1SC!$C$4*$BS$2)</f>
        <v>4354.8500199648797</v>
      </c>
      <c r="DX64" s="403">
        <f>VLOOKUP($A64,TOCA_current!$A$2:$AI$137,MATCH("Above RHWM Not Served with LS "&amp;$BS$1,TOCA_current!$A$2:$AI$2,0),FALSE)*$BS$2</f>
        <v>0</v>
      </c>
      <c r="DY64" s="403">
        <f t="shared" si="13"/>
        <v>-2.0139800351198573</v>
      </c>
      <c r="DZ64" s="403">
        <f>(VLOOKUP($A64,TOCA_current!$A$2:$AI$137,MATCH("RHWM 2024",TOCA_current!$A$2:$AI$2,0),FALSE)*$BS$2) - $DV64</f>
        <v>96.624000000000706</v>
      </c>
      <c r="EA64" s="403">
        <f t="shared" si="14"/>
        <v>0</v>
      </c>
      <c r="EB64" s="403">
        <f t="shared" si="15"/>
        <v>2.0139800351198573</v>
      </c>
      <c r="EC64" s="403">
        <f t="shared" si="16"/>
        <v>0</v>
      </c>
      <c r="ED64" s="403">
        <f t="shared" si="17"/>
        <v>2.0139800351198573</v>
      </c>
    </row>
    <row r="65" spans="1:134">
      <c r="A65" s="123">
        <v>10177</v>
      </c>
      <c r="B65" s="124" t="s">
        <v>66</v>
      </c>
      <c r="C65" s="232">
        <f>VLOOKUP(A65, TOCA_current!$A$3:$D$137, 4, FALSE)</f>
        <v>0</v>
      </c>
      <c r="D65" s="191">
        <v>0</v>
      </c>
      <c r="E65" s="107">
        <f>VLOOKUP($A65,TOCA_previous!$A$2:$AI$137,MATCH(E$4,TOCA_previous!$A$2:$AI$2,0),FALSE)</f>
        <v>1.3221999999999999E-3</v>
      </c>
      <c r="F65" s="108">
        <f>VLOOKUP($A65,TOCA_previous!$A$2:$AI$137,MATCH(F$4,TOCA_previous!$A$2:$AI$2,0),FALSE)</f>
        <v>1.3221999999999999E-3</v>
      </c>
      <c r="G65" s="108">
        <f t="shared" si="5"/>
        <v>0</v>
      </c>
      <c r="H65" s="108">
        <f>VLOOKUP($A65,TOCA_previous!$A$2:$AI$137,MATCH(H$4,TOCA_previous!$A$2:$AI$2,0),FALSE)</f>
        <v>7.0000000000000007E-2</v>
      </c>
      <c r="I65" s="108">
        <f t="shared" si="6"/>
        <v>0</v>
      </c>
      <c r="J65" s="108">
        <f t="shared" si="7"/>
        <v>0</v>
      </c>
      <c r="K65" s="179">
        <f>VLOOKUP(A65, IRD!$A$5:$C$139, 3, FALSE)</f>
        <v>0</v>
      </c>
      <c r="L65" s="180">
        <f t="array" ref="L65">IF($G65=0, INDEX(LS_previous!$D$4:$AY$138, MATCH('Staging Table'!$A65, LS_previous!$B$4:$B$138, 0), MATCH(L$4&amp;L$5, LS_previous!$D$2:$AY$2&amp;LS_previous!$D$3:$AY$3, 0)),SUM(VLOOKUP($A65, LS_previous!$B$4:$AY$138, LS_previous!D$149, FALSE), VLOOKUP('Staging Table'!$A65, LS_previous!$B$4:$AY$138,LS_previous!AB$149, FALSE))/2)</f>
        <v>-504.87088776883775</v>
      </c>
      <c r="M65" s="180">
        <f t="array" ref="M65">IF($G65=0, INDEX(LS_previous!$D$4:$AY$138, MATCH('Staging Table'!$A65, LS_previous!$B$4:$B$138, 0), MATCH(M$4&amp;M$5, LS_previous!$D$2:$AY$2&amp;LS_previous!$D$3:$AY$3, 0)),SUM(VLOOKUP($A65, LS_previous!$B$4:$AY$138, LS_previous!E$149, FALSE), VLOOKUP('Staging Table'!$A65, LS_previous!$B$4:$AY$138,LS_previous!AC$149, FALSE))/2)</f>
        <v>40.785018635999222</v>
      </c>
      <c r="N65" s="180">
        <f t="array" ref="N65">IF($G65=0, INDEX(LS_previous!$D$4:$AY$138, MATCH('Staging Table'!$A65, LS_previous!$B$4:$B$138, 0), MATCH(N$4&amp;N$5, LS_previous!$D$2:$AY$2&amp;LS_previous!$D$3:$AY$3, 0)),SUM(VLOOKUP($A65, LS_previous!$B$4:$AY$138, LS_previous!F$149, FALSE), VLOOKUP('Staging Table'!$A65, LS_previous!$B$4:$AY$138,LS_previous!AD$149, FALSE))/2)</f>
        <v>-865.71010450848189</v>
      </c>
      <c r="O65" s="180">
        <f t="array" ref="O65">IF($G65=0, INDEX(LS_previous!$D$4:$AY$138, MATCH('Staging Table'!$A65, LS_previous!$B$4:$B$138, 0), MATCH(O$4&amp;O$5, LS_previous!$D$2:$AY$2&amp;LS_previous!$D$3:$AY$3, 0)),SUM(VLOOKUP($A65, LS_previous!$B$4:$AY$138, LS_previous!G$149, FALSE), VLOOKUP('Staging Table'!$A65, LS_previous!$B$4:$AY$138,LS_previous!AE$149, FALSE))/2)</f>
        <v>-131.48218815844621</v>
      </c>
      <c r="P65" s="180">
        <f t="array" ref="P65">IF($G65=0, INDEX(LS_previous!$D$4:$AY$138, MATCH('Staging Table'!$A65, LS_previous!$B$4:$B$138, 0), MATCH(P$4&amp;P$5, LS_previous!$D$2:$AY$2&amp;LS_previous!$D$3:$AY$3, 0)),SUM(VLOOKUP($A65, LS_previous!$B$4:$AY$138, LS_previous!H$149, FALSE), VLOOKUP('Staging Table'!$A65, LS_previous!$B$4:$AY$138,LS_previous!AF$149, FALSE))/2)</f>
        <v>839.14046888588746</v>
      </c>
      <c r="Q65" s="180">
        <f t="array" ref="Q65">IF($G65=0, INDEX(LS_previous!$D$4:$AY$138, MATCH('Staging Table'!$A65, LS_previous!$B$4:$B$138, 0), MATCH(Q$4&amp;Q$5, LS_previous!$D$2:$AY$2&amp;LS_previous!$D$3:$AY$3, 0)),SUM(VLOOKUP($A65, LS_previous!$B$4:$AY$138, LS_previous!I$149, FALSE), VLOOKUP('Staging Table'!$A65, LS_previous!$B$4:$AY$138,LS_previous!AG$149, FALSE))/2)</f>
        <v>592.68337929343943</v>
      </c>
      <c r="R65" s="180">
        <f t="array" ref="R65">IF($G65=0, INDEX(LS_previous!$D$4:$AY$138, MATCH('Staging Table'!$A65, LS_previous!$B$4:$B$138, 0), MATCH(R$4&amp;R$5, LS_previous!$D$2:$AY$2&amp;LS_previous!$D$3:$AY$3, 0)),SUM(VLOOKUP($A65, LS_previous!$B$4:$AY$138, LS_previous!J$149, FALSE), VLOOKUP('Staging Table'!$A65, LS_previous!$B$4:$AY$138,LS_previous!AH$149, FALSE))/2)</f>
        <v>1741.1132873372549</v>
      </c>
      <c r="S65" s="180">
        <f t="array" ref="S65">IF($G65=0, INDEX(LS_previous!$D$4:$AY$138, MATCH('Staging Table'!$A65, LS_previous!$B$4:$B$138, 0), MATCH(S$4&amp;S$5, LS_previous!$D$2:$AY$2&amp;LS_previous!$D$3:$AY$3, 0)),SUM(VLOOKUP($A65, LS_previous!$B$4:$AY$138, LS_previous!K$149, FALSE), VLOOKUP('Staging Table'!$A65, LS_previous!$B$4:$AY$138,LS_previous!AI$149, FALSE))/2)</f>
        <v>1223.4090102043901</v>
      </c>
      <c r="T65" s="180">
        <f t="array" ref="T65">IF($G65=0, INDEX(LS_previous!$D$4:$AY$138, MATCH('Staging Table'!$A65, LS_previous!$B$4:$B$138, 0), MATCH(T$4&amp;T$5, LS_previous!$D$2:$AY$2&amp;LS_previous!$D$3:$AY$3, 0)),SUM(VLOOKUP($A65, LS_previous!$B$4:$AY$138, LS_previous!L$149, FALSE), VLOOKUP('Staging Table'!$A65, LS_previous!$B$4:$AY$138,LS_previous!AJ$149, FALSE))/2)</f>
        <v>1516.0643211371826</v>
      </c>
      <c r="U65" s="180">
        <f t="array" ref="U65">IF($G65=0, INDEX(LS_previous!$D$4:$AY$138, MATCH('Staging Table'!$A65, LS_previous!$B$4:$B$138, 0), MATCH(U$4&amp;U$5, LS_previous!$D$2:$AY$2&amp;LS_previous!$D$3:$AY$3, 0)),SUM(VLOOKUP($A65, LS_previous!$B$4:$AY$138, LS_previous!M$149, FALSE), VLOOKUP('Staging Table'!$A65, LS_previous!$B$4:$AY$138,LS_previous!AK$149, FALSE))/2)</f>
        <v>1056.8944372405776</v>
      </c>
      <c r="V65" s="180">
        <f t="array" ref="V65">IF($G65=0, INDEX(LS_previous!$D$4:$AY$138, MATCH('Staging Table'!$A65, LS_previous!$B$4:$B$138, 0), MATCH(V$4&amp;V$5, LS_previous!$D$2:$AY$2&amp;LS_previous!$D$3:$AY$3, 0)),SUM(VLOOKUP($A65, LS_previous!$B$4:$AY$138, LS_previous!N$149, FALSE), VLOOKUP('Staging Table'!$A65, LS_previous!$B$4:$AY$138,LS_previous!AL$149, FALSE))/2)</f>
        <v>238.70714191593515</v>
      </c>
      <c r="W65" s="180">
        <f t="array" ref="W65">IF($G65=0, INDEX(LS_previous!$D$4:$AY$138, MATCH('Staging Table'!$A65, LS_previous!$B$4:$B$138, 0), MATCH(W$4&amp;W$5, LS_previous!$D$2:$AY$2&amp;LS_previous!$D$3:$AY$3, 0)),SUM(VLOOKUP($A65, LS_previous!$B$4:$AY$138, LS_previous!O$149, FALSE), VLOOKUP('Staging Table'!$A65, LS_previous!$B$4:$AY$138,LS_previous!AM$149, FALSE))/2)</f>
        <v>465.82242966131162</v>
      </c>
      <c r="X65" s="180">
        <f t="array" ref="X65">IF($G65=0, INDEX(LS_previous!$D$4:$AY$138, MATCH('Staging Table'!$A65, LS_previous!$B$4:$B$138, 0), MATCH(X$4&amp;X$5, LS_previous!$D$2:$AY$2&amp;LS_previous!$D$3:$AY$3, 0)),SUM(VLOOKUP($A65, LS_previous!$B$4:$AY$138, LS_previous!P$149, FALSE), VLOOKUP('Staging Table'!$A65, LS_previous!$B$4:$AY$138,LS_previous!AN$149, FALSE))/2)</f>
        <v>510.36191509329501</v>
      </c>
      <c r="Y65" s="180">
        <f t="array" ref="Y65">IF($G65=0, INDEX(LS_previous!$D$4:$AY$138, MATCH('Staging Table'!$A65, LS_previous!$B$4:$B$138, 0), MATCH(Y$4&amp;Y$5, LS_previous!$D$2:$AY$2&amp;LS_previous!$D$3:$AY$3, 0)),SUM(VLOOKUP($A65, LS_previous!$B$4:$AY$138, LS_previous!Q$149, FALSE), VLOOKUP('Staging Table'!$A65, LS_previous!$B$4:$AY$138,LS_previous!AO$149, FALSE))/2)</f>
        <v>564.33136555967121</v>
      </c>
      <c r="Z65" s="180">
        <f t="array" ref="Z65">IF($G65=0, INDEX(LS_previous!$D$4:$AY$138, MATCH('Staging Table'!$A65, LS_previous!$B$4:$B$138, 0), MATCH(Z$4&amp;Z$5, LS_previous!$D$2:$AY$2&amp;LS_previous!$D$3:$AY$3, 0)),SUM(VLOOKUP($A65, LS_previous!$B$4:$AY$138, LS_previous!R$149, FALSE), VLOOKUP('Staging Table'!$A65, LS_previous!$B$4:$AY$138,LS_previous!AP$149, FALSE))/2)</f>
        <v>-1751.6103311340253</v>
      </c>
      <c r="AA65" s="180">
        <f t="array" ref="AA65">IF($G65=0, INDEX(LS_previous!$D$4:$AY$138, MATCH('Staging Table'!$A65, LS_previous!$B$4:$B$138, 0), MATCH(AA$4&amp;AA$5, LS_previous!$D$2:$AY$2&amp;LS_previous!$D$3:$AY$3, 0)),SUM(VLOOKUP($A65, LS_previous!$B$4:$AY$138, LS_previous!S$149, FALSE), VLOOKUP('Staging Table'!$A65, LS_previous!$B$4:$AY$138,LS_previous!AQ$149, FALSE))/2)</f>
        <v>-167.53609546490407</v>
      </c>
      <c r="AB65" s="180">
        <f t="array" ref="AB65">IF($G65=0, INDEX(LS_previous!$D$4:$AY$138, MATCH('Staging Table'!$A65, LS_previous!$B$4:$B$138, 0), MATCH(AB$4&amp;AB$5, LS_previous!$D$2:$AY$2&amp;LS_previous!$D$3:$AY$3, 0)),SUM(VLOOKUP($A65, LS_previous!$B$4:$AY$138, LS_previous!T$149, FALSE), VLOOKUP('Staging Table'!$A65, LS_previous!$B$4:$AY$138,LS_previous!AR$149, FALSE))/2)</f>
        <v>-2440.7368974641458</v>
      </c>
      <c r="AC65" s="180">
        <f t="array" ref="AC65">IF($G65=0, INDEX(LS_previous!$D$4:$AY$138, MATCH('Staging Table'!$A65, LS_previous!$B$4:$B$138, 0), MATCH(AC$4&amp;AC$5, LS_previous!$D$2:$AY$2&amp;LS_previous!$D$3:$AY$3, 0)),SUM(VLOOKUP($A65, LS_previous!$B$4:$AY$138, LS_previous!U$149, FALSE), VLOOKUP('Staging Table'!$A65, LS_previous!$B$4:$AY$138,LS_previous!AS$149, FALSE))/2)</f>
        <v>-277.92873766110347</v>
      </c>
      <c r="AD65" s="180">
        <f t="array" ref="AD65">IF($G65=0, INDEX(LS_previous!$D$4:$AY$138, MATCH('Staging Table'!$A65, LS_previous!$B$4:$B$138, 0), MATCH(AD$4&amp;AD$5, LS_previous!$D$2:$AY$2&amp;LS_previous!$D$3:$AY$3, 0)),SUM(VLOOKUP($A65, LS_previous!$B$4:$AY$138, LS_previous!V$149, FALSE), VLOOKUP('Staging Table'!$A65, LS_previous!$B$4:$AY$138,LS_previous!AT$149, FALSE))/2)</f>
        <v>-1436.6096357910806</v>
      </c>
      <c r="AE65" s="180">
        <f t="array" ref="AE65">IF($G65=0, INDEX(LS_previous!$D$4:$AY$138, MATCH('Staging Table'!$A65, LS_previous!$B$4:$B$138, 0), MATCH(AE$4&amp;AE$5, LS_previous!$D$2:$AY$2&amp;LS_previous!$D$3:$AY$3, 0)),SUM(VLOOKUP($A65, LS_previous!$B$4:$AY$138, LS_previous!W$149, FALSE), VLOOKUP('Staging Table'!$A65, LS_previous!$B$4:$AY$138,LS_previous!AU$149, FALSE))/2)</f>
        <v>-115.42879659273285</v>
      </c>
      <c r="AF65" s="180">
        <f t="array" ref="AF65">IF($G65=0, INDEX(LS_previous!$D$4:$AY$138, MATCH('Staging Table'!$A65, LS_previous!$B$4:$B$138, 0), MATCH(AF$4&amp;AF$5, LS_previous!$D$2:$AY$2&amp;LS_previous!$D$3:$AY$3, 0)),SUM(VLOOKUP($A65, LS_previous!$B$4:$AY$138, LS_previous!X$149, FALSE), VLOOKUP('Staging Table'!$A65, LS_previous!$B$4:$AY$138,LS_previous!AV$149, FALSE))/2)</f>
        <v>-1416.1776530148672</v>
      </c>
      <c r="AG65" s="180">
        <f t="array" ref="AG65">IF($G65=0, INDEX(LS_previous!$D$4:$AY$138, MATCH('Staging Table'!$A65, LS_previous!$B$4:$B$138, 0), MATCH(AG$4&amp;AG$5, LS_previous!$D$2:$AY$2&amp;LS_previous!$D$3:$AY$3, 0)),SUM(VLOOKUP($A65, LS_previous!$B$4:$AY$138, LS_previous!Y$149, FALSE), VLOOKUP('Staging Table'!$A65, LS_previous!$B$4:$AY$138,LS_previous!AW$149, FALSE))/2)</f>
        <v>-238.32635939742272</v>
      </c>
      <c r="AH65" s="180">
        <f t="array" ref="AH65">IF($G65=0, INDEX(LS_previous!$D$4:$AY$138, MATCH('Staging Table'!$A65, LS_previous!$B$4:$B$138, 0), MATCH(AH$4&amp;AH$5, LS_previous!$D$2:$AY$2&amp;LS_previous!$D$3:$AY$3, 0)),SUM(VLOOKUP($A65, LS_previous!$B$4:$AY$138, LS_previous!Z$149, FALSE), VLOOKUP('Staging Table'!$A65, LS_previous!$B$4:$AY$138,LS_previous!AX$149, FALSE))/2)</f>
        <v>-1181.2874987765772</v>
      </c>
      <c r="AI65" s="180">
        <f t="array" ref="AI65">IF($G65=0, INDEX(LS_previous!$D$4:$AY$138, MATCH('Staging Table'!$A65, LS_previous!$B$4:$B$138, 0), MATCH(AI$4&amp;AI$5, LS_previous!$D$2:$AY$2&amp;LS_previous!$D$3:$AY$3, 0)),SUM(VLOOKUP($A65, LS_previous!$B$4:$AY$138, LS_previous!AA$149, FALSE), VLOOKUP('Staging Table'!$A65, LS_previous!$B$4:$AY$138,LS_previous!AY$149, FALSE))/2)</f>
        <v>-241.25909743120064</v>
      </c>
      <c r="AJ65" s="298">
        <f t="array" ref="AJ65">INDEX(Demand_previous!$D$4:$AY$138, MATCH('Staging Table'!$A65, Demand_previous!$B$4:$B$138, 0), MATCH(AJ$4&amp;AJ$5,Demand_previous!$D$2:$AY$2&amp;Demand_previous!$D$3:$AY$3, 0))/1000</f>
        <v>0</v>
      </c>
      <c r="AK65" s="298">
        <f t="array" ref="AK65">INDEX(Demand_previous!$D$4:$AY$138, MATCH('Staging Table'!$A65, Demand_previous!$B$4:$B$138, 0), MATCH(AK$4&amp;AK$5,Demand_previous!$D$2:$AY$2&amp;Demand_previous!$D$3:$AY$3, 0))/1000</f>
        <v>0</v>
      </c>
      <c r="AL65" s="298">
        <f t="array" ref="AL65">INDEX(Demand_previous!$D$4:$AY$138, MATCH('Staging Table'!$A65, Demand_previous!$B$4:$B$138, 0), MATCH(AL$4&amp;AL$5,Demand_previous!$D$2:$AY$2&amp;Demand_previous!$D$3:$AY$3, 0))/1000</f>
        <v>1.1141899038461545</v>
      </c>
      <c r="AM65" s="298">
        <f t="array" ref="AM65">INDEX(Demand_previous!$D$4:$AY$138, MATCH('Staging Table'!$A65, Demand_previous!$B$4:$B$138, 0), MATCH(AM$4&amp;AM$5,Demand_previous!$D$2:$AY$2&amp;Demand_previous!$D$3:$AY$3, 0))/1000</f>
        <v>1.3554199999999983</v>
      </c>
      <c r="AN65" s="298">
        <f t="array" ref="AN65">INDEX(Demand_previous!$D$4:$AY$138, MATCH('Staging Table'!$A65, Demand_previous!$B$4:$B$138, 0), MATCH(AN$4&amp;AN$5,Demand_previous!$D$2:$AY$2&amp;Demand_previous!$D$3:$AY$3, 0))/1000</f>
        <v>1.6207239583333326</v>
      </c>
      <c r="AO65" s="298">
        <f t="array" ref="AO65">INDEX(Demand_previous!$D$4:$AY$138, MATCH('Staging Table'!$A65, Demand_previous!$B$4:$B$138, 0), MATCH(AO$4&amp;AO$5,Demand_previous!$D$2:$AY$2&amp;Demand_previous!$D$3:$AY$3, 0))/1000</f>
        <v>5.2893518518533078E-3</v>
      </c>
      <c r="AP65" s="298">
        <f t="array" ref="AP65">INDEX(Demand_previous!$D$4:$AY$138, MATCH('Staging Table'!$A65, Demand_previous!$B$4:$B$138, 0), MATCH(AP$4&amp;AP$5,Demand_previous!$D$2:$AY$2&amp;Demand_previous!$D$3:$AY$3, 0))/1000</f>
        <v>0.63268269230769159</v>
      </c>
      <c r="AQ65" s="298">
        <f t="array" ref="AQ65">INDEX(Demand_previous!$D$4:$AY$138, MATCH('Staging Table'!$A65, Demand_previous!$B$4:$B$138, 0), MATCH(AQ$4&amp;AQ$5,Demand_previous!$D$2:$AY$2&amp;Demand_previous!$D$3:$AY$3, 0))/1000</f>
        <v>0</v>
      </c>
      <c r="AR65" s="298">
        <f t="array" ref="AR65">INDEX(Demand_previous!$D$4:$AY$138, MATCH('Staging Table'!$A65, Demand_previous!$B$4:$B$138, 0), MATCH(AR$4&amp;AR$5,Demand_previous!$D$2:$AY$2&amp;Demand_previous!$D$3:$AY$3, 0))/1000</f>
        <v>0.30329086538461536</v>
      </c>
      <c r="AS65" s="298">
        <f t="array" ref="AS65">INDEX(Demand_previous!$D$4:$AY$138, MATCH('Staging Table'!$A65, Demand_previous!$B$4:$B$138, 0), MATCH(AS$4&amp;AS$5,Demand_previous!$D$2:$AY$2&amp;Demand_previous!$D$3:$AY$3, 0))/1000</f>
        <v>0.17062499999999939</v>
      </c>
      <c r="AT65" s="298">
        <f t="array" ref="AT65">INDEX(Demand_previous!$D$4:$AY$138, MATCH('Staging Table'!$A65, Demand_previous!$B$4:$B$138, 0), MATCH(AT$4&amp;AT$5,Demand_previous!$D$2:$AY$2&amp;Demand_previous!$D$3:$AY$3, 0))/1000</f>
        <v>1.5916759259259254</v>
      </c>
      <c r="AU65" s="298">
        <f t="array" ref="AU65">INDEX(Demand_previous!$D$4:$AY$138, MATCH('Staging Table'!$A65, Demand_previous!$B$4:$B$138, 0), MATCH(AU$4&amp;AU$5,Demand_previous!$D$2:$AY$2&amp;Demand_previous!$D$3:$AY$3, 0))/1000</f>
        <v>3.4759999999999007E-2</v>
      </c>
      <c r="AV65" s="180">
        <f>$F65*(VLOOKUP(AV$4, Rates_previous!$G$6:$Q$29, 10, FALSE)+VLOOKUP(AV$4, Rates_previous!$G$6:$Q$29, 11, FALSE))</f>
        <v>6021.1988691328379</v>
      </c>
      <c r="AW65" s="180">
        <f>$F65*(VLOOKUP(AW$4, Rates_previous!$G$6:$Q$29, 10, FALSE)+VLOOKUP(AW$4, Rates_previous!$G$6:$Q$29, 11, FALSE))</f>
        <v>7623.056292666929</v>
      </c>
      <c r="AX65" s="180">
        <f>$F65*(VLOOKUP(AX$4, Rates_previous!$G$6:$Q$29, 10, FALSE)+VLOOKUP(AX$4, Rates_previous!$G$6:$Q$29, 11, FALSE))</f>
        <v>7461.4491518206733</v>
      </c>
      <c r="AY65" s="180">
        <f>$F65*(VLOOKUP(AY$4, Rates_previous!$G$6:$Q$29, 10, FALSE)+VLOOKUP(AY$4, Rates_previous!$G$6:$Q$29, 11, FALSE))</f>
        <v>6162.8397024583546</v>
      </c>
      <c r="AZ65" s="180">
        <f>$F65*(VLOOKUP(AZ$4, Rates_previous!$G$6:$Q$29, 10, FALSE)+VLOOKUP(AZ$4, Rates_previous!$G$6:$Q$29, 11, FALSE))</f>
        <v>5341.4682416222404</v>
      </c>
      <c r="BA65" s="180">
        <f>$F65*(VLOOKUP(BA$4, Rates_previous!$G$6:$Q$29, 10, FALSE)+VLOOKUP(BA$4, Rates_previous!$G$6:$Q$29, 11, FALSE))</f>
        <v>6376.6344284227544</v>
      </c>
      <c r="BB65" s="180">
        <f>$F65*(VLOOKUP(BB$4, Rates_previous!$G$6:$Q$29, 10, FALSE)+VLOOKUP(BB$4, Rates_previous!$G$6:$Q$29, 11, FALSE))</f>
        <v>4950.6077193470337</v>
      </c>
      <c r="BC65" s="180">
        <f>$F65*(VLOOKUP(BC$4, Rates_previous!$G$6:$Q$29, 10, FALSE)+VLOOKUP(BC$4, Rates_previous!$G$6:$Q$29, 11, FALSE))</f>
        <v>6859.1034265989283</v>
      </c>
      <c r="BD65" s="180">
        <f>$F65*(VLOOKUP(BD$4, Rates_previous!$G$6:$Q$29, 10, FALSE)+VLOOKUP(BD$4, Rates_previous!$G$6:$Q$29, 11, FALSE))</f>
        <v>7329.0956351252489</v>
      </c>
      <c r="BE65" s="180">
        <f>$F65*(VLOOKUP(BE$4, Rates_previous!$G$6:$Q$29, 10, FALSE)+VLOOKUP(BE$4, Rates_previous!$G$6:$Q$29, 11, FALSE))</f>
        <v>6958.644432383815</v>
      </c>
      <c r="BF65" s="180">
        <f>$F65*(VLOOKUP(BF$4, Rates_previous!$G$6:$Q$29, 10, FALSE)+VLOOKUP(BF$4, Rates_previous!$G$6:$Q$29, 11, FALSE))</f>
        <v>6724.9930124122902</v>
      </c>
      <c r="BG65" s="180">
        <f>$F65*(VLOOKUP(BG$4, Rates_previous!$G$6:$Q$29, 10, FALSE)+VLOOKUP(BG$4, Rates_previous!$G$6:$Q$29, 11, FALSE))</f>
        <v>6214.5945962077776</v>
      </c>
      <c r="BH65" s="298">
        <f>IF($D65=0,IF(C65=0, MAX(BJ65 - (VLOOKUP($A65,TOCA_previous!$A$2:$AI$137,MATCH("RHWM 2022",TOCA_previous!$A$2:$AI$2,0),FALSE)*$F$2*TOCA_previous!C62),0),0), 0)</f>
        <v>0</v>
      </c>
      <c r="BI65" s="192">
        <f>MIN(VLOOKUP($A65,TOCA_previous!$A$2:$AI$137,MATCH("TRL - NLSL - Existing Resource "&amp;$F$1,TOCA_previous!$A$2:$AI$2,0),FALSE)*$F$2,(VLOOKUP($A65,TOCA_previous!$A$2:$AI$137,MATCH("RHWM 2022",TOCA_previous!$A$2:$AI$2,0),FALSE)*$F$2))</f>
        <v>78025.320000000007</v>
      </c>
      <c r="BJ65" s="402">
        <f>SUM(L65:AI65)+(F65*RT1SC!$C$3*$F$2)</f>
        <v>76044.037991249133</v>
      </c>
      <c r="BK65" s="401">
        <f>VLOOKUP($A65,TOCA_previous!$A$2:$AI$137,MATCH("Above RHWM Not Served with LS "&amp;$F$1,TOCA_previous!$A$2:$AI$2,0),FALSE)*$F$2</f>
        <v>0</v>
      </c>
      <c r="BL65" s="402">
        <f t="shared" si="8"/>
        <v>-1981.2820087508735</v>
      </c>
      <c r="BM65" s="401">
        <f>(VLOOKUP($A65,TOCA_previous!$A$2:$AI$137,MATCH("RHWM 2022",TOCA_previous!$A$2:$AI$2,0),FALSE)*$F$2) - $BI65</f>
        <v>19447.199999999997</v>
      </c>
      <c r="BN65" s="402">
        <f t="shared" si="9"/>
        <v>0</v>
      </c>
      <c r="BO65" s="401">
        <f t="shared" si="10"/>
        <v>1981.2820087508735</v>
      </c>
      <c r="BP65" s="402">
        <f t="shared" si="11"/>
        <v>0</v>
      </c>
      <c r="BQ65" s="401">
        <f t="shared" si="18"/>
        <v>1981.2820087508735</v>
      </c>
      <c r="BR65" s="108">
        <f>VLOOKUP($A65,TOCA_current!$A$2:$AI$137,MATCH(BR$4,TOCA_current!$A$2:$AI$2,0),FALSE)</f>
        <v>1.2256000000000001E-3</v>
      </c>
      <c r="BS65" s="108">
        <f>VLOOKUP($A65,TOCA_current!$A$2:$AI$137,MATCH(BS$4,TOCA_current!$A$2:$AI$2,0),FALSE)</f>
        <v>1.2256000000000001E-3</v>
      </c>
      <c r="BT65" s="189">
        <f t="shared" si="12"/>
        <v>0</v>
      </c>
      <c r="BU65" s="108">
        <f>VLOOKUP($A65,TOCA_current!A61:BG196,MATCH(BU$4,TOCA_current!$A$2:$BG$2,0),FALSE)</f>
        <v>7.0000000000000007E-2</v>
      </c>
      <c r="BV65" s="108">
        <f t="shared" si="19"/>
        <v>0</v>
      </c>
      <c r="BW65" s="108">
        <f t="shared" si="20"/>
        <v>0</v>
      </c>
      <c r="BX65" s="179">
        <f>VLOOKUP($A65,IRD!$A$4:$G$139, 7, FALSE)</f>
        <v>0</v>
      </c>
      <c r="BY65" s="180">
        <f t="array" ref="BY65">IF($BT65=0, INDEX(LS_current!$D$4:$AY$138, MATCH('Staging Table'!$A65, LS_current!$B$4:$B$138, 0), MATCH(BY$4&amp;BY$5, LS_current!$D$2:$AY$2&amp;LS_current!$D$3:$AY$3, 0)),SUM(VLOOKUP($A65, LS_current!$B$4:$AY$138, LS_current!D$148, FALSE), VLOOKUP($A65, LS_current!$B$4:$AY$138,LS_current!AB$148, FALSE))/2)</f>
        <v>228.72258947839964</v>
      </c>
      <c r="BZ65" s="180">
        <f t="array" ref="BZ65">IF($BT65=0, INDEX(LS_current!$D$4:$AY$138, MATCH('Staging Table'!$A65, LS_current!$B$4:$B$138, 0), MATCH(BZ$4&amp;BZ$5, LS_current!$D$2:$AY$2&amp;LS_current!$D$3:$AY$3, 0)),SUM(VLOOKUP($A65, LS_current!$B$4:$AY$138, LS_current!E$148, FALSE), VLOOKUP($A65, LS_current!$B$4:$AY$138,LS_current!AC$148, FALSE))/2)</f>
        <v>157.82452042719979</v>
      </c>
      <c r="CA65" s="180">
        <f t="array" ref="CA65">IF($BT65=0, INDEX(LS_current!$D$4:$AY$138, MATCH('Staging Table'!$A65, LS_current!$B$4:$B$138, 0), MATCH(CA$4&amp;CA$5, LS_current!$D$2:$AY$2&amp;LS_current!$D$3:$AY$3, 0)),SUM(VLOOKUP($A65, LS_current!$B$4:$AY$138, LS_current!F$148, FALSE), VLOOKUP($A65, LS_current!$B$4:$AY$138,LS_current!AD$148, FALSE))/2)</f>
        <v>-188.79466919680044</v>
      </c>
      <c r="CB65" s="180">
        <f t="array" ref="CB65">IF($BT65=0, INDEX(LS_current!$D$4:$AY$138, MATCH('Staging Table'!$A65, LS_current!$B$4:$B$138, 0), MATCH(CB$4&amp;CB$5, LS_current!$D$2:$AY$2&amp;LS_current!$D$3:$AY$3, 0)),SUM(VLOOKUP($A65, LS_current!$B$4:$AY$138, LS_current!G$148, FALSE), VLOOKUP($A65, LS_current!$B$4:$AY$138,LS_current!AE$148, FALSE))/2)</f>
        <v>220.48214984639981</v>
      </c>
      <c r="CC65" s="180">
        <f t="array" ref="CC65">IF($BT65=0, INDEX(LS_current!$D$4:$AY$138, MATCH('Staging Table'!$A65, LS_current!$B$4:$B$138, 0), MATCH(CC$4&amp;CC$5, LS_current!$D$2:$AY$2&amp;LS_current!$D$3:$AY$3, 0)),SUM(VLOOKUP($A65, LS_current!$B$4:$AY$138, LS_current!H$148, FALSE), VLOOKUP($A65, LS_current!$B$4:$AY$138,LS_current!AF$148, FALSE))/2)</f>
        <v>787.03767828159926</v>
      </c>
      <c r="CD65" s="180">
        <f t="array" ref="CD65">IF($BT65=0, INDEX(LS_current!$D$4:$AY$138, MATCH('Staging Table'!$A65, LS_current!$B$4:$B$138, 0), MATCH(CD$4&amp;CD$5, LS_current!$D$2:$AY$2&amp;LS_current!$D$3:$AY$3, 0)),SUM(VLOOKUP($A65, LS_current!$B$4:$AY$138, LS_current!I$148, FALSE), VLOOKUP($A65, LS_current!$B$4:$AY$138,LS_current!AG$148, FALSE))/2)</f>
        <v>989.81412618239983</v>
      </c>
      <c r="CE65" s="180">
        <f t="array" ref="CE65">IF($BT65=0, INDEX(LS_current!$D$4:$AY$138, MATCH('Staging Table'!$A65, LS_current!$B$4:$B$138, 0), MATCH(CE$4&amp;CE$5, LS_current!$D$2:$AY$2&amp;LS_current!$D$3:$AY$3, 0)),SUM(VLOOKUP($A65, LS_current!$B$4:$AY$138, LS_current!J$148, FALSE), VLOOKUP($A65, LS_current!$B$4:$AY$138,LS_current!AH$148, FALSE))/2)</f>
        <v>668.5682340960002</v>
      </c>
      <c r="CF65" s="180">
        <f t="array" ref="CF65">IF($BT65=0, INDEX(LS_current!$D$4:$AY$138, MATCH('Staging Table'!$A65, LS_current!$B$4:$B$138, 0), MATCH(CF$4&amp;CF$5, LS_current!$D$2:$AY$2&amp;LS_current!$D$3:$AY$3, 0)),SUM(VLOOKUP($A65, LS_current!$B$4:$AY$138, LS_current!K$148, FALSE), VLOOKUP($A65, LS_current!$B$4:$AY$138,LS_current!AI$148, FALSE))/2)</f>
        <v>1063.7320316575997</v>
      </c>
      <c r="CG65" s="180">
        <f t="array" ref="CG65">IF($BT65=0, INDEX(LS_current!$D$4:$AY$138, MATCH('Staging Table'!$A65, LS_current!$B$4:$B$138, 0), MATCH(CG$4&amp;CG$5, LS_current!$D$2:$AY$2&amp;LS_current!$D$3:$AY$3, 0)),SUM(VLOOKUP($A65, LS_current!$B$4:$AY$138, LS_current!L$148, FALSE), VLOOKUP($A65, LS_current!$B$4:$AY$138,LS_current!AJ$148, FALSE))/2)</f>
        <v>574.38305069760008</v>
      </c>
      <c r="CH65" s="180">
        <f t="array" ref="CH65">IF($BT65=0, INDEX(LS_current!$D$4:$AY$138, MATCH('Staging Table'!$A65, LS_current!$B$4:$B$138, 0), MATCH(CH$4&amp;CH$5, LS_current!$D$2:$AY$2&amp;LS_current!$D$3:$AY$3, 0)),SUM(VLOOKUP($A65, LS_current!$B$4:$AY$138, LS_current!M$148, FALSE), VLOOKUP($A65, LS_current!$B$4:$AY$138,LS_current!AK$148, FALSE))/2)</f>
        <v>979.30515904959975</v>
      </c>
      <c r="CI65" s="180">
        <f t="array" ref="CI65">IF($BT65=0, INDEX(LS_current!$D$4:$AY$138, MATCH('Staging Table'!$A65, LS_current!$B$4:$B$138, 0), MATCH(CI$4&amp;CI$5, LS_current!$D$2:$AY$2&amp;LS_current!$D$3:$AY$3, 0)),SUM(VLOOKUP($A65, LS_current!$B$4:$AY$138, LS_current!N$148, FALSE), VLOOKUP($A65, LS_current!$B$4:$AY$138,LS_current!AL$148, FALSE))/2)</f>
        <v>-73.369864892800251</v>
      </c>
      <c r="CJ65" s="180">
        <f t="array" ref="CJ65">IF($BT65=0, INDEX(LS_current!$D$4:$AY$138, MATCH('Staging Table'!$A65, LS_current!$B$4:$B$138, 0), MATCH(CJ$4&amp;CJ$5, LS_current!$D$2:$AY$2&amp;LS_current!$D$3:$AY$3, 0)),SUM(VLOOKUP($A65, LS_current!$B$4:$AY$138, LS_current!O$148, FALSE), VLOOKUP($A65, LS_current!$B$4:$AY$138,LS_current!AM$148, FALSE))/2)</f>
        <v>209.86646888320001</v>
      </c>
      <c r="CK65" s="180">
        <f t="array" ref="CK65">IF($BT65=0, INDEX(LS_current!$D$4:$AY$138, MATCH('Staging Table'!$A65, LS_current!$B$4:$B$138, 0), MATCH(CK$4&amp;CK$5, LS_current!$D$2:$AY$2&amp;LS_current!$D$3:$AY$3, 0)),SUM(VLOOKUP($A65, LS_current!$B$4:$AY$138, LS_current!P$148, FALSE), VLOOKUP($A65, LS_current!$B$4:$AY$138,LS_current!AN$148, FALSE))/2)</f>
        <v>224.50902789600013</v>
      </c>
      <c r="CL65" s="180">
        <f t="array" ref="CL65">IF($BT65=0, INDEX(LS_current!$D$4:$AY$138, MATCH('Staging Table'!$A65, LS_current!$B$4:$B$138, 0), MATCH(CL$4&amp;CL$5, LS_current!$D$2:$AY$2&amp;LS_current!$D$3:$AY$3, 0)),SUM(VLOOKUP($A65, LS_current!$B$4:$AY$138, LS_current!Q$148, FALSE), VLOOKUP($A65, LS_current!$B$4:$AY$138,LS_current!AO$148, FALSE))/2)</f>
        <v>319.14738127920009</v>
      </c>
      <c r="CM65" s="180">
        <f t="array" ref="CM65">IF($BT65=0, INDEX(LS_current!$D$4:$AY$138, MATCH('Staging Table'!$A65, LS_current!$B$4:$B$138, 0), MATCH(CM$4&amp;CM$5, LS_current!$D$2:$AY$2&amp;LS_current!$D$3:$AY$3, 0)),SUM(VLOOKUP($A65, LS_current!$B$4:$AY$138, LS_current!R$148, FALSE), VLOOKUP($A65, LS_current!$B$4:$AY$138,LS_current!AP$148, FALSE))/2)</f>
        <v>-1262.0817289088004</v>
      </c>
      <c r="CN65" s="180">
        <f t="array" ref="CN65">IF($BT65=0, INDEX(LS_current!$D$4:$AY$138, MATCH('Staging Table'!$A65, LS_current!$B$4:$B$138, 0), MATCH(CN$4&amp;CN$5, LS_current!$D$2:$AY$2&amp;LS_current!$D$3:$AY$3, 0)),SUM(VLOOKUP($A65, LS_current!$B$4:$AY$138, LS_current!S$148, FALSE), VLOOKUP($A65, LS_current!$B$4:$AY$138,LS_current!AQ$148, FALSE))/2)</f>
        <v>-598.67596065760017</v>
      </c>
      <c r="CO65" s="180">
        <f t="array" ref="CO65">IF($BT65=0, INDEX(LS_current!$D$4:$AY$138, MATCH('Staging Table'!$A65, LS_current!$B$4:$B$138, 0), MATCH(CO$4&amp;CO$5, LS_current!$D$2:$AY$2&amp;LS_current!$D$3:$AY$3, 0)),SUM(VLOOKUP($A65, LS_current!$B$4:$AY$138, LS_current!T$148, FALSE), VLOOKUP($A65, LS_current!$B$4:$AY$138,LS_current!AR$148, FALSE))/2)</f>
        <v>-1577.3147141055997</v>
      </c>
      <c r="CP65" s="180">
        <f t="array" ref="CP65">IF($BT65=0, INDEX(LS_current!$D$4:$AY$138, MATCH('Staging Table'!$A65, LS_current!$B$4:$B$138, 0), MATCH(CP$4&amp;CP$5, LS_current!$D$2:$AY$2&amp;LS_current!$D$3:$AY$3, 0)),SUM(VLOOKUP($A65, LS_current!$B$4:$AY$138, LS_current!U$148, FALSE), VLOOKUP($A65, LS_current!$B$4:$AY$138,LS_current!AS$148, FALSE))/2)</f>
        <v>-760.5285067952002</v>
      </c>
      <c r="CQ65" s="180">
        <f t="array" ref="CQ65">IF($BT65=0, INDEX(LS_current!$D$4:$AY$138, MATCH('Staging Table'!$A65, LS_current!$B$4:$B$138, 0), MATCH(CQ$4&amp;CQ$5, LS_current!$D$2:$AY$2&amp;LS_current!$D$3:$AY$3, 0)),SUM(VLOOKUP($A65, LS_current!$B$4:$AY$138, LS_current!V$148, FALSE), VLOOKUP($A65, LS_current!$B$4:$AY$138,LS_current!AT$148, FALSE))/2)</f>
        <v>-560.80412995840015</v>
      </c>
      <c r="CR65" s="180">
        <f t="array" ref="CR65">IF($BT65=0, INDEX(LS_current!$D$4:$AY$138, MATCH('Staging Table'!$A65, LS_current!$B$4:$B$138, 0), MATCH(CR$4&amp;CR$5, LS_current!$D$2:$AY$2&amp;LS_current!$D$3:$AY$3, 0)),SUM(VLOOKUP($A65, LS_current!$B$4:$AY$138, LS_current!W$148, FALSE), VLOOKUP($A65, LS_current!$B$4:$AY$138,LS_current!AU$148, FALSE))/2)</f>
        <v>-64.692052263999813</v>
      </c>
      <c r="CS65" s="180">
        <f t="array" ref="CS65">IF($BT65=0, INDEX(LS_current!$D$4:$AY$138, MATCH('Staging Table'!$A65, LS_current!$B$4:$B$138, 0), MATCH(CS$4&amp;CS$5, LS_current!$D$2:$AY$2&amp;LS_current!$D$3:$AY$3, 0)),SUM(VLOOKUP($A65, LS_current!$B$4:$AY$138, LS_current!X$148, FALSE), VLOOKUP($A65, LS_current!$B$4:$AY$138,LS_current!AV$148, FALSE))/2)</f>
        <v>-586.51643419040056</v>
      </c>
      <c r="CT65" s="180">
        <f t="array" ref="CT65">IF($BT65=0, INDEX(LS_current!$D$4:$AY$138, MATCH('Staging Table'!$A65, LS_current!$B$4:$B$138, 0), MATCH(CT$4&amp;CT$5, LS_current!$D$2:$AY$2&amp;LS_current!$D$3:$AY$3, 0)),SUM(VLOOKUP($A65, LS_current!$B$4:$AY$138, LS_current!Y$148, FALSE), VLOOKUP($A65, LS_current!$B$4:$AY$138,LS_current!AW$148, FALSE))/2)</f>
        <v>-174.43399066416009</v>
      </c>
      <c r="CU65" s="180">
        <f t="array" ref="CU65">IF($BT65=0, INDEX(LS_current!$D$4:$AY$138, MATCH('Staging Table'!$A65, LS_current!$B$4:$B$138, 0), MATCH(CU$4&amp;CU$5, LS_current!$D$2:$AY$2&amp;LS_current!$D$3:$AY$3, 0)),SUM(VLOOKUP($A65, LS_current!$B$4:$AY$138, LS_current!Z$148, FALSE), VLOOKUP($A65, LS_current!$B$4:$AY$138,LS_current!AX$148, FALSE))/2)</f>
        <v>-419.97234861440029</v>
      </c>
      <c r="CV65" s="180">
        <f t="array" ref="CV65">IF($BT65=0, INDEX(LS_current!$D$4:$AY$138, MATCH('Staging Table'!$A65, LS_current!$B$4:$B$138, 0), MATCH(CV$4&amp;CV$5, LS_current!$D$2:$AY$2&amp;LS_current!$D$3:$AY$3, 0)),SUM(VLOOKUP($A65, LS_current!$B$4:$AY$138, LS_current!AA$148, FALSE), VLOOKUP($A65, LS_current!$B$4:$AY$138,LS_current!AY$148, FALSE))/2)</f>
        <v>-154.03317386239996</v>
      </c>
      <c r="CW65" s="182">
        <f t="array" ref="CW65">INDEX(Demand_current!$D$4:$AY$138, MATCH($A65, Demand_current!$B$4:$B$138, 0), MATCH(CW$4&amp;CW$5,Demand_current!$D$2:$AY$2&amp;Demand_current!$D$3:$AY$3, 0))/1000</f>
        <v>0</v>
      </c>
      <c r="CX65" s="182">
        <f t="array" ref="CX65">INDEX(Demand_current!$D$4:$AY$138, MATCH($A65, Demand_current!$B$4:$B$138, 0), MATCH(CX$4&amp;CX$5,Demand_current!$D$2:$AY$2&amp;Demand_current!$D$3:$AY$3, 0))/1000</f>
        <v>0</v>
      </c>
      <c r="CY65" s="182">
        <f t="array" ref="CY65">INDEX(Demand_current!$D$4:$AY$138, MATCH($A65, Demand_current!$B$4:$B$138, 0), MATCH(CY$4&amp;CY$5,Demand_current!$D$2:$AY$2&amp;Demand_current!$D$3:$AY$3, 0))/1000</f>
        <v>0.62363750000000051</v>
      </c>
      <c r="CZ65" s="182">
        <f t="array" ref="CZ65">INDEX(Demand_current!$D$4:$AY$138, MATCH($A65, Demand_current!$B$4:$B$138, 0), MATCH(CZ$4&amp;CZ$5,Demand_current!$D$2:$AY$2&amp;Demand_current!$D$3:$AY$3, 0))/1000</f>
        <v>1.8599423076923052</v>
      </c>
      <c r="DA65" s="182">
        <f t="array" ref="DA65">INDEX(Demand_current!$D$4:$AY$138, MATCH($A65, Demand_current!$B$4:$B$138, 0), MATCH(DA$4&amp;DA$5,Demand_current!$D$2:$AY$2&amp;Demand_current!$D$3:$AY$3, 0))/1000</f>
        <v>2.1018549999999987</v>
      </c>
      <c r="DB65" s="182">
        <f t="array" ref="DB65">INDEX(Demand_current!$D$4:$AY$138, MATCH($A65, Demand_current!$B$4:$B$138, 0), MATCH(DB$4&amp;DB$5,Demand_current!$D$2:$AY$2&amp;Demand_current!$D$3:$AY$3, 0))/1000</f>
        <v>0</v>
      </c>
      <c r="DC65" s="182">
        <f t="array" ref="DC65">INDEX(Demand_current!$D$4:$AY$138, MATCH($A65, Demand_current!$B$4:$B$138, 0), MATCH(DC$4&amp;DC$5,Demand_current!$D$2:$AY$2&amp;Demand_current!$D$3:$AY$3, 0))/1000</f>
        <v>0.63268269230769159</v>
      </c>
      <c r="DD65" s="182">
        <f t="array" ref="DD65">INDEX(Demand_current!$D$4:$AY$138, MATCH($A65, Demand_current!$B$4:$B$138, 0), MATCH(DD$4&amp;DD$5,Demand_current!$D$2:$AY$2&amp;Demand_current!$D$3:$AY$3, 0))/1000</f>
        <v>0.15895913461538494</v>
      </c>
      <c r="DE65" s="182">
        <f t="array" ref="DE65">INDEX(Demand_current!$D$4:$AY$138, MATCH($A65, Demand_current!$B$4:$B$138, 0), MATCH(DE$4&amp;DE$5,Demand_current!$D$2:$AY$2&amp;Demand_current!$D$3:$AY$3, 0))/1000</f>
        <v>3.5422499999999468E-2</v>
      </c>
      <c r="DF65" s="182">
        <f t="array" ref="DF65">INDEX(Demand_current!$D$4:$AY$138, MATCH($A65, Demand_current!$B$4:$B$138, 0), MATCH(DF$4&amp;DF$5,Demand_current!$D$2:$AY$2&amp;Demand_current!$D$3:$AY$3, 0))/1000</f>
        <v>0.47813942307692248</v>
      </c>
      <c r="DG65" s="182">
        <f t="array" ref="DG65">INDEX(Demand_current!$D$4:$AY$138, MATCH($A65, Demand_current!$B$4:$B$138, 0), MATCH(DG$4&amp;DG$5,Demand_current!$D$2:$AY$2&amp;Demand_current!$D$3:$AY$3, 0))/1000</f>
        <v>1.5916759259259254</v>
      </c>
      <c r="DH65" s="182">
        <f t="array" ref="DH65">INDEX(Demand_current!$D$4:$AY$138, MATCH($A65, Demand_current!$B$4:$B$138, 0), MATCH(DH$4&amp;DH$5,Demand_current!$D$2:$AY$2&amp;Demand_current!$D$3:$AY$3, 0))/1000</f>
        <v>0</v>
      </c>
      <c r="DI65" s="180">
        <f>$BS65*(VLOOKUP(DI$4, Rates_current!$G$6:$Q$29, 10, FALSE)+VLOOKUP(DI$4, Rates_current!$G$6:$Q$29, 11, FALSE))</f>
        <v>5170.5658900943999</v>
      </c>
      <c r="DJ65" s="180">
        <f>$BS65*(VLOOKUP(DJ$4, Rates_current!$G$6:$Q$29, 10, FALSE)+VLOOKUP(DJ$4, Rates_current!$G$6:$Q$29, 11, FALSE))</f>
        <v>6594.1765193504016</v>
      </c>
      <c r="DK65" s="180">
        <f>$BS65*(VLOOKUP(DK$4, Rates_current!$G$6:$Q$29, 10, FALSE)+VLOOKUP(DK$4, Rates_current!$G$6:$Q$29, 11, FALSE))</f>
        <v>7116.4211955360015</v>
      </c>
      <c r="DL65" s="180">
        <f>$BS65*(VLOOKUP(DL$4, Rates_current!$G$6:$Q$29, 10, FALSE)+VLOOKUP(DL$4, Rates_current!$G$6:$Q$29, 11, FALSE))</f>
        <v>7395.0617342464002</v>
      </c>
      <c r="DM65" s="180">
        <f>$BS65*(VLOOKUP(DM$4, Rates_current!$G$6:$Q$29, 10, FALSE)+VLOOKUP(DM$4, Rates_current!$G$6:$Q$29, 11, FALSE))</f>
        <v>6360.7387902527998</v>
      </c>
      <c r="DN65" s="180">
        <f>$BS65*(VLOOKUP(DN$4, Rates_current!$G$6:$Q$29, 10, FALSE)+VLOOKUP(DN$4, Rates_current!$G$6:$Q$29, 11, FALSE))</f>
        <v>6944.6673960096005</v>
      </c>
      <c r="DO65" s="180">
        <f>$BS65*(VLOOKUP(DO$4, Rates_current!$G$6:$Q$29, 10, FALSE)+VLOOKUP(DO$4, Rates_current!$G$6:$Q$29, 11, FALSE))</f>
        <v>5481.6445908247997</v>
      </c>
      <c r="DP65" s="180">
        <f>$BS65*(VLOOKUP(DP$4, Rates_current!$G$6:$Q$29, 10, FALSE)+VLOOKUP(DP$4, Rates_current!$G$6:$Q$29, 11, FALSE))</f>
        <v>6800.7146895664009</v>
      </c>
      <c r="DQ65" s="180">
        <f>$BS65*(VLOOKUP(DQ$4, Rates_current!$G$6:$Q$29, 10, FALSE)+VLOOKUP(DQ$4, Rates_current!$G$6:$Q$29, 11, FALSE))</f>
        <v>6948.2732209008</v>
      </c>
      <c r="DR65" s="180">
        <f>$BS65*(VLOOKUP(DR$4, Rates_current!$G$6:$Q$29, 10, FALSE)+VLOOKUP(DR$4, Rates_current!$G$6:$Q$29, 11, FALSE))</f>
        <v>6032.1021822224002</v>
      </c>
      <c r="DS65" s="180">
        <f>$BS65*(VLOOKUP(DS$4, Rates_current!$G$6:$Q$29, 10, FALSE)+VLOOKUP(DS$4, Rates_current!$G$6:$Q$29, 11, FALSE))</f>
        <v>5831.4394248545614</v>
      </c>
      <c r="DT65" s="180">
        <f>$BS65*(VLOOKUP(DT$4, Rates_current!$G$6:$Q$29, 10, FALSE)+VLOOKUP(DT$4, Rates_current!$G$6:$Q$29, 11, FALSE))</f>
        <v>5366.0535224768009</v>
      </c>
      <c r="DU65" s="402">
        <f>IF(D65=0,IF(C65=0,MAX(0,DW65 - (VLOOKUP($A65,TOCA_current!$A$2:$AI$137,MATCH("RHWM 2024",TOCA_current!$A$2:$AI$2,0),FALSE)*$BS$2)), 0),0)</f>
        <v>0</v>
      </c>
      <c r="DV65" s="403">
        <f>MIN(VLOOKUP($A65,TOCA_current!$A$2:$AI$137,MATCH("TRL - NLSL - Existing Resource "&amp;$BS$1,TOCA_current!$A$2:$AI$2,0),FALSE)*$BS$2, VLOOKUP($A65,TOCA_current!$A$2:$AI$137,MATCH("RHWM 2024",TOCA_current!$A$2:$AI$2,0),FALSE)*$BS$2)</f>
        <v>76043.088000000003</v>
      </c>
      <c r="DW65" s="403">
        <f>SUM(BY65:CV65)+(BS65*RT1SC!$C$4*$BS$2)</f>
        <v>76044.034348560628</v>
      </c>
      <c r="DX65" s="403">
        <f>VLOOKUP($A65,TOCA_current!$A$2:$AI$137,MATCH("Above RHWM Not Served with LS "&amp;$BS$1,TOCA_current!$A$2:$AI$2,0),FALSE)*$BS$2</f>
        <v>0</v>
      </c>
      <c r="DY65" s="403">
        <f t="shared" si="13"/>
        <v>0.94634856062475592</v>
      </c>
      <c r="DZ65" s="403">
        <f>(VLOOKUP($A65,TOCA_current!$A$2:$AI$137,MATCH("RHWM 2024",TOCA_current!$A$2:$AI$2,0),FALSE)*$BS$2) - $DV65</f>
        <v>26422.271999999983</v>
      </c>
      <c r="EA65" s="403">
        <f t="shared" si="14"/>
        <v>-0.94634856062475592</v>
      </c>
      <c r="EB65" s="403">
        <f t="shared" si="15"/>
        <v>0</v>
      </c>
      <c r="EC65" s="403">
        <f t="shared" si="16"/>
        <v>0</v>
      </c>
      <c r="ED65" s="403">
        <f t="shared" si="17"/>
        <v>-0.94634856062475592</v>
      </c>
    </row>
    <row r="66" spans="1:134">
      <c r="A66" s="123">
        <v>10179</v>
      </c>
      <c r="B66" s="124" t="s">
        <v>67</v>
      </c>
      <c r="C66" s="232">
        <f>VLOOKUP(A66, TOCA_current!$A$3:$D$137, 4, FALSE)</f>
        <v>1</v>
      </c>
      <c r="D66" s="191">
        <v>0</v>
      </c>
      <c r="E66" s="107">
        <f>VLOOKUP($A66,TOCA_previous!$A$2:$AI$137,MATCH(E$4,TOCA_previous!$A$2:$AI$2,0),FALSE)</f>
        <v>2.3622799999999999E-2</v>
      </c>
      <c r="F66" s="108">
        <f>VLOOKUP($A66,TOCA_previous!$A$2:$AI$137,MATCH(F$4,TOCA_previous!$A$2:$AI$2,0),FALSE)</f>
        <v>2.3622799999999999E-2</v>
      </c>
      <c r="G66" s="108">
        <f t="shared" si="5"/>
        <v>0</v>
      </c>
      <c r="H66" s="108">
        <f>VLOOKUP($A66,TOCA_previous!$A$2:$AI$137,MATCH(H$4,TOCA_previous!$A$2:$AI$2,0),FALSE)</f>
        <v>0</v>
      </c>
      <c r="I66" s="108">
        <f t="shared" si="6"/>
        <v>0</v>
      </c>
      <c r="J66" s="108">
        <f t="shared" si="7"/>
        <v>2.3622799999999999E-2</v>
      </c>
      <c r="K66" s="179">
        <f>VLOOKUP(A66, IRD!$A$5:$C$139, 3, FALSE)</f>
        <v>0</v>
      </c>
      <c r="L66" s="180">
        <f t="array" ref="L66">IF($G66=0, INDEX(LS_previous!$D$4:$AY$138, MATCH('Staging Table'!$A66, LS_previous!$B$4:$B$138, 0), MATCH(L$4&amp;L$5, LS_previous!$D$2:$AY$2&amp;LS_previous!$D$3:$AY$3, 0)),SUM(VLOOKUP($A66, LS_previous!$B$4:$AY$138, LS_previous!D$149, FALSE), VLOOKUP('Staging Table'!$A66, LS_previous!$B$4:$AY$138,LS_previous!AB$149, FALSE))/2)</f>
        <v>0</v>
      </c>
      <c r="M66" s="180">
        <f t="array" ref="M66">IF($G66=0, INDEX(LS_previous!$D$4:$AY$138, MATCH('Staging Table'!$A66, LS_previous!$B$4:$B$138, 0), MATCH(M$4&amp;M$5, LS_previous!$D$2:$AY$2&amp;LS_previous!$D$3:$AY$3, 0)),SUM(VLOOKUP($A66, LS_previous!$B$4:$AY$138, LS_previous!E$149, FALSE), VLOOKUP('Staging Table'!$A66, LS_previous!$B$4:$AY$138,LS_previous!AC$149, FALSE))/2)</f>
        <v>0</v>
      </c>
      <c r="N66" s="180">
        <f t="array" ref="N66">IF($G66=0, INDEX(LS_previous!$D$4:$AY$138, MATCH('Staging Table'!$A66, LS_previous!$B$4:$B$138, 0), MATCH(N$4&amp;N$5, LS_previous!$D$2:$AY$2&amp;LS_previous!$D$3:$AY$3, 0)),SUM(VLOOKUP($A66, LS_previous!$B$4:$AY$138, LS_previous!F$149, FALSE), VLOOKUP('Staging Table'!$A66, LS_previous!$B$4:$AY$138,LS_previous!AD$149, FALSE))/2)</f>
        <v>0</v>
      </c>
      <c r="O66" s="180">
        <f t="array" ref="O66">IF($G66=0, INDEX(LS_previous!$D$4:$AY$138, MATCH('Staging Table'!$A66, LS_previous!$B$4:$B$138, 0), MATCH(O$4&amp;O$5, LS_previous!$D$2:$AY$2&amp;LS_previous!$D$3:$AY$3, 0)),SUM(VLOOKUP($A66, LS_previous!$B$4:$AY$138, LS_previous!G$149, FALSE), VLOOKUP('Staging Table'!$A66, LS_previous!$B$4:$AY$138,LS_previous!AE$149, FALSE))/2)</f>
        <v>0</v>
      </c>
      <c r="P66" s="180">
        <f t="array" ref="P66">IF($G66=0, INDEX(LS_previous!$D$4:$AY$138, MATCH('Staging Table'!$A66, LS_previous!$B$4:$B$138, 0), MATCH(P$4&amp;P$5, LS_previous!$D$2:$AY$2&amp;LS_previous!$D$3:$AY$3, 0)),SUM(VLOOKUP($A66, LS_previous!$B$4:$AY$138, LS_previous!H$149, FALSE), VLOOKUP('Staging Table'!$A66, LS_previous!$B$4:$AY$138,LS_previous!AF$149, FALSE))/2)</f>
        <v>0</v>
      </c>
      <c r="Q66" s="180">
        <f t="array" ref="Q66">IF($G66=0, INDEX(LS_previous!$D$4:$AY$138, MATCH('Staging Table'!$A66, LS_previous!$B$4:$B$138, 0), MATCH(Q$4&amp;Q$5, LS_previous!$D$2:$AY$2&amp;LS_previous!$D$3:$AY$3, 0)),SUM(VLOOKUP($A66, LS_previous!$B$4:$AY$138, LS_previous!I$149, FALSE), VLOOKUP('Staging Table'!$A66, LS_previous!$B$4:$AY$138,LS_previous!AG$149, FALSE))/2)</f>
        <v>0</v>
      </c>
      <c r="R66" s="180">
        <f t="array" ref="R66">IF($G66=0, INDEX(LS_previous!$D$4:$AY$138, MATCH('Staging Table'!$A66, LS_previous!$B$4:$B$138, 0), MATCH(R$4&amp;R$5, LS_previous!$D$2:$AY$2&amp;LS_previous!$D$3:$AY$3, 0)),SUM(VLOOKUP($A66, LS_previous!$B$4:$AY$138, LS_previous!J$149, FALSE), VLOOKUP('Staging Table'!$A66, LS_previous!$B$4:$AY$138,LS_previous!AH$149, FALSE))/2)</f>
        <v>0</v>
      </c>
      <c r="S66" s="180">
        <f t="array" ref="S66">IF($G66=0, INDEX(LS_previous!$D$4:$AY$138, MATCH('Staging Table'!$A66, LS_previous!$B$4:$B$138, 0), MATCH(S$4&amp;S$5, LS_previous!$D$2:$AY$2&amp;LS_previous!$D$3:$AY$3, 0)),SUM(VLOOKUP($A66, LS_previous!$B$4:$AY$138, LS_previous!K$149, FALSE), VLOOKUP('Staging Table'!$A66, LS_previous!$B$4:$AY$138,LS_previous!AI$149, FALSE))/2)</f>
        <v>0</v>
      </c>
      <c r="T66" s="180">
        <f t="array" ref="T66">IF($G66=0, INDEX(LS_previous!$D$4:$AY$138, MATCH('Staging Table'!$A66, LS_previous!$B$4:$B$138, 0), MATCH(T$4&amp;T$5, LS_previous!$D$2:$AY$2&amp;LS_previous!$D$3:$AY$3, 0)),SUM(VLOOKUP($A66, LS_previous!$B$4:$AY$138, LS_previous!L$149, FALSE), VLOOKUP('Staging Table'!$A66, LS_previous!$B$4:$AY$138,LS_previous!AJ$149, FALSE))/2)</f>
        <v>0</v>
      </c>
      <c r="U66" s="180">
        <f t="array" ref="U66">IF($G66=0, INDEX(LS_previous!$D$4:$AY$138, MATCH('Staging Table'!$A66, LS_previous!$B$4:$B$138, 0), MATCH(U$4&amp;U$5, LS_previous!$D$2:$AY$2&amp;LS_previous!$D$3:$AY$3, 0)),SUM(VLOOKUP($A66, LS_previous!$B$4:$AY$138, LS_previous!M$149, FALSE), VLOOKUP('Staging Table'!$A66, LS_previous!$B$4:$AY$138,LS_previous!AK$149, FALSE))/2)</f>
        <v>0</v>
      </c>
      <c r="V66" s="180">
        <f t="array" ref="V66">IF($G66=0, INDEX(LS_previous!$D$4:$AY$138, MATCH('Staging Table'!$A66, LS_previous!$B$4:$B$138, 0), MATCH(V$4&amp;V$5, LS_previous!$D$2:$AY$2&amp;LS_previous!$D$3:$AY$3, 0)),SUM(VLOOKUP($A66, LS_previous!$B$4:$AY$138, LS_previous!N$149, FALSE), VLOOKUP('Staging Table'!$A66, LS_previous!$B$4:$AY$138,LS_previous!AL$149, FALSE))/2)</f>
        <v>0</v>
      </c>
      <c r="W66" s="180">
        <f t="array" ref="W66">IF($G66=0, INDEX(LS_previous!$D$4:$AY$138, MATCH('Staging Table'!$A66, LS_previous!$B$4:$B$138, 0), MATCH(W$4&amp;W$5, LS_previous!$D$2:$AY$2&amp;LS_previous!$D$3:$AY$3, 0)),SUM(VLOOKUP($A66, LS_previous!$B$4:$AY$138, LS_previous!O$149, FALSE), VLOOKUP('Staging Table'!$A66, LS_previous!$B$4:$AY$138,LS_previous!AM$149, FALSE))/2)</f>
        <v>0</v>
      </c>
      <c r="X66" s="180">
        <f t="array" ref="X66">IF($G66=0, INDEX(LS_previous!$D$4:$AY$138, MATCH('Staging Table'!$A66, LS_previous!$B$4:$B$138, 0), MATCH(X$4&amp;X$5, LS_previous!$D$2:$AY$2&amp;LS_previous!$D$3:$AY$3, 0)),SUM(VLOOKUP($A66, LS_previous!$B$4:$AY$138, LS_previous!P$149, FALSE), VLOOKUP('Staging Table'!$A66, LS_previous!$B$4:$AY$138,LS_previous!AN$149, FALSE))/2)</f>
        <v>0</v>
      </c>
      <c r="Y66" s="180">
        <f t="array" ref="Y66">IF($G66=0, INDEX(LS_previous!$D$4:$AY$138, MATCH('Staging Table'!$A66, LS_previous!$B$4:$B$138, 0), MATCH(Y$4&amp;Y$5, LS_previous!$D$2:$AY$2&amp;LS_previous!$D$3:$AY$3, 0)),SUM(VLOOKUP($A66, LS_previous!$B$4:$AY$138, LS_previous!Q$149, FALSE), VLOOKUP('Staging Table'!$A66, LS_previous!$B$4:$AY$138,LS_previous!AO$149, FALSE))/2)</f>
        <v>0</v>
      </c>
      <c r="Z66" s="180">
        <f t="array" ref="Z66">IF($G66=0, INDEX(LS_previous!$D$4:$AY$138, MATCH('Staging Table'!$A66, LS_previous!$B$4:$B$138, 0), MATCH(Z$4&amp;Z$5, LS_previous!$D$2:$AY$2&amp;LS_previous!$D$3:$AY$3, 0)),SUM(VLOOKUP($A66, LS_previous!$B$4:$AY$138, LS_previous!R$149, FALSE), VLOOKUP('Staging Table'!$A66, LS_previous!$B$4:$AY$138,LS_previous!AP$149, FALSE))/2)</f>
        <v>0</v>
      </c>
      <c r="AA66" s="180">
        <f t="array" ref="AA66">IF($G66=0, INDEX(LS_previous!$D$4:$AY$138, MATCH('Staging Table'!$A66, LS_previous!$B$4:$B$138, 0), MATCH(AA$4&amp;AA$5, LS_previous!$D$2:$AY$2&amp;LS_previous!$D$3:$AY$3, 0)),SUM(VLOOKUP($A66, LS_previous!$B$4:$AY$138, LS_previous!S$149, FALSE), VLOOKUP('Staging Table'!$A66, LS_previous!$B$4:$AY$138,LS_previous!AQ$149, FALSE))/2)</f>
        <v>0</v>
      </c>
      <c r="AB66" s="180">
        <f t="array" ref="AB66">IF($G66=0, INDEX(LS_previous!$D$4:$AY$138, MATCH('Staging Table'!$A66, LS_previous!$B$4:$B$138, 0), MATCH(AB$4&amp;AB$5, LS_previous!$D$2:$AY$2&amp;LS_previous!$D$3:$AY$3, 0)),SUM(VLOOKUP($A66, LS_previous!$B$4:$AY$138, LS_previous!T$149, FALSE), VLOOKUP('Staging Table'!$A66, LS_previous!$B$4:$AY$138,LS_previous!AR$149, FALSE))/2)</f>
        <v>0</v>
      </c>
      <c r="AC66" s="180">
        <f t="array" ref="AC66">IF($G66=0, INDEX(LS_previous!$D$4:$AY$138, MATCH('Staging Table'!$A66, LS_previous!$B$4:$B$138, 0), MATCH(AC$4&amp;AC$5, LS_previous!$D$2:$AY$2&amp;LS_previous!$D$3:$AY$3, 0)),SUM(VLOOKUP($A66, LS_previous!$B$4:$AY$138, LS_previous!U$149, FALSE), VLOOKUP('Staging Table'!$A66, LS_previous!$B$4:$AY$138,LS_previous!AS$149, FALSE))/2)</f>
        <v>0</v>
      </c>
      <c r="AD66" s="180">
        <f t="array" ref="AD66">IF($G66=0, INDEX(LS_previous!$D$4:$AY$138, MATCH('Staging Table'!$A66, LS_previous!$B$4:$B$138, 0), MATCH(AD$4&amp;AD$5, LS_previous!$D$2:$AY$2&amp;LS_previous!$D$3:$AY$3, 0)),SUM(VLOOKUP($A66, LS_previous!$B$4:$AY$138, LS_previous!V$149, FALSE), VLOOKUP('Staging Table'!$A66, LS_previous!$B$4:$AY$138,LS_previous!AT$149, FALSE))/2)</f>
        <v>0</v>
      </c>
      <c r="AE66" s="180">
        <f t="array" ref="AE66">IF($G66=0, INDEX(LS_previous!$D$4:$AY$138, MATCH('Staging Table'!$A66, LS_previous!$B$4:$B$138, 0), MATCH(AE$4&amp;AE$5, LS_previous!$D$2:$AY$2&amp;LS_previous!$D$3:$AY$3, 0)),SUM(VLOOKUP($A66, LS_previous!$B$4:$AY$138, LS_previous!W$149, FALSE), VLOOKUP('Staging Table'!$A66, LS_previous!$B$4:$AY$138,LS_previous!AU$149, FALSE))/2)</f>
        <v>0</v>
      </c>
      <c r="AF66" s="180">
        <f t="array" ref="AF66">IF($G66=0, INDEX(LS_previous!$D$4:$AY$138, MATCH('Staging Table'!$A66, LS_previous!$B$4:$B$138, 0), MATCH(AF$4&amp;AF$5, LS_previous!$D$2:$AY$2&amp;LS_previous!$D$3:$AY$3, 0)),SUM(VLOOKUP($A66, LS_previous!$B$4:$AY$138, LS_previous!X$149, FALSE), VLOOKUP('Staging Table'!$A66, LS_previous!$B$4:$AY$138,LS_previous!AV$149, FALSE))/2)</f>
        <v>0</v>
      </c>
      <c r="AG66" s="180">
        <f t="array" ref="AG66">IF($G66=0, INDEX(LS_previous!$D$4:$AY$138, MATCH('Staging Table'!$A66, LS_previous!$B$4:$B$138, 0), MATCH(AG$4&amp;AG$5, LS_previous!$D$2:$AY$2&amp;LS_previous!$D$3:$AY$3, 0)),SUM(VLOOKUP($A66, LS_previous!$B$4:$AY$138, LS_previous!Y$149, FALSE), VLOOKUP('Staging Table'!$A66, LS_previous!$B$4:$AY$138,LS_previous!AW$149, FALSE))/2)</f>
        <v>0</v>
      </c>
      <c r="AH66" s="180">
        <f t="array" ref="AH66">IF($G66=0, INDEX(LS_previous!$D$4:$AY$138, MATCH('Staging Table'!$A66, LS_previous!$B$4:$B$138, 0), MATCH(AH$4&amp;AH$5, LS_previous!$D$2:$AY$2&amp;LS_previous!$D$3:$AY$3, 0)),SUM(VLOOKUP($A66, LS_previous!$B$4:$AY$138, LS_previous!Z$149, FALSE), VLOOKUP('Staging Table'!$A66, LS_previous!$B$4:$AY$138,LS_previous!AX$149, FALSE))/2)</f>
        <v>0</v>
      </c>
      <c r="AI66" s="180">
        <f t="array" ref="AI66">IF($G66=0, INDEX(LS_previous!$D$4:$AY$138, MATCH('Staging Table'!$A66, LS_previous!$B$4:$B$138, 0), MATCH(AI$4&amp;AI$5, LS_previous!$D$2:$AY$2&amp;LS_previous!$D$3:$AY$3, 0)),SUM(VLOOKUP($A66, LS_previous!$B$4:$AY$138, LS_previous!AA$149, FALSE), VLOOKUP('Staging Table'!$A66, LS_previous!$B$4:$AY$138,LS_previous!AY$149, FALSE))/2)</f>
        <v>0</v>
      </c>
      <c r="AJ66" s="298">
        <f t="array" ref="AJ66">INDEX(Demand_previous!$D$4:$AY$138, MATCH('Staging Table'!$A66, Demand_previous!$B$4:$B$138, 0), MATCH(AJ$4&amp;AJ$5,Demand_previous!$D$2:$AY$2&amp;Demand_previous!$D$3:$AY$3, 0))/1000</f>
        <v>0</v>
      </c>
      <c r="AK66" s="298">
        <f t="array" ref="AK66">INDEX(Demand_previous!$D$4:$AY$138, MATCH('Staging Table'!$A66, Demand_previous!$B$4:$B$138, 0), MATCH(AK$4&amp;AK$5,Demand_previous!$D$2:$AY$2&amp;Demand_previous!$D$3:$AY$3, 0))/1000</f>
        <v>0</v>
      </c>
      <c r="AL66" s="298">
        <f t="array" ref="AL66">INDEX(Demand_previous!$D$4:$AY$138, MATCH('Staging Table'!$A66, Demand_previous!$B$4:$B$138, 0), MATCH(AL$4&amp;AL$5,Demand_previous!$D$2:$AY$2&amp;Demand_previous!$D$3:$AY$3, 0))/1000</f>
        <v>0</v>
      </c>
      <c r="AM66" s="298">
        <f t="array" ref="AM66">INDEX(Demand_previous!$D$4:$AY$138, MATCH('Staging Table'!$A66, Demand_previous!$B$4:$B$138, 0), MATCH(AM$4&amp;AM$5,Demand_previous!$D$2:$AY$2&amp;Demand_previous!$D$3:$AY$3, 0))/1000</f>
        <v>0</v>
      </c>
      <c r="AN66" s="298">
        <f t="array" ref="AN66">INDEX(Demand_previous!$D$4:$AY$138, MATCH('Staging Table'!$A66, Demand_previous!$B$4:$B$138, 0), MATCH(AN$4&amp;AN$5,Demand_previous!$D$2:$AY$2&amp;Demand_previous!$D$3:$AY$3, 0))/1000</f>
        <v>0</v>
      </c>
      <c r="AO66" s="298">
        <f t="array" ref="AO66">INDEX(Demand_previous!$D$4:$AY$138, MATCH('Staging Table'!$A66, Demand_previous!$B$4:$B$138, 0), MATCH(AO$4&amp;AO$5,Demand_previous!$D$2:$AY$2&amp;Demand_previous!$D$3:$AY$3, 0))/1000</f>
        <v>0</v>
      </c>
      <c r="AP66" s="298">
        <f t="array" ref="AP66">INDEX(Demand_previous!$D$4:$AY$138, MATCH('Staging Table'!$A66, Demand_previous!$B$4:$B$138, 0), MATCH(AP$4&amp;AP$5,Demand_previous!$D$2:$AY$2&amp;Demand_previous!$D$3:$AY$3, 0))/1000</f>
        <v>0</v>
      </c>
      <c r="AQ66" s="298">
        <f t="array" ref="AQ66">INDEX(Demand_previous!$D$4:$AY$138, MATCH('Staging Table'!$A66, Demand_previous!$B$4:$B$138, 0), MATCH(AQ$4&amp;AQ$5,Demand_previous!$D$2:$AY$2&amp;Demand_previous!$D$3:$AY$3, 0))/1000</f>
        <v>0</v>
      </c>
      <c r="AR66" s="298">
        <f t="array" ref="AR66">INDEX(Demand_previous!$D$4:$AY$138, MATCH('Staging Table'!$A66, Demand_previous!$B$4:$B$138, 0), MATCH(AR$4&amp;AR$5,Demand_previous!$D$2:$AY$2&amp;Demand_previous!$D$3:$AY$3, 0))/1000</f>
        <v>0</v>
      </c>
      <c r="AS66" s="298">
        <f t="array" ref="AS66">INDEX(Demand_previous!$D$4:$AY$138, MATCH('Staging Table'!$A66, Demand_previous!$B$4:$B$138, 0), MATCH(AS$4&amp;AS$5,Demand_previous!$D$2:$AY$2&amp;Demand_previous!$D$3:$AY$3, 0))/1000</f>
        <v>0</v>
      </c>
      <c r="AT66" s="298">
        <f t="array" ref="AT66">INDEX(Demand_previous!$D$4:$AY$138, MATCH('Staging Table'!$A66, Demand_previous!$B$4:$B$138, 0), MATCH(AT$4&amp;AT$5,Demand_previous!$D$2:$AY$2&amp;Demand_previous!$D$3:$AY$3, 0))/1000</f>
        <v>0</v>
      </c>
      <c r="AU66" s="298">
        <f t="array" ref="AU66">INDEX(Demand_previous!$D$4:$AY$138, MATCH('Staging Table'!$A66, Demand_previous!$B$4:$B$138, 0), MATCH(AU$4&amp;AU$5,Demand_previous!$D$2:$AY$2&amp;Demand_previous!$D$3:$AY$3, 0))/1000</f>
        <v>0</v>
      </c>
      <c r="AV66" s="180">
        <f>$F66*(VLOOKUP(AV$4, Rates_previous!$G$6:$Q$29, 10, FALSE)+VLOOKUP(AV$4, Rates_previous!$G$6:$Q$29, 11, FALSE))</f>
        <v>107576.4458068002</v>
      </c>
      <c r="AW66" s="180">
        <f>$F66*(VLOOKUP(AW$4, Rates_previous!$G$6:$Q$29, 10, FALSE)+VLOOKUP(AW$4, Rates_previous!$G$6:$Q$29, 11, FALSE))</f>
        <v>136195.68460929688</v>
      </c>
      <c r="AX66" s="180">
        <f>$F66*(VLOOKUP(AX$4, Rates_previous!$G$6:$Q$29, 10, FALSE)+VLOOKUP(AX$4, Rates_previous!$G$6:$Q$29, 11, FALSE))</f>
        <v>133308.36562065451</v>
      </c>
      <c r="AY66" s="180">
        <f>$F66*(VLOOKUP(AY$4, Rates_previous!$G$6:$Q$29, 10, FALSE)+VLOOKUP(AY$4, Rates_previous!$G$6:$Q$29, 11, FALSE))</f>
        <v>110107.04108548876</v>
      </c>
      <c r="AZ66" s="180">
        <f>$F66*(VLOOKUP(AZ$4, Rates_previous!$G$6:$Q$29, 10, FALSE)+VLOOKUP(AZ$4, Rates_previous!$G$6:$Q$29, 11, FALSE))</f>
        <v>95432.185734528714</v>
      </c>
      <c r="BA66" s="180">
        <f>$F66*(VLOOKUP(BA$4, Rates_previous!$G$6:$Q$29, 10, FALSE)+VLOOKUP(BA$4, Rates_previous!$G$6:$Q$29, 11, FALSE))</f>
        <v>113926.75826330739</v>
      </c>
      <c r="BB66" s="180">
        <f>$F66*(VLOOKUP(BB$4, Rates_previous!$G$6:$Q$29, 10, FALSE)+VLOOKUP(BB$4, Rates_previous!$G$6:$Q$29, 11, FALSE))</f>
        <v>88448.960847520124</v>
      </c>
      <c r="BC66" s="180">
        <f>$F66*(VLOOKUP(BC$4, Rates_previous!$G$6:$Q$29, 10, FALSE)+VLOOKUP(BC$4, Rates_previous!$G$6:$Q$29, 11, FALSE))</f>
        <v>122546.68614873783</v>
      </c>
      <c r="BD66" s="180">
        <f>$F66*(VLOOKUP(BD$4, Rates_previous!$G$6:$Q$29, 10, FALSE)+VLOOKUP(BD$4, Rates_previous!$G$6:$Q$29, 11, FALSE))</f>
        <v>130943.70017352651</v>
      </c>
      <c r="BE66" s="180">
        <f>$F66*(VLOOKUP(BE$4, Rates_previous!$G$6:$Q$29, 10, FALSE)+VLOOKUP(BE$4, Rates_previous!$G$6:$Q$29, 11, FALSE))</f>
        <v>124325.11397467583</v>
      </c>
      <c r="BF66" s="180">
        <f>$F66*(VLOOKUP(BF$4, Rates_previous!$G$6:$Q$29, 10, FALSE)+VLOOKUP(BF$4, Rates_previous!$G$6:$Q$29, 11, FALSE))</f>
        <v>120150.63147300942</v>
      </c>
      <c r="BG66" s="180">
        <f>$F66*(VLOOKUP(BG$4, Rates_previous!$G$6:$Q$29, 10, FALSE)+VLOOKUP(BG$4, Rates_previous!$G$6:$Q$29, 11, FALSE))</f>
        <v>111031.70868801777</v>
      </c>
      <c r="BH66" s="298">
        <f>IF($D66=0,IF(C66=0, MAX(BJ66 - (VLOOKUP($A66,TOCA_previous!$A$2:$AI$137,MATCH("RHWM 2022",TOCA_previous!$A$2:$AI$2,0),FALSE)*$F$2*TOCA_previous!C63),0),0), 0)</f>
        <v>0</v>
      </c>
      <c r="BI66" s="192">
        <f>MIN(VLOOKUP($A66,TOCA_previous!$A$2:$AI$137,MATCH("TRL - NLSL - Existing Resource "&amp;$F$1,TOCA_previous!$A$2:$AI$2,0),FALSE)*$F$2,(VLOOKUP($A66,TOCA_previous!$A$2:$AI$137,MATCH("RHWM 2022",TOCA_previous!$A$2:$AI$2,0),FALSE)*$F$2))</f>
        <v>1393996.32</v>
      </c>
      <c r="BJ66" s="402">
        <f>SUM(L66:AI66)+(F66*RT1SC!$C$3*$F$2)</f>
        <v>1393993.3537343519</v>
      </c>
      <c r="BK66" s="401">
        <f>VLOOKUP($A66,TOCA_previous!$A$2:$AI$137,MATCH("Above RHWM Not Served with LS "&amp;$F$1,TOCA_previous!$A$2:$AI$2,0),FALSE)*$F$2</f>
        <v>204274.44</v>
      </c>
      <c r="BL66" s="402">
        <f t="shared" si="8"/>
        <v>-2.966265648137778</v>
      </c>
      <c r="BM66" s="401">
        <f>(VLOOKUP($A66,TOCA_previous!$A$2:$AI$137,MATCH("RHWM 2022",TOCA_previous!$A$2:$AI$2,0),FALSE)*$F$2) - $BI66</f>
        <v>0</v>
      </c>
      <c r="BN66" s="402">
        <f t="shared" si="9"/>
        <v>0</v>
      </c>
      <c r="BO66" s="401">
        <f t="shared" si="10"/>
        <v>0</v>
      </c>
      <c r="BP66" s="402">
        <f t="shared" si="11"/>
        <v>0</v>
      </c>
      <c r="BQ66" s="401">
        <f t="shared" si="18"/>
        <v>0</v>
      </c>
      <c r="BR66" s="108">
        <f>VLOOKUP($A66,TOCA_current!$A$2:$AI$137,MATCH(BR$4,TOCA_current!$A$2:$AI$2,0),FALSE)</f>
        <v>2.3617900000000001E-2</v>
      </c>
      <c r="BS66" s="108">
        <f>VLOOKUP($A66,TOCA_current!$A$2:$AI$137,MATCH(BS$4,TOCA_current!$A$2:$AI$2,0),FALSE)</f>
        <v>2.3617900000000001E-2</v>
      </c>
      <c r="BT66" s="189">
        <f t="shared" si="12"/>
        <v>0</v>
      </c>
      <c r="BU66" s="108">
        <f>VLOOKUP($A66,TOCA_current!A62:BG197,MATCH(BU$4,TOCA_current!$A$2:$BG$2,0),FALSE)</f>
        <v>0</v>
      </c>
      <c r="BV66" s="108">
        <f t="shared" si="19"/>
        <v>0</v>
      </c>
      <c r="BW66" s="108">
        <f t="shared" si="20"/>
        <v>2.3617900000000001E-2</v>
      </c>
      <c r="BX66" s="179">
        <f>VLOOKUP($A66,IRD!$A$4:$G$139, 7, FALSE)</f>
        <v>0</v>
      </c>
      <c r="BY66" s="180">
        <f t="array" ref="BY66">IF($BT66=0, INDEX(LS_current!$D$4:$AY$138, MATCH('Staging Table'!$A66, LS_current!$B$4:$B$138, 0), MATCH(BY$4&amp;BY$5, LS_current!$D$2:$AY$2&amp;LS_current!$D$3:$AY$3, 0)),SUM(VLOOKUP($A66, LS_current!$B$4:$AY$138, LS_current!D$148, FALSE), VLOOKUP($A66, LS_current!$B$4:$AY$138,LS_current!AB$148, FALSE))/2)</f>
        <v>0</v>
      </c>
      <c r="BZ66" s="180">
        <f t="array" ref="BZ66">IF($BT66=0, INDEX(LS_current!$D$4:$AY$138, MATCH('Staging Table'!$A66, LS_current!$B$4:$B$138, 0), MATCH(BZ$4&amp;BZ$5, LS_current!$D$2:$AY$2&amp;LS_current!$D$3:$AY$3, 0)),SUM(VLOOKUP($A66, LS_current!$B$4:$AY$138, LS_current!E$148, FALSE), VLOOKUP($A66, LS_current!$B$4:$AY$138,LS_current!AC$148, FALSE))/2)</f>
        <v>0</v>
      </c>
      <c r="CA66" s="180">
        <f t="array" ref="CA66">IF($BT66=0, INDEX(LS_current!$D$4:$AY$138, MATCH('Staging Table'!$A66, LS_current!$B$4:$B$138, 0), MATCH(CA$4&amp;CA$5, LS_current!$D$2:$AY$2&amp;LS_current!$D$3:$AY$3, 0)),SUM(VLOOKUP($A66, LS_current!$B$4:$AY$138, LS_current!F$148, FALSE), VLOOKUP($A66, LS_current!$B$4:$AY$138,LS_current!AD$148, FALSE))/2)</f>
        <v>0</v>
      </c>
      <c r="CB66" s="180">
        <f t="array" ref="CB66">IF($BT66=0, INDEX(LS_current!$D$4:$AY$138, MATCH('Staging Table'!$A66, LS_current!$B$4:$B$138, 0), MATCH(CB$4&amp;CB$5, LS_current!$D$2:$AY$2&amp;LS_current!$D$3:$AY$3, 0)),SUM(VLOOKUP($A66, LS_current!$B$4:$AY$138, LS_current!G$148, FALSE), VLOOKUP($A66, LS_current!$B$4:$AY$138,LS_current!AE$148, FALSE))/2)</f>
        <v>0</v>
      </c>
      <c r="CC66" s="180">
        <f t="array" ref="CC66">IF($BT66=0, INDEX(LS_current!$D$4:$AY$138, MATCH('Staging Table'!$A66, LS_current!$B$4:$B$138, 0), MATCH(CC$4&amp;CC$5, LS_current!$D$2:$AY$2&amp;LS_current!$D$3:$AY$3, 0)),SUM(VLOOKUP($A66, LS_current!$B$4:$AY$138, LS_current!H$148, FALSE), VLOOKUP($A66, LS_current!$B$4:$AY$138,LS_current!AF$148, FALSE))/2)</f>
        <v>0</v>
      </c>
      <c r="CD66" s="180">
        <f t="array" ref="CD66">IF($BT66=0, INDEX(LS_current!$D$4:$AY$138, MATCH('Staging Table'!$A66, LS_current!$B$4:$B$138, 0), MATCH(CD$4&amp;CD$5, LS_current!$D$2:$AY$2&amp;LS_current!$D$3:$AY$3, 0)),SUM(VLOOKUP($A66, LS_current!$B$4:$AY$138, LS_current!I$148, FALSE), VLOOKUP($A66, LS_current!$B$4:$AY$138,LS_current!AG$148, FALSE))/2)</f>
        <v>0</v>
      </c>
      <c r="CE66" s="180">
        <f t="array" ref="CE66">IF($BT66=0, INDEX(LS_current!$D$4:$AY$138, MATCH('Staging Table'!$A66, LS_current!$B$4:$B$138, 0), MATCH(CE$4&amp;CE$5, LS_current!$D$2:$AY$2&amp;LS_current!$D$3:$AY$3, 0)),SUM(VLOOKUP($A66, LS_current!$B$4:$AY$138, LS_current!J$148, FALSE), VLOOKUP($A66, LS_current!$B$4:$AY$138,LS_current!AH$148, FALSE))/2)</f>
        <v>0</v>
      </c>
      <c r="CF66" s="180">
        <f t="array" ref="CF66">IF($BT66=0, INDEX(LS_current!$D$4:$AY$138, MATCH('Staging Table'!$A66, LS_current!$B$4:$B$138, 0), MATCH(CF$4&amp;CF$5, LS_current!$D$2:$AY$2&amp;LS_current!$D$3:$AY$3, 0)),SUM(VLOOKUP($A66, LS_current!$B$4:$AY$138, LS_current!K$148, FALSE), VLOOKUP($A66, LS_current!$B$4:$AY$138,LS_current!AI$148, FALSE))/2)</f>
        <v>0</v>
      </c>
      <c r="CG66" s="180">
        <f t="array" ref="CG66">IF($BT66=0, INDEX(LS_current!$D$4:$AY$138, MATCH('Staging Table'!$A66, LS_current!$B$4:$B$138, 0), MATCH(CG$4&amp;CG$5, LS_current!$D$2:$AY$2&amp;LS_current!$D$3:$AY$3, 0)),SUM(VLOOKUP($A66, LS_current!$B$4:$AY$138, LS_current!L$148, FALSE), VLOOKUP($A66, LS_current!$B$4:$AY$138,LS_current!AJ$148, FALSE))/2)</f>
        <v>0</v>
      </c>
      <c r="CH66" s="180">
        <f t="array" ref="CH66">IF($BT66=0, INDEX(LS_current!$D$4:$AY$138, MATCH('Staging Table'!$A66, LS_current!$B$4:$B$138, 0), MATCH(CH$4&amp;CH$5, LS_current!$D$2:$AY$2&amp;LS_current!$D$3:$AY$3, 0)),SUM(VLOOKUP($A66, LS_current!$B$4:$AY$138, LS_current!M$148, FALSE), VLOOKUP($A66, LS_current!$B$4:$AY$138,LS_current!AK$148, FALSE))/2)</f>
        <v>0</v>
      </c>
      <c r="CI66" s="180">
        <f t="array" ref="CI66">IF($BT66=0, INDEX(LS_current!$D$4:$AY$138, MATCH('Staging Table'!$A66, LS_current!$B$4:$B$138, 0), MATCH(CI$4&amp;CI$5, LS_current!$D$2:$AY$2&amp;LS_current!$D$3:$AY$3, 0)),SUM(VLOOKUP($A66, LS_current!$B$4:$AY$138, LS_current!N$148, FALSE), VLOOKUP($A66, LS_current!$B$4:$AY$138,LS_current!AL$148, FALSE))/2)</f>
        <v>0</v>
      </c>
      <c r="CJ66" s="180">
        <f t="array" ref="CJ66">IF($BT66=0, INDEX(LS_current!$D$4:$AY$138, MATCH('Staging Table'!$A66, LS_current!$B$4:$B$138, 0), MATCH(CJ$4&amp;CJ$5, LS_current!$D$2:$AY$2&amp;LS_current!$D$3:$AY$3, 0)),SUM(VLOOKUP($A66, LS_current!$B$4:$AY$138, LS_current!O$148, FALSE), VLOOKUP($A66, LS_current!$B$4:$AY$138,LS_current!AM$148, FALSE))/2)</f>
        <v>0</v>
      </c>
      <c r="CK66" s="180">
        <f t="array" ref="CK66">IF($BT66=0, INDEX(LS_current!$D$4:$AY$138, MATCH('Staging Table'!$A66, LS_current!$B$4:$B$138, 0), MATCH(CK$4&amp;CK$5, LS_current!$D$2:$AY$2&amp;LS_current!$D$3:$AY$3, 0)),SUM(VLOOKUP($A66, LS_current!$B$4:$AY$138, LS_current!P$148, FALSE), VLOOKUP($A66, LS_current!$B$4:$AY$138,LS_current!AN$148, FALSE))/2)</f>
        <v>0</v>
      </c>
      <c r="CL66" s="180">
        <f t="array" ref="CL66">IF($BT66=0, INDEX(LS_current!$D$4:$AY$138, MATCH('Staging Table'!$A66, LS_current!$B$4:$B$138, 0), MATCH(CL$4&amp;CL$5, LS_current!$D$2:$AY$2&amp;LS_current!$D$3:$AY$3, 0)),SUM(VLOOKUP($A66, LS_current!$B$4:$AY$138, LS_current!Q$148, FALSE), VLOOKUP($A66, LS_current!$B$4:$AY$138,LS_current!AO$148, FALSE))/2)</f>
        <v>0</v>
      </c>
      <c r="CM66" s="180">
        <f t="array" ref="CM66">IF($BT66=0, INDEX(LS_current!$D$4:$AY$138, MATCH('Staging Table'!$A66, LS_current!$B$4:$B$138, 0), MATCH(CM$4&amp;CM$5, LS_current!$D$2:$AY$2&amp;LS_current!$D$3:$AY$3, 0)),SUM(VLOOKUP($A66, LS_current!$B$4:$AY$138, LS_current!R$148, FALSE), VLOOKUP($A66, LS_current!$B$4:$AY$138,LS_current!AP$148, FALSE))/2)</f>
        <v>0</v>
      </c>
      <c r="CN66" s="180">
        <f t="array" ref="CN66">IF($BT66=0, INDEX(LS_current!$D$4:$AY$138, MATCH('Staging Table'!$A66, LS_current!$B$4:$B$138, 0), MATCH(CN$4&amp;CN$5, LS_current!$D$2:$AY$2&amp;LS_current!$D$3:$AY$3, 0)),SUM(VLOOKUP($A66, LS_current!$B$4:$AY$138, LS_current!S$148, FALSE), VLOOKUP($A66, LS_current!$B$4:$AY$138,LS_current!AQ$148, FALSE))/2)</f>
        <v>0</v>
      </c>
      <c r="CO66" s="180">
        <f t="array" ref="CO66">IF($BT66=0, INDEX(LS_current!$D$4:$AY$138, MATCH('Staging Table'!$A66, LS_current!$B$4:$B$138, 0), MATCH(CO$4&amp;CO$5, LS_current!$D$2:$AY$2&amp;LS_current!$D$3:$AY$3, 0)),SUM(VLOOKUP($A66, LS_current!$B$4:$AY$138, LS_current!T$148, FALSE), VLOOKUP($A66, LS_current!$B$4:$AY$138,LS_current!AR$148, FALSE))/2)</f>
        <v>0</v>
      </c>
      <c r="CP66" s="180">
        <f t="array" ref="CP66">IF($BT66=0, INDEX(LS_current!$D$4:$AY$138, MATCH('Staging Table'!$A66, LS_current!$B$4:$B$138, 0), MATCH(CP$4&amp;CP$5, LS_current!$D$2:$AY$2&amp;LS_current!$D$3:$AY$3, 0)),SUM(VLOOKUP($A66, LS_current!$B$4:$AY$138, LS_current!U$148, FALSE), VLOOKUP($A66, LS_current!$B$4:$AY$138,LS_current!AS$148, FALSE))/2)</f>
        <v>0</v>
      </c>
      <c r="CQ66" s="180">
        <f t="array" ref="CQ66">IF($BT66=0, INDEX(LS_current!$D$4:$AY$138, MATCH('Staging Table'!$A66, LS_current!$B$4:$B$138, 0), MATCH(CQ$4&amp;CQ$5, LS_current!$D$2:$AY$2&amp;LS_current!$D$3:$AY$3, 0)),SUM(VLOOKUP($A66, LS_current!$B$4:$AY$138, LS_current!V$148, FALSE), VLOOKUP($A66, LS_current!$B$4:$AY$138,LS_current!AT$148, FALSE))/2)</f>
        <v>0</v>
      </c>
      <c r="CR66" s="180">
        <f t="array" ref="CR66">IF($BT66=0, INDEX(LS_current!$D$4:$AY$138, MATCH('Staging Table'!$A66, LS_current!$B$4:$B$138, 0), MATCH(CR$4&amp;CR$5, LS_current!$D$2:$AY$2&amp;LS_current!$D$3:$AY$3, 0)),SUM(VLOOKUP($A66, LS_current!$B$4:$AY$138, LS_current!W$148, FALSE), VLOOKUP($A66, LS_current!$B$4:$AY$138,LS_current!AU$148, FALSE))/2)</f>
        <v>0</v>
      </c>
      <c r="CS66" s="180">
        <f t="array" ref="CS66">IF($BT66=0, INDEX(LS_current!$D$4:$AY$138, MATCH('Staging Table'!$A66, LS_current!$B$4:$B$138, 0), MATCH(CS$4&amp;CS$5, LS_current!$D$2:$AY$2&amp;LS_current!$D$3:$AY$3, 0)),SUM(VLOOKUP($A66, LS_current!$B$4:$AY$138, LS_current!X$148, FALSE), VLOOKUP($A66, LS_current!$B$4:$AY$138,LS_current!AV$148, FALSE))/2)</f>
        <v>0</v>
      </c>
      <c r="CT66" s="180">
        <f t="array" ref="CT66">IF($BT66=0, INDEX(LS_current!$D$4:$AY$138, MATCH('Staging Table'!$A66, LS_current!$B$4:$B$138, 0), MATCH(CT$4&amp;CT$5, LS_current!$D$2:$AY$2&amp;LS_current!$D$3:$AY$3, 0)),SUM(VLOOKUP($A66, LS_current!$B$4:$AY$138, LS_current!Y$148, FALSE), VLOOKUP($A66, LS_current!$B$4:$AY$138,LS_current!AW$148, FALSE))/2)</f>
        <v>0</v>
      </c>
      <c r="CU66" s="180">
        <f t="array" ref="CU66">IF($BT66=0, INDEX(LS_current!$D$4:$AY$138, MATCH('Staging Table'!$A66, LS_current!$B$4:$B$138, 0), MATCH(CU$4&amp;CU$5, LS_current!$D$2:$AY$2&amp;LS_current!$D$3:$AY$3, 0)),SUM(VLOOKUP($A66, LS_current!$B$4:$AY$138, LS_current!Z$148, FALSE), VLOOKUP($A66, LS_current!$B$4:$AY$138,LS_current!AX$148, FALSE))/2)</f>
        <v>0</v>
      </c>
      <c r="CV66" s="180">
        <f t="array" ref="CV66">IF($BT66=0, INDEX(LS_current!$D$4:$AY$138, MATCH('Staging Table'!$A66, LS_current!$B$4:$B$138, 0), MATCH(CV$4&amp;CV$5, LS_current!$D$2:$AY$2&amp;LS_current!$D$3:$AY$3, 0)),SUM(VLOOKUP($A66, LS_current!$B$4:$AY$138, LS_current!AA$148, FALSE), VLOOKUP($A66, LS_current!$B$4:$AY$138,LS_current!AY$148, FALSE))/2)</f>
        <v>0</v>
      </c>
      <c r="CW66" s="182">
        <f t="array" ref="CW66">INDEX(Demand_current!$D$4:$AY$138, MATCH($A66, Demand_current!$B$4:$B$138, 0), MATCH(CW$4&amp;CW$5,Demand_current!$D$2:$AY$2&amp;Demand_current!$D$3:$AY$3, 0))/1000</f>
        <v>0</v>
      </c>
      <c r="CX66" s="182">
        <f t="array" ref="CX66">INDEX(Demand_current!$D$4:$AY$138, MATCH($A66, Demand_current!$B$4:$B$138, 0), MATCH(CX$4&amp;CX$5,Demand_current!$D$2:$AY$2&amp;Demand_current!$D$3:$AY$3, 0))/1000</f>
        <v>0</v>
      </c>
      <c r="CY66" s="182">
        <f t="array" ref="CY66">INDEX(Demand_current!$D$4:$AY$138, MATCH($A66, Demand_current!$B$4:$B$138, 0), MATCH(CY$4&amp;CY$5,Demand_current!$D$2:$AY$2&amp;Demand_current!$D$3:$AY$3, 0))/1000</f>
        <v>0</v>
      </c>
      <c r="CZ66" s="182">
        <f t="array" ref="CZ66">INDEX(Demand_current!$D$4:$AY$138, MATCH($A66, Demand_current!$B$4:$B$138, 0), MATCH(CZ$4&amp;CZ$5,Demand_current!$D$2:$AY$2&amp;Demand_current!$D$3:$AY$3, 0))/1000</f>
        <v>0</v>
      </c>
      <c r="DA66" s="182">
        <f t="array" ref="DA66">INDEX(Demand_current!$D$4:$AY$138, MATCH($A66, Demand_current!$B$4:$B$138, 0), MATCH(DA$4&amp;DA$5,Demand_current!$D$2:$AY$2&amp;Demand_current!$D$3:$AY$3, 0))/1000</f>
        <v>0</v>
      </c>
      <c r="DB66" s="182">
        <f t="array" ref="DB66">INDEX(Demand_current!$D$4:$AY$138, MATCH($A66, Demand_current!$B$4:$B$138, 0), MATCH(DB$4&amp;DB$5,Demand_current!$D$2:$AY$2&amp;Demand_current!$D$3:$AY$3, 0))/1000</f>
        <v>0</v>
      </c>
      <c r="DC66" s="182">
        <f t="array" ref="DC66">INDEX(Demand_current!$D$4:$AY$138, MATCH($A66, Demand_current!$B$4:$B$138, 0), MATCH(DC$4&amp;DC$5,Demand_current!$D$2:$AY$2&amp;Demand_current!$D$3:$AY$3, 0))/1000</f>
        <v>0</v>
      </c>
      <c r="DD66" s="182">
        <f t="array" ref="DD66">INDEX(Demand_current!$D$4:$AY$138, MATCH($A66, Demand_current!$B$4:$B$138, 0), MATCH(DD$4&amp;DD$5,Demand_current!$D$2:$AY$2&amp;Demand_current!$D$3:$AY$3, 0))/1000</f>
        <v>0</v>
      </c>
      <c r="DE66" s="182">
        <f t="array" ref="DE66">INDEX(Demand_current!$D$4:$AY$138, MATCH($A66, Demand_current!$B$4:$B$138, 0), MATCH(DE$4&amp;DE$5,Demand_current!$D$2:$AY$2&amp;Demand_current!$D$3:$AY$3, 0))/1000</f>
        <v>0</v>
      </c>
      <c r="DF66" s="182">
        <f t="array" ref="DF66">INDEX(Demand_current!$D$4:$AY$138, MATCH($A66, Demand_current!$B$4:$B$138, 0), MATCH(DF$4&amp;DF$5,Demand_current!$D$2:$AY$2&amp;Demand_current!$D$3:$AY$3, 0))/1000</f>
        <v>0</v>
      </c>
      <c r="DG66" s="182">
        <f t="array" ref="DG66">INDEX(Demand_current!$D$4:$AY$138, MATCH($A66, Demand_current!$B$4:$B$138, 0), MATCH(DG$4&amp;DG$5,Demand_current!$D$2:$AY$2&amp;Demand_current!$D$3:$AY$3, 0))/1000</f>
        <v>0</v>
      </c>
      <c r="DH66" s="182">
        <f t="array" ref="DH66">INDEX(Demand_current!$D$4:$AY$138, MATCH($A66, Demand_current!$B$4:$B$138, 0), MATCH(DH$4&amp;DH$5,Demand_current!$D$2:$AY$2&amp;Demand_current!$D$3:$AY$3, 0))/1000</f>
        <v>0</v>
      </c>
      <c r="DI66" s="180">
        <f>$BS66*(VLOOKUP(DI$4, Rates_current!$G$6:$Q$29, 10, FALSE)+VLOOKUP(DI$4, Rates_current!$G$6:$Q$29, 11, FALSE))</f>
        <v>99639.285358730849</v>
      </c>
      <c r="DJ66" s="180">
        <f>$BS66*(VLOOKUP(DJ$4, Rates_current!$G$6:$Q$29, 10, FALSE)+VLOOKUP(DJ$4, Rates_current!$G$6:$Q$29, 11, FALSE))</f>
        <v>127072.94518306613</v>
      </c>
      <c r="DK66" s="180">
        <f>$BS66*(VLOOKUP(DK$4, Rates_current!$G$6:$Q$29, 10, FALSE)+VLOOKUP(DK$4, Rates_current!$G$6:$Q$29, 11, FALSE))</f>
        <v>137136.85064788652</v>
      </c>
      <c r="DL66" s="180">
        <f>$BS66*(VLOOKUP(DL$4, Rates_current!$G$6:$Q$29, 10, FALSE)+VLOOKUP(DL$4, Rates_current!$G$6:$Q$29, 11, FALSE))</f>
        <v>142506.38751081761</v>
      </c>
      <c r="DM66" s="180">
        <f>$BS66*(VLOOKUP(DM$4, Rates_current!$G$6:$Q$29, 10, FALSE)+VLOOKUP(DM$4, Rates_current!$G$6:$Q$29, 11, FALSE))</f>
        <v>122574.48814810019</v>
      </c>
      <c r="DN66" s="180">
        <f>$BS66*(VLOOKUP(DN$4, Rates_current!$G$6:$Q$29, 10, FALSE)+VLOOKUP(DN$4, Rates_current!$G$6:$Q$29, 11, FALSE))</f>
        <v>133827.0725295489</v>
      </c>
      <c r="DO66" s="180">
        <f>$BS66*(VLOOKUP(DO$4, Rates_current!$G$6:$Q$29, 10, FALSE)+VLOOKUP(DO$4, Rates_current!$G$6:$Q$29, 11, FALSE))</f>
        <v>105633.92116648257</v>
      </c>
      <c r="DP66" s="180">
        <f>$BS66*(VLOOKUP(DP$4, Rates_current!$G$6:$Q$29, 10, FALSE)+VLOOKUP(DP$4, Rates_current!$G$6:$Q$29, 11, FALSE))</f>
        <v>131053.03481291636</v>
      </c>
      <c r="DQ66" s="180">
        <f>$BS66*(VLOOKUP(DQ$4, Rates_current!$G$6:$Q$29, 10, FALSE)+VLOOKUP(DQ$4, Rates_current!$G$6:$Q$29, 11, FALSE))</f>
        <v>133896.55850515096</v>
      </c>
      <c r="DR66" s="180">
        <f>$BS66*(VLOOKUP(DR$4, Rates_current!$G$6:$Q$29, 10, FALSE)+VLOOKUP(DR$4, Rates_current!$G$6:$Q$29, 11, FALSE))</f>
        <v>116241.50304300785</v>
      </c>
      <c r="DS66" s="180">
        <f>$BS66*(VLOOKUP(DS$4, Rates_current!$G$6:$Q$29, 10, FALSE)+VLOOKUP(DS$4, Rates_current!$G$6:$Q$29, 11, FALSE))</f>
        <v>112374.63543755918</v>
      </c>
      <c r="DT66" s="180">
        <f>$BS66*(VLOOKUP(DT$4, Rates_current!$G$6:$Q$29, 10, FALSE)+VLOOKUP(DT$4, Rates_current!$G$6:$Q$29, 11, FALSE))</f>
        <v>103406.42582286621</v>
      </c>
      <c r="DU66" s="402">
        <f>IF(D66=0,IF(C66=0,MAX(0,DW66 - (VLOOKUP($A66,TOCA_current!$A$2:$AI$137,MATCH("RHWM 2024",TOCA_current!$A$2:$AI$2,0),FALSE)*$BS$2)), 0),0)</f>
        <v>0</v>
      </c>
      <c r="DV66" s="403">
        <f>MIN(VLOOKUP($A66,TOCA_current!$A$2:$AI$137,MATCH("TRL - NLSL - Existing Resource "&amp;$BS$1,TOCA_current!$A$2:$AI$2,0),FALSE)*$BS$2, VLOOKUP($A66,TOCA_current!$A$2:$AI$137,MATCH("RHWM 2024",TOCA_current!$A$2:$AI$2,0),FALSE)*$BS$2)</f>
        <v>1465364.4480000001</v>
      </c>
      <c r="DW66" s="403">
        <f>SUM(BY66:CV66)+(BS66*RT1SC!$C$4*$BS$2)</f>
        <v>1465363.1148830638</v>
      </c>
      <c r="DX66" s="403">
        <f>VLOOKUP($A66,TOCA_current!$A$2:$AI$137,MATCH("Above RHWM Not Served with LS "&amp;$BS$1,TOCA_current!$A$2:$AI$2,0),FALSE)*$BS$2</f>
        <v>228243.45600000006</v>
      </c>
      <c r="DY66" s="403">
        <f t="shared" si="13"/>
        <v>-1.3331169362645596</v>
      </c>
      <c r="DZ66" s="403">
        <f>(VLOOKUP($A66,TOCA_current!$A$2:$AI$137,MATCH("RHWM 2024",TOCA_current!$A$2:$AI$2,0),FALSE)*$BS$2) - $DV66</f>
        <v>0</v>
      </c>
      <c r="EA66" s="403">
        <f t="shared" si="14"/>
        <v>0</v>
      </c>
      <c r="EB66" s="403">
        <f t="shared" si="15"/>
        <v>0</v>
      </c>
      <c r="EC66" s="403">
        <f t="shared" si="16"/>
        <v>0</v>
      </c>
      <c r="ED66" s="403">
        <f t="shared" si="17"/>
        <v>0</v>
      </c>
    </row>
    <row r="67" spans="1:134">
      <c r="A67" s="123">
        <v>10183</v>
      </c>
      <c r="B67" s="124" t="s">
        <v>68</v>
      </c>
      <c r="C67" s="232">
        <f>VLOOKUP(A67, TOCA_current!$A$3:$D$137, 4, FALSE)</f>
        <v>0</v>
      </c>
      <c r="D67" s="191">
        <v>1</v>
      </c>
      <c r="E67" s="107">
        <f>VLOOKUP($A67,TOCA_previous!$A$2:$AI$137,MATCH(E$4,TOCA_previous!$A$2:$AI$2,0),FALSE)</f>
        <v>1.66176E-2</v>
      </c>
      <c r="F67" s="108">
        <f>VLOOKUP($A67,TOCA_previous!$A$2:$AI$137,MATCH(F$4,TOCA_previous!$A$2:$AI$2,0),FALSE)</f>
        <v>8.8280999999999984E-3</v>
      </c>
      <c r="G67" s="108">
        <f t="shared" si="5"/>
        <v>7.7895000000000013E-3</v>
      </c>
      <c r="H67" s="108">
        <f>VLOOKUP($A67,TOCA_previous!$A$2:$AI$137,MATCH(H$4,TOCA_previous!$A$2:$AI$2,0),FALSE)</f>
        <v>0</v>
      </c>
      <c r="I67" s="108">
        <f t="shared" si="6"/>
        <v>0</v>
      </c>
      <c r="J67" s="108">
        <f t="shared" si="7"/>
        <v>0</v>
      </c>
      <c r="K67" s="179">
        <f>VLOOKUP(A67, IRD!$A$5:$C$139, 3, FALSE)</f>
        <v>94407.247000000003</v>
      </c>
      <c r="L67" s="180">
        <f t="array" ref="L67">IF($G67=0, INDEX(LS_previous!$D$4:$AY$138, MATCH('Staging Table'!$A67, LS_previous!$B$4:$B$138, 0), MATCH(L$4&amp;L$5, LS_previous!$D$2:$AY$2&amp;LS_previous!$D$3:$AY$3, 0)),SUM(VLOOKUP($A67, LS_previous!$B$4:$AY$138, LS_previous!D$149, FALSE), VLOOKUP('Staging Table'!$A67, LS_previous!$B$4:$AY$138,LS_previous!AB$149, FALSE))/2)</f>
        <v>-3938.7543123685446</v>
      </c>
      <c r="M67" s="180">
        <f t="array" ref="M67">IF($G67=0, INDEX(LS_previous!$D$4:$AY$138, MATCH('Staging Table'!$A67, LS_previous!$B$4:$B$138, 0), MATCH(M$4&amp;M$5, LS_previous!$D$2:$AY$2&amp;LS_previous!$D$3:$AY$3, 0)),SUM(VLOOKUP($A67, LS_previous!$B$4:$AY$138, LS_previous!E$149, FALSE), VLOOKUP('Staging Table'!$A67, LS_previous!$B$4:$AY$138,LS_previous!AC$149, FALSE))/2)</f>
        <v>2807.4753381208775</v>
      </c>
      <c r="N67" s="180">
        <f t="array" ref="N67">IF($G67=0, INDEX(LS_previous!$D$4:$AY$138, MATCH('Staging Table'!$A67, LS_previous!$B$4:$B$138, 0), MATCH(N$4&amp;N$5, LS_previous!$D$2:$AY$2&amp;LS_previous!$D$3:$AY$3, 0)),SUM(VLOOKUP($A67, LS_previous!$B$4:$AY$138, LS_previous!F$149, FALSE), VLOOKUP('Staging Table'!$A67, LS_previous!$B$4:$AY$138,LS_previous!AD$149, FALSE))/2)</f>
        <v>-10713.265665623423</v>
      </c>
      <c r="O67" s="180">
        <f t="array" ref="O67">IF($G67=0, INDEX(LS_previous!$D$4:$AY$138, MATCH('Staging Table'!$A67, LS_previous!$B$4:$B$138, 0), MATCH(O$4&amp;O$5, LS_previous!$D$2:$AY$2&amp;LS_previous!$D$3:$AY$3, 0)),SUM(VLOOKUP($A67, LS_previous!$B$4:$AY$138, LS_previous!G$149, FALSE), VLOOKUP('Staging Table'!$A67, LS_previous!$B$4:$AY$138,LS_previous!AE$149, FALSE))/2)</f>
        <v>-3197.1358696080651</v>
      </c>
      <c r="P67" s="180">
        <f t="array" ref="P67">IF($G67=0, INDEX(LS_previous!$D$4:$AY$138, MATCH('Staging Table'!$A67, LS_previous!$B$4:$B$138, 0), MATCH(P$4&amp;P$5, LS_previous!$D$2:$AY$2&amp;LS_previous!$D$3:$AY$3, 0)),SUM(VLOOKUP($A67, LS_previous!$B$4:$AY$138, LS_previous!H$149, FALSE), VLOOKUP('Staging Table'!$A67, LS_previous!$B$4:$AY$138,LS_previous!AF$149, FALSE))/2)</f>
        <v>-4284.1274255218286</v>
      </c>
      <c r="Q67" s="180">
        <f t="array" ref="Q67">IF($G67=0, INDEX(LS_previous!$D$4:$AY$138, MATCH('Staging Table'!$A67, LS_previous!$B$4:$B$138, 0), MATCH(Q$4&amp;Q$5, LS_previous!$D$2:$AY$2&amp;LS_previous!$D$3:$AY$3, 0)),SUM(VLOOKUP($A67, LS_previous!$B$4:$AY$138, LS_previous!I$149, FALSE), VLOOKUP('Staging Table'!$A67, LS_previous!$B$4:$AY$138,LS_previous!AG$149, FALSE))/2)</f>
        <v>-2295.8558761599761</v>
      </c>
      <c r="R67" s="180">
        <f t="array" ref="R67">IF($G67=0, INDEX(LS_previous!$D$4:$AY$138, MATCH('Staging Table'!$A67, LS_previous!$B$4:$B$138, 0), MATCH(R$4&amp;R$5, LS_previous!$D$2:$AY$2&amp;LS_previous!$D$3:$AY$3, 0)),SUM(VLOOKUP($A67, LS_previous!$B$4:$AY$138, LS_previous!J$149, FALSE), VLOOKUP('Staging Table'!$A67, LS_previous!$B$4:$AY$138,LS_previous!AH$149, FALSE))/2)</f>
        <v>1518.7480760933959</v>
      </c>
      <c r="S67" s="180">
        <f t="array" ref="S67">IF($G67=0, INDEX(LS_previous!$D$4:$AY$138, MATCH('Staging Table'!$A67, LS_previous!$B$4:$B$138, 0), MATCH(S$4&amp;S$5, LS_previous!$D$2:$AY$2&amp;LS_previous!$D$3:$AY$3, 0)),SUM(VLOOKUP($A67, LS_previous!$B$4:$AY$138, LS_previous!K$149, FALSE), VLOOKUP('Staging Table'!$A67, LS_previous!$B$4:$AY$138,LS_previous!AI$149, FALSE))/2)</f>
        <v>3697.5563049224256</v>
      </c>
      <c r="T67" s="180">
        <f t="array" ref="T67">IF($G67=0, INDEX(LS_previous!$D$4:$AY$138, MATCH('Staging Table'!$A67, LS_previous!$B$4:$B$138, 0), MATCH(T$4&amp;T$5, LS_previous!$D$2:$AY$2&amp;LS_previous!$D$3:$AY$3, 0)),SUM(VLOOKUP($A67, LS_previous!$B$4:$AY$138, LS_previous!L$149, FALSE), VLOOKUP('Staging Table'!$A67, LS_previous!$B$4:$AY$138,LS_previous!AJ$149, FALSE))/2)</f>
        <v>121.1695794483112</v>
      </c>
      <c r="U67" s="180">
        <f t="array" ref="U67">IF($G67=0, INDEX(LS_previous!$D$4:$AY$138, MATCH('Staging Table'!$A67, LS_previous!$B$4:$B$138, 0), MATCH(U$4&amp;U$5, LS_previous!$D$2:$AY$2&amp;LS_previous!$D$3:$AY$3, 0)),SUM(VLOOKUP($A67, LS_previous!$B$4:$AY$138, LS_previous!M$149, FALSE), VLOOKUP('Staging Table'!$A67, LS_previous!$B$4:$AY$138,LS_previous!AK$149, FALSE))/2)</f>
        <v>681.24683348970848</v>
      </c>
      <c r="V67" s="180">
        <f t="array" ref="V67">IF($G67=0, INDEX(LS_previous!$D$4:$AY$138, MATCH('Staging Table'!$A67, LS_previous!$B$4:$B$138, 0), MATCH(V$4&amp;V$5, LS_previous!$D$2:$AY$2&amp;LS_previous!$D$3:$AY$3, 0)),SUM(VLOOKUP($A67, LS_previous!$B$4:$AY$138, LS_previous!N$149, FALSE), VLOOKUP('Staging Table'!$A67, LS_previous!$B$4:$AY$138,LS_previous!AL$149, FALSE))/2)</f>
        <v>-5247.7278245271991</v>
      </c>
      <c r="W67" s="180">
        <f t="array" ref="W67">IF($G67=0, INDEX(LS_previous!$D$4:$AY$138, MATCH('Staging Table'!$A67, LS_previous!$B$4:$B$138, 0), MATCH(W$4&amp;W$5, LS_previous!$D$2:$AY$2&amp;LS_previous!$D$3:$AY$3, 0)),SUM(VLOOKUP($A67, LS_previous!$B$4:$AY$138, LS_previous!O$149, FALSE), VLOOKUP('Staging Table'!$A67, LS_previous!$B$4:$AY$138,LS_previous!AM$149, FALSE))/2)</f>
        <v>-1382.430407861917</v>
      </c>
      <c r="X67" s="180">
        <f t="array" ref="X67">IF($G67=0, INDEX(LS_previous!$D$4:$AY$138, MATCH('Staging Table'!$A67, LS_previous!$B$4:$B$138, 0), MATCH(X$4&amp;X$5, LS_previous!$D$2:$AY$2&amp;LS_previous!$D$3:$AY$3, 0)),SUM(VLOOKUP($A67, LS_previous!$B$4:$AY$138, LS_previous!P$149, FALSE), VLOOKUP('Staging Table'!$A67, LS_previous!$B$4:$AY$138,LS_previous!AN$149, FALSE))/2)</f>
        <v>-3.515627879427484</v>
      </c>
      <c r="Y67" s="180">
        <f t="array" ref="Y67">IF($G67=0, INDEX(LS_previous!$D$4:$AY$138, MATCH('Staging Table'!$A67, LS_previous!$B$4:$B$138, 0), MATCH(Y$4&amp;Y$5, LS_previous!$D$2:$AY$2&amp;LS_previous!$D$3:$AY$3, 0)),SUM(VLOOKUP($A67, LS_previous!$B$4:$AY$138, LS_previous!Q$149, FALSE), VLOOKUP('Staging Table'!$A67, LS_previous!$B$4:$AY$138,LS_previous!AO$149, FALSE))/2)</f>
        <v>2894.6903181883845</v>
      </c>
      <c r="Z67" s="180">
        <f t="array" ref="Z67">IF($G67=0, INDEX(LS_previous!$D$4:$AY$138, MATCH('Staging Table'!$A67, LS_previous!$B$4:$B$138, 0), MATCH(Z$4&amp;Z$5, LS_previous!$D$2:$AY$2&amp;LS_previous!$D$3:$AY$3, 0)),SUM(VLOOKUP($A67, LS_previous!$B$4:$AY$138, LS_previous!R$149, FALSE), VLOOKUP('Staging Table'!$A67, LS_previous!$B$4:$AY$138,LS_previous!AP$149, FALSE))/2)</f>
        <v>-8287.7700880844659</v>
      </c>
      <c r="AA67" s="180">
        <f t="array" ref="AA67">IF($G67=0, INDEX(LS_previous!$D$4:$AY$138, MATCH('Staging Table'!$A67, LS_previous!$B$4:$B$138, 0), MATCH(AA$4&amp;AA$5, LS_previous!$D$2:$AY$2&amp;LS_previous!$D$3:$AY$3, 0)),SUM(VLOOKUP($A67, LS_previous!$B$4:$AY$138, LS_previous!S$149, FALSE), VLOOKUP('Staging Table'!$A67, LS_previous!$B$4:$AY$138,LS_previous!AQ$149, FALSE))/2)</f>
        <v>3645.7462232492198</v>
      </c>
      <c r="AB67" s="180">
        <f t="array" ref="AB67">IF($G67=0, INDEX(LS_previous!$D$4:$AY$138, MATCH('Staging Table'!$A67, LS_previous!$B$4:$B$138, 0), MATCH(AB$4&amp;AB$5, LS_previous!$D$2:$AY$2&amp;LS_previous!$D$3:$AY$3, 0)),SUM(VLOOKUP($A67, LS_previous!$B$4:$AY$138, LS_previous!T$149, FALSE), VLOOKUP('Staging Table'!$A67, LS_previous!$B$4:$AY$138,LS_previous!AR$149, FALSE))/2)</f>
        <v>-7506.5139018032369</v>
      </c>
      <c r="AC67" s="180">
        <f t="array" ref="AC67">IF($G67=0, INDEX(LS_previous!$D$4:$AY$138, MATCH('Staging Table'!$A67, LS_previous!$B$4:$B$138, 0), MATCH(AC$4&amp;AC$5, LS_previous!$D$2:$AY$2&amp;LS_previous!$D$3:$AY$3, 0)),SUM(VLOOKUP($A67, LS_previous!$B$4:$AY$138, LS_previous!U$149, FALSE), VLOOKUP('Staging Table'!$A67, LS_previous!$B$4:$AY$138,LS_previous!AS$149, FALSE))/2)</f>
        <v>5977.8289964320829</v>
      </c>
      <c r="AD67" s="180">
        <f t="array" ref="AD67">IF($G67=0, INDEX(LS_previous!$D$4:$AY$138, MATCH('Staging Table'!$A67, LS_previous!$B$4:$B$138, 0), MATCH(AD$4&amp;AD$5, LS_previous!$D$2:$AY$2&amp;LS_previous!$D$3:$AY$3, 0)),SUM(VLOOKUP($A67, LS_previous!$B$4:$AY$138, LS_previous!V$149, FALSE), VLOOKUP('Staging Table'!$A67, LS_previous!$B$4:$AY$138,LS_previous!AT$149, FALSE))/2)</f>
        <v>423.52317591012979</v>
      </c>
      <c r="AE67" s="180">
        <f t="array" ref="AE67">IF($G67=0, INDEX(LS_previous!$D$4:$AY$138, MATCH('Staging Table'!$A67, LS_previous!$B$4:$B$138, 0), MATCH(AE$4&amp;AE$5, LS_previous!$D$2:$AY$2&amp;LS_previous!$D$3:$AY$3, 0)),SUM(VLOOKUP($A67, LS_previous!$B$4:$AY$138, LS_previous!W$149, FALSE), VLOOKUP('Staging Table'!$A67, LS_previous!$B$4:$AY$138,LS_previous!AU$149, FALSE))/2)</f>
        <v>11461.172263929169</v>
      </c>
      <c r="AF67" s="180">
        <f t="array" ref="AF67">IF($G67=0, INDEX(LS_previous!$D$4:$AY$138, MATCH('Staging Table'!$A67, LS_previous!$B$4:$B$138, 0), MATCH(AF$4&amp;AF$5, LS_previous!$D$2:$AY$2&amp;LS_previous!$D$3:$AY$3, 0)),SUM(VLOOKUP($A67, LS_previous!$B$4:$AY$138, LS_previous!X$149, FALSE), VLOOKUP('Staging Table'!$A67, LS_previous!$B$4:$AY$138,LS_previous!AV$149, FALSE))/2)</f>
        <v>2127.5651664452107</v>
      </c>
      <c r="AG67" s="180">
        <f t="array" ref="AG67">IF($G67=0, INDEX(LS_previous!$D$4:$AY$138, MATCH('Staging Table'!$A67, LS_previous!$B$4:$B$138, 0), MATCH(AG$4&amp;AG$5, LS_previous!$D$2:$AY$2&amp;LS_previous!$D$3:$AY$3, 0)),SUM(VLOOKUP($A67, LS_previous!$B$4:$AY$138, LS_previous!Y$149, FALSE), VLOOKUP('Staging Table'!$A67, LS_previous!$B$4:$AY$138,LS_previous!AW$149, FALSE))/2)</f>
        <v>8712.4321860103501</v>
      </c>
      <c r="AH67" s="180">
        <f t="array" ref="AH67">IF($G67=0, INDEX(LS_previous!$D$4:$AY$138, MATCH('Staging Table'!$A67, LS_previous!$B$4:$B$138, 0), MATCH(AH$4&amp;AH$5, LS_previous!$D$2:$AY$2&amp;LS_previous!$D$3:$AY$3, 0)),SUM(VLOOKUP($A67, LS_previous!$B$4:$AY$138, LS_previous!Z$149, FALSE), VLOOKUP('Staging Table'!$A67, LS_previous!$B$4:$AY$138,LS_previous!AX$149, FALSE))/2)</f>
        <v>-1881.1205573072311</v>
      </c>
      <c r="AI67" s="180">
        <f t="array" ref="AI67">IF($G67=0, INDEX(LS_previous!$D$4:$AY$138, MATCH('Staging Table'!$A67, LS_previous!$B$4:$B$138, 0), MATCH(AI$4&amp;AI$5, LS_previous!$D$2:$AY$2&amp;LS_previous!$D$3:$AY$3, 0)),SUM(VLOOKUP($A67, LS_previous!$B$4:$AY$138, LS_previous!AA$149, FALSE), VLOOKUP('Staging Table'!$A67, LS_previous!$B$4:$AY$138,LS_previous!AY$149, FALSE))/2)</f>
        <v>4668.0680279155367</v>
      </c>
      <c r="AJ67" s="298">
        <f t="array" ref="AJ67">INDEX(Demand_previous!$D$4:$AY$138, MATCH('Staging Table'!$A67, Demand_previous!$B$4:$B$138, 0), MATCH(AJ$4&amp;AJ$5,Demand_previous!$D$2:$AY$2&amp;Demand_previous!$D$3:$AY$3, 0))/1000</f>
        <v>0</v>
      </c>
      <c r="AK67" s="298">
        <f t="array" ref="AK67">INDEX(Demand_previous!$D$4:$AY$138, MATCH('Staging Table'!$A67, Demand_previous!$B$4:$B$138, 0), MATCH(AK$4&amp;AK$5,Demand_previous!$D$2:$AY$2&amp;Demand_previous!$D$3:$AY$3, 0))/1000</f>
        <v>0</v>
      </c>
      <c r="AL67" s="298">
        <f t="array" ref="AL67">INDEX(Demand_previous!$D$4:$AY$138, MATCH('Staging Table'!$A67, Demand_previous!$B$4:$B$138, 0), MATCH(AL$4&amp;AL$5,Demand_previous!$D$2:$AY$2&amp;Demand_previous!$D$3:$AY$3, 0))/1000</f>
        <v>0</v>
      </c>
      <c r="AM67" s="298">
        <f t="array" ref="AM67">INDEX(Demand_previous!$D$4:$AY$138, MATCH('Staging Table'!$A67, Demand_previous!$B$4:$B$138, 0), MATCH(AM$4&amp;AM$5,Demand_previous!$D$2:$AY$2&amp;Demand_previous!$D$3:$AY$3, 0))/1000</f>
        <v>0</v>
      </c>
      <c r="AN67" s="298">
        <f t="array" ref="AN67">INDEX(Demand_previous!$D$4:$AY$138, MATCH('Staging Table'!$A67, Demand_previous!$B$4:$B$138, 0), MATCH(AN$4&amp;AN$5,Demand_previous!$D$2:$AY$2&amp;Demand_previous!$D$3:$AY$3, 0))/1000</f>
        <v>0</v>
      </c>
      <c r="AO67" s="298">
        <f t="array" ref="AO67">INDEX(Demand_previous!$D$4:$AY$138, MATCH('Staging Table'!$A67, Demand_previous!$B$4:$B$138, 0), MATCH(AO$4&amp;AO$5,Demand_previous!$D$2:$AY$2&amp;Demand_previous!$D$3:$AY$3, 0))/1000</f>
        <v>0</v>
      </c>
      <c r="AP67" s="298">
        <f t="array" ref="AP67">INDEX(Demand_previous!$D$4:$AY$138, MATCH('Staging Table'!$A67, Demand_previous!$B$4:$B$138, 0), MATCH(AP$4&amp;AP$5,Demand_previous!$D$2:$AY$2&amp;Demand_previous!$D$3:$AY$3, 0))/1000</f>
        <v>0</v>
      </c>
      <c r="AQ67" s="298">
        <f t="array" ref="AQ67">INDEX(Demand_previous!$D$4:$AY$138, MATCH('Staging Table'!$A67, Demand_previous!$B$4:$B$138, 0), MATCH(AQ$4&amp;AQ$5,Demand_previous!$D$2:$AY$2&amp;Demand_previous!$D$3:$AY$3, 0))/1000</f>
        <v>0</v>
      </c>
      <c r="AR67" s="298">
        <f t="array" ref="AR67">INDEX(Demand_previous!$D$4:$AY$138, MATCH('Staging Table'!$A67, Demand_previous!$B$4:$B$138, 0), MATCH(AR$4&amp;AR$5,Demand_previous!$D$2:$AY$2&amp;Demand_previous!$D$3:$AY$3, 0))/1000</f>
        <v>0</v>
      </c>
      <c r="AS67" s="298">
        <f t="array" ref="AS67">INDEX(Demand_previous!$D$4:$AY$138, MATCH('Staging Table'!$A67, Demand_previous!$B$4:$B$138, 0), MATCH(AS$4&amp;AS$5,Demand_previous!$D$2:$AY$2&amp;Demand_previous!$D$3:$AY$3, 0))/1000</f>
        <v>0</v>
      </c>
      <c r="AT67" s="298">
        <f t="array" ref="AT67">INDEX(Demand_previous!$D$4:$AY$138, MATCH('Staging Table'!$A67, Demand_previous!$B$4:$B$138, 0), MATCH(AT$4&amp;AT$5,Demand_previous!$D$2:$AY$2&amp;Demand_previous!$D$3:$AY$3, 0))/1000</f>
        <v>0</v>
      </c>
      <c r="AU67" s="298">
        <f t="array" ref="AU67">INDEX(Demand_previous!$D$4:$AY$138, MATCH('Staging Table'!$A67, Demand_previous!$B$4:$B$138, 0), MATCH(AU$4&amp;AU$5,Demand_previous!$D$2:$AY$2&amp;Demand_previous!$D$3:$AY$3, 0))/1000</f>
        <v>0</v>
      </c>
      <c r="AV67" s="180">
        <f>$F67*(VLOOKUP(AV$4, Rates_previous!$G$6:$Q$29, 10, FALSE)+VLOOKUP(AV$4, Rates_previous!$G$6:$Q$29, 11, FALSE))</f>
        <v>40202.500178937829</v>
      </c>
      <c r="AW67" s="180">
        <f>$F67*(VLOOKUP(AW$4, Rates_previous!$G$6:$Q$29, 10, FALSE)+VLOOKUP(AW$4, Rates_previous!$G$6:$Q$29, 11, FALSE))</f>
        <v>50897.824275671534</v>
      </c>
      <c r="AX67" s="180">
        <f>$F67*(VLOOKUP(AX$4, Rates_previous!$G$6:$Q$29, 10, FALSE)+VLOOKUP(AX$4, Rates_previous!$G$6:$Q$29, 11, FALSE))</f>
        <v>49818.801434872243</v>
      </c>
      <c r="AY67" s="180">
        <f>$F67*(VLOOKUP(AY$4, Rates_previous!$G$6:$Q$29, 10, FALSE)+VLOOKUP(AY$4, Rates_previous!$G$6:$Q$29, 11, FALSE))</f>
        <v>41148.211448549839</v>
      </c>
      <c r="AZ67" s="180">
        <f>$F67*(VLOOKUP(AZ$4, Rates_previous!$G$6:$Q$29, 10, FALSE)+VLOOKUP(AZ$4, Rates_previous!$G$6:$Q$29, 11, FALSE))</f>
        <v>35664.056711439494</v>
      </c>
      <c r="BA67" s="180">
        <f>$F67*(VLOOKUP(BA$4, Rates_previous!$G$6:$Q$29, 10, FALSE)+VLOOKUP(BA$4, Rates_previous!$G$6:$Q$29, 11, FALSE))</f>
        <v>42575.681740704058</v>
      </c>
      <c r="BB67" s="180">
        <f>$F67*(VLOOKUP(BB$4, Rates_previous!$G$6:$Q$29, 10, FALSE)+VLOOKUP(BB$4, Rates_previous!$G$6:$Q$29, 11, FALSE))</f>
        <v>33054.348818006009</v>
      </c>
      <c r="BC67" s="180">
        <f>$F67*(VLOOKUP(BC$4, Rates_previous!$G$6:$Q$29, 10, FALSE)+VLOOKUP(BC$4, Rates_previous!$G$6:$Q$29, 11, FALSE))</f>
        <v>45797.043533775519</v>
      </c>
      <c r="BD67" s="180">
        <f>$F67*(VLOOKUP(BD$4, Rates_previous!$G$6:$Q$29, 10, FALSE)+VLOOKUP(BD$4, Rates_previous!$G$6:$Q$29, 11, FALSE))</f>
        <v>48935.099967061869</v>
      </c>
      <c r="BE67" s="180">
        <f>$F67*(VLOOKUP(BE$4, Rates_previous!$G$6:$Q$29, 10, FALSE)+VLOOKUP(BE$4, Rates_previous!$G$6:$Q$29, 11, FALSE))</f>
        <v>46461.661559164684</v>
      </c>
      <c r="BF67" s="180">
        <f>$F67*(VLOOKUP(BF$4, Rates_previous!$G$6:$Q$29, 10, FALSE)+VLOOKUP(BF$4, Rates_previous!$G$6:$Q$29, 11, FALSE))</f>
        <v>44901.61156623577</v>
      </c>
      <c r="BG67" s="180">
        <f>$F67*(VLOOKUP(BG$4, Rates_previous!$G$6:$Q$29, 10, FALSE)+VLOOKUP(BG$4, Rates_previous!$G$6:$Q$29, 11, FALSE))</f>
        <v>41493.769894707213</v>
      </c>
      <c r="BH67" s="298">
        <f>IF($D67=0,IF(C67=0, MAX(BJ67 - (VLOOKUP($A67,TOCA_previous!$A$2:$AI$137,MATCH("RHWM 2022",TOCA_previous!$A$2:$AI$2,0),FALSE)*$F$2*TOCA_previous!C64),0),0), 0)</f>
        <v>0</v>
      </c>
      <c r="BI67" s="192">
        <f>MIN(VLOOKUP($A67,TOCA_previous!$A$2:$AI$137,MATCH("TRL - NLSL - Existing Resource "&amp;$F$1,TOCA_previous!$A$2:$AI$2,0),FALSE)*$F$2,(VLOOKUP($A67,TOCA_previous!$A$2:$AI$137,MATCH("RHWM 2022",TOCA_previous!$A$2:$AI$2,0),FALSE)*$F$2))</f>
        <v>980611.91999999993</v>
      </c>
      <c r="BJ67" s="402">
        <f>SUM(L67:AI67)+(F67*RT1SC!$C$3*$F$2)</f>
        <v>520949.6427114135</v>
      </c>
      <c r="BK67" s="401">
        <f>VLOOKUP($A67,TOCA_previous!$A$2:$AI$137,MATCH("Above RHWM Not Served with LS "&amp;$F$1,TOCA_previous!$A$2:$AI$2,0),FALSE)*$F$2</f>
        <v>101948.88</v>
      </c>
      <c r="BL67" s="402">
        <f t="shared" si="8"/>
        <v>-459662.27728858643</v>
      </c>
      <c r="BM67" s="401">
        <f>(VLOOKUP($A67,TOCA_previous!$A$2:$AI$137,MATCH("RHWM 2022",TOCA_previous!$A$2:$AI$2,0),FALSE)*$F$2) - $BI67</f>
        <v>0</v>
      </c>
      <c r="BN67" s="402">
        <f t="shared" si="9"/>
        <v>0</v>
      </c>
      <c r="BO67" s="401">
        <f t="shared" si="10"/>
        <v>357713.39728858642</v>
      </c>
      <c r="BP67" s="402">
        <f t="shared" si="11"/>
        <v>0</v>
      </c>
      <c r="BQ67" s="401">
        <f t="shared" si="18"/>
        <v>0</v>
      </c>
      <c r="BR67" s="108">
        <f>VLOOKUP($A67,TOCA_current!$A$2:$AI$137,MATCH(BR$4,TOCA_current!$A$2:$AI$2,0),FALSE)</f>
        <v>1.6614E-2</v>
      </c>
      <c r="BS67" s="108">
        <f>VLOOKUP($A67,TOCA_current!$A$2:$AI$137,MATCH(BS$4,TOCA_current!$A$2:$AI$2,0),FALSE)</f>
        <v>8.8260999999999999E-3</v>
      </c>
      <c r="BT67" s="189">
        <f t="shared" si="12"/>
        <v>7.7879000000000004E-3</v>
      </c>
      <c r="BU67" s="108">
        <f>VLOOKUP($A67,TOCA_current!A63:BG198,MATCH(BU$4,TOCA_current!$A$2:$BG$2,0),FALSE)</f>
        <v>0</v>
      </c>
      <c r="BV67" s="108">
        <f t="shared" si="19"/>
        <v>0</v>
      </c>
      <c r="BW67" s="108">
        <f t="shared" si="20"/>
        <v>0</v>
      </c>
      <c r="BX67" s="179">
        <f>VLOOKUP($A67,IRD!$A$4:$G$139, 7, FALSE)</f>
        <v>94407.247000000003</v>
      </c>
      <c r="BY67" s="180">
        <f t="array" ref="BY67">IF($BT67=0, INDEX(LS_current!$D$4:$AY$138, MATCH('Staging Table'!$A67, LS_current!$B$4:$B$138, 0), MATCH(BY$4&amp;BY$5, LS_current!$D$2:$AY$2&amp;LS_current!$D$3:$AY$3, 0)),SUM(VLOOKUP($A67, LS_current!$B$4:$AY$138, LS_current!D$148, FALSE), VLOOKUP($A67, LS_current!$B$4:$AY$138,LS_current!AB$148, FALSE))/2)</f>
        <v>847.27646785724392</v>
      </c>
      <c r="BZ67" s="180">
        <f t="array" ref="BZ67">IF($BT67=0, INDEX(LS_current!$D$4:$AY$138, MATCH('Staging Table'!$A67, LS_current!$B$4:$B$138, 0), MATCH(BZ$4&amp;BZ$5, LS_current!$D$2:$AY$2&amp;LS_current!$D$3:$AY$3, 0)),SUM(VLOOKUP($A67, LS_current!$B$4:$AY$138, LS_current!E$148, FALSE), VLOOKUP($A67, LS_current!$B$4:$AY$138,LS_current!AC$148, FALSE))/2)</f>
        <v>2932.0861703688497</v>
      </c>
      <c r="CA67" s="180">
        <f t="array" ref="CA67">IF($BT67=0, INDEX(LS_current!$D$4:$AY$138, MATCH('Staging Table'!$A67, LS_current!$B$4:$B$138, 0), MATCH(CA$4&amp;CA$5, LS_current!$D$2:$AY$2&amp;LS_current!$D$3:$AY$3, 0)),SUM(VLOOKUP($A67, LS_current!$B$4:$AY$138, LS_current!F$148, FALSE), VLOOKUP($A67, LS_current!$B$4:$AY$138,LS_current!AD$148, FALSE))/2)</f>
        <v>-7271.7858063103613</v>
      </c>
      <c r="CB67" s="180">
        <f t="array" ref="CB67">IF($BT67=0, INDEX(LS_current!$D$4:$AY$138, MATCH('Staging Table'!$A67, LS_current!$B$4:$B$138, 0), MATCH(CB$4&amp;CB$5, LS_current!$D$2:$AY$2&amp;LS_current!$D$3:$AY$3, 0)),SUM(VLOOKUP($A67, LS_current!$B$4:$AY$138, LS_current!G$148, FALSE), VLOOKUP($A67, LS_current!$B$4:$AY$138,LS_current!AE$148, FALSE))/2)</f>
        <v>-1388.3794810903728</v>
      </c>
      <c r="CC67" s="180">
        <f t="array" ref="CC67">IF($BT67=0, INDEX(LS_current!$D$4:$AY$138, MATCH('Staging Table'!$A67, LS_current!$B$4:$B$138, 0), MATCH(CC$4&amp;CC$5, LS_current!$D$2:$AY$2&amp;LS_current!$D$3:$AY$3, 0)),SUM(VLOOKUP($A67, LS_current!$B$4:$AY$138, LS_current!H$148, FALSE), VLOOKUP($A67, LS_current!$B$4:$AY$138,LS_current!AF$148, FALSE))/2)</f>
        <v>-6669.0010378989791</v>
      </c>
      <c r="CD67" s="180">
        <f t="array" ref="CD67">IF($BT67=0, INDEX(LS_current!$D$4:$AY$138, MATCH('Staging Table'!$A67, LS_current!$B$4:$B$138, 0), MATCH(CD$4&amp;CD$5, LS_current!$D$2:$AY$2&amp;LS_current!$D$3:$AY$3, 0)),SUM(VLOOKUP($A67, LS_current!$B$4:$AY$138, LS_current!I$148, FALSE), VLOOKUP($A67, LS_current!$B$4:$AY$138,LS_current!AG$148, FALSE))/2)</f>
        <v>810.30704279087331</v>
      </c>
      <c r="CE67" s="180">
        <f t="array" ref="CE67">IF($BT67=0, INDEX(LS_current!$D$4:$AY$138, MATCH('Staging Table'!$A67, LS_current!$B$4:$B$138, 0), MATCH(CE$4&amp;CE$5, LS_current!$D$2:$AY$2&amp;LS_current!$D$3:$AY$3, 0)),SUM(VLOOKUP($A67, LS_current!$B$4:$AY$138, LS_current!J$148, FALSE), VLOOKUP($A67, LS_current!$B$4:$AY$138,LS_current!AH$148, FALSE))/2)</f>
        <v>-5757.6571069143956</v>
      </c>
      <c r="CF67" s="180">
        <f t="array" ref="CF67">IF($BT67=0, INDEX(LS_current!$D$4:$AY$138, MATCH('Staging Table'!$A67, LS_current!$B$4:$B$138, 0), MATCH(CF$4&amp;CF$5, LS_current!$D$2:$AY$2&amp;LS_current!$D$3:$AY$3, 0)),SUM(VLOOKUP($A67, LS_current!$B$4:$AY$138, LS_current!K$148, FALSE), VLOOKUP($A67, LS_current!$B$4:$AY$138,LS_current!AI$148, FALSE))/2)</f>
        <v>1173.5422709494815</v>
      </c>
      <c r="CG67" s="180">
        <f t="array" ref="CG67">IF($BT67=0, INDEX(LS_current!$D$4:$AY$138, MATCH('Staging Table'!$A67, LS_current!$B$4:$B$138, 0), MATCH(CG$4&amp;CG$5, LS_current!$D$2:$AY$2&amp;LS_current!$D$3:$AY$3, 0)),SUM(VLOOKUP($A67, LS_current!$B$4:$AY$138, LS_current!L$148, FALSE), VLOOKUP($A67, LS_current!$B$4:$AY$138,LS_current!AJ$148, FALSE))/2)</f>
        <v>-6690.0459591233921</v>
      </c>
      <c r="CH67" s="180">
        <f t="array" ref="CH67">IF($BT67=0, INDEX(LS_current!$D$4:$AY$138, MATCH('Staging Table'!$A67, LS_current!$B$4:$B$138, 0), MATCH(CH$4&amp;CH$5, LS_current!$D$2:$AY$2&amp;LS_current!$D$3:$AY$3, 0)),SUM(VLOOKUP($A67, LS_current!$B$4:$AY$138, LS_current!M$148, FALSE), VLOOKUP($A67, LS_current!$B$4:$AY$138,LS_current!AK$148, FALSE))/2)</f>
        <v>-87.791009169240169</v>
      </c>
      <c r="CI67" s="180">
        <f t="array" ref="CI67">IF($BT67=0, INDEX(LS_current!$D$4:$AY$138, MATCH('Staging Table'!$A67, LS_current!$B$4:$B$138, 0), MATCH(CI$4&amp;CI$5, LS_current!$D$2:$AY$2&amp;LS_current!$D$3:$AY$3, 0)),SUM(VLOOKUP($A67, LS_current!$B$4:$AY$138, LS_current!N$148, FALSE), VLOOKUP($A67, LS_current!$B$4:$AY$138,LS_current!AL$148, FALSE))/2)</f>
        <v>-9322.4934907642983</v>
      </c>
      <c r="CJ67" s="180">
        <f t="array" ref="CJ67">IF($BT67=0, INDEX(LS_current!$D$4:$AY$138, MATCH('Staging Table'!$A67, LS_current!$B$4:$B$138, 0), MATCH(CJ$4&amp;CJ$5, LS_current!$D$2:$AY$2&amp;LS_current!$D$3:$AY$3, 0)),SUM(VLOOKUP($A67, LS_current!$B$4:$AY$138, LS_current!O$148, FALSE), VLOOKUP($A67, LS_current!$B$4:$AY$138,LS_current!AM$148, FALSE))/2)</f>
        <v>-2955.4470510976407</v>
      </c>
      <c r="CK67" s="180">
        <f t="array" ref="CK67">IF($BT67=0, INDEX(LS_current!$D$4:$AY$138, MATCH('Staging Table'!$A67, LS_current!$B$4:$B$138, 0), MATCH(CK$4&amp;CK$5, LS_current!$D$2:$AY$2&amp;LS_current!$D$3:$AY$3, 0)),SUM(VLOOKUP($A67, LS_current!$B$4:$AY$138, LS_current!P$148, FALSE), VLOOKUP($A67, LS_current!$B$4:$AY$138,LS_current!AN$148, FALSE))/2)</f>
        <v>-2226.5206027478107</v>
      </c>
      <c r="CL67" s="180">
        <f t="array" ref="CL67">IF($BT67=0, INDEX(LS_current!$D$4:$AY$138, MATCH('Staging Table'!$A67, LS_current!$B$4:$B$138, 0), MATCH(CL$4&amp;CL$5, LS_current!$D$2:$AY$2&amp;LS_current!$D$3:$AY$3, 0)),SUM(VLOOKUP($A67, LS_current!$B$4:$AY$138, LS_current!Q$148, FALSE), VLOOKUP($A67, LS_current!$B$4:$AY$138,LS_current!AO$148, FALSE))/2)</f>
        <v>484.46907919655223</v>
      </c>
      <c r="CM67" s="180">
        <f t="array" ref="CM67">IF($BT67=0, INDEX(LS_current!$D$4:$AY$138, MATCH('Staging Table'!$A67, LS_current!$B$4:$B$138, 0), MATCH(CM$4&amp;CM$5, LS_current!$D$2:$AY$2&amp;LS_current!$D$3:$AY$3, 0)),SUM(VLOOKUP($A67, LS_current!$B$4:$AY$138, LS_current!R$148, FALSE), VLOOKUP($A67, LS_current!$B$4:$AY$138,LS_current!AP$148, FALSE))/2)</f>
        <v>-5603.8062600100948</v>
      </c>
      <c r="CN67" s="180">
        <f t="array" ref="CN67">IF($BT67=0, INDEX(LS_current!$D$4:$AY$138, MATCH('Staging Table'!$A67, LS_current!$B$4:$B$138, 0), MATCH(CN$4&amp;CN$5, LS_current!$D$2:$AY$2&amp;LS_current!$D$3:$AY$3, 0)),SUM(VLOOKUP($A67, LS_current!$B$4:$AY$138, LS_current!S$148, FALSE), VLOOKUP($A67, LS_current!$B$4:$AY$138,LS_current!AQ$148, FALSE))/2)</f>
        <v>-168.80619008625217</v>
      </c>
      <c r="CO67" s="180">
        <f t="array" ref="CO67">IF($BT67=0, INDEX(LS_current!$D$4:$AY$138, MATCH('Staging Table'!$A67, LS_current!$B$4:$B$138, 0), MATCH(CO$4&amp;CO$5, LS_current!$D$2:$AY$2&amp;LS_current!$D$3:$AY$3, 0)),SUM(VLOOKUP($A67, LS_current!$B$4:$AY$138, LS_current!T$148, FALSE), VLOOKUP($A67, LS_current!$B$4:$AY$138,LS_current!AR$148, FALSE))/2)</f>
        <v>-3773.8738586188592</v>
      </c>
      <c r="CP67" s="180">
        <f t="array" ref="CP67">IF($BT67=0, INDEX(LS_current!$D$4:$AY$138, MATCH('Staging Table'!$A67, LS_current!$B$4:$B$138, 0), MATCH(CP$4&amp;CP$5, LS_current!$D$2:$AY$2&amp;LS_current!$D$3:$AY$3, 0)),SUM(VLOOKUP($A67, LS_current!$B$4:$AY$138, LS_current!U$148, FALSE), VLOOKUP($A67, LS_current!$B$4:$AY$138,LS_current!AS$148, FALSE))/2)</f>
        <v>3501.0171191173395</v>
      </c>
      <c r="CQ67" s="180">
        <f t="array" ref="CQ67">IF($BT67=0, INDEX(LS_current!$D$4:$AY$138, MATCH('Staging Table'!$A67, LS_current!$B$4:$B$138, 0), MATCH(CQ$4&amp;CQ$5, LS_current!$D$2:$AY$2&amp;LS_current!$D$3:$AY$3, 0)),SUM(VLOOKUP($A67, LS_current!$B$4:$AY$138, LS_current!V$148, FALSE), VLOOKUP($A67, LS_current!$B$4:$AY$138,LS_current!AT$148, FALSE))/2)</f>
        <v>7176.8162550728193</v>
      </c>
      <c r="CR67" s="180">
        <f t="array" ref="CR67">IF($BT67=0, INDEX(LS_current!$D$4:$AY$138, MATCH('Staging Table'!$A67, LS_current!$B$4:$B$138, 0), MATCH(CR$4&amp;CR$5, LS_current!$D$2:$AY$2&amp;LS_current!$D$3:$AY$3, 0)),SUM(VLOOKUP($A67, LS_current!$B$4:$AY$138, LS_current!W$148, FALSE), VLOOKUP($A67, LS_current!$B$4:$AY$138,LS_current!AU$148, FALSE))/2)</f>
        <v>10632.274109726906</v>
      </c>
      <c r="CS67" s="180">
        <f t="array" ref="CS67">IF($BT67=0, INDEX(LS_current!$D$4:$AY$138, MATCH('Staging Table'!$A67, LS_current!$B$4:$B$138, 0), MATCH(CS$4&amp;CS$5, LS_current!$D$2:$AY$2&amp;LS_current!$D$3:$AY$3, 0)),SUM(VLOOKUP($A67, LS_current!$B$4:$AY$138, LS_current!X$148, FALSE), VLOOKUP($A67, LS_current!$B$4:$AY$138,LS_current!AV$148, FALSE))/2)</f>
        <v>6705.4863787705508</v>
      </c>
      <c r="CT67" s="180">
        <f t="array" ref="CT67">IF($BT67=0, INDEX(LS_current!$D$4:$AY$138, MATCH('Staging Table'!$A67, LS_current!$B$4:$B$138, 0), MATCH(CT$4&amp;CT$5, LS_current!$D$2:$AY$2&amp;LS_current!$D$3:$AY$3, 0)),SUM(VLOOKUP($A67, LS_current!$B$4:$AY$138, LS_current!Y$148, FALSE), VLOOKUP($A67, LS_current!$B$4:$AY$138,LS_current!AW$148, FALSE))/2)</f>
        <v>9814.3375037670012</v>
      </c>
      <c r="CU67" s="180">
        <f t="array" ref="CU67">IF($BT67=0, INDEX(LS_current!$D$4:$AY$138, MATCH('Staging Table'!$A67, LS_current!$B$4:$B$138, 0), MATCH(CU$4&amp;CU$5, LS_current!$D$2:$AY$2&amp;LS_current!$D$3:$AY$3, 0)),SUM(VLOOKUP($A67, LS_current!$B$4:$AY$138, LS_current!Z$148, FALSE), VLOOKUP($A67, LS_current!$B$4:$AY$138,LS_current!AX$148, FALSE))/2)</f>
        <v>2229.5491683612854</v>
      </c>
      <c r="CV67" s="180">
        <f t="array" ref="CV67">IF($BT67=0, INDEX(LS_current!$D$4:$AY$138, MATCH('Staging Table'!$A67, LS_current!$B$4:$B$138, 0), MATCH(CV$4&amp;CV$5, LS_current!$D$2:$AY$2&amp;LS_current!$D$3:$AY$3, 0)),SUM(VLOOKUP($A67, LS_current!$B$4:$AY$138, LS_current!AA$148, FALSE), VLOOKUP($A67, LS_current!$B$4:$AY$138,LS_current!AY$148, FALSE))/2)</f>
        <v>5610.678135954322</v>
      </c>
      <c r="CW67" s="182">
        <f t="array" ref="CW67">INDEX(Demand_current!$D$4:$AY$138, MATCH($A67, Demand_current!$B$4:$B$138, 0), MATCH(CW$4&amp;CW$5,Demand_current!$D$2:$AY$2&amp;Demand_current!$D$3:$AY$3, 0))/1000</f>
        <v>0</v>
      </c>
      <c r="CX67" s="182">
        <f t="array" ref="CX67">INDEX(Demand_current!$D$4:$AY$138, MATCH($A67, Demand_current!$B$4:$B$138, 0), MATCH(CX$4&amp;CX$5,Demand_current!$D$2:$AY$2&amp;Demand_current!$D$3:$AY$3, 0))/1000</f>
        <v>0</v>
      </c>
      <c r="CY67" s="182">
        <f t="array" ref="CY67">INDEX(Demand_current!$D$4:$AY$138, MATCH($A67, Demand_current!$B$4:$B$138, 0), MATCH(CY$4&amp;CY$5,Demand_current!$D$2:$AY$2&amp;Demand_current!$D$3:$AY$3, 0))/1000</f>
        <v>0</v>
      </c>
      <c r="CZ67" s="182">
        <f t="array" ref="CZ67">INDEX(Demand_current!$D$4:$AY$138, MATCH($A67, Demand_current!$B$4:$B$138, 0), MATCH(CZ$4&amp;CZ$5,Demand_current!$D$2:$AY$2&amp;Demand_current!$D$3:$AY$3, 0))/1000</f>
        <v>0</v>
      </c>
      <c r="DA67" s="182">
        <f t="array" ref="DA67">INDEX(Demand_current!$D$4:$AY$138, MATCH($A67, Demand_current!$B$4:$B$138, 0), MATCH(DA$4&amp;DA$5,Demand_current!$D$2:$AY$2&amp;Demand_current!$D$3:$AY$3, 0))/1000</f>
        <v>0</v>
      </c>
      <c r="DB67" s="182">
        <f t="array" ref="DB67">INDEX(Demand_current!$D$4:$AY$138, MATCH($A67, Demand_current!$B$4:$B$138, 0), MATCH(DB$4&amp;DB$5,Demand_current!$D$2:$AY$2&amp;Demand_current!$D$3:$AY$3, 0))/1000</f>
        <v>0</v>
      </c>
      <c r="DC67" s="182">
        <f t="array" ref="DC67">INDEX(Demand_current!$D$4:$AY$138, MATCH($A67, Demand_current!$B$4:$B$138, 0), MATCH(DC$4&amp;DC$5,Demand_current!$D$2:$AY$2&amp;Demand_current!$D$3:$AY$3, 0))/1000</f>
        <v>0</v>
      </c>
      <c r="DD67" s="182">
        <f t="array" ref="DD67">INDEX(Demand_current!$D$4:$AY$138, MATCH($A67, Demand_current!$B$4:$B$138, 0), MATCH(DD$4&amp;DD$5,Demand_current!$D$2:$AY$2&amp;Demand_current!$D$3:$AY$3, 0))/1000</f>
        <v>0</v>
      </c>
      <c r="DE67" s="182">
        <f t="array" ref="DE67">INDEX(Demand_current!$D$4:$AY$138, MATCH($A67, Demand_current!$B$4:$B$138, 0), MATCH(DE$4&amp;DE$5,Demand_current!$D$2:$AY$2&amp;Demand_current!$D$3:$AY$3, 0))/1000</f>
        <v>0</v>
      </c>
      <c r="DF67" s="182">
        <f t="array" ref="DF67">INDEX(Demand_current!$D$4:$AY$138, MATCH($A67, Demand_current!$B$4:$B$138, 0), MATCH(DF$4&amp;DF$5,Demand_current!$D$2:$AY$2&amp;Demand_current!$D$3:$AY$3, 0))/1000</f>
        <v>0</v>
      </c>
      <c r="DG67" s="182">
        <f t="array" ref="DG67">INDEX(Demand_current!$D$4:$AY$138, MATCH($A67, Demand_current!$B$4:$B$138, 0), MATCH(DG$4&amp;DG$5,Demand_current!$D$2:$AY$2&amp;Demand_current!$D$3:$AY$3, 0))/1000</f>
        <v>0</v>
      </c>
      <c r="DH67" s="182">
        <f t="array" ref="DH67">INDEX(Demand_current!$D$4:$AY$138, MATCH($A67, Demand_current!$B$4:$B$138, 0), MATCH(DH$4&amp;DH$5,Demand_current!$D$2:$AY$2&amp;Demand_current!$D$3:$AY$3, 0))/1000</f>
        <v>0</v>
      </c>
      <c r="DI67" s="180">
        <f>$BS67*(VLOOKUP(DI$4, Rates_current!$G$6:$Q$29, 10, FALSE)+VLOOKUP(DI$4, Rates_current!$G$6:$Q$29, 11, FALSE))</f>
        <v>37235.583879375146</v>
      </c>
      <c r="DJ67" s="180">
        <f>$BS67*(VLOOKUP(DJ$4, Rates_current!$G$6:$Q$29, 10, FALSE)+VLOOKUP(DJ$4, Rates_current!$G$6:$Q$29, 11, FALSE))</f>
        <v>47487.647990729907</v>
      </c>
      <c r="DK67" s="180">
        <f>$BS67*(VLOOKUP(DK$4, Rates_current!$G$6:$Q$29, 10, FALSE)+VLOOKUP(DK$4, Rates_current!$G$6:$Q$29, 11, FALSE))</f>
        <v>51248.568141253505</v>
      </c>
      <c r="DL67" s="180">
        <f>$BS67*(VLOOKUP(DL$4, Rates_current!$G$6:$Q$29, 10, FALSE)+VLOOKUP(DL$4, Rates_current!$G$6:$Q$29, 11, FALSE))</f>
        <v>53255.184703518396</v>
      </c>
      <c r="DM67" s="180">
        <f>$BS67*(VLOOKUP(DM$4, Rates_current!$G$6:$Q$29, 10, FALSE)+VLOOKUP(DM$4, Rates_current!$G$6:$Q$29, 11, FALSE))</f>
        <v>45806.557307971794</v>
      </c>
      <c r="DN67" s="180">
        <f>$BS67*(VLOOKUP(DN$4, Rates_current!$G$6:$Q$29, 10, FALSE)+VLOOKUP(DN$4, Rates_current!$G$6:$Q$29, 11, FALSE))</f>
        <v>50011.691338055098</v>
      </c>
      <c r="DO67" s="180">
        <f>$BS67*(VLOOKUP(DO$4, Rates_current!$G$6:$Q$29, 10, FALSE)+VLOOKUP(DO$4, Rates_current!$G$6:$Q$29, 11, FALSE))</f>
        <v>39475.80231974442</v>
      </c>
      <c r="DP67" s="180">
        <f>$BS67*(VLOOKUP(DP$4, Rates_current!$G$6:$Q$29, 10, FALSE)+VLOOKUP(DP$4, Rates_current!$G$6:$Q$29, 11, FALSE))</f>
        <v>48975.022781969652</v>
      </c>
      <c r="DQ67" s="180">
        <f>$BS67*(VLOOKUP(DQ$4, Rates_current!$G$6:$Q$29, 10, FALSE)+VLOOKUP(DQ$4, Rates_current!$G$6:$Q$29, 11, FALSE))</f>
        <v>50037.658514191047</v>
      </c>
      <c r="DR67" s="180">
        <f>$BS67*(VLOOKUP(DR$4, Rates_current!$G$6:$Q$29, 10, FALSE)+VLOOKUP(DR$4, Rates_current!$G$6:$Q$29, 11, FALSE))</f>
        <v>43439.896434818147</v>
      </c>
      <c r="DS67" s="180">
        <f>$BS67*(VLOOKUP(DS$4, Rates_current!$G$6:$Q$29, 10, FALSE)+VLOOKUP(DS$4, Rates_current!$G$6:$Q$29, 11, FALSE))</f>
        <v>41994.833149240236</v>
      </c>
      <c r="DT67" s="180">
        <f>$BS67*(VLOOKUP(DT$4, Rates_current!$G$6:$Q$29, 10, FALSE)+VLOOKUP(DT$4, Rates_current!$G$6:$Q$29, 11, FALSE))</f>
        <v>38643.378748965806</v>
      </c>
      <c r="DU67" s="402">
        <f>IF(D67=0,IF(C67=0,MAX(0,DW67 - (VLOOKUP($A67,TOCA_current!$A$2:$AI$137,MATCH("RHWM 2024",TOCA_current!$A$2:$AI$2,0),FALSE)*$BS$2)), 0),0)</f>
        <v>0</v>
      </c>
      <c r="DV67" s="403">
        <f>MIN(VLOOKUP($A67,TOCA_current!$A$2:$AI$137,MATCH("TRL - NLSL - Existing Resource "&amp;$BS$1,TOCA_current!$A$2:$AI$2,0),FALSE)*$BS$2, VLOOKUP($A67,TOCA_current!$A$2:$AI$137,MATCH("RHWM 2024",TOCA_current!$A$2:$AI$2,0),FALSE)*$BS$2)</f>
        <v>1030811.184</v>
      </c>
      <c r="DW67" s="403">
        <f>SUM(BY67:CV67)+(BS67*RT1SC!$C$4*$BS$2)</f>
        <v>547614.05966807751</v>
      </c>
      <c r="DX67" s="403">
        <f>VLOOKUP($A67,TOCA_current!$A$2:$AI$137,MATCH("Above RHWM Not Served with LS "&amp;$BS$1,TOCA_current!$A$2:$AI$2,0),FALSE)*$BS$2</f>
        <v>151594.272</v>
      </c>
      <c r="DY67" s="403">
        <f t="shared" si="13"/>
        <v>-483197.1243319225</v>
      </c>
      <c r="DZ67" s="403">
        <f>(VLOOKUP($A67,TOCA_current!$A$2:$AI$137,MATCH("RHWM 2024",TOCA_current!$A$2:$AI$2,0),FALSE)*$BS$2) - $DV67</f>
        <v>0</v>
      </c>
      <c r="EA67" s="403">
        <f t="shared" si="14"/>
        <v>0</v>
      </c>
      <c r="EB67" s="403">
        <f t="shared" si="15"/>
        <v>331602.85233192251</v>
      </c>
      <c r="EC67" s="403">
        <f t="shared" si="16"/>
        <v>0</v>
      </c>
      <c r="ED67" s="403">
        <f t="shared" si="17"/>
        <v>0</v>
      </c>
    </row>
    <row r="68" spans="1:134">
      <c r="A68" s="123">
        <v>10186</v>
      </c>
      <c r="B68" s="124" t="s">
        <v>69</v>
      </c>
      <c r="C68" s="232">
        <f>VLOOKUP(A68, TOCA_current!$A$3:$D$137, 4, FALSE)</f>
        <v>0</v>
      </c>
      <c r="D68" s="191">
        <v>0</v>
      </c>
      <c r="E68" s="107">
        <f>VLOOKUP($A68,TOCA_previous!$A$2:$AI$137,MATCH(E$4,TOCA_previous!$A$2:$AI$2,0),FALSE)</f>
        <v>2.6946000000000001E-3</v>
      </c>
      <c r="F68" s="108">
        <f>VLOOKUP($A68,TOCA_previous!$A$2:$AI$137,MATCH(F$4,TOCA_previous!$A$2:$AI$2,0),FALSE)</f>
        <v>2.6946000000000001E-3</v>
      </c>
      <c r="G68" s="108">
        <f t="shared" si="5"/>
        <v>0</v>
      </c>
      <c r="H68" s="108">
        <f>VLOOKUP($A68,TOCA_previous!$A$2:$AI$137,MATCH(H$4,TOCA_previous!$A$2:$AI$2,0),FALSE)</f>
        <v>7.0000000000000007E-2</v>
      </c>
      <c r="I68" s="108">
        <f t="shared" si="6"/>
        <v>0</v>
      </c>
      <c r="J68" s="108">
        <f t="shared" si="7"/>
        <v>0</v>
      </c>
      <c r="K68" s="179">
        <f>VLOOKUP(A68, IRD!$A$5:$C$139, 3, FALSE)</f>
        <v>0</v>
      </c>
      <c r="L68" s="180">
        <f t="array" ref="L68">IF($G68=0, INDEX(LS_previous!$D$4:$AY$138, MATCH('Staging Table'!$A68, LS_previous!$B$4:$B$138, 0), MATCH(L$4&amp;L$5, LS_previous!$D$2:$AY$2&amp;LS_previous!$D$3:$AY$3, 0)),SUM(VLOOKUP($A68, LS_previous!$B$4:$AY$138, LS_previous!D$149, FALSE), VLOOKUP('Staging Table'!$A68, LS_previous!$B$4:$AY$138,LS_previous!AB$149, FALSE))/2)</f>
        <v>-430.30844681735834</v>
      </c>
      <c r="M68" s="180">
        <f t="array" ref="M68">IF($G68=0, INDEX(LS_previous!$D$4:$AY$138, MATCH('Staging Table'!$A68, LS_previous!$B$4:$B$138, 0), MATCH(M$4&amp;M$5, LS_previous!$D$2:$AY$2&amp;LS_previous!$D$3:$AY$3, 0)),SUM(VLOOKUP($A68, LS_previous!$B$4:$AY$138, LS_previous!E$149, FALSE), VLOOKUP('Staging Table'!$A68, LS_previous!$B$4:$AY$138,LS_previous!AC$149, FALSE))/2)</f>
        <v>454.58070262937781</v>
      </c>
      <c r="N68" s="180">
        <f t="array" ref="N68">IF($G68=0, INDEX(LS_previous!$D$4:$AY$138, MATCH('Staging Table'!$A68, LS_previous!$B$4:$B$138, 0), MATCH(N$4&amp;N$5, LS_previous!$D$2:$AY$2&amp;LS_previous!$D$3:$AY$3, 0)),SUM(VLOOKUP($A68, LS_previous!$B$4:$AY$138, LS_previous!F$149, FALSE), VLOOKUP('Staging Table'!$A68, LS_previous!$B$4:$AY$138,LS_previous!AD$149, FALSE))/2)</f>
        <v>-2194.8760565788525</v>
      </c>
      <c r="O68" s="180">
        <f t="array" ref="O68">IF($G68=0, INDEX(LS_previous!$D$4:$AY$138, MATCH('Staging Table'!$A68, LS_previous!$B$4:$B$138, 0), MATCH(O$4&amp;O$5, LS_previous!$D$2:$AY$2&amp;LS_previous!$D$3:$AY$3, 0)),SUM(VLOOKUP($A68, LS_previous!$B$4:$AY$138, LS_previous!G$149, FALSE), VLOOKUP('Staging Table'!$A68, LS_previous!$B$4:$AY$138,LS_previous!AE$149, FALSE))/2)</f>
        <v>-506.69429497182682</v>
      </c>
      <c r="P68" s="180">
        <f t="array" ref="P68">IF($G68=0, INDEX(LS_previous!$D$4:$AY$138, MATCH('Staging Table'!$A68, LS_previous!$B$4:$B$138, 0), MATCH(P$4&amp;P$5, LS_previous!$D$2:$AY$2&amp;LS_previous!$D$3:$AY$3, 0)),SUM(VLOOKUP($A68, LS_previous!$B$4:$AY$138, LS_previous!H$149, FALSE), VLOOKUP('Staging Table'!$A68, LS_previous!$B$4:$AY$138,LS_previous!AF$149, FALSE))/2)</f>
        <v>730.17452644071273</v>
      </c>
      <c r="Q68" s="180">
        <f t="array" ref="Q68">IF($G68=0, INDEX(LS_previous!$D$4:$AY$138, MATCH('Staging Table'!$A68, LS_previous!$B$4:$B$138, 0), MATCH(Q$4&amp;Q$5, LS_previous!$D$2:$AY$2&amp;LS_previous!$D$3:$AY$3, 0)),SUM(VLOOKUP($A68, LS_previous!$B$4:$AY$138, LS_previous!I$149, FALSE), VLOOKUP('Staging Table'!$A68, LS_previous!$B$4:$AY$138,LS_previous!AG$149, FALSE))/2)</f>
        <v>648.43114600219451</v>
      </c>
      <c r="R68" s="180">
        <f t="array" ref="R68">IF($G68=0, INDEX(LS_previous!$D$4:$AY$138, MATCH('Staging Table'!$A68, LS_previous!$B$4:$B$138, 0), MATCH(R$4&amp;R$5, LS_previous!$D$2:$AY$2&amp;LS_previous!$D$3:$AY$3, 0)),SUM(VLOOKUP($A68, LS_previous!$B$4:$AY$138, LS_previous!J$149, FALSE), VLOOKUP('Staging Table'!$A68, LS_previous!$B$4:$AY$138,LS_previous!AH$149, FALSE))/2)</f>
        <v>2069.3602724693437</v>
      </c>
      <c r="S68" s="180">
        <f t="array" ref="S68">IF($G68=0, INDEX(LS_previous!$D$4:$AY$138, MATCH('Staging Table'!$A68, LS_previous!$B$4:$B$138, 0), MATCH(S$4&amp;S$5, LS_previous!$D$2:$AY$2&amp;LS_previous!$D$3:$AY$3, 0)),SUM(VLOOKUP($A68, LS_previous!$B$4:$AY$138, LS_previous!K$149, FALSE), VLOOKUP('Staging Table'!$A68, LS_previous!$B$4:$AY$138,LS_previous!AI$149, FALSE))/2)</f>
        <v>1624.3466356804938</v>
      </c>
      <c r="T68" s="180">
        <f t="array" ref="T68">IF($G68=0, INDEX(LS_previous!$D$4:$AY$138, MATCH('Staging Table'!$A68, LS_previous!$B$4:$B$138, 0), MATCH(T$4&amp;T$5, LS_previous!$D$2:$AY$2&amp;LS_previous!$D$3:$AY$3, 0)),SUM(VLOOKUP($A68, LS_previous!$B$4:$AY$138, LS_previous!L$149, FALSE), VLOOKUP('Staging Table'!$A68, LS_previous!$B$4:$AY$138,LS_previous!AJ$149, FALSE))/2)</f>
        <v>1873.4707981668807</v>
      </c>
      <c r="U68" s="180">
        <f t="array" ref="U68">IF($G68=0, INDEX(LS_previous!$D$4:$AY$138, MATCH('Staging Table'!$A68, LS_previous!$B$4:$B$138, 0), MATCH(U$4&amp;U$5, LS_previous!$D$2:$AY$2&amp;LS_previous!$D$3:$AY$3, 0)),SUM(VLOOKUP($A68, LS_previous!$B$4:$AY$138, LS_previous!M$149, FALSE), VLOOKUP('Staging Table'!$A68, LS_previous!$B$4:$AY$138,LS_previous!AK$149, FALSE))/2)</f>
        <v>1063.9800621603836</v>
      </c>
      <c r="V68" s="180">
        <f t="array" ref="V68">IF($G68=0, INDEX(LS_previous!$D$4:$AY$138, MATCH('Staging Table'!$A68, LS_previous!$B$4:$B$138, 0), MATCH(V$4&amp;V$5, LS_previous!$D$2:$AY$2&amp;LS_previous!$D$3:$AY$3, 0)),SUM(VLOOKUP($A68, LS_previous!$B$4:$AY$138, LS_previous!N$149, FALSE), VLOOKUP('Staging Table'!$A68, LS_previous!$B$4:$AY$138,LS_previous!AL$149, FALSE))/2)</f>
        <v>187.36895341603304</v>
      </c>
      <c r="W68" s="180">
        <f t="array" ref="W68">IF($G68=0, INDEX(LS_previous!$D$4:$AY$138, MATCH('Staging Table'!$A68, LS_previous!$B$4:$B$138, 0), MATCH(W$4&amp;W$5, LS_previous!$D$2:$AY$2&amp;LS_previous!$D$3:$AY$3, 0)),SUM(VLOOKUP($A68, LS_previous!$B$4:$AY$138, LS_previous!O$149, FALSE), VLOOKUP('Staging Table'!$A68, LS_previous!$B$4:$AY$138,LS_previous!AM$149, FALSE))/2)</f>
        <v>591.39235317302155</v>
      </c>
      <c r="X68" s="180">
        <f t="array" ref="X68">IF($G68=0, INDEX(LS_previous!$D$4:$AY$138, MATCH('Staging Table'!$A68, LS_previous!$B$4:$B$138, 0), MATCH(X$4&amp;X$5, LS_previous!$D$2:$AY$2&amp;LS_previous!$D$3:$AY$3, 0)),SUM(VLOOKUP($A68, LS_previous!$B$4:$AY$138, LS_previous!P$149, FALSE), VLOOKUP('Staging Table'!$A68, LS_previous!$B$4:$AY$138,LS_previous!AN$149, FALSE))/2)</f>
        <v>987.10168583451195</v>
      </c>
      <c r="Y68" s="180">
        <f t="array" ref="Y68">IF($G68=0, INDEX(LS_previous!$D$4:$AY$138, MATCH('Staging Table'!$A68, LS_previous!$B$4:$B$138, 0), MATCH(Y$4&amp;Y$5, LS_previous!$D$2:$AY$2&amp;LS_previous!$D$3:$AY$3, 0)),SUM(VLOOKUP($A68, LS_previous!$B$4:$AY$138, LS_previous!Q$149, FALSE), VLOOKUP('Staging Table'!$A68, LS_previous!$B$4:$AY$138,LS_previous!AO$149, FALSE))/2)</f>
        <v>1194.3610301293979</v>
      </c>
      <c r="Z68" s="180">
        <f t="array" ref="Z68">IF($G68=0, INDEX(LS_previous!$D$4:$AY$138, MATCH('Staging Table'!$A68, LS_previous!$B$4:$B$138, 0), MATCH(Z$4&amp;Z$5, LS_previous!$D$2:$AY$2&amp;LS_previous!$D$3:$AY$3, 0)),SUM(VLOOKUP($A68, LS_previous!$B$4:$AY$138, LS_previous!R$149, FALSE), VLOOKUP('Staging Table'!$A68, LS_previous!$B$4:$AY$138,LS_previous!AP$149, FALSE))/2)</f>
        <v>-2857.7302879093504</v>
      </c>
      <c r="AA68" s="180">
        <f t="array" ref="AA68">IF($G68=0, INDEX(LS_previous!$D$4:$AY$138, MATCH('Staging Table'!$A68, LS_previous!$B$4:$B$138, 0), MATCH(AA$4&amp;AA$5, LS_previous!$D$2:$AY$2&amp;LS_previous!$D$3:$AY$3, 0)),SUM(VLOOKUP($A68, LS_previous!$B$4:$AY$138, LS_previous!S$149, FALSE), VLOOKUP('Staging Table'!$A68, LS_previous!$B$4:$AY$138,LS_previous!AQ$149, FALSE))/2)</f>
        <v>260.6656857966027</v>
      </c>
      <c r="AB68" s="180">
        <f t="array" ref="AB68">IF($G68=0, INDEX(LS_previous!$D$4:$AY$138, MATCH('Staging Table'!$A68, LS_previous!$B$4:$B$138, 0), MATCH(AB$4&amp;AB$5, LS_previous!$D$2:$AY$2&amp;LS_previous!$D$3:$AY$3, 0)),SUM(VLOOKUP($A68, LS_previous!$B$4:$AY$138, LS_previous!T$149, FALSE), VLOOKUP('Staging Table'!$A68, LS_previous!$B$4:$AY$138,LS_previous!AR$149, FALSE))/2)</f>
        <v>-3729.1420271569286</v>
      </c>
      <c r="AC68" s="180">
        <f t="array" ref="AC68">IF($G68=0, INDEX(LS_previous!$D$4:$AY$138, MATCH('Staging Table'!$A68, LS_previous!$B$4:$B$138, 0), MATCH(AC$4&amp;AC$5, LS_previous!$D$2:$AY$2&amp;LS_previous!$D$3:$AY$3, 0)),SUM(VLOOKUP($A68, LS_previous!$B$4:$AY$138, LS_previous!U$149, FALSE), VLOOKUP('Staging Table'!$A68, LS_previous!$B$4:$AY$138,LS_previous!AS$149, FALSE))/2)</f>
        <v>53.927802222349783</v>
      </c>
      <c r="AD68" s="180">
        <f t="array" ref="AD68">IF($G68=0, INDEX(LS_previous!$D$4:$AY$138, MATCH('Staging Table'!$A68, LS_previous!$B$4:$B$138, 0), MATCH(AD$4&amp;AD$5, LS_previous!$D$2:$AY$2&amp;LS_previous!$D$3:$AY$3, 0)),SUM(VLOOKUP($A68, LS_previous!$B$4:$AY$138, LS_previous!V$149, FALSE), VLOOKUP('Staging Table'!$A68, LS_previous!$B$4:$AY$138,LS_previous!AT$149, FALSE))/2)</f>
        <v>-2187.6833049483048</v>
      </c>
      <c r="AE68" s="180">
        <f t="array" ref="AE68">IF($G68=0, INDEX(LS_previous!$D$4:$AY$138, MATCH('Staging Table'!$A68, LS_previous!$B$4:$B$138, 0), MATCH(AE$4&amp;AE$5, LS_previous!$D$2:$AY$2&amp;LS_previous!$D$3:$AY$3, 0)),SUM(VLOOKUP($A68, LS_previous!$B$4:$AY$138, LS_previous!W$149, FALSE), VLOOKUP('Staging Table'!$A68, LS_previous!$B$4:$AY$138,LS_previous!AU$149, FALSE))/2)</f>
        <v>142.08641544488091</v>
      </c>
      <c r="AF68" s="180">
        <f t="array" ref="AF68">IF($G68=0, INDEX(LS_previous!$D$4:$AY$138, MATCH('Staging Table'!$A68, LS_previous!$B$4:$B$138, 0), MATCH(AF$4&amp;AF$5, LS_previous!$D$2:$AY$2&amp;LS_previous!$D$3:$AY$3, 0)),SUM(VLOOKUP($A68, LS_previous!$B$4:$AY$138, LS_previous!X$149, FALSE), VLOOKUP('Staging Table'!$A68, LS_previous!$B$4:$AY$138,LS_previous!AV$149, FALSE))/2)</f>
        <v>-2243.9483155451999</v>
      </c>
      <c r="AG68" s="180">
        <f t="array" ref="AG68">IF($G68=0, INDEX(LS_previous!$D$4:$AY$138, MATCH('Staging Table'!$A68, LS_previous!$B$4:$B$138, 0), MATCH(AG$4&amp;AG$5, LS_previous!$D$2:$AY$2&amp;LS_previous!$D$3:$AY$3, 0)),SUM(VLOOKUP($A68, LS_previous!$B$4:$AY$138, LS_previous!Y$149, FALSE), VLOOKUP('Staging Table'!$A68, LS_previous!$B$4:$AY$138,LS_previous!AW$149, FALSE))/2)</f>
        <v>-171.89068479223715</v>
      </c>
      <c r="AH68" s="180">
        <f t="array" ref="AH68">IF($G68=0, INDEX(LS_previous!$D$4:$AY$138, MATCH('Staging Table'!$A68, LS_previous!$B$4:$B$138, 0), MATCH(AH$4&amp;AH$5, LS_previous!$D$2:$AY$2&amp;LS_previous!$D$3:$AY$3, 0)),SUM(VLOOKUP($A68, LS_previous!$B$4:$AY$138, LS_previous!Z$149, FALSE), VLOOKUP('Staging Table'!$A68, LS_previous!$B$4:$AY$138,LS_previous!AX$149, FALSE))/2)</f>
        <v>-1523.4151842409365</v>
      </c>
      <c r="AI68" s="180">
        <f t="array" ref="AI68">IF($G68=0, INDEX(LS_previous!$D$4:$AY$138, MATCH('Staging Table'!$A68, LS_previous!$B$4:$B$138, 0), MATCH(AI$4&amp;AI$5, LS_previous!$D$2:$AY$2&amp;LS_previous!$D$3:$AY$3, 0)),SUM(VLOOKUP($A68, LS_previous!$B$4:$AY$138, LS_previous!AA$149, FALSE), VLOOKUP('Staging Table'!$A68, LS_previous!$B$4:$AY$138,LS_previous!AY$149, FALSE))/2)</f>
        <v>-33.162674435118788</v>
      </c>
      <c r="AJ68" s="298">
        <f t="array" ref="AJ68">INDEX(Demand_previous!$D$4:$AY$138, MATCH('Staging Table'!$A68, Demand_previous!$B$4:$B$138, 0), MATCH(AJ$4&amp;AJ$5,Demand_previous!$D$2:$AY$2&amp;Demand_previous!$D$3:$AY$3, 0))/1000</f>
        <v>1.3024687500000005</v>
      </c>
      <c r="AK68" s="298">
        <f t="array" ref="AK68">INDEX(Demand_previous!$D$4:$AY$138, MATCH('Staging Table'!$A68, Demand_previous!$B$4:$B$138, 0), MATCH(AK$4&amp;AK$5,Demand_previous!$D$2:$AY$2&amp;Demand_previous!$D$3:$AY$3, 0))/1000</f>
        <v>0.68532249999999983</v>
      </c>
      <c r="AL68" s="298">
        <f t="array" ref="AL68">INDEX(Demand_previous!$D$4:$AY$138, MATCH('Staging Table'!$A68, Demand_previous!$B$4:$B$138, 0), MATCH(AL$4&amp;AL$5,Demand_previous!$D$2:$AY$2&amp;Demand_previous!$D$3:$AY$3, 0))/1000</f>
        <v>3.0624086538461568</v>
      </c>
      <c r="AM68" s="298">
        <f t="array" ref="AM68">INDEX(Demand_previous!$D$4:$AY$138, MATCH('Staging Table'!$A68, Demand_previous!$B$4:$B$138, 0), MATCH(AM$4&amp;AM$5,Demand_previous!$D$2:$AY$2&amp;Demand_previous!$D$3:$AY$3, 0))/1000</f>
        <v>3.2442324999999963</v>
      </c>
      <c r="AN68" s="298">
        <f t="array" ref="AN68">INDEX(Demand_previous!$D$4:$AY$138, MATCH('Staging Table'!$A68, Demand_previous!$B$4:$B$138, 0), MATCH(AN$4&amp;AN$5,Demand_previous!$D$2:$AY$2&amp;Demand_previous!$D$3:$AY$3, 0))/1000</f>
        <v>3.3910885416666687</v>
      </c>
      <c r="AO68" s="298">
        <f t="array" ref="AO68">INDEX(Demand_previous!$D$4:$AY$138, MATCH('Staging Table'!$A68, Demand_previous!$B$4:$B$138, 0), MATCH(AO$4&amp;AO$5,Demand_previous!$D$2:$AY$2&amp;Demand_previous!$D$3:$AY$3, 0))/1000</f>
        <v>3.6515254629629634</v>
      </c>
      <c r="AP68" s="298">
        <f t="array" ref="AP68">INDEX(Demand_previous!$D$4:$AY$138, MATCH('Staging Table'!$A68, Demand_previous!$B$4:$B$138, 0), MATCH(AP$4&amp;AP$5,Demand_previous!$D$2:$AY$2&amp;Demand_previous!$D$3:$AY$3, 0))/1000</f>
        <v>3.4248533653846178</v>
      </c>
      <c r="AQ68" s="298">
        <f t="array" ref="AQ68">INDEX(Demand_previous!$D$4:$AY$138, MATCH('Staging Table'!$A68, Demand_previous!$B$4:$B$138, 0), MATCH(AQ$4&amp;AQ$5,Demand_previous!$D$2:$AY$2&amp;Demand_previous!$D$3:$AY$3, 0))/1000</f>
        <v>1.7149774999999985</v>
      </c>
      <c r="AR68" s="298">
        <f t="array" ref="AR68">INDEX(Demand_previous!$D$4:$AY$138, MATCH('Staging Table'!$A68, Demand_previous!$B$4:$B$138, 0), MATCH(AR$4&amp;AR$5,Demand_previous!$D$2:$AY$2&amp;Demand_previous!$D$3:$AY$3, 0))/1000</f>
        <v>1.9365408653846148</v>
      </c>
      <c r="AS68" s="298">
        <f t="array" ref="AS68">INDEX(Demand_previous!$D$4:$AY$138, MATCH('Staging Table'!$A68, Demand_previous!$B$4:$B$138, 0), MATCH(AS$4&amp;AS$5,Demand_previous!$D$2:$AY$2&amp;Demand_previous!$D$3:$AY$3, 0))/1000</f>
        <v>3.7654900000000007</v>
      </c>
      <c r="AT68" s="298">
        <f t="array" ref="AT68">INDEX(Demand_previous!$D$4:$AY$138, MATCH('Staging Table'!$A68, Demand_previous!$B$4:$B$138, 0), MATCH(AT$4&amp;AT$5,Demand_previous!$D$2:$AY$2&amp;Demand_previous!$D$3:$AY$3, 0))/1000</f>
        <v>2.7638263888888894</v>
      </c>
      <c r="AU68" s="298">
        <f t="array" ref="AU68">INDEX(Demand_previous!$D$4:$AY$138, MATCH('Staging Table'!$A68, Demand_previous!$B$4:$B$138, 0), MATCH(AU$4&amp;AU$5,Demand_previous!$D$2:$AY$2&amp;Demand_previous!$D$3:$AY$3, 0))/1000</f>
        <v>1.9491599999999982</v>
      </c>
      <c r="AV68" s="180">
        <f>$F68*(VLOOKUP(AV$4, Rates_previous!$G$6:$Q$29, 10, FALSE)+VLOOKUP(AV$4, Rates_previous!$G$6:$Q$29, 11, FALSE))</f>
        <v>12271.00474418798</v>
      </c>
      <c r="AW68" s="180">
        <f>$F68*(VLOOKUP(AW$4, Rates_previous!$G$6:$Q$29, 10, FALSE)+VLOOKUP(AW$4, Rates_previous!$G$6:$Q$29, 11, FALSE))</f>
        <v>15535.53735155068</v>
      </c>
      <c r="AX68" s="180">
        <f>$F68*(VLOOKUP(AX$4, Rates_previous!$G$6:$Q$29, 10, FALSE)+VLOOKUP(AX$4, Rates_previous!$G$6:$Q$29, 11, FALSE))</f>
        <v>15206.187327557092</v>
      </c>
      <c r="AY68" s="180">
        <f>$F68*(VLOOKUP(AY$4, Rates_previous!$G$6:$Q$29, 10, FALSE)+VLOOKUP(AY$4, Rates_previous!$G$6:$Q$29, 11, FALSE))</f>
        <v>12559.664091850163</v>
      </c>
      <c r="AZ68" s="180">
        <f>$F68*(VLOOKUP(AZ$4, Rates_previous!$G$6:$Q$29, 10, FALSE)+VLOOKUP(AZ$4, Rates_previous!$G$6:$Q$29, 11, FALSE))</f>
        <v>10885.736139672736</v>
      </c>
      <c r="BA68" s="180">
        <f>$F68*(VLOOKUP(BA$4, Rates_previous!$G$6:$Q$29, 10, FALSE)+VLOOKUP(BA$4, Rates_previous!$G$6:$Q$29, 11, FALSE))</f>
        <v>12995.370693410947</v>
      </c>
      <c r="BB68" s="180">
        <f>$F68*(VLOOKUP(BB$4, Rates_previous!$G$6:$Q$29, 10, FALSE)+VLOOKUP(BB$4, Rates_previous!$G$6:$Q$29, 11, FALSE))</f>
        <v>10089.17528403609</v>
      </c>
      <c r="BC68" s="180">
        <f>$F68*(VLOOKUP(BC$4, Rates_previous!$G$6:$Q$29, 10, FALSE)+VLOOKUP(BC$4, Rates_previous!$G$6:$Q$29, 11, FALSE))</f>
        <v>13978.626602112747</v>
      </c>
      <c r="BD68" s="180">
        <f>$F68*(VLOOKUP(BD$4, Rates_previous!$G$6:$Q$29, 10, FALSE)+VLOOKUP(BD$4, Rates_previous!$G$6:$Q$29, 11, FALSE))</f>
        <v>14936.455224934578</v>
      </c>
      <c r="BE68" s="180">
        <f>$F68*(VLOOKUP(BE$4, Rates_previous!$G$6:$Q$29, 10, FALSE)+VLOOKUP(BE$4, Rates_previous!$G$6:$Q$29, 11, FALSE))</f>
        <v>14181.487889503425</v>
      </c>
      <c r="BF68" s="180">
        <f>$F68*(VLOOKUP(BF$4, Rates_previous!$G$6:$Q$29, 10, FALSE)+VLOOKUP(BF$4, Rates_previous!$G$6:$Q$29, 11, FALSE))</f>
        <v>13705.314000337437</v>
      </c>
      <c r="BG68" s="180">
        <f>$F68*(VLOOKUP(BG$4, Rates_previous!$G$6:$Q$29, 10, FALSE)+VLOOKUP(BG$4, Rates_previous!$G$6:$Q$29, 11, FALSE))</f>
        <v>12665.138858676055</v>
      </c>
      <c r="BH68" s="298">
        <f>IF($D68=0,IF(C68=0, MAX(BJ68 - (VLOOKUP($A68,TOCA_previous!$A$2:$AI$137,MATCH("RHWM 2022",TOCA_previous!$A$2:$AI$2,0),FALSE)*$F$2*TOCA_previous!C65),0),0), 0)</f>
        <v>0</v>
      </c>
      <c r="BI68" s="192">
        <f>MIN(VLOOKUP($A68,TOCA_previous!$A$2:$AI$137,MATCH("TRL - NLSL - Existing Resource "&amp;$F$1,TOCA_previous!$A$2:$AI$2,0),FALSE)*$F$2,(VLOOKUP($A68,TOCA_previous!$A$2:$AI$137,MATCH("RHWM 2022",TOCA_previous!$A$2:$AI$2,0),FALSE)*$F$2))</f>
        <v>159011.52000000002</v>
      </c>
      <c r="BJ68" s="402">
        <f>SUM(L68:AI68)+(F68*RT1SC!$C$3*$F$2)</f>
        <v>155012.10313403409</v>
      </c>
      <c r="BK68" s="401">
        <f>VLOOKUP($A68,TOCA_previous!$A$2:$AI$137,MATCH("Above RHWM Not Served with LS "&amp;$F$1,TOCA_previous!$A$2:$AI$2,0),FALSE)*$F$2</f>
        <v>0</v>
      </c>
      <c r="BL68" s="402">
        <f t="shared" si="8"/>
        <v>-3999.4168659659335</v>
      </c>
      <c r="BM68" s="401">
        <f>(VLOOKUP($A68,TOCA_previous!$A$2:$AI$137,MATCH("RHWM 2022",TOCA_previous!$A$2:$AI$2,0),FALSE)*$F$2) - $BI68</f>
        <v>19114.319999999978</v>
      </c>
      <c r="BN68" s="402">
        <f t="shared" si="9"/>
        <v>0</v>
      </c>
      <c r="BO68" s="401">
        <f t="shared" si="10"/>
        <v>3999.4168659659335</v>
      </c>
      <c r="BP68" s="402">
        <f t="shared" si="11"/>
        <v>0</v>
      </c>
      <c r="BQ68" s="401">
        <f t="shared" si="18"/>
        <v>3999.4168659659335</v>
      </c>
      <c r="BR68" s="108">
        <f>VLOOKUP($A68,TOCA_current!$A$2:$AI$137,MATCH(BR$4,TOCA_current!$A$2:$AI$2,0),FALSE)</f>
        <v>2.4984E-3</v>
      </c>
      <c r="BS68" s="108">
        <f>VLOOKUP($A68,TOCA_current!$A$2:$AI$137,MATCH(BS$4,TOCA_current!$A$2:$AI$2,0),FALSE)</f>
        <v>2.4984E-3</v>
      </c>
      <c r="BT68" s="189">
        <f t="shared" si="12"/>
        <v>0</v>
      </c>
      <c r="BU68" s="108">
        <f>VLOOKUP($A68,TOCA_current!A64:BG199,MATCH(BU$4,TOCA_current!$A$2:$BG$2,0),FALSE)</f>
        <v>7.0000000000000007E-2</v>
      </c>
      <c r="BV68" s="108">
        <f t="shared" si="19"/>
        <v>0</v>
      </c>
      <c r="BW68" s="108">
        <f t="shared" si="20"/>
        <v>0</v>
      </c>
      <c r="BX68" s="179">
        <f>VLOOKUP($A68,IRD!$A$4:$G$139, 7, FALSE)</f>
        <v>0</v>
      </c>
      <c r="BY68" s="180">
        <f t="array" ref="BY68">IF($BT68=0, INDEX(LS_current!$D$4:$AY$138, MATCH('Staging Table'!$A68, LS_current!$B$4:$B$138, 0), MATCH(BY$4&amp;BY$5, LS_current!$D$2:$AY$2&amp;LS_current!$D$3:$AY$3, 0)),SUM(VLOOKUP($A68, LS_current!$B$4:$AY$138, LS_current!D$148, FALSE), VLOOKUP($A68, LS_current!$B$4:$AY$138,LS_current!AB$148, FALSE))/2)</f>
        <v>1063.0268204575987</v>
      </c>
      <c r="BZ68" s="180">
        <f t="array" ref="BZ68">IF($BT68=0, INDEX(LS_current!$D$4:$AY$138, MATCH('Staging Table'!$A68, LS_current!$B$4:$B$138, 0), MATCH(BZ$4&amp;BZ$5, LS_current!$D$2:$AY$2&amp;LS_current!$D$3:$AY$3, 0)),SUM(VLOOKUP($A68, LS_current!$B$4:$AY$138, LS_current!E$148, FALSE), VLOOKUP($A68, LS_current!$B$4:$AY$138,LS_current!AC$148, FALSE))/2)</f>
        <v>691.9908618108002</v>
      </c>
      <c r="CA68" s="180">
        <f t="array" ref="CA68">IF($BT68=0, INDEX(LS_current!$D$4:$AY$138, MATCH('Staging Table'!$A68, LS_current!$B$4:$B$138, 0), MATCH(CA$4&amp;CA$5, LS_current!$D$2:$AY$2&amp;LS_current!$D$3:$AY$3, 0)),SUM(VLOOKUP($A68, LS_current!$B$4:$AY$138, LS_current!F$148, FALSE), VLOOKUP($A68, LS_current!$B$4:$AY$138,LS_current!AD$148, FALSE))/2)</f>
        <v>-817.52414027520081</v>
      </c>
      <c r="CB68" s="180">
        <f t="array" ref="CB68">IF($BT68=0, INDEX(LS_current!$D$4:$AY$138, MATCH('Staging Table'!$A68, LS_current!$B$4:$B$138, 0), MATCH(CB$4&amp;CB$5, LS_current!$D$2:$AY$2&amp;LS_current!$D$3:$AY$3, 0)),SUM(VLOOKUP($A68, LS_current!$B$4:$AY$138, LS_current!G$148, FALSE), VLOOKUP($A68, LS_current!$B$4:$AY$138,LS_current!AE$148, FALSE))/2)</f>
        <v>209.18482830959965</v>
      </c>
      <c r="CC68" s="180">
        <f t="array" ref="CC68">IF($BT68=0, INDEX(LS_current!$D$4:$AY$138, MATCH('Staging Table'!$A68, LS_current!$B$4:$B$138, 0), MATCH(CC$4&amp;CC$5, LS_current!$D$2:$AY$2&amp;LS_current!$D$3:$AY$3, 0)),SUM(VLOOKUP($A68, LS_current!$B$4:$AY$138, LS_current!H$148, FALSE), VLOOKUP($A68, LS_current!$B$4:$AY$138,LS_current!AF$148, FALSE))/2)</f>
        <v>621.64042968240028</v>
      </c>
      <c r="CD68" s="180">
        <f t="array" ref="CD68">IF($BT68=0, INDEX(LS_current!$D$4:$AY$138, MATCH('Staging Table'!$A68, LS_current!$B$4:$B$138, 0), MATCH(CD$4&amp;CD$5, LS_current!$D$2:$AY$2&amp;LS_current!$D$3:$AY$3, 0)),SUM(VLOOKUP($A68, LS_current!$B$4:$AY$138, LS_current!I$148, FALSE), VLOOKUP($A68, LS_current!$B$4:$AY$138,LS_current!AG$148, FALSE))/2)</f>
        <v>1456.2443499135998</v>
      </c>
      <c r="CE68" s="180">
        <f t="array" ref="CE68">IF($BT68=0, INDEX(LS_current!$D$4:$AY$138, MATCH('Staging Table'!$A68, LS_current!$B$4:$B$138, 0), MATCH(CE$4&amp;CE$5, LS_current!$D$2:$AY$2&amp;LS_current!$D$3:$AY$3, 0)),SUM(VLOOKUP($A68, LS_current!$B$4:$AY$138, LS_current!J$148, FALSE), VLOOKUP($A68, LS_current!$B$4:$AY$138,LS_current!AH$148, FALSE))/2)</f>
        <v>-118.94518075599808</v>
      </c>
      <c r="CF68" s="180">
        <f t="array" ref="CF68">IF($BT68=0, INDEX(LS_current!$D$4:$AY$138, MATCH('Staging Table'!$A68, LS_current!$B$4:$B$138, 0), MATCH(CF$4&amp;CF$5, LS_current!$D$2:$AY$2&amp;LS_current!$D$3:$AY$3, 0)),SUM(VLOOKUP($A68, LS_current!$B$4:$AY$138, LS_current!K$148, FALSE), VLOOKUP($A68, LS_current!$B$4:$AY$138,LS_current!AI$148, FALSE))/2)</f>
        <v>1297.3959483464005</v>
      </c>
      <c r="CG68" s="180">
        <f t="array" ref="CG68">IF($BT68=0, INDEX(LS_current!$D$4:$AY$138, MATCH('Staging Table'!$A68, LS_current!$B$4:$B$138, 0), MATCH(CG$4&amp;CG$5, LS_current!$D$2:$AY$2&amp;LS_current!$D$3:$AY$3, 0)),SUM(VLOOKUP($A68, LS_current!$B$4:$AY$138, LS_current!L$148, FALSE), VLOOKUP($A68, LS_current!$B$4:$AY$138,LS_current!AJ$148, FALSE))/2)</f>
        <v>-47.847704093599532</v>
      </c>
      <c r="CH68" s="180">
        <f t="array" ref="CH68">IF($BT68=0, INDEX(LS_current!$D$4:$AY$138, MATCH('Staging Table'!$A68, LS_current!$B$4:$B$138, 0), MATCH(CH$4&amp;CH$5, LS_current!$D$2:$AY$2&amp;LS_current!$D$3:$AY$3, 0)),SUM(VLOOKUP($A68, LS_current!$B$4:$AY$138, LS_current!M$148, FALSE), VLOOKUP($A68, LS_current!$B$4:$AY$138,LS_current!AK$148, FALSE))/2)</f>
        <v>904.59394563439946</v>
      </c>
      <c r="CI68" s="180">
        <f t="array" ref="CI68">IF($BT68=0, INDEX(LS_current!$D$4:$AY$138, MATCH('Staging Table'!$A68, LS_current!$B$4:$B$138, 0), MATCH(CI$4&amp;CI$5, LS_current!$D$2:$AY$2&amp;LS_current!$D$3:$AY$3, 0)),SUM(VLOOKUP($A68, LS_current!$B$4:$AY$138, LS_current!N$148, FALSE), VLOOKUP($A68, LS_current!$B$4:$AY$138,LS_current!AL$148, FALSE))/2)</f>
        <v>-450.9369119191997</v>
      </c>
      <c r="CJ68" s="180">
        <f t="array" ref="CJ68">IF($BT68=0, INDEX(LS_current!$D$4:$AY$138, MATCH('Staging Table'!$A68, LS_current!$B$4:$B$138, 0), MATCH(CJ$4&amp;CJ$5, LS_current!$D$2:$AY$2&amp;LS_current!$D$3:$AY$3, 0)),SUM(VLOOKUP($A68, LS_current!$B$4:$AY$138, LS_current!O$148, FALSE), VLOOKUP($A68, LS_current!$B$4:$AY$138,LS_current!AM$148, FALSE))/2)</f>
        <v>68.28282984480029</v>
      </c>
      <c r="CK68" s="180">
        <f t="array" ref="CK68">IF($BT68=0, INDEX(LS_current!$D$4:$AY$138, MATCH('Staging Table'!$A68, LS_current!$B$4:$B$138, 0), MATCH(CK$4&amp;CK$5, LS_current!$D$2:$AY$2&amp;LS_current!$D$3:$AY$3, 0)),SUM(VLOOKUP($A68, LS_current!$B$4:$AY$138, LS_current!P$148, FALSE), VLOOKUP($A68, LS_current!$B$4:$AY$138,LS_current!AN$148, FALSE))/2)</f>
        <v>402.72540869399927</v>
      </c>
      <c r="CL68" s="180">
        <f t="array" ref="CL68">IF($BT68=0, INDEX(LS_current!$D$4:$AY$138, MATCH('Staging Table'!$A68, LS_current!$B$4:$B$138, 0), MATCH(CL$4&amp;CL$5, LS_current!$D$2:$AY$2&amp;LS_current!$D$3:$AY$3, 0)),SUM(VLOOKUP($A68, LS_current!$B$4:$AY$138, LS_current!Q$148, FALSE), VLOOKUP($A68, LS_current!$B$4:$AY$138,LS_current!AO$148, FALSE))/2)</f>
        <v>693.51568716380007</v>
      </c>
      <c r="CM68" s="180">
        <f t="array" ref="CM68">IF($BT68=0, INDEX(LS_current!$D$4:$AY$138, MATCH('Staging Table'!$A68, LS_current!$B$4:$B$138, 0), MATCH(CM$4&amp;CM$5, LS_current!$D$2:$AY$2&amp;LS_current!$D$3:$AY$3, 0)),SUM(VLOOKUP($A68, LS_current!$B$4:$AY$138, LS_current!R$148, FALSE), VLOOKUP($A68, LS_current!$B$4:$AY$138,LS_current!AP$148, FALSE))/2)</f>
        <v>-1862.338213043201</v>
      </c>
      <c r="CN68" s="180">
        <f t="array" ref="CN68">IF($BT68=0, INDEX(LS_current!$D$4:$AY$138, MATCH('Staging Table'!$A68, LS_current!$B$4:$B$138, 0), MATCH(CN$4&amp;CN$5, LS_current!$D$2:$AY$2&amp;LS_current!$D$3:$AY$3, 0)),SUM(VLOOKUP($A68, LS_current!$B$4:$AY$138, LS_current!S$148, FALSE), VLOOKUP($A68, LS_current!$B$4:$AY$138,LS_current!AQ$148, FALSE))/2)</f>
        <v>-619.43658559639971</v>
      </c>
      <c r="CO68" s="180">
        <f t="array" ref="CO68">IF($BT68=0, INDEX(LS_current!$D$4:$AY$138, MATCH('Staging Table'!$A68, LS_current!$B$4:$B$138, 0), MATCH(CO$4&amp;CO$5, LS_current!$D$2:$AY$2&amp;LS_current!$D$3:$AY$3, 0)),SUM(VLOOKUP($A68, LS_current!$B$4:$AY$138, LS_current!T$148, FALSE), VLOOKUP($A68, LS_current!$B$4:$AY$138,LS_current!AR$148, FALSE))/2)</f>
        <v>-1971.8928023184008</v>
      </c>
      <c r="CP68" s="180">
        <f t="array" ref="CP68">IF($BT68=0, INDEX(LS_current!$D$4:$AY$138, MATCH('Staging Table'!$A68, LS_current!$B$4:$B$138, 0), MATCH(CP$4&amp;CP$5, LS_current!$D$2:$AY$2&amp;LS_current!$D$3:$AY$3, 0)),SUM(VLOOKUP($A68, LS_current!$B$4:$AY$138, LS_current!U$148, FALSE), VLOOKUP($A68, LS_current!$B$4:$AY$138,LS_current!AS$148, FALSE))/2)</f>
        <v>-931.00279616280022</v>
      </c>
      <c r="CQ68" s="180">
        <f t="array" ref="CQ68">IF($BT68=0, INDEX(LS_current!$D$4:$AY$138, MATCH('Staging Table'!$A68, LS_current!$B$4:$B$138, 0), MATCH(CQ$4&amp;CQ$5, LS_current!$D$2:$AY$2&amp;LS_current!$D$3:$AY$3, 0)),SUM(VLOOKUP($A68, LS_current!$B$4:$AY$138, LS_current!V$148, FALSE), VLOOKUP($A68, LS_current!$B$4:$AY$138,LS_current!AT$148, FALSE))/2)</f>
        <v>-404.86815917760032</v>
      </c>
      <c r="CR68" s="180">
        <f t="array" ref="CR68">IF($BT68=0, INDEX(LS_current!$D$4:$AY$138, MATCH('Staging Table'!$A68, LS_current!$B$4:$B$138, 0), MATCH(CR$4&amp;CR$5, LS_current!$D$2:$AY$2&amp;LS_current!$D$3:$AY$3, 0)),SUM(VLOOKUP($A68, LS_current!$B$4:$AY$138, LS_current!W$148, FALSE), VLOOKUP($A68, LS_current!$B$4:$AY$138,LS_current!AU$148, FALSE))/2)</f>
        <v>244.24798745400039</v>
      </c>
      <c r="CS68" s="180">
        <f t="array" ref="CS68">IF($BT68=0, INDEX(LS_current!$D$4:$AY$138, MATCH('Staging Table'!$A68, LS_current!$B$4:$B$138, 0), MATCH(CS$4&amp;CS$5, LS_current!$D$2:$AY$2&amp;LS_current!$D$3:$AY$3, 0)),SUM(VLOOKUP($A68, LS_current!$B$4:$AY$138, LS_current!X$148, FALSE), VLOOKUP($A68, LS_current!$B$4:$AY$138,LS_current!AV$148, FALSE))/2)</f>
        <v>-555.14116447560082</v>
      </c>
      <c r="CT68" s="180">
        <f t="array" ref="CT68">IF($BT68=0, INDEX(LS_current!$D$4:$AY$138, MATCH('Staging Table'!$A68, LS_current!$B$4:$B$138, 0), MATCH(CT$4&amp;CT$5, LS_current!$D$2:$AY$2&amp;LS_current!$D$3:$AY$3, 0)),SUM(VLOOKUP($A68, LS_current!$B$4:$AY$138, LS_current!Y$148, FALSE), VLOOKUP($A68, LS_current!$B$4:$AY$138,LS_current!AW$148, FALSE))/2)</f>
        <v>-42.841618697239028</v>
      </c>
      <c r="CU68" s="180">
        <f t="array" ref="CU68">IF($BT68=0, INDEX(LS_current!$D$4:$AY$138, MATCH('Staging Table'!$A68, LS_current!$B$4:$B$138, 0), MATCH(CU$4&amp;CU$5, LS_current!$D$2:$AY$2&amp;LS_current!$D$3:$AY$3, 0)),SUM(VLOOKUP($A68, LS_current!$B$4:$AY$138, LS_current!Z$148, FALSE), VLOOKUP($A68, LS_current!$B$4:$AY$138,LS_current!AX$148, FALSE))/2)</f>
        <v>26.37421623839964</v>
      </c>
      <c r="CV68" s="180">
        <f t="array" ref="CV68">IF($BT68=0, INDEX(LS_current!$D$4:$AY$138, MATCH('Staging Table'!$A68, LS_current!$B$4:$B$138, 0), MATCH(CV$4&amp;CV$5, LS_current!$D$2:$AY$2&amp;LS_current!$D$3:$AY$3, 0)),SUM(VLOOKUP($A68, LS_current!$B$4:$AY$138, LS_current!AA$148, FALSE), VLOOKUP($A68, LS_current!$B$4:$AY$138,LS_current!AY$148, FALSE))/2)</f>
        <v>143.42363056639988</v>
      </c>
      <c r="CW68" s="182">
        <f t="array" ref="CW68">INDEX(Demand_current!$D$4:$AY$138, MATCH($A68, Demand_current!$B$4:$B$138, 0), MATCH(CW$4&amp;CW$5,Demand_current!$D$2:$AY$2&amp;Demand_current!$D$3:$AY$3, 0))/1000</f>
        <v>1.3024687500000005</v>
      </c>
      <c r="CX68" s="182">
        <f t="array" ref="CX68">INDEX(Demand_current!$D$4:$AY$138, MATCH($A68, Demand_current!$B$4:$B$138, 0), MATCH(CX$4&amp;CX$5,Demand_current!$D$2:$AY$2&amp;Demand_current!$D$3:$AY$3, 0))/1000</f>
        <v>0.68532249999999983</v>
      </c>
      <c r="CY68" s="182">
        <f t="array" ref="CY68">INDEX(Demand_current!$D$4:$AY$138, MATCH($A68, Demand_current!$B$4:$B$138, 0), MATCH(CY$4&amp;CY$5,Demand_current!$D$2:$AY$2&amp;Demand_current!$D$3:$AY$3, 0))/1000</f>
        <v>2.0159450000000034</v>
      </c>
      <c r="CZ68" s="182">
        <f t="array" ref="CZ68">INDEX(Demand_current!$D$4:$AY$138, MATCH($A68, Demand_current!$B$4:$B$138, 0), MATCH(CZ$4&amp;CZ$5,Demand_current!$D$2:$AY$2&amp;Demand_current!$D$3:$AY$3, 0))/1000</f>
        <v>4.2802235576923033</v>
      </c>
      <c r="DA68" s="182">
        <f t="array" ref="DA68">INDEX(Demand_current!$D$4:$AY$138, MATCH($A68, Demand_current!$B$4:$B$138, 0), MATCH(DA$4&amp;DA$5,Demand_current!$D$2:$AY$2&amp;Demand_current!$D$3:$AY$3, 0))/1000</f>
        <v>4.4128450000000008</v>
      </c>
      <c r="DB68" s="182">
        <f t="array" ref="DB68">INDEX(Demand_current!$D$4:$AY$138, MATCH($A68, Demand_current!$B$4:$B$138, 0), MATCH(DB$4&amp;DB$5,Demand_current!$D$2:$AY$2&amp;Demand_current!$D$3:$AY$3, 0))/1000</f>
        <v>2.8006225961538451</v>
      </c>
      <c r="DC68" s="182">
        <f t="array" ref="DC68">INDEX(Demand_current!$D$4:$AY$138, MATCH($A68, Demand_current!$B$4:$B$138, 0), MATCH(DC$4&amp;DC$5,Demand_current!$D$2:$AY$2&amp;Demand_current!$D$3:$AY$3, 0))/1000</f>
        <v>3.4248533653846178</v>
      </c>
      <c r="DD68" s="182">
        <f t="array" ref="DD68">INDEX(Demand_current!$D$4:$AY$138, MATCH($A68, Demand_current!$B$4:$B$138, 0), MATCH(DD$4&amp;DD$5,Demand_current!$D$2:$AY$2&amp;Demand_current!$D$3:$AY$3, 0))/1000</f>
        <v>2.4577475961538466</v>
      </c>
      <c r="DE68" s="182">
        <f t="array" ref="DE68">INDEX(Demand_current!$D$4:$AY$138, MATCH($A68, Demand_current!$B$4:$B$138, 0), MATCH(DE$4&amp;DE$5,Demand_current!$D$2:$AY$2&amp;Demand_current!$D$3:$AY$3, 0))/1000</f>
        <v>1.1509225000000003</v>
      </c>
      <c r="DF68" s="182">
        <f t="array" ref="DF68">INDEX(Demand_current!$D$4:$AY$138, MATCH($A68, Demand_current!$B$4:$B$138, 0), MATCH(DF$4&amp;DF$5,Demand_current!$D$2:$AY$2&amp;Demand_current!$D$3:$AY$3, 0))/1000</f>
        <v>4.593163461538464</v>
      </c>
      <c r="DG68" s="182">
        <f t="array" ref="DG68">INDEX(Demand_current!$D$4:$AY$138, MATCH($A68, Demand_current!$B$4:$B$138, 0), MATCH(DG$4&amp;DG$5,Demand_current!$D$2:$AY$2&amp;Demand_current!$D$3:$AY$3, 0))/1000</f>
        <v>2.7638263888888894</v>
      </c>
      <c r="DH68" s="182">
        <f t="array" ref="DH68">INDEX(Demand_current!$D$4:$AY$138, MATCH($A68, Demand_current!$B$4:$B$138, 0), MATCH(DH$4&amp;DH$5,Demand_current!$D$2:$AY$2&amp;Demand_current!$D$3:$AY$3, 0))/1000</f>
        <v>1.1427499999999986</v>
      </c>
      <c r="DI68" s="180">
        <f>$BS68*(VLOOKUP(DI$4, Rates_current!$G$6:$Q$29, 10, FALSE)+VLOOKUP(DI$4, Rates_current!$G$6:$Q$29, 11, FALSE))</f>
        <v>10540.259317731599</v>
      </c>
      <c r="DJ68" s="180">
        <f>$BS68*(VLOOKUP(DJ$4, Rates_current!$G$6:$Q$29, 10, FALSE)+VLOOKUP(DJ$4, Rates_current!$G$6:$Q$29, 11, FALSE))</f>
        <v>13442.306311965602</v>
      </c>
      <c r="DK68" s="180">
        <f>$BS68*(VLOOKUP(DK$4, Rates_current!$G$6:$Q$29, 10, FALSE)+VLOOKUP(DK$4, Rates_current!$G$6:$Q$29, 11, FALSE))</f>
        <v>14506.908220404001</v>
      </c>
      <c r="DL68" s="180">
        <f>$BS68*(VLOOKUP(DL$4, Rates_current!$G$6:$Q$29, 10, FALSE)+VLOOKUP(DL$4, Rates_current!$G$6:$Q$29, 11, FALSE))</f>
        <v>15074.9202324096</v>
      </c>
      <c r="DM68" s="180">
        <f>$BS68*(VLOOKUP(DM$4, Rates_current!$G$6:$Q$29, 10, FALSE)+VLOOKUP(DM$4, Rates_current!$G$6:$Q$29, 11, FALSE))</f>
        <v>12966.440758459199</v>
      </c>
      <c r="DN68" s="180">
        <f>$BS68*(VLOOKUP(DN$4, Rates_current!$G$6:$Q$29, 10, FALSE)+VLOOKUP(DN$4, Rates_current!$G$6:$Q$29, 11, FALSE))</f>
        <v>14156.786082074399</v>
      </c>
      <c r="DO68" s="180">
        <f>$BS68*(VLOOKUP(DO$4, Rates_current!$G$6:$Q$29, 10, FALSE)+VLOOKUP(DO$4, Rates_current!$G$6:$Q$29, 11, FALSE))</f>
        <v>11174.396904142199</v>
      </c>
      <c r="DP68" s="180">
        <f>$BS68*(VLOOKUP(DP$4, Rates_current!$G$6:$Q$29, 10, FALSE)+VLOOKUP(DP$4, Rates_current!$G$6:$Q$29, 11, FALSE))</f>
        <v>13863.336798639601</v>
      </c>
      <c r="DQ68" s="180">
        <f>$BS68*(VLOOKUP(DQ$4, Rates_current!$G$6:$Q$29, 10, FALSE)+VLOOKUP(DQ$4, Rates_current!$G$6:$Q$29, 11, FALSE))</f>
        <v>14164.136598481198</v>
      </c>
      <c r="DR68" s="180">
        <f>$BS68*(VLOOKUP(DR$4, Rates_current!$G$6:$Q$29, 10, FALSE)+VLOOKUP(DR$4, Rates_current!$G$6:$Q$29, 11, FALSE))</f>
        <v>12296.5111717236</v>
      </c>
      <c r="DS68" s="180">
        <f>$BS68*(VLOOKUP(DS$4, Rates_current!$G$6:$Q$29, 10, FALSE)+VLOOKUP(DS$4, Rates_current!$G$6:$Q$29, 11, FALSE))</f>
        <v>11887.457783172842</v>
      </c>
      <c r="DT68" s="180">
        <f>$BS68*(VLOOKUP(DT$4, Rates_current!$G$6:$Q$29, 10, FALSE)+VLOOKUP(DT$4, Rates_current!$G$6:$Q$29, 11, FALSE))</f>
        <v>10938.763153195201</v>
      </c>
      <c r="DU68" s="402">
        <f>IF(D68=0,IF(C68=0,MAX(0,DW68 - (VLOOKUP($A68,TOCA_current!$A$2:$AI$137,MATCH("RHWM 2024",TOCA_current!$A$2:$AI$2,0),FALSE)*$BS$2)), 0),0)</f>
        <v>0</v>
      </c>
      <c r="DV68" s="403">
        <f>MIN(VLOOKUP($A68,TOCA_current!$A$2:$AI$137,MATCH("TRL - NLSL - Existing Resource "&amp;$BS$1,TOCA_current!$A$2:$AI$2,0),FALSE)*$BS$2, VLOOKUP($A68,TOCA_current!$A$2:$AI$137,MATCH("RHWM 2024",TOCA_current!$A$2:$AI$2,0),FALSE)*$BS$2)</f>
        <v>155011.24799999999</v>
      </c>
      <c r="DW68" s="403">
        <f>SUM(BY68:CV68)+(BS68*RT1SC!$C$4*$BS$2)</f>
        <v>155012.09571054493</v>
      </c>
      <c r="DX68" s="403">
        <f>VLOOKUP($A68,TOCA_current!$A$2:$AI$137,MATCH("Above RHWM Not Served with LS "&amp;$BS$1,TOCA_current!$A$2:$AI$2,0),FALSE)*$BS$2</f>
        <v>0</v>
      </c>
      <c r="DY68" s="403">
        <f t="shared" si="13"/>
        <v>0.84771054494194686</v>
      </c>
      <c r="DZ68" s="403">
        <f>(VLOOKUP($A68,TOCA_current!$A$2:$AI$137,MATCH("RHWM 2024",TOCA_current!$A$2:$AI$2,0),FALSE)*$BS$2) - $DV68</f>
        <v>32237.279999999999</v>
      </c>
      <c r="EA68" s="403">
        <f t="shared" si="14"/>
        <v>-0.84771054494194686</v>
      </c>
      <c r="EB68" s="403">
        <f t="shared" si="15"/>
        <v>0</v>
      </c>
      <c r="EC68" s="403">
        <f t="shared" si="16"/>
        <v>0</v>
      </c>
      <c r="ED68" s="403">
        <f t="shared" si="17"/>
        <v>-0.84771054494194686</v>
      </c>
    </row>
    <row r="69" spans="1:134">
      <c r="A69" s="123">
        <v>10190</v>
      </c>
      <c r="B69" s="124" t="s">
        <v>70</v>
      </c>
      <c r="C69" s="232">
        <f>VLOOKUP(A69, TOCA_current!$A$3:$D$137, 4, FALSE)</f>
        <v>0</v>
      </c>
      <c r="D69" s="191">
        <v>0</v>
      </c>
      <c r="E69" s="107">
        <f>VLOOKUP($A69,TOCA_previous!$A$2:$AI$137,MATCH(E$4,TOCA_previous!$A$2:$AI$2,0),FALSE)</f>
        <v>7.3510000000000003E-4</v>
      </c>
      <c r="F69" s="108">
        <f>VLOOKUP($A69,TOCA_previous!$A$2:$AI$137,MATCH(F$4,TOCA_previous!$A$2:$AI$2,0),FALSE)</f>
        <v>7.3510000000000003E-4</v>
      </c>
      <c r="G69" s="108">
        <f t="shared" si="5"/>
        <v>0</v>
      </c>
      <c r="H69" s="108">
        <f>VLOOKUP($A69,TOCA_previous!$A$2:$AI$137,MATCH(H$4,TOCA_previous!$A$2:$AI$2,0),FALSE)</f>
        <v>0</v>
      </c>
      <c r="I69" s="108">
        <f t="shared" si="6"/>
        <v>0</v>
      </c>
      <c r="J69" s="108">
        <f t="shared" si="7"/>
        <v>0</v>
      </c>
      <c r="K69" s="179">
        <f>VLOOKUP(A69, IRD!$A$5:$C$139, 3, FALSE)</f>
        <v>0</v>
      </c>
      <c r="L69" s="180">
        <f t="array" ref="L69">IF($G69=0, INDEX(LS_previous!$D$4:$AY$138, MATCH('Staging Table'!$A69, LS_previous!$B$4:$B$138, 0), MATCH(L$4&amp;L$5, LS_previous!$D$2:$AY$2&amp;LS_previous!$D$3:$AY$3, 0)),SUM(VLOOKUP($A69, LS_previous!$B$4:$AY$138, LS_previous!D$149, FALSE), VLOOKUP('Staging Table'!$A69, LS_previous!$B$4:$AY$138,LS_previous!AB$149, FALSE))/2)</f>
        <v>554.27007653995406</v>
      </c>
      <c r="M69" s="180">
        <f t="array" ref="M69">IF($G69=0, INDEX(LS_previous!$D$4:$AY$138, MATCH('Staging Table'!$A69, LS_previous!$B$4:$B$138, 0), MATCH(M$4&amp;M$5, LS_previous!$D$2:$AY$2&amp;LS_previous!$D$3:$AY$3, 0)),SUM(VLOOKUP($A69, LS_previous!$B$4:$AY$138, LS_previous!E$149, FALSE), VLOOKUP('Staging Table'!$A69, LS_previous!$B$4:$AY$138,LS_previous!AC$149, FALSE))/2)</f>
        <v>708.95608175716461</v>
      </c>
      <c r="N69" s="180">
        <f t="array" ref="N69">IF($G69=0, INDEX(LS_previous!$D$4:$AY$138, MATCH('Staging Table'!$A69, LS_previous!$B$4:$B$138, 0), MATCH(N$4&amp;N$5, LS_previous!$D$2:$AY$2&amp;LS_previous!$D$3:$AY$3, 0)),SUM(VLOOKUP($A69, LS_previous!$B$4:$AY$138, LS_previous!F$149, FALSE), VLOOKUP('Staging Table'!$A69, LS_previous!$B$4:$AY$138,LS_previous!AD$149, FALSE))/2)</f>
        <v>941.37650512465143</v>
      </c>
      <c r="O69" s="180">
        <f t="array" ref="O69">IF($G69=0, INDEX(LS_previous!$D$4:$AY$138, MATCH('Staging Table'!$A69, LS_previous!$B$4:$B$138, 0), MATCH(O$4&amp;O$5, LS_previous!$D$2:$AY$2&amp;LS_previous!$D$3:$AY$3, 0)),SUM(VLOOKUP($A69, LS_previous!$B$4:$AY$138, LS_previous!G$149, FALSE), VLOOKUP('Staging Table'!$A69, LS_previous!$B$4:$AY$138,LS_previous!AE$149, FALSE))/2)</f>
        <v>950.9002628836231</v>
      </c>
      <c r="P69" s="180">
        <f t="array" ref="P69">IF($G69=0, INDEX(LS_previous!$D$4:$AY$138, MATCH('Staging Table'!$A69, LS_previous!$B$4:$B$138, 0), MATCH(P$4&amp;P$5, LS_previous!$D$2:$AY$2&amp;LS_previous!$D$3:$AY$3, 0)),SUM(VLOOKUP($A69, LS_previous!$B$4:$AY$138, LS_previous!H$149, FALSE), VLOOKUP('Staging Table'!$A69, LS_previous!$B$4:$AY$138,LS_previous!AF$149, FALSE))/2)</f>
        <v>2034.9991520027347</v>
      </c>
      <c r="Q69" s="180">
        <f t="array" ref="Q69">IF($G69=0, INDEX(LS_previous!$D$4:$AY$138, MATCH('Staging Table'!$A69, LS_previous!$B$4:$B$138, 0), MATCH(Q$4&amp;Q$5, LS_previous!$D$2:$AY$2&amp;LS_previous!$D$3:$AY$3, 0)),SUM(VLOOKUP($A69, LS_previous!$B$4:$AY$138, LS_previous!I$149, FALSE), VLOOKUP('Staging Table'!$A69, LS_previous!$B$4:$AY$138,LS_previous!AG$149, FALSE))/2)</f>
        <v>1558.7759061553525</v>
      </c>
      <c r="R69" s="180">
        <f t="array" ref="R69">IF($G69=0, INDEX(LS_previous!$D$4:$AY$138, MATCH('Staging Table'!$A69, LS_previous!$B$4:$B$138, 0), MATCH(R$4&amp;R$5, LS_previous!$D$2:$AY$2&amp;LS_previous!$D$3:$AY$3, 0)),SUM(VLOOKUP($A69, LS_previous!$B$4:$AY$138, LS_previous!J$149, FALSE), VLOOKUP('Staging Table'!$A69, LS_previous!$B$4:$AY$138,LS_previous!AH$149, FALSE))/2)</f>
        <v>2528.5787440036424</v>
      </c>
      <c r="S69" s="180">
        <f t="array" ref="S69">IF($G69=0, INDEX(LS_previous!$D$4:$AY$138, MATCH('Staging Table'!$A69, LS_previous!$B$4:$B$138, 0), MATCH(S$4&amp;S$5, LS_previous!$D$2:$AY$2&amp;LS_previous!$D$3:$AY$3, 0)),SUM(VLOOKUP($A69, LS_previous!$B$4:$AY$138, LS_previous!K$149, FALSE), VLOOKUP('Staging Table'!$A69, LS_previous!$B$4:$AY$138,LS_previous!AI$149, FALSE))/2)</f>
        <v>1852.8517387696618</v>
      </c>
      <c r="T69" s="180">
        <f t="array" ref="T69">IF($G69=0, INDEX(LS_previous!$D$4:$AY$138, MATCH('Staging Table'!$A69, LS_previous!$B$4:$B$138, 0), MATCH(T$4&amp;T$5, LS_previous!$D$2:$AY$2&amp;LS_previous!$D$3:$AY$3, 0)),SUM(VLOOKUP($A69, LS_previous!$B$4:$AY$138, LS_previous!L$149, FALSE), VLOOKUP('Staging Table'!$A69, LS_previous!$B$4:$AY$138,LS_previous!AJ$149, FALSE))/2)</f>
        <v>2238.1540915655291</v>
      </c>
      <c r="U69" s="180">
        <f t="array" ref="U69">IF($G69=0, INDEX(LS_previous!$D$4:$AY$138, MATCH('Staging Table'!$A69, LS_previous!$B$4:$B$138, 0), MATCH(U$4&amp;U$5, LS_previous!$D$2:$AY$2&amp;LS_previous!$D$3:$AY$3, 0)),SUM(VLOOKUP($A69, LS_previous!$B$4:$AY$138, LS_previous!M$149, FALSE), VLOOKUP('Staging Table'!$A69, LS_previous!$B$4:$AY$138,LS_previous!AK$149, FALSE))/2)</f>
        <v>1613.4770869123797</v>
      </c>
      <c r="V69" s="180">
        <f t="array" ref="V69">IF($G69=0, INDEX(LS_previous!$D$4:$AY$138, MATCH('Staging Table'!$A69, LS_previous!$B$4:$B$138, 0), MATCH(V$4&amp;V$5, LS_previous!$D$2:$AY$2&amp;LS_previous!$D$3:$AY$3, 0)),SUM(VLOOKUP($A69, LS_previous!$B$4:$AY$138, LS_previous!N$149, FALSE), VLOOKUP('Staging Table'!$A69, LS_previous!$B$4:$AY$138,LS_previous!AL$149, FALSE))/2)</f>
        <v>1260.2089663609163</v>
      </c>
      <c r="W69" s="180">
        <f t="array" ref="W69">IF($G69=0, INDEX(LS_previous!$D$4:$AY$138, MATCH('Staging Table'!$A69, LS_previous!$B$4:$B$138, 0), MATCH(W$4&amp;W$5, LS_previous!$D$2:$AY$2&amp;LS_previous!$D$3:$AY$3, 0)),SUM(VLOOKUP($A69, LS_previous!$B$4:$AY$138, LS_previous!O$149, FALSE), VLOOKUP('Staging Table'!$A69, LS_previous!$B$4:$AY$138,LS_previous!AM$149, FALSE))/2)</f>
        <v>1120.8206340523598</v>
      </c>
      <c r="X69" s="180">
        <f t="array" ref="X69">IF($G69=0, INDEX(LS_previous!$D$4:$AY$138, MATCH('Staging Table'!$A69, LS_previous!$B$4:$B$138, 0), MATCH(X$4&amp;X$5, LS_previous!$D$2:$AY$2&amp;LS_previous!$D$3:$AY$3, 0)),SUM(VLOOKUP($A69, LS_previous!$B$4:$AY$138, LS_previous!P$149, FALSE), VLOOKUP('Staging Table'!$A69, LS_previous!$B$4:$AY$138,LS_previous!AN$149, FALSE))/2)</f>
        <v>949.32174874079624</v>
      </c>
      <c r="Y69" s="180">
        <f t="array" ref="Y69">IF($G69=0, INDEX(LS_previous!$D$4:$AY$138, MATCH('Staging Table'!$A69, LS_previous!$B$4:$B$138, 0), MATCH(Y$4&amp;Y$5, LS_previous!$D$2:$AY$2&amp;LS_previous!$D$3:$AY$3, 0)),SUM(VLOOKUP($A69, LS_previous!$B$4:$AY$138, LS_previous!Q$149, FALSE), VLOOKUP('Staging Table'!$A69, LS_previous!$B$4:$AY$138,LS_previous!AO$149, FALSE))/2)</f>
        <v>870.8801096074078</v>
      </c>
      <c r="Z69" s="180">
        <f t="array" ref="Z69">IF($G69=0, INDEX(LS_previous!$D$4:$AY$138, MATCH('Staging Table'!$A69, LS_previous!$B$4:$B$138, 0), MATCH(Z$4&amp;Z$5, LS_previous!$D$2:$AY$2&amp;LS_previous!$D$3:$AY$3, 0)),SUM(VLOOKUP($A69, LS_previous!$B$4:$AY$138, LS_previous!R$149, FALSE), VLOOKUP('Staging Table'!$A69, LS_previous!$B$4:$AY$138,LS_previous!AP$149, FALSE))/2)</f>
        <v>-130.2691814525956</v>
      </c>
      <c r="AA69" s="180">
        <f t="array" ref="AA69">IF($G69=0, INDEX(LS_previous!$D$4:$AY$138, MATCH('Staging Table'!$A69, LS_previous!$B$4:$B$138, 0), MATCH(AA$4&amp;AA$5, LS_previous!$D$2:$AY$2&amp;LS_previous!$D$3:$AY$3, 0)),SUM(VLOOKUP($A69, LS_previous!$B$4:$AY$138, LS_previous!S$149, FALSE), VLOOKUP('Staging Table'!$A69, LS_previous!$B$4:$AY$138,LS_previous!AQ$149, FALSE))/2)</f>
        <v>469.03878250170078</v>
      </c>
      <c r="AB69" s="180">
        <f t="array" ref="AB69">IF($G69=0, INDEX(LS_previous!$D$4:$AY$138, MATCH('Staging Table'!$A69, LS_previous!$B$4:$B$138, 0), MATCH(AB$4&amp;AB$5, LS_previous!$D$2:$AY$2&amp;LS_previous!$D$3:$AY$3, 0)),SUM(VLOOKUP($A69, LS_previous!$B$4:$AY$138, LS_previous!T$149, FALSE), VLOOKUP('Staging Table'!$A69, LS_previous!$B$4:$AY$138,LS_previous!AR$149, FALSE))/2)</f>
        <v>-414.31898428822751</v>
      </c>
      <c r="AC69" s="180">
        <f t="array" ref="AC69">IF($G69=0, INDEX(LS_previous!$D$4:$AY$138, MATCH('Staging Table'!$A69, LS_previous!$B$4:$B$138, 0), MATCH(AC$4&amp;AC$5, LS_previous!$D$2:$AY$2&amp;LS_previous!$D$3:$AY$3, 0)),SUM(VLOOKUP($A69, LS_previous!$B$4:$AY$138, LS_previous!U$149, FALSE), VLOOKUP('Staging Table'!$A69, LS_previous!$B$4:$AY$138,LS_previous!AS$149, FALSE))/2)</f>
        <v>388.33627336660311</v>
      </c>
      <c r="AD69" s="180">
        <f t="array" ref="AD69">IF($G69=0, INDEX(LS_previous!$D$4:$AY$138, MATCH('Staging Table'!$A69, LS_previous!$B$4:$B$138, 0), MATCH(AD$4&amp;AD$5, LS_previous!$D$2:$AY$2&amp;LS_previous!$D$3:$AY$3, 0)),SUM(VLOOKUP($A69, LS_previous!$B$4:$AY$138, LS_previous!V$149, FALSE), VLOOKUP('Staging Table'!$A69, LS_previous!$B$4:$AY$138,LS_previous!AT$149, FALSE))/2)</f>
        <v>292.90207315835414</v>
      </c>
      <c r="AE69" s="180">
        <f t="array" ref="AE69">IF($G69=0, INDEX(LS_previous!$D$4:$AY$138, MATCH('Staging Table'!$A69, LS_previous!$B$4:$B$138, 0), MATCH(AE$4&amp;AE$5, LS_previous!$D$2:$AY$2&amp;LS_previous!$D$3:$AY$3, 0)),SUM(VLOOKUP($A69, LS_previous!$B$4:$AY$138, LS_previous!W$149, FALSE), VLOOKUP('Staging Table'!$A69, LS_previous!$B$4:$AY$138,LS_previous!AU$149, FALSE))/2)</f>
        <v>612.36398095952336</v>
      </c>
      <c r="AF69" s="180">
        <f t="array" ref="AF69">IF($G69=0, INDEX(LS_previous!$D$4:$AY$138, MATCH('Staging Table'!$A69, LS_previous!$B$4:$B$138, 0), MATCH(AF$4&amp;AF$5, LS_previous!$D$2:$AY$2&amp;LS_previous!$D$3:$AY$3, 0)),SUM(VLOOKUP($A69, LS_previous!$B$4:$AY$138, LS_previous!X$149, FALSE), VLOOKUP('Staging Table'!$A69, LS_previous!$B$4:$AY$138,LS_previous!AV$149, FALSE))/2)</f>
        <v>363.12299611917297</v>
      </c>
      <c r="AG69" s="180">
        <f t="array" ref="AG69">IF($G69=0, INDEX(LS_previous!$D$4:$AY$138, MATCH('Staging Table'!$A69, LS_previous!$B$4:$B$138, 0), MATCH(AG$4&amp;AG$5, LS_previous!$D$2:$AY$2&amp;LS_previous!$D$3:$AY$3, 0)),SUM(VLOOKUP($A69, LS_previous!$B$4:$AY$138, LS_previous!Y$149, FALSE), VLOOKUP('Staging Table'!$A69, LS_previous!$B$4:$AY$138,LS_previous!AW$149, FALSE))/2)</f>
        <v>564.77061345254447</v>
      </c>
      <c r="AH69" s="180">
        <f t="array" ref="AH69">IF($G69=0, INDEX(LS_previous!$D$4:$AY$138, MATCH('Staging Table'!$A69, LS_previous!$B$4:$B$138, 0), MATCH(AH$4&amp;AH$5, LS_previous!$D$2:$AY$2&amp;LS_previous!$D$3:$AY$3, 0)),SUM(VLOOKUP($A69, LS_previous!$B$4:$AY$138, LS_previous!Z$149, FALSE), VLOOKUP('Staging Table'!$A69, LS_previous!$B$4:$AY$138,LS_previous!AX$149, FALSE))/2)</f>
        <v>135.33356107195414</v>
      </c>
      <c r="AI69" s="180">
        <f t="array" ref="AI69">IF($G69=0, INDEX(LS_previous!$D$4:$AY$138, MATCH('Staging Table'!$A69, LS_previous!$B$4:$B$138, 0), MATCH(AI$4&amp;AI$5, LS_previous!$D$2:$AY$2&amp;LS_previous!$D$3:$AY$3, 0)),SUM(VLOOKUP($A69, LS_previous!$B$4:$AY$138, LS_previous!AA$149, FALSE), VLOOKUP('Staging Table'!$A69, LS_previous!$B$4:$AY$138,LS_previous!AY$149, FALSE))/2)</f>
        <v>346.62089175489655</v>
      </c>
      <c r="AJ69" s="298">
        <f t="array" ref="AJ69">INDEX(Demand_previous!$D$4:$AY$138, MATCH('Staging Table'!$A69, Demand_previous!$B$4:$B$138, 0), MATCH(AJ$4&amp;AJ$5,Demand_previous!$D$2:$AY$2&amp;Demand_previous!$D$3:$AY$3, 0))/1000</f>
        <v>0.55038701923077049</v>
      </c>
      <c r="AK69" s="298">
        <f t="array" ref="AK69">INDEX(Demand_previous!$D$4:$AY$138, MATCH('Staging Table'!$A69, Demand_previous!$B$4:$B$138, 0), MATCH(AK$4&amp;AK$5,Demand_previous!$D$2:$AY$2&amp;Demand_previous!$D$3:$AY$3, 0))/1000</f>
        <v>1.5407000000000013</v>
      </c>
      <c r="AL69" s="298">
        <f t="array" ref="AL69">INDEX(Demand_previous!$D$4:$AY$138, MATCH('Staging Table'!$A69, Demand_previous!$B$4:$B$138, 0), MATCH(AL$4&amp;AL$5,Demand_previous!$D$2:$AY$2&amp;Demand_previous!$D$3:$AY$3, 0))/1000</f>
        <v>3.0723749999999987</v>
      </c>
      <c r="AM69" s="298">
        <f t="array" ref="AM69">INDEX(Demand_previous!$D$4:$AY$138, MATCH('Staging Table'!$A69, Demand_previous!$B$4:$B$138, 0), MATCH(AM$4&amp;AM$5,Demand_previous!$D$2:$AY$2&amp;Demand_previous!$D$3:$AY$3, 0))/1000</f>
        <v>1.9096125000000002</v>
      </c>
      <c r="AN69" s="298">
        <f t="array" ref="AN69">INDEX(Demand_previous!$D$4:$AY$138, MATCH('Staging Table'!$A69, Demand_previous!$B$4:$B$138, 0), MATCH(AN$4&amp;AN$5,Demand_previous!$D$2:$AY$2&amp;Demand_previous!$D$3:$AY$3, 0))/1000</f>
        <v>1.0271510416666665</v>
      </c>
      <c r="AO69" s="298">
        <f t="array" ref="AO69">INDEX(Demand_previous!$D$4:$AY$138, MATCH('Staging Table'!$A69, Demand_previous!$B$4:$B$138, 0), MATCH(AO$4&amp;AO$5,Demand_previous!$D$2:$AY$2&amp;Demand_previous!$D$3:$AY$3, 0))/1000</f>
        <v>2.4699236111111116</v>
      </c>
      <c r="AP69" s="298">
        <f t="array" ref="AP69">INDEX(Demand_previous!$D$4:$AY$138, MATCH('Staging Table'!$A69, Demand_previous!$B$4:$B$138, 0), MATCH(AP$4&amp;AP$5,Demand_previous!$D$2:$AY$2&amp;Demand_previous!$D$3:$AY$3, 0))/1000</f>
        <v>1.3667980769230774</v>
      </c>
      <c r="AQ69" s="298">
        <f t="array" ref="AQ69">INDEX(Demand_previous!$D$4:$AY$138, MATCH('Staging Table'!$A69, Demand_previous!$B$4:$B$138, 0), MATCH(AQ$4&amp;AQ$5,Demand_previous!$D$2:$AY$2&amp;Demand_previous!$D$3:$AY$3, 0))/1000</f>
        <v>0.79343249999999954</v>
      </c>
      <c r="AR69" s="298">
        <f t="array" ref="AR69">INDEX(Demand_previous!$D$4:$AY$138, MATCH('Staging Table'!$A69, Demand_previous!$B$4:$B$138, 0), MATCH(AR$4&amp;AR$5,Demand_previous!$D$2:$AY$2&amp;Demand_previous!$D$3:$AY$3, 0))/1000</f>
        <v>0.7728605769230783</v>
      </c>
      <c r="AS69" s="298">
        <f t="array" ref="AS69">INDEX(Demand_previous!$D$4:$AY$138, MATCH('Staging Table'!$A69, Demand_previous!$B$4:$B$138, 0), MATCH(AS$4&amp;AS$5,Demand_previous!$D$2:$AY$2&amp;Demand_previous!$D$3:$AY$3, 0))/1000</f>
        <v>0.81680750000000035</v>
      </c>
      <c r="AT69" s="298">
        <f t="array" ref="AT69">INDEX(Demand_previous!$D$4:$AY$138, MATCH('Staging Table'!$A69, Demand_previous!$B$4:$B$138, 0), MATCH(AT$4&amp;AT$5,Demand_previous!$D$2:$AY$2&amp;Demand_previous!$D$3:$AY$3, 0))/1000</f>
        <v>1.298946759259259</v>
      </c>
      <c r="AU69" s="298">
        <f t="array" ref="AU69">INDEX(Demand_previous!$D$4:$AY$138, MATCH('Staging Table'!$A69, Demand_previous!$B$4:$B$138, 0), MATCH(AU$4&amp;AU$5,Demand_previous!$D$2:$AY$2&amp;Demand_previous!$D$3:$AY$3, 0))/1000</f>
        <v>0.94999500000000048</v>
      </c>
      <c r="AV69" s="180">
        <f>$F69*(VLOOKUP(AV$4, Rates_previous!$G$6:$Q$29, 10, FALSE)+VLOOKUP(AV$4, Rates_previous!$G$6:$Q$29, 11, FALSE))</f>
        <v>3347.5898417028816</v>
      </c>
      <c r="AW69" s="180">
        <f>$F69*(VLOOKUP(AW$4, Rates_previous!$G$6:$Q$29, 10, FALSE)+VLOOKUP(AW$4, Rates_previous!$G$6:$Q$29, 11, FALSE))</f>
        <v>4238.1702319917258</v>
      </c>
      <c r="AX69" s="180">
        <f>$F69*(VLOOKUP(AX$4, Rates_previous!$G$6:$Q$29, 10, FALSE)+VLOOKUP(AX$4, Rates_previous!$G$6:$Q$29, 11, FALSE))</f>
        <v>4148.321941841913</v>
      </c>
      <c r="AY69" s="180">
        <f>$F69*(VLOOKUP(AY$4, Rates_previous!$G$6:$Q$29, 10, FALSE)+VLOOKUP(AY$4, Rates_previous!$G$6:$Q$29, 11, FALSE))</f>
        <v>3426.337517226696</v>
      </c>
      <c r="AZ69" s="180">
        <f>$F69*(VLOOKUP(AZ$4, Rates_previous!$G$6:$Q$29, 10, FALSE)+VLOOKUP(AZ$4, Rates_previous!$G$6:$Q$29, 11, FALSE))</f>
        <v>2969.6818215220915</v>
      </c>
      <c r="BA69" s="180">
        <f>$F69*(VLOOKUP(BA$4, Rates_previous!$G$6:$Q$29, 10, FALSE)+VLOOKUP(BA$4, Rates_previous!$G$6:$Q$29, 11, FALSE))</f>
        <v>3545.2003995867244</v>
      </c>
      <c r="BB69" s="180">
        <f>$F69*(VLOOKUP(BB$4, Rates_previous!$G$6:$Q$29, 10, FALSE)+VLOOKUP(BB$4, Rates_previous!$G$6:$Q$29, 11, FALSE))</f>
        <v>2752.3761416517959</v>
      </c>
      <c r="BC69" s="180">
        <f>$F69*(VLOOKUP(BC$4, Rates_previous!$G$6:$Q$29, 10, FALSE)+VLOOKUP(BC$4, Rates_previous!$G$6:$Q$29, 11, FALSE))</f>
        <v>3813.4373989508945</v>
      </c>
      <c r="BD69" s="180">
        <f>$F69*(VLOOKUP(BD$4, Rates_previous!$G$6:$Q$29, 10, FALSE)+VLOOKUP(BD$4, Rates_previous!$G$6:$Q$29, 11, FALSE))</f>
        <v>4074.7377109216241</v>
      </c>
      <c r="BE69" s="180">
        <f>$F69*(VLOOKUP(BE$4, Rates_previous!$G$6:$Q$29, 10, FALSE)+VLOOKUP(BE$4, Rates_previous!$G$6:$Q$29, 11, FALSE))</f>
        <v>3868.7789458821226</v>
      </c>
      <c r="BF69" s="180">
        <f>$F69*(VLOOKUP(BF$4, Rates_previous!$G$6:$Q$29, 10, FALSE)+VLOOKUP(BF$4, Rates_previous!$G$6:$Q$29, 11, FALSE))</f>
        <v>3738.8763904282823</v>
      </c>
      <c r="BG69" s="180">
        <f>$F69*(VLOOKUP(BG$4, Rates_previous!$G$6:$Q$29, 10, FALSE)+VLOOKUP(BG$4, Rates_previous!$G$6:$Q$29, 11, FALSE))</f>
        <v>3455.1115471731491</v>
      </c>
      <c r="BH69" s="298">
        <f>IF($D69=0,IF(C69=0, MAX(BJ69 - (VLOOKUP($A69,TOCA_previous!$A$2:$AI$137,MATCH("RHWM 2022",TOCA_previous!$A$2:$AI$2,0),FALSE)*$F$2*TOCA_previous!C66),0),0), 0)</f>
        <v>21810.574219004113</v>
      </c>
      <c r="BI69" s="192">
        <f>MIN(VLOOKUP($A69,TOCA_previous!$A$2:$AI$137,MATCH("TRL - NLSL - Existing Resource "&amp;$F$1,TOCA_previous!$A$2:$AI$2,0),FALSE)*$F$2,(VLOOKUP($A69,TOCA_previous!$A$2:$AI$137,MATCH("RHWM 2022",TOCA_previous!$A$2:$AI$2,0),FALSE)*$F$2))</f>
        <v>43379.519999999997</v>
      </c>
      <c r="BJ69" s="402">
        <f>SUM(L69:AI69)+(F69*RT1SC!$C$3*$F$2)</f>
        <v>65190.09421900411</v>
      </c>
      <c r="BK69" s="401">
        <f>VLOOKUP($A69,TOCA_previous!$A$2:$AI$137,MATCH("Above RHWM Not Served with LS "&amp;$F$1,TOCA_previous!$A$2:$AI$2,0),FALSE)*$F$2</f>
        <v>0</v>
      </c>
      <c r="BL69" s="402">
        <f t="shared" si="8"/>
        <v>21810.574219004113</v>
      </c>
      <c r="BM69" s="401">
        <f>(VLOOKUP($A69,TOCA_previous!$A$2:$AI$137,MATCH("RHWM 2022",TOCA_previous!$A$2:$AI$2,0),FALSE)*$F$2) - $BI69</f>
        <v>0</v>
      </c>
      <c r="BN69" s="402">
        <f t="shared" si="9"/>
        <v>0</v>
      </c>
      <c r="BO69" s="401">
        <f t="shared" si="10"/>
        <v>0</v>
      </c>
      <c r="BP69" s="402">
        <f t="shared" si="11"/>
        <v>0</v>
      </c>
      <c r="BQ69" s="401">
        <f t="shared" si="18"/>
        <v>0</v>
      </c>
      <c r="BR69" s="108">
        <f>VLOOKUP($A69,TOCA_current!$A$2:$AI$137,MATCH(BR$4,TOCA_current!$A$2:$AI$2,0),FALSE)</f>
        <v>7.3510000000000003E-4</v>
      </c>
      <c r="BS69" s="108">
        <f>VLOOKUP($A69,TOCA_current!$A$2:$AI$137,MATCH(BS$4,TOCA_current!$A$2:$AI$2,0),FALSE)</f>
        <v>7.3510000000000003E-4</v>
      </c>
      <c r="BT69" s="189">
        <f t="shared" si="12"/>
        <v>0</v>
      </c>
      <c r="BU69" s="108">
        <f>VLOOKUP($A69,TOCA_current!A65:BG200,MATCH(BU$4,TOCA_current!$A$2:$BG$2,0),FALSE)</f>
        <v>0</v>
      </c>
      <c r="BV69" s="108">
        <f t="shared" si="19"/>
        <v>0</v>
      </c>
      <c r="BW69" s="108">
        <f t="shared" si="20"/>
        <v>0</v>
      </c>
      <c r="BX69" s="179">
        <f>VLOOKUP($A69,IRD!$A$4:$G$139, 7, FALSE)</f>
        <v>0</v>
      </c>
      <c r="BY69" s="180">
        <f t="array" ref="BY69">IF($BT69=0, INDEX(LS_current!$D$4:$AY$138, MATCH('Staging Table'!$A69, LS_current!$B$4:$B$138, 0), MATCH(BY$4&amp;BY$5, LS_current!$D$2:$AY$2&amp;LS_current!$D$3:$AY$3, 0)),SUM(VLOOKUP($A69, LS_current!$B$4:$AY$138, LS_current!D$148, FALSE), VLOOKUP($A69, LS_current!$B$4:$AY$138,LS_current!AB$148, FALSE))/2)</f>
        <v>-102.22261086360049</v>
      </c>
      <c r="BZ69" s="180">
        <f t="array" ref="BZ69">IF($BT69=0, INDEX(LS_current!$D$4:$AY$138, MATCH('Staging Table'!$A69, LS_current!$B$4:$B$138, 0), MATCH(BZ$4&amp;BZ$5, LS_current!$D$2:$AY$2&amp;LS_current!$D$3:$AY$3, 0)),SUM(VLOOKUP($A69, LS_current!$B$4:$AY$138, LS_current!E$148, FALSE), VLOOKUP($A69, LS_current!$B$4:$AY$138,LS_current!AC$148, FALSE))/2)</f>
        <v>-46.580034215050091</v>
      </c>
      <c r="CA69" s="180">
        <f t="array" ref="CA69">IF($BT69=0, INDEX(LS_current!$D$4:$AY$138, MATCH('Staging Table'!$A69, LS_current!$B$4:$B$138, 0), MATCH(CA$4&amp;CA$5, LS_current!$D$2:$AY$2&amp;LS_current!$D$3:$AY$3, 0)),SUM(VLOOKUP($A69, LS_current!$B$4:$AY$138, LS_current!F$148, FALSE), VLOOKUP($A69, LS_current!$B$4:$AY$138,LS_current!AD$148, FALSE))/2)</f>
        <v>250.79536518719988</v>
      </c>
      <c r="CB69" s="180">
        <f t="array" ref="CB69">IF($BT69=0, INDEX(LS_current!$D$4:$AY$138, MATCH('Staging Table'!$A69, LS_current!$B$4:$B$138, 0), MATCH(CB$4&amp;CB$5, LS_current!$D$2:$AY$2&amp;LS_current!$D$3:$AY$3, 0)),SUM(VLOOKUP($A69, LS_current!$B$4:$AY$138, LS_current!G$148, FALSE), VLOOKUP($A69, LS_current!$B$4:$AY$138,LS_current!AE$148, FALSE))/2)</f>
        <v>317.43561835190008</v>
      </c>
      <c r="CC69" s="180">
        <f t="array" ref="CC69">IF($BT69=0, INDEX(LS_current!$D$4:$AY$138, MATCH('Staging Table'!$A69, LS_current!$B$4:$B$138, 0), MATCH(CC$4&amp;CC$5, LS_current!$D$2:$AY$2&amp;LS_current!$D$3:$AY$3, 0)),SUM(VLOOKUP($A69, LS_current!$B$4:$AY$138, LS_current!H$148, FALSE), VLOOKUP($A69, LS_current!$B$4:$AY$138,LS_current!AF$148, FALSE))/2)</f>
        <v>925.35893326110045</v>
      </c>
      <c r="CD69" s="180">
        <f t="array" ref="CD69">IF($BT69=0, INDEX(LS_current!$D$4:$AY$138, MATCH('Staging Table'!$A69, LS_current!$B$4:$B$138, 0), MATCH(CD$4&amp;CD$5, LS_current!$D$2:$AY$2&amp;LS_current!$D$3:$AY$3, 0)),SUM(VLOOKUP($A69, LS_current!$B$4:$AY$138, LS_current!I$148, FALSE), VLOOKUP($A69, LS_current!$B$4:$AY$138,LS_current!AG$148, FALSE))/2)</f>
        <v>890.01903407039936</v>
      </c>
      <c r="CE69" s="180">
        <f t="array" ref="CE69">IF($BT69=0, INDEX(LS_current!$D$4:$AY$138, MATCH('Staging Table'!$A69, LS_current!$B$4:$B$138, 0), MATCH(CE$4&amp;CE$5, LS_current!$D$2:$AY$2&amp;LS_current!$D$3:$AY$3, 0)),SUM(VLOOKUP($A69, LS_current!$B$4:$AY$138, LS_current!J$148, FALSE), VLOOKUP($A69, LS_current!$B$4:$AY$138,LS_current!AH$148, FALSE))/2)</f>
        <v>804.38402030350017</v>
      </c>
      <c r="CF69" s="180">
        <f t="array" ref="CF69">IF($BT69=0, INDEX(LS_current!$D$4:$AY$138, MATCH('Staging Table'!$A69, LS_current!$B$4:$B$138, 0), MATCH(CF$4&amp;CF$5, LS_current!$D$2:$AY$2&amp;LS_current!$D$3:$AY$3, 0)),SUM(VLOOKUP($A69, LS_current!$B$4:$AY$138, LS_current!K$148, FALSE), VLOOKUP($A69, LS_current!$B$4:$AY$138,LS_current!AI$148, FALSE))/2)</f>
        <v>909.53973488209976</v>
      </c>
      <c r="CG69" s="180">
        <f t="array" ref="CG69">IF($BT69=0, INDEX(LS_current!$D$4:$AY$138, MATCH('Staging Table'!$A69, LS_current!$B$4:$B$138, 0), MATCH(CG$4&amp;CG$5, LS_current!$D$2:$AY$2&amp;LS_current!$D$3:$AY$3, 0)),SUM(VLOOKUP($A69, LS_current!$B$4:$AY$138, LS_current!L$148, FALSE), VLOOKUP($A69, LS_current!$B$4:$AY$138,LS_current!AJ$148, FALSE))/2)</f>
        <v>645.77902934710028</v>
      </c>
      <c r="CH69" s="180">
        <f t="array" ref="CH69">IF($BT69=0, INDEX(LS_current!$D$4:$AY$138, MATCH('Staging Table'!$A69, LS_current!$B$4:$B$138, 0), MATCH(CH$4&amp;CH$5, LS_current!$D$2:$AY$2&amp;LS_current!$D$3:$AY$3, 0)),SUM(VLOOKUP($A69, LS_current!$B$4:$AY$138, LS_current!M$148, FALSE), VLOOKUP($A69, LS_current!$B$4:$AY$138,LS_current!AK$148, FALSE))/2)</f>
        <v>809.05606993909987</v>
      </c>
      <c r="CI69" s="180">
        <f t="array" ref="CI69">IF($BT69=0, INDEX(LS_current!$D$4:$AY$138, MATCH('Staging Table'!$A69, LS_current!$B$4:$B$138, 0), MATCH(CI$4&amp;CI$5, LS_current!$D$2:$AY$2&amp;LS_current!$D$3:$AY$3, 0)),SUM(VLOOKUP($A69, LS_current!$B$4:$AY$138, LS_current!N$148, FALSE), VLOOKUP($A69, LS_current!$B$4:$AY$138,LS_current!AL$148, FALSE))/2)</f>
        <v>-25.842539966300137</v>
      </c>
      <c r="CJ69" s="180">
        <f t="array" ref="CJ69">IF($BT69=0, INDEX(LS_current!$D$4:$AY$138, MATCH('Staging Table'!$A69, LS_current!$B$4:$B$138, 0), MATCH(CJ$4&amp;CJ$5, LS_current!$D$2:$AY$2&amp;LS_current!$D$3:$AY$3, 0)),SUM(VLOOKUP($A69, LS_current!$B$4:$AY$138, LS_current!O$148, FALSE), VLOOKUP($A69, LS_current!$B$4:$AY$138,LS_current!AM$148, FALSE))/2)</f>
        <v>130.59835099220004</v>
      </c>
      <c r="CK69" s="180">
        <f t="array" ref="CK69">IF($BT69=0, INDEX(LS_current!$D$4:$AY$138, MATCH('Staging Table'!$A69, LS_current!$B$4:$B$138, 0), MATCH(CK$4&amp;CK$5, LS_current!$D$2:$AY$2&amp;LS_current!$D$3:$AY$3, 0)),SUM(VLOOKUP($A69, LS_current!$B$4:$AY$138, LS_current!P$148, FALSE), VLOOKUP($A69, LS_current!$B$4:$AY$138,LS_current!AN$148, FALSE))/2)</f>
        <v>-283.07795724025027</v>
      </c>
      <c r="CL69" s="180">
        <f t="array" ref="CL69">IF($BT69=0, INDEX(LS_current!$D$4:$AY$138, MATCH('Staging Table'!$A69, LS_current!$B$4:$B$138, 0), MATCH(CL$4&amp;CL$5, LS_current!$D$2:$AY$2&amp;LS_current!$D$3:$AY$3, 0)),SUM(VLOOKUP($A69, LS_current!$B$4:$AY$138, LS_current!Q$148, FALSE), VLOOKUP($A69, LS_current!$B$4:$AY$138,LS_current!AO$148, FALSE))/2)</f>
        <v>-37.047915732424826</v>
      </c>
      <c r="CM69" s="180">
        <f t="array" ref="CM69">IF($BT69=0, INDEX(LS_current!$D$4:$AY$138, MATCH('Staging Table'!$A69, LS_current!$B$4:$B$138, 0), MATCH(CM$4&amp;CM$5, LS_current!$D$2:$AY$2&amp;LS_current!$D$3:$AY$3, 0)),SUM(VLOOKUP($A69, LS_current!$B$4:$AY$138, LS_current!R$148, FALSE), VLOOKUP($A69, LS_current!$B$4:$AY$138,LS_current!AP$148, FALSE))/2)</f>
        <v>-966.45956496480039</v>
      </c>
      <c r="CN69" s="180">
        <f t="array" ref="CN69">IF($BT69=0, INDEX(LS_current!$D$4:$AY$138, MATCH('Staging Table'!$A69, LS_current!$B$4:$B$138, 0), MATCH(CN$4&amp;CN$5, LS_current!$D$2:$AY$2&amp;LS_current!$D$3:$AY$3, 0)),SUM(VLOOKUP($A69, LS_current!$B$4:$AY$138, LS_current!S$148, FALSE), VLOOKUP($A69, LS_current!$B$4:$AY$138,LS_current!AQ$148, FALSE))/2)</f>
        <v>-618.69553841335005</v>
      </c>
      <c r="CO69" s="180">
        <f t="array" ref="CO69">IF($BT69=0, INDEX(LS_current!$D$4:$AY$138, MATCH('Staging Table'!$A69, LS_current!$B$4:$B$138, 0), MATCH(CO$4&amp;CO$5, LS_current!$D$2:$AY$2&amp;LS_current!$D$3:$AY$3, 0)),SUM(VLOOKUP($A69, LS_current!$B$4:$AY$138, LS_current!T$148, FALSE), VLOOKUP($A69, LS_current!$B$4:$AY$138,LS_current!AR$148, FALSE))/2)</f>
        <v>-1017.0798264026002</v>
      </c>
      <c r="CP69" s="180">
        <f t="array" ref="CP69">IF($BT69=0, INDEX(LS_current!$D$4:$AY$138, MATCH('Staging Table'!$A69, LS_current!$B$4:$B$138, 0), MATCH(CP$4&amp;CP$5, LS_current!$D$2:$AY$2&amp;LS_current!$D$3:$AY$3, 0)),SUM(VLOOKUP($A69, LS_current!$B$4:$AY$138, LS_current!U$148, FALSE), VLOOKUP($A69, LS_current!$B$4:$AY$138,LS_current!AS$148, FALSE))/2)</f>
        <v>-706.53509256295024</v>
      </c>
      <c r="CQ69" s="180">
        <f t="array" ref="CQ69">IF($BT69=0, INDEX(LS_current!$D$4:$AY$138, MATCH('Staging Table'!$A69, LS_current!$B$4:$B$138, 0), MATCH(CQ$4&amp;CQ$5, LS_current!$D$2:$AY$2&amp;LS_current!$D$3:$AY$3, 0)),SUM(VLOOKUP($A69, LS_current!$B$4:$AY$138, LS_current!V$148, FALSE), VLOOKUP($A69, LS_current!$B$4:$AY$138,LS_current!AT$148, FALSE))/2)</f>
        <v>-312.16204971639991</v>
      </c>
      <c r="CR69" s="180">
        <f t="array" ref="CR69">IF($BT69=0, INDEX(LS_current!$D$4:$AY$138, MATCH('Staging Table'!$A69, LS_current!$B$4:$B$138, 0), MATCH(CR$4&amp;CR$5, LS_current!$D$2:$AY$2&amp;LS_current!$D$3:$AY$3, 0)),SUM(VLOOKUP($A69, LS_current!$B$4:$AY$138, LS_current!W$148, FALSE), VLOOKUP($A69, LS_current!$B$4:$AY$138,LS_current!AU$148, FALSE))/2)</f>
        <v>-190.15060347525014</v>
      </c>
      <c r="CS69" s="180">
        <f t="array" ref="CS69">IF($BT69=0, INDEX(LS_current!$D$4:$AY$138, MATCH('Staging Table'!$A69, LS_current!$B$4:$B$138, 0), MATCH(CS$4&amp;CS$5, LS_current!$D$2:$AY$2&amp;LS_current!$D$3:$AY$3, 0)),SUM(VLOOKUP($A69, LS_current!$B$4:$AY$138, LS_current!X$148, FALSE), VLOOKUP($A69, LS_current!$B$4:$AY$138,LS_current!AV$148, FALSE))/2)</f>
        <v>-300.64210506965037</v>
      </c>
      <c r="CT69" s="180">
        <f t="array" ref="CT69">IF($BT69=0, INDEX(LS_current!$D$4:$AY$138, MATCH('Staging Table'!$A69, LS_current!$B$4:$B$138, 0), MATCH(CT$4&amp;CT$5, LS_current!$D$2:$AY$2&amp;LS_current!$D$3:$AY$3, 0)),SUM(VLOOKUP($A69, LS_current!$B$4:$AY$138, LS_current!Y$148, FALSE), VLOOKUP($A69, LS_current!$B$4:$AY$138,LS_current!AW$148, FALSE))/2)</f>
        <v>-188.59046249773473</v>
      </c>
      <c r="CU69" s="180">
        <f t="array" ref="CU69">IF($BT69=0, INDEX(LS_current!$D$4:$AY$138, MATCH('Staging Table'!$A69, LS_current!$B$4:$B$138, 0), MATCH(CU$4&amp;CU$5, LS_current!$D$2:$AY$2&amp;LS_current!$D$3:$AY$3, 0)),SUM(VLOOKUP($A69, LS_current!$B$4:$AY$138, LS_current!Z$148, FALSE), VLOOKUP($A69, LS_current!$B$4:$AY$138,LS_current!AX$148, FALSE))/2)</f>
        <v>-437.77512521740027</v>
      </c>
      <c r="CV69" s="180">
        <f t="array" ref="CV69">IF($BT69=0, INDEX(LS_current!$D$4:$AY$138, MATCH('Staging Table'!$A69, LS_current!$B$4:$B$138, 0), MATCH(CV$4&amp;CV$5, LS_current!$D$2:$AY$2&amp;LS_current!$D$3:$AY$3, 0)),SUM(VLOOKUP($A69, LS_current!$B$4:$AY$138, LS_current!AA$148, FALSE), VLOOKUP($A69, LS_current!$B$4:$AY$138,LS_current!AY$148, FALSE))/2)</f>
        <v>-448.53262835040016</v>
      </c>
      <c r="CW69" s="182">
        <f t="array" ref="CW69">INDEX(Demand_current!$D$4:$AY$138, MATCH($A69, Demand_current!$B$4:$B$138, 0), MATCH(CW$4&amp;CW$5,Demand_current!$D$2:$AY$2&amp;Demand_current!$D$3:$AY$3, 0))/1000</f>
        <v>0.55038701923077049</v>
      </c>
      <c r="CX69" s="182">
        <f t="array" ref="CX69">INDEX(Demand_current!$D$4:$AY$138, MATCH($A69, Demand_current!$B$4:$B$138, 0), MATCH(CX$4&amp;CX$5,Demand_current!$D$2:$AY$2&amp;Demand_current!$D$3:$AY$3, 0))/1000</f>
        <v>1.5407000000000013</v>
      </c>
      <c r="CY69" s="182">
        <f t="array" ref="CY69">INDEX(Demand_current!$D$4:$AY$138, MATCH($A69, Demand_current!$B$4:$B$138, 0), MATCH(CY$4&amp;CY$5,Demand_current!$D$2:$AY$2&amp;Demand_current!$D$3:$AY$3, 0))/1000</f>
        <v>2.648829999999998</v>
      </c>
      <c r="CZ69" s="182">
        <f t="array" ref="CZ69">INDEX(Demand_current!$D$4:$AY$138, MATCH($A69, Demand_current!$B$4:$B$138, 0), MATCH(CZ$4&amp;CZ$5,Demand_current!$D$2:$AY$2&amp;Demand_current!$D$3:$AY$3, 0))/1000</f>
        <v>2.3401658653846149</v>
      </c>
      <c r="DA69" s="182">
        <f t="array" ref="DA69">INDEX(Demand_current!$D$4:$AY$138, MATCH($A69, Demand_current!$B$4:$B$138, 0), MATCH(DA$4&amp;DA$5,Demand_current!$D$2:$AY$2&amp;Demand_current!$D$3:$AY$3, 0))/1000</f>
        <v>1.4399850000000001</v>
      </c>
      <c r="DB69" s="182">
        <f t="array" ref="DB69">INDEX(Demand_current!$D$4:$AY$138, MATCH($A69, Demand_current!$B$4:$B$138, 0), MATCH(DB$4&amp;DB$5,Demand_current!$D$2:$AY$2&amp;Demand_current!$D$3:$AY$3, 0))/1000</f>
        <v>2.1638822115384615</v>
      </c>
      <c r="DC69" s="182">
        <f t="array" ref="DC69">INDEX(Demand_current!$D$4:$AY$138, MATCH($A69, Demand_current!$B$4:$B$138, 0), MATCH(DC$4&amp;DC$5,Demand_current!$D$2:$AY$2&amp;Demand_current!$D$3:$AY$3, 0))/1000</f>
        <v>1.3667980769230774</v>
      </c>
      <c r="DD69" s="182">
        <f t="array" ref="DD69">INDEX(Demand_current!$D$4:$AY$138, MATCH($A69, Demand_current!$B$4:$B$138, 0), MATCH(DD$4&amp;DD$5,Demand_current!$D$2:$AY$2&amp;Demand_current!$D$3:$AY$3, 0))/1000</f>
        <v>1.0279927884615379</v>
      </c>
      <c r="DE69" s="182">
        <f t="array" ref="DE69">INDEX(Demand_current!$D$4:$AY$138, MATCH($A69, Demand_current!$B$4:$B$138, 0), MATCH(DE$4&amp;DE$5,Demand_current!$D$2:$AY$2&amp;Demand_current!$D$3:$AY$3, 0))/1000</f>
        <v>0.53329500000000118</v>
      </c>
      <c r="DF69" s="182">
        <f t="array" ref="DF69">INDEX(Demand_current!$D$4:$AY$138, MATCH($A69, Demand_current!$B$4:$B$138, 0), MATCH(DF$4&amp;DF$5,Demand_current!$D$2:$AY$2&amp;Demand_current!$D$3:$AY$3, 0))/1000</f>
        <v>1.0927379807692308</v>
      </c>
      <c r="DG69" s="182">
        <f t="array" ref="DG69">INDEX(Demand_current!$D$4:$AY$138, MATCH($A69, Demand_current!$B$4:$B$138, 0), MATCH(DG$4&amp;DG$5,Demand_current!$D$2:$AY$2&amp;Demand_current!$D$3:$AY$3, 0))/1000</f>
        <v>1.298946759259259</v>
      </c>
      <c r="DH69" s="182">
        <f t="array" ref="DH69">INDEX(Demand_current!$D$4:$AY$138, MATCH($A69, Demand_current!$B$4:$B$138, 0), MATCH(DH$4&amp;DH$5,Demand_current!$D$2:$AY$2&amp;Demand_current!$D$3:$AY$3, 0))/1000</f>
        <v>0.70620312500000015</v>
      </c>
      <c r="DI69" s="180">
        <f>$BS69*(VLOOKUP(DI$4, Rates_current!$G$6:$Q$29, 10, FALSE)+VLOOKUP(DI$4, Rates_current!$G$6:$Q$29, 11, FALSE))</f>
        <v>3101.2426450786502</v>
      </c>
      <c r="DJ69" s="180">
        <f>$BS69*(VLOOKUP(DJ$4, Rates_current!$G$6:$Q$29, 10, FALSE)+VLOOKUP(DJ$4, Rates_current!$G$6:$Q$29, 11, FALSE))</f>
        <v>3955.1070164609009</v>
      </c>
      <c r="DK69" s="180">
        <f>$BS69*(VLOOKUP(DK$4, Rates_current!$G$6:$Q$29, 10, FALSE)+VLOOKUP(DK$4, Rates_current!$G$6:$Q$29, 11, FALSE))</f>
        <v>4268.3430326685002</v>
      </c>
      <c r="DL69" s="180">
        <f>$BS69*(VLOOKUP(DL$4, Rates_current!$G$6:$Q$29, 10, FALSE)+VLOOKUP(DL$4, Rates_current!$G$6:$Q$29, 11, FALSE))</f>
        <v>4435.4682448144004</v>
      </c>
      <c r="DM69" s="180">
        <f>$BS69*(VLOOKUP(DM$4, Rates_current!$G$6:$Q$29, 10, FALSE)+VLOOKUP(DM$4, Rates_current!$G$6:$Q$29, 11, FALSE))</f>
        <v>3815.0939007137999</v>
      </c>
      <c r="DN69" s="180">
        <f>$BS69*(VLOOKUP(DN$4, Rates_current!$G$6:$Q$29, 10, FALSE)+VLOOKUP(DN$4, Rates_current!$G$6:$Q$29, 11, FALSE))</f>
        <v>4165.3271889741</v>
      </c>
      <c r="DO69" s="180">
        <f>$BS69*(VLOOKUP(DO$4, Rates_current!$G$6:$Q$29, 10, FALSE)+VLOOKUP(DO$4, Rates_current!$G$6:$Q$29, 11, FALSE))</f>
        <v>3287.823872972675</v>
      </c>
      <c r="DP69" s="180">
        <f>$BS69*(VLOOKUP(DP$4, Rates_current!$G$6:$Q$29, 10, FALSE)+VLOOKUP(DP$4, Rates_current!$G$6:$Q$29, 11, FALSE))</f>
        <v>4078.9861033781503</v>
      </c>
      <c r="DQ69" s="180">
        <f>$BS69*(VLOOKUP(DQ$4, Rates_current!$G$6:$Q$29, 10, FALSE)+VLOOKUP(DQ$4, Rates_current!$G$6:$Q$29, 11, FALSE))</f>
        <v>4167.4899189655498</v>
      </c>
      <c r="DR69" s="180">
        <f>$BS69*(VLOOKUP(DR$4, Rates_current!$G$6:$Q$29, 10, FALSE)+VLOOKUP(DR$4, Rates_current!$G$6:$Q$29, 11, FALSE))</f>
        <v>3617.9816531916499</v>
      </c>
      <c r="DS69" s="180">
        <f>$BS69*(VLOOKUP(DS$4, Rates_current!$G$6:$Q$29, 10, FALSE)+VLOOKUP(DS$4, Rates_current!$G$6:$Q$29, 11, FALSE))</f>
        <v>3497.6265675673853</v>
      </c>
      <c r="DT69" s="180">
        <f>$BS69*(VLOOKUP(DT$4, Rates_current!$G$6:$Q$29, 10, FALSE)+VLOOKUP(DT$4, Rates_current!$G$6:$Q$29, 11, FALSE))</f>
        <v>3218.4937535678005</v>
      </c>
      <c r="DU69" s="402">
        <f>IF(D69=0,IF(C69=0,MAX(0,DW69 - (VLOOKUP($A69,TOCA_current!$A$2:$AI$137,MATCH("RHWM 2024",TOCA_current!$A$2:$AI$2,0),FALSE)*$BS$2)), 0),0)</f>
        <v>4.028209062438691</v>
      </c>
      <c r="DV69" s="403">
        <f>MIN(VLOOKUP($A69,TOCA_current!$A$2:$AI$137,MATCH("TRL - NLSL - Existing Resource "&amp;$BS$1,TOCA_current!$A$2:$AI$2,0),FALSE)*$BS$2, VLOOKUP($A69,TOCA_current!$A$2:$AI$137,MATCH("RHWM 2024",TOCA_current!$A$2:$AI$2,0),FALSE)*$BS$2)</f>
        <v>45606.527999999998</v>
      </c>
      <c r="DW69" s="403">
        <f>SUM(BY69:CV69)+(BS69*RT1SC!$C$4*$BS$2)</f>
        <v>45610.556209062437</v>
      </c>
      <c r="DX69" s="403">
        <f>VLOOKUP($A69,TOCA_current!$A$2:$AI$137,MATCH("Above RHWM Not Served with LS "&amp;$BS$1,TOCA_current!$A$2:$AI$2,0),FALSE)*$BS$2</f>
        <v>19579.536</v>
      </c>
      <c r="DY69" s="403">
        <f t="shared" si="13"/>
        <v>4.028209062438691</v>
      </c>
      <c r="DZ69" s="403">
        <f>(VLOOKUP($A69,TOCA_current!$A$2:$AI$137,MATCH("RHWM 2024",TOCA_current!$A$2:$AI$2,0),FALSE)*$BS$2) - $DV69</f>
        <v>0</v>
      </c>
      <c r="EA69" s="403">
        <f t="shared" si="14"/>
        <v>0</v>
      </c>
      <c r="EB69" s="403">
        <f t="shared" si="15"/>
        <v>0</v>
      </c>
      <c r="EC69" s="403">
        <f t="shared" si="16"/>
        <v>0</v>
      </c>
      <c r="ED69" s="403">
        <f t="shared" si="17"/>
        <v>0</v>
      </c>
    </row>
    <row r="70" spans="1:134">
      <c r="A70" s="123">
        <v>10191</v>
      </c>
      <c r="B70" s="124" t="s">
        <v>71</v>
      </c>
      <c r="C70" s="232">
        <f>VLOOKUP(A70, TOCA_current!$A$3:$D$137, 4, FALSE)</f>
        <v>0</v>
      </c>
      <c r="D70" s="191">
        <v>0</v>
      </c>
      <c r="E70" s="107">
        <f>VLOOKUP($A70,TOCA_previous!$A$2:$AI$137,MATCH(E$4,TOCA_previous!$A$2:$AI$2,0),FALSE)</f>
        <v>1.8581E-2</v>
      </c>
      <c r="F70" s="108">
        <f>VLOOKUP($A70,TOCA_previous!$A$2:$AI$137,MATCH(F$4,TOCA_previous!$A$2:$AI$2,0),FALSE)</f>
        <v>1.8581E-2</v>
      </c>
      <c r="G70" s="108">
        <f t="shared" si="5"/>
        <v>0</v>
      </c>
      <c r="H70" s="108">
        <f>VLOOKUP($A70,TOCA_previous!$A$2:$AI$137,MATCH(H$4,TOCA_previous!$A$2:$AI$2,0),FALSE)</f>
        <v>0</v>
      </c>
      <c r="I70" s="108">
        <f t="shared" si="6"/>
        <v>0</v>
      </c>
      <c r="J70" s="108">
        <f t="shared" si="7"/>
        <v>0</v>
      </c>
      <c r="K70" s="179">
        <f>VLOOKUP(A70, IRD!$A$5:$C$139, 3, FALSE)</f>
        <v>0</v>
      </c>
      <c r="L70" s="180">
        <f t="array" ref="L70">IF($G70=0, INDEX(LS_previous!$D$4:$AY$138, MATCH('Staging Table'!$A70, LS_previous!$B$4:$B$138, 0), MATCH(L$4&amp;L$5, LS_previous!$D$2:$AY$2&amp;LS_previous!$D$3:$AY$3, 0)),SUM(VLOOKUP($A70, LS_previous!$B$4:$AY$138, LS_previous!D$149, FALSE), VLOOKUP('Staging Table'!$A70, LS_previous!$B$4:$AY$138,LS_previous!AB$149, FALSE))/2)</f>
        <v>77.818094665875833</v>
      </c>
      <c r="M70" s="180">
        <f t="array" ref="M70">IF($G70=0, INDEX(LS_previous!$D$4:$AY$138, MATCH('Staging Table'!$A70, LS_previous!$B$4:$B$138, 0), MATCH(M$4&amp;M$5, LS_previous!$D$2:$AY$2&amp;LS_previous!$D$3:$AY$3, 0)),SUM(VLOOKUP($A70, LS_previous!$B$4:$AY$138, LS_previous!E$149, FALSE), VLOOKUP('Staging Table'!$A70, LS_previous!$B$4:$AY$138,LS_previous!AC$149, FALSE))/2)</f>
        <v>6055.9882431368205</v>
      </c>
      <c r="N70" s="180">
        <f t="array" ref="N70">IF($G70=0, INDEX(LS_previous!$D$4:$AY$138, MATCH('Staging Table'!$A70, LS_previous!$B$4:$B$138, 0), MATCH(N$4&amp;N$5, LS_previous!$D$2:$AY$2&amp;LS_previous!$D$3:$AY$3, 0)),SUM(VLOOKUP($A70, LS_previous!$B$4:$AY$138, LS_previous!F$149, FALSE), VLOOKUP('Staging Table'!$A70, LS_previous!$B$4:$AY$138,LS_previous!AD$149, FALSE))/2)</f>
        <v>-6325.6852140917545</v>
      </c>
      <c r="O70" s="180">
        <f t="array" ref="O70">IF($G70=0, INDEX(LS_previous!$D$4:$AY$138, MATCH('Staging Table'!$A70, LS_previous!$B$4:$B$138, 0), MATCH(O$4&amp;O$5, LS_previous!$D$2:$AY$2&amp;LS_previous!$D$3:$AY$3, 0)),SUM(VLOOKUP($A70, LS_previous!$B$4:$AY$138, LS_previous!G$149, FALSE), VLOOKUP('Staging Table'!$A70, LS_previous!$B$4:$AY$138,LS_previous!AE$149, FALSE))/2)</f>
        <v>-284.89032126159873</v>
      </c>
      <c r="P70" s="180">
        <f t="array" ref="P70">IF($G70=0, INDEX(LS_previous!$D$4:$AY$138, MATCH('Staging Table'!$A70, LS_previous!$B$4:$B$138, 0), MATCH(P$4&amp;P$5, LS_previous!$D$2:$AY$2&amp;LS_previous!$D$3:$AY$3, 0)),SUM(VLOOKUP($A70, LS_previous!$B$4:$AY$138, LS_previous!H$149, FALSE), VLOOKUP('Staging Table'!$A70, LS_previous!$B$4:$AY$138,LS_previous!AF$149, FALSE))/2)</f>
        <v>6614.816698357783</v>
      </c>
      <c r="Q70" s="180">
        <f t="array" ref="Q70">IF($G70=0, INDEX(LS_previous!$D$4:$AY$138, MATCH('Staging Table'!$A70, LS_previous!$B$4:$B$138, 0), MATCH(Q$4&amp;Q$5, LS_previous!$D$2:$AY$2&amp;LS_previous!$D$3:$AY$3, 0)),SUM(VLOOKUP($A70, LS_previous!$B$4:$AY$138, LS_previous!I$149, FALSE), VLOOKUP('Staging Table'!$A70, LS_previous!$B$4:$AY$138,LS_previous!AG$149, FALSE))/2)</f>
        <v>4786.0879992825576</v>
      </c>
      <c r="R70" s="180">
        <f t="array" ref="R70">IF($G70=0, INDEX(LS_previous!$D$4:$AY$138, MATCH('Staging Table'!$A70, LS_previous!$B$4:$B$138, 0), MATCH(R$4&amp;R$5, LS_previous!$D$2:$AY$2&amp;LS_previous!$D$3:$AY$3, 0)),SUM(VLOOKUP($A70, LS_previous!$B$4:$AY$138, LS_previous!J$149, FALSE), VLOOKUP('Staging Table'!$A70, LS_previous!$B$4:$AY$138,LS_previous!AH$149, FALSE))/2)</f>
        <v>23478.789126012351</v>
      </c>
      <c r="S70" s="180">
        <f t="array" ref="S70">IF($G70=0, INDEX(LS_previous!$D$4:$AY$138, MATCH('Staging Table'!$A70, LS_previous!$B$4:$B$138, 0), MATCH(S$4&amp;S$5, LS_previous!$D$2:$AY$2&amp;LS_previous!$D$3:$AY$3, 0)),SUM(VLOOKUP($A70, LS_previous!$B$4:$AY$138, LS_previous!K$149, FALSE), VLOOKUP('Staging Table'!$A70, LS_previous!$B$4:$AY$138,LS_previous!AI$149, FALSE))/2)</f>
        <v>12222.251361827082</v>
      </c>
      <c r="T70" s="180">
        <f t="array" ref="T70">IF($G70=0, INDEX(LS_previous!$D$4:$AY$138, MATCH('Staging Table'!$A70, LS_previous!$B$4:$B$138, 0), MATCH(T$4&amp;T$5, LS_previous!$D$2:$AY$2&amp;LS_previous!$D$3:$AY$3, 0)),SUM(VLOOKUP($A70, LS_previous!$B$4:$AY$138, LS_previous!L$149, FALSE), VLOOKUP('Staging Table'!$A70, LS_previous!$B$4:$AY$138,LS_previous!AJ$149, FALSE))/2)</f>
        <v>19076.639849379804</v>
      </c>
      <c r="U70" s="180">
        <f t="array" ref="U70">IF($G70=0, INDEX(LS_previous!$D$4:$AY$138, MATCH('Staging Table'!$A70, LS_previous!$B$4:$B$138, 0), MATCH(U$4&amp;U$5, LS_previous!$D$2:$AY$2&amp;LS_previous!$D$3:$AY$3, 0)),SUM(VLOOKUP($A70, LS_previous!$B$4:$AY$138, LS_previous!M$149, FALSE), VLOOKUP('Staging Table'!$A70, LS_previous!$B$4:$AY$138,LS_previous!AK$149, FALSE))/2)</f>
        <v>9227.2164356127432</v>
      </c>
      <c r="V70" s="180">
        <f t="array" ref="V70">IF($G70=0, INDEX(LS_previous!$D$4:$AY$138, MATCH('Staging Table'!$A70, LS_previous!$B$4:$B$138, 0), MATCH(V$4&amp;V$5, LS_previous!$D$2:$AY$2&amp;LS_previous!$D$3:$AY$3, 0)),SUM(VLOOKUP($A70, LS_previous!$B$4:$AY$138, LS_previous!N$149, FALSE), VLOOKUP('Staging Table'!$A70, LS_previous!$B$4:$AY$138,LS_previous!AL$149, FALSE))/2)</f>
        <v>5001.7648713810195</v>
      </c>
      <c r="W70" s="180">
        <f t="array" ref="W70">IF($G70=0, INDEX(LS_previous!$D$4:$AY$138, MATCH('Staging Table'!$A70, LS_previous!$B$4:$B$138, 0), MATCH(W$4&amp;W$5, LS_previous!$D$2:$AY$2&amp;LS_previous!$D$3:$AY$3, 0)),SUM(VLOOKUP($A70, LS_previous!$B$4:$AY$138, LS_previous!O$149, FALSE), VLOOKUP('Staging Table'!$A70, LS_previous!$B$4:$AY$138,LS_previous!AM$149, FALSE))/2)</f>
        <v>7110.2393791686773</v>
      </c>
      <c r="X70" s="180">
        <f t="array" ref="X70">IF($G70=0, INDEX(LS_previous!$D$4:$AY$138, MATCH('Staging Table'!$A70, LS_previous!$B$4:$B$138, 0), MATCH(X$4&amp;X$5, LS_previous!$D$2:$AY$2&amp;LS_previous!$D$3:$AY$3, 0)),SUM(VLOOKUP($A70, LS_previous!$B$4:$AY$138, LS_previous!P$149, FALSE), VLOOKUP('Staging Table'!$A70, LS_previous!$B$4:$AY$138,LS_previous!AN$149, FALSE))/2)</f>
        <v>13475.748394303824</v>
      </c>
      <c r="Y70" s="180">
        <f t="array" ref="Y70">IF($G70=0, INDEX(LS_previous!$D$4:$AY$138, MATCH('Staging Table'!$A70, LS_previous!$B$4:$B$138, 0), MATCH(Y$4&amp;Y$5, LS_previous!$D$2:$AY$2&amp;LS_previous!$D$3:$AY$3, 0)),SUM(VLOOKUP($A70, LS_previous!$B$4:$AY$138, LS_previous!Q$149, FALSE), VLOOKUP('Staging Table'!$A70, LS_previous!$B$4:$AY$138,LS_previous!AO$149, FALSE))/2)</f>
        <v>9090.8792889610195</v>
      </c>
      <c r="Z70" s="180">
        <f t="array" ref="Z70">IF($G70=0, INDEX(LS_previous!$D$4:$AY$138, MATCH('Staging Table'!$A70, LS_previous!$B$4:$B$138, 0), MATCH(Z$4&amp;Z$5, LS_previous!$D$2:$AY$2&amp;LS_previous!$D$3:$AY$3, 0)),SUM(VLOOKUP($A70, LS_previous!$B$4:$AY$138, LS_previous!R$149, FALSE), VLOOKUP('Staging Table'!$A70, LS_previous!$B$4:$AY$138,LS_previous!AP$149, FALSE))/2)</f>
        <v>-16279.610455000242</v>
      </c>
      <c r="AA70" s="180">
        <f t="array" ref="AA70">IF($G70=0, INDEX(LS_previous!$D$4:$AY$138, MATCH('Staging Table'!$A70, LS_previous!$B$4:$B$138, 0), MATCH(AA$4&amp;AA$5, LS_previous!$D$2:$AY$2&amp;LS_previous!$D$3:$AY$3, 0)),SUM(VLOOKUP($A70, LS_previous!$B$4:$AY$138, LS_previous!S$149, FALSE), VLOOKUP('Staging Table'!$A70, LS_previous!$B$4:$AY$138,LS_previous!AQ$149, FALSE))/2)</f>
        <v>1197.1168456864434</v>
      </c>
      <c r="AB70" s="180">
        <f t="array" ref="AB70">IF($G70=0, INDEX(LS_previous!$D$4:$AY$138, MATCH('Staging Table'!$A70, LS_previous!$B$4:$B$138, 0), MATCH(AB$4&amp;AB$5, LS_previous!$D$2:$AY$2&amp;LS_previous!$D$3:$AY$3, 0)),SUM(VLOOKUP($A70, LS_previous!$B$4:$AY$138, LS_previous!T$149, FALSE), VLOOKUP('Staging Table'!$A70, LS_previous!$B$4:$AY$138,LS_previous!AR$149, FALSE))/2)</f>
        <v>-28926.674454985114</v>
      </c>
      <c r="AC70" s="180">
        <f t="array" ref="AC70">IF($G70=0, INDEX(LS_previous!$D$4:$AY$138, MATCH('Staging Table'!$A70, LS_previous!$B$4:$B$138, 0), MATCH(AC$4&amp;AC$5, LS_previous!$D$2:$AY$2&amp;LS_previous!$D$3:$AY$3, 0)),SUM(VLOOKUP($A70, LS_previous!$B$4:$AY$138, LS_previous!U$149, FALSE), VLOOKUP('Staging Table'!$A70, LS_previous!$B$4:$AY$138,LS_previous!AS$149, FALSE))/2)</f>
        <v>1001.1674752072577</v>
      </c>
      <c r="AD70" s="180">
        <f t="array" ref="AD70">IF($G70=0, INDEX(LS_previous!$D$4:$AY$138, MATCH('Staging Table'!$A70, LS_previous!$B$4:$B$138, 0), MATCH(AD$4&amp;AD$5, LS_previous!$D$2:$AY$2&amp;LS_previous!$D$3:$AY$3, 0)),SUM(VLOOKUP($A70, LS_previous!$B$4:$AY$138, LS_previous!V$149, FALSE), VLOOKUP('Staging Table'!$A70, LS_previous!$B$4:$AY$138,LS_previous!AT$149, FALSE))/2)</f>
        <v>-18918.854720642928</v>
      </c>
      <c r="AE70" s="180">
        <f t="array" ref="AE70">IF($G70=0, INDEX(LS_previous!$D$4:$AY$138, MATCH('Staging Table'!$A70, LS_previous!$B$4:$B$138, 0), MATCH(AE$4&amp;AE$5, LS_previous!$D$2:$AY$2&amp;LS_previous!$D$3:$AY$3, 0)),SUM(VLOOKUP($A70, LS_previous!$B$4:$AY$138, LS_previous!W$149, FALSE), VLOOKUP('Staging Table'!$A70, LS_previous!$B$4:$AY$138,LS_previous!AU$149, FALSE))/2)</f>
        <v>-2124.3179330582134</v>
      </c>
      <c r="AF70" s="180">
        <f t="array" ref="AF70">IF($G70=0, INDEX(LS_previous!$D$4:$AY$138, MATCH('Staging Table'!$A70, LS_previous!$B$4:$B$138, 0), MATCH(AF$4&amp;AF$5, LS_previous!$D$2:$AY$2&amp;LS_previous!$D$3:$AY$3, 0)),SUM(VLOOKUP($A70, LS_previous!$B$4:$AY$138, LS_previous!X$149, FALSE), VLOOKUP('Staging Table'!$A70, LS_previous!$B$4:$AY$138,LS_previous!AV$149, FALSE))/2)</f>
        <v>-15821.020334797497</v>
      </c>
      <c r="AG70" s="180">
        <f t="array" ref="AG70">IF($G70=0, INDEX(LS_previous!$D$4:$AY$138, MATCH('Staging Table'!$A70, LS_previous!$B$4:$B$138, 0), MATCH(AG$4&amp;AG$5, LS_previous!$D$2:$AY$2&amp;LS_previous!$D$3:$AY$3, 0)),SUM(VLOOKUP($A70, LS_previous!$B$4:$AY$138, LS_previous!Y$149, FALSE), VLOOKUP('Staging Table'!$A70, LS_previous!$B$4:$AY$138,LS_previous!AW$149, FALSE))/2)</f>
        <v>-2419.5171075204344</v>
      </c>
      <c r="AH70" s="180">
        <f t="array" ref="AH70">IF($G70=0, INDEX(LS_previous!$D$4:$AY$138, MATCH('Staging Table'!$A70, LS_previous!$B$4:$B$138, 0), MATCH(AH$4&amp;AH$5, LS_previous!$D$2:$AY$2&amp;LS_previous!$D$3:$AY$3, 0)),SUM(VLOOKUP($A70, LS_previous!$B$4:$AY$138, LS_previous!Z$149, FALSE), VLOOKUP('Staging Table'!$A70, LS_previous!$B$4:$AY$138,LS_previous!AX$149, FALSE))/2)</f>
        <v>-13598.698869435473</v>
      </c>
      <c r="AI70" s="180">
        <f t="array" ref="AI70">IF($G70=0, INDEX(LS_previous!$D$4:$AY$138, MATCH('Staging Table'!$A70, LS_previous!$B$4:$B$138, 0), MATCH(AI$4&amp;AI$5, LS_previous!$D$2:$AY$2&amp;LS_previous!$D$3:$AY$3, 0)),SUM(VLOOKUP($A70, LS_previous!$B$4:$AY$138, LS_previous!AA$149, FALSE), VLOOKUP('Staging Table'!$A70, LS_previous!$B$4:$AY$138,LS_previous!AY$149, FALSE))/2)</f>
        <v>-338.80199483371689</v>
      </c>
      <c r="AJ70" s="298">
        <f t="array" ref="AJ70">INDEX(Demand_previous!$D$4:$AY$138, MATCH('Staging Table'!$A70, Demand_previous!$B$4:$B$138, 0), MATCH(AJ$4&amp;AJ$5,Demand_previous!$D$2:$AY$2&amp;Demand_previous!$D$3:$AY$3, 0))/1000</f>
        <v>2.1863124999999997</v>
      </c>
      <c r="AK70" s="298">
        <f t="array" ref="AK70">INDEX(Demand_previous!$D$4:$AY$138, MATCH('Staging Table'!$A70, Demand_previous!$B$4:$B$138, 0), MATCH(AK$4&amp;AK$5,Demand_previous!$D$2:$AY$2&amp;Demand_previous!$D$3:$AY$3, 0))/1000</f>
        <v>10.581814999999999</v>
      </c>
      <c r="AL70" s="298">
        <f t="array" ref="AL70">INDEX(Demand_previous!$D$4:$AY$138, MATCH('Staging Table'!$A70, Demand_previous!$B$4:$B$138, 0), MATCH(AL$4&amp;AL$5,Demand_previous!$D$2:$AY$2&amp;Demand_previous!$D$3:$AY$3, 0))/1000</f>
        <v>30.613932692307692</v>
      </c>
      <c r="AM70" s="298">
        <f t="array" ref="AM70">INDEX(Demand_previous!$D$4:$AY$138, MATCH('Staging Table'!$A70, Demand_previous!$B$4:$B$138, 0), MATCH(AM$4&amp;AM$5,Demand_previous!$D$2:$AY$2&amp;Demand_previous!$D$3:$AY$3, 0))/1000</f>
        <v>9.9375200000000099</v>
      </c>
      <c r="AN70" s="298">
        <f t="array" ref="AN70">INDEX(Demand_previous!$D$4:$AY$138, MATCH('Staging Table'!$A70, Demand_previous!$B$4:$B$138, 0), MATCH(AN$4&amp;AN$5,Demand_previous!$D$2:$AY$2&amp;Demand_previous!$D$3:$AY$3, 0))/1000</f>
        <v>4.5045598958333173</v>
      </c>
      <c r="AO70" s="298">
        <f t="array" ref="AO70">INDEX(Demand_previous!$D$4:$AY$138, MATCH('Staging Table'!$A70, Demand_previous!$B$4:$B$138, 0), MATCH(AO$4&amp;AO$5,Demand_previous!$D$2:$AY$2&amp;Demand_previous!$D$3:$AY$3, 0))/1000</f>
        <v>27.081472222222228</v>
      </c>
      <c r="AP70" s="298">
        <f t="array" ref="AP70">INDEX(Demand_previous!$D$4:$AY$138, MATCH('Staging Table'!$A70, Demand_previous!$B$4:$B$138, 0), MATCH(AP$4&amp;AP$5,Demand_previous!$D$2:$AY$2&amp;Demand_previous!$D$3:$AY$3, 0))/1000</f>
        <v>7.5892139423077074</v>
      </c>
      <c r="AQ70" s="298">
        <f t="array" ref="AQ70">INDEX(Demand_previous!$D$4:$AY$138, MATCH('Staging Table'!$A70, Demand_previous!$B$4:$B$138, 0), MATCH(AQ$4&amp;AQ$5,Demand_previous!$D$2:$AY$2&amp;Demand_previous!$D$3:$AY$3, 0))/1000</f>
        <v>2.2365725000000083</v>
      </c>
      <c r="AR70" s="298">
        <f t="array" ref="AR70">INDEX(Demand_previous!$D$4:$AY$138, MATCH('Staging Table'!$A70, Demand_previous!$B$4:$B$138, 0), MATCH(AR$4&amp;AR$5,Demand_previous!$D$2:$AY$2&amp;Demand_previous!$D$3:$AY$3, 0))/1000</f>
        <v>14.734105769230769</v>
      </c>
      <c r="AS70" s="298">
        <f t="array" ref="AS70">INDEX(Demand_previous!$D$4:$AY$138, MATCH('Staging Table'!$A70, Demand_previous!$B$4:$B$138, 0), MATCH(AS$4&amp;AS$5,Demand_previous!$D$2:$AY$2&amp;Demand_previous!$D$3:$AY$3, 0))/1000</f>
        <v>2.1083624999999904</v>
      </c>
      <c r="AT70" s="298">
        <f t="array" ref="AT70">INDEX(Demand_previous!$D$4:$AY$138, MATCH('Staging Table'!$A70, Demand_previous!$B$4:$B$138, 0), MATCH(AT$4&amp;AT$5,Demand_previous!$D$2:$AY$2&amp;Demand_previous!$D$3:$AY$3, 0))/1000</f>
        <v>10.745944444444422</v>
      </c>
      <c r="AU70" s="298">
        <f t="array" ref="AU70">INDEX(Demand_previous!$D$4:$AY$138, MATCH('Staging Table'!$A70, Demand_previous!$B$4:$B$138, 0), MATCH(AU$4&amp;AU$5,Demand_previous!$D$2:$AY$2&amp;Demand_previous!$D$3:$AY$3, 0))/1000</f>
        <v>15.12288</v>
      </c>
      <c r="AV70" s="180">
        <f>$F70*(VLOOKUP(AV$4, Rates_previous!$G$6:$Q$29, 10, FALSE)+VLOOKUP(AV$4, Rates_previous!$G$6:$Q$29, 11, FALSE))</f>
        <v>84616.469662197298</v>
      </c>
      <c r="AW70" s="180">
        <f>$F70*(VLOOKUP(AW$4, Rates_previous!$G$6:$Q$29, 10, FALSE)+VLOOKUP(AW$4, Rates_previous!$G$6:$Q$29, 11, FALSE))</f>
        <v>107127.52153535336</v>
      </c>
      <c r="AX70" s="180">
        <f>$F70*(VLOOKUP(AX$4, Rates_previous!$G$6:$Q$29, 10, FALSE)+VLOOKUP(AX$4, Rates_previous!$G$6:$Q$29, 11, FALSE))</f>
        <v>104856.44130235966</v>
      </c>
      <c r="AY70" s="180">
        <f>$F70*(VLOOKUP(AY$4, Rates_previous!$G$6:$Q$29, 10, FALSE)+VLOOKUP(AY$4, Rates_previous!$G$6:$Q$29, 11, FALSE))</f>
        <v>86606.96151216056</v>
      </c>
      <c r="AZ70" s="180">
        <f>$F70*(VLOOKUP(AZ$4, Rates_previous!$G$6:$Q$29, 10, FALSE)+VLOOKUP(AZ$4, Rates_previous!$G$6:$Q$29, 11, FALSE))</f>
        <v>75064.151715007451</v>
      </c>
      <c r="BA70" s="180">
        <f>$F70*(VLOOKUP(BA$4, Rates_previous!$G$6:$Q$29, 10, FALSE)+VLOOKUP(BA$4, Rates_previous!$G$6:$Q$29, 11, FALSE))</f>
        <v>89611.438749450303</v>
      </c>
      <c r="BB70" s="180">
        <f>$F70*(VLOOKUP(BB$4, Rates_previous!$G$6:$Q$29, 10, FALSE)+VLOOKUP(BB$4, Rates_previous!$G$6:$Q$29, 11, FALSE))</f>
        <v>69571.352316735167</v>
      </c>
      <c r="BC70" s="180">
        <f>$F70*(VLOOKUP(BC$4, Rates_previous!$G$6:$Q$29, 10, FALSE)+VLOOKUP(BC$4, Rates_previous!$G$6:$Q$29, 11, FALSE))</f>
        <v>96391.620609313788</v>
      </c>
      <c r="BD70" s="180">
        <f>$F70*(VLOOKUP(BD$4, Rates_previous!$G$6:$Q$29, 10, FALSE)+VLOOKUP(BD$4, Rates_previous!$G$6:$Q$29, 11, FALSE))</f>
        <v>102996.46497977784</v>
      </c>
      <c r="BE70" s="180">
        <f>$F70*(VLOOKUP(BE$4, Rates_previous!$G$6:$Q$29, 10, FALSE)+VLOOKUP(BE$4, Rates_previous!$G$6:$Q$29, 11, FALSE))</f>
        <v>97790.479653701157</v>
      </c>
      <c r="BF70" s="180">
        <f>$F70*(VLOOKUP(BF$4, Rates_previous!$G$6:$Q$29, 10, FALSE)+VLOOKUP(BF$4, Rates_previous!$G$6:$Q$29, 11, FALSE))</f>
        <v>94506.954442317932</v>
      </c>
      <c r="BG70" s="180">
        <f>$F70*(VLOOKUP(BG$4, Rates_previous!$G$6:$Q$29, 10, FALSE)+VLOOKUP(BG$4, Rates_previous!$G$6:$Q$29, 11, FALSE))</f>
        <v>87334.277864269199</v>
      </c>
      <c r="BH70" s="298">
        <f>IF($D70=0,IF(C70=0, MAX(BJ70 - (VLOOKUP($A70,TOCA_previous!$A$2:$AI$137,MATCH("RHWM 2022",TOCA_previous!$A$2:$AI$2,0),FALSE)*$F$2*TOCA_previous!C67),0),0), 0)</f>
        <v>13380.963089396013</v>
      </c>
      <c r="BI70" s="192">
        <f>MIN(VLOOKUP($A70,TOCA_previous!$A$2:$AI$137,MATCH("TRL - NLSL - Existing Resource "&amp;$F$1,TOCA_previous!$A$2:$AI$2,0),FALSE)*$F$2,(VLOOKUP($A70,TOCA_previous!$A$2:$AI$137,MATCH("RHWM 2022",TOCA_previous!$A$2:$AI$2,0),FALSE)*$F$2))</f>
        <v>1096471.6800000002</v>
      </c>
      <c r="BJ70" s="402">
        <f>SUM(L70:AI70)+(F70*RT1SC!$C$3*$F$2)</f>
        <v>1109852.6430893962</v>
      </c>
      <c r="BK70" s="401">
        <f>VLOOKUP($A70,TOCA_previous!$A$2:$AI$137,MATCH("Above RHWM Not Served with LS "&amp;$F$1,TOCA_previous!$A$2:$AI$2,0),FALSE)*$F$2</f>
        <v>35066.28</v>
      </c>
      <c r="BL70" s="402">
        <f t="shared" si="8"/>
        <v>13380.963089396013</v>
      </c>
      <c r="BM70" s="401">
        <f>(VLOOKUP($A70,TOCA_previous!$A$2:$AI$137,MATCH("RHWM 2022",TOCA_previous!$A$2:$AI$2,0),FALSE)*$F$2) - $BI70</f>
        <v>0</v>
      </c>
      <c r="BN70" s="402">
        <f t="shared" si="9"/>
        <v>0</v>
      </c>
      <c r="BO70" s="401">
        <f t="shared" si="10"/>
        <v>0</v>
      </c>
      <c r="BP70" s="402">
        <f t="shared" si="11"/>
        <v>0</v>
      </c>
      <c r="BQ70" s="401">
        <f t="shared" ref="BQ70:BQ101" si="21">IF($D70=0,SUM($BN70:$BP70),0)</f>
        <v>0</v>
      </c>
      <c r="BR70" s="108">
        <f>VLOOKUP($A70,TOCA_current!$A$2:$AI$137,MATCH(BR$4,TOCA_current!$A$2:$AI$2,0),FALSE)</f>
        <v>1.70552E-2</v>
      </c>
      <c r="BS70" s="108">
        <f>VLOOKUP($A70,TOCA_current!$A$2:$AI$137,MATCH(BS$4,TOCA_current!$A$2:$AI$2,0),FALSE)</f>
        <v>1.70552E-2</v>
      </c>
      <c r="BT70" s="189">
        <f t="shared" si="12"/>
        <v>0</v>
      </c>
      <c r="BU70" s="108">
        <f>VLOOKUP($A70,TOCA_current!A66:BG201,MATCH(BU$4,TOCA_current!$A$2:$BG$2,0),FALSE)</f>
        <v>0</v>
      </c>
      <c r="BV70" s="108">
        <f t="shared" ref="BV70:BV101" si="22">IF(C70=0,0,BU70)</f>
        <v>0</v>
      </c>
      <c r="BW70" s="108">
        <f t="shared" ref="BW70:BW101" si="23">IF(C70=0,0,BR70)</f>
        <v>0</v>
      </c>
      <c r="BX70" s="179">
        <f>VLOOKUP($A70,IRD!$A$4:$G$139, 7, FALSE)</f>
        <v>0</v>
      </c>
      <c r="BY70" s="180">
        <f t="array" ref="BY70">IF($BT70=0, INDEX(LS_current!$D$4:$AY$138, MATCH('Staging Table'!$A70, LS_current!$B$4:$B$138, 0), MATCH(BY$4&amp;BY$5, LS_current!$D$2:$AY$2&amp;LS_current!$D$3:$AY$3, 0)),SUM(VLOOKUP($A70, LS_current!$B$4:$AY$138, LS_current!D$148, FALSE), VLOOKUP($A70, LS_current!$B$4:$AY$138,LS_current!AB$148, FALSE))/2)</f>
        <v>12481.826477212795</v>
      </c>
      <c r="BZ70" s="180">
        <f t="array" ref="BZ70">IF($BT70=0, INDEX(LS_current!$D$4:$AY$138, MATCH('Staging Table'!$A70, LS_current!$B$4:$B$138, 0), MATCH(BZ$4&amp;BZ$5, LS_current!$D$2:$AY$2&amp;LS_current!$D$3:$AY$3, 0)),SUM(VLOOKUP($A70, LS_current!$B$4:$AY$138, LS_current!E$148, FALSE), VLOOKUP($A70, LS_current!$B$4:$AY$138,LS_current!AC$148, FALSE))/2)</f>
        <v>9294.1396096524004</v>
      </c>
      <c r="CA70" s="180">
        <f t="array" ref="CA70">IF($BT70=0, INDEX(LS_current!$D$4:$AY$138, MATCH('Staging Table'!$A70, LS_current!$B$4:$B$138, 0), MATCH(CA$4&amp;CA$5, LS_current!$D$2:$AY$2&amp;LS_current!$D$3:$AY$3, 0)),SUM(VLOOKUP($A70, LS_current!$B$4:$AY$138, LS_current!F$148, FALSE), VLOOKUP($A70, LS_current!$B$4:$AY$138,LS_current!AD$148, FALSE))/2)</f>
        <v>5337.5897234943986</v>
      </c>
      <c r="CB70" s="180">
        <f t="array" ref="CB70">IF($BT70=0, INDEX(LS_current!$D$4:$AY$138, MATCH('Staging Table'!$A70, LS_current!$B$4:$B$138, 0), MATCH(CB$4&amp;CB$5, LS_current!$D$2:$AY$2&amp;LS_current!$D$3:$AY$3, 0)),SUM(VLOOKUP($A70, LS_current!$B$4:$AY$138, LS_current!G$148, FALSE), VLOOKUP($A70, LS_current!$B$4:$AY$138,LS_current!AE$148, FALSE))/2)</f>
        <v>6302.3017725688042</v>
      </c>
      <c r="CC70" s="180">
        <f t="array" ref="CC70">IF($BT70=0, INDEX(LS_current!$D$4:$AY$138, MATCH('Staging Table'!$A70, LS_current!$B$4:$B$138, 0), MATCH(CC$4&amp;CC$5, LS_current!$D$2:$AY$2&amp;LS_current!$D$3:$AY$3, 0)),SUM(VLOOKUP($A70, LS_current!$B$4:$AY$138, LS_current!H$148, FALSE), VLOOKUP($A70, LS_current!$B$4:$AY$138,LS_current!AF$148, FALSE))/2)</f>
        <v>8140.2556242071951</v>
      </c>
      <c r="CD70" s="180">
        <f t="array" ref="CD70">IF($BT70=0, INDEX(LS_current!$D$4:$AY$138, MATCH('Staging Table'!$A70, LS_current!$B$4:$B$138, 0), MATCH(CD$4&amp;CD$5, LS_current!$D$2:$AY$2&amp;LS_current!$D$3:$AY$3, 0)),SUM(VLOOKUP($A70, LS_current!$B$4:$AY$138, LS_current!I$148, FALSE), VLOOKUP($A70, LS_current!$B$4:$AY$138,LS_current!AG$148, FALSE))/2)</f>
        <v>12064.654315980799</v>
      </c>
      <c r="CE70" s="180">
        <f t="array" ref="CE70">IF($BT70=0, INDEX(LS_current!$D$4:$AY$138, MATCH('Staging Table'!$A70, LS_current!$B$4:$B$138, 0), MATCH(CE$4&amp;CE$5, LS_current!$D$2:$AY$2&amp;LS_current!$D$3:$AY$3, 0)),SUM(VLOOKUP($A70, LS_current!$B$4:$AY$138, LS_current!J$148, FALSE), VLOOKUP($A70, LS_current!$B$4:$AY$138,LS_current!AH$148, FALSE))/2)</f>
        <v>10636.022662332005</v>
      </c>
      <c r="CF70" s="180">
        <f t="array" ref="CF70">IF($BT70=0, INDEX(LS_current!$D$4:$AY$138, MATCH('Staging Table'!$A70, LS_current!$B$4:$B$138, 0), MATCH(CF$4&amp;CF$5, LS_current!$D$2:$AY$2&amp;LS_current!$D$3:$AY$3, 0)),SUM(VLOOKUP($A70, LS_current!$B$4:$AY$138, LS_current!K$148, FALSE), VLOOKUP($A70, LS_current!$B$4:$AY$138,LS_current!AI$148, FALSE))/2)</f>
        <v>11742.038287799194</v>
      </c>
      <c r="CG70" s="180">
        <f t="array" ref="CG70">IF($BT70=0, INDEX(LS_current!$D$4:$AY$138, MATCH('Staging Table'!$A70, LS_current!$B$4:$B$138, 0), MATCH(CG$4&amp;CG$5, LS_current!$D$2:$AY$2&amp;LS_current!$D$3:$AY$3, 0)),SUM(VLOOKUP($A70, LS_current!$B$4:$AY$138, LS_current!L$148, FALSE), VLOOKUP($A70, LS_current!$B$4:$AY$138,LS_current!AJ$148, FALSE))/2)</f>
        <v>7935.5512844792102</v>
      </c>
      <c r="CH70" s="180">
        <f t="array" ref="CH70">IF($BT70=0, INDEX(LS_current!$D$4:$AY$138, MATCH('Staging Table'!$A70, LS_current!$B$4:$B$138, 0), MATCH(CH$4&amp;CH$5, LS_current!$D$2:$AY$2&amp;LS_current!$D$3:$AY$3, 0)),SUM(VLOOKUP($A70, LS_current!$B$4:$AY$138, LS_current!M$148, FALSE), VLOOKUP($A70, LS_current!$B$4:$AY$138,LS_current!AK$148, FALSE))/2)</f>
        <v>9607.7271088632006</v>
      </c>
      <c r="CI70" s="180">
        <f t="array" ref="CI70">IF($BT70=0, INDEX(LS_current!$D$4:$AY$138, MATCH('Staging Table'!$A70, LS_current!$B$4:$B$138, 0), MATCH(CI$4&amp;CI$5, LS_current!$D$2:$AY$2&amp;LS_current!$D$3:$AY$3, 0)),SUM(VLOOKUP($A70, LS_current!$B$4:$AY$138, LS_current!N$148, FALSE), VLOOKUP($A70, LS_current!$B$4:$AY$138,LS_current!AL$148, FALSE))/2)</f>
        <v>2925.9355439624051</v>
      </c>
      <c r="CJ70" s="180">
        <f t="array" ref="CJ70">IF($BT70=0, INDEX(LS_current!$D$4:$AY$138, MATCH('Staging Table'!$A70, LS_current!$B$4:$B$138, 0), MATCH(CJ$4&amp;CJ$5, LS_current!$D$2:$AY$2&amp;LS_current!$D$3:$AY$3, 0)),SUM(VLOOKUP($A70, LS_current!$B$4:$AY$138, LS_current!O$148, FALSE), VLOOKUP($A70, LS_current!$B$4:$AY$138,LS_current!AM$148, FALSE))/2)</f>
        <v>5131.1592918544047</v>
      </c>
      <c r="CK70" s="180">
        <f t="array" ref="CK70">IF($BT70=0, INDEX(LS_current!$D$4:$AY$138, MATCH('Staging Table'!$A70, LS_current!$B$4:$B$138, 0), MATCH(CK$4&amp;CK$5, LS_current!$D$2:$AY$2&amp;LS_current!$D$3:$AY$3, 0)),SUM(VLOOKUP($A70, LS_current!$B$4:$AY$138, LS_current!P$148, FALSE), VLOOKUP($A70, LS_current!$B$4:$AY$138,LS_current!AN$148, FALSE))/2)</f>
        <v>11581.981873182005</v>
      </c>
      <c r="CL70" s="180">
        <f t="array" ref="CL70">IF($BT70=0, INDEX(LS_current!$D$4:$AY$138, MATCH('Staging Table'!$A70, LS_current!$B$4:$B$138, 0), MATCH(CL$4&amp;CL$5, LS_current!$D$2:$AY$2&amp;LS_current!$D$3:$AY$3, 0)),SUM(VLOOKUP($A70, LS_current!$B$4:$AY$138, LS_current!Q$148, FALSE), VLOOKUP($A70, LS_current!$B$4:$AY$138,LS_current!AO$148, FALSE))/2)</f>
        <v>7156.7083671614055</v>
      </c>
      <c r="CM70" s="180">
        <f t="array" ref="CM70">IF($BT70=0, INDEX(LS_current!$D$4:$AY$138, MATCH('Staging Table'!$A70, LS_current!$B$4:$B$138, 0), MATCH(CM$4&amp;CM$5, LS_current!$D$2:$AY$2&amp;LS_current!$D$3:$AY$3, 0)),SUM(VLOOKUP($A70, LS_current!$B$4:$AY$138, LS_current!R$148, FALSE), VLOOKUP($A70, LS_current!$B$4:$AY$138,LS_current!AP$148, FALSE))/2)</f>
        <v>-7231.639706009606</v>
      </c>
      <c r="CN70" s="180">
        <f t="array" ref="CN70">IF($BT70=0, INDEX(LS_current!$D$4:$AY$138, MATCH('Staging Table'!$A70, LS_current!$B$4:$B$138, 0), MATCH(CN$4&amp;CN$5, LS_current!$D$2:$AY$2&amp;LS_current!$D$3:$AY$3, 0)),SUM(VLOOKUP($A70, LS_current!$B$4:$AY$138, LS_current!S$148, FALSE), VLOOKUP($A70, LS_current!$B$4:$AY$138,LS_current!AQ$148, FALSE))/2)</f>
        <v>-3118.3619120492003</v>
      </c>
      <c r="CO70" s="180">
        <f t="array" ref="CO70">IF($BT70=0, INDEX(LS_current!$D$4:$AY$138, MATCH('Staging Table'!$A70, LS_current!$B$4:$B$138, 0), MATCH(CO$4&amp;CO$5, LS_current!$D$2:$AY$2&amp;LS_current!$D$3:$AY$3, 0)),SUM(VLOOKUP($A70, LS_current!$B$4:$AY$138, LS_current!T$148, FALSE), VLOOKUP($A70, LS_current!$B$4:$AY$138,LS_current!AR$148, FALSE))/2)</f>
        <v>-14528.627179515199</v>
      </c>
      <c r="CP70" s="180">
        <f t="array" ref="CP70">IF($BT70=0, INDEX(LS_current!$D$4:$AY$138, MATCH('Staging Table'!$A70, LS_current!$B$4:$B$138, 0), MATCH(CP$4&amp;CP$5, LS_current!$D$2:$AY$2&amp;LS_current!$D$3:$AY$3, 0)),SUM(VLOOKUP($A70, LS_current!$B$4:$AY$138, LS_current!U$148, FALSE), VLOOKUP($A70, LS_current!$B$4:$AY$138,LS_current!AS$148, FALSE))/2)</f>
        <v>-4209.009909508397</v>
      </c>
      <c r="CQ70" s="180">
        <f t="array" ref="CQ70">IF($BT70=0, INDEX(LS_current!$D$4:$AY$138, MATCH('Staging Table'!$A70, LS_current!$B$4:$B$138, 0), MATCH(CQ$4&amp;CQ$5, LS_current!$D$2:$AY$2&amp;LS_current!$D$3:$AY$3, 0)),SUM(VLOOKUP($A70, LS_current!$B$4:$AY$138, LS_current!V$148, FALSE), VLOOKUP($A70, LS_current!$B$4:$AY$138,LS_current!AT$148, FALSE))/2)</f>
        <v>-4493.7851413727985</v>
      </c>
      <c r="CR70" s="180">
        <f t="array" ref="CR70">IF($BT70=0, INDEX(LS_current!$D$4:$AY$138, MATCH('Staging Table'!$A70, LS_current!$B$4:$B$138, 0), MATCH(CR$4&amp;CR$5, LS_current!$D$2:$AY$2&amp;LS_current!$D$3:$AY$3, 0)),SUM(VLOOKUP($A70, LS_current!$B$4:$AY$138, LS_current!W$148, FALSE), VLOOKUP($A70, LS_current!$B$4:$AY$138,LS_current!AU$148, FALSE))/2)</f>
        <v>277.81864346200382</v>
      </c>
      <c r="CS70" s="180">
        <f t="array" ref="CS70">IF($BT70=0, INDEX(LS_current!$D$4:$AY$138, MATCH('Staging Table'!$A70, LS_current!$B$4:$B$138, 0), MATCH(CS$4&amp;CS$5, LS_current!$D$2:$AY$2&amp;LS_current!$D$3:$AY$3, 0)),SUM(VLOOKUP($A70, LS_current!$B$4:$AY$138, LS_current!X$148, FALSE), VLOOKUP($A70, LS_current!$B$4:$AY$138,LS_current!AV$148, FALSE))/2)</f>
        <v>-1924.5265329667964</v>
      </c>
      <c r="CT70" s="180">
        <f t="array" ref="CT70">IF($BT70=0, INDEX(LS_current!$D$4:$AY$138, MATCH('Staging Table'!$A70, LS_current!$B$4:$B$138, 0), MATCH(CT$4&amp;CT$5, LS_current!$D$2:$AY$2&amp;LS_current!$D$3:$AY$3, 0)),SUM(VLOOKUP($A70, LS_current!$B$4:$AY$138, LS_current!Y$148, FALSE), VLOOKUP($A70, LS_current!$B$4:$AY$138,LS_current!AW$148, FALSE))/2)</f>
        <v>20.052100542285189</v>
      </c>
      <c r="CU70" s="180">
        <f t="array" ref="CU70">IF($BT70=0, INDEX(LS_current!$D$4:$AY$138, MATCH('Staging Table'!$A70, LS_current!$B$4:$B$138, 0), MATCH(CU$4&amp;CU$5, LS_current!$D$2:$AY$2&amp;LS_current!$D$3:$AY$3, 0)),SUM(VLOOKUP($A70, LS_current!$B$4:$AY$138, LS_current!Z$148, FALSE), VLOOKUP($A70, LS_current!$B$4:$AY$138,LS_current!AX$148, FALSE))/2)</f>
        <v>-858.6472507248036</v>
      </c>
      <c r="CV70" s="180">
        <f t="array" ref="CV70">IF($BT70=0, INDEX(LS_current!$D$4:$AY$138, MATCH('Staging Table'!$A70, LS_current!$B$4:$B$138, 0), MATCH(CV$4&amp;CV$5, LS_current!$D$2:$AY$2&amp;LS_current!$D$3:$AY$3, 0)),SUM(VLOOKUP($A70, LS_current!$B$4:$AY$138, LS_current!AA$148, FALSE), VLOOKUP($A70, LS_current!$B$4:$AY$138,LS_current!AY$148, FALSE))/2)</f>
        <v>2464.6762574591994</v>
      </c>
      <c r="CW70" s="182">
        <f t="array" ref="CW70">INDEX(Demand_current!$D$4:$AY$138, MATCH($A70, Demand_current!$B$4:$B$138, 0), MATCH(CW$4&amp;CW$5,Demand_current!$D$2:$AY$2&amp;Demand_current!$D$3:$AY$3, 0))/1000</f>
        <v>2.1863124999999997</v>
      </c>
      <c r="CX70" s="182">
        <f t="array" ref="CX70">INDEX(Demand_current!$D$4:$AY$138, MATCH($A70, Demand_current!$B$4:$B$138, 0), MATCH(CX$4&amp;CX$5,Demand_current!$D$2:$AY$2&amp;Demand_current!$D$3:$AY$3, 0))/1000</f>
        <v>10.581814999999999</v>
      </c>
      <c r="CY70" s="182">
        <f t="array" ref="CY70">INDEX(Demand_current!$D$4:$AY$138, MATCH($A70, Demand_current!$B$4:$B$138, 0), MATCH(CY$4&amp;CY$5,Demand_current!$D$2:$AY$2&amp;Demand_current!$D$3:$AY$3, 0))/1000</f>
        <v>24.057889999999993</v>
      </c>
      <c r="CZ70" s="182">
        <f t="array" ref="CZ70">INDEX(Demand_current!$D$4:$AY$138, MATCH($A70, Demand_current!$B$4:$B$138, 0), MATCH(CZ$4&amp;CZ$5,Demand_current!$D$2:$AY$2&amp;Demand_current!$D$3:$AY$3, 0))/1000</f>
        <v>17.086461538461553</v>
      </c>
      <c r="DA70" s="182">
        <f t="array" ref="DA70">INDEX(Demand_current!$D$4:$AY$138, MATCH($A70, Demand_current!$B$4:$B$138, 0), MATCH(DA$4&amp;DA$5,Demand_current!$D$2:$AY$2&amp;Demand_current!$D$3:$AY$3, 0))/1000</f>
        <v>11.193897499999984</v>
      </c>
      <c r="DB70" s="182">
        <f t="array" ref="DB70">INDEX(Demand_current!$D$4:$AY$138, MATCH($A70, Demand_current!$B$4:$B$138, 0), MATCH(DB$4&amp;DB$5,Demand_current!$D$2:$AY$2&amp;Demand_current!$D$3:$AY$3, 0))/1000</f>
        <v>21.582451923076942</v>
      </c>
      <c r="DC70" s="182">
        <f t="array" ref="DC70">INDEX(Demand_current!$D$4:$AY$138, MATCH($A70, Demand_current!$B$4:$B$138, 0), MATCH(DC$4&amp;DC$5,Demand_current!$D$2:$AY$2&amp;Demand_current!$D$3:$AY$3, 0))/1000</f>
        <v>7.5892139423077074</v>
      </c>
      <c r="DD70" s="182">
        <f t="array" ref="DD70">INDEX(Demand_current!$D$4:$AY$138, MATCH($A70, Demand_current!$B$4:$B$138, 0), MATCH(DD$4&amp;DD$5,Demand_current!$D$2:$AY$2&amp;Demand_current!$D$3:$AY$3, 0))/1000</f>
        <v>7.0707427884615583</v>
      </c>
      <c r="DE70" s="182">
        <f t="array" ref="DE70">INDEX(Demand_current!$D$4:$AY$138, MATCH($A70, Demand_current!$B$4:$B$138, 0), MATCH(DE$4&amp;DE$5,Demand_current!$D$2:$AY$2&amp;Demand_current!$D$3:$AY$3, 0))/1000</f>
        <v>10.292950000000008</v>
      </c>
      <c r="DF70" s="182">
        <f t="array" ref="DF70">INDEX(Demand_current!$D$4:$AY$138, MATCH($A70, Demand_current!$B$4:$B$138, 0), MATCH(DF$4&amp;DF$5,Demand_current!$D$2:$AY$2&amp;Demand_current!$D$3:$AY$3, 0))/1000</f>
        <v>6.7059639423076822</v>
      </c>
      <c r="DG70" s="182">
        <f t="array" ref="DG70">INDEX(Demand_current!$D$4:$AY$138, MATCH($A70, Demand_current!$B$4:$B$138, 0), MATCH(DG$4&amp;DG$5,Demand_current!$D$2:$AY$2&amp;Demand_current!$D$3:$AY$3, 0))/1000</f>
        <v>10.745944444444422</v>
      </c>
      <c r="DH70" s="182">
        <f t="array" ref="DH70">INDEX(Demand_current!$D$4:$AY$138, MATCH($A70, Demand_current!$B$4:$B$138, 0), MATCH(DH$4&amp;DH$5,Demand_current!$D$2:$AY$2&amp;Demand_current!$D$3:$AY$3, 0))/1000</f>
        <v>10.566666666666668</v>
      </c>
      <c r="DI70" s="180">
        <f>$BS70*(VLOOKUP(DI$4, Rates_current!$G$6:$Q$29, 10, FALSE)+VLOOKUP(DI$4, Rates_current!$G$6:$Q$29, 11, FALSE))</f>
        <v>71952.541913134803</v>
      </c>
      <c r="DJ70" s="180">
        <f>$BS70*(VLOOKUP(DJ$4, Rates_current!$G$6:$Q$29, 10, FALSE)+VLOOKUP(DJ$4, Rates_current!$G$6:$Q$29, 11, FALSE))</f>
        <v>91763.217503936816</v>
      </c>
      <c r="DK70" s="180">
        <f>$BS70*(VLOOKUP(DK$4, Rates_current!$G$6:$Q$29, 10, FALSE)+VLOOKUP(DK$4, Rates_current!$G$6:$Q$29, 11, FALSE))</f>
        <v>99030.668059812</v>
      </c>
      <c r="DL70" s="180">
        <f>$BS70*(VLOOKUP(DL$4, Rates_current!$G$6:$Q$29, 10, FALSE)+VLOOKUP(DL$4, Rates_current!$G$6:$Q$29, 11, FALSE))</f>
        <v>102908.1730498688</v>
      </c>
      <c r="DM70" s="180">
        <f>$BS70*(VLOOKUP(DM$4, Rates_current!$G$6:$Q$29, 10, FALSE)+VLOOKUP(DM$4, Rates_current!$G$6:$Q$29, 11, FALSE))</f>
        <v>88514.745606657583</v>
      </c>
      <c r="DN70" s="180">
        <f>$BS70*(VLOOKUP(DN$4, Rates_current!$G$6:$Q$29, 10, FALSE)+VLOOKUP(DN$4, Rates_current!$G$6:$Q$29, 11, FALSE))</f>
        <v>96640.577164183196</v>
      </c>
      <c r="DO70" s="180">
        <f>$BS70*(VLOOKUP(DO$4, Rates_current!$G$6:$Q$29, 10, FALSE)+VLOOKUP(DO$4, Rates_current!$G$6:$Q$29, 11, FALSE))</f>
        <v>76281.449759656593</v>
      </c>
      <c r="DP70" s="180">
        <f>$BS70*(VLOOKUP(DP$4, Rates_current!$G$6:$Q$29, 10, FALSE)+VLOOKUP(DP$4, Rates_current!$G$6:$Q$29, 11, FALSE))</f>
        <v>94637.360618058796</v>
      </c>
      <c r="DQ70" s="180">
        <f>$BS70*(VLOOKUP(DQ$4, Rates_current!$G$6:$Q$29, 10, FALSE)+VLOOKUP(DQ$4, Rates_current!$G$6:$Q$29, 11, FALSE))</f>
        <v>96690.755089023587</v>
      </c>
      <c r="DR70" s="180">
        <f>$BS70*(VLOOKUP(DR$4, Rates_current!$G$6:$Q$29, 10, FALSE)+VLOOKUP(DR$4, Rates_current!$G$6:$Q$29, 11, FALSE))</f>
        <v>83941.505497910795</v>
      </c>
      <c r="DS70" s="180">
        <f>$BS70*(VLOOKUP(DS$4, Rates_current!$G$6:$Q$29, 10, FALSE)+VLOOKUP(DS$4, Rates_current!$G$6:$Q$29, 11, FALSE))</f>
        <v>81149.123432424531</v>
      </c>
      <c r="DT70" s="180">
        <f>$BS70*(VLOOKUP(DT$4, Rates_current!$G$6:$Q$29, 10, FALSE)+VLOOKUP(DT$4, Rates_current!$G$6:$Q$29, 11, FALSE))</f>
        <v>74672.907993265602</v>
      </c>
      <c r="DU70" s="402">
        <f>IF(D70=0,IF(C70=0,MAX(0,DW70 - (VLOOKUP($A70,TOCA_current!$A$2:$AI$137,MATCH("RHWM 2024",TOCA_current!$A$2:$AI$2,0),FALSE)*$BS$2)), 0),0)</f>
        <v>0</v>
      </c>
      <c r="DV70" s="403">
        <f>MIN(VLOOKUP($A70,TOCA_current!$A$2:$AI$137,MATCH("TRL - NLSL - Existing Resource "&amp;$BS$1,TOCA_current!$A$2:$AI$2,0),FALSE)*$BS$2, VLOOKUP($A70,TOCA_current!$A$2:$AI$137,MATCH("RHWM 2024",TOCA_current!$A$2:$AI$2,0),FALSE)*$BS$2)</f>
        <v>1058182.128</v>
      </c>
      <c r="DW70" s="403">
        <f>SUM(BY70:CV70)+(BS70*RT1SC!$C$4*$BS$2)</f>
        <v>1144918.8718504987</v>
      </c>
      <c r="DX70" s="403">
        <f>VLOOKUP($A70,TOCA_current!$A$2:$AI$137,MATCH("Above RHWM Not Served with LS "&amp;$BS$1,TOCA_current!$A$2:$AI$2,0),FALSE)*$BS$2</f>
        <v>0</v>
      </c>
      <c r="DY70" s="403">
        <f t="shared" si="13"/>
        <v>86736.743850498693</v>
      </c>
      <c r="DZ70" s="403">
        <f>(VLOOKUP($A70,TOCA_current!$A$2:$AI$137,MATCH("RHWM 2024",TOCA_current!$A$2:$AI$2,0),FALSE)*$BS$2) - $DV70</f>
        <v>94428</v>
      </c>
      <c r="EA70" s="403">
        <f t="shared" si="14"/>
        <v>-86736.743850498693</v>
      </c>
      <c r="EB70" s="403">
        <f t="shared" si="15"/>
        <v>0</v>
      </c>
      <c r="EC70" s="403">
        <f t="shared" si="16"/>
        <v>0</v>
      </c>
      <c r="ED70" s="403">
        <f t="shared" si="17"/>
        <v>-86736.743850498693</v>
      </c>
    </row>
    <row r="71" spans="1:134">
      <c r="A71" s="123">
        <v>10197</v>
      </c>
      <c r="B71" s="124" t="s">
        <v>72</v>
      </c>
      <c r="C71" s="232">
        <f>VLOOKUP(A71, TOCA_current!$A$3:$D$137, 4, FALSE)</f>
        <v>0</v>
      </c>
      <c r="D71" s="191">
        <v>0</v>
      </c>
      <c r="E71" s="107">
        <f>VLOOKUP($A71,TOCA_previous!$A$2:$AI$137,MATCH(E$4,TOCA_previous!$A$2:$AI$2,0),FALSE)</f>
        <v>3.2219000000000002E-3</v>
      </c>
      <c r="F71" s="108">
        <f>VLOOKUP($A71,TOCA_previous!$A$2:$AI$137,MATCH(F$4,TOCA_previous!$A$2:$AI$2,0),FALSE)</f>
        <v>3.2219000000000002E-3</v>
      </c>
      <c r="G71" s="108">
        <f t="shared" ref="G71:G134" si="24">E71-F71</f>
        <v>0</v>
      </c>
      <c r="H71" s="108">
        <f>VLOOKUP($A71,TOCA_previous!$A$2:$AI$137,MATCH(H$4,TOCA_previous!$A$2:$AI$2,0),FALSE)</f>
        <v>8.6019999999999999E-2</v>
      </c>
      <c r="I71" s="108">
        <f t="shared" ref="I71:I134" si="25">IF(C71=0,0,H71)</f>
        <v>0</v>
      </c>
      <c r="J71" s="108">
        <f t="shared" ref="J71:J134" si="26">IF(C71=0,0,E71)</f>
        <v>0</v>
      </c>
      <c r="K71" s="179">
        <f>VLOOKUP(A71, IRD!$A$5:$C$139, 3, FALSE)</f>
        <v>99899.204999999987</v>
      </c>
      <c r="L71" s="180">
        <f t="array" ref="L71">IF($G71=0, INDEX(LS_previous!$D$4:$AY$138, MATCH('Staging Table'!$A71, LS_previous!$B$4:$B$138, 0), MATCH(L$4&amp;L$5, LS_previous!$D$2:$AY$2&amp;LS_previous!$D$3:$AY$3, 0)),SUM(VLOOKUP($A71, LS_previous!$B$4:$AY$138, LS_previous!D$149, FALSE), VLOOKUP('Staging Table'!$A71, LS_previous!$B$4:$AY$138,LS_previous!AB$149, FALSE))/2)</f>
        <v>-5258.5211533069269</v>
      </c>
      <c r="M71" s="180">
        <f t="array" ref="M71">IF($G71=0, INDEX(LS_previous!$D$4:$AY$138, MATCH('Staging Table'!$A71, LS_previous!$B$4:$B$138, 0), MATCH(M$4&amp;M$5, LS_previous!$D$2:$AY$2&amp;LS_previous!$D$3:$AY$3, 0)),SUM(VLOOKUP($A71, LS_previous!$B$4:$AY$138, LS_previous!E$149, FALSE), VLOOKUP('Staging Table'!$A71, LS_previous!$B$4:$AY$138,LS_previous!AC$149, FALSE))/2)</f>
        <v>-2211.8749379493829</v>
      </c>
      <c r="N71" s="180">
        <f t="array" ref="N71">IF($G71=0, INDEX(LS_previous!$D$4:$AY$138, MATCH('Staging Table'!$A71, LS_previous!$B$4:$B$138, 0), MATCH(N$4&amp;N$5, LS_previous!$D$2:$AY$2&amp;LS_previous!$D$3:$AY$3, 0)),SUM(VLOOKUP($A71, LS_previous!$B$4:$AY$138, LS_previous!F$149, FALSE), VLOOKUP('Staging Table'!$A71, LS_previous!$B$4:$AY$138,LS_previous!AD$149, FALSE))/2)</f>
        <v>-8889.8345450127672</v>
      </c>
      <c r="O71" s="180">
        <f t="array" ref="O71">IF($G71=0, INDEX(LS_previous!$D$4:$AY$138, MATCH('Staging Table'!$A71, LS_previous!$B$4:$B$138, 0), MATCH(O$4&amp;O$5, LS_previous!$D$2:$AY$2&amp;LS_previous!$D$3:$AY$3, 0)),SUM(VLOOKUP($A71, LS_previous!$B$4:$AY$138, LS_previous!G$149, FALSE), VLOOKUP('Staging Table'!$A71, LS_previous!$B$4:$AY$138,LS_previous!AE$149, FALSE))/2)</f>
        <v>-5131.73193853252</v>
      </c>
      <c r="P71" s="180">
        <f t="array" ref="P71">IF($G71=0, INDEX(LS_previous!$D$4:$AY$138, MATCH('Staging Table'!$A71, LS_previous!$B$4:$B$138, 0), MATCH(P$4&amp;P$5, LS_previous!$D$2:$AY$2&amp;LS_previous!$D$3:$AY$3, 0)),SUM(VLOOKUP($A71, LS_previous!$B$4:$AY$138, LS_previous!H$149, FALSE), VLOOKUP('Staging Table'!$A71, LS_previous!$B$4:$AY$138,LS_previous!AF$149, FALSE))/2)</f>
        <v>-7019.3015670825607</v>
      </c>
      <c r="Q71" s="180">
        <f t="array" ref="Q71">IF($G71=0, INDEX(LS_previous!$D$4:$AY$138, MATCH('Staging Table'!$A71, LS_previous!$B$4:$B$138, 0), MATCH(Q$4&amp;Q$5, LS_previous!$D$2:$AY$2&amp;LS_previous!$D$3:$AY$3, 0)),SUM(VLOOKUP($A71, LS_previous!$B$4:$AY$138, LS_previous!I$149, FALSE), VLOOKUP('Staging Table'!$A71, LS_previous!$B$4:$AY$138,LS_previous!AG$149, FALSE))/2)</f>
        <v>-4764.2291531193978</v>
      </c>
      <c r="R71" s="180">
        <f t="array" ref="R71">IF($G71=0, INDEX(LS_previous!$D$4:$AY$138, MATCH('Staging Table'!$A71, LS_previous!$B$4:$B$138, 0), MATCH(R$4&amp;R$5, LS_previous!$D$2:$AY$2&amp;LS_previous!$D$3:$AY$3, 0)),SUM(VLOOKUP($A71, LS_previous!$B$4:$AY$138, LS_previous!J$149, FALSE), VLOOKUP('Staging Table'!$A71, LS_previous!$B$4:$AY$138,LS_previous!AH$149, FALSE))/2)</f>
        <v>-5691.8717166299357</v>
      </c>
      <c r="S71" s="180">
        <f t="array" ref="S71">IF($G71=0, INDEX(LS_previous!$D$4:$AY$138, MATCH('Staging Table'!$A71, LS_previous!$B$4:$B$138, 0), MATCH(S$4&amp;S$5, LS_previous!$D$2:$AY$2&amp;LS_previous!$D$3:$AY$3, 0)),SUM(VLOOKUP($A71, LS_previous!$B$4:$AY$138, LS_previous!K$149, FALSE), VLOOKUP('Staging Table'!$A71, LS_previous!$B$4:$AY$138,LS_previous!AI$149, FALSE))/2)</f>
        <v>-4292.8197979295683</v>
      </c>
      <c r="T71" s="180">
        <f t="array" ref="T71">IF($G71=0, INDEX(LS_previous!$D$4:$AY$138, MATCH('Staging Table'!$A71, LS_previous!$B$4:$B$138, 0), MATCH(T$4&amp;T$5, LS_previous!$D$2:$AY$2&amp;LS_previous!$D$3:$AY$3, 0)),SUM(VLOOKUP($A71, LS_previous!$B$4:$AY$138, LS_previous!L$149, FALSE), VLOOKUP('Staging Table'!$A71, LS_previous!$B$4:$AY$138,LS_previous!AJ$149, FALSE))/2)</f>
        <v>-5683.5219029860182</v>
      </c>
      <c r="U71" s="180">
        <f t="array" ref="U71">IF($G71=0, INDEX(LS_previous!$D$4:$AY$138, MATCH('Staging Table'!$A71, LS_previous!$B$4:$B$138, 0), MATCH(U$4&amp;U$5, LS_previous!$D$2:$AY$2&amp;LS_previous!$D$3:$AY$3, 0)),SUM(VLOOKUP($A71, LS_previous!$B$4:$AY$138, LS_previous!M$149, FALSE), VLOOKUP('Staging Table'!$A71, LS_previous!$B$4:$AY$138,LS_previous!AK$149, FALSE))/2)</f>
        <v>-4005.5525959420547</v>
      </c>
      <c r="V71" s="180">
        <f t="array" ref="V71">IF($G71=0, INDEX(LS_previous!$D$4:$AY$138, MATCH('Staging Table'!$A71, LS_previous!$B$4:$B$138, 0), MATCH(V$4&amp;V$5, LS_previous!$D$2:$AY$2&amp;LS_previous!$D$3:$AY$3, 0)),SUM(VLOOKUP($A71, LS_previous!$B$4:$AY$138, LS_previous!N$149, FALSE), VLOOKUP('Staging Table'!$A71, LS_previous!$B$4:$AY$138,LS_previous!AL$149, FALSE))/2)</f>
        <v>-7919.9458838005212</v>
      </c>
      <c r="W71" s="180">
        <f t="array" ref="W71">IF($G71=0, INDEX(LS_previous!$D$4:$AY$138, MATCH('Staging Table'!$A71, LS_previous!$B$4:$B$138, 0), MATCH(W$4&amp;W$5, LS_previous!$D$2:$AY$2&amp;LS_previous!$D$3:$AY$3, 0)),SUM(VLOOKUP($A71, LS_previous!$B$4:$AY$138, LS_previous!O$149, FALSE), VLOOKUP('Staging Table'!$A71, LS_previous!$B$4:$AY$138,LS_previous!AM$149, FALSE))/2)</f>
        <v>-4491.6556426971883</v>
      </c>
      <c r="X71" s="180">
        <f t="array" ref="X71">IF($G71=0, INDEX(LS_previous!$D$4:$AY$138, MATCH('Staging Table'!$A71, LS_previous!$B$4:$B$138, 0), MATCH(X$4&amp;X$5, LS_previous!$D$2:$AY$2&amp;LS_previous!$D$3:$AY$3, 0)),SUM(VLOOKUP($A71, LS_previous!$B$4:$AY$138, LS_previous!P$149, FALSE), VLOOKUP('Staging Table'!$A71, LS_previous!$B$4:$AY$138,LS_previous!AN$149, FALSE))/2)</f>
        <v>-1399.1127925887977</v>
      </c>
      <c r="Y71" s="180">
        <f t="array" ref="Y71">IF($G71=0, INDEX(LS_previous!$D$4:$AY$138, MATCH('Staging Table'!$A71, LS_previous!$B$4:$B$138, 0), MATCH(Y$4&amp;Y$5, LS_previous!$D$2:$AY$2&amp;LS_previous!$D$3:$AY$3, 0)),SUM(VLOOKUP($A71, LS_previous!$B$4:$AY$138, LS_previous!Q$149, FALSE), VLOOKUP('Staging Table'!$A71, LS_previous!$B$4:$AY$138,LS_previous!AO$149, FALSE))/2)</f>
        <v>-672.66571154386384</v>
      </c>
      <c r="Z71" s="180">
        <f t="array" ref="Z71">IF($G71=0, INDEX(LS_previous!$D$4:$AY$138, MATCH('Staging Table'!$A71, LS_previous!$B$4:$B$138, 0), MATCH(Z$4&amp;Z$5, LS_previous!$D$2:$AY$2&amp;LS_previous!$D$3:$AY$3, 0)),SUM(VLOOKUP($A71, LS_previous!$B$4:$AY$138, LS_previous!R$149, FALSE), VLOOKUP('Staging Table'!$A71, LS_previous!$B$4:$AY$138,LS_previous!AP$149, FALSE))/2)</f>
        <v>7004.4760009221663</v>
      </c>
      <c r="AA71" s="180">
        <f t="array" ref="AA71">IF($G71=0, INDEX(LS_previous!$D$4:$AY$138, MATCH('Staging Table'!$A71, LS_previous!$B$4:$B$138, 0), MATCH(AA$4&amp;AA$5, LS_previous!$D$2:$AY$2&amp;LS_previous!$D$3:$AY$3, 0)),SUM(VLOOKUP($A71, LS_previous!$B$4:$AY$138, LS_previous!S$149, FALSE), VLOOKUP('Staging Table'!$A71, LS_previous!$B$4:$AY$138,LS_previous!AQ$149, FALSE))/2)</f>
        <v>7983.4295044786177</v>
      </c>
      <c r="AB71" s="180">
        <f t="array" ref="AB71">IF($G71=0, INDEX(LS_previous!$D$4:$AY$138, MATCH('Staging Table'!$A71, LS_previous!$B$4:$B$138, 0), MATCH(AB$4&amp;AB$5, LS_previous!$D$2:$AY$2&amp;LS_previous!$D$3:$AY$3, 0)),SUM(VLOOKUP($A71, LS_previous!$B$4:$AY$138, LS_previous!T$149, FALSE), VLOOKUP('Staging Table'!$A71, LS_previous!$B$4:$AY$138,LS_previous!AR$149, FALSE))/2)</f>
        <v>4454.623447859829</v>
      </c>
      <c r="AC71" s="180">
        <f t="array" ref="AC71">IF($G71=0, INDEX(LS_previous!$D$4:$AY$138, MATCH('Staging Table'!$A71, LS_previous!$B$4:$B$138, 0), MATCH(AC$4&amp;AC$5, LS_previous!$D$2:$AY$2&amp;LS_previous!$D$3:$AY$3, 0)),SUM(VLOOKUP($A71, LS_previous!$B$4:$AY$138, LS_previous!U$149, FALSE), VLOOKUP('Staging Table'!$A71, LS_previous!$B$4:$AY$138,LS_previous!AS$149, FALSE))/2)</f>
        <v>8200.2131816893743</v>
      </c>
      <c r="AD71" s="180">
        <f t="array" ref="AD71">IF($G71=0, INDEX(LS_previous!$D$4:$AY$138, MATCH('Staging Table'!$A71, LS_previous!$B$4:$B$138, 0), MATCH(AD$4&amp;AD$5, LS_previous!$D$2:$AY$2&amp;LS_previous!$D$3:$AY$3, 0)),SUM(VLOOKUP($A71, LS_previous!$B$4:$AY$138, LS_previous!V$149, FALSE), VLOOKUP('Staging Table'!$A71, LS_previous!$B$4:$AY$138,LS_previous!AT$149, FALSE))/2)</f>
        <v>11482.627276845196</v>
      </c>
      <c r="AE71" s="180">
        <f t="array" ref="AE71">IF($G71=0, INDEX(LS_previous!$D$4:$AY$138, MATCH('Staging Table'!$A71, LS_previous!$B$4:$B$138, 0), MATCH(AE$4&amp;AE$5, LS_previous!$D$2:$AY$2&amp;LS_previous!$D$3:$AY$3, 0)),SUM(VLOOKUP($A71, LS_previous!$B$4:$AY$138, LS_previous!W$149, FALSE), VLOOKUP('Staging Table'!$A71, LS_previous!$B$4:$AY$138,LS_previous!AU$149, FALSE))/2)</f>
        <v>11579.889488169621</v>
      </c>
      <c r="AF71" s="180">
        <f t="array" ref="AF71">IF($G71=0, INDEX(LS_previous!$D$4:$AY$138, MATCH('Staging Table'!$A71, LS_previous!$B$4:$B$138, 0), MATCH(AF$4&amp;AF$5, LS_previous!$D$2:$AY$2&amp;LS_previous!$D$3:$AY$3, 0)),SUM(VLOOKUP($A71, LS_previous!$B$4:$AY$138, LS_previous!X$149, FALSE), VLOOKUP('Staging Table'!$A71, LS_previous!$B$4:$AY$138,LS_previous!AV$149, FALSE))/2)</f>
        <v>11339.255532711688</v>
      </c>
      <c r="AG71" s="180">
        <f t="array" ref="AG71">IF($G71=0, INDEX(LS_previous!$D$4:$AY$138, MATCH('Staging Table'!$A71, LS_previous!$B$4:$B$138, 0), MATCH(AG$4&amp;AG$5, LS_previous!$D$2:$AY$2&amp;LS_previous!$D$3:$AY$3, 0)),SUM(VLOOKUP($A71, LS_previous!$B$4:$AY$138, LS_previous!Y$149, FALSE), VLOOKUP('Staging Table'!$A71, LS_previous!$B$4:$AY$138,LS_previous!AW$149, FALSE))/2)</f>
        <v>10280.395481135565</v>
      </c>
      <c r="AH71" s="180">
        <f t="array" ref="AH71">IF($G71=0, INDEX(LS_previous!$D$4:$AY$138, MATCH('Staging Table'!$A71, LS_previous!$B$4:$B$138, 0), MATCH(AH$4&amp;AH$5, LS_previous!$D$2:$AY$2&amp;LS_previous!$D$3:$AY$3, 0)),SUM(VLOOKUP($A71, LS_previous!$B$4:$AY$138, LS_previous!Z$149, FALSE), VLOOKUP('Staging Table'!$A71, LS_previous!$B$4:$AY$138,LS_previous!AX$149, FALSE))/2)</f>
        <v>3199.4179185386092</v>
      </c>
      <c r="AI71" s="180">
        <f t="array" ref="AI71">IF($G71=0, INDEX(LS_previous!$D$4:$AY$138, MATCH('Staging Table'!$A71, LS_previous!$B$4:$B$138, 0), MATCH(AI$4&amp;AI$5, LS_previous!$D$2:$AY$2&amp;LS_previous!$D$3:$AY$3, 0)),SUM(VLOOKUP($A71, LS_previous!$B$4:$AY$138, LS_previous!AA$149, FALSE), VLOOKUP('Staging Table'!$A71, LS_previous!$B$4:$AY$138,LS_previous!AY$149, FALSE))/2)</f>
        <v>6252.3166885391129</v>
      </c>
      <c r="AJ71" s="298">
        <f t="array" ref="AJ71">INDEX(Demand_previous!$D$4:$AY$138, MATCH('Staging Table'!$A71, Demand_previous!$B$4:$B$138, 0), MATCH(AJ$4&amp;AJ$5,Demand_previous!$D$2:$AY$2&amp;Demand_previous!$D$3:$AY$3, 0))/1000</f>
        <v>6.9192956730769257</v>
      </c>
      <c r="AK71" s="298">
        <f t="array" ref="AK71">INDEX(Demand_previous!$D$4:$AY$138, MATCH('Staging Table'!$A71, Demand_previous!$B$4:$B$138, 0), MATCH(AK$4&amp;AK$5,Demand_previous!$D$2:$AY$2&amp;Demand_previous!$D$3:$AY$3, 0))/1000</f>
        <v>3.2613225000000026</v>
      </c>
      <c r="AL71" s="298">
        <f t="array" ref="AL71">INDEX(Demand_previous!$D$4:$AY$138, MATCH('Staging Table'!$A71, Demand_previous!$B$4:$B$138, 0), MATCH(AL$4&amp;AL$5,Demand_previous!$D$2:$AY$2&amp;Demand_previous!$D$3:$AY$3, 0))/1000</f>
        <v>3.9315817307692305</v>
      </c>
      <c r="AM71" s="298">
        <f t="array" ref="AM71">INDEX(Demand_previous!$D$4:$AY$138, MATCH('Staging Table'!$A71, Demand_previous!$B$4:$B$138, 0), MATCH(AM$4&amp;AM$5,Demand_previous!$D$2:$AY$2&amp;Demand_previous!$D$3:$AY$3, 0))/1000</f>
        <v>3.3867500000003485E-2</v>
      </c>
      <c r="AN71" s="298">
        <f t="array" ref="AN71">INDEX(Demand_previous!$D$4:$AY$138, MATCH('Staging Table'!$A71, Demand_previous!$B$4:$B$138, 0), MATCH(AN$4&amp;AN$5,Demand_previous!$D$2:$AY$2&amp;Demand_previous!$D$3:$AY$3, 0))/1000</f>
        <v>0.20725260416666602</v>
      </c>
      <c r="AO71" s="298">
        <f t="array" ref="AO71">INDEX(Demand_previous!$D$4:$AY$138, MATCH('Staging Table'!$A71, Demand_previous!$B$4:$B$138, 0), MATCH(AO$4&amp;AO$5,Demand_previous!$D$2:$AY$2&amp;Demand_previous!$D$3:$AY$3, 0))/1000</f>
        <v>0.51750925925925895</v>
      </c>
      <c r="AP71" s="298">
        <f t="array" ref="AP71">INDEX(Demand_previous!$D$4:$AY$138, MATCH('Staging Table'!$A71, Demand_previous!$B$4:$B$138, 0), MATCH(AP$4&amp;AP$5,Demand_previous!$D$2:$AY$2&amp;Demand_previous!$D$3:$AY$3, 0))/1000</f>
        <v>3.2562187499999897</v>
      </c>
      <c r="AQ71" s="298">
        <f t="array" ref="AQ71">INDEX(Demand_previous!$D$4:$AY$138, MATCH('Staging Table'!$A71, Demand_previous!$B$4:$B$138, 0), MATCH(AQ$4&amp;AQ$5,Demand_previous!$D$2:$AY$2&amp;Demand_previous!$D$3:$AY$3, 0))/1000</f>
        <v>0</v>
      </c>
      <c r="AR71" s="298">
        <f t="array" ref="AR71">INDEX(Demand_previous!$D$4:$AY$138, MATCH('Staging Table'!$A71, Demand_previous!$B$4:$B$138, 0), MATCH(AR$4&amp;AR$5,Demand_previous!$D$2:$AY$2&amp;Demand_previous!$D$3:$AY$3, 0))/1000</f>
        <v>11.284495192307686</v>
      </c>
      <c r="AS71" s="298">
        <f t="array" ref="AS71">INDEX(Demand_previous!$D$4:$AY$138, MATCH('Staging Table'!$A71, Demand_previous!$B$4:$B$138, 0), MATCH(AS$4&amp;AS$5,Demand_previous!$D$2:$AY$2&amp;Demand_previous!$D$3:$AY$3, 0))/1000</f>
        <v>0</v>
      </c>
      <c r="AT71" s="298">
        <f t="array" ref="AT71">INDEX(Demand_previous!$D$4:$AY$138, MATCH('Staging Table'!$A71, Demand_previous!$B$4:$B$138, 0), MATCH(AT$4&amp;AT$5,Demand_previous!$D$2:$AY$2&amp;Demand_previous!$D$3:$AY$3, 0))/1000</f>
        <v>4.2347916666666734</v>
      </c>
      <c r="AU71" s="298">
        <f t="array" ref="AU71">INDEX(Demand_previous!$D$4:$AY$138, MATCH('Staging Table'!$A71, Demand_previous!$B$4:$B$138, 0), MATCH(AU$4&amp;AU$5,Demand_previous!$D$2:$AY$2&amp;Demand_previous!$D$3:$AY$3, 0))/1000</f>
        <v>8.2507424999999905</v>
      </c>
      <c r="AV71" s="180">
        <f>$F71*(VLOOKUP(AV$4, Rates_previous!$G$6:$Q$29, 10, FALSE)+VLOOKUP(AV$4, Rates_previous!$G$6:$Q$29, 11, FALSE))</f>
        <v>14672.289091256311</v>
      </c>
      <c r="AW71" s="180">
        <f>$F71*(VLOOKUP(AW$4, Rates_previous!$G$6:$Q$29, 10, FALSE)+VLOOKUP(AW$4, Rates_previous!$G$6:$Q$29, 11, FALSE))</f>
        <v>18575.650483545291</v>
      </c>
      <c r="AX71" s="180">
        <f>$F71*(VLOOKUP(AX$4, Rates_previous!$G$6:$Q$29, 10, FALSE)+VLOOKUP(AX$4, Rates_previous!$G$6:$Q$29, 11, FALSE))</f>
        <v>18181.850720201957</v>
      </c>
      <c r="AY71" s="180">
        <f>$F71*(VLOOKUP(AY$4, Rates_previous!$G$6:$Q$29, 10, FALSE)+VLOOKUP(AY$4, Rates_previous!$G$6:$Q$29, 11, FALSE))</f>
        <v>15017.435514559504</v>
      </c>
      <c r="AZ71" s="180">
        <f>$F71*(VLOOKUP(AZ$4, Rates_previous!$G$6:$Q$29, 10, FALSE)+VLOOKUP(AZ$4, Rates_previous!$G$6:$Q$29, 11, FALSE))</f>
        <v>13015.940498928074</v>
      </c>
      <c r="BA71" s="180">
        <f>$F71*(VLOOKUP(BA$4, Rates_previous!$G$6:$Q$29, 10, FALSE)+VLOOKUP(BA$4, Rates_previous!$G$6:$Q$29, 11, FALSE))</f>
        <v>15538.40452649771</v>
      </c>
      <c r="BB71" s="180">
        <f>$F71*(VLOOKUP(BB$4, Rates_previous!$G$6:$Q$29, 10, FALSE)+VLOOKUP(BB$4, Rates_previous!$G$6:$Q$29, 11, FALSE))</f>
        <v>12063.502504132664</v>
      </c>
      <c r="BC71" s="180">
        <f>$F71*(VLOOKUP(BC$4, Rates_previous!$G$6:$Q$29, 10, FALSE)+VLOOKUP(BC$4, Rates_previous!$G$6:$Q$29, 11, FALSE))</f>
        <v>16714.071494599222</v>
      </c>
      <c r="BD71" s="180">
        <f>$F71*(VLOOKUP(BD$4, Rates_previous!$G$6:$Q$29, 10, FALSE)+VLOOKUP(BD$4, Rates_previous!$G$6:$Q$29, 11, FALSE))</f>
        <v>17859.335370450797</v>
      </c>
      <c r="BE71" s="180">
        <f>$F71*(VLOOKUP(BE$4, Rates_previous!$G$6:$Q$29, 10, FALSE)+VLOOKUP(BE$4, Rates_previous!$G$6:$Q$29, 11, FALSE))</f>
        <v>16956.630234985187</v>
      </c>
      <c r="BF71" s="180">
        <f>$F71*(VLOOKUP(BF$4, Rates_previous!$G$6:$Q$29, 10, FALSE)+VLOOKUP(BF$4, Rates_previous!$G$6:$Q$29, 11, FALSE))</f>
        <v>16387.274986152745</v>
      </c>
      <c r="BG71" s="180">
        <f>$F71*(VLOOKUP(BG$4, Rates_previous!$G$6:$Q$29, 10, FALSE)+VLOOKUP(BG$4, Rates_previous!$G$6:$Q$29, 11, FALSE))</f>
        <v>15143.550392922281</v>
      </c>
      <c r="BH71" s="298">
        <f>IF($D71=0,IF(C71=0, MAX(BJ71 - (VLOOKUP($A71,TOCA_previous!$A$2:$AI$137,MATCH("RHWM 2022",TOCA_previous!$A$2:$AI$2,0),FALSE)*$F$2*TOCA_previous!C68),0),0), 0)</f>
        <v>14342.910725764319</v>
      </c>
      <c r="BI71" s="192">
        <f>MIN(VLOOKUP($A71,TOCA_previous!$A$2:$AI$137,MATCH("TRL - NLSL - Existing Resource "&amp;$F$1,TOCA_previous!$A$2:$AI$2,0),FALSE)*$F$2,(VLOOKUP($A71,TOCA_previous!$A$2:$AI$137,MATCH("RHWM 2022",TOCA_previous!$A$2:$AI$2,0),FALSE)*$F$2))</f>
        <v>190127.04</v>
      </c>
      <c r="BJ71" s="402">
        <f>SUM(L71:AI71)+(F71*RT1SC!$C$3*$F$2)</f>
        <v>204469.95072576433</v>
      </c>
      <c r="BK71" s="401">
        <f>VLOOKUP($A71,TOCA_previous!$A$2:$AI$137,MATCH("Above RHWM Not Served with LS "&amp;$F$1,TOCA_previous!$A$2:$AI$2,0),FALSE)*$F$2</f>
        <v>43519.68</v>
      </c>
      <c r="BL71" s="402">
        <f t="shared" ref="BL71:BL134" si="27">BJ71-BI71</f>
        <v>14342.910725764319</v>
      </c>
      <c r="BM71" s="401">
        <f>(VLOOKUP($A71,TOCA_previous!$A$2:$AI$137,MATCH("RHWM 2022",TOCA_previous!$A$2:$AI$2,0),FALSE)*$F$2) - $BI71</f>
        <v>0</v>
      </c>
      <c r="BN71" s="402">
        <f t="shared" ref="BN71:BN134" si="28">IF(BL71&gt;0,IF(BM71&gt;0,(-1)*MIN(BL71,BM71),0),0)</f>
        <v>0</v>
      </c>
      <c r="BO71" s="401">
        <f t="shared" ref="BO71:BO134" si="29">IF(BL71&lt;0,IF(BK71&lt;ABS(BL71),MAX(0,ABS($BL71)-(BK71)),0),0)</f>
        <v>0</v>
      </c>
      <c r="BP71" s="402">
        <f t="shared" ref="BP71:BP134" si="30">IF(AND(BK71&gt;0,BM71&gt;0),IF(AND(BL71&lt;=0,ABS(BL71)&lt;BK71),(-1)*MIN(BK71,BK71-ABS(BL71),BM71),IF(AND(BL71&gt;0,BL71&lt;BM71),(-1)*MIN(BK71,BM71-BL71),0)),0)</f>
        <v>0</v>
      </c>
      <c r="BQ71" s="401">
        <f t="shared" si="21"/>
        <v>0</v>
      </c>
      <c r="BR71" s="108">
        <f>VLOOKUP($A71,TOCA_current!$A$2:$AI$137,MATCH(BR$4,TOCA_current!$A$2:$AI$2,0),FALSE)</f>
        <v>3.2212999999999999E-3</v>
      </c>
      <c r="BS71" s="108">
        <f>VLOOKUP($A71,TOCA_current!$A$2:$AI$137,MATCH(BS$4,TOCA_current!$A$2:$AI$2,0),FALSE)</f>
        <v>3.2212999999999999E-3</v>
      </c>
      <c r="BT71" s="189">
        <f t="shared" ref="BT71:BT134" si="31">BR71-BS71</f>
        <v>0</v>
      </c>
      <c r="BU71" s="108">
        <f>VLOOKUP($A71,TOCA_current!A67:BG202,MATCH(BU$4,TOCA_current!$A$2:$BG$2,0),FALSE)</f>
        <v>8.6856238737748878E-2</v>
      </c>
      <c r="BV71" s="108">
        <f t="shared" si="22"/>
        <v>0</v>
      </c>
      <c r="BW71" s="108">
        <f t="shared" si="23"/>
        <v>0</v>
      </c>
      <c r="BX71" s="179">
        <f>VLOOKUP($A71,IRD!$A$4:$G$139, 7, FALSE)</f>
        <v>99899.204999999987</v>
      </c>
      <c r="BY71" s="180">
        <f t="array" ref="BY71">IF($BT71=0, INDEX(LS_current!$D$4:$AY$138, MATCH('Staging Table'!$A71, LS_current!$B$4:$B$138, 0), MATCH(BY$4&amp;BY$5, LS_current!$D$2:$AY$2&amp;LS_current!$D$3:$AY$3, 0)),SUM(VLOOKUP($A71, LS_current!$B$4:$AY$138, LS_current!D$148, FALSE), VLOOKUP($A71, LS_current!$B$4:$AY$138,LS_current!AB$148, FALSE))/2)</f>
        <v>-4282.7909731668015</v>
      </c>
      <c r="BZ71" s="180">
        <f t="array" ref="BZ71">IF($BT71=0, INDEX(LS_current!$D$4:$AY$138, MATCH('Staging Table'!$A71, LS_current!$B$4:$B$138, 0), MATCH(BZ$4&amp;BZ$5, LS_current!$D$2:$AY$2&amp;LS_current!$D$3:$AY$3, 0)),SUM(VLOOKUP($A71, LS_current!$B$4:$AY$138, LS_current!E$148, FALSE), VLOOKUP($A71, LS_current!$B$4:$AY$138,LS_current!AC$148, FALSE))/2)</f>
        <v>-2485.53258375315</v>
      </c>
      <c r="CA71" s="180">
        <f t="array" ref="CA71">IF($BT71=0, INDEX(LS_current!$D$4:$AY$138, MATCH('Staging Table'!$A71, LS_current!$B$4:$B$138, 0), MATCH(CA$4&amp;CA$5, LS_current!$D$2:$AY$2&amp;LS_current!$D$3:$AY$3, 0)),SUM(VLOOKUP($A71, LS_current!$B$4:$AY$138, LS_current!F$148, FALSE), VLOOKUP($A71, LS_current!$B$4:$AY$138,LS_current!AD$148, FALSE))/2)</f>
        <v>-8211.2220296863998</v>
      </c>
      <c r="CB71" s="180">
        <f t="array" ref="CB71">IF($BT71=0, INDEX(LS_current!$D$4:$AY$138, MATCH('Staging Table'!$A71, LS_current!$B$4:$B$138, 0), MATCH(CB$4&amp;CB$5, LS_current!$D$2:$AY$2&amp;LS_current!$D$3:$AY$3, 0)),SUM(VLOOKUP($A71, LS_current!$B$4:$AY$138, LS_current!G$148, FALSE), VLOOKUP($A71, LS_current!$B$4:$AY$138,LS_current!AE$148, FALSE))/2)</f>
        <v>-4934.8978340403</v>
      </c>
      <c r="CC71" s="180">
        <f t="array" ref="CC71">IF($BT71=0, INDEX(LS_current!$D$4:$AY$138, MATCH('Staging Table'!$A71, LS_current!$B$4:$B$138, 0), MATCH(CC$4&amp;CC$5, LS_current!$D$2:$AY$2&amp;LS_current!$D$3:$AY$3, 0)),SUM(VLOOKUP($A71, LS_current!$B$4:$AY$138, LS_current!H$148, FALSE), VLOOKUP($A71, LS_current!$B$4:$AY$138,LS_current!AF$148, FALSE))/2)</f>
        <v>-8097.7587110407003</v>
      </c>
      <c r="CD71" s="180">
        <f t="array" ref="CD71">IF($BT71=0, INDEX(LS_current!$D$4:$AY$138, MATCH('Staging Table'!$A71, LS_current!$B$4:$B$138, 0), MATCH(CD$4&amp;CD$5, LS_current!$D$2:$AY$2&amp;LS_current!$D$3:$AY$3, 0)),SUM(VLOOKUP($A71, LS_current!$B$4:$AY$138, LS_current!I$148, FALSE), VLOOKUP($A71, LS_current!$B$4:$AY$138,LS_current!AG$148, FALSE))/2)</f>
        <v>-4588.5174929247996</v>
      </c>
      <c r="CE71" s="180">
        <f t="array" ref="CE71">IF($BT71=0, INDEX(LS_current!$D$4:$AY$138, MATCH('Staging Table'!$A71, LS_current!$B$4:$B$138, 0), MATCH(CE$4&amp;CE$5, LS_current!$D$2:$AY$2&amp;LS_current!$D$3:$AY$3, 0)),SUM(VLOOKUP($A71, LS_current!$B$4:$AY$138, LS_current!J$148, FALSE), VLOOKUP($A71, LS_current!$B$4:$AY$138,LS_current!AH$148, FALSE))/2)</f>
        <v>-9474.5947215294982</v>
      </c>
      <c r="CF71" s="180">
        <f t="array" ref="CF71">IF($BT71=0, INDEX(LS_current!$D$4:$AY$138, MATCH('Staging Table'!$A71, LS_current!$B$4:$B$138, 0), MATCH(CF$4&amp;CF$5, LS_current!$D$2:$AY$2&amp;LS_current!$D$3:$AY$3, 0)),SUM(VLOOKUP($A71, LS_current!$B$4:$AY$138, LS_current!K$148, FALSE), VLOOKUP($A71, LS_current!$B$4:$AY$138,LS_current!AI$148, FALSE))/2)</f>
        <v>-5309.6210328176985</v>
      </c>
      <c r="CG71" s="180">
        <f t="array" ref="CG71">IF($BT71=0, INDEX(LS_current!$D$4:$AY$138, MATCH('Staging Table'!$A71, LS_current!$B$4:$B$138, 0), MATCH(CG$4&amp;CG$5, LS_current!$D$2:$AY$2&amp;LS_current!$D$3:$AY$3, 0)),SUM(VLOOKUP($A71, LS_current!$B$4:$AY$138, LS_current!L$148, FALSE), VLOOKUP($A71, LS_current!$B$4:$AY$138,LS_current!AJ$148, FALSE))/2)</f>
        <v>-9036.8857250226993</v>
      </c>
      <c r="CH71" s="180">
        <f t="array" ref="CH71">IF($BT71=0, INDEX(LS_current!$D$4:$AY$138, MATCH('Staging Table'!$A71, LS_current!$B$4:$B$138, 0), MATCH(CH$4&amp;CH$5, LS_current!$D$2:$AY$2&amp;LS_current!$D$3:$AY$3, 0)),SUM(VLOOKUP($A71, LS_current!$B$4:$AY$138, LS_current!M$148, FALSE), VLOOKUP($A71, LS_current!$B$4:$AY$138,LS_current!AK$148, FALSE))/2)</f>
        <v>-4829.3541805267005</v>
      </c>
      <c r="CI71" s="180">
        <f t="array" ref="CI71">IF($BT71=0, INDEX(LS_current!$D$4:$AY$138, MATCH('Staging Table'!$A71, LS_current!$B$4:$B$138, 0), MATCH(CI$4&amp;CI$5, LS_current!$D$2:$AY$2&amp;LS_current!$D$3:$AY$3, 0)),SUM(VLOOKUP($A71, LS_current!$B$4:$AY$138, LS_current!N$148, FALSE), VLOOKUP($A71, LS_current!$B$4:$AY$138,LS_current!AL$148, FALSE))/2)</f>
        <v>-9623.5084387068982</v>
      </c>
      <c r="CJ71" s="180">
        <f t="array" ref="CJ71">IF($BT71=0, INDEX(LS_current!$D$4:$AY$138, MATCH('Staging Table'!$A71, LS_current!$B$4:$B$138, 0), MATCH(CJ$4&amp;CJ$5, LS_current!$D$2:$AY$2&amp;LS_current!$D$3:$AY$3, 0)),SUM(VLOOKUP($A71, LS_current!$B$4:$AY$138, LS_current!O$148, FALSE), VLOOKUP($A71, LS_current!$B$4:$AY$138,LS_current!AM$148, FALSE))/2)</f>
        <v>-5882.3454734713987</v>
      </c>
      <c r="CK71" s="180">
        <f t="array" ref="CK71">IF($BT71=0, INDEX(LS_current!$D$4:$AY$138, MATCH('Staging Table'!$A71, LS_current!$B$4:$B$138, 0), MATCH(CK$4&amp;CK$5, LS_current!$D$2:$AY$2&amp;LS_current!$D$3:$AY$3, 0)),SUM(VLOOKUP($A71, LS_current!$B$4:$AY$138, LS_current!P$148, FALSE), VLOOKUP($A71, LS_current!$B$4:$AY$138,LS_current!AN$148, FALSE))/2)</f>
        <v>-2947.4471736607466</v>
      </c>
      <c r="CL71" s="180">
        <f t="array" ref="CL71">IF($BT71=0, INDEX(LS_current!$D$4:$AY$138, MATCH('Staging Table'!$A71, LS_current!$B$4:$B$138, 0), MATCH(CL$4&amp;CL$5, LS_current!$D$2:$AY$2&amp;LS_current!$D$3:$AY$3, 0)),SUM(VLOOKUP($A71, LS_current!$B$4:$AY$138, LS_current!Q$148, FALSE), VLOOKUP($A71, LS_current!$B$4:$AY$138,LS_current!AO$148, FALSE))/2)</f>
        <v>-1836.4036243352748</v>
      </c>
      <c r="CM71" s="180">
        <f t="array" ref="CM71">IF($BT71=0, INDEX(LS_current!$D$4:$AY$138, MATCH('Staging Table'!$A71, LS_current!$B$4:$B$138, 0), MATCH(CM$4&amp;CM$5, LS_current!$D$2:$AY$2&amp;LS_current!$D$3:$AY$3, 0)),SUM(VLOOKUP($A71, LS_current!$B$4:$AY$138, LS_current!R$148, FALSE), VLOOKUP($A71, LS_current!$B$4:$AY$138,LS_current!AP$148, FALSE))/2)</f>
        <v>7113.6053875375983</v>
      </c>
      <c r="CN71" s="180">
        <f t="array" ref="CN71">IF($BT71=0, INDEX(LS_current!$D$4:$AY$138, MATCH('Staging Table'!$A71, LS_current!$B$4:$B$138, 0), MATCH(CN$4&amp;CN$5, LS_current!$D$2:$AY$2&amp;LS_current!$D$3:$AY$3, 0)),SUM(VLOOKUP($A71, LS_current!$B$4:$AY$138, LS_current!S$148, FALSE), VLOOKUP($A71, LS_current!$B$4:$AY$138,LS_current!AQ$148, FALSE))/2)</f>
        <v>6333.5611197239505</v>
      </c>
      <c r="CO71" s="180">
        <f t="array" ref="CO71">IF($BT71=0, INDEX(LS_current!$D$4:$AY$138, MATCH('Staging Table'!$A71, LS_current!$B$4:$B$138, 0), MATCH(CO$4&amp;CO$5, LS_current!$D$2:$AY$2&amp;LS_current!$D$3:$AY$3, 0)),SUM(VLOOKUP($A71, LS_current!$B$4:$AY$138, LS_current!T$148, FALSE), VLOOKUP($A71, LS_current!$B$4:$AY$138,LS_current!AR$148, FALSE))/2)</f>
        <v>5597.8124679762059</v>
      </c>
      <c r="CP71" s="180">
        <f t="array" ref="CP71">IF($BT71=0, INDEX(LS_current!$D$4:$AY$138, MATCH('Staging Table'!$A71, LS_current!$B$4:$B$138, 0), MATCH(CP$4&amp;CP$5, LS_current!$D$2:$AY$2&amp;LS_current!$D$3:$AY$3, 0)),SUM(VLOOKUP($A71, LS_current!$B$4:$AY$138, LS_current!U$148, FALSE), VLOOKUP($A71, LS_current!$B$4:$AY$138,LS_current!AS$148, FALSE))/2)</f>
        <v>6285.9782669391534</v>
      </c>
      <c r="CQ71" s="180">
        <f t="array" ref="CQ71">IF($BT71=0, INDEX(LS_current!$D$4:$AY$138, MATCH('Staging Table'!$A71, LS_current!$B$4:$B$138, 0), MATCH(CQ$4&amp;CQ$5, LS_current!$D$2:$AY$2&amp;LS_current!$D$3:$AY$3, 0)),SUM(VLOOKUP($A71, LS_current!$B$4:$AY$138, LS_current!V$148, FALSE), VLOOKUP($A71, LS_current!$B$4:$AY$138,LS_current!AT$148, FALSE))/2)</f>
        <v>12604.586578626799</v>
      </c>
      <c r="CR71" s="180">
        <f t="array" ref="CR71">IF($BT71=0, INDEX(LS_current!$D$4:$AY$138, MATCH('Staging Table'!$A71, LS_current!$B$4:$B$138, 0), MATCH(CR$4&amp;CR$5, LS_current!$D$2:$AY$2&amp;LS_current!$D$3:$AY$3, 0)),SUM(VLOOKUP($A71, LS_current!$B$4:$AY$138, LS_current!W$148, FALSE), VLOOKUP($A71, LS_current!$B$4:$AY$138,LS_current!AU$148, FALSE))/2)</f>
        <v>11179.929000034248</v>
      </c>
      <c r="CS71" s="180">
        <f t="array" ref="CS71">IF($BT71=0, INDEX(LS_current!$D$4:$AY$138, MATCH('Staging Table'!$A71, LS_current!$B$4:$B$138, 0), MATCH(CS$4&amp;CS$5, LS_current!$D$2:$AY$2&amp;LS_current!$D$3:$AY$3, 0)),SUM(VLOOKUP($A71, LS_current!$B$4:$AY$138, LS_current!X$148, FALSE), VLOOKUP($A71, LS_current!$B$4:$AY$138,LS_current!AV$148, FALSE))/2)</f>
        <v>12431.527870547048</v>
      </c>
      <c r="CT71" s="180">
        <f t="array" ref="CT71">IF($BT71=0, INDEX(LS_current!$D$4:$AY$138, MATCH('Staging Table'!$A71, LS_current!$B$4:$B$138, 0), MATCH(CT$4&amp;CT$5, LS_current!$D$2:$AY$2&amp;LS_current!$D$3:$AY$3, 0)),SUM(VLOOKUP($A71, LS_current!$B$4:$AY$138, LS_current!Y$148, FALSE), VLOOKUP($A71, LS_current!$B$4:$AY$138,LS_current!AW$148, FALSE))/2)</f>
        <v>9868.1777233791963</v>
      </c>
      <c r="CU71" s="180">
        <f t="array" ref="CU71">IF($BT71=0, INDEX(LS_current!$D$4:$AY$138, MATCH('Staging Table'!$A71, LS_current!$B$4:$B$138, 0), MATCH(CU$4&amp;CU$5, LS_current!$D$2:$AY$2&amp;LS_current!$D$3:$AY$3, 0)),SUM(VLOOKUP($A71, LS_current!$B$4:$AY$138, LS_current!Z$148, FALSE), VLOOKUP($A71, LS_current!$B$4:$AY$138,LS_current!AX$148, FALSE))/2)</f>
        <v>4323.8663379638019</v>
      </c>
      <c r="CV71" s="180">
        <f t="array" ref="CV71">IF($BT71=0, INDEX(LS_current!$D$4:$AY$138, MATCH('Staging Table'!$A71, LS_current!$B$4:$B$138, 0), MATCH(CV$4&amp;CV$5, LS_current!$D$2:$AY$2&amp;LS_current!$D$3:$AY$3, 0)),SUM(VLOOKUP($A71, LS_current!$B$4:$AY$138, LS_current!AA$148, FALSE), VLOOKUP($A71, LS_current!$B$4:$AY$138,LS_current!AY$148, FALSE))/2)</f>
        <v>5799.6571052847994</v>
      </c>
      <c r="CW71" s="182">
        <f t="array" ref="CW71">INDEX(Demand_current!$D$4:$AY$138, MATCH($A71, Demand_current!$B$4:$B$138, 0), MATCH(CW$4&amp;CW$5,Demand_current!$D$2:$AY$2&amp;Demand_current!$D$3:$AY$3, 0))/1000</f>
        <v>6.9192956730769257</v>
      </c>
      <c r="CX71" s="182">
        <f t="array" ref="CX71">INDEX(Demand_current!$D$4:$AY$138, MATCH($A71, Demand_current!$B$4:$B$138, 0), MATCH(CX$4&amp;CX$5,Demand_current!$D$2:$AY$2&amp;Demand_current!$D$3:$AY$3, 0))/1000</f>
        <v>3.2613225000000026</v>
      </c>
      <c r="CY71" s="182">
        <f t="array" ref="CY71">INDEX(Demand_current!$D$4:$AY$138, MATCH($A71, Demand_current!$B$4:$B$138, 0), MATCH(CY$4&amp;CY$5,Demand_current!$D$2:$AY$2&amp;Demand_current!$D$3:$AY$3, 0))/1000</f>
        <v>3.4090449999999999</v>
      </c>
      <c r="CZ71" s="182">
        <f t="array" ref="CZ71">INDEX(Demand_current!$D$4:$AY$138, MATCH($A71, Demand_current!$B$4:$B$138, 0), MATCH(CZ$4&amp;CZ$5,Demand_current!$D$2:$AY$2&amp;Demand_current!$D$3:$AY$3, 0))/1000</f>
        <v>0.49910336538461353</v>
      </c>
      <c r="DA71" s="182">
        <f t="array" ref="DA71">INDEX(Demand_current!$D$4:$AY$138, MATCH($A71, Demand_current!$B$4:$B$138, 0), MATCH(DA$4&amp;DA$5,Demand_current!$D$2:$AY$2&amp;Demand_current!$D$3:$AY$3, 0))/1000</f>
        <v>0.60152250000000196</v>
      </c>
      <c r="DB71" s="182">
        <f t="array" ref="DB71">INDEX(Demand_current!$D$4:$AY$138, MATCH($A71, Demand_current!$B$4:$B$138, 0), MATCH(DB$4&amp;DB$5,Demand_current!$D$2:$AY$2&amp;Demand_current!$D$3:$AY$3, 0))/1000</f>
        <v>0.18195192307692221</v>
      </c>
      <c r="DC71" s="182">
        <f t="array" ref="DC71">INDEX(Demand_current!$D$4:$AY$138, MATCH($A71, Demand_current!$B$4:$B$138, 0), MATCH(DC$4&amp;DC$5,Demand_current!$D$2:$AY$2&amp;Demand_current!$D$3:$AY$3, 0))/1000</f>
        <v>3.2562187499999933</v>
      </c>
      <c r="DD71" s="182">
        <f t="array" ref="DD71">INDEX(Demand_current!$D$4:$AY$138, MATCH($A71, Demand_current!$B$4:$B$138, 0), MATCH(DD$4&amp;DD$5,Demand_current!$D$2:$AY$2&amp;Demand_current!$D$3:$AY$3, 0))/1000</f>
        <v>0.38329086538461971</v>
      </c>
      <c r="DE71" s="182">
        <f t="array" ref="DE71">INDEX(Demand_current!$D$4:$AY$138, MATCH($A71, Demand_current!$B$4:$B$138, 0), MATCH(DE$4&amp;DE$5,Demand_current!$D$2:$AY$2&amp;Demand_current!$D$3:$AY$3, 0))/1000</f>
        <v>9.4328349999999883</v>
      </c>
      <c r="DF71" s="182">
        <f t="array" ref="DF71">INDEX(Demand_current!$D$4:$AY$138, MATCH($A71, Demand_current!$B$4:$B$138, 0), MATCH(DF$4&amp;DF$5,Demand_current!$D$2:$AY$2&amp;Demand_current!$D$3:$AY$3, 0))/1000</f>
        <v>2.1689230769230834</v>
      </c>
      <c r="DG71" s="182">
        <f t="array" ref="DG71">INDEX(Demand_current!$D$4:$AY$138, MATCH($A71, Demand_current!$B$4:$B$138, 0), MATCH(DG$4&amp;DG$5,Demand_current!$D$2:$AY$2&amp;Demand_current!$D$3:$AY$3, 0))/1000</f>
        <v>4.2347916666666734</v>
      </c>
      <c r="DH71" s="182">
        <f t="array" ref="DH71">INDEX(Demand_current!$D$4:$AY$138, MATCH($A71, Demand_current!$B$4:$B$138, 0), MATCH(DH$4&amp;DH$5,Demand_current!$D$2:$AY$2&amp;Demand_current!$D$3:$AY$3, 0))/1000</f>
        <v>6.7037317708333326</v>
      </c>
      <c r="DI71" s="180">
        <f>$BS71*(VLOOKUP(DI$4, Rates_current!$G$6:$Q$29, 10, FALSE)+VLOOKUP(DI$4, Rates_current!$G$6:$Q$29, 11, FALSE))</f>
        <v>13590.03255691995</v>
      </c>
      <c r="DJ71" s="180">
        <f>$BS71*(VLOOKUP(DJ$4, Rates_current!$G$6:$Q$29, 10, FALSE)+VLOOKUP(DJ$4, Rates_current!$G$6:$Q$29, 11, FALSE))</f>
        <v>17331.772863726703</v>
      </c>
      <c r="DK71" s="180">
        <f>$BS71*(VLOOKUP(DK$4, Rates_current!$G$6:$Q$29, 10, FALSE)+VLOOKUP(DK$4, Rates_current!$G$6:$Q$29, 11, FALSE))</f>
        <v>18704.412203965501</v>
      </c>
      <c r="DL71" s="180">
        <f>$BS71*(VLOOKUP(DL$4, Rates_current!$G$6:$Q$29, 10, FALSE)+VLOOKUP(DL$4, Rates_current!$G$6:$Q$29, 11, FALSE))</f>
        <v>19436.7757543472</v>
      </c>
      <c r="DM71" s="180">
        <f>$BS71*(VLOOKUP(DM$4, Rates_current!$G$6:$Q$29, 10, FALSE)+VLOOKUP(DM$4, Rates_current!$G$6:$Q$29, 11, FALSE))</f>
        <v>16718.217905549398</v>
      </c>
      <c r="DN71" s="180">
        <f>$BS71*(VLOOKUP(DN$4, Rates_current!$G$6:$Q$29, 10, FALSE)+VLOOKUP(DN$4, Rates_current!$G$6:$Q$29, 11, FALSE))</f>
        <v>18252.983912178297</v>
      </c>
      <c r="DO71" s="180">
        <f>$BS71*(VLOOKUP(DO$4, Rates_current!$G$6:$Q$29, 10, FALSE)+VLOOKUP(DO$4, Rates_current!$G$6:$Q$29, 11, FALSE))</f>
        <v>14407.654797996023</v>
      </c>
      <c r="DP71" s="180">
        <f>$BS71*(VLOOKUP(DP$4, Rates_current!$G$6:$Q$29, 10, FALSE)+VLOOKUP(DP$4, Rates_current!$G$6:$Q$29, 11, FALSE))</f>
        <v>17874.626492738451</v>
      </c>
      <c r="DQ71" s="180">
        <f>$BS71*(VLOOKUP(DQ$4, Rates_current!$G$6:$Q$29, 10, FALSE)+VLOOKUP(DQ$4, Rates_current!$G$6:$Q$29, 11, FALSE))</f>
        <v>18262.461265084647</v>
      </c>
      <c r="DR71" s="180">
        <f>$BS71*(VLOOKUP(DR$4, Rates_current!$G$6:$Q$29, 10, FALSE)+VLOOKUP(DR$4, Rates_current!$G$6:$Q$29, 11, FALSE))</f>
        <v>15854.447421338949</v>
      </c>
      <c r="DS71" s="180">
        <f>$BS71*(VLOOKUP(DS$4, Rates_current!$G$6:$Q$29, 10, FALSE)+VLOOKUP(DS$4, Rates_current!$G$6:$Q$29, 11, FALSE))</f>
        <v>15327.036406073756</v>
      </c>
      <c r="DT71" s="180">
        <f>$BS71*(VLOOKUP(DT$4, Rates_current!$G$6:$Q$29, 10, FALSE)+VLOOKUP(DT$4, Rates_current!$G$6:$Q$29, 11, FALSE))</f>
        <v>14103.8415567514</v>
      </c>
      <c r="DU71" s="402">
        <f>IF(D71=0,IF(C71=0,MAX(0,DW71 - (VLOOKUP($A71,TOCA_current!$A$2:$AI$137,MATCH("RHWM 2024",TOCA_current!$A$2:$AI$2,0),FALSE)*$BS$2)), 0),0)</f>
        <v>0</v>
      </c>
      <c r="DV71" s="403">
        <f>MIN(VLOOKUP($A71,TOCA_current!$A$2:$AI$137,MATCH("TRL - NLSL - Existing Resource "&amp;$BS$1,TOCA_current!$A$2:$AI$2,0),FALSE)*$BS$2, VLOOKUP($A71,TOCA_current!$A$2:$AI$137,MATCH("RHWM 2024",TOCA_current!$A$2:$AI$2,0),FALSE)*$BS$2)</f>
        <v>199862.35200000001</v>
      </c>
      <c r="DW71" s="403">
        <f>SUM(BY71:CV71)+(BS71*RT1SC!$C$4*$BS$2)</f>
        <v>199862.08591613767</v>
      </c>
      <c r="DX71" s="403">
        <f>VLOOKUP($A71,TOCA_current!$A$2:$AI$137,MATCH("Above RHWM Not Served with LS "&amp;$BS$1,TOCA_current!$A$2:$AI$2,0),FALSE)*$BS$2</f>
        <v>48127.536</v>
      </c>
      <c r="DY71" s="403">
        <f t="shared" ref="DY71:DY134" si="32">DW71-DV71</f>
        <v>-0.26608386234147474</v>
      </c>
      <c r="DZ71" s="403">
        <f>(VLOOKUP($A71,TOCA_current!$A$2:$AI$137,MATCH("RHWM 2024",TOCA_current!$A$2:$AI$2,0),FALSE)*$BS$2) - $DV71</f>
        <v>0</v>
      </c>
      <c r="EA71" s="403">
        <f t="shared" ref="EA71:EA134" si="33">IF(DY71&gt;0,IF(DZ71&gt;0,(-1)*MIN(DY71,DZ71),0),0)</f>
        <v>0</v>
      </c>
      <c r="EB71" s="403">
        <f t="shared" ref="EB71:EB134" si="34">IF(DY71&lt;0,IF(DX71&lt;ABS(DY71),MAX(0,ABS($DY71)-(DX71)),0),0)</f>
        <v>0</v>
      </c>
      <c r="EC71" s="403">
        <f t="shared" ref="EC71:EC134" si="35">IF(AND(DX71&gt;0,DZ71&gt;0),IF(AND(DY71&lt;=0,ABS(DY71)&lt;DX71),(-1)*MIN(DX71,DX71-ABS(DY71),DZ71),IF(AND(DY71&gt;0,DY71&lt;DZ71),(-1)*MIN(DX71,DZ71-DY71),0)),0)</f>
        <v>0</v>
      </c>
      <c r="ED71" s="403">
        <f t="shared" ref="ED71:ED134" si="36">IF($D71=0,SUM(EA71:EC71),0)</f>
        <v>0</v>
      </c>
    </row>
    <row r="72" spans="1:134">
      <c r="A72" s="123">
        <v>10202</v>
      </c>
      <c r="B72" s="124" t="s">
        <v>73</v>
      </c>
      <c r="C72" s="232">
        <f>VLOOKUP(A72, TOCA_current!$A$3:$D$137, 4, FALSE)</f>
        <v>0</v>
      </c>
      <c r="D72" s="191">
        <v>0</v>
      </c>
      <c r="E72" s="107">
        <f>VLOOKUP($A72,TOCA_previous!$A$2:$AI$137,MATCH(E$4,TOCA_previous!$A$2:$AI$2,0),FALSE)</f>
        <v>1.8549E-3</v>
      </c>
      <c r="F72" s="108">
        <f>VLOOKUP($A72,TOCA_previous!$A$2:$AI$137,MATCH(F$4,TOCA_previous!$A$2:$AI$2,0),FALSE)</f>
        <v>1.8549E-3</v>
      </c>
      <c r="G72" s="108">
        <f t="shared" si="24"/>
        <v>0</v>
      </c>
      <c r="H72" s="108">
        <f>VLOOKUP($A72,TOCA_previous!$A$2:$AI$137,MATCH(H$4,TOCA_previous!$A$2:$AI$2,0),FALSE)</f>
        <v>0</v>
      </c>
      <c r="I72" s="108">
        <f t="shared" si="25"/>
        <v>0</v>
      </c>
      <c r="J72" s="108">
        <f t="shared" si="26"/>
        <v>0</v>
      </c>
      <c r="K72" s="179">
        <f>VLOOKUP(A72, IRD!$A$5:$C$139, 3, FALSE)</f>
        <v>0</v>
      </c>
      <c r="L72" s="180">
        <f t="array" ref="L72">IF($G72=0, INDEX(LS_previous!$D$4:$AY$138, MATCH('Staging Table'!$A72, LS_previous!$B$4:$B$138, 0), MATCH(L$4&amp;L$5, LS_previous!$D$2:$AY$2&amp;LS_previous!$D$3:$AY$3, 0)),SUM(VLOOKUP($A72, LS_previous!$B$4:$AY$138, LS_previous!D$149, FALSE), VLOOKUP('Staging Table'!$A72, LS_previous!$B$4:$AY$138,LS_previous!AB$149, FALSE))/2)</f>
        <v>1017.6361383131016</v>
      </c>
      <c r="M72" s="180">
        <f t="array" ref="M72">IF($G72=0, INDEX(LS_previous!$D$4:$AY$138, MATCH('Staging Table'!$A72, LS_previous!$B$4:$B$138, 0), MATCH(M$4&amp;M$5, LS_previous!$D$2:$AY$2&amp;LS_previous!$D$3:$AY$3, 0)),SUM(VLOOKUP($A72, LS_previous!$B$4:$AY$138, LS_previous!E$149, FALSE), VLOOKUP('Staging Table'!$A72, LS_previous!$B$4:$AY$138,LS_previous!AC$149, FALSE))/2)</f>
        <v>793.52745361360985</v>
      </c>
      <c r="N72" s="180">
        <f t="array" ref="N72">IF($G72=0, INDEX(LS_previous!$D$4:$AY$138, MATCH('Staging Table'!$A72, LS_previous!$B$4:$B$138, 0), MATCH(N$4&amp;N$5, LS_previous!$D$2:$AY$2&amp;LS_previous!$D$3:$AY$3, 0)),SUM(VLOOKUP($A72, LS_previous!$B$4:$AY$138, LS_previous!F$149, FALSE), VLOOKUP('Staging Table'!$A72, LS_previous!$B$4:$AY$138,LS_previous!AD$149, FALSE))/2)</f>
        <v>190.57050313660238</v>
      </c>
      <c r="O72" s="180">
        <f t="array" ref="O72">IF($G72=0, INDEX(LS_previous!$D$4:$AY$138, MATCH('Staging Table'!$A72, LS_previous!$B$4:$B$138, 0), MATCH(O$4&amp;O$5, LS_previous!$D$2:$AY$2&amp;LS_previous!$D$3:$AY$3, 0)),SUM(VLOOKUP($A72, LS_previous!$B$4:$AY$138, LS_previous!G$149, FALSE), VLOOKUP('Staging Table'!$A72, LS_previous!$B$4:$AY$138,LS_previous!AE$149, FALSE))/2)</f>
        <v>126.80073081598675</v>
      </c>
      <c r="P72" s="180">
        <f t="array" ref="P72">IF($G72=0, INDEX(LS_previous!$D$4:$AY$138, MATCH('Staging Table'!$A72, LS_previous!$B$4:$B$138, 0), MATCH(P$4&amp;P$5, LS_previous!$D$2:$AY$2&amp;LS_previous!$D$3:$AY$3, 0)),SUM(VLOOKUP($A72, LS_previous!$B$4:$AY$138, LS_previous!H$149, FALSE), VLOOKUP('Staging Table'!$A72, LS_previous!$B$4:$AY$138,LS_previous!AF$149, FALSE))/2)</f>
        <v>1715.6744625899501</v>
      </c>
      <c r="Q72" s="180">
        <f t="array" ref="Q72">IF($G72=0, INDEX(LS_previous!$D$4:$AY$138, MATCH('Staging Table'!$A72, LS_previous!$B$4:$B$138, 0), MATCH(Q$4&amp;Q$5, LS_previous!$D$2:$AY$2&amp;LS_previous!$D$3:$AY$3, 0)),SUM(VLOOKUP($A72, LS_previous!$B$4:$AY$138, LS_previous!I$149, FALSE), VLOOKUP('Staging Table'!$A72, LS_previous!$B$4:$AY$138,LS_previous!AG$149, FALSE))/2)</f>
        <v>882.69167164680221</v>
      </c>
      <c r="R72" s="180">
        <f t="array" ref="R72">IF($G72=0, INDEX(LS_previous!$D$4:$AY$138, MATCH('Staging Table'!$A72, LS_previous!$B$4:$B$138, 0), MATCH(R$4&amp;R$5, LS_previous!$D$2:$AY$2&amp;LS_previous!$D$3:$AY$3, 0)),SUM(VLOOKUP($A72, LS_previous!$B$4:$AY$138, LS_previous!J$149, FALSE), VLOOKUP('Staging Table'!$A72, LS_previous!$B$4:$AY$138,LS_previous!AH$149, FALSE))/2)</f>
        <v>3227.9617677218821</v>
      </c>
      <c r="S72" s="180">
        <f t="array" ref="S72">IF($G72=0, INDEX(LS_previous!$D$4:$AY$138, MATCH('Staging Table'!$A72, LS_previous!$B$4:$B$138, 0), MATCH(S$4&amp;S$5, LS_previous!$D$2:$AY$2&amp;LS_previous!$D$3:$AY$3, 0)),SUM(VLOOKUP($A72, LS_previous!$B$4:$AY$138, LS_previous!K$149, FALSE), VLOOKUP('Staging Table'!$A72, LS_previous!$B$4:$AY$138,LS_previous!AI$149, FALSE))/2)</f>
        <v>1296.4054395916824</v>
      </c>
      <c r="T72" s="180">
        <f t="array" ref="T72">IF($G72=0, INDEX(LS_previous!$D$4:$AY$138, MATCH('Staging Table'!$A72, LS_previous!$B$4:$B$138, 0), MATCH(T$4&amp;T$5, LS_previous!$D$2:$AY$2&amp;LS_previous!$D$3:$AY$3, 0)),SUM(VLOOKUP($A72, LS_previous!$B$4:$AY$138, LS_previous!L$149, FALSE), VLOOKUP('Staging Table'!$A72, LS_previous!$B$4:$AY$138,LS_previous!AJ$149, FALSE))/2)</f>
        <v>2183.4604933273013</v>
      </c>
      <c r="U72" s="180">
        <f t="array" ref="U72">IF($G72=0, INDEX(LS_previous!$D$4:$AY$138, MATCH('Staging Table'!$A72, LS_previous!$B$4:$B$138, 0), MATCH(U$4&amp;U$5, LS_previous!$D$2:$AY$2&amp;LS_previous!$D$3:$AY$3, 0)),SUM(VLOOKUP($A72, LS_previous!$B$4:$AY$138, LS_previous!M$149, FALSE), VLOOKUP('Staging Table'!$A72, LS_previous!$B$4:$AY$138,LS_previous!AK$149, FALSE))/2)</f>
        <v>646.65480331080516</v>
      </c>
      <c r="V72" s="180">
        <f t="array" ref="V72">IF($G72=0, INDEX(LS_previous!$D$4:$AY$138, MATCH('Staging Table'!$A72, LS_previous!$B$4:$B$138, 0), MATCH(V$4&amp;V$5, LS_previous!$D$2:$AY$2&amp;LS_previous!$D$3:$AY$3, 0)),SUM(VLOOKUP($A72, LS_previous!$B$4:$AY$138, LS_previous!N$149, FALSE), VLOOKUP('Staging Table'!$A72, LS_previous!$B$4:$AY$138,LS_previous!AL$149, FALSE))/2)</f>
        <v>750.78037274229882</v>
      </c>
      <c r="W72" s="180">
        <f t="array" ref="W72">IF($G72=0, INDEX(LS_previous!$D$4:$AY$138, MATCH('Staging Table'!$A72, LS_previous!$B$4:$B$138, 0), MATCH(W$4&amp;W$5, LS_previous!$D$2:$AY$2&amp;LS_previous!$D$3:$AY$3, 0)),SUM(VLOOKUP($A72, LS_previous!$B$4:$AY$138, LS_previous!O$149, FALSE), VLOOKUP('Staging Table'!$A72, LS_previous!$B$4:$AY$138,LS_previous!AM$149, FALSE))/2)</f>
        <v>426.21553870728076</v>
      </c>
      <c r="X72" s="180">
        <f t="array" ref="X72">IF($G72=0, INDEX(LS_previous!$D$4:$AY$138, MATCH('Staging Table'!$A72, LS_previous!$B$4:$B$138, 0), MATCH(X$4&amp;X$5, LS_previous!$D$2:$AY$2&amp;LS_previous!$D$3:$AY$3, 0)),SUM(VLOOKUP($A72, LS_previous!$B$4:$AY$138, LS_previous!P$149, FALSE), VLOOKUP('Staging Table'!$A72, LS_previous!$B$4:$AY$138,LS_previous!AN$149, FALSE))/2)</f>
        <v>1208.1709430544188</v>
      </c>
      <c r="Y72" s="180">
        <f t="array" ref="Y72">IF($G72=0, INDEX(LS_previous!$D$4:$AY$138, MATCH('Staging Table'!$A72, LS_previous!$B$4:$B$138, 0), MATCH(Y$4&amp;Y$5, LS_previous!$D$2:$AY$2&amp;LS_previous!$D$3:$AY$3, 0)),SUM(VLOOKUP($A72, LS_previous!$B$4:$AY$138, LS_previous!Q$149, FALSE), VLOOKUP('Staging Table'!$A72, LS_previous!$B$4:$AY$138,LS_previous!AO$149, FALSE))/2)</f>
        <v>319.59632935761147</v>
      </c>
      <c r="Z72" s="180">
        <f t="array" ref="Z72">IF($G72=0, INDEX(LS_previous!$D$4:$AY$138, MATCH('Staging Table'!$A72, LS_previous!$B$4:$B$138, 0), MATCH(Z$4&amp;Z$5, LS_previous!$D$2:$AY$2&amp;LS_previous!$D$3:$AY$3, 0)),SUM(VLOOKUP($A72, LS_previous!$B$4:$AY$138, LS_previous!R$149, FALSE), VLOOKUP('Staging Table'!$A72, LS_previous!$B$4:$AY$138,LS_previous!AP$149, FALSE))/2)</f>
        <v>-1894.8318745428096</v>
      </c>
      <c r="AA72" s="180">
        <f t="array" ref="AA72">IF($G72=0, INDEX(LS_previous!$D$4:$AY$138, MATCH('Staging Table'!$A72, LS_previous!$B$4:$B$138, 0), MATCH(AA$4&amp;AA$5, LS_previous!$D$2:$AY$2&amp;LS_previous!$D$3:$AY$3, 0)),SUM(VLOOKUP($A72, LS_previous!$B$4:$AY$138, LS_previous!S$149, FALSE), VLOOKUP('Staging Table'!$A72, LS_previous!$B$4:$AY$138,LS_previous!AQ$149, FALSE))/2)</f>
        <v>-710.96572430634615</v>
      </c>
      <c r="AB72" s="180">
        <f t="array" ref="AB72">IF($G72=0, INDEX(LS_previous!$D$4:$AY$138, MATCH('Staging Table'!$A72, LS_previous!$B$4:$B$138, 0), MATCH(AB$4&amp;AB$5, LS_previous!$D$2:$AY$2&amp;LS_previous!$D$3:$AY$3, 0)),SUM(VLOOKUP($A72, LS_previous!$B$4:$AY$138, LS_previous!T$149, FALSE), VLOOKUP('Staging Table'!$A72, LS_previous!$B$4:$AY$138,LS_previous!AR$149, FALSE))/2)</f>
        <v>-3010.148260177164</v>
      </c>
      <c r="AC72" s="180">
        <f t="array" ref="AC72">IF($G72=0, INDEX(LS_previous!$D$4:$AY$138, MATCH('Staging Table'!$A72, LS_previous!$B$4:$B$138, 0), MATCH(AC$4&amp;AC$5, LS_previous!$D$2:$AY$2&amp;LS_previous!$D$3:$AY$3, 0)),SUM(VLOOKUP($A72, LS_previous!$B$4:$AY$138, LS_previous!U$149, FALSE), VLOOKUP('Staging Table'!$A72, LS_previous!$B$4:$AY$138,LS_previous!AS$149, FALSE))/2)</f>
        <v>-561.27329646617818</v>
      </c>
      <c r="AD72" s="180">
        <f t="array" ref="AD72">IF($G72=0, INDEX(LS_previous!$D$4:$AY$138, MATCH('Staging Table'!$A72, LS_previous!$B$4:$B$138, 0), MATCH(AD$4&amp;AD$5, LS_previous!$D$2:$AY$2&amp;LS_previous!$D$3:$AY$3, 0)),SUM(VLOOKUP($A72, LS_previous!$B$4:$AY$138, LS_previous!V$149, FALSE), VLOOKUP('Staging Table'!$A72, LS_previous!$B$4:$AY$138,LS_previous!AT$149, FALSE))/2)</f>
        <v>-1618.8318862720298</v>
      </c>
      <c r="AE72" s="180">
        <f t="array" ref="AE72">IF($G72=0, INDEX(LS_previous!$D$4:$AY$138, MATCH('Staging Table'!$A72, LS_previous!$B$4:$B$138, 0), MATCH(AE$4&amp;AE$5, LS_previous!$D$2:$AY$2&amp;LS_previous!$D$3:$AY$3, 0)),SUM(VLOOKUP($A72, LS_previous!$B$4:$AY$138, LS_previous!W$149, FALSE), VLOOKUP('Staging Table'!$A72, LS_previous!$B$4:$AY$138,LS_previous!AU$149, FALSE))/2)</f>
        <v>-756.20470700337364</v>
      </c>
      <c r="AF72" s="180">
        <f t="array" ref="AF72">IF($G72=0, INDEX(LS_previous!$D$4:$AY$138, MATCH('Staging Table'!$A72, LS_previous!$B$4:$B$138, 0), MATCH(AF$4&amp;AF$5, LS_previous!$D$2:$AY$2&amp;LS_previous!$D$3:$AY$3, 0)),SUM(VLOOKUP($A72, LS_previous!$B$4:$AY$138, LS_previous!X$149, FALSE), VLOOKUP('Staging Table'!$A72, LS_previous!$B$4:$AY$138,LS_previous!AV$149, FALSE))/2)</f>
        <v>81.62479581207208</v>
      </c>
      <c r="AG72" s="180">
        <f t="array" ref="AG72">IF($G72=0, INDEX(LS_previous!$D$4:$AY$138, MATCH('Staging Table'!$A72, LS_previous!$B$4:$B$138, 0), MATCH(AG$4&amp;AG$5, LS_previous!$D$2:$AY$2&amp;LS_previous!$D$3:$AY$3, 0)),SUM(VLOOKUP($A72, LS_previous!$B$4:$AY$138, LS_previous!Y$149, FALSE), VLOOKUP('Staging Table'!$A72, LS_previous!$B$4:$AY$138,LS_previous!AW$149, FALSE))/2)</f>
        <v>156.0566468414163</v>
      </c>
      <c r="AH72" s="180">
        <f t="array" ref="AH72">IF($G72=0, INDEX(LS_previous!$D$4:$AY$138, MATCH('Staging Table'!$A72, LS_previous!$B$4:$B$138, 0), MATCH(AH$4&amp;AH$5, LS_previous!$D$2:$AY$2&amp;LS_previous!$D$3:$AY$3, 0)),SUM(VLOOKUP($A72, LS_previous!$B$4:$AY$138, LS_previous!Z$149, FALSE), VLOOKUP('Staging Table'!$A72, LS_previous!$B$4:$AY$138,LS_previous!AX$149, FALSE))/2)</f>
        <v>517.80530503655064</v>
      </c>
      <c r="AI72" s="180">
        <f t="array" ref="AI72">IF($G72=0, INDEX(LS_previous!$D$4:$AY$138, MATCH('Staging Table'!$A72, LS_previous!$B$4:$B$138, 0), MATCH(AI$4&amp;AI$5, LS_previous!$D$2:$AY$2&amp;LS_previous!$D$3:$AY$3, 0)),SUM(VLOOKUP($A72, LS_previous!$B$4:$AY$138, LS_previous!AA$149, FALSE), VLOOKUP('Staging Table'!$A72, LS_previous!$B$4:$AY$138,LS_previous!AY$149, FALSE))/2)</f>
        <v>823.35552471249821</v>
      </c>
      <c r="AJ72" s="298">
        <f t="array" ref="AJ72">INDEX(Demand_previous!$D$4:$AY$138, MATCH('Staging Table'!$A72, Demand_previous!$B$4:$B$138, 0), MATCH(AJ$4&amp;AJ$5,Demand_previous!$D$2:$AY$2&amp;Demand_previous!$D$3:$AY$3, 0))/1000</f>
        <v>2.495264423076923</v>
      </c>
      <c r="AK72" s="298">
        <f t="array" ref="AK72">INDEX(Demand_previous!$D$4:$AY$138, MATCH('Staging Table'!$A72, Demand_previous!$B$4:$B$138, 0), MATCH(AK$4&amp;AK$5,Demand_previous!$D$2:$AY$2&amp;Demand_previous!$D$3:$AY$3, 0))/1000</f>
        <v>1.7112375000000024</v>
      </c>
      <c r="AL72" s="298">
        <f t="array" ref="AL72">INDEX(Demand_previous!$D$4:$AY$138, MATCH('Staging Table'!$A72, Demand_previous!$B$4:$B$138, 0), MATCH(AL$4&amp;AL$5,Demand_previous!$D$2:$AY$2&amp;Demand_previous!$D$3:$AY$3, 0))/1000</f>
        <v>1.0818750000000006</v>
      </c>
      <c r="AM72" s="298">
        <f t="array" ref="AM72">INDEX(Demand_previous!$D$4:$AY$138, MATCH('Staging Table'!$A72, Demand_previous!$B$4:$B$138, 0), MATCH(AM$4&amp;AM$5,Demand_previous!$D$2:$AY$2&amp;Demand_previous!$D$3:$AY$3, 0))/1000</f>
        <v>0</v>
      </c>
      <c r="AN72" s="298">
        <f t="array" ref="AN72">INDEX(Demand_previous!$D$4:$AY$138, MATCH('Staging Table'!$A72, Demand_previous!$B$4:$B$138, 0), MATCH(AN$4&amp;AN$5,Demand_previous!$D$2:$AY$2&amp;Demand_previous!$D$3:$AY$3, 0))/1000</f>
        <v>2.959291666666668</v>
      </c>
      <c r="AO72" s="298">
        <f t="array" ref="AO72">INDEX(Demand_previous!$D$4:$AY$138, MATCH('Staging Table'!$A72, Demand_previous!$B$4:$B$138, 0), MATCH(AO$4&amp;AO$5,Demand_previous!$D$2:$AY$2&amp;Demand_previous!$D$3:$AY$3, 0))/1000</f>
        <v>3.2326851851851854</v>
      </c>
      <c r="AP72" s="298">
        <f t="array" ref="AP72">INDEX(Demand_previous!$D$4:$AY$138, MATCH('Staging Table'!$A72, Demand_previous!$B$4:$B$138, 0), MATCH(AP$4&amp;AP$5,Demand_previous!$D$2:$AY$2&amp;Demand_previous!$D$3:$AY$3, 0))/1000</f>
        <v>0</v>
      </c>
      <c r="AQ72" s="298">
        <f t="array" ref="AQ72">INDEX(Demand_previous!$D$4:$AY$138, MATCH('Staging Table'!$A72, Demand_previous!$B$4:$B$138, 0), MATCH(AQ$4&amp;AQ$5,Demand_previous!$D$2:$AY$2&amp;Demand_previous!$D$3:$AY$3, 0))/1000</f>
        <v>0</v>
      </c>
      <c r="AR72" s="298">
        <f t="array" ref="AR72">INDEX(Demand_previous!$D$4:$AY$138, MATCH('Staging Table'!$A72, Demand_previous!$B$4:$B$138, 0), MATCH(AR$4&amp;AR$5,Demand_previous!$D$2:$AY$2&amp;Demand_previous!$D$3:$AY$3, 0))/1000</f>
        <v>2.1862235576923092</v>
      </c>
      <c r="AS72" s="298">
        <f t="array" ref="AS72">INDEX(Demand_previous!$D$4:$AY$138, MATCH('Staging Table'!$A72, Demand_previous!$B$4:$B$138, 0), MATCH(AS$4&amp;AS$5,Demand_previous!$D$2:$AY$2&amp;Demand_previous!$D$3:$AY$3, 0))/1000</f>
        <v>0.98394500000000074</v>
      </c>
      <c r="AT72" s="298">
        <f t="array" ref="AT72">INDEX(Demand_previous!$D$4:$AY$138, MATCH('Staging Table'!$A72, Demand_previous!$B$4:$B$138, 0), MATCH(AT$4&amp;AT$5,Demand_previous!$D$2:$AY$2&amp;Demand_previous!$D$3:$AY$3, 0))/1000</f>
        <v>2.090847222222223</v>
      </c>
      <c r="AU72" s="298">
        <f t="array" ref="AU72">INDEX(Demand_previous!$D$4:$AY$138, MATCH('Staging Table'!$A72, Demand_previous!$B$4:$B$138, 0), MATCH(AU$4&amp;AU$5,Demand_previous!$D$2:$AY$2&amp;Demand_previous!$D$3:$AY$3, 0))/1000</f>
        <v>3.3171975000000007</v>
      </c>
      <c r="AV72" s="180">
        <f>$F72*(VLOOKUP(AV$4, Rates_previous!$G$6:$Q$29, 10, FALSE)+VLOOKUP(AV$4, Rates_previous!$G$6:$Q$29, 11, FALSE))</f>
        <v>8447.0744080732893</v>
      </c>
      <c r="AW72" s="180">
        <f>$F72*(VLOOKUP(AW$4, Rates_previous!$G$6:$Q$29, 10, FALSE)+VLOOKUP(AW$4, Rates_previous!$G$6:$Q$29, 11, FALSE))</f>
        <v>10694.302766047411</v>
      </c>
      <c r="AX72" s="180">
        <f>$F72*(VLOOKUP(AX$4, Rates_previous!$G$6:$Q$29, 10, FALSE)+VLOOKUP(AX$4, Rates_previous!$G$6:$Q$29, 11, FALSE))</f>
        <v>10467.585865763249</v>
      </c>
      <c r="AY72" s="180">
        <f>$F72*(VLOOKUP(AY$4, Rates_previous!$G$6:$Q$29, 10, FALSE)+VLOOKUP(AY$4, Rates_previous!$G$6:$Q$29, 11, FALSE))</f>
        <v>8645.7807926864352</v>
      </c>
      <c r="AZ72" s="180">
        <f>$F72*(VLOOKUP(AZ$4, Rates_previous!$G$6:$Q$29, 10, FALSE)+VLOOKUP(AZ$4, Rates_previous!$G$6:$Q$29, 11, FALSE))</f>
        <v>7493.4877033618932</v>
      </c>
      <c r="BA72" s="180">
        <f>$F72*(VLOOKUP(BA$4, Rates_previous!$G$6:$Q$29, 10, FALSE)+VLOOKUP(BA$4, Rates_previous!$G$6:$Q$29, 11, FALSE))</f>
        <v>8945.7110885504208</v>
      </c>
      <c r="BB72" s="180">
        <f>$F72*(VLOOKUP(BB$4, Rates_previous!$G$6:$Q$29, 10, FALSE)+VLOOKUP(BB$4, Rates_previous!$G$6:$Q$29, 11, FALSE))</f>
        <v>6945.1537275879691</v>
      </c>
      <c r="BC72" s="180">
        <f>$F72*(VLOOKUP(BC$4, Rates_previous!$G$6:$Q$29, 10, FALSE)+VLOOKUP(BC$4, Rates_previous!$G$6:$Q$29, 11, FALSE))</f>
        <v>9622.5615988491554</v>
      </c>
      <c r="BD72" s="180">
        <f>$F72*(VLOOKUP(BD$4, Rates_previous!$G$6:$Q$29, 10, FALSE)+VLOOKUP(BD$4, Rates_previous!$G$6:$Q$29, 11, FALSE))</f>
        <v>10281.90855664334</v>
      </c>
      <c r="BE72" s="180">
        <f>$F72*(VLOOKUP(BE$4, Rates_previous!$G$6:$Q$29, 10, FALSE)+VLOOKUP(BE$4, Rates_previous!$G$6:$Q$29, 11, FALSE))</f>
        <v>9762.2065932754031</v>
      </c>
      <c r="BF72" s="180">
        <f>$F72*(VLOOKUP(BF$4, Rates_previous!$G$6:$Q$29, 10, FALSE)+VLOOKUP(BF$4, Rates_previous!$G$6:$Q$29, 11, FALSE))</f>
        <v>9434.4195573465113</v>
      </c>
      <c r="BG72" s="180">
        <f>$F72*(VLOOKUP(BG$4, Rates_previous!$G$6:$Q$29, 10, FALSE)+VLOOKUP(BG$4, Rates_previous!$G$6:$Q$29, 11, FALSE))</f>
        <v>8718.3871702509514</v>
      </c>
      <c r="BH72" s="298">
        <f>IF($D72=0,IF(C72=0, MAX(BJ72 - (VLOOKUP($A72,TOCA_previous!$A$2:$AI$137,MATCH("RHWM 2022",TOCA_previous!$A$2:$AI$2,0),FALSE)*$F$2*TOCA_previous!C69),0),0), 0)</f>
        <v>7815.1185992799728</v>
      </c>
      <c r="BI72" s="192">
        <f>MIN(VLOOKUP($A72,TOCA_previous!$A$2:$AI$137,MATCH("TRL - NLSL - Existing Resource "&amp;$F$1,TOCA_previous!$A$2:$AI$2,0),FALSE)*$F$2,(VLOOKUP($A72,TOCA_previous!$A$2:$AI$137,MATCH("RHWM 2022",TOCA_previous!$A$2:$AI$2,0),FALSE)*$F$2))</f>
        <v>109456.2</v>
      </c>
      <c r="BJ72" s="402">
        <f>SUM(L72:AI72)+(F72*RT1SC!$C$3*$F$2)</f>
        <v>117271.31859927997</v>
      </c>
      <c r="BK72" s="401">
        <f>VLOOKUP($A72,TOCA_previous!$A$2:$AI$137,MATCH("Above RHWM Not Served with LS "&amp;$F$1,TOCA_previous!$A$2:$AI$2,0),FALSE)*$F$2</f>
        <v>18772.679999999997</v>
      </c>
      <c r="BL72" s="402">
        <f t="shared" si="27"/>
        <v>7815.1185992799728</v>
      </c>
      <c r="BM72" s="401">
        <f>(VLOOKUP($A72,TOCA_previous!$A$2:$AI$137,MATCH("RHWM 2022",TOCA_previous!$A$2:$AI$2,0),FALSE)*$F$2) - $BI72</f>
        <v>0</v>
      </c>
      <c r="BN72" s="402">
        <f t="shared" si="28"/>
        <v>0</v>
      </c>
      <c r="BO72" s="401">
        <f t="shared" si="29"/>
        <v>0</v>
      </c>
      <c r="BP72" s="402">
        <f t="shared" si="30"/>
        <v>0</v>
      </c>
      <c r="BQ72" s="401">
        <f t="shared" si="21"/>
        <v>0</v>
      </c>
      <c r="BR72" s="108">
        <f>VLOOKUP($A72,TOCA_current!$A$2:$AI$137,MATCH(BR$4,TOCA_current!$A$2:$AI$2,0),FALSE)</f>
        <v>1.8545E-3</v>
      </c>
      <c r="BS72" s="108">
        <f>VLOOKUP($A72,TOCA_current!$A$2:$AI$137,MATCH(BS$4,TOCA_current!$A$2:$AI$2,0),FALSE)</f>
        <v>1.8545E-3</v>
      </c>
      <c r="BT72" s="189">
        <f t="shared" si="31"/>
        <v>0</v>
      </c>
      <c r="BU72" s="108">
        <f>VLOOKUP($A72,TOCA_current!A68:BG203,MATCH(BU$4,TOCA_current!$A$2:$BG$2,0),FALSE)</f>
        <v>0</v>
      </c>
      <c r="BV72" s="108">
        <f t="shared" si="22"/>
        <v>0</v>
      </c>
      <c r="BW72" s="108">
        <f t="shared" si="23"/>
        <v>0</v>
      </c>
      <c r="BX72" s="179">
        <f>VLOOKUP($A72,IRD!$A$4:$G$139, 7, FALSE)</f>
        <v>0</v>
      </c>
      <c r="BY72" s="180">
        <f t="array" ref="BY72">IF($BT72=0, INDEX(LS_current!$D$4:$AY$138, MATCH('Staging Table'!$A72, LS_current!$B$4:$B$138, 0), MATCH(BY$4&amp;BY$5, LS_current!$D$2:$AY$2&amp;LS_current!$D$3:$AY$3, 0)),SUM(VLOOKUP($A72, LS_current!$B$4:$AY$138, LS_current!D$148, FALSE), VLOOKUP($A72, LS_current!$B$4:$AY$138,LS_current!AB$148, FALSE))/2)</f>
        <v>1599.5665352380001</v>
      </c>
      <c r="BZ72" s="180">
        <f t="array" ref="BZ72">IF($BT72=0, INDEX(LS_current!$D$4:$AY$138, MATCH('Staging Table'!$A72, LS_current!$B$4:$B$138, 0), MATCH(BZ$4&amp;BZ$5, LS_current!$D$2:$AY$2&amp;LS_current!$D$3:$AY$3, 0)),SUM(VLOOKUP($A72, LS_current!$B$4:$AY$138, LS_current!E$148, FALSE), VLOOKUP($A72, LS_current!$B$4:$AY$138,LS_current!AC$148, FALSE))/2)</f>
        <v>651.87588906024985</v>
      </c>
      <c r="CA72" s="180">
        <f t="array" ref="CA72">IF($BT72=0, INDEX(LS_current!$D$4:$AY$138, MATCH('Staging Table'!$A72, LS_current!$B$4:$B$138, 0), MATCH(CA$4&amp;CA$5, LS_current!$D$2:$AY$2&amp;LS_current!$D$3:$AY$3, 0)),SUM(VLOOKUP($A72, LS_current!$B$4:$AY$138, LS_current!F$148, FALSE), VLOOKUP($A72, LS_current!$B$4:$AY$138,LS_current!AD$148, FALSE))/2)</f>
        <v>600.71325022399924</v>
      </c>
      <c r="CB72" s="180">
        <f t="array" ref="CB72">IF($BT72=0, INDEX(LS_current!$D$4:$AY$138, MATCH('Staging Table'!$A72, LS_current!$B$4:$B$138, 0), MATCH(CB$4&amp;CB$5, LS_current!$D$2:$AY$2&amp;LS_current!$D$3:$AY$3, 0)),SUM(VLOOKUP($A72, LS_current!$B$4:$AY$138, LS_current!G$148, FALSE), VLOOKUP($A72, LS_current!$B$4:$AY$138,LS_current!AE$148, FALSE))/2)</f>
        <v>255.7060788105</v>
      </c>
      <c r="CC72" s="180">
        <f t="array" ref="CC72">IF($BT72=0, INDEX(LS_current!$D$4:$AY$138, MATCH('Staging Table'!$A72, LS_current!$B$4:$B$138, 0), MATCH(CC$4&amp;CC$5, LS_current!$D$2:$AY$2&amp;LS_current!$D$3:$AY$3, 0)),SUM(VLOOKUP($A72, LS_current!$B$4:$AY$138, LS_current!H$148, FALSE), VLOOKUP($A72, LS_current!$B$4:$AY$138,LS_current!AF$148, FALSE))/2)</f>
        <v>1102.7831970244988</v>
      </c>
      <c r="CD72" s="180">
        <f t="array" ref="CD72">IF($BT72=0, INDEX(LS_current!$D$4:$AY$138, MATCH('Staging Table'!$A72, LS_current!$B$4:$B$138, 0), MATCH(CD$4&amp;CD$5, LS_current!$D$2:$AY$2&amp;LS_current!$D$3:$AY$3, 0)),SUM(VLOOKUP($A72, LS_current!$B$4:$AY$138, LS_current!I$148, FALSE), VLOOKUP($A72, LS_current!$B$4:$AY$138,LS_current!AG$148, FALSE))/2)</f>
        <v>1012.0286907680002</v>
      </c>
      <c r="CE72" s="180">
        <f t="array" ref="CE72">IF($BT72=0, INDEX(LS_current!$D$4:$AY$138, MATCH('Staging Table'!$A72, LS_current!$B$4:$B$138, 0), MATCH(CE$4&amp;CE$5, LS_current!$D$2:$AY$2&amp;LS_current!$D$3:$AY$3, 0)),SUM(VLOOKUP($A72, LS_current!$B$4:$AY$138, LS_current!J$148, FALSE), VLOOKUP($A72, LS_current!$B$4:$AY$138,LS_current!AH$148, FALSE))/2)</f>
        <v>1081.9127145325001</v>
      </c>
      <c r="CF72" s="180">
        <f t="array" ref="CF72">IF($BT72=0, INDEX(LS_current!$D$4:$AY$138, MATCH('Staging Table'!$A72, LS_current!$B$4:$B$138, 0), MATCH(CF$4&amp;CF$5, LS_current!$D$2:$AY$2&amp;LS_current!$D$3:$AY$3, 0)),SUM(VLOOKUP($A72, LS_current!$B$4:$AY$138, LS_current!K$148, FALSE), VLOOKUP($A72, LS_current!$B$4:$AY$138,LS_current!AI$148, FALSE))/2)</f>
        <v>715.47402521949971</v>
      </c>
      <c r="CG72" s="180">
        <f t="array" ref="CG72">IF($BT72=0, INDEX(LS_current!$D$4:$AY$138, MATCH('Staging Table'!$A72, LS_current!$B$4:$B$138, 0), MATCH(CG$4&amp;CG$5, LS_current!$D$2:$AY$2&amp;LS_current!$D$3:$AY$3, 0)),SUM(VLOOKUP($A72, LS_current!$B$4:$AY$138, LS_current!L$148, FALSE), VLOOKUP($A72, LS_current!$B$4:$AY$138,LS_current!AJ$148, FALSE))/2)</f>
        <v>283.80564239449996</v>
      </c>
      <c r="CH72" s="180">
        <f t="array" ref="CH72">IF($BT72=0, INDEX(LS_current!$D$4:$AY$138, MATCH('Staging Table'!$A72, LS_current!$B$4:$B$138, 0), MATCH(CH$4&amp;CH$5, LS_current!$D$2:$AY$2&amp;LS_current!$D$3:$AY$3, 0)),SUM(VLOOKUP($A72, LS_current!$B$4:$AY$138, LS_current!M$148, FALSE), VLOOKUP($A72, LS_current!$B$4:$AY$138,LS_current!AK$148, FALSE))/2)</f>
        <v>192.48381703450013</v>
      </c>
      <c r="CI72" s="180">
        <f t="array" ref="CI72">IF($BT72=0, INDEX(LS_current!$D$4:$AY$138, MATCH('Staging Table'!$A72, LS_current!$B$4:$B$138, 0), MATCH(CI$4&amp;CI$5, LS_current!$D$2:$AY$2&amp;LS_current!$D$3:$AY$3, 0)),SUM(VLOOKUP($A72, LS_current!$B$4:$AY$138, LS_current!N$148, FALSE), VLOOKUP($A72, LS_current!$B$4:$AY$138,LS_current!AL$148, FALSE))/2)</f>
        <v>-221.2269950584996</v>
      </c>
      <c r="CJ72" s="180">
        <f t="array" ref="CJ72">IF($BT72=0, INDEX(LS_current!$D$4:$AY$138, MATCH('Staging Table'!$A72, LS_current!$B$4:$B$138, 0), MATCH(CJ$4&amp;CJ$5, LS_current!$D$2:$AY$2&amp;LS_current!$D$3:$AY$3, 0)),SUM(VLOOKUP($A72, LS_current!$B$4:$AY$138, LS_current!O$148, FALSE), VLOOKUP($A72, LS_current!$B$4:$AY$138,LS_current!AM$148, FALSE))/2)</f>
        <v>-347.07318730099951</v>
      </c>
      <c r="CK72" s="180">
        <f t="array" ref="CK72">IF($BT72=0, INDEX(LS_current!$D$4:$AY$138, MATCH('Staging Table'!$A72, LS_current!$B$4:$B$138, 0), MATCH(CK$4&amp;CK$5, LS_current!$D$2:$AY$2&amp;LS_current!$D$3:$AY$3, 0)),SUM(VLOOKUP($A72, LS_current!$B$4:$AY$138, LS_current!P$148, FALSE), VLOOKUP($A72, LS_current!$B$4:$AY$138,LS_current!AN$148, FALSE))/2)</f>
        <v>336.96577662625077</v>
      </c>
      <c r="CL72" s="180">
        <f t="array" ref="CL72">IF($BT72=0, INDEX(LS_current!$D$4:$AY$138, MATCH('Staging Table'!$A72, LS_current!$B$4:$B$138, 0), MATCH(CL$4&amp;CL$5, LS_current!$D$2:$AY$2&amp;LS_current!$D$3:$AY$3, 0)),SUM(VLOOKUP($A72, LS_current!$B$4:$AY$138, LS_current!Q$148, FALSE), VLOOKUP($A72, LS_current!$B$4:$AY$138,LS_current!AO$148, FALSE))/2)</f>
        <v>-335.6408648153747</v>
      </c>
      <c r="CM72" s="180">
        <f t="array" ref="CM72">IF($BT72=0, INDEX(LS_current!$D$4:$AY$138, MATCH('Staging Table'!$A72, LS_current!$B$4:$B$138, 0), MATCH(CM$4&amp;CM$5, LS_current!$D$2:$AY$2&amp;LS_current!$D$3:$AY$3, 0)),SUM(VLOOKUP($A72, LS_current!$B$4:$AY$138, LS_current!R$148, FALSE), VLOOKUP($A72, LS_current!$B$4:$AY$138,LS_current!AP$148, FALSE))/2)</f>
        <v>-1800.2983446159997</v>
      </c>
      <c r="CN72" s="180">
        <f t="array" ref="CN72">IF($BT72=0, INDEX(LS_current!$D$4:$AY$138, MATCH('Staging Table'!$A72, LS_current!$B$4:$B$138, 0), MATCH(CN$4&amp;CN$5, LS_current!$D$2:$AY$2&amp;LS_current!$D$3:$AY$3, 0)),SUM(VLOOKUP($A72, LS_current!$B$4:$AY$138, LS_current!S$148, FALSE), VLOOKUP($A72, LS_current!$B$4:$AY$138,LS_current!AQ$148, FALSE))/2)</f>
        <v>-1656.3707544382501</v>
      </c>
      <c r="CO72" s="180">
        <f t="array" ref="CO72">IF($BT72=0, INDEX(LS_current!$D$4:$AY$138, MATCH('Staging Table'!$A72, LS_current!$B$4:$B$138, 0), MATCH(CO$4&amp;CO$5, LS_current!$D$2:$AY$2&amp;LS_current!$D$3:$AY$3, 0)),SUM(VLOOKUP($A72, LS_current!$B$4:$AY$138, LS_current!T$148, FALSE), VLOOKUP($A72, LS_current!$B$4:$AY$138,LS_current!AR$148, FALSE))/2)</f>
        <v>-2343.9996987670002</v>
      </c>
      <c r="CP72" s="180">
        <f t="array" ref="CP72">IF($BT72=0, INDEX(LS_current!$D$4:$AY$138, MATCH('Staging Table'!$A72, LS_current!$B$4:$B$138, 0), MATCH(CP$4&amp;CP$5, LS_current!$D$2:$AY$2&amp;LS_current!$D$3:$AY$3, 0)),SUM(VLOOKUP($A72, LS_current!$B$4:$AY$138, LS_current!U$148, FALSE), VLOOKUP($A72, LS_current!$B$4:$AY$138,LS_current!AS$148, FALSE))/2)</f>
        <v>-1636.3185885702505</v>
      </c>
      <c r="CQ72" s="180">
        <f t="array" ref="CQ72">IF($BT72=0, INDEX(LS_current!$D$4:$AY$138, MATCH('Staging Table'!$A72, LS_current!$B$4:$B$138, 0), MATCH(CQ$4&amp;CQ$5, LS_current!$D$2:$AY$2&amp;LS_current!$D$3:$AY$3, 0)),SUM(VLOOKUP($A72, LS_current!$B$4:$AY$138, LS_current!V$148, FALSE), VLOOKUP($A72, LS_current!$B$4:$AY$138,LS_current!AT$148, FALSE))/2)</f>
        <v>-941.21240633799971</v>
      </c>
      <c r="CR72" s="180">
        <f t="array" ref="CR72">IF($BT72=0, INDEX(LS_current!$D$4:$AY$138, MATCH('Staging Table'!$A72, LS_current!$B$4:$B$138, 0), MATCH(CR$4&amp;CR$5, LS_current!$D$2:$AY$2&amp;LS_current!$D$3:$AY$3, 0)),SUM(VLOOKUP($A72, LS_current!$B$4:$AY$138, LS_current!W$148, FALSE), VLOOKUP($A72, LS_current!$B$4:$AY$138,LS_current!AU$148, FALSE))/2)</f>
        <v>-982.03511269875025</v>
      </c>
      <c r="CS72" s="180">
        <f t="array" ref="CS72">IF($BT72=0, INDEX(LS_current!$D$4:$AY$138, MATCH('Staging Table'!$A72, LS_current!$B$4:$B$138, 0), MATCH(CS$4&amp;CS$5, LS_current!$D$2:$AY$2&amp;LS_current!$D$3:$AY$3, 0)),SUM(VLOOKUP($A72, LS_current!$B$4:$AY$138, LS_current!X$148, FALSE), VLOOKUP($A72, LS_current!$B$4:$AY$138,LS_current!AV$148, FALSE))/2)</f>
        <v>731.44687695324956</v>
      </c>
      <c r="CT72" s="180">
        <f t="array" ref="CT72">IF($BT72=0, INDEX(LS_current!$D$4:$AY$138, MATCH('Staging Table'!$A72, LS_current!$B$4:$B$138, 0), MATCH(CT$4&amp;CT$5, LS_current!$D$2:$AY$2&amp;LS_current!$D$3:$AY$3, 0)),SUM(VLOOKUP($A72, LS_current!$B$4:$AY$138, LS_current!Y$148, FALSE), VLOOKUP($A72, LS_current!$B$4:$AY$138,LS_current!AW$148, FALSE))/2)</f>
        <v>-66.133269081824437</v>
      </c>
      <c r="CU72" s="180">
        <f t="array" ref="CU72">IF($BT72=0, INDEX(LS_current!$D$4:$AY$138, MATCH('Staging Table'!$A72, LS_current!$B$4:$B$138, 0), MATCH(CU$4&amp;CU$5, LS_current!$D$2:$AY$2&amp;LS_current!$D$3:$AY$3, 0)),SUM(VLOOKUP($A72, LS_current!$B$4:$AY$138, LS_current!Z$148, FALSE), VLOOKUP($A72, LS_current!$B$4:$AY$138,LS_current!AX$148, FALSE))/2)</f>
        <v>1172.3419708669999</v>
      </c>
      <c r="CV72" s="180">
        <f t="array" ref="CV72">IF($BT72=0, INDEX(LS_current!$D$4:$AY$138, MATCH('Staging Table'!$A72, LS_current!$B$4:$B$138, 0), MATCH(CV$4&amp;CV$5, LS_current!$D$2:$AY$2&amp;LS_current!$D$3:$AY$3, 0)),SUM(VLOOKUP($A72, LS_current!$B$4:$AY$138, LS_current!AA$148, FALSE), VLOOKUP($A72, LS_current!$B$4:$AY$138,LS_current!AY$148, FALSE))/2)</f>
        <v>590.51499663200002</v>
      </c>
      <c r="CW72" s="182">
        <f t="array" ref="CW72">INDEX(Demand_current!$D$4:$AY$138, MATCH($A72, Demand_current!$B$4:$B$138, 0), MATCH(CW$4&amp;CW$5,Demand_current!$D$2:$AY$2&amp;Demand_current!$D$3:$AY$3, 0))/1000</f>
        <v>2.495264423076923</v>
      </c>
      <c r="CX72" s="182">
        <f t="array" ref="CX72">INDEX(Demand_current!$D$4:$AY$138, MATCH($A72, Demand_current!$B$4:$B$138, 0), MATCH(CX$4&amp;CX$5,Demand_current!$D$2:$AY$2&amp;Demand_current!$D$3:$AY$3, 0))/1000</f>
        <v>1.7112375000000024</v>
      </c>
      <c r="CY72" s="182">
        <f t="array" ref="CY72">INDEX(Demand_current!$D$4:$AY$138, MATCH($A72, Demand_current!$B$4:$B$138, 0), MATCH(CY$4&amp;CY$5,Demand_current!$D$2:$AY$2&amp;Demand_current!$D$3:$AY$3, 0))/1000</f>
        <v>0.25619000000000058</v>
      </c>
      <c r="CZ72" s="182">
        <f t="array" ref="CZ72">INDEX(Demand_current!$D$4:$AY$138, MATCH($A72, Demand_current!$B$4:$B$138, 0), MATCH(CZ$4&amp;CZ$5,Demand_current!$D$2:$AY$2&amp;Demand_current!$D$3:$AY$3, 0))/1000</f>
        <v>0</v>
      </c>
      <c r="DA72" s="182">
        <f t="array" ref="DA72">INDEX(Demand_current!$D$4:$AY$138, MATCH($A72, Demand_current!$B$4:$B$138, 0), MATCH(DA$4&amp;DA$5,Demand_current!$D$2:$AY$2&amp;Demand_current!$D$3:$AY$3, 0))/1000</f>
        <v>3.7258800000000027</v>
      </c>
      <c r="DB72" s="182">
        <f t="array" ref="DB72">INDEX(Demand_current!$D$4:$AY$138, MATCH($A72, Demand_current!$B$4:$B$138, 0), MATCH(DB$4&amp;DB$5,Demand_current!$D$2:$AY$2&amp;Demand_current!$D$3:$AY$3, 0))/1000</f>
        <v>2.5942884615384605</v>
      </c>
      <c r="DC72" s="182">
        <f t="array" ref="DC72">INDEX(Demand_current!$D$4:$AY$138, MATCH($A72, Demand_current!$B$4:$B$138, 0), MATCH(DC$4&amp;DC$5,Demand_current!$D$2:$AY$2&amp;Demand_current!$D$3:$AY$3, 0))/1000</f>
        <v>0</v>
      </c>
      <c r="DD72" s="182">
        <f t="array" ref="DD72">INDEX(Demand_current!$D$4:$AY$138, MATCH($A72, Demand_current!$B$4:$B$138, 0), MATCH(DD$4&amp;DD$5,Demand_current!$D$2:$AY$2&amp;Demand_current!$D$3:$AY$3, 0))/1000</f>
        <v>0.12730769230769035</v>
      </c>
      <c r="DE72" s="182">
        <f t="array" ref="DE72">INDEX(Demand_current!$D$4:$AY$138, MATCH($A72, Demand_current!$B$4:$B$138, 0), MATCH(DE$4&amp;DE$5,Demand_current!$D$2:$AY$2&amp;Demand_current!$D$3:$AY$3, 0))/1000</f>
        <v>1.6849125000000018</v>
      </c>
      <c r="DF72" s="182">
        <f t="array" ref="DF72">INDEX(Demand_current!$D$4:$AY$138, MATCH($A72, Demand_current!$B$4:$B$138, 0), MATCH(DF$4&amp;DF$5,Demand_current!$D$2:$AY$2&amp;Demand_current!$D$3:$AY$3, 0))/1000</f>
        <v>1.5359086538461537</v>
      </c>
      <c r="DG72" s="182">
        <f t="array" ref="DG72">INDEX(Demand_current!$D$4:$AY$138, MATCH($A72, Demand_current!$B$4:$B$138, 0), MATCH(DG$4&amp;DG$5,Demand_current!$D$2:$AY$2&amp;Demand_current!$D$3:$AY$3, 0))/1000</f>
        <v>2.090847222222223</v>
      </c>
      <c r="DH72" s="182">
        <f t="array" ref="DH72">INDEX(Demand_current!$D$4:$AY$138, MATCH($A72, Demand_current!$B$4:$B$138, 0), MATCH(DH$4&amp;DH$5,Demand_current!$D$2:$AY$2&amp;Demand_current!$D$3:$AY$3, 0))/1000</f>
        <v>2.594372395833334</v>
      </c>
      <c r="DI72" s="180">
        <f>$BS72*(VLOOKUP(DI$4, Rates_current!$G$6:$Q$29, 10, FALSE)+VLOOKUP(DI$4, Rates_current!$G$6:$Q$29, 11, FALSE))</f>
        <v>7823.7715757017504</v>
      </c>
      <c r="DJ72" s="180">
        <f>$BS72*(VLOOKUP(DJ$4, Rates_current!$G$6:$Q$29, 10, FALSE)+VLOOKUP(DJ$4, Rates_current!$G$6:$Q$29, 11, FALSE))</f>
        <v>9977.8886709655017</v>
      </c>
      <c r="DK72" s="180">
        <f>$BS72*(VLOOKUP(DK$4, Rates_current!$G$6:$Q$29, 10, FALSE)+VLOOKUP(DK$4, Rates_current!$G$6:$Q$29, 11, FALSE))</f>
        <v>10768.116112207501</v>
      </c>
      <c r="DL72" s="180">
        <f>$BS72*(VLOOKUP(DL$4, Rates_current!$G$6:$Q$29, 10, FALSE)+VLOOKUP(DL$4, Rates_current!$G$6:$Q$29, 11, FALSE))</f>
        <v>11189.737260248001</v>
      </c>
      <c r="DM72" s="180">
        <f>$BS72*(VLOOKUP(DM$4, Rates_current!$G$6:$Q$29, 10, FALSE)+VLOOKUP(DM$4, Rates_current!$G$6:$Q$29, 11, FALSE))</f>
        <v>9624.6655405709989</v>
      </c>
      <c r="DN72" s="180">
        <f>$BS72*(VLOOKUP(DN$4, Rates_current!$G$6:$Q$29, 10, FALSE)+VLOOKUP(DN$4, Rates_current!$G$6:$Q$29, 11, FALSE))</f>
        <v>10508.229182359501</v>
      </c>
      <c r="DO72" s="180">
        <f>$BS72*(VLOOKUP(DO$4, Rates_current!$G$6:$Q$29, 10, FALSE)+VLOOKUP(DO$4, Rates_current!$G$6:$Q$29, 11, FALSE))</f>
        <v>8294.4760881891252</v>
      </c>
      <c r="DP72" s="180">
        <f>$BS72*(VLOOKUP(DP$4, Rates_current!$G$6:$Q$29, 10, FALSE)+VLOOKUP(DP$4, Rates_current!$G$6:$Q$29, 11, FALSE))</f>
        <v>10290.40909905425</v>
      </c>
      <c r="DQ72" s="180">
        <f>$BS72*(VLOOKUP(DQ$4, Rates_current!$G$6:$Q$29, 10, FALSE)+VLOOKUP(DQ$4, Rates_current!$G$6:$Q$29, 11, FALSE))</f>
        <v>10513.68528733725</v>
      </c>
      <c r="DR72" s="180">
        <f>$BS72*(VLOOKUP(DR$4, Rates_current!$G$6:$Q$29, 10, FALSE)+VLOOKUP(DR$4, Rates_current!$G$6:$Q$29, 11, FALSE))</f>
        <v>9127.3935190367501</v>
      </c>
      <c r="DS72" s="180">
        <f>$BS72*(VLOOKUP(DS$4, Rates_current!$G$6:$Q$29, 10, FALSE)+VLOOKUP(DS$4, Rates_current!$G$6:$Q$29, 11, FALSE))</f>
        <v>8823.763392128576</v>
      </c>
      <c r="DT72" s="180">
        <f>$BS72*(VLOOKUP(DT$4, Rates_current!$G$6:$Q$29, 10, FALSE)+VLOOKUP(DT$4, Rates_current!$G$6:$Q$29, 11, FALSE))</f>
        <v>8119.5710325010014</v>
      </c>
      <c r="DU72" s="402">
        <f>IF(D72=0,IF(C72=0,MAX(0,DW72 - (VLOOKUP($A72,TOCA_current!$A$2:$AI$137,MATCH("RHWM 2024",TOCA_current!$A$2:$AI$2,0),FALSE)*$BS$2)), 0),0)</f>
        <v>0</v>
      </c>
      <c r="DV72" s="403">
        <f>MIN(VLOOKUP($A72,TOCA_current!$A$2:$AI$137,MATCH("TRL - NLSL - Existing Resource "&amp;$BS$1,TOCA_current!$A$2:$AI$2,0),FALSE)*$BS$2, VLOOKUP($A72,TOCA_current!$A$2:$AI$137,MATCH("RHWM 2024",TOCA_current!$A$2:$AI$2,0),FALSE)*$BS$2)</f>
        <v>115061.61599999999</v>
      </c>
      <c r="DW72" s="403">
        <f>SUM(BY72:CV72)+(BS72*RT1SC!$C$4*$BS$2)</f>
        <v>115059.0175274198</v>
      </c>
      <c r="DX72" s="403">
        <f>VLOOKUP($A72,TOCA_current!$A$2:$AI$137,MATCH("Above RHWM Not Served with LS "&amp;$BS$1,TOCA_current!$A$2:$AI$2,0),FALSE)*$BS$2</f>
        <v>20984.975999999999</v>
      </c>
      <c r="DY72" s="403">
        <f t="shared" si="32"/>
        <v>-2.5984725801972672</v>
      </c>
      <c r="DZ72" s="403">
        <f>(VLOOKUP($A72,TOCA_current!$A$2:$AI$137,MATCH("RHWM 2024",TOCA_current!$A$2:$AI$2,0),FALSE)*$BS$2) - $DV72</f>
        <v>0</v>
      </c>
      <c r="EA72" s="403">
        <f t="shared" si="33"/>
        <v>0</v>
      </c>
      <c r="EB72" s="403">
        <f t="shared" si="34"/>
        <v>0</v>
      </c>
      <c r="EC72" s="403">
        <f t="shared" si="35"/>
        <v>0</v>
      </c>
      <c r="ED72" s="403">
        <f t="shared" si="36"/>
        <v>0</v>
      </c>
    </row>
    <row r="73" spans="1:134">
      <c r="A73" s="123">
        <v>10203</v>
      </c>
      <c r="B73" s="124" t="s">
        <v>74</v>
      </c>
      <c r="C73" s="232">
        <f>VLOOKUP(A73, TOCA_current!$A$3:$D$137, 4, FALSE)</f>
        <v>0</v>
      </c>
      <c r="D73" s="191">
        <v>0</v>
      </c>
      <c r="E73" s="107">
        <f>VLOOKUP($A73,TOCA_previous!$A$2:$AI$137,MATCH(E$4,TOCA_previous!$A$2:$AI$2,0),FALSE)</f>
        <v>8.7989999999999997E-4</v>
      </c>
      <c r="F73" s="108">
        <f>VLOOKUP($A73,TOCA_previous!$A$2:$AI$137,MATCH(F$4,TOCA_previous!$A$2:$AI$2,0),FALSE)</f>
        <v>8.7989999999999997E-4</v>
      </c>
      <c r="G73" s="108">
        <f t="shared" si="24"/>
        <v>0</v>
      </c>
      <c r="H73" s="108">
        <f>VLOOKUP($A73,TOCA_previous!$A$2:$AI$137,MATCH(H$4,TOCA_previous!$A$2:$AI$2,0),FALSE)</f>
        <v>7.6450000000000004E-2</v>
      </c>
      <c r="I73" s="108">
        <f t="shared" si="25"/>
        <v>0</v>
      </c>
      <c r="J73" s="108">
        <f t="shared" si="26"/>
        <v>0</v>
      </c>
      <c r="K73" s="179">
        <f>VLOOKUP(A73, IRD!$A$5:$C$139, 3, FALSE)</f>
        <v>0</v>
      </c>
      <c r="L73" s="180">
        <f t="array" ref="L73">IF($G73=0, INDEX(LS_previous!$D$4:$AY$138, MATCH('Staging Table'!$A73, LS_previous!$B$4:$B$138, 0), MATCH(L$4&amp;L$5, LS_previous!$D$2:$AY$2&amp;LS_previous!$D$3:$AY$3, 0)),SUM(VLOOKUP($A73, LS_previous!$B$4:$AY$138, LS_previous!D$149, FALSE), VLOOKUP('Staging Table'!$A73, LS_previous!$B$4:$AY$138,LS_previous!AB$149, FALSE))/2)</f>
        <v>42.28964623521415</v>
      </c>
      <c r="M73" s="180">
        <f t="array" ref="M73">IF($G73=0, INDEX(LS_previous!$D$4:$AY$138, MATCH('Staging Table'!$A73, LS_previous!$B$4:$B$138, 0), MATCH(M$4&amp;M$5, LS_previous!$D$2:$AY$2&amp;LS_previous!$D$3:$AY$3, 0)),SUM(VLOOKUP($A73, LS_previous!$B$4:$AY$138, LS_previous!E$149, FALSE), VLOOKUP('Staging Table'!$A73, LS_previous!$B$4:$AY$138,LS_previous!AC$149, FALSE))/2)</f>
        <v>92.769255935422507</v>
      </c>
      <c r="N73" s="180">
        <f t="array" ref="N73">IF($G73=0, INDEX(LS_previous!$D$4:$AY$138, MATCH('Staging Table'!$A73, LS_previous!$B$4:$B$138, 0), MATCH(N$4&amp;N$5, LS_previous!$D$2:$AY$2&amp;LS_previous!$D$3:$AY$3, 0)),SUM(VLOOKUP($A73, LS_previous!$B$4:$AY$138, LS_previous!F$149, FALSE), VLOOKUP('Staging Table'!$A73, LS_previous!$B$4:$AY$138,LS_previous!AD$149, FALSE))/2)</f>
        <v>305.36004442821559</v>
      </c>
      <c r="O73" s="180">
        <f t="array" ref="O73">IF($G73=0, INDEX(LS_previous!$D$4:$AY$138, MATCH('Staging Table'!$A73, LS_previous!$B$4:$B$138, 0), MATCH(O$4&amp;O$5, LS_previous!$D$2:$AY$2&amp;LS_previous!$D$3:$AY$3, 0)),SUM(VLOOKUP($A73, LS_previous!$B$4:$AY$138, LS_previous!G$149, FALSE), VLOOKUP('Staging Table'!$A73, LS_previous!$B$4:$AY$138,LS_previous!AE$149, FALSE))/2)</f>
        <v>406.14393975146209</v>
      </c>
      <c r="P73" s="180">
        <f t="array" ref="P73">IF($G73=0, INDEX(LS_previous!$D$4:$AY$138, MATCH('Staging Table'!$A73, LS_previous!$B$4:$B$138, 0), MATCH(P$4&amp;P$5, LS_previous!$D$2:$AY$2&amp;LS_previous!$D$3:$AY$3, 0)),SUM(VLOOKUP($A73, LS_previous!$B$4:$AY$138, LS_previous!H$149, FALSE), VLOOKUP('Staging Table'!$A73, LS_previous!$B$4:$AY$138,LS_previous!AF$149, FALSE))/2)</f>
        <v>1511.3663798764874</v>
      </c>
      <c r="Q73" s="180">
        <f t="array" ref="Q73">IF($G73=0, INDEX(LS_previous!$D$4:$AY$138, MATCH('Staging Table'!$A73, LS_previous!$B$4:$B$138, 0), MATCH(Q$4&amp;Q$5, LS_previous!$D$2:$AY$2&amp;LS_previous!$D$3:$AY$3, 0)),SUM(VLOOKUP($A73, LS_previous!$B$4:$AY$138, LS_previous!I$149, FALSE), VLOOKUP('Staging Table'!$A73, LS_previous!$B$4:$AY$138,LS_previous!AG$149, FALSE))/2)</f>
        <v>959.35521089116446</v>
      </c>
      <c r="R73" s="180">
        <f t="array" ref="R73">IF($G73=0, INDEX(LS_previous!$D$4:$AY$138, MATCH('Staging Table'!$A73, LS_previous!$B$4:$B$138, 0), MATCH(R$4&amp;R$5, LS_previous!$D$2:$AY$2&amp;LS_previous!$D$3:$AY$3, 0)),SUM(VLOOKUP($A73, LS_previous!$B$4:$AY$138, LS_previous!J$149, FALSE), VLOOKUP('Staging Table'!$A73, LS_previous!$B$4:$AY$138,LS_previous!AH$149, FALSE))/2)</f>
        <v>1869.3339997943203</v>
      </c>
      <c r="S73" s="180">
        <f t="array" ref="S73">IF($G73=0, INDEX(LS_previous!$D$4:$AY$138, MATCH('Staging Table'!$A73, LS_previous!$B$4:$B$138, 0), MATCH(S$4&amp;S$5, LS_previous!$D$2:$AY$2&amp;LS_previous!$D$3:$AY$3, 0)),SUM(VLOOKUP($A73, LS_previous!$B$4:$AY$138, LS_previous!K$149, FALSE), VLOOKUP('Staging Table'!$A73, LS_previous!$B$4:$AY$138,LS_previous!AI$149, FALSE))/2)</f>
        <v>1241.5655095135703</v>
      </c>
      <c r="T73" s="180">
        <f t="array" ref="T73">IF($G73=0, INDEX(LS_previous!$D$4:$AY$138, MATCH('Staging Table'!$A73, LS_previous!$B$4:$B$138, 0), MATCH(T$4&amp;T$5, LS_previous!$D$2:$AY$2&amp;LS_previous!$D$3:$AY$3, 0)),SUM(VLOOKUP($A73, LS_previous!$B$4:$AY$138, LS_previous!L$149, FALSE), VLOOKUP('Staging Table'!$A73, LS_previous!$B$4:$AY$138,LS_previous!AJ$149, FALSE))/2)</f>
        <v>1204.7543619487269</v>
      </c>
      <c r="U73" s="180">
        <f t="array" ref="U73">IF($G73=0, INDEX(LS_previous!$D$4:$AY$138, MATCH('Staging Table'!$A73, LS_previous!$B$4:$B$138, 0), MATCH(U$4&amp;U$5, LS_previous!$D$2:$AY$2&amp;LS_previous!$D$3:$AY$3, 0)),SUM(VLOOKUP($A73, LS_previous!$B$4:$AY$138, LS_previous!M$149, FALSE), VLOOKUP('Staging Table'!$A73, LS_previous!$B$4:$AY$138,LS_previous!AK$149, FALSE))/2)</f>
        <v>657.13088324609294</v>
      </c>
      <c r="V73" s="180">
        <f t="array" ref="V73">IF($G73=0, INDEX(LS_previous!$D$4:$AY$138, MATCH('Staging Table'!$A73, LS_previous!$B$4:$B$138, 0), MATCH(V$4&amp;V$5, LS_previous!$D$2:$AY$2&amp;LS_previous!$D$3:$AY$3, 0)),SUM(VLOOKUP($A73, LS_previous!$B$4:$AY$138, LS_previous!N$149, FALSE), VLOOKUP('Staging Table'!$A73, LS_previous!$B$4:$AY$138,LS_previous!AL$149, FALSE))/2)</f>
        <v>550.31564277101188</v>
      </c>
      <c r="W73" s="180">
        <f t="array" ref="W73">IF($G73=0, INDEX(LS_previous!$D$4:$AY$138, MATCH('Staging Table'!$A73, LS_previous!$B$4:$B$138, 0), MATCH(W$4&amp;W$5, LS_previous!$D$2:$AY$2&amp;LS_previous!$D$3:$AY$3, 0)),SUM(VLOOKUP($A73, LS_previous!$B$4:$AY$138, LS_previous!O$149, FALSE), VLOOKUP('Staging Table'!$A73, LS_previous!$B$4:$AY$138,LS_previous!AM$149, FALSE))/2)</f>
        <v>367.97737328618041</v>
      </c>
      <c r="X73" s="180">
        <f t="array" ref="X73">IF($G73=0, INDEX(LS_previous!$D$4:$AY$138, MATCH('Staging Table'!$A73, LS_previous!$B$4:$B$138, 0), MATCH(X$4&amp;X$5, LS_previous!$D$2:$AY$2&amp;LS_previous!$D$3:$AY$3, 0)),SUM(VLOOKUP($A73, LS_previous!$B$4:$AY$138, LS_previous!P$149, FALSE), VLOOKUP('Staging Table'!$A73, LS_previous!$B$4:$AY$138,LS_previous!AN$149, FALSE))/2)</f>
        <v>770.76073475313137</v>
      </c>
      <c r="Y73" s="180">
        <f t="array" ref="Y73">IF($G73=0, INDEX(LS_previous!$D$4:$AY$138, MATCH('Staging Table'!$A73, LS_previous!$B$4:$B$138, 0), MATCH(Y$4&amp;Y$5, LS_previous!$D$2:$AY$2&amp;LS_previous!$D$3:$AY$3, 0)),SUM(VLOOKUP($A73, LS_previous!$B$4:$AY$138, LS_previous!Q$149, FALSE), VLOOKUP('Staging Table'!$A73, LS_previous!$B$4:$AY$138,LS_previous!AO$149, FALSE))/2)</f>
        <v>495.88706372406205</v>
      </c>
      <c r="Z73" s="180">
        <f t="array" ref="Z73">IF($G73=0, INDEX(LS_previous!$D$4:$AY$138, MATCH('Staging Table'!$A73, LS_previous!$B$4:$B$138, 0), MATCH(Z$4&amp;Z$5, LS_previous!$D$2:$AY$2&amp;LS_previous!$D$3:$AY$3, 0)),SUM(VLOOKUP($A73, LS_previous!$B$4:$AY$138, LS_previous!R$149, FALSE), VLOOKUP('Staging Table'!$A73, LS_previous!$B$4:$AY$138,LS_previous!AP$149, FALSE))/2)</f>
        <v>-775.77294226654703</v>
      </c>
      <c r="AA73" s="180">
        <f t="array" ref="AA73">IF($G73=0, INDEX(LS_previous!$D$4:$AY$138, MATCH('Staging Table'!$A73, LS_previous!$B$4:$B$138, 0), MATCH(AA$4&amp;AA$5, LS_previous!$D$2:$AY$2&amp;LS_previous!$D$3:$AY$3, 0)),SUM(VLOOKUP($A73, LS_previous!$B$4:$AY$138, LS_previous!S$149, FALSE), VLOOKUP('Staging Table'!$A73, LS_previous!$B$4:$AY$138,LS_previous!AQ$149, FALSE))/2)</f>
        <v>-1.3633659049835387</v>
      </c>
      <c r="AB73" s="180">
        <f t="array" ref="AB73">IF($G73=0, INDEX(LS_previous!$D$4:$AY$138, MATCH('Staging Table'!$A73, LS_previous!$B$4:$B$138, 0), MATCH(AB$4&amp;AB$5, LS_previous!$D$2:$AY$2&amp;LS_previous!$D$3:$AY$3, 0)),SUM(VLOOKUP($A73, LS_previous!$B$4:$AY$138, LS_previous!T$149, FALSE), VLOOKUP('Staging Table'!$A73, LS_previous!$B$4:$AY$138,LS_previous!AR$149, FALSE))/2)</f>
        <v>-1144.1256700791882</v>
      </c>
      <c r="AC73" s="180">
        <f t="array" ref="AC73">IF($G73=0, INDEX(LS_previous!$D$4:$AY$138, MATCH('Staging Table'!$A73, LS_previous!$B$4:$B$138, 0), MATCH(AC$4&amp;AC$5, LS_previous!$D$2:$AY$2&amp;LS_previous!$D$3:$AY$3, 0)),SUM(VLOOKUP($A73, LS_previous!$B$4:$AY$138, LS_previous!U$149, FALSE), VLOOKUP('Staging Table'!$A73, LS_previous!$B$4:$AY$138,LS_previous!AS$149, FALSE))/2)</f>
        <v>-82.698886225990918</v>
      </c>
      <c r="AD73" s="180">
        <f t="array" ref="AD73">IF($G73=0, INDEX(LS_previous!$D$4:$AY$138, MATCH('Staging Table'!$A73, LS_previous!$B$4:$B$138, 0), MATCH(AD$4&amp;AD$5, LS_previous!$D$2:$AY$2&amp;LS_previous!$D$3:$AY$3, 0)),SUM(VLOOKUP($A73, LS_previous!$B$4:$AY$138, LS_previous!V$149, FALSE), VLOOKUP('Staging Table'!$A73, LS_previous!$B$4:$AY$138,LS_previous!AT$149, FALSE))/2)</f>
        <v>-377.58205894159164</v>
      </c>
      <c r="AE73" s="180">
        <f t="array" ref="AE73">IF($G73=0, INDEX(LS_previous!$D$4:$AY$138, MATCH('Staging Table'!$A73, LS_previous!$B$4:$B$138, 0), MATCH(AE$4&amp;AE$5, LS_previous!$D$2:$AY$2&amp;LS_previous!$D$3:$AY$3, 0)),SUM(VLOOKUP($A73, LS_previous!$B$4:$AY$138, LS_previous!W$149, FALSE), VLOOKUP('Staging Table'!$A73, LS_previous!$B$4:$AY$138,LS_previous!AU$149, FALSE))/2)</f>
        <v>59.75502577375164</v>
      </c>
      <c r="AF73" s="180">
        <f t="array" ref="AF73">IF($G73=0, INDEX(LS_previous!$D$4:$AY$138, MATCH('Staging Table'!$A73, LS_previous!$B$4:$B$138, 0), MATCH(AF$4&amp;AF$5, LS_previous!$D$2:$AY$2&amp;LS_previous!$D$3:$AY$3, 0)),SUM(VLOOKUP($A73, LS_previous!$B$4:$AY$138, LS_previous!X$149, FALSE), VLOOKUP('Staging Table'!$A73, LS_previous!$B$4:$AY$138,LS_previous!AV$149, FALSE))/2)</f>
        <v>-302.11952933579005</v>
      </c>
      <c r="AG73" s="180">
        <f t="array" ref="AG73">IF($G73=0, INDEX(LS_previous!$D$4:$AY$138, MATCH('Staging Table'!$A73, LS_previous!$B$4:$B$138, 0), MATCH(AG$4&amp;AG$5, LS_previous!$D$2:$AY$2&amp;LS_previous!$D$3:$AY$3, 0)),SUM(VLOOKUP($A73, LS_previous!$B$4:$AY$138, LS_previous!Y$149, FALSE), VLOOKUP('Staging Table'!$A73, LS_previous!$B$4:$AY$138,LS_previous!AW$149, FALSE))/2)</f>
        <v>-50.346742651484192</v>
      </c>
      <c r="AH73" s="180">
        <f t="array" ref="AH73">IF($G73=0, INDEX(LS_previous!$D$4:$AY$138, MATCH('Staging Table'!$A73, LS_previous!$B$4:$B$138, 0), MATCH(AH$4&amp;AH$5, LS_previous!$D$2:$AY$2&amp;LS_previous!$D$3:$AY$3, 0)),SUM(VLOOKUP($A73, LS_previous!$B$4:$AY$138, LS_previous!Z$149, FALSE), VLOOKUP('Staging Table'!$A73, LS_previous!$B$4:$AY$138,LS_previous!AX$149, FALSE))/2)</f>
        <v>-492.67182602746198</v>
      </c>
      <c r="AI73" s="180">
        <f t="array" ref="AI73">IF($G73=0, INDEX(LS_previous!$D$4:$AY$138, MATCH('Staging Table'!$A73, LS_previous!$B$4:$B$138, 0), MATCH(AI$4&amp;AI$5, LS_previous!$D$2:$AY$2&amp;LS_previous!$D$3:$AY$3, 0)),SUM(VLOOKUP($A73, LS_previous!$B$4:$AY$138, LS_previous!AA$149, FALSE), VLOOKUP('Staging Table'!$A73, LS_previous!$B$4:$AY$138,LS_previous!AY$149, FALSE))/2)</f>
        <v>-124.94060310823875</v>
      </c>
      <c r="AJ73" s="298">
        <f t="array" ref="AJ73">INDEX(Demand_previous!$D$4:$AY$138, MATCH('Staging Table'!$A73, Demand_previous!$B$4:$B$138, 0), MATCH(AJ$4&amp;AJ$5,Demand_previous!$D$2:$AY$2&amp;Demand_previous!$D$3:$AY$3, 0))/1000</f>
        <v>0.69144951923076947</v>
      </c>
      <c r="AK73" s="298">
        <f t="array" ref="AK73">INDEX(Demand_previous!$D$4:$AY$138, MATCH('Staging Table'!$A73, Demand_previous!$B$4:$B$138, 0), MATCH(AK$4&amp;AK$5,Demand_previous!$D$2:$AY$2&amp;Demand_previous!$D$3:$AY$3, 0))/1000</f>
        <v>0.8750050000000007</v>
      </c>
      <c r="AL73" s="298">
        <f t="array" ref="AL73">INDEX(Demand_previous!$D$4:$AY$138, MATCH('Staging Table'!$A73, Demand_previous!$B$4:$B$138, 0), MATCH(AL$4&amp;AL$5,Demand_previous!$D$2:$AY$2&amp;Demand_previous!$D$3:$AY$3, 0))/1000</f>
        <v>0.65795192307692529</v>
      </c>
      <c r="AM73" s="298">
        <f t="array" ref="AM73">INDEX(Demand_previous!$D$4:$AY$138, MATCH('Staging Table'!$A73, Demand_previous!$B$4:$B$138, 0), MATCH(AM$4&amp;AM$5,Demand_previous!$D$2:$AY$2&amp;Demand_previous!$D$3:$AY$3, 0))/1000</f>
        <v>0.54285250000000085</v>
      </c>
      <c r="AN73" s="298">
        <f t="array" ref="AN73">INDEX(Demand_previous!$D$4:$AY$138, MATCH('Staging Table'!$A73, Demand_previous!$B$4:$B$138, 0), MATCH(AN$4&amp;AN$5,Demand_previous!$D$2:$AY$2&amp;Demand_previous!$D$3:$AY$3, 0))/1000</f>
        <v>1.1253984374999999</v>
      </c>
      <c r="AO73" s="298">
        <f t="array" ref="AO73">INDEX(Demand_previous!$D$4:$AY$138, MATCH('Staging Table'!$A73, Demand_previous!$B$4:$B$138, 0), MATCH(AO$4&amp;AO$5,Demand_previous!$D$2:$AY$2&amp;Demand_previous!$D$3:$AY$3, 0))/1000</f>
        <v>1.338430555555556</v>
      </c>
      <c r="AP73" s="298">
        <f t="array" ref="AP73">INDEX(Demand_previous!$D$4:$AY$138, MATCH('Staging Table'!$A73, Demand_previous!$B$4:$B$138, 0), MATCH(AP$4&amp;AP$5,Demand_previous!$D$2:$AY$2&amp;Demand_previous!$D$3:$AY$3, 0))/1000</f>
        <v>0.6839086538461534</v>
      </c>
      <c r="AQ73" s="298">
        <f t="array" ref="AQ73">INDEX(Demand_previous!$D$4:$AY$138, MATCH('Staging Table'!$A73, Demand_previous!$B$4:$B$138, 0), MATCH(AQ$4&amp;AQ$5,Demand_previous!$D$2:$AY$2&amp;Demand_previous!$D$3:$AY$3, 0))/1000</f>
        <v>1.3437450000000006</v>
      </c>
      <c r="AR73" s="298">
        <f t="array" ref="AR73">INDEX(Demand_previous!$D$4:$AY$138, MATCH('Staging Table'!$A73, Demand_previous!$B$4:$B$138, 0), MATCH(AR$4&amp;AR$5,Demand_previous!$D$2:$AY$2&amp;Demand_previous!$D$3:$AY$3, 0))/1000</f>
        <v>1.214278846153847</v>
      </c>
      <c r="AS73" s="298">
        <f t="array" ref="AS73">INDEX(Demand_previous!$D$4:$AY$138, MATCH('Staging Table'!$A73, Demand_previous!$B$4:$B$138, 0), MATCH(AS$4&amp;AS$5,Demand_previous!$D$2:$AY$2&amp;Demand_previous!$D$3:$AY$3, 0))/1000</f>
        <v>1.3200850000000008</v>
      </c>
      <c r="AT73" s="298">
        <f t="array" ref="AT73">INDEX(Demand_previous!$D$4:$AY$138, MATCH('Staging Table'!$A73, Demand_previous!$B$4:$B$138, 0), MATCH(AT$4&amp;AT$5,Demand_previous!$D$2:$AY$2&amp;Demand_previous!$D$3:$AY$3, 0))/1000</f>
        <v>1.1317638888888881</v>
      </c>
      <c r="AU73" s="298">
        <f t="array" ref="AU73">INDEX(Demand_previous!$D$4:$AY$138, MATCH('Staging Table'!$A73, Demand_previous!$B$4:$B$138, 0), MATCH(AU$4&amp;AU$5,Demand_previous!$D$2:$AY$2&amp;Demand_previous!$D$3:$AY$3, 0))/1000</f>
        <v>1.2351224999999997</v>
      </c>
      <c r="AV73" s="180">
        <f>$F73*(VLOOKUP(AV$4, Rates_previous!$G$6:$Q$29, 10, FALSE)+VLOOKUP(AV$4, Rates_previous!$G$6:$Q$29, 11, FALSE))</f>
        <v>4006.9980978293634</v>
      </c>
      <c r="AW73" s="180">
        <f>$F73*(VLOOKUP(AW$4, Rates_previous!$G$6:$Q$29, 10, FALSE)+VLOOKUP(AW$4, Rates_previous!$G$6:$Q$29, 11, FALSE))</f>
        <v>5073.005015820323</v>
      </c>
      <c r="AX73" s="180">
        <f>$F73*(VLOOKUP(AX$4, Rates_previous!$G$6:$Q$29, 10, FALSE)+VLOOKUP(AX$4, Rates_previous!$G$6:$Q$29, 11, FALSE))</f>
        <v>4965.4584092323485</v>
      </c>
      <c r="AY73" s="180">
        <f>$F73*(VLOOKUP(AY$4, Rates_previous!$G$6:$Q$29, 10, FALSE)+VLOOKUP(AY$4, Rates_previous!$G$6:$Q$29, 11, FALSE))</f>
        <v>4101.2574906921091</v>
      </c>
      <c r="AZ73" s="180">
        <f>$F73*(VLOOKUP(AZ$4, Rates_previous!$G$6:$Q$29, 10, FALSE)+VLOOKUP(AZ$4, Rates_previous!$G$6:$Q$29, 11, FALSE))</f>
        <v>3554.6497548051802</v>
      </c>
      <c r="BA73" s="180">
        <f>$F73*(VLOOKUP(BA$4, Rates_previous!$G$6:$Q$29, 10, FALSE)+VLOOKUP(BA$4, Rates_previous!$G$6:$Q$29, 11, FALSE))</f>
        <v>4243.5339839428088</v>
      </c>
      <c r="BB73" s="180">
        <f>$F73*(VLOOKUP(BB$4, Rates_previous!$G$6:$Q$29, 10, FALSE)+VLOOKUP(BB$4, Rates_previous!$G$6:$Q$29, 11, FALSE))</f>
        <v>3294.5392015228067</v>
      </c>
      <c r="BC73" s="180">
        <f>$F73*(VLOOKUP(BC$4, Rates_previous!$G$6:$Q$29, 10, FALSE)+VLOOKUP(BC$4, Rates_previous!$G$6:$Q$29, 11, FALSE))</f>
        <v>4564.6083081715306</v>
      </c>
      <c r="BD73" s="180">
        <f>$F73*(VLOOKUP(BD$4, Rates_previous!$G$6:$Q$29, 10, FALSE)+VLOOKUP(BD$4, Rates_previous!$G$6:$Q$29, 11, FALSE))</f>
        <v>4877.3795563051781</v>
      </c>
      <c r="BE73" s="180">
        <f>$F73*(VLOOKUP(BE$4, Rates_previous!$G$6:$Q$29, 10, FALSE)+VLOOKUP(BE$4, Rates_previous!$G$6:$Q$29, 11, FALSE))</f>
        <v>4630.8510331678408</v>
      </c>
      <c r="BF73" s="180">
        <f>$F73*(VLOOKUP(BF$4, Rates_previous!$G$6:$Q$29, 10, FALSE)+VLOOKUP(BF$4, Rates_previous!$G$6:$Q$29, 11, FALSE))</f>
        <v>4475.3602719872742</v>
      </c>
      <c r="BG73" s="180">
        <f>$F73*(VLOOKUP(BG$4, Rates_previous!$G$6:$Q$29, 10, FALSE)+VLOOKUP(BG$4, Rates_previous!$G$6:$Q$29, 11, FALSE))</f>
        <v>4135.6994291357014</v>
      </c>
      <c r="BH73" s="298">
        <f>IF($D73=0,IF(C73=0, MAX(BJ73 - (VLOOKUP($A73,TOCA_previous!$A$2:$AI$137,MATCH("RHWM 2022",TOCA_previous!$A$2:$AI$2,0),FALSE)*$F$2*TOCA_previous!C70),0),0), 0)</f>
        <v>7185.9666561035338</v>
      </c>
      <c r="BI73" s="192">
        <f>MIN(VLOOKUP($A73,TOCA_previous!$A$2:$AI$137,MATCH("TRL - NLSL - Existing Resource "&amp;$F$1,TOCA_previous!$A$2:$AI$2,0),FALSE)*$F$2,(VLOOKUP($A73,TOCA_previous!$A$2:$AI$137,MATCH("RHWM 2022",TOCA_previous!$A$2:$AI$2,0),FALSE)*$F$2))</f>
        <v>51920.52</v>
      </c>
      <c r="BJ73" s="402">
        <f>SUM(L73:AI73)+(F73*RT1SC!$C$3*$F$2)</f>
        <v>59106.486656103531</v>
      </c>
      <c r="BK73" s="401">
        <f>VLOOKUP($A73,TOCA_previous!$A$2:$AI$137,MATCH("Above RHWM Not Served with LS "&amp;$F$1,TOCA_previous!$A$2:$AI$2,0),FALSE)*$F$2</f>
        <v>0</v>
      </c>
      <c r="BL73" s="402">
        <f t="shared" si="27"/>
        <v>7185.9666561035338</v>
      </c>
      <c r="BM73" s="401">
        <f>(VLOOKUP($A73,TOCA_previous!$A$2:$AI$137,MATCH("RHWM 2022",TOCA_previous!$A$2:$AI$2,0),FALSE)*$F$2) - $BI73</f>
        <v>0</v>
      </c>
      <c r="BN73" s="402">
        <f t="shared" si="28"/>
        <v>0</v>
      </c>
      <c r="BO73" s="401">
        <f t="shared" si="29"/>
        <v>0</v>
      </c>
      <c r="BP73" s="402">
        <f t="shared" si="30"/>
        <v>0</v>
      </c>
      <c r="BQ73" s="401">
        <f t="shared" si="21"/>
        <v>0</v>
      </c>
      <c r="BR73" s="108">
        <f>VLOOKUP($A73,TOCA_current!$A$2:$AI$137,MATCH(BR$4,TOCA_current!$A$2:$AI$2,0),FALSE)</f>
        <v>8.7960000000000002E-4</v>
      </c>
      <c r="BS73" s="108">
        <f>VLOOKUP($A73,TOCA_current!$A$2:$AI$137,MATCH(BS$4,TOCA_current!$A$2:$AI$2,0),FALSE)</f>
        <v>8.7960000000000002E-4</v>
      </c>
      <c r="BT73" s="189">
        <f t="shared" si="31"/>
        <v>0</v>
      </c>
      <c r="BU73" s="108">
        <f>VLOOKUP($A73,TOCA_current!A69:BG204,MATCH(BU$4,TOCA_current!$A$2:$BG$2,0),FALSE)</f>
        <v>7.5813616610333187E-2</v>
      </c>
      <c r="BV73" s="108">
        <f t="shared" si="22"/>
        <v>0</v>
      </c>
      <c r="BW73" s="108">
        <f t="shared" si="23"/>
        <v>0</v>
      </c>
      <c r="BX73" s="179">
        <f>VLOOKUP($A73,IRD!$A$4:$G$139, 7, FALSE)</f>
        <v>0</v>
      </c>
      <c r="BY73" s="180">
        <f t="array" ref="BY73">IF($BT73=0, INDEX(LS_current!$D$4:$AY$138, MATCH('Staging Table'!$A73, LS_current!$B$4:$B$138, 0), MATCH(BY$4&amp;BY$5, LS_current!$D$2:$AY$2&amp;LS_current!$D$3:$AY$3, 0)),SUM(VLOOKUP($A73, LS_current!$B$4:$AY$138, LS_current!D$148, FALSE), VLOOKUP($A73, LS_current!$B$4:$AY$138,LS_current!AB$148, FALSE))/2)</f>
        <v>367.16322593439963</v>
      </c>
      <c r="BZ73" s="180">
        <f t="array" ref="BZ73">IF($BT73=0, INDEX(LS_current!$D$4:$AY$138, MATCH('Staging Table'!$A73, LS_current!$B$4:$B$138, 0), MATCH(BZ$4&amp;BZ$5, LS_current!$D$2:$AY$2&amp;LS_current!$D$3:$AY$3, 0)),SUM(VLOOKUP($A73, LS_current!$B$4:$AY$138, LS_current!E$148, FALSE), VLOOKUP($A73, LS_current!$B$4:$AY$138,LS_current!AC$148, FALSE))/2)</f>
        <v>64.033985450199907</v>
      </c>
      <c r="CA73" s="180">
        <f t="array" ref="CA73">IF($BT73=0, INDEX(LS_current!$D$4:$AY$138, MATCH('Staging Table'!$A73, LS_current!$B$4:$B$138, 0), MATCH(CA$4&amp;CA$5, LS_current!$D$2:$AY$2&amp;LS_current!$D$3:$AY$3, 0)),SUM(VLOOKUP($A73, LS_current!$B$4:$AY$138, LS_current!F$148, FALSE), VLOOKUP($A73, LS_current!$B$4:$AY$138,LS_current!AD$148, FALSE))/2)</f>
        <v>546.95494629120003</v>
      </c>
      <c r="CB73" s="180">
        <f t="array" ref="CB73">IF($BT73=0, INDEX(LS_current!$D$4:$AY$138, MATCH('Staging Table'!$A73, LS_current!$B$4:$B$138, 0), MATCH(CB$4&amp;CB$5, LS_current!$D$2:$AY$2&amp;LS_current!$D$3:$AY$3, 0)),SUM(VLOOKUP($A73, LS_current!$B$4:$AY$138, LS_current!G$148, FALSE), VLOOKUP($A73, LS_current!$B$4:$AY$138,LS_current!AE$148, FALSE))/2)</f>
        <v>504.98415617239971</v>
      </c>
      <c r="CC73" s="180">
        <f t="array" ref="CC73">IF($BT73=0, INDEX(LS_current!$D$4:$AY$138, MATCH('Staging Table'!$A73, LS_current!$B$4:$B$138, 0), MATCH(CC$4&amp;CC$5, LS_current!$D$2:$AY$2&amp;LS_current!$D$3:$AY$3, 0)),SUM(VLOOKUP($A73, LS_current!$B$4:$AY$138, LS_current!H$148, FALSE), VLOOKUP($A73, LS_current!$B$4:$AY$138,LS_current!AF$148, FALSE))/2)</f>
        <v>1251.4327439755994</v>
      </c>
      <c r="CD73" s="180">
        <f t="array" ref="CD73">IF($BT73=0, INDEX(LS_current!$D$4:$AY$138, MATCH('Staging Table'!$A73, LS_current!$B$4:$B$138, 0), MATCH(CD$4&amp;CD$5, LS_current!$D$2:$AY$2&amp;LS_current!$D$3:$AY$3, 0)),SUM(VLOOKUP($A73, LS_current!$B$4:$AY$138, LS_current!I$148, FALSE), VLOOKUP($A73, LS_current!$B$4:$AY$138,LS_current!AG$148, FALSE))/2)</f>
        <v>1077.3679449984002</v>
      </c>
      <c r="CE73" s="180">
        <f t="array" ref="CE73">IF($BT73=0, INDEX(LS_current!$D$4:$AY$138, MATCH('Staging Table'!$A73, LS_current!$B$4:$B$138, 0), MATCH(CE$4&amp;CE$5, LS_current!$D$2:$AY$2&amp;LS_current!$D$3:$AY$3, 0)),SUM(VLOOKUP($A73, LS_current!$B$4:$AY$138, LS_current!J$148, FALSE), VLOOKUP($A73, LS_current!$B$4:$AY$138,LS_current!AH$148, FALSE))/2)</f>
        <v>916.54456748599978</v>
      </c>
      <c r="CF73" s="180">
        <f t="array" ref="CF73">IF($BT73=0, INDEX(LS_current!$D$4:$AY$138, MATCH('Staging Table'!$A73, LS_current!$B$4:$B$138, 0), MATCH(CF$4&amp;CF$5, LS_current!$D$2:$AY$2&amp;LS_current!$D$3:$AY$3, 0)),SUM(VLOOKUP($A73, LS_current!$B$4:$AY$138, LS_current!K$148, FALSE), VLOOKUP($A73, LS_current!$B$4:$AY$138,LS_current!AI$148, FALSE))/2)</f>
        <v>988.25578969159983</v>
      </c>
      <c r="CG73" s="180">
        <f t="array" ref="CG73">IF($BT73=0, INDEX(LS_current!$D$4:$AY$138, MATCH('Staging Table'!$A73, LS_current!$B$4:$B$138, 0), MATCH(CG$4&amp;CG$5, LS_current!$D$2:$AY$2&amp;LS_current!$D$3:$AY$3, 0)),SUM(VLOOKUP($A73, LS_current!$B$4:$AY$138, LS_current!L$148, FALSE), VLOOKUP($A73, LS_current!$B$4:$AY$138,LS_current!AJ$148, FALSE))/2)</f>
        <v>366.9306248316002</v>
      </c>
      <c r="CH73" s="180">
        <f t="array" ref="CH73">IF($BT73=0, INDEX(LS_current!$D$4:$AY$138, MATCH('Staging Table'!$A73, LS_current!$B$4:$B$138, 0), MATCH(CH$4&amp;CH$5, LS_current!$D$2:$AY$2&amp;LS_current!$D$3:$AY$3, 0)),SUM(VLOOKUP($A73, LS_current!$B$4:$AY$138, LS_current!M$148, FALSE), VLOOKUP($A73, LS_current!$B$4:$AY$138,LS_current!AK$148, FALSE))/2)</f>
        <v>484.5702368635998</v>
      </c>
      <c r="CI73" s="180">
        <f t="array" ref="CI73">IF($BT73=0, INDEX(LS_current!$D$4:$AY$138, MATCH('Staging Table'!$A73, LS_current!$B$4:$B$138, 0), MATCH(CI$4&amp;CI$5, LS_current!$D$2:$AY$2&amp;LS_current!$D$3:$AY$3, 0)),SUM(VLOOKUP($A73, LS_current!$B$4:$AY$138, LS_current!N$148, FALSE), VLOOKUP($A73, LS_current!$B$4:$AY$138,LS_current!AL$148, FALSE))/2)</f>
        <v>121.88914820519994</v>
      </c>
      <c r="CJ73" s="180">
        <f t="array" ref="CJ73">IF($BT73=0, INDEX(LS_current!$D$4:$AY$138, MATCH('Staging Table'!$A73, LS_current!$B$4:$B$138, 0), MATCH(CJ$4&amp;CJ$5, LS_current!$D$2:$AY$2&amp;LS_current!$D$3:$AY$3, 0)),SUM(VLOOKUP($A73, LS_current!$B$4:$AY$138, LS_current!O$148, FALSE), VLOOKUP($A73, LS_current!$B$4:$AY$138,LS_current!AM$148, FALSE))/2)</f>
        <v>55.824404071199979</v>
      </c>
      <c r="CK73" s="180">
        <f t="array" ref="CK73">IF($BT73=0, INDEX(LS_current!$D$4:$AY$138, MATCH('Staging Table'!$A73, LS_current!$B$4:$B$138, 0), MATCH(CK$4&amp;CK$5, LS_current!$D$2:$AY$2&amp;LS_current!$D$3:$AY$3, 0)),SUM(VLOOKUP($A73, LS_current!$B$4:$AY$138, LS_current!P$148, FALSE), VLOOKUP($A73, LS_current!$B$4:$AY$138,LS_current!AN$148, FALSE))/2)</f>
        <v>406.33611891100009</v>
      </c>
      <c r="CL73" s="180">
        <f t="array" ref="CL73">IF($BT73=0, INDEX(LS_current!$D$4:$AY$138, MATCH('Staging Table'!$A73, LS_current!$B$4:$B$138, 0), MATCH(CL$4&amp;CL$5, LS_current!$D$2:$AY$2&amp;LS_current!$D$3:$AY$3, 0)),SUM(VLOOKUP($A73, LS_current!$B$4:$AY$138, LS_current!Q$148, FALSE), VLOOKUP($A73, LS_current!$B$4:$AY$138,LS_current!AO$148, FALSE))/2)</f>
        <v>220.73323904470021</v>
      </c>
      <c r="CM73" s="180">
        <f t="array" ref="CM73">IF($BT73=0, INDEX(LS_current!$D$4:$AY$138, MATCH('Staging Table'!$A73, LS_current!$B$4:$B$138, 0), MATCH(CM$4&amp;CM$5, LS_current!$D$2:$AY$2&amp;LS_current!$D$3:$AY$3, 0)),SUM(VLOOKUP($A73, LS_current!$B$4:$AY$138, LS_current!R$148, FALSE), VLOOKUP($A73, LS_current!$B$4:$AY$138,LS_current!AP$148, FALSE))/2)</f>
        <v>-665.74809950080044</v>
      </c>
      <c r="CN73" s="180">
        <f t="array" ref="CN73">IF($BT73=0, INDEX(LS_current!$D$4:$AY$138, MATCH('Staging Table'!$A73, LS_current!$B$4:$B$138, 0), MATCH(CN$4&amp;CN$5, LS_current!$D$2:$AY$2&amp;LS_current!$D$3:$AY$3, 0)),SUM(VLOOKUP($A73, LS_current!$B$4:$AY$138, LS_current!S$148, FALSE), VLOOKUP($A73, LS_current!$B$4:$AY$138,LS_current!AQ$148, FALSE))/2)</f>
        <v>-427.58003181660001</v>
      </c>
      <c r="CO73" s="180">
        <f t="array" ref="CO73">IF($BT73=0, INDEX(LS_current!$D$4:$AY$138, MATCH('Staging Table'!$A73, LS_current!$B$4:$B$138, 0), MATCH(CO$4&amp;CO$5, LS_current!$D$2:$AY$2&amp;LS_current!$D$3:$AY$3, 0)),SUM(VLOOKUP($A73, LS_current!$B$4:$AY$138, LS_current!T$148, FALSE), VLOOKUP($A73, LS_current!$B$4:$AY$138,LS_current!AR$148, FALSE))/2)</f>
        <v>-797.3229717096001</v>
      </c>
      <c r="CP73" s="180">
        <f t="array" ref="CP73">IF($BT73=0, INDEX(LS_current!$D$4:$AY$138, MATCH('Staging Table'!$A73, LS_current!$B$4:$B$138, 0), MATCH(CP$4&amp;CP$5, LS_current!$D$2:$AY$2&amp;LS_current!$D$3:$AY$3, 0)),SUM(VLOOKUP($A73, LS_current!$B$4:$AY$138, LS_current!U$148, FALSE), VLOOKUP($A73, LS_current!$B$4:$AY$138,LS_current!AS$148, FALSE))/2)</f>
        <v>-538.82333793820021</v>
      </c>
      <c r="CQ73" s="180">
        <f t="array" ref="CQ73">IF($BT73=0, INDEX(LS_current!$D$4:$AY$138, MATCH('Staging Table'!$A73, LS_current!$B$4:$B$138, 0), MATCH(CQ$4&amp;CQ$5, LS_current!$D$2:$AY$2&amp;LS_current!$D$3:$AY$3, 0)),SUM(VLOOKUP($A73, LS_current!$B$4:$AY$138, LS_current!V$148, FALSE), VLOOKUP($A73, LS_current!$B$4:$AY$138,LS_current!AT$148, FALSE))/2)</f>
        <v>9.0048603855998408</v>
      </c>
      <c r="CR73" s="180">
        <f t="array" ref="CR73">IF($BT73=0, INDEX(LS_current!$D$4:$AY$138, MATCH('Staging Table'!$A73, LS_current!$B$4:$B$138, 0), MATCH(CR$4&amp;CR$5, LS_current!$D$2:$AY$2&amp;LS_current!$D$3:$AY$3, 0)),SUM(VLOOKUP($A73, LS_current!$B$4:$AY$138, LS_current!W$148, FALSE), VLOOKUP($A73, LS_current!$B$4:$AY$138,LS_current!AU$148, FALSE))/2)</f>
        <v>-25.156023149000021</v>
      </c>
      <c r="CS73" s="180">
        <f t="array" ref="CS73">IF($BT73=0, INDEX(LS_current!$D$4:$AY$138, MATCH('Staging Table'!$A73, LS_current!$B$4:$B$138, 0), MATCH(CS$4&amp;CS$5, LS_current!$D$2:$AY$2&amp;LS_current!$D$3:$AY$3, 0)),SUM(VLOOKUP($A73, LS_current!$B$4:$AY$138, LS_current!X$148, FALSE), VLOOKUP($A73, LS_current!$B$4:$AY$138,LS_current!AV$148, FALSE))/2)</f>
        <v>56.877965148599742</v>
      </c>
      <c r="CT73" s="180">
        <f t="array" ref="CT73">IF($BT73=0, INDEX(LS_current!$D$4:$AY$138, MATCH('Staging Table'!$A73, LS_current!$B$4:$B$138, 0), MATCH(CT$4&amp;CT$5, LS_current!$D$2:$AY$2&amp;LS_current!$D$3:$AY$3, 0)),SUM(VLOOKUP($A73, LS_current!$B$4:$AY$138, LS_current!Y$148, FALSE), VLOOKUP($A73, LS_current!$B$4:$AY$138,LS_current!AW$148, FALSE))/2)</f>
        <v>-119.14561503606001</v>
      </c>
      <c r="CU73" s="180">
        <f t="array" ref="CU73">IF($BT73=0, INDEX(LS_current!$D$4:$AY$138, MATCH('Staging Table'!$A73, LS_current!$B$4:$B$138, 0), MATCH(CU$4&amp;CU$5, LS_current!$D$2:$AY$2&amp;LS_current!$D$3:$AY$3, 0)),SUM(VLOOKUP($A73, LS_current!$B$4:$AY$138, LS_current!Z$148, FALSE), VLOOKUP($A73, LS_current!$B$4:$AY$138,LS_current!AX$148, FALSE))/2)</f>
        <v>-153.34870581040013</v>
      </c>
      <c r="CV73" s="180">
        <f t="array" ref="CV73">IF($BT73=0, INDEX(LS_current!$D$4:$AY$138, MATCH('Staging Table'!$A73, LS_current!$B$4:$B$138, 0), MATCH(CV$4&amp;CV$5, LS_current!$D$2:$AY$2&amp;LS_current!$D$3:$AY$3, 0)),SUM(VLOOKUP($A73, LS_current!$B$4:$AY$138, LS_current!AA$148, FALSE), VLOOKUP($A73, LS_current!$B$4:$AY$138,LS_current!AY$148, FALSE))/2)</f>
        <v>-179.72346387840003</v>
      </c>
      <c r="CW73" s="182">
        <f t="array" ref="CW73">INDEX(Demand_current!$D$4:$AY$138, MATCH($A73, Demand_current!$B$4:$B$138, 0), MATCH(CW$4&amp;CW$5,Demand_current!$D$2:$AY$2&amp;Demand_current!$D$3:$AY$3, 0))/1000</f>
        <v>0.69144951923076947</v>
      </c>
      <c r="CX73" s="182">
        <f t="array" ref="CX73">INDEX(Demand_current!$D$4:$AY$138, MATCH($A73, Demand_current!$B$4:$B$138, 0), MATCH(CX$4&amp;CX$5,Demand_current!$D$2:$AY$2&amp;Demand_current!$D$3:$AY$3, 0))/1000</f>
        <v>0.8750050000000007</v>
      </c>
      <c r="CY73" s="182">
        <f t="array" ref="CY73">INDEX(Demand_current!$D$4:$AY$138, MATCH($A73, Demand_current!$B$4:$B$138, 0), MATCH(CY$4&amp;CY$5,Demand_current!$D$2:$AY$2&amp;Demand_current!$D$3:$AY$3, 0))/1000</f>
        <v>0.23987000000000114</v>
      </c>
      <c r="CZ73" s="182">
        <f t="array" ref="CZ73">INDEX(Demand_current!$D$4:$AY$138, MATCH($A73, Demand_current!$B$4:$B$138, 0), MATCH(CZ$4&amp;CZ$5,Demand_current!$D$2:$AY$2&amp;Demand_current!$D$3:$AY$3, 0))/1000</f>
        <v>0.94693509615384608</v>
      </c>
      <c r="DA73" s="182">
        <f t="array" ref="DA73">INDEX(Demand_current!$D$4:$AY$138, MATCH($A73, Demand_current!$B$4:$B$138, 0), MATCH(DA$4&amp;DA$5,Demand_current!$D$2:$AY$2&amp;Demand_current!$D$3:$AY$3, 0))/1000</f>
        <v>1.4659824999999995</v>
      </c>
      <c r="DB73" s="182">
        <f t="array" ref="DB73">INDEX(Demand_current!$D$4:$AY$138, MATCH($A73, Demand_current!$B$4:$B$138, 0), MATCH(DB$4&amp;DB$5,Demand_current!$D$2:$AY$2&amp;Demand_current!$D$3:$AY$3, 0))/1000</f>
        <v>1.0574086538461538</v>
      </c>
      <c r="DC73" s="182">
        <f t="array" ref="DC73">INDEX(Demand_current!$D$4:$AY$138, MATCH($A73, Demand_current!$B$4:$B$138, 0), MATCH(DC$4&amp;DC$5,Demand_current!$D$2:$AY$2&amp;Demand_current!$D$3:$AY$3, 0))/1000</f>
        <v>0.6839086538461534</v>
      </c>
      <c r="DD73" s="182">
        <f t="array" ref="DD73">INDEX(Demand_current!$D$4:$AY$138, MATCH($A73, Demand_current!$B$4:$B$138, 0), MATCH(DD$4&amp;DD$5,Demand_current!$D$2:$AY$2&amp;Demand_current!$D$3:$AY$3, 0))/1000</f>
        <v>1.5649086538461536</v>
      </c>
      <c r="DE73" s="182">
        <f t="array" ref="DE73">INDEX(Demand_current!$D$4:$AY$138, MATCH($A73, Demand_current!$B$4:$B$138, 0), MATCH(DE$4&amp;DE$5,Demand_current!$D$2:$AY$2&amp;Demand_current!$D$3:$AY$3, 0))/1000</f>
        <v>0.98985000000000078</v>
      </c>
      <c r="DF73" s="182">
        <f t="array" ref="DF73">INDEX(Demand_current!$D$4:$AY$138, MATCH($A73, Demand_current!$B$4:$B$138, 0), MATCH(DF$4&amp;DF$5,Demand_current!$D$2:$AY$2&amp;Demand_current!$D$3:$AY$3, 0))/1000</f>
        <v>1.5803509615384626</v>
      </c>
      <c r="DG73" s="182">
        <f t="array" ref="DG73">INDEX(Demand_current!$D$4:$AY$138, MATCH($A73, Demand_current!$B$4:$B$138, 0), MATCH(DG$4&amp;DG$5,Demand_current!$D$2:$AY$2&amp;Demand_current!$D$3:$AY$3, 0))/1000</f>
        <v>1.1317638888888881</v>
      </c>
      <c r="DH73" s="182">
        <f t="array" ref="DH73">INDEX(Demand_current!$D$4:$AY$138, MATCH($A73, Demand_current!$B$4:$B$138, 0), MATCH(DH$4&amp;DH$5,Demand_current!$D$2:$AY$2&amp;Demand_current!$D$3:$AY$3, 0))/1000</f>
        <v>1.0115026041666657</v>
      </c>
      <c r="DI73" s="180">
        <f>$BS73*(VLOOKUP(DI$4, Rates_current!$G$6:$Q$29, 10, FALSE)+VLOOKUP(DI$4, Rates_current!$G$6:$Q$29, 11, FALSE))</f>
        <v>3710.8597886154002</v>
      </c>
      <c r="DJ73" s="180">
        <f>$BS73*(VLOOKUP(DJ$4, Rates_current!$G$6:$Q$29, 10, FALSE)+VLOOKUP(DJ$4, Rates_current!$G$6:$Q$29, 11, FALSE))</f>
        <v>4732.5698975364012</v>
      </c>
      <c r="DK73" s="180">
        <f>$BS73*(VLOOKUP(DK$4, Rates_current!$G$6:$Q$29, 10, FALSE)+VLOOKUP(DK$4, Rates_current!$G$6:$Q$29, 11, FALSE))</f>
        <v>5107.3793110260003</v>
      </c>
      <c r="DL73" s="180">
        <f>$BS73*(VLOOKUP(DL$4, Rates_current!$G$6:$Q$29, 10, FALSE)+VLOOKUP(DL$4, Rates_current!$G$6:$Q$29, 11, FALSE))</f>
        <v>5307.3566428224003</v>
      </c>
      <c r="DM73" s="180">
        <f>$BS73*(VLOOKUP(DM$4, Rates_current!$G$6:$Q$29, 10, FALSE)+VLOOKUP(DM$4, Rates_current!$G$6:$Q$29, 11, FALSE))</f>
        <v>4565.0341383047999</v>
      </c>
      <c r="DN73" s="180">
        <f>$BS73*(VLOOKUP(DN$4, Rates_current!$G$6:$Q$29, 10, FALSE)+VLOOKUP(DN$4, Rates_current!$G$6:$Q$29, 11, FALSE))</f>
        <v>4984.1134477236001</v>
      </c>
      <c r="DO73" s="180">
        <f>$BS73*(VLOOKUP(DO$4, Rates_current!$G$6:$Q$29, 10, FALSE)+VLOOKUP(DO$4, Rates_current!$G$6:$Q$29, 11, FALSE))</f>
        <v>3934.1176420442998</v>
      </c>
      <c r="DP73" s="180">
        <f>$BS73*(VLOOKUP(DP$4, Rates_current!$G$6:$Q$29, 10, FALSE)+VLOOKUP(DP$4, Rates_current!$G$6:$Q$29, 11, FALSE))</f>
        <v>4880.8001313174</v>
      </c>
      <c r="DQ73" s="180">
        <f>$BS73*(VLOOKUP(DQ$4, Rates_current!$G$6:$Q$29, 10, FALSE)+VLOOKUP(DQ$4, Rates_current!$G$6:$Q$29, 11, FALSE))</f>
        <v>4986.7013096477995</v>
      </c>
      <c r="DR73" s="180">
        <f>$BS73*(VLOOKUP(DR$4, Rates_current!$G$6:$Q$29, 10, FALSE)+VLOOKUP(DR$4, Rates_current!$G$6:$Q$29, 11, FALSE))</f>
        <v>4329.1751627634003</v>
      </c>
      <c r="DS73" s="180">
        <f>$BS73*(VLOOKUP(DS$4, Rates_current!$G$6:$Q$29, 10, FALSE)+VLOOKUP(DS$4, Rates_current!$G$6:$Q$29, 11, FALSE))</f>
        <v>4185.161649887461</v>
      </c>
      <c r="DT73" s="180">
        <f>$BS73*(VLOOKUP(DT$4, Rates_current!$G$6:$Q$29, 10, FALSE)+VLOOKUP(DT$4, Rates_current!$G$6:$Q$29, 11, FALSE))</f>
        <v>3851.1591696888004</v>
      </c>
      <c r="DU73" s="402">
        <f>IF(D73=0,IF(C73=0,MAX(0,DW73 - (VLOOKUP($A73,TOCA_current!$A$2:$AI$137,MATCH("RHWM 2024",TOCA_current!$A$2:$AI$2,0),FALSE)*$BS$2)), 0),0)</f>
        <v>4531.4922501582478</v>
      </c>
      <c r="DV73" s="403">
        <f>MIN(VLOOKUP($A73,TOCA_current!$A$2:$AI$137,MATCH("TRL - NLSL - Existing Resource "&amp;$BS$1,TOCA_current!$A$2:$AI$2,0),FALSE)*$BS$2, VLOOKUP($A73,TOCA_current!$A$2:$AI$137,MATCH("RHWM 2024",TOCA_current!$A$2:$AI$2,0),FALSE)*$BS$2)</f>
        <v>54574.991999999998</v>
      </c>
      <c r="DW73" s="403">
        <f>SUM(BY73:CV73)+(BS73*RT1SC!$C$4*$BS$2)</f>
        <v>59106.484250158246</v>
      </c>
      <c r="DX73" s="403">
        <f>VLOOKUP($A73,TOCA_current!$A$2:$AI$137,MATCH("Above RHWM Not Served with LS "&amp;$BS$1,TOCA_current!$A$2:$AI$2,0),FALSE)*$BS$2</f>
        <v>0</v>
      </c>
      <c r="DY73" s="403">
        <f t="shared" si="32"/>
        <v>4531.4922501582478</v>
      </c>
      <c r="DZ73" s="403">
        <f>(VLOOKUP($A73,TOCA_current!$A$2:$AI$137,MATCH("RHWM 2024",TOCA_current!$A$2:$AI$2,0),FALSE)*$BS$2) - $DV73</f>
        <v>0</v>
      </c>
      <c r="EA73" s="403">
        <f t="shared" si="33"/>
        <v>0</v>
      </c>
      <c r="EB73" s="403">
        <f t="shared" si="34"/>
        <v>0</v>
      </c>
      <c r="EC73" s="403">
        <f t="shared" si="35"/>
        <v>0</v>
      </c>
      <c r="ED73" s="403">
        <f t="shared" si="36"/>
        <v>0</v>
      </c>
    </row>
    <row r="74" spans="1:134">
      <c r="A74" s="123">
        <v>10204</v>
      </c>
      <c r="B74" s="124" t="s">
        <v>75</v>
      </c>
      <c r="C74" s="232">
        <f>VLOOKUP(A74, TOCA_current!$A$3:$D$137, 4, FALSE)</f>
        <v>0</v>
      </c>
      <c r="D74" s="191">
        <v>1</v>
      </c>
      <c r="E74" s="107">
        <f>VLOOKUP($A74,TOCA_previous!$A$2:$AI$137,MATCH(E$4,TOCA_previous!$A$2:$AI$2,0),FALSE)</f>
        <v>1.1265600000000001E-2</v>
      </c>
      <c r="F74" s="108">
        <f>VLOOKUP($A74,TOCA_previous!$A$2:$AI$137,MATCH(F$4,TOCA_previous!$A$2:$AI$2,0),FALSE)</f>
        <v>5.7763000000000007E-3</v>
      </c>
      <c r="G74" s="108">
        <f t="shared" si="24"/>
        <v>5.4892999999999999E-3</v>
      </c>
      <c r="H74" s="108">
        <f>VLOOKUP($A74,TOCA_previous!$A$2:$AI$137,MATCH(H$4,TOCA_previous!$A$2:$AI$2,0),FALSE)</f>
        <v>0</v>
      </c>
      <c r="I74" s="108">
        <f t="shared" si="25"/>
        <v>0</v>
      </c>
      <c r="J74" s="108">
        <f t="shared" si="26"/>
        <v>0</v>
      </c>
      <c r="K74" s="179">
        <f>VLOOKUP(A74, IRD!$A$5:$C$139, 3, FALSE)</f>
        <v>0</v>
      </c>
      <c r="L74" s="180">
        <f t="array" ref="L74">IF($G74=0, INDEX(LS_previous!$D$4:$AY$138, MATCH('Staging Table'!$A74, LS_previous!$B$4:$B$138, 0), MATCH(L$4&amp;L$5, LS_previous!$D$2:$AY$2&amp;LS_previous!$D$3:$AY$3, 0)),SUM(VLOOKUP($A74, LS_previous!$B$4:$AY$138, LS_previous!D$149, FALSE), VLOOKUP('Staging Table'!$A74, LS_previous!$B$4:$AY$138,LS_previous!AB$149, FALSE))/2)</f>
        <v>-2767.7666870731782</v>
      </c>
      <c r="M74" s="180">
        <f t="array" ref="M74">IF($G74=0, INDEX(LS_previous!$D$4:$AY$138, MATCH('Staging Table'!$A74, LS_previous!$B$4:$B$138, 0), MATCH(M$4&amp;M$5, LS_previous!$D$2:$AY$2&amp;LS_previous!$D$3:$AY$3, 0)),SUM(VLOOKUP($A74, LS_previous!$B$4:$AY$138, LS_previous!E$149, FALSE), VLOOKUP('Staging Table'!$A74, LS_previous!$B$4:$AY$138,LS_previous!AC$149, FALSE))/2)</f>
        <v>1686.6686894694822</v>
      </c>
      <c r="N74" s="180">
        <f t="array" ref="N74">IF($G74=0, INDEX(LS_previous!$D$4:$AY$138, MATCH('Staging Table'!$A74, LS_previous!$B$4:$B$138, 0), MATCH(N$4&amp;N$5, LS_previous!$D$2:$AY$2&amp;LS_previous!$D$3:$AY$3, 0)),SUM(VLOOKUP($A74, LS_previous!$B$4:$AY$138, LS_previous!F$149, FALSE), VLOOKUP('Staging Table'!$A74, LS_previous!$B$4:$AY$138,LS_previous!AD$149, FALSE))/2)</f>
        <v>-4362.3298593194586</v>
      </c>
      <c r="O74" s="180">
        <f t="array" ref="O74">IF($G74=0, INDEX(LS_previous!$D$4:$AY$138, MATCH('Staging Table'!$A74, LS_previous!$B$4:$B$138, 0), MATCH(O$4&amp;O$5, LS_previous!$D$2:$AY$2&amp;LS_previous!$D$3:$AY$3, 0)),SUM(VLOOKUP($A74, LS_previous!$B$4:$AY$138, LS_previous!G$149, FALSE), VLOOKUP('Staging Table'!$A74, LS_previous!$B$4:$AY$138,LS_previous!AE$149, FALSE))/2)</f>
        <v>32.665663460100404</v>
      </c>
      <c r="P74" s="180">
        <f t="array" ref="P74">IF($G74=0, INDEX(LS_previous!$D$4:$AY$138, MATCH('Staging Table'!$A74, LS_previous!$B$4:$B$138, 0), MATCH(P$4&amp;P$5, LS_previous!$D$2:$AY$2&amp;LS_previous!$D$3:$AY$3, 0)),SUM(VLOOKUP($A74, LS_previous!$B$4:$AY$138, LS_previous!H$149, FALSE), VLOOKUP('Staging Table'!$A74, LS_previous!$B$4:$AY$138,LS_previous!AF$149, FALSE))/2)</f>
        <v>1389.8004356319016</v>
      </c>
      <c r="Q74" s="180">
        <f t="array" ref="Q74">IF($G74=0, INDEX(LS_previous!$D$4:$AY$138, MATCH('Staging Table'!$A74, LS_previous!$B$4:$B$138, 0), MATCH(Q$4&amp;Q$5, LS_previous!$D$2:$AY$2&amp;LS_previous!$D$3:$AY$3, 0)),SUM(VLOOKUP($A74, LS_previous!$B$4:$AY$138, LS_previous!I$149, FALSE), VLOOKUP('Staging Table'!$A74, LS_previous!$B$4:$AY$138,LS_previous!AG$149, FALSE))/2)</f>
        <v>1803.7749257822807</v>
      </c>
      <c r="R74" s="180">
        <f t="array" ref="R74">IF($G74=0, INDEX(LS_previous!$D$4:$AY$138, MATCH('Staging Table'!$A74, LS_previous!$B$4:$B$138, 0), MATCH(R$4&amp;R$5, LS_previous!$D$2:$AY$2&amp;LS_previous!$D$3:$AY$3, 0)),SUM(VLOOKUP($A74, LS_previous!$B$4:$AY$138, LS_previous!J$149, FALSE), VLOOKUP('Staging Table'!$A74, LS_previous!$B$4:$AY$138,LS_previous!AH$149, FALSE))/2)</f>
        <v>4475.6260408495764</v>
      </c>
      <c r="S74" s="180">
        <f t="array" ref="S74">IF($G74=0, INDEX(LS_previous!$D$4:$AY$138, MATCH('Staging Table'!$A74, LS_previous!$B$4:$B$138, 0), MATCH(S$4&amp;S$5, LS_previous!$D$2:$AY$2&amp;LS_previous!$D$3:$AY$3, 0)),SUM(VLOOKUP($A74, LS_previous!$B$4:$AY$138, LS_previous!K$149, FALSE), VLOOKUP('Staging Table'!$A74, LS_previous!$B$4:$AY$138,LS_previous!AI$149, FALSE))/2)</f>
        <v>5413.7730723382447</v>
      </c>
      <c r="T74" s="180">
        <f t="array" ref="T74">IF($G74=0, INDEX(LS_previous!$D$4:$AY$138, MATCH('Staging Table'!$A74, LS_previous!$B$4:$B$138, 0), MATCH(T$4&amp;T$5, LS_previous!$D$2:$AY$2&amp;LS_previous!$D$3:$AY$3, 0)),SUM(VLOOKUP($A74, LS_previous!$B$4:$AY$138, LS_previous!L$149, FALSE), VLOOKUP('Staging Table'!$A74, LS_previous!$B$4:$AY$138,LS_previous!AJ$149, FALSE))/2)</f>
        <v>3780.0452898551503</v>
      </c>
      <c r="U74" s="180">
        <f t="array" ref="U74">IF($G74=0, INDEX(LS_previous!$D$4:$AY$138, MATCH('Staging Table'!$A74, LS_previous!$B$4:$B$138, 0), MATCH(U$4&amp;U$5, LS_previous!$D$2:$AY$2&amp;LS_previous!$D$3:$AY$3, 0)),SUM(VLOOKUP($A74, LS_previous!$B$4:$AY$138, LS_previous!M$149, FALSE), VLOOKUP('Staging Table'!$A74, LS_previous!$B$4:$AY$138,LS_previous!AK$149, FALSE))/2)</f>
        <v>3221.3177887075153</v>
      </c>
      <c r="V74" s="180">
        <f t="array" ref="V74">IF($G74=0, INDEX(LS_previous!$D$4:$AY$138, MATCH('Staging Table'!$A74, LS_previous!$B$4:$B$138, 0), MATCH(V$4&amp;V$5, LS_previous!$D$2:$AY$2&amp;LS_previous!$D$3:$AY$3, 0)),SUM(VLOOKUP($A74, LS_previous!$B$4:$AY$138, LS_previous!N$149, FALSE), VLOOKUP('Staging Table'!$A74, LS_previous!$B$4:$AY$138,LS_previous!AL$149, FALSE))/2)</f>
        <v>-659.04743939084528</v>
      </c>
      <c r="W74" s="180">
        <f t="array" ref="W74">IF($G74=0, INDEX(LS_previous!$D$4:$AY$138, MATCH('Staging Table'!$A74, LS_previous!$B$4:$B$138, 0), MATCH(W$4&amp;W$5, LS_previous!$D$2:$AY$2&amp;LS_previous!$D$3:$AY$3, 0)),SUM(VLOOKUP($A74, LS_previous!$B$4:$AY$138, LS_previous!O$149, FALSE), VLOOKUP('Staging Table'!$A74, LS_previous!$B$4:$AY$138,LS_previous!AM$149, FALSE))/2)</f>
        <v>1092.9084386138702</v>
      </c>
      <c r="X74" s="180">
        <f t="array" ref="X74">IF($G74=0, INDEX(LS_previous!$D$4:$AY$138, MATCH('Staging Table'!$A74, LS_previous!$B$4:$B$138, 0), MATCH(X$4&amp;X$5, LS_previous!$D$2:$AY$2&amp;LS_previous!$D$3:$AY$3, 0)),SUM(VLOOKUP($A74, LS_previous!$B$4:$AY$138, LS_previous!P$149, FALSE), VLOOKUP('Staging Table'!$A74, LS_previous!$B$4:$AY$138,LS_previous!AN$149, FALSE))/2)</f>
        <v>576.8679537420976</v>
      </c>
      <c r="Y74" s="180">
        <f t="array" ref="Y74">IF($G74=0, INDEX(LS_previous!$D$4:$AY$138, MATCH('Staging Table'!$A74, LS_previous!$B$4:$B$138, 0), MATCH(Y$4&amp;Y$5, LS_previous!$D$2:$AY$2&amp;LS_previous!$D$3:$AY$3, 0)),SUM(VLOOKUP($A74, LS_previous!$B$4:$AY$138, LS_previous!Q$149, FALSE), VLOOKUP('Staging Table'!$A74, LS_previous!$B$4:$AY$138,LS_previous!AO$149, FALSE))/2)</f>
        <v>2337.4069551827697</v>
      </c>
      <c r="Z74" s="180">
        <f t="array" ref="Z74">IF($G74=0, INDEX(LS_previous!$D$4:$AY$138, MATCH('Staging Table'!$A74, LS_previous!$B$4:$B$138, 0), MATCH(Z$4&amp;Z$5, LS_previous!$D$2:$AY$2&amp;LS_previous!$D$3:$AY$3, 0)),SUM(VLOOKUP($A74, LS_previous!$B$4:$AY$138, LS_previous!R$149, FALSE), VLOOKUP('Staging Table'!$A74, LS_previous!$B$4:$AY$138,LS_previous!AP$149, FALSE))/2)</f>
        <v>-5422.5830652732611</v>
      </c>
      <c r="AA74" s="180">
        <f t="array" ref="AA74">IF($G74=0, INDEX(LS_previous!$D$4:$AY$138, MATCH('Staging Table'!$A74, LS_previous!$B$4:$B$138, 0), MATCH(AA$4&amp;AA$5, LS_previous!$D$2:$AY$2&amp;LS_previous!$D$3:$AY$3, 0)),SUM(VLOOKUP($A74, LS_previous!$B$4:$AY$138, LS_previous!S$149, FALSE), VLOOKUP('Staging Table'!$A74, LS_previous!$B$4:$AY$138,LS_previous!AQ$149, FALSE))/2)</f>
        <v>2385.2348093484989</v>
      </c>
      <c r="AB74" s="180">
        <f t="array" ref="AB74">IF($G74=0, INDEX(LS_previous!$D$4:$AY$138, MATCH('Staging Table'!$A74, LS_previous!$B$4:$B$138, 0), MATCH(AB$4&amp;AB$5, LS_previous!$D$2:$AY$2&amp;LS_previous!$D$3:$AY$3, 0)),SUM(VLOOKUP($A74, LS_previous!$B$4:$AY$138, LS_previous!T$149, FALSE), VLOOKUP('Staging Table'!$A74, LS_previous!$B$4:$AY$138,LS_previous!AR$149, FALSE))/2)</f>
        <v>-8259.6124630102204</v>
      </c>
      <c r="AC74" s="180">
        <f t="array" ref="AC74">IF($G74=0, INDEX(LS_previous!$D$4:$AY$138, MATCH('Staging Table'!$A74, LS_previous!$B$4:$B$138, 0), MATCH(AC$4&amp;AC$5, LS_previous!$D$2:$AY$2&amp;LS_previous!$D$3:$AY$3, 0)),SUM(VLOOKUP($A74, LS_previous!$B$4:$AY$138, LS_previous!U$149, FALSE), VLOOKUP('Staging Table'!$A74, LS_previous!$B$4:$AY$138,LS_previous!AS$149, FALSE))/2)</f>
        <v>1464.7010563897893</v>
      </c>
      <c r="AD74" s="180">
        <f t="array" ref="AD74">IF($G74=0, INDEX(LS_previous!$D$4:$AY$138, MATCH('Staging Table'!$A74, LS_previous!$B$4:$B$138, 0), MATCH(AD$4&amp;AD$5, LS_previous!$D$2:$AY$2&amp;LS_previous!$D$3:$AY$3, 0)),SUM(VLOOKUP($A74, LS_previous!$B$4:$AY$138, LS_previous!V$149, FALSE), VLOOKUP('Staging Table'!$A74, LS_previous!$B$4:$AY$138,LS_previous!AT$149, FALSE))/2)</f>
        <v>-5037.4144325188872</v>
      </c>
      <c r="AE74" s="180">
        <f t="array" ref="AE74">IF($G74=0, INDEX(LS_previous!$D$4:$AY$138, MATCH('Staging Table'!$A74, LS_previous!$B$4:$B$138, 0), MATCH(AE$4&amp;AE$5, LS_previous!$D$2:$AY$2&amp;LS_previous!$D$3:$AY$3, 0)),SUM(VLOOKUP($A74, LS_previous!$B$4:$AY$138, LS_previous!W$149, FALSE), VLOOKUP('Staging Table'!$A74, LS_previous!$B$4:$AY$138,LS_previous!AU$149, FALSE))/2)</f>
        <v>2928.6461881476707</v>
      </c>
      <c r="AF74" s="180">
        <f t="array" ref="AF74">IF($G74=0, INDEX(LS_previous!$D$4:$AY$138, MATCH('Staging Table'!$A74, LS_previous!$B$4:$B$138, 0), MATCH(AF$4&amp;AF$5, LS_previous!$D$2:$AY$2&amp;LS_previous!$D$3:$AY$3, 0)),SUM(VLOOKUP($A74, LS_previous!$B$4:$AY$138, LS_previous!X$149, FALSE), VLOOKUP('Staging Table'!$A74, LS_previous!$B$4:$AY$138,LS_previous!AV$149, FALSE))/2)</f>
        <v>-3753.8481833807555</v>
      </c>
      <c r="AG74" s="180">
        <f t="array" ref="AG74">IF($G74=0, INDEX(LS_previous!$D$4:$AY$138, MATCH('Staging Table'!$A74, LS_previous!$B$4:$B$138, 0), MATCH(AG$4&amp;AG$5, LS_previous!$D$2:$AY$2&amp;LS_previous!$D$3:$AY$3, 0)),SUM(VLOOKUP($A74, LS_previous!$B$4:$AY$138, LS_previous!Y$149, FALSE), VLOOKUP('Staging Table'!$A74, LS_previous!$B$4:$AY$138,LS_previous!AW$149, FALSE))/2)</f>
        <v>1984.1111715657698</v>
      </c>
      <c r="AH74" s="180">
        <f t="array" ref="AH74">IF($G74=0, INDEX(LS_previous!$D$4:$AY$138, MATCH('Staging Table'!$A74, LS_previous!$B$4:$B$138, 0), MATCH(AH$4&amp;AH$5, LS_previous!$D$2:$AY$2&amp;LS_previous!$D$3:$AY$3, 0)),SUM(VLOOKUP($A74, LS_previous!$B$4:$AY$138, LS_previous!Z$149, FALSE), VLOOKUP('Staging Table'!$A74, LS_previous!$B$4:$AY$138,LS_previous!AX$149, FALSE))/2)</f>
        <v>-4639.4656586934871</v>
      </c>
      <c r="AI74" s="180">
        <f t="array" ref="AI74">IF($G74=0, INDEX(LS_previous!$D$4:$AY$138, MATCH('Staging Table'!$A74, LS_previous!$B$4:$B$138, 0), MATCH(AI$4&amp;AI$5, LS_previous!$D$2:$AY$2&amp;LS_previous!$D$3:$AY$3, 0)),SUM(VLOOKUP($A74, LS_previous!$B$4:$AY$138, LS_previous!AA$149, FALSE), VLOOKUP('Staging Table'!$A74, LS_previous!$B$4:$AY$138,LS_previous!AY$149, FALSE))/2)</f>
        <v>327.44999089022167</v>
      </c>
      <c r="AJ74" s="298">
        <f t="array" ref="AJ74">INDEX(Demand_previous!$D$4:$AY$138, MATCH('Staging Table'!$A74, Demand_previous!$B$4:$B$138, 0), MATCH(AJ$4&amp;AJ$5,Demand_previous!$D$2:$AY$2&amp;Demand_previous!$D$3:$AY$3, 0))/1000</f>
        <v>0</v>
      </c>
      <c r="AK74" s="298">
        <f t="array" ref="AK74">INDEX(Demand_previous!$D$4:$AY$138, MATCH('Staging Table'!$A74, Demand_previous!$B$4:$B$138, 0), MATCH(AK$4&amp;AK$5,Demand_previous!$D$2:$AY$2&amp;Demand_previous!$D$3:$AY$3, 0))/1000</f>
        <v>0</v>
      </c>
      <c r="AL74" s="298">
        <f t="array" ref="AL74">INDEX(Demand_previous!$D$4:$AY$138, MATCH('Staging Table'!$A74, Demand_previous!$B$4:$B$138, 0), MATCH(AL$4&amp;AL$5,Demand_previous!$D$2:$AY$2&amp;Demand_previous!$D$3:$AY$3, 0))/1000</f>
        <v>0</v>
      </c>
      <c r="AM74" s="298">
        <f t="array" ref="AM74">INDEX(Demand_previous!$D$4:$AY$138, MATCH('Staging Table'!$A74, Demand_previous!$B$4:$B$138, 0), MATCH(AM$4&amp;AM$5,Demand_previous!$D$2:$AY$2&amp;Demand_previous!$D$3:$AY$3, 0))/1000</f>
        <v>0</v>
      </c>
      <c r="AN74" s="298">
        <f t="array" ref="AN74">INDEX(Demand_previous!$D$4:$AY$138, MATCH('Staging Table'!$A74, Demand_previous!$B$4:$B$138, 0), MATCH(AN$4&amp;AN$5,Demand_previous!$D$2:$AY$2&amp;Demand_previous!$D$3:$AY$3, 0))/1000</f>
        <v>0</v>
      </c>
      <c r="AO74" s="298">
        <f t="array" ref="AO74">INDEX(Demand_previous!$D$4:$AY$138, MATCH('Staging Table'!$A74, Demand_previous!$B$4:$B$138, 0), MATCH(AO$4&amp;AO$5,Demand_previous!$D$2:$AY$2&amp;Demand_previous!$D$3:$AY$3, 0))/1000</f>
        <v>0</v>
      </c>
      <c r="AP74" s="298">
        <f t="array" ref="AP74">INDEX(Demand_previous!$D$4:$AY$138, MATCH('Staging Table'!$A74, Demand_previous!$B$4:$B$138, 0), MATCH(AP$4&amp;AP$5,Demand_previous!$D$2:$AY$2&amp;Demand_previous!$D$3:$AY$3, 0))/1000</f>
        <v>0</v>
      </c>
      <c r="AQ74" s="298">
        <f t="array" ref="AQ74">INDEX(Demand_previous!$D$4:$AY$138, MATCH('Staging Table'!$A74, Demand_previous!$B$4:$B$138, 0), MATCH(AQ$4&amp;AQ$5,Demand_previous!$D$2:$AY$2&amp;Demand_previous!$D$3:$AY$3, 0))/1000</f>
        <v>0</v>
      </c>
      <c r="AR74" s="298">
        <f t="array" ref="AR74">INDEX(Demand_previous!$D$4:$AY$138, MATCH('Staging Table'!$A74, Demand_previous!$B$4:$B$138, 0), MATCH(AR$4&amp;AR$5,Demand_previous!$D$2:$AY$2&amp;Demand_previous!$D$3:$AY$3, 0))/1000</f>
        <v>0</v>
      </c>
      <c r="AS74" s="298">
        <f t="array" ref="AS74">INDEX(Demand_previous!$D$4:$AY$138, MATCH('Staging Table'!$A74, Demand_previous!$B$4:$B$138, 0), MATCH(AS$4&amp;AS$5,Demand_previous!$D$2:$AY$2&amp;Demand_previous!$D$3:$AY$3, 0))/1000</f>
        <v>0</v>
      </c>
      <c r="AT74" s="298">
        <f t="array" ref="AT74">INDEX(Demand_previous!$D$4:$AY$138, MATCH('Staging Table'!$A74, Demand_previous!$B$4:$B$138, 0), MATCH(AT$4&amp;AT$5,Demand_previous!$D$2:$AY$2&amp;Demand_previous!$D$3:$AY$3, 0))/1000</f>
        <v>0</v>
      </c>
      <c r="AU74" s="298">
        <f t="array" ref="AU74">INDEX(Demand_previous!$D$4:$AY$138, MATCH('Staging Table'!$A74, Demand_previous!$B$4:$B$138, 0), MATCH(AU$4&amp;AU$5,Demand_previous!$D$2:$AY$2&amp;Demand_previous!$D$3:$AY$3, 0))/1000</f>
        <v>0</v>
      </c>
      <c r="AV74" s="180">
        <f>$F74*(VLOOKUP(AV$4, Rates_previous!$G$6:$Q$29, 10, FALSE)+VLOOKUP(AV$4, Rates_previous!$G$6:$Q$29, 11, FALSE))</f>
        <v>26304.83363165332</v>
      </c>
      <c r="AW74" s="180">
        <f>$F74*(VLOOKUP(AW$4, Rates_previous!$G$6:$Q$29, 10, FALSE)+VLOOKUP(AW$4, Rates_previous!$G$6:$Q$29, 11, FALSE))</f>
        <v>33302.874045781267</v>
      </c>
      <c r="AX74" s="180">
        <f>$F74*(VLOOKUP(AX$4, Rates_previous!$G$6:$Q$29, 10, FALSE)+VLOOKUP(AX$4, Rates_previous!$G$6:$Q$29, 11, FALSE))</f>
        <v>32596.86033554815</v>
      </c>
      <c r="AY74" s="180">
        <f>$F74*(VLOOKUP(AY$4, Rates_previous!$G$6:$Q$29, 10, FALSE)+VLOOKUP(AY$4, Rates_previous!$G$6:$Q$29, 11, FALSE))</f>
        <v>26923.620460830589</v>
      </c>
      <c r="AZ74" s="180">
        <f>$F74*(VLOOKUP(AZ$4, Rates_previous!$G$6:$Q$29, 10, FALSE)+VLOOKUP(AZ$4, Rates_previous!$G$6:$Q$29, 11, FALSE))</f>
        <v>23335.291940767322</v>
      </c>
      <c r="BA74" s="180">
        <f>$F74*(VLOOKUP(BA$4, Rates_previous!$G$6:$Q$29, 10, FALSE)+VLOOKUP(BA$4, Rates_previous!$G$6:$Q$29, 11, FALSE))</f>
        <v>27857.626265994826</v>
      </c>
      <c r="BB74" s="180">
        <f>$F74*(VLOOKUP(BB$4, Rates_previous!$G$6:$Q$29, 10, FALSE)+VLOOKUP(BB$4, Rates_previous!$G$6:$Q$29, 11, FALSE))</f>
        <v>21627.738140420719</v>
      </c>
      <c r="BC74" s="180">
        <f>$F74*(VLOOKUP(BC$4, Rates_previous!$G$6:$Q$29, 10, FALSE)+VLOOKUP(BC$4, Rates_previous!$G$6:$Q$29, 11, FALSE))</f>
        <v>29965.390351734532</v>
      </c>
      <c r="BD74" s="180">
        <f>$F74*(VLOOKUP(BD$4, Rates_previous!$G$6:$Q$29, 10, FALSE)+VLOOKUP(BD$4, Rates_previous!$G$6:$Q$29, 11, FALSE))</f>
        <v>32018.647040670083</v>
      </c>
      <c r="BE74" s="180">
        <f>$F74*(VLOOKUP(BE$4, Rates_previous!$G$6:$Q$29, 10, FALSE)+VLOOKUP(BE$4, Rates_previous!$G$6:$Q$29, 11, FALSE))</f>
        <v>30400.255509589046</v>
      </c>
      <c r="BF74" s="180">
        <f>$F74*(VLOOKUP(BF$4, Rates_previous!$G$6:$Q$29, 10, FALSE)+VLOOKUP(BF$4, Rates_previous!$G$6:$Q$29, 11, FALSE))</f>
        <v>29379.501692328784</v>
      </c>
      <c r="BG74" s="180">
        <f>$F74*(VLOOKUP(BG$4, Rates_previous!$G$6:$Q$29, 10, FALSE)+VLOOKUP(BG$4, Rates_previous!$G$6:$Q$29, 11, FALSE))</f>
        <v>27149.72225538874</v>
      </c>
      <c r="BH74" s="298">
        <f>IF($D74=0,IF(C74=0, MAX(BJ74 - (VLOOKUP($A74,TOCA_previous!$A$2:$AI$137,MATCH("RHWM 2022",TOCA_previous!$A$2:$AI$2,0),FALSE)*$F$2*TOCA_previous!C71),0),0), 0)</f>
        <v>0</v>
      </c>
      <c r="BI74" s="192">
        <f>MIN(VLOOKUP($A74,TOCA_previous!$A$2:$AI$137,MATCH("TRL - NLSL - Existing Resource "&amp;$F$1,TOCA_previous!$A$2:$AI$2,0),FALSE)*$F$2,(VLOOKUP($A74,TOCA_previous!$A$2:$AI$137,MATCH("RHWM 2022",TOCA_previous!$A$2:$AI$2,0),FALSE)*$F$2))</f>
        <v>664787.64</v>
      </c>
      <c r="BJ74" s="402">
        <f>SUM(L74:AI74)+(F74*RT1SC!$C$3*$F$2)</f>
        <v>340861.30978860694</v>
      </c>
      <c r="BK74" s="401">
        <f>VLOOKUP($A74,TOCA_previous!$A$2:$AI$137,MATCH("Above RHWM Not Served with LS "&amp;$F$1,TOCA_previous!$A$2:$AI$2,0),FALSE)*$F$2</f>
        <v>0</v>
      </c>
      <c r="BL74" s="402">
        <f t="shared" si="27"/>
        <v>-323926.33021139307</v>
      </c>
      <c r="BM74" s="401">
        <f>(VLOOKUP($A74,TOCA_previous!$A$2:$AI$137,MATCH("RHWM 2022",TOCA_previous!$A$2:$AI$2,0),FALSE)*$F$2) - $BI74</f>
        <v>0</v>
      </c>
      <c r="BN74" s="402">
        <f t="shared" si="28"/>
        <v>0</v>
      </c>
      <c r="BO74" s="401">
        <f t="shared" si="29"/>
        <v>323926.33021139307</v>
      </c>
      <c r="BP74" s="402">
        <f t="shared" si="30"/>
        <v>0</v>
      </c>
      <c r="BQ74" s="401">
        <f t="shared" si="21"/>
        <v>0</v>
      </c>
      <c r="BR74" s="108">
        <f>VLOOKUP($A74,TOCA_current!$A$2:$AI$137,MATCH(BR$4,TOCA_current!$A$2:$AI$2,0),FALSE)</f>
        <v>1.1263199999999999E-2</v>
      </c>
      <c r="BS74" s="108">
        <f>VLOOKUP($A74,TOCA_current!$A$2:$AI$137,MATCH(BS$4,TOCA_current!$A$2:$AI$2,0),FALSE)</f>
        <v>5.7750999999999992E-3</v>
      </c>
      <c r="BT74" s="189">
        <f t="shared" si="31"/>
        <v>5.4881000000000001E-3</v>
      </c>
      <c r="BU74" s="108">
        <f>VLOOKUP($A74,TOCA_current!A70:BG205,MATCH(BU$4,TOCA_current!$A$2:$BG$2,0),FALSE)</f>
        <v>0</v>
      </c>
      <c r="BV74" s="108">
        <f t="shared" si="22"/>
        <v>0</v>
      </c>
      <c r="BW74" s="108">
        <f t="shared" si="23"/>
        <v>0</v>
      </c>
      <c r="BX74" s="179">
        <f>VLOOKUP($A74,IRD!$A$4:$G$139, 7, FALSE)</f>
        <v>0</v>
      </c>
      <c r="BY74" s="180">
        <f t="array" ref="BY74">IF($BT74=0, INDEX(LS_current!$D$4:$AY$138, MATCH('Staging Table'!$A74, LS_current!$B$4:$B$138, 0), MATCH(BY$4&amp;BY$5, LS_current!$D$2:$AY$2&amp;LS_current!$D$3:$AY$3, 0)),SUM(VLOOKUP($A74, LS_current!$B$4:$AY$138, LS_current!D$148, FALSE), VLOOKUP($A74, LS_current!$B$4:$AY$138,LS_current!AB$148, FALSE))/2)</f>
        <v>350.4556176097658</v>
      </c>
      <c r="BZ74" s="180">
        <f t="array" ref="BZ74">IF($BT74=0, INDEX(LS_current!$D$4:$AY$138, MATCH('Staging Table'!$A74, LS_current!$B$4:$B$138, 0), MATCH(BZ$4&amp;BZ$5, LS_current!$D$2:$AY$2&amp;LS_current!$D$3:$AY$3, 0)),SUM(VLOOKUP($A74, LS_current!$B$4:$AY$138, LS_current!E$148, FALSE), VLOOKUP($A74, LS_current!$B$4:$AY$138,LS_current!AC$148, FALSE))/2)</f>
        <v>1764.4659195410022</v>
      </c>
      <c r="CA74" s="180">
        <f t="array" ref="CA74">IF($BT74=0, INDEX(LS_current!$D$4:$AY$138, MATCH('Staging Table'!$A74, LS_current!$B$4:$B$138, 0), MATCH(CA$4&amp;CA$5, LS_current!$D$2:$AY$2&amp;LS_current!$D$3:$AY$3, 0)),SUM(VLOOKUP($A74, LS_current!$B$4:$AY$138, LS_current!F$148, FALSE), VLOOKUP($A74, LS_current!$B$4:$AY$138,LS_current!AD$148, FALSE))/2)</f>
        <v>-1978.9582068044801</v>
      </c>
      <c r="CB74" s="180">
        <f t="array" ref="CB74">IF($BT74=0, INDEX(LS_current!$D$4:$AY$138, MATCH('Staging Table'!$A74, LS_current!$B$4:$B$138, 0), MATCH(CB$4&amp;CB$5, LS_current!$D$2:$AY$2&amp;LS_current!$D$3:$AY$3, 0)),SUM(VLOOKUP($A74, LS_current!$B$4:$AY$138, LS_current!G$148, FALSE), VLOOKUP($A74, LS_current!$B$4:$AY$138,LS_current!AE$148, FALSE))/2)</f>
        <v>1321.7998234173774</v>
      </c>
      <c r="CC74" s="180">
        <f t="array" ref="CC74">IF($BT74=0, INDEX(LS_current!$D$4:$AY$138, MATCH('Staging Table'!$A74, LS_current!$B$4:$B$138, 0), MATCH(CC$4&amp;CC$5, LS_current!$D$2:$AY$2&amp;LS_current!$D$3:$AY$3, 0)),SUM(VLOOKUP($A74, LS_current!$B$4:$AY$138, LS_current!H$148, FALSE), VLOOKUP($A74, LS_current!$B$4:$AY$138,LS_current!AF$148, FALSE))/2)</f>
        <v>-131.44642611517884</v>
      </c>
      <c r="CD74" s="180">
        <f t="array" ref="CD74">IF($BT74=0, INDEX(LS_current!$D$4:$AY$138, MATCH('Staging Table'!$A74, LS_current!$B$4:$B$138, 0), MATCH(CD$4&amp;CD$5, LS_current!$D$2:$AY$2&amp;LS_current!$D$3:$AY$3, 0)),SUM(VLOOKUP($A74, LS_current!$B$4:$AY$138, LS_current!I$148, FALSE), VLOOKUP($A74, LS_current!$B$4:$AY$138,LS_current!AG$148, FALSE))/2)</f>
        <v>4169.9090642884003</v>
      </c>
      <c r="CE74" s="180">
        <f t="array" ref="CE74">IF($BT74=0, INDEX(LS_current!$D$4:$AY$138, MATCH('Staging Table'!$A74, LS_current!$B$4:$B$138, 0), MATCH(CE$4&amp;CE$5, LS_current!$D$2:$AY$2&amp;LS_current!$D$3:$AY$3, 0)),SUM(VLOOKUP($A74, LS_current!$B$4:$AY$138, LS_current!J$148, FALSE), VLOOKUP($A74, LS_current!$B$4:$AY$138,LS_current!AH$148, FALSE))/2)</f>
        <v>33.925949517170011</v>
      </c>
      <c r="CF74" s="180">
        <f t="array" ref="CF74">IF($BT74=0, INDEX(LS_current!$D$4:$AY$138, MATCH('Staging Table'!$A74, LS_current!$B$4:$B$138, 0), MATCH(CF$4&amp;CF$5, LS_current!$D$2:$AY$2&amp;LS_current!$D$3:$AY$3, 0)),SUM(VLOOKUP($A74, LS_current!$B$4:$AY$138, LS_current!K$148, FALSE), VLOOKUP($A74, LS_current!$B$4:$AY$138,LS_current!AI$148, FALSE))/2)</f>
        <v>3765.0362626713377</v>
      </c>
      <c r="CG74" s="180">
        <f t="array" ref="CG74">IF($BT74=0, INDEX(LS_current!$D$4:$AY$138, MATCH('Staging Table'!$A74, LS_current!$B$4:$B$138, 0), MATCH(CG$4&amp;CG$5, LS_current!$D$2:$AY$2&amp;LS_current!$D$3:$AY$3, 0)),SUM(VLOOKUP($A74, LS_current!$B$4:$AY$138, LS_current!L$148, FALSE), VLOOKUP($A74, LS_current!$B$4:$AY$138,LS_current!AJ$148, FALSE))/2)</f>
        <v>-481.4728149795028</v>
      </c>
      <c r="CH74" s="180">
        <f t="array" ref="CH74">IF($BT74=0, INDEX(LS_current!$D$4:$AY$138, MATCH('Staging Table'!$A74, LS_current!$B$4:$B$138, 0), MATCH(CH$4&amp;CH$5, LS_current!$D$2:$AY$2&amp;LS_current!$D$3:$AY$3, 0)),SUM(VLOOKUP($A74, LS_current!$B$4:$AY$138, LS_current!M$148, FALSE), VLOOKUP($A74, LS_current!$B$4:$AY$138,LS_current!AK$148, FALSE))/2)</f>
        <v>2845.080339079087</v>
      </c>
      <c r="CI74" s="180">
        <f t="array" ref="CI74">IF($BT74=0, INDEX(LS_current!$D$4:$AY$138, MATCH('Staging Table'!$A74, LS_current!$B$4:$B$138, 0), MATCH(CI$4&amp;CI$5, LS_current!$D$2:$AY$2&amp;LS_current!$D$3:$AY$3, 0)),SUM(VLOOKUP($A74, LS_current!$B$4:$AY$138, LS_current!N$148, FALSE), VLOOKUP($A74, LS_current!$B$4:$AY$138,LS_current!AL$148, FALSE))/2)</f>
        <v>-3295.1917900337576</v>
      </c>
      <c r="CJ74" s="180">
        <f t="array" ref="CJ74">IF($BT74=0, INDEX(LS_current!$D$4:$AY$138, MATCH('Staging Table'!$A74, LS_current!$B$4:$B$138, 0), MATCH(CJ$4&amp;CJ$5, LS_current!$D$2:$AY$2&amp;LS_current!$D$3:$AY$3, 0)),SUM(VLOOKUP($A74, LS_current!$B$4:$AY$138, LS_current!O$148, FALSE), VLOOKUP($A74, LS_current!$B$4:$AY$138,LS_current!AM$148, FALSE))/2)</f>
        <v>270.85268117263422</v>
      </c>
      <c r="CK74" s="180">
        <f t="array" ref="CK74">IF($BT74=0, INDEX(LS_current!$D$4:$AY$138, MATCH('Staging Table'!$A74, LS_current!$B$4:$B$138, 0), MATCH(CK$4&amp;CK$5, LS_current!$D$2:$AY$2&amp;LS_current!$D$3:$AY$3, 0)),SUM(VLOOKUP($A74, LS_current!$B$4:$AY$138, LS_current!P$148, FALSE), VLOOKUP($A74, LS_current!$B$4:$AY$138,LS_current!AN$148, FALSE))/2)</f>
        <v>-836.72172567971029</v>
      </c>
      <c r="CL74" s="180">
        <f t="array" ref="CL74">IF($BT74=0, INDEX(LS_current!$D$4:$AY$138, MATCH('Staging Table'!$A74, LS_current!$B$4:$B$138, 0), MATCH(CL$4&amp;CL$5, LS_current!$D$2:$AY$2&amp;LS_current!$D$3:$AY$3, 0)),SUM(VLOOKUP($A74, LS_current!$B$4:$AY$138, LS_current!Q$148, FALSE), VLOOKUP($A74, LS_current!$B$4:$AY$138,LS_current!AO$148, FALSE))/2)</f>
        <v>770.17505139566219</v>
      </c>
      <c r="CM74" s="180">
        <f t="array" ref="CM74">IF($BT74=0, INDEX(LS_current!$D$4:$AY$138, MATCH('Staging Table'!$A74, LS_current!$B$4:$B$138, 0), MATCH(CM$4&amp;CM$5, LS_current!$D$2:$AY$2&amp;LS_current!$D$3:$AY$3, 0)),SUM(VLOOKUP($A74, LS_current!$B$4:$AY$138, LS_current!R$148, FALSE), VLOOKUP($A74, LS_current!$B$4:$AY$138,LS_current!AP$148, FALSE))/2)</f>
        <v>-3666.7867506229313</v>
      </c>
      <c r="CN74" s="180">
        <f t="array" ref="CN74">IF($BT74=0, INDEX(LS_current!$D$4:$AY$138, MATCH('Staging Table'!$A74, LS_current!$B$4:$B$138, 0), MATCH(CN$4&amp;CN$5, LS_current!$D$2:$AY$2&amp;LS_current!$D$3:$AY$3, 0)),SUM(VLOOKUP($A74, LS_current!$B$4:$AY$138, LS_current!S$148, FALSE), VLOOKUP($A74, LS_current!$B$4:$AY$138,LS_current!AQ$148, FALSE))/2)</f>
        <v>-110.53244612379785</v>
      </c>
      <c r="CO74" s="180">
        <f t="array" ref="CO74">IF($BT74=0, INDEX(LS_current!$D$4:$AY$138, MATCH('Staging Table'!$A74, LS_current!$B$4:$B$138, 0), MATCH(CO$4&amp;CO$5, LS_current!$D$2:$AY$2&amp;LS_current!$D$3:$AY$3, 0)),SUM(VLOOKUP($A74, LS_current!$B$4:$AY$138, LS_current!T$148, FALSE), VLOOKUP($A74, LS_current!$B$4:$AY$138,LS_current!AR$148, FALSE))/2)</f>
        <v>-5848.8822511151375</v>
      </c>
      <c r="CP74" s="180">
        <f t="array" ref="CP74">IF($BT74=0, INDEX(LS_current!$D$4:$AY$138, MATCH('Staging Table'!$A74, LS_current!$B$4:$B$138, 0), MATCH(CP$4&amp;CP$5, LS_current!$D$2:$AY$2&amp;LS_current!$D$3:$AY$3, 0)),SUM(VLOOKUP($A74, LS_current!$B$4:$AY$138, LS_current!U$148, FALSE), VLOOKUP($A74, LS_current!$B$4:$AY$138,LS_current!AS$148, FALSE))/2)</f>
        <v>-412.85874938097913</v>
      </c>
      <c r="CQ74" s="180">
        <f t="array" ref="CQ74">IF($BT74=0, INDEX(LS_current!$D$4:$AY$138, MATCH('Staging Table'!$A74, LS_current!$B$4:$B$138, 0), MATCH(CQ$4&amp;CQ$5, LS_current!$D$2:$AY$2&amp;LS_current!$D$3:$AY$3, 0)),SUM(VLOOKUP($A74, LS_current!$B$4:$AY$138, LS_current!V$148, FALSE), VLOOKUP($A74, LS_current!$B$4:$AY$138,LS_current!AT$148, FALSE))/2)</f>
        <v>-1106.3291093177231</v>
      </c>
      <c r="CR74" s="180">
        <f t="array" ref="CR74">IF($BT74=0, INDEX(LS_current!$D$4:$AY$138, MATCH('Staging Table'!$A74, LS_current!$B$4:$B$138, 0), MATCH(CR$4&amp;CR$5, LS_current!$D$2:$AY$2&amp;LS_current!$D$3:$AY$3, 0)),SUM(VLOOKUP($A74, LS_current!$B$4:$AY$138, LS_current!W$148, FALSE), VLOOKUP($A74, LS_current!$B$4:$AY$138,LS_current!AU$148, FALSE))/2)</f>
        <v>2382.0514937190892</v>
      </c>
      <c r="CS74" s="180">
        <f t="array" ref="CS74">IF($BT74=0, INDEX(LS_current!$D$4:$AY$138, MATCH('Staging Table'!$A74, LS_current!$B$4:$B$138, 0), MATCH(CS$4&amp;CS$5, LS_current!$D$2:$AY$2&amp;LS_current!$D$3:$AY$3, 0)),SUM(VLOOKUP($A74, LS_current!$B$4:$AY$138, LS_current!X$148, FALSE), VLOOKUP($A74, LS_current!$B$4:$AY$138,LS_current!AV$148, FALSE))/2)</f>
        <v>-914.35275706275752</v>
      </c>
      <c r="CT74" s="180">
        <f t="array" ref="CT74">IF($BT74=0, INDEX(LS_current!$D$4:$AY$138, MATCH('Staging Table'!$A74, LS_current!$B$4:$B$138, 0), MATCH(CT$4&amp;CT$5, LS_current!$D$2:$AY$2&amp;LS_current!$D$3:$AY$3, 0)),SUM(VLOOKUP($A74, LS_current!$B$4:$AY$138, LS_current!Y$148, FALSE), VLOOKUP($A74, LS_current!$B$4:$AY$138,LS_current!AW$148, FALSE))/2)</f>
        <v>2419.9630777635721</v>
      </c>
      <c r="CU74" s="180">
        <f t="array" ref="CU74">IF($BT74=0, INDEX(LS_current!$D$4:$AY$138, MATCH('Staging Table'!$A74, LS_current!$B$4:$B$138, 0), MATCH(CU$4&amp;CU$5, LS_current!$D$2:$AY$2&amp;LS_current!$D$3:$AY$3, 0)),SUM(VLOOKUP($A74, LS_current!$B$4:$AY$138, LS_current!Z$148, FALSE), VLOOKUP($A74, LS_current!$B$4:$AY$138,LS_current!AX$148, FALSE))/2)</f>
        <v>-2048.0563375648735</v>
      </c>
      <c r="CV74" s="180">
        <f t="array" ref="CV74">IF($BT74=0, INDEX(LS_current!$D$4:$AY$138, MATCH('Staging Table'!$A74, LS_current!$B$4:$B$138, 0), MATCH(CV$4&amp;CV$5, LS_current!$D$2:$AY$2&amp;LS_current!$D$3:$AY$3, 0)),SUM(VLOOKUP($A74, LS_current!$B$4:$AY$138, LS_current!AA$148, FALSE), VLOOKUP($A74, LS_current!$B$4:$AY$138,LS_current!AY$148, FALSE))/2)</f>
        <v>737.06440418371221</v>
      </c>
      <c r="CW74" s="182">
        <f t="array" ref="CW74">INDEX(Demand_current!$D$4:$AY$138, MATCH($A74, Demand_current!$B$4:$B$138, 0), MATCH(CW$4&amp;CW$5,Demand_current!$D$2:$AY$2&amp;Demand_current!$D$3:$AY$3, 0))/1000</f>
        <v>0</v>
      </c>
      <c r="CX74" s="182">
        <f t="array" ref="CX74">INDEX(Demand_current!$D$4:$AY$138, MATCH($A74, Demand_current!$B$4:$B$138, 0), MATCH(CX$4&amp;CX$5,Demand_current!$D$2:$AY$2&amp;Demand_current!$D$3:$AY$3, 0))/1000</f>
        <v>0</v>
      </c>
      <c r="CY74" s="182">
        <f t="array" ref="CY74">INDEX(Demand_current!$D$4:$AY$138, MATCH($A74, Demand_current!$B$4:$B$138, 0), MATCH(CY$4&amp;CY$5,Demand_current!$D$2:$AY$2&amp;Demand_current!$D$3:$AY$3, 0))/1000</f>
        <v>0</v>
      </c>
      <c r="CZ74" s="182">
        <f t="array" ref="CZ74">INDEX(Demand_current!$D$4:$AY$138, MATCH($A74, Demand_current!$B$4:$B$138, 0), MATCH(CZ$4&amp;CZ$5,Demand_current!$D$2:$AY$2&amp;Demand_current!$D$3:$AY$3, 0))/1000</f>
        <v>0</v>
      </c>
      <c r="DA74" s="182">
        <f t="array" ref="DA74">INDEX(Demand_current!$D$4:$AY$138, MATCH($A74, Demand_current!$B$4:$B$138, 0), MATCH(DA$4&amp;DA$5,Demand_current!$D$2:$AY$2&amp;Demand_current!$D$3:$AY$3, 0))/1000</f>
        <v>0</v>
      </c>
      <c r="DB74" s="182">
        <f t="array" ref="DB74">INDEX(Demand_current!$D$4:$AY$138, MATCH($A74, Demand_current!$B$4:$B$138, 0), MATCH(DB$4&amp;DB$5,Demand_current!$D$2:$AY$2&amp;Demand_current!$D$3:$AY$3, 0))/1000</f>
        <v>0</v>
      </c>
      <c r="DC74" s="182">
        <f t="array" ref="DC74">INDEX(Demand_current!$D$4:$AY$138, MATCH($A74, Demand_current!$B$4:$B$138, 0), MATCH(DC$4&amp;DC$5,Demand_current!$D$2:$AY$2&amp;Demand_current!$D$3:$AY$3, 0))/1000</f>
        <v>0</v>
      </c>
      <c r="DD74" s="182">
        <f t="array" ref="DD74">INDEX(Demand_current!$D$4:$AY$138, MATCH($A74, Demand_current!$B$4:$B$138, 0), MATCH(DD$4&amp;DD$5,Demand_current!$D$2:$AY$2&amp;Demand_current!$D$3:$AY$3, 0))/1000</f>
        <v>0</v>
      </c>
      <c r="DE74" s="182">
        <f t="array" ref="DE74">INDEX(Demand_current!$D$4:$AY$138, MATCH($A74, Demand_current!$B$4:$B$138, 0), MATCH(DE$4&amp;DE$5,Demand_current!$D$2:$AY$2&amp;Demand_current!$D$3:$AY$3, 0))/1000</f>
        <v>0</v>
      </c>
      <c r="DF74" s="182">
        <f t="array" ref="DF74">INDEX(Demand_current!$D$4:$AY$138, MATCH($A74, Demand_current!$B$4:$B$138, 0), MATCH(DF$4&amp;DF$5,Demand_current!$D$2:$AY$2&amp;Demand_current!$D$3:$AY$3, 0))/1000</f>
        <v>0</v>
      </c>
      <c r="DG74" s="182">
        <f t="array" ref="DG74">INDEX(Demand_current!$D$4:$AY$138, MATCH($A74, Demand_current!$B$4:$B$138, 0), MATCH(DG$4&amp;DG$5,Demand_current!$D$2:$AY$2&amp;Demand_current!$D$3:$AY$3, 0))/1000</f>
        <v>0</v>
      </c>
      <c r="DH74" s="182">
        <f t="array" ref="DH74">INDEX(Demand_current!$D$4:$AY$138, MATCH($A74, Demand_current!$B$4:$B$138, 0), MATCH(DH$4&amp;DH$5,Demand_current!$D$2:$AY$2&amp;Demand_current!$D$3:$AY$3, 0))/1000</f>
        <v>0</v>
      </c>
      <c r="DI74" s="180">
        <f>$BS74*(VLOOKUP(DI$4, Rates_current!$G$6:$Q$29, 10, FALSE)+VLOOKUP(DI$4, Rates_current!$G$6:$Q$29, 11, FALSE))</f>
        <v>24364.013603038646</v>
      </c>
      <c r="DJ74" s="180">
        <f>$BS74*(VLOOKUP(DJ$4, Rates_current!$G$6:$Q$29, 10, FALSE)+VLOOKUP(DJ$4, Rates_current!$G$6:$Q$29, 11, FALSE))</f>
        <v>31072.1514498209</v>
      </c>
      <c r="DK74" s="180">
        <f>$BS74*(VLOOKUP(DK$4, Rates_current!$G$6:$Q$29, 10, FALSE)+VLOOKUP(DK$4, Rates_current!$G$6:$Q$29, 11, FALSE))</f>
        <v>33532.999385068499</v>
      </c>
      <c r="DL74" s="180">
        <f>$BS74*(VLOOKUP(DL$4, Rates_current!$G$6:$Q$29, 10, FALSE)+VLOOKUP(DL$4, Rates_current!$G$6:$Q$29, 11, FALSE))</f>
        <v>34845.970154574396</v>
      </c>
      <c r="DM74" s="180">
        <f>$BS74*(VLOOKUP(DM$4, Rates_current!$G$6:$Q$29, 10, FALSE)+VLOOKUP(DM$4, Rates_current!$G$6:$Q$29, 11, FALSE))</f>
        <v>29972.179004233793</v>
      </c>
      <c r="DN74" s="180">
        <f>$BS74*(VLOOKUP(DN$4, Rates_current!$G$6:$Q$29, 10, FALSE)+VLOOKUP(DN$4, Rates_current!$G$6:$Q$29, 11, FALSE))</f>
        <v>32723.685279614096</v>
      </c>
      <c r="DO74" s="180">
        <f>$BS74*(VLOOKUP(DO$4, Rates_current!$G$6:$Q$29, 10, FALSE)+VLOOKUP(DO$4, Rates_current!$G$6:$Q$29, 11, FALSE))</f>
        <v>25829.834918792669</v>
      </c>
      <c r="DP74" s="180">
        <f>$BS74*(VLOOKUP(DP$4, Rates_current!$G$6:$Q$29, 10, FALSE)+VLOOKUP(DP$4, Rates_current!$G$6:$Q$29, 11, FALSE))</f>
        <v>32045.371576138146</v>
      </c>
      <c r="DQ74" s="180">
        <f>$BS74*(VLOOKUP(DQ$4, Rates_current!$G$6:$Q$29, 10, FALSE)+VLOOKUP(DQ$4, Rates_current!$G$6:$Q$29, 11, FALSE))</f>
        <v>32740.676140685544</v>
      </c>
      <c r="DR74" s="180">
        <f>$BS74*(VLOOKUP(DR$4, Rates_current!$G$6:$Q$29, 10, FALSE)+VLOOKUP(DR$4, Rates_current!$G$6:$Q$29, 11, FALSE))</f>
        <v>28423.623786351647</v>
      </c>
      <c r="DS74" s="180">
        <f>$BS74*(VLOOKUP(DS$4, Rates_current!$G$6:$Q$29, 10, FALSE)+VLOOKUP(DS$4, Rates_current!$G$6:$Q$29, 11, FALSE))</f>
        <v>27478.088954371386</v>
      </c>
      <c r="DT74" s="180">
        <f>$BS74*(VLOOKUP(DT$4, Rates_current!$G$6:$Q$29, 10, FALSE)+VLOOKUP(DT$4, Rates_current!$G$6:$Q$29, 11, FALSE))</f>
        <v>25285.162938687798</v>
      </c>
      <c r="DU74" s="402">
        <f>IF(D74=0,IF(C74=0,MAX(0,DW74 - (VLOOKUP($A74,TOCA_current!$A$2:$AI$137,MATCH("RHWM 2024",TOCA_current!$A$2:$AI$2,0),FALSE)*$BS$2)), 0),0)</f>
        <v>0</v>
      </c>
      <c r="DV74" s="403">
        <f>MIN(VLOOKUP($A74,TOCA_current!$A$2:$AI$137,MATCH("TRL - NLSL - Existing Resource "&amp;$BS$1,TOCA_current!$A$2:$AI$2,0),FALSE)*$BS$2, VLOOKUP($A74,TOCA_current!$A$2:$AI$137,MATCH("RHWM 2024",TOCA_current!$A$2:$AI$2,0),FALSE)*$BS$2)</f>
        <v>698819.90399999998</v>
      </c>
      <c r="DW74" s="403">
        <f>SUM(BY74:CV74)+(BS74*RT1SC!$C$4*$BS$2)</f>
        <v>358312.94915337389</v>
      </c>
      <c r="DX74" s="403">
        <f>VLOOKUP($A74,TOCA_current!$A$2:$AI$137,MATCH("Above RHWM Not Served with LS "&amp;$BS$1,TOCA_current!$A$2:$AI$2,0),FALSE)*$BS$2</f>
        <v>51816.815999999999</v>
      </c>
      <c r="DY74" s="403">
        <f t="shared" si="32"/>
        <v>-340506.95484662609</v>
      </c>
      <c r="DZ74" s="403">
        <f>(VLOOKUP($A74,TOCA_current!$A$2:$AI$137,MATCH("RHWM 2024",TOCA_current!$A$2:$AI$2,0),FALSE)*$BS$2) - $DV74</f>
        <v>0</v>
      </c>
      <c r="EA74" s="403">
        <f t="shared" si="33"/>
        <v>0</v>
      </c>
      <c r="EB74" s="403">
        <f t="shared" si="34"/>
        <v>288690.1388466261</v>
      </c>
      <c r="EC74" s="403">
        <f t="shared" si="35"/>
        <v>0</v>
      </c>
      <c r="ED74" s="403">
        <f t="shared" si="36"/>
        <v>0</v>
      </c>
    </row>
    <row r="75" spans="1:134">
      <c r="A75" s="123">
        <v>10209</v>
      </c>
      <c r="B75" s="124" t="s">
        <v>76</v>
      </c>
      <c r="C75" s="232">
        <f>VLOOKUP(A75, TOCA_current!$A$3:$D$137, 4, FALSE)</f>
        <v>0</v>
      </c>
      <c r="D75" s="191">
        <v>0</v>
      </c>
      <c r="E75" s="107">
        <f>VLOOKUP($A75,TOCA_previous!$A$2:$AI$137,MATCH(E$4,TOCA_previous!$A$2:$AI$2,0),FALSE)</f>
        <v>1.4853E-2</v>
      </c>
      <c r="F75" s="108">
        <f>VLOOKUP($A75,TOCA_previous!$A$2:$AI$137,MATCH(F$4,TOCA_previous!$A$2:$AI$2,0),FALSE)</f>
        <v>1.4853E-2</v>
      </c>
      <c r="G75" s="108">
        <f t="shared" si="24"/>
        <v>0</v>
      </c>
      <c r="H75" s="108">
        <f>VLOOKUP($A75,TOCA_previous!$A$2:$AI$137,MATCH(H$4,TOCA_previous!$A$2:$AI$2,0),FALSE)</f>
        <v>8.2379999999999995E-2</v>
      </c>
      <c r="I75" s="108">
        <f t="shared" si="25"/>
        <v>0</v>
      </c>
      <c r="J75" s="108">
        <f t="shared" si="26"/>
        <v>0</v>
      </c>
      <c r="K75" s="179">
        <f>VLOOKUP(A75, IRD!$A$5:$C$139, 3, FALSE)</f>
        <v>60112.701000000001</v>
      </c>
      <c r="L75" s="180">
        <f t="array" ref="L75">IF($G75=0, INDEX(LS_previous!$D$4:$AY$138, MATCH('Staging Table'!$A75, LS_previous!$B$4:$B$138, 0), MATCH(L$4&amp;L$5, LS_previous!$D$2:$AY$2&amp;LS_previous!$D$3:$AY$3, 0)),SUM(VLOOKUP($A75, LS_previous!$B$4:$AY$138, LS_previous!D$149, FALSE), VLOOKUP('Staging Table'!$A75, LS_previous!$B$4:$AY$138,LS_previous!AB$149, FALSE))/2)</f>
        <v>494.94820085422543</v>
      </c>
      <c r="M75" s="180">
        <f t="array" ref="M75">IF($G75=0, INDEX(LS_previous!$D$4:$AY$138, MATCH('Staging Table'!$A75, LS_previous!$B$4:$B$138, 0), MATCH(M$4&amp;M$5, LS_previous!$D$2:$AY$2&amp;LS_previous!$D$3:$AY$3, 0)),SUM(VLOOKUP($A75, LS_previous!$B$4:$AY$138, LS_previous!E$149, FALSE), VLOOKUP('Staging Table'!$A75, LS_previous!$B$4:$AY$138,LS_previous!AC$149, FALSE))/2)</f>
        <v>2865.0283775529424</v>
      </c>
      <c r="N75" s="180">
        <f t="array" ref="N75">IF($G75=0, INDEX(LS_previous!$D$4:$AY$138, MATCH('Staging Table'!$A75, LS_previous!$B$4:$B$138, 0), MATCH(N$4&amp;N$5, LS_previous!$D$2:$AY$2&amp;LS_previous!$D$3:$AY$3, 0)),SUM(VLOOKUP($A75, LS_previous!$B$4:$AY$138, LS_previous!F$149, FALSE), VLOOKUP('Staging Table'!$A75, LS_previous!$B$4:$AY$138,LS_previous!AD$149, FALSE))/2)</f>
        <v>-5883.4426182608368</v>
      </c>
      <c r="O75" s="180">
        <f t="array" ref="O75">IF($G75=0, INDEX(LS_previous!$D$4:$AY$138, MATCH('Staging Table'!$A75, LS_previous!$B$4:$B$138, 0), MATCH(O$4&amp;O$5, LS_previous!$D$2:$AY$2&amp;LS_previous!$D$3:$AY$3, 0)),SUM(VLOOKUP($A75, LS_previous!$B$4:$AY$138, LS_previous!G$149, FALSE), VLOOKUP('Staging Table'!$A75, LS_previous!$B$4:$AY$138,LS_previous!AE$149, FALSE))/2)</f>
        <v>808.92450633988483</v>
      </c>
      <c r="P75" s="180">
        <f t="array" ref="P75">IF($G75=0, INDEX(LS_previous!$D$4:$AY$138, MATCH('Staging Table'!$A75, LS_previous!$B$4:$B$138, 0), MATCH(P$4&amp;P$5, LS_previous!$D$2:$AY$2&amp;LS_previous!$D$3:$AY$3, 0)),SUM(VLOOKUP($A75, LS_previous!$B$4:$AY$138, LS_previous!H$149, FALSE), VLOOKUP('Staging Table'!$A75, LS_previous!$B$4:$AY$138,LS_previous!AF$149, FALSE))/2)</f>
        <v>17311.686256967252</v>
      </c>
      <c r="Q75" s="180">
        <f t="array" ref="Q75">IF($G75=0, INDEX(LS_previous!$D$4:$AY$138, MATCH('Staging Table'!$A75, LS_previous!$B$4:$B$138, 0), MATCH(Q$4&amp;Q$5, LS_previous!$D$2:$AY$2&amp;LS_previous!$D$3:$AY$3, 0)),SUM(VLOOKUP($A75, LS_previous!$B$4:$AY$138, LS_previous!I$149, FALSE), VLOOKUP('Staging Table'!$A75, LS_previous!$B$4:$AY$138,LS_previous!AG$149, FALSE))/2)</f>
        <v>11143.627551388185</v>
      </c>
      <c r="R75" s="180">
        <f t="array" ref="R75">IF($G75=0, INDEX(LS_previous!$D$4:$AY$138, MATCH('Staging Table'!$A75, LS_previous!$B$4:$B$138, 0), MATCH(R$4&amp;R$5, LS_previous!$D$2:$AY$2&amp;LS_previous!$D$3:$AY$3, 0)),SUM(VLOOKUP($A75, LS_previous!$B$4:$AY$138, LS_previous!J$149, FALSE), VLOOKUP('Staging Table'!$A75, LS_previous!$B$4:$AY$138,LS_previous!AH$149, FALSE))/2)</f>
        <v>24163.544341567271</v>
      </c>
      <c r="S75" s="180">
        <f t="array" ref="S75">IF($G75=0, INDEX(LS_previous!$D$4:$AY$138, MATCH('Staging Table'!$A75, LS_previous!$B$4:$B$138, 0), MATCH(S$4&amp;S$5, LS_previous!$D$2:$AY$2&amp;LS_previous!$D$3:$AY$3, 0)),SUM(VLOOKUP($A75, LS_previous!$B$4:$AY$138, LS_previous!K$149, FALSE), VLOOKUP('Staging Table'!$A75, LS_previous!$B$4:$AY$138,LS_previous!AI$149, FALSE))/2)</f>
        <v>15745.59283328227</v>
      </c>
      <c r="T75" s="180">
        <f t="array" ref="T75">IF($G75=0, INDEX(LS_previous!$D$4:$AY$138, MATCH('Staging Table'!$A75, LS_previous!$B$4:$B$138, 0), MATCH(T$4&amp;T$5, LS_previous!$D$2:$AY$2&amp;LS_previous!$D$3:$AY$3, 0)),SUM(VLOOKUP($A75, LS_previous!$B$4:$AY$138, LS_previous!L$149, FALSE), VLOOKUP('Staging Table'!$A75, LS_previous!$B$4:$AY$138,LS_previous!AJ$149, FALSE))/2)</f>
        <v>19388.166622939469</v>
      </c>
      <c r="U75" s="180">
        <f t="array" ref="U75">IF($G75=0, INDEX(LS_previous!$D$4:$AY$138, MATCH('Staging Table'!$A75, LS_previous!$B$4:$B$138, 0), MATCH(U$4&amp;U$5, LS_previous!$D$2:$AY$2&amp;LS_previous!$D$3:$AY$3, 0)),SUM(VLOOKUP($A75, LS_previous!$B$4:$AY$138, LS_previous!M$149, FALSE), VLOOKUP('Staging Table'!$A75, LS_previous!$B$4:$AY$138,LS_previous!AK$149, FALSE))/2)</f>
        <v>11474.052043816591</v>
      </c>
      <c r="V75" s="180">
        <f t="array" ref="V75">IF($G75=0, INDEX(LS_previous!$D$4:$AY$138, MATCH('Staging Table'!$A75, LS_previous!$B$4:$B$138, 0), MATCH(V$4&amp;V$5, LS_previous!$D$2:$AY$2&amp;LS_previous!$D$3:$AY$3, 0)),SUM(VLOOKUP($A75, LS_previous!$B$4:$AY$138, LS_previous!N$149, FALSE), VLOOKUP('Staging Table'!$A75, LS_previous!$B$4:$AY$138,LS_previous!AL$149, FALSE))/2)</f>
        <v>4050.0806002702957</v>
      </c>
      <c r="W75" s="180">
        <f t="array" ref="W75">IF($G75=0, INDEX(LS_previous!$D$4:$AY$138, MATCH('Staging Table'!$A75, LS_previous!$B$4:$B$138, 0), MATCH(W$4&amp;W$5, LS_previous!$D$2:$AY$2&amp;LS_previous!$D$3:$AY$3, 0)),SUM(VLOOKUP($A75, LS_previous!$B$4:$AY$138, LS_previous!O$149, FALSE), VLOOKUP('Staging Table'!$A75, LS_previous!$B$4:$AY$138,LS_previous!AM$149, FALSE))/2)</f>
        <v>5521.8917999995901</v>
      </c>
      <c r="X75" s="180">
        <f t="array" ref="X75">IF($G75=0, INDEX(LS_previous!$D$4:$AY$138, MATCH('Staging Table'!$A75, LS_previous!$B$4:$B$138, 0), MATCH(X$4&amp;X$5, LS_previous!$D$2:$AY$2&amp;LS_previous!$D$3:$AY$3, 0)),SUM(VLOOKUP($A75, LS_previous!$B$4:$AY$138, LS_previous!P$149, FALSE), VLOOKUP('Staging Table'!$A75, LS_previous!$B$4:$AY$138,LS_previous!AN$149, FALSE))/2)</f>
        <v>8387.9596163066963</v>
      </c>
      <c r="Y75" s="180">
        <f t="array" ref="Y75">IF($G75=0, INDEX(LS_previous!$D$4:$AY$138, MATCH('Staging Table'!$A75, LS_previous!$B$4:$B$138, 0), MATCH(Y$4&amp;Y$5, LS_previous!$D$2:$AY$2&amp;LS_previous!$D$3:$AY$3, 0)),SUM(VLOOKUP($A75, LS_previous!$B$4:$AY$138, LS_previous!Q$149, FALSE), VLOOKUP('Staging Table'!$A75, LS_previous!$B$4:$AY$138,LS_previous!AO$149, FALSE))/2)</f>
        <v>7245.0653266206318</v>
      </c>
      <c r="Z75" s="180">
        <f t="array" ref="Z75">IF($G75=0, INDEX(LS_previous!$D$4:$AY$138, MATCH('Staging Table'!$A75, LS_previous!$B$4:$B$138, 0), MATCH(Z$4&amp;Z$5, LS_previous!$D$2:$AY$2&amp;LS_previous!$D$3:$AY$3, 0)),SUM(VLOOKUP($A75, LS_previous!$B$4:$AY$138, LS_previous!R$149, FALSE), VLOOKUP('Staging Table'!$A75, LS_previous!$B$4:$AY$138,LS_previous!AP$149, FALSE))/2)</f>
        <v>-12275.376789845461</v>
      </c>
      <c r="AA75" s="180">
        <f t="array" ref="AA75">IF($G75=0, INDEX(LS_previous!$D$4:$AY$138, MATCH('Staging Table'!$A75, LS_previous!$B$4:$B$138, 0), MATCH(AA$4&amp;AA$5, LS_previous!$D$2:$AY$2&amp;LS_previous!$D$3:$AY$3, 0)),SUM(VLOOKUP($A75, LS_previous!$B$4:$AY$138, LS_previous!S$149, FALSE), VLOOKUP('Staging Table'!$A75, LS_previous!$B$4:$AY$138,LS_previous!AQ$149, FALSE))/2)</f>
        <v>2094.7535063226314</v>
      </c>
      <c r="AB75" s="180">
        <f t="array" ref="AB75">IF($G75=0, INDEX(LS_previous!$D$4:$AY$138, MATCH('Staging Table'!$A75, LS_previous!$B$4:$B$138, 0), MATCH(AB$4&amp;AB$5, LS_previous!$D$2:$AY$2&amp;LS_previous!$D$3:$AY$3, 0)),SUM(VLOOKUP($A75, LS_previous!$B$4:$AY$138, LS_previous!T$149, FALSE), VLOOKUP('Staging Table'!$A75, LS_previous!$B$4:$AY$138,LS_previous!AR$149, FALSE))/2)</f>
        <v>-15550.583555615609</v>
      </c>
      <c r="AC75" s="180">
        <f t="array" ref="AC75">IF($G75=0, INDEX(LS_previous!$D$4:$AY$138, MATCH('Staging Table'!$A75, LS_previous!$B$4:$B$138, 0), MATCH(AC$4&amp;AC$5, LS_previous!$D$2:$AY$2&amp;LS_previous!$D$3:$AY$3, 0)),SUM(VLOOKUP($A75, LS_previous!$B$4:$AY$138, LS_previous!U$149, FALSE), VLOOKUP('Staging Table'!$A75, LS_previous!$B$4:$AY$138,LS_previous!AS$149, FALSE))/2)</f>
        <v>3133.1612304640985</v>
      </c>
      <c r="AD75" s="180">
        <f t="array" ref="AD75">IF($G75=0, INDEX(LS_previous!$D$4:$AY$138, MATCH('Staging Table'!$A75, LS_previous!$B$4:$B$138, 0), MATCH(AD$4&amp;AD$5, LS_previous!$D$2:$AY$2&amp;LS_previous!$D$3:$AY$3, 0)),SUM(VLOOKUP($A75, LS_previous!$B$4:$AY$138, LS_previous!V$149, FALSE), VLOOKUP('Staging Table'!$A75, LS_previous!$B$4:$AY$138,LS_previous!AT$149, FALSE))/2)</f>
        <v>-6336.7767726553648</v>
      </c>
      <c r="AE75" s="180">
        <f t="array" ref="AE75">IF($G75=0, INDEX(LS_previous!$D$4:$AY$138, MATCH('Staging Table'!$A75, LS_previous!$B$4:$B$138, 0), MATCH(AE$4&amp;AE$5, LS_previous!$D$2:$AY$2&amp;LS_previous!$D$3:$AY$3, 0)),SUM(VLOOKUP($A75, LS_previous!$B$4:$AY$138, LS_previous!W$149, FALSE), VLOOKUP('Staging Table'!$A75, LS_previous!$B$4:$AY$138,LS_previous!AU$149, FALSE))/2)</f>
        <v>2648.6936092937067</v>
      </c>
      <c r="AF75" s="180">
        <f t="array" ref="AF75">IF($G75=0, INDEX(LS_previous!$D$4:$AY$138, MATCH('Staging Table'!$A75, LS_previous!$B$4:$B$138, 0), MATCH(AF$4&amp;AF$5, LS_previous!$D$2:$AY$2&amp;LS_previous!$D$3:$AY$3, 0)),SUM(VLOOKUP($A75, LS_previous!$B$4:$AY$138, LS_previous!X$149, FALSE), VLOOKUP('Staging Table'!$A75, LS_previous!$B$4:$AY$138,LS_previous!AV$149, FALSE))/2)</f>
        <v>-3449.3182098243997</v>
      </c>
      <c r="AG75" s="180">
        <f t="array" ref="AG75">IF($G75=0, INDEX(LS_previous!$D$4:$AY$138, MATCH('Staging Table'!$A75, LS_previous!$B$4:$B$138, 0), MATCH(AG$4&amp;AG$5, LS_previous!$D$2:$AY$2&amp;LS_previous!$D$3:$AY$3, 0)),SUM(VLOOKUP($A75, LS_previous!$B$4:$AY$138, LS_previous!Y$149, FALSE), VLOOKUP('Staging Table'!$A75, LS_previous!$B$4:$AY$138,LS_previous!AW$149, FALSE))/2)</f>
        <v>3032.4029888595323</v>
      </c>
      <c r="AH75" s="180">
        <f t="array" ref="AH75">IF($G75=0, INDEX(LS_previous!$D$4:$AY$138, MATCH('Staging Table'!$A75, LS_previous!$B$4:$B$138, 0), MATCH(AH$4&amp;AH$5, LS_previous!$D$2:$AY$2&amp;LS_previous!$D$3:$AY$3, 0)),SUM(VLOOKUP($A75, LS_previous!$B$4:$AY$138, LS_previous!Z$149, FALSE), VLOOKUP('Staging Table'!$A75, LS_previous!$B$4:$AY$138,LS_previous!AX$149, FALSE))/2)</f>
        <v>-5723.7192126217706</v>
      </c>
      <c r="AI75" s="180">
        <f t="array" ref="AI75">IF($G75=0, INDEX(LS_previous!$D$4:$AY$138, MATCH('Staging Table'!$A75, LS_previous!$B$4:$B$138, 0), MATCH(AI$4&amp;AI$5, LS_previous!$D$2:$AY$2&amp;LS_previous!$D$3:$AY$3, 0)),SUM(VLOOKUP($A75, LS_previous!$B$4:$AY$138, LS_previous!AA$149, FALSE), VLOOKUP('Staging Table'!$A75, LS_previous!$B$4:$AY$138,LS_previous!AY$149, FALSE))/2)</f>
        <v>1600.2511933552996</v>
      </c>
      <c r="AJ75" s="298">
        <f t="array" ref="AJ75">INDEX(Demand_previous!$D$4:$AY$138, MATCH('Staging Table'!$A75, Demand_previous!$B$4:$B$138, 0), MATCH(AJ$4&amp;AJ$5,Demand_previous!$D$2:$AY$2&amp;Demand_previous!$D$3:$AY$3, 0))/1000</f>
        <v>6.9403701923076966</v>
      </c>
      <c r="AK75" s="298">
        <f t="array" ref="AK75">INDEX(Demand_previous!$D$4:$AY$138, MATCH('Staging Table'!$A75, Demand_previous!$B$4:$B$138, 0), MATCH(AK$4&amp;AK$5,Demand_previous!$D$2:$AY$2&amp;Demand_previous!$D$3:$AY$3, 0))/1000</f>
        <v>21.265857499999967</v>
      </c>
      <c r="AL75" s="298">
        <f t="array" ref="AL75">INDEX(Demand_previous!$D$4:$AY$138, MATCH('Staging Table'!$A75, Demand_previous!$B$4:$B$138, 0), MATCH(AL$4&amp;AL$5,Demand_previous!$D$2:$AY$2&amp;Demand_previous!$D$3:$AY$3, 0))/1000</f>
        <v>29.59716346153844</v>
      </c>
      <c r="AM75" s="298">
        <f t="array" ref="AM75">INDEX(Demand_previous!$D$4:$AY$138, MATCH('Staging Table'!$A75, Demand_previous!$B$4:$B$138, 0), MATCH(AM$4&amp;AM$5,Demand_previous!$D$2:$AY$2&amp;Demand_previous!$D$3:$AY$3, 0))/1000</f>
        <v>15.450354999999981</v>
      </c>
      <c r="AN75" s="298">
        <f t="array" ref="AN75">INDEX(Demand_previous!$D$4:$AY$138, MATCH('Staging Table'!$A75, Demand_previous!$B$4:$B$138, 0), MATCH(AN$4&amp;AN$5,Demand_previous!$D$2:$AY$2&amp;Demand_previous!$D$3:$AY$3, 0))/1000</f>
        <v>9.1467421874999957</v>
      </c>
      <c r="AO75" s="298">
        <f t="array" ref="AO75">INDEX(Demand_previous!$D$4:$AY$138, MATCH('Staging Table'!$A75, Demand_previous!$B$4:$B$138, 0), MATCH(AO$4&amp;AO$5,Demand_previous!$D$2:$AY$2&amp;Demand_previous!$D$3:$AY$3, 0))/1000</f>
        <v>31.077020833333343</v>
      </c>
      <c r="AP75" s="298">
        <f t="array" ref="AP75">INDEX(Demand_previous!$D$4:$AY$138, MATCH('Staging Table'!$A75, Demand_previous!$B$4:$B$138, 0), MATCH(AP$4&amp;AP$5,Demand_previous!$D$2:$AY$2&amp;Demand_previous!$D$3:$AY$3, 0))/1000</f>
        <v>36.759555288461549</v>
      </c>
      <c r="AQ75" s="298">
        <f t="array" ref="AQ75">INDEX(Demand_previous!$D$4:$AY$138, MATCH('Staging Table'!$A75, Demand_previous!$B$4:$B$138, 0), MATCH(AQ$4&amp;AQ$5,Demand_previous!$D$2:$AY$2&amp;Demand_previous!$D$3:$AY$3, 0))/1000</f>
        <v>18.705002499999971</v>
      </c>
      <c r="AR75" s="298">
        <f t="array" ref="AR75">INDEX(Demand_previous!$D$4:$AY$138, MATCH('Staging Table'!$A75, Demand_previous!$B$4:$B$138, 0), MATCH(AR$4&amp;AR$5,Demand_previous!$D$2:$AY$2&amp;Demand_previous!$D$3:$AY$3, 0))/1000</f>
        <v>31.847401442307703</v>
      </c>
      <c r="AS75" s="298">
        <f t="array" ref="AS75">INDEX(Demand_previous!$D$4:$AY$138, MATCH('Staging Table'!$A75, Demand_previous!$B$4:$B$138, 0), MATCH(AS$4&amp;AS$5,Demand_previous!$D$2:$AY$2&amp;Demand_previous!$D$3:$AY$3, 0))/1000</f>
        <v>28.951929999999987</v>
      </c>
      <c r="AT75" s="298">
        <f t="array" ref="AT75">INDEX(Demand_previous!$D$4:$AY$138, MATCH('Staging Table'!$A75, Demand_previous!$B$4:$B$138, 0), MATCH(AT$4&amp;AT$5,Demand_previous!$D$2:$AY$2&amp;Demand_previous!$D$3:$AY$3, 0))/1000</f>
        <v>29.890462962962957</v>
      </c>
      <c r="AU75" s="298">
        <f t="array" ref="AU75">INDEX(Demand_previous!$D$4:$AY$138, MATCH('Staging Table'!$A75, Demand_previous!$B$4:$B$138, 0), MATCH(AU$4&amp;AU$5,Demand_previous!$D$2:$AY$2&amp;Demand_previous!$D$3:$AY$3, 0))/1000</f>
        <v>25.183494999999997</v>
      </c>
      <c r="AV75" s="180">
        <f>$F75*(VLOOKUP(AV$4, Rates_previous!$G$6:$Q$29, 10, FALSE)+VLOOKUP(AV$4, Rates_previous!$G$6:$Q$29, 11, FALSE))</f>
        <v>67639.439421592833</v>
      </c>
      <c r="AW75" s="180">
        <f>$F75*(VLOOKUP(AW$4, Rates_previous!$G$6:$Q$29, 10, FALSE)+VLOOKUP(AW$4, Rates_previous!$G$6:$Q$29, 11, FALSE))</f>
        <v>85633.985111920963</v>
      </c>
      <c r="AX75" s="180">
        <f>$F75*(VLOOKUP(AX$4, Rates_previous!$G$6:$Q$29, 10, FALSE)+VLOOKUP(AX$4, Rates_previous!$G$6:$Q$29, 11, FALSE))</f>
        <v>83818.563191644585</v>
      </c>
      <c r="AY75" s="180">
        <f>$F75*(VLOOKUP(AY$4, Rates_previous!$G$6:$Q$29, 10, FALSE)+VLOOKUP(AY$4, Rates_previous!$G$6:$Q$29, 11, FALSE))</f>
        <v>69230.568825150476</v>
      </c>
      <c r="AZ75" s="180">
        <f>$F75*(VLOOKUP(AZ$4, Rates_previous!$G$6:$Q$29, 10, FALSE)+VLOOKUP(AZ$4, Rates_previous!$G$6:$Q$29, 11, FALSE))</f>
        <v>60003.651333243943</v>
      </c>
      <c r="BA75" s="180">
        <f>$F75*(VLOOKUP(BA$4, Rates_previous!$G$6:$Q$29, 10, FALSE)+VLOOKUP(BA$4, Rates_previous!$G$6:$Q$29, 11, FALSE))</f>
        <v>71632.242599730118</v>
      </c>
      <c r="BB75" s="180">
        <f>$F75*(VLOOKUP(BB$4, Rates_previous!$G$6:$Q$29, 10, FALSE)+VLOOKUP(BB$4, Rates_previous!$G$6:$Q$29, 11, FALSE))</f>
        <v>55612.900057072671</v>
      </c>
      <c r="BC75" s="180">
        <f>$F75*(VLOOKUP(BC$4, Rates_previous!$G$6:$Q$29, 10, FALSE)+VLOOKUP(BC$4, Rates_previous!$G$6:$Q$29, 11, FALSE))</f>
        <v>77052.082283522832</v>
      </c>
      <c r="BD75" s="180">
        <f>$F75*(VLOOKUP(BD$4, Rates_previous!$G$6:$Q$29, 10, FALSE)+VLOOKUP(BD$4, Rates_previous!$G$6:$Q$29, 11, FALSE))</f>
        <v>82331.763325151507</v>
      </c>
      <c r="BE75" s="180">
        <f>$F75*(VLOOKUP(BE$4, Rates_previous!$G$6:$Q$29, 10, FALSE)+VLOOKUP(BE$4, Rates_previous!$G$6:$Q$29, 11, FALSE))</f>
        <v>78170.281163361666</v>
      </c>
      <c r="BF75" s="180">
        <f>$F75*(VLOOKUP(BF$4, Rates_previous!$G$6:$Q$29, 10, FALSE)+VLOOKUP(BF$4, Rates_previous!$G$6:$Q$29, 11, FALSE))</f>
        <v>75545.546220964869</v>
      </c>
      <c r="BG75" s="180">
        <f>$F75*(VLOOKUP(BG$4, Rates_previous!$G$6:$Q$29, 10, FALSE)+VLOOKUP(BG$4, Rates_previous!$G$6:$Q$29, 11, FALSE))</f>
        <v>69811.960019266466</v>
      </c>
      <c r="BH75" s="298">
        <f>IF($D75=0,IF(C75=0, MAX(BJ75 - (VLOOKUP($A75,TOCA_previous!$A$2:$AI$137,MATCH("RHWM 2022",TOCA_previous!$A$2:$AI$2,0),FALSE)*$F$2*TOCA_previous!C72),0),0), 0)</f>
        <v>91891.841835897183</v>
      </c>
      <c r="BI75" s="192">
        <f>MIN(VLOOKUP($A75,TOCA_previous!$A$2:$AI$137,MATCH("TRL - NLSL - Existing Resource "&amp;$F$1,TOCA_previous!$A$2:$AI$2,0),FALSE)*$F$2,(VLOOKUP($A75,TOCA_previous!$A$2:$AI$137,MATCH("RHWM 2022",TOCA_previous!$A$2:$AI$2,0),FALSE)*$F$2))</f>
        <v>876481.8</v>
      </c>
      <c r="BJ75" s="402">
        <f>SUM(L75:AI75)+(F75*RT1SC!$C$3*$F$2)</f>
        <v>968373.64183589723</v>
      </c>
      <c r="BK75" s="401">
        <f>VLOOKUP($A75,TOCA_previous!$A$2:$AI$137,MATCH("Above RHWM Not Served with LS "&amp;$F$1,TOCA_previous!$A$2:$AI$2,0),FALSE)*$F$2</f>
        <v>155025.72</v>
      </c>
      <c r="BL75" s="402">
        <f t="shared" si="27"/>
        <v>91891.841835897183</v>
      </c>
      <c r="BM75" s="401">
        <f>(VLOOKUP($A75,TOCA_previous!$A$2:$AI$137,MATCH("RHWM 2022",TOCA_previous!$A$2:$AI$2,0),FALSE)*$F$2) - $BI75</f>
        <v>0</v>
      </c>
      <c r="BN75" s="402">
        <f t="shared" si="28"/>
        <v>0</v>
      </c>
      <c r="BO75" s="401">
        <f t="shared" si="29"/>
        <v>0</v>
      </c>
      <c r="BP75" s="402">
        <f t="shared" si="30"/>
        <v>0</v>
      </c>
      <c r="BQ75" s="401">
        <f t="shared" si="21"/>
        <v>0</v>
      </c>
      <c r="BR75" s="108">
        <f>VLOOKUP($A75,TOCA_current!$A$2:$AI$137,MATCH(BR$4,TOCA_current!$A$2:$AI$2,0),FALSE)</f>
        <v>1.4849899999999999E-2</v>
      </c>
      <c r="BS75" s="108">
        <f>VLOOKUP($A75,TOCA_current!$A$2:$AI$137,MATCH(BS$4,TOCA_current!$A$2:$AI$2,0),FALSE)</f>
        <v>1.4849899999999999E-2</v>
      </c>
      <c r="BT75" s="189">
        <f t="shared" si="31"/>
        <v>0</v>
      </c>
      <c r="BU75" s="108">
        <f>VLOOKUP($A75,TOCA_current!A71:BG206,MATCH(BU$4,TOCA_current!$A$2:$BG$2,0),FALSE)</f>
        <v>8.5350748403088955E-2</v>
      </c>
      <c r="BV75" s="108">
        <f t="shared" si="22"/>
        <v>0</v>
      </c>
      <c r="BW75" s="108">
        <f t="shared" si="23"/>
        <v>0</v>
      </c>
      <c r="BX75" s="179">
        <f>VLOOKUP($A75,IRD!$A$4:$G$139, 7, FALSE)</f>
        <v>60112.701000000001</v>
      </c>
      <c r="BY75" s="180">
        <f t="array" ref="BY75">IF($BT75=0, INDEX(LS_current!$D$4:$AY$138, MATCH('Staging Table'!$A75, LS_current!$B$4:$B$138, 0), MATCH(BY$4&amp;BY$5, LS_current!$D$2:$AY$2&amp;LS_current!$D$3:$AY$3, 0)),SUM(VLOOKUP($A75, LS_current!$B$4:$AY$138, LS_current!D$148, FALSE), VLOOKUP($A75, LS_current!$B$4:$AY$138,LS_current!AB$148, FALSE))/2)</f>
        <v>3767.0273098035977</v>
      </c>
      <c r="BZ75" s="180">
        <f t="array" ref="BZ75">IF($BT75=0, INDEX(LS_current!$D$4:$AY$138, MATCH('Staging Table'!$A75, LS_current!$B$4:$B$138, 0), MATCH(BZ$4&amp;BZ$5, LS_current!$D$2:$AY$2&amp;LS_current!$D$3:$AY$3, 0)),SUM(VLOOKUP($A75, LS_current!$B$4:$AY$138, LS_current!E$148, FALSE), VLOOKUP($A75, LS_current!$B$4:$AY$138,LS_current!AC$148, FALSE))/2)</f>
        <v>636.65471229755713</v>
      </c>
      <c r="CA75" s="180">
        <f t="array" ref="CA75">IF($BT75=0, INDEX(LS_current!$D$4:$AY$138, MATCH('Staging Table'!$A75, LS_current!$B$4:$B$138, 0), MATCH(CA$4&amp;CA$5, LS_current!$D$2:$AY$2&amp;LS_current!$D$3:$AY$3, 0)),SUM(VLOOKUP($A75, LS_current!$B$4:$AY$138, LS_current!F$148, FALSE), VLOOKUP($A75, LS_current!$B$4:$AY$138,LS_current!AD$148, FALSE))/2)</f>
        <v>-3933.6533720671941</v>
      </c>
      <c r="CB75" s="180">
        <f t="array" ref="CB75">IF($BT75=0, INDEX(LS_current!$D$4:$AY$138, MATCH('Staging Table'!$A75, LS_current!$B$4:$B$138, 0), MATCH(CB$4&amp;CB$5, LS_current!$D$2:$AY$2&amp;LS_current!$D$3:$AY$3, 0)),SUM(VLOOKUP($A75, LS_current!$B$4:$AY$138, LS_current!G$148, FALSE), VLOOKUP($A75, LS_current!$B$4:$AY$138,LS_current!AE$148, FALSE))/2)</f>
        <v>770.31891751310104</v>
      </c>
      <c r="CC75" s="180">
        <f t="array" ref="CC75">IF($BT75=0, INDEX(LS_current!$D$4:$AY$138, MATCH('Staging Table'!$A75, LS_current!$B$4:$B$138, 0), MATCH(CC$4&amp;CC$5, LS_current!$D$2:$AY$2&amp;LS_current!$D$3:$AY$3, 0)),SUM(VLOOKUP($A75, LS_current!$B$4:$AY$138, LS_current!H$148, FALSE), VLOOKUP($A75, LS_current!$B$4:$AY$138,LS_current!AF$148, FALSE))/2)</f>
        <v>11078.158824423903</v>
      </c>
      <c r="CD75" s="180">
        <f t="array" ref="CD75">IF($BT75=0, INDEX(LS_current!$D$4:$AY$138, MATCH('Staging Table'!$A75, LS_current!$B$4:$B$138, 0), MATCH(CD$4&amp;CD$5, LS_current!$D$2:$AY$2&amp;LS_current!$D$3:$AY$3, 0)),SUM(VLOOKUP($A75, LS_current!$B$4:$AY$138, LS_current!I$148, FALSE), VLOOKUP($A75, LS_current!$B$4:$AY$138,LS_current!AG$148, FALSE))/2)</f>
        <v>11023.159213769599</v>
      </c>
      <c r="CE75" s="180">
        <f t="array" ref="CE75">IF($BT75=0, INDEX(LS_current!$D$4:$AY$138, MATCH('Staging Table'!$A75, LS_current!$B$4:$B$138, 0), MATCH(CE$4&amp;CE$5, LS_current!$D$2:$AY$2&amp;LS_current!$D$3:$AY$3, 0)),SUM(VLOOKUP($A75, LS_current!$B$4:$AY$138, LS_current!J$148, FALSE), VLOOKUP($A75, LS_current!$B$4:$AY$138,LS_current!AH$148, FALSE))/2)</f>
        <v>5582.7776014215051</v>
      </c>
      <c r="CF75" s="180">
        <f t="array" ref="CF75">IF($BT75=0, INDEX(LS_current!$D$4:$AY$138, MATCH('Staging Table'!$A75, LS_current!$B$4:$B$138, 0), MATCH(CF$4&amp;CF$5, LS_current!$D$2:$AY$2&amp;LS_current!$D$3:$AY$3, 0)),SUM(VLOOKUP($A75, LS_current!$B$4:$AY$138, LS_current!K$148, FALSE), VLOOKUP($A75, LS_current!$B$4:$AY$138,LS_current!AI$148, FALSE))/2)</f>
        <v>10008.240083152901</v>
      </c>
      <c r="CG75" s="180">
        <f t="array" ref="CG75">IF($BT75=0, INDEX(LS_current!$D$4:$AY$138, MATCH('Staging Table'!$A75, LS_current!$B$4:$B$138, 0), MATCH(CG$4&amp;CG$5, LS_current!$D$2:$AY$2&amp;LS_current!$D$3:$AY$3, 0)),SUM(VLOOKUP($A75, LS_current!$B$4:$AY$138, LS_current!L$148, FALSE), VLOOKUP($A75, LS_current!$B$4:$AY$138,LS_current!AJ$148, FALSE))/2)</f>
        <v>2833.7941964379133</v>
      </c>
      <c r="CH75" s="180">
        <f t="array" ref="CH75">IF($BT75=0, INDEX(LS_current!$D$4:$AY$138, MATCH('Staging Table'!$A75, LS_current!$B$4:$B$138, 0), MATCH(CH$4&amp;CH$5, LS_current!$D$2:$AY$2&amp;LS_current!$D$3:$AY$3, 0)),SUM(VLOOKUP($A75, LS_current!$B$4:$AY$138, LS_current!M$148, FALSE), VLOOKUP($A75, LS_current!$B$4:$AY$138,LS_current!AK$148, FALSE))/2)</f>
        <v>6845.6038990459019</v>
      </c>
      <c r="CI75" s="180">
        <f t="array" ref="CI75">IF($BT75=0, INDEX(LS_current!$D$4:$AY$138, MATCH('Staging Table'!$A75, LS_current!$B$4:$B$138, 0), MATCH(CI$4&amp;CI$5, LS_current!$D$2:$AY$2&amp;LS_current!$D$3:$AY$3, 0)),SUM(VLOOKUP($A75, LS_current!$B$4:$AY$138, LS_current!N$148, FALSE), VLOOKUP($A75, LS_current!$B$4:$AY$138,LS_current!AL$148, FALSE))/2)</f>
        <v>-5112.4028361386954</v>
      </c>
      <c r="CJ75" s="180">
        <f t="array" ref="CJ75">IF($BT75=0, INDEX(LS_current!$D$4:$AY$138, MATCH('Staging Table'!$A75, LS_current!$B$4:$B$138, 0), MATCH(CJ$4&amp;CJ$5, LS_current!$D$2:$AY$2&amp;LS_current!$D$3:$AY$3, 0)),SUM(VLOOKUP($A75, LS_current!$B$4:$AY$138, LS_current!O$148, FALSE), VLOOKUP($A75, LS_current!$B$4:$AY$138,LS_current!AM$148, FALSE))/2)</f>
        <v>-1769.592761122196</v>
      </c>
      <c r="CK75" s="180">
        <f t="array" ref="CK75">IF($BT75=0, INDEX(LS_current!$D$4:$AY$138, MATCH('Staging Table'!$A75, LS_current!$B$4:$B$138, 0), MATCH(CK$4&amp;CK$5, LS_current!$D$2:$AY$2&amp;LS_current!$D$3:$AY$3, 0)),SUM(VLOOKUP($A75, LS_current!$B$4:$AY$138, LS_current!P$148, FALSE), VLOOKUP($A75, LS_current!$B$4:$AY$138,LS_current!AN$148, FALSE))/2)</f>
        <v>24.125744902754377</v>
      </c>
      <c r="CL75" s="180">
        <f t="array" ref="CL75">IF($BT75=0, INDEX(LS_current!$D$4:$AY$138, MATCH('Staging Table'!$A75, LS_current!$B$4:$B$138, 0), MATCH(CL$4&amp;CL$5, LS_current!$D$2:$AY$2&amp;LS_current!$D$3:$AY$3, 0)),SUM(VLOOKUP($A75, LS_current!$B$4:$AY$138, LS_current!Q$148, FALSE), VLOOKUP($A75, LS_current!$B$4:$AY$138,LS_current!AO$148, FALSE))/2)</f>
        <v>984.22111435867919</v>
      </c>
      <c r="CM75" s="180">
        <f t="array" ref="CM75">IF($BT75=0, INDEX(LS_current!$D$4:$AY$138, MATCH('Staging Table'!$A75, LS_current!$B$4:$B$138, 0), MATCH(CM$4&amp;CM$5, LS_current!$D$2:$AY$2&amp;LS_current!$D$3:$AY$3, 0)),SUM(VLOOKUP($A75, LS_current!$B$4:$AY$138, LS_current!R$148, FALSE), VLOOKUP($A75, LS_current!$B$4:$AY$138,LS_current!AP$148, FALSE))/2)</f>
        <v>-12914.776011115202</v>
      </c>
      <c r="CN75" s="180">
        <f t="array" ref="CN75">IF($BT75=0, INDEX(LS_current!$D$4:$AY$138, MATCH('Staging Table'!$A75, LS_current!$B$4:$B$138, 0), MATCH(CN$4&amp;CN$5, LS_current!$D$2:$AY$2&amp;LS_current!$D$3:$AY$3, 0)),SUM(VLOOKUP($A75, LS_current!$B$4:$AY$138, LS_current!S$148, FALSE), VLOOKUP($A75, LS_current!$B$4:$AY$138,LS_current!AQ$148, FALSE))/2)</f>
        <v>-6561.0872968091462</v>
      </c>
      <c r="CO75" s="180">
        <f t="array" ref="CO75">IF($BT75=0, INDEX(LS_current!$D$4:$AY$138, MATCH('Staging Table'!$A75, LS_current!$B$4:$B$138, 0), MATCH(CO$4&amp;CO$5, LS_current!$D$2:$AY$2&amp;LS_current!$D$3:$AY$3, 0)),SUM(VLOOKUP($A75, LS_current!$B$4:$AY$138, LS_current!T$148, FALSE), VLOOKUP($A75, LS_current!$B$4:$AY$138,LS_current!AR$148, FALSE))/2)</f>
        <v>-11542.280700307398</v>
      </c>
      <c r="CP75" s="180">
        <f t="array" ref="CP75">IF($BT75=0, INDEX(LS_current!$D$4:$AY$138, MATCH('Staging Table'!$A75, LS_current!$B$4:$B$138, 0), MATCH(CP$4&amp;CP$5, LS_current!$D$2:$AY$2&amp;LS_current!$D$3:$AY$3, 0)),SUM(VLOOKUP($A75, LS_current!$B$4:$AY$138, LS_current!U$148, FALSE), VLOOKUP($A75, LS_current!$B$4:$AY$138,LS_current!AS$148, FALSE))/2)</f>
        <v>-6551.2636318195473</v>
      </c>
      <c r="CQ75" s="180">
        <f t="array" ref="CQ75">IF($BT75=0, INDEX(LS_current!$D$4:$AY$138, MATCH('Staging Table'!$A75, LS_current!$B$4:$B$138, 0), MATCH(CQ$4&amp;CQ$5, LS_current!$D$2:$AY$2&amp;LS_current!$D$3:$AY$3, 0)),SUM(VLOOKUP($A75, LS_current!$B$4:$AY$138, LS_current!V$148, FALSE), VLOOKUP($A75, LS_current!$B$4:$AY$138,LS_current!AT$148, FALSE))/2)</f>
        <v>-2307.1189922236008</v>
      </c>
      <c r="CR75" s="180">
        <f t="array" ref="CR75">IF($BT75=0, INDEX(LS_current!$D$4:$AY$138, MATCH('Staging Table'!$A75, LS_current!$B$4:$B$138, 0), MATCH(CR$4&amp;CR$5, LS_current!$D$2:$AY$2&amp;LS_current!$D$3:$AY$3, 0)),SUM(VLOOKUP($A75, LS_current!$B$4:$AY$138, LS_current!W$148, FALSE), VLOOKUP($A75, LS_current!$B$4:$AY$138,LS_current!AU$148, FALSE))/2)</f>
        <v>-245.16354611224597</v>
      </c>
      <c r="CS75" s="180">
        <f t="array" ref="CS75">IF($BT75=0, INDEX(LS_current!$D$4:$AY$138, MATCH('Staging Table'!$A75, LS_current!$B$4:$B$138, 0), MATCH(CS$4&amp;CS$5, LS_current!$D$2:$AY$2&amp;LS_current!$D$3:$AY$3, 0)),SUM(VLOOKUP($A75, LS_current!$B$4:$AY$138, LS_current!X$148, FALSE), VLOOKUP($A75, LS_current!$B$4:$AY$138,LS_current!AV$148, FALSE))/2)</f>
        <v>312.9887822421515</v>
      </c>
      <c r="CT75" s="180">
        <f t="array" ref="CT75">IF($BT75=0, INDEX(LS_current!$D$4:$AY$138, MATCH('Staging Table'!$A75, LS_current!$B$4:$B$138, 0), MATCH(CT$4&amp;CT$5, LS_current!$D$2:$AY$2&amp;LS_current!$D$3:$AY$3, 0)),SUM(VLOOKUP($A75, LS_current!$B$4:$AY$138, LS_current!Y$148, FALSE), VLOOKUP($A75, LS_current!$B$4:$AY$138,LS_current!AW$148, FALSE))/2)</f>
        <v>212.4784880354855</v>
      </c>
      <c r="CU75" s="180">
        <f t="array" ref="CU75">IF($BT75=0, INDEX(LS_current!$D$4:$AY$138, MATCH('Staging Table'!$A75, LS_current!$B$4:$B$138, 0), MATCH(CU$4&amp;CU$5, LS_current!$D$2:$AY$2&amp;LS_current!$D$3:$AY$3, 0)),SUM(VLOOKUP($A75, LS_current!$B$4:$AY$138, LS_current!Z$148, FALSE), VLOOKUP($A75, LS_current!$B$4:$AY$138,LS_current!AX$148, FALSE))/2)</f>
        <v>-1754.9378750725955</v>
      </c>
      <c r="CV75" s="180">
        <f t="array" ref="CV75">IF($BT75=0, INDEX(LS_current!$D$4:$AY$138, MATCH('Staging Table'!$A75, LS_current!$B$4:$B$138, 0), MATCH(CV$4&amp;CV$5, LS_current!$D$2:$AY$2&amp;LS_current!$D$3:$AY$3, 0)),SUM(VLOOKUP($A75, LS_current!$B$4:$AY$138, LS_current!AA$148, FALSE), VLOOKUP($A75, LS_current!$B$4:$AY$138,LS_current!AY$148, FALSE))/2)</f>
        <v>-1393.596857489596</v>
      </c>
      <c r="CW75" s="182">
        <f t="array" ref="CW75">INDEX(Demand_current!$D$4:$AY$138, MATCH($A75, Demand_current!$B$4:$B$138, 0), MATCH(CW$4&amp;CW$5,Demand_current!$D$2:$AY$2&amp;Demand_current!$D$3:$AY$3, 0))/1000</f>
        <v>6.9403701923076966</v>
      </c>
      <c r="CX75" s="182">
        <f t="array" ref="CX75">INDEX(Demand_current!$D$4:$AY$138, MATCH($A75, Demand_current!$B$4:$B$138, 0), MATCH(CX$4&amp;CX$5,Demand_current!$D$2:$AY$2&amp;Demand_current!$D$3:$AY$3, 0))/1000</f>
        <v>21.265857499999967</v>
      </c>
      <c r="CY75" s="182">
        <f t="array" ref="CY75">INDEX(Demand_current!$D$4:$AY$138, MATCH($A75, Demand_current!$B$4:$B$138, 0), MATCH(CY$4&amp;CY$5,Demand_current!$D$2:$AY$2&amp;Demand_current!$D$3:$AY$3, 0))/1000</f>
        <v>22.620449999999988</v>
      </c>
      <c r="CZ75" s="182">
        <f t="array" ref="CZ75">INDEX(Demand_current!$D$4:$AY$138, MATCH($A75, Demand_current!$B$4:$B$138, 0), MATCH(CZ$4&amp;CZ$5,Demand_current!$D$2:$AY$2&amp;Demand_current!$D$3:$AY$3, 0))/1000</f>
        <v>22.241341346153838</v>
      </c>
      <c r="DA75" s="182">
        <f t="array" ref="DA75">INDEX(Demand_current!$D$4:$AY$138, MATCH($A75, Demand_current!$B$4:$B$138, 0), MATCH(DA$4&amp;DA$5,Demand_current!$D$2:$AY$2&amp;Demand_current!$D$3:$AY$3, 0))/1000</f>
        <v>15.504992499999986</v>
      </c>
      <c r="DB75" s="182">
        <f t="array" ref="DB75">INDEX(Demand_current!$D$4:$AY$138, MATCH($A75, Demand_current!$B$4:$B$138, 0), MATCH(DB$4&amp;DB$5,Demand_current!$D$2:$AY$2&amp;Demand_current!$D$3:$AY$3, 0))/1000</f>
        <v>26.119098557692304</v>
      </c>
      <c r="DC75" s="182">
        <f t="array" ref="DC75">INDEX(Demand_current!$D$4:$AY$138, MATCH($A75, Demand_current!$B$4:$B$138, 0), MATCH(DC$4&amp;DC$5,Demand_current!$D$2:$AY$2&amp;Demand_current!$D$3:$AY$3, 0))/1000</f>
        <v>36.759555288461549</v>
      </c>
      <c r="DD75" s="182">
        <f t="array" ref="DD75">INDEX(Demand_current!$D$4:$AY$138, MATCH($A75, Demand_current!$B$4:$B$138, 0), MATCH(DD$4&amp;DD$5,Demand_current!$D$2:$AY$2&amp;Demand_current!$D$3:$AY$3, 0))/1000</f>
        <v>23.197810096153837</v>
      </c>
      <c r="DE75" s="182">
        <f t="array" ref="DE75">INDEX(Demand_current!$D$4:$AY$138, MATCH($A75, Demand_current!$B$4:$B$138, 0), MATCH(DE$4&amp;DE$5,Demand_current!$D$2:$AY$2&amp;Demand_current!$D$3:$AY$3, 0))/1000</f>
        <v>26.98929750000001</v>
      </c>
      <c r="DF75" s="182">
        <f t="array" ref="DF75">INDEX(Demand_current!$D$4:$AY$138, MATCH($A75, Demand_current!$B$4:$B$138, 0), MATCH(DF$4&amp;DF$5,Demand_current!$D$2:$AY$2&amp;Demand_current!$D$3:$AY$3, 0))/1000</f>
        <v>34.029509615384626</v>
      </c>
      <c r="DG75" s="182">
        <f t="array" ref="DG75">INDEX(Demand_current!$D$4:$AY$138, MATCH($A75, Demand_current!$B$4:$B$138, 0), MATCH(DG$4&amp;DG$5,Demand_current!$D$2:$AY$2&amp;Demand_current!$D$3:$AY$3, 0))/1000</f>
        <v>29.890462962962957</v>
      </c>
      <c r="DH75" s="182">
        <f t="array" ref="DH75">INDEX(Demand_current!$D$4:$AY$138, MATCH($A75, Demand_current!$B$4:$B$138, 0), MATCH(DH$4&amp;DH$5,Demand_current!$D$2:$AY$2&amp;Demand_current!$D$3:$AY$3, 0))/1000</f>
        <v>20.401265624999997</v>
      </c>
      <c r="DI75" s="180">
        <f>$BS75*(VLOOKUP(DI$4, Rates_current!$G$6:$Q$29, 10, FALSE)+VLOOKUP(DI$4, Rates_current!$G$6:$Q$29, 11, FALSE))</f>
        <v>62648.813977898848</v>
      </c>
      <c r="DJ75" s="180">
        <f>$BS75*(VLOOKUP(DJ$4, Rates_current!$G$6:$Q$29, 10, FALSE)+VLOOKUP(DJ$4, Rates_current!$G$6:$Q$29, 11, FALSE))</f>
        <v>79897.896454554109</v>
      </c>
      <c r="DK75" s="180">
        <f>$BS75*(VLOOKUP(DK$4, Rates_current!$G$6:$Q$29, 10, FALSE)+VLOOKUP(DK$4, Rates_current!$G$6:$Q$29, 11, FALSE))</f>
        <v>86225.6389618065</v>
      </c>
      <c r="DL75" s="180">
        <f>$BS75*(VLOOKUP(DL$4, Rates_current!$G$6:$Q$29, 10, FALSE)+VLOOKUP(DL$4, Rates_current!$G$6:$Q$29, 11, FALSE))</f>
        <v>89601.768315425594</v>
      </c>
      <c r="DM75" s="180">
        <f>$BS75*(VLOOKUP(DM$4, Rates_current!$G$6:$Q$29, 10, FALSE)+VLOOKUP(DM$4, Rates_current!$G$6:$Q$29, 11, FALSE))</f>
        <v>77069.463904516189</v>
      </c>
      <c r="DN75" s="180">
        <f>$BS75*(VLOOKUP(DN$4, Rates_current!$G$6:$Q$29, 10, FALSE)+VLOOKUP(DN$4, Rates_current!$G$6:$Q$29, 11, FALSE))</f>
        <v>84144.595597260894</v>
      </c>
      <c r="DO75" s="180">
        <f>$BS75*(VLOOKUP(DO$4, Rates_current!$G$6:$Q$29, 10, FALSE)+VLOOKUP(DO$4, Rates_current!$G$6:$Q$29, 11, FALSE))</f>
        <v>66417.97814073856</v>
      </c>
      <c r="DP75" s="180">
        <f>$BS75*(VLOOKUP(DP$4, Rates_current!$G$6:$Q$29, 10, FALSE)+VLOOKUP(DP$4, Rates_current!$G$6:$Q$29, 11, FALSE))</f>
        <v>82400.402307924349</v>
      </c>
      <c r="DQ75" s="180">
        <f>$BS75*(VLOOKUP(DQ$4, Rates_current!$G$6:$Q$29, 10, FALSE)+VLOOKUP(DQ$4, Rates_current!$G$6:$Q$29, 11, FALSE))</f>
        <v>84188.285332126936</v>
      </c>
      <c r="DR75" s="180">
        <f>$BS75*(VLOOKUP(DR$4, Rates_current!$G$6:$Q$29, 10, FALSE)+VLOOKUP(DR$4, Rates_current!$G$6:$Q$29, 11, FALSE))</f>
        <v>73087.560538335849</v>
      </c>
      <c r="DS75" s="180">
        <f>$BS75*(VLOOKUP(DS$4, Rates_current!$G$6:$Q$29, 10, FALSE)+VLOOKUP(DS$4, Rates_current!$G$6:$Q$29, 11, FALSE))</f>
        <v>70656.243729722366</v>
      </c>
      <c r="DT75" s="180">
        <f>$BS75*(VLOOKUP(DT$4, Rates_current!$G$6:$Q$29, 10, FALSE)+VLOOKUP(DT$4, Rates_current!$G$6:$Q$29, 11, FALSE))</f>
        <v>65017.426732562206</v>
      </c>
      <c r="DU75" s="402">
        <f>IF(D75=0,IF(C75=0,MAX(0,DW75 - (VLOOKUP($A75,TOCA_current!$A$2:$AI$137,MATCH("RHWM 2024",TOCA_current!$A$2:$AI$2,0),FALSE)*$BS$2)), 0),0)</f>
        <v>0</v>
      </c>
      <c r="DV75" s="403">
        <f>MIN(VLOOKUP($A75,TOCA_current!$A$2:$AI$137,MATCH("TRL - NLSL - Existing Resource "&amp;$BS$1,TOCA_current!$A$2:$AI$2,0),FALSE)*$BS$2, VLOOKUP($A75,TOCA_current!$A$2:$AI$137,MATCH("RHWM 2024",TOCA_current!$A$2:$AI$2,0),FALSE)*$BS$2)</f>
        <v>921353.76</v>
      </c>
      <c r="DW75" s="403">
        <f>SUM(BY75:CV75)+(BS75*RT1SC!$C$4*$BS$2)</f>
        <v>921349.75322331162</v>
      </c>
      <c r="DX75" s="403">
        <f>VLOOKUP($A75,TOCA_current!$A$2:$AI$137,MATCH("Above RHWM Not Served with LS "&amp;$BS$1,TOCA_current!$A$2:$AI$2,0),FALSE)*$BS$2</f>
        <v>202049.568</v>
      </c>
      <c r="DY75" s="403">
        <f t="shared" si="32"/>
        <v>-4.0067766883876175</v>
      </c>
      <c r="DZ75" s="403">
        <f>(VLOOKUP($A75,TOCA_current!$A$2:$AI$137,MATCH("RHWM 2024",TOCA_current!$A$2:$AI$2,0),FALSE)*$BS$2) - $DV75</f>
        <v>0</v>
      </c>
      <c r="EA75" s="403">
        <f t="shared" si="33"/>
        <v>0</v>
      </c>
      <c r="EB75" s="403">
        <f t="shared" si="34"/>
        <v>0</v>
      </c>
      <c r="EC75" s="403">
        <f t="shared" si="35"/>
        <v>0</v>
      </c>
      <c r="ED75" s="403">
        <f t="shared" si="36"/>
        <v>0</v>
      </c>
    </row>
    <row r="76" spans="1:134">
      <c r="A76" s="123">
        <v>10230</v>
      </c>
      <c r="B76" s="124" t="s">
        <v>77</v>
      </c>
      <c r="C76" s="232">
        <f>VLOOKUP(A76, TOCA_current!$A$3:$D$137, 4, FALSE)</f>
        <v>0</v>
      </c>
      <c r="D76" s="191">
        <v>0</v>
      </c>
      <c r="E76" s="107">
        <f>VLOOKUP($A76,TOCA_previous!$A$2:$AI$137,MATCH(E$4,TOCA_previous!$A$2:$AI$2,0),FALSE)</f>
        <v>1.3738999999999999E-3</v>
      </c>
      <c r="F76" s="108">
        <f>VLOOKUP($A76,TOCA_previous!$A$2:$AI$137,MATCH(F$4,TOCA_previous!$A$2:$AI$2,0),FALSE)</f>
        <v>1.3738999999999999E-3</v>
      </c>
      <c r="G76" s="108">
        <f t="shared" si="24"/>
        <v>0</v>
      </c>
      <c r="H76" s="108">
        <f>VLOOKUP($A76,TOCA_previous!$A$2:$AI$137,MATCH(H$4,TOCA_previous!$A$2:$AI$2,0),FALSE)</f>
        <v>9.2960000000000001E-2</v>
      </c>
      <c r="I76" s="108">
        <f t="shared" si="25"/>
        <v>0</v>
      </c>
      <c r="J76" s="108">
        <f t="shared" si="26"/>
        <v>0</v>
      </c>
      <c r="K76" s="179">
        <f>VLOOKUP(A76, IRD!$A$5:$C$139, 3, FALSE)</f>
        <v>0</v>
      </c>
      <c r="L76" s="180">
        <f t="array" ref="L76">IF($G76=0, INDEX(LS_previous!$D$4:$AY$138, MATCH('Staging Table'!$A76, LS_previous!$B$4:$B$138, 0), MATCH(L$4&amp;L$5, LS_previous!$D$2:$AY$2&amp;LS_previous!$D$3:$AY$3, 0)),SUM(VLOOKUP($A76, LS_previous!$B$4:$AY$138, LS_previous!D$149, FALSE), VLOOKUP('Staging Table'!$A76, LS_previous!$B$4:$AY$138,LS_previous!AB$149, FALSE))/2)</f>
        <v>-344.40274444532315</v>
      </c>
      <c r="M76" s="180">
        <f t="array" ref="M76">IF($G76=0, INDEX(LS_previous!$D$4:$AY$138, MATCH('Staging Table'!$A76, LS_previous!$B$4:$B$138, 0), MATCH(M$4&amp;M$5, LS_previous!$D$2:$AY$2&amp;LS_previous!$D$3:$AY$3, 0)),SUM(VLOOKUP($A76, LS_previous!$B$4:$AY$138, LS_previous!E$149, FALSE), VLOOKUP('Staging Table'!$A76, LS_previous!$B$4:$AY$138,LS_previous!AC$149, FALSE))/2)</f>
        <v>-348.49201724096201</v>
      </c>
      <c r="N76" s="180">
        <f t="array" ref="N76">IF($G76=0, INDEX(LS_previous!$D$4:$AY$138, MATCH('Staging Table'!$A76, LS_previous!$B$4:$B$138, 0), MATCH(N$4&amp;N$5, LS_previous!$D$2:$AY$2&amp;LS_previous!$D$3:$AY$3, 0)),SUM(VLOOKUP($A76, LS_previous!$B$4:$AY$138, LS_previous!F$149, FALSE), VLOOKUP('Staging Table'!$A76, LS_previous!$B$4:$AY$138,LS_previous!AD$149, FALSE))/2)</f>
        <v>-441.58786982620222</v>
      </c>
      <c r="O76" s="180">
        <f t="array" ref="O76">IF($G76=0, INDEX(LS_previous!$D$4:$AY$138, MATCH('Staging Table'!$A76, LS_previous!$B$4:$B$138, 0), MATCH(O$4&amp;O$5, LS_previous!$D$2:$AY$2&amp;LS_previous!$D$3:$AY$3, 0)),SUM(VLOOKUP($A76, LS_previous!$B$4:$AY$138, LS_previous!G$149, FALSE), VLOOKUP('Staging Table'!$A76, LS_previous!$B$4:$AY$138,LS_previous!AE$149, FALSE))/2)</f>
        <v>-267.30933944251183</v>
      </c>
      <c r="P76" s="180">
        <f t="array" ref="P76">IF($G76=0, INDEX(LS_previous!$D$4:$AY$138, MATCH('Staging Table'!$A76, LS_previous!$B$4:$B$138, 0), MATCH(P$4&amp;P$5, LS_previous!$D$2:$AY$2&amp;LS_previous!$D$3:$AY$3, 0)),SUM(VLOOKUP($A76, LS_previous!$B$4:$AY$138, LS_previous!H$149, FALSE), VLOOKUP('Staging Table'!$A76, LS_previous!$B$4:$AY$138,LS_previous!AF$149, FALSE))/2)</f>
        <v>1615.1432484513098</v>
      </c>
      <c r="Q76" s="180">
        <f t="array" ref="Q76">IF($G76=0, INDEX(LS_previous!$D$4:$AY$138, MATCH('Staging Table'!$A76, LS_previous!$B$4:$B$138, 0), MATCH(Q$4&amp;Q$5, LS_previous!$D$2:$AY$2&amp;LS_previous!$D$3:$AY$3, 0)),SUM(VLOOKUP($A76, LS_previous!$B$4:$AY$138, LS_previous!I$149, FALSE), VLOOKUP('Staging Table'!$A76, LS_previous!$B$4:$AY$138,LS_previous!AG$149, FALSE))/2)</f>
        <v>909.3067643406871</v>
      </c>
      <c r="R76" s="180">
        <f t="array" ref="R76">IF($G76=0, INDEX(LS_previous!$D$4:$AY$138, MATCH('Staging Table'!$A76, LS_previous!$B$4:$B$138, 0), MATCH(R$4&amp;R$5, LS_previous!$D$2:$AY$2&amp;LS_previous!$D$3:$AY$3, 0)),SUM(VLOOKUP($A76, LS_previous!$B$4:$AY$138, LS_previous!J$149, FALSE), VLOOKUP('Staging Table'!$A76, LS_previous!$B$4:$AY$138,LS_previous!AH$149, FALSE))/2)</f>
        <v>2580.5176155442855</v>
      </c>
      <c r="S76" s="180">
        <f t="array" ref="S76">IF($G76=0, INDEX(LS_previous!$D$4:$AY$138, MATCH('Staging Table'!$A76, LS_previous!$B$4:$B$138, 0), MATCH(S$4&amp;S$5, LS_previous!$D$2:$AY$2&amp;LS_previous!$D$3:$AY$3, 0)),SUM(VLOOKUP($A76, LS_previous!$B$4:$AY$138, LS_previous!K$149, FALSE), VLOOKUP('Staging Table'!$A76, LS_previous!$B$4:$AY$138,LS_previous!AI$149, FALSE))/2)</f>
        <v>1200.3464207531474</v>
      </c>
      <c r="T76" s="180">
        <f t="array" ref="T76">IF($G76=0, INDEX(LS_previous!$D$4:$AY$138, MATCH('Staging Table'!$A76, LS_previous!$B$4:$B$138, 0), MATCH(T$4&amp;T$5, LS_previous!$D$2:$AY$2&amp;LS_previous!$D$3:$AY$3, 0)),SUM(VLOOKUP($A76, LS_previous!$B$4:$AY$138, LS_previous!L$149, FALSE), VLOOKUP('Staging Table'!$A76, LS_previous!$B$4:$AY$138,LS_previous!AJ$149, FALSE))/2)</f>
        <v>1519.7234418472053</v>
      </c>
      <c r="U76" s="180">
        <f t="array" ref="U76">IF($G76=0, INDEX(LS_previous!$D$4:$AY$138, MATCH('Staging Table'!$A76, LS_previous!$B$4:$B$138, 0), MATCH(U$4&amp;U$5, LS_previous!$D$2:$AY$2&amp;LS_previous!$D$3:$AY$3, 0)),SUM(VLOOKUP($A76, LS_previous!$B$4:$AY$138, LS_previous!M$149, FALSE), VLOOKUP('Staging Table'!$A76, LS_previous!$B$4:$AY$138,LS_previous!AK$149, FALSE))/2)</f>
        <v>755.46990941221429</v>
      </c>
      <c r="V76" s="180">
        <f t="array" ref="V76">IF($G76=0, INDEX(LS_previous!$D$4:$AY$138, MATCH('Staging Table'!$A76, LS_previous!$B$4:$B$138, 0), MATCH(V$4&amp;V$5, LS_previous!$D$2:$AY$2&amp;LS_previous!$D$3:$AY$3, 0)),SUM(VLOOKUP($A76, LS_previous!$B$4:$AY$138, LS_previous!N$149, FALSE), VLOOKUP('Staging Table'!$A76, LS_previous!$B$4:$AY$138,LS_previous!AL$149, FALSE))/2)</f>
        <v>514.15805262313097</v>
      </c>
      <c r="W76" s="180">
        <f t="array" ref="W76">IF($G76=0, INDEX(LS_previous!$D$4:$AY$138, MATCH('Staging Table'!$A76, LS_previous!$B$4:$B$138, 0), MATCH(W$4&amp;W$5, LS_previous!$D$2:$AY$2&amp;LS_previous!$D$3:$AY$3, 0)),SUM(VLOOKUP($A76, LS_previous!$B$4:$AY$138, LS_previous!O$149, FALSE), VLOOKUP('Staging Table'!$A76, LS_previous!$B$4:$AY$138,LS_previous!AM$149, FALSE))/2)</f>
        <v>349.71756376620397</v>
      </c>
      <c r="X76" s="180">
        <f t="array" ref="X76">IF($G76=0, INDEX(LS_previous!$D$4:$AY$138, MATCH('Staging Table'!$A76, LS_previous!$B$4:$B$138, 0), MATCH(X$4&amp;X$5, LS_previous!$D$2:$AY$2&amp;LS_previous!$D$3:$AY$3, 0)),SUM(VLOOKUP($A76, LS_previous!$B$4:$AY$138, LS_previous!P$149, FALSE), VLOOKUP('Staging Table'!$A76, LS_previous!$B$4:$AY$138,LS_previous!AN$149, FALSE))/2)</f>
        <v>765.39080029244997</v>
      </c>
      <c r="Y76" s="180">
        <f t="array" ref="Y76">IF($G76=0, INDEX(LS_previous!$D$4:$AY$138, MATCH('Staging Table'!$A76, LS_previous!$B$4:$B$138, 0), MATCH(Y$4&amp;Y$5, LS_previous!$D$2:$AY$2&amp;LS_previous!$D$3:$AY$3, 0)),SUM(VLOOKUP($A76, LS_previous!$B$4:$AY$138, LS_previous!Q$149, FALSE), VLOOKUP('Staging Table'!$A76, LS_previous!$B$4:$AY$138,LS_previous!AO$149, FALSE))/2)</f>
        <v>385.69530497839401</v>
      </c>
      <c r="Z76" s="180">
        <f t="array" ref="Z76">IF($G76=0, INDEX(LS_previous!$D$4:$AY$138, MATCH('Staging Table'!$A76, LS_previous!$B$4:$B$138, 0), MATCH(Z$4&amp;Z$5, LS_previous!$D$2:$AY$2&amp;LS_previous!$D$3:$AY$3, 0)),SUM(VLOOKUP($A76, LS_previous!$B$4:$AY$138, LS_previous!R$149, FALSE), VLOOKUP('Staging Table'!$A76, LS_previous!$B$4:$AY$138,LS_previous!AP$149, FALSE))/2)</f>
        <v>-1230.5625212865198</v>
      </c>
      <c r="AA76" s="180">
        <f t="array" ref="AA76">IF($G76=0, INDEX(LS_previous!$D$4:$AY$138, MATCH('Staging Table'!$A76, LS_previous!$B$4:$B$138, 0), MATCH(AA$4&amp;AA$5, LS_previous!$D$2:$AY$2&amp;LS_previous!$D$3:$AY$3, 0)),SUM(VLOOKUP($A76, LS_previous!$B$4:$AY$138, LS_previous!S$149, FALSE), VLOOKUP('Staging Table'!$A76, LS_previous!$B$4:$AY$138,LS_previous!AQ$149, FALSE))/2)</f>
        <v>-337.03312082834054</v>
      </c>
      <c r="AB76" s="180">
        <f t="array" ref="AB76">IF($G76=0, INDEX(LS_previous!$D$4:$AY$138, MATCH('Staging Table'!$A76, LS_previous!$B$4:$B$138, 0), MATCH(AB$4&amp;AB$5, LS_previous!$D$2:$AY$2&amp;LS_previous!$D$3:$AY$3, 0)),SUM(VLOOKUP($A76, LS_previous!$B$4:$AY$138, LS_previous!T$149, FALSE), VLOOKUP('Staging Table'!$A76, LS_previous!$B$4:$AY$138,LS_previous!AR$149, FALSE))/2)</f>
        <v>-2260.3185290621618</v>
      </c>
      <c r="AC76" s="180">
        <f t="array" ref="AC76">IF($G76=0, INDEX(LS_previous!$D$4:$AY$138, MATCH('Staging Table'!$A76, LS_previous!$B$4:$B$138, 0), MATCH(AC$4&amp;AC$5, LS_previous!$D$2:$AY$2&amp;LS_previous!$D$3:$AY$3, 0)),SUM(VLOOKUP($A76, LS_previous!$B$4:$AY$138, LS_previous!U$149, FALSE), VLOOKUP('Staging Table'!$A76, LS_previous!$B$4:$AY$138,LS_previous!AS$149, FALSE))/2)</f>
        <v>-633.40072074768591</v>
      </c>
      <c r="AD76" s="180">
        <f t="array" ref="AD76">IF($G76=0, INDEX(LS_previous!$D$4:$AY$138, MATCH('Staging Table'!$A76, LS_previous!$B$4:$B$138, 0), MATCH(AD$4&amp;AD$5, LS_previous!$D$2:$AY$2&amp;LS_previous!$D$3:$AY$3, 0)),SUM(VLOOKUP($A76, LS_previous!$B$4:$AY$138, LS_previous!V$149, FALSE), VLOOKUP('Staging Table'!$A76, LS_previous!$B$4:$AY$138,LS_previous!AT$149, FALSE))/2)</f>
        <v>-854.89767812234641</v>
      </c>
      <c r="AE76" s="180">
        <f t="array" ref="AE76">IF($G76=0, INDEX(LS_previous!$D$4:$AY$138, MATCH('Staging Table'!$A76, LS_previous!$B$4:$B$138, 0), MATCH(AE$4&amp;AE$5, LS_previous!$D$2:$AY$2&amp;LS_previous!$D$3:$AY$3, 0)),SUM(VLOOKUP($A76, LS_previous!$B$4:$AY$138, LS_previous!W$149, FALSE), VLOOKUP('Staging Table'!$A76, LS_previous!$B$4:$AY$138,LS_previous!AU$149, FALSE))/2)</f>
        <v>-340.73217216665853</v>
      </c>
      <c r="AF76" s="180">
        <f t="array" ref="AF76">IF($G76=0, INDEX(LS_previous!$D$4:$AY$138, MATCH('Staging Table'!$A76, LS_previous!$B$4:$B$138, 0), MATCH(AF$4&amp;AF$5, LS_previous!$D$2:$AY$2&amp;LS_previous!$D$3:$AY$3, 0)),SUM(VLOOKUP($A76, LS_previous!$B$4:$AY$138, LS_previous!X$149, FALSE), VLOOKUP('Staging Table'!$A76, LS_previous!$B$4:$AY$138,LS_previous!AV$149, FALSE))/2)</f>
        <v>-716.13255126087279</v>
      </c>
      <c r="AG76" s="180">
        <f t="array" ref="AG76">IF($G76=0, INDEX(LS_previous!$D$4:$AY$138, MATCH('Staging Table'!$A76, LS_previous!$B$4:$B$138, 0), MATCH(AG$4&amp;AG$5, LS_previous!$D$2:$AY$2&amp;LS_previous!$D$3:$AY$3, 0)),SUM(VLOOKUP($A76, LS_previous!$B$4:$AY$138, LS_previous!Y$149, FALSE), VLOOKUP('Staging Table'!$A76, LS_previous!$B$4:$AY$138,LS_previous!AW$149, FALSE))/2)</f>
        <v>-384.15475864174823</v>
      </c>
      <c r="AH76" s="180">
        <f t="array" ref="AH76">IF($G76=0, INDEX(LS_previous!$D$4:$AY$138, MATCH('Staging Table'!$A76, LS_previous!$B$4:$B$138, 0), MATCH(AH$4&amp;AH$5, LS_previous!$D$2:$AY$2&amp;LS_previous!$D$3:$AY$3, 0)),SUM(VLOOKUP($A76, LS_previous!$B$4:$AY$138, LS_previous!Z$149, FALSE), VLOOKUP('Staging Table'!$A76, LS_previous!$B$4:$AY$138,LS_previous!AX$149, FALSE))/2)</f>
        <v>-1056.3502129550288</v>
      </c>
      <c r="AI76" s="180">
        <f t="array" ref="AI76">IF($G76=0, INDEX(LS_previous!$D$4:$AY$138, MATCH('Staging Table'!$A76, LS_previous!$B$4:$B$138, 0), MATCH(AI$4&amp;AI$5, LS_previous!$D$2:$AY$2&amp;LS_previous!$D$3:$AY$3, 0)),SUM(VLOOKUP($A76, LS_previous!$B$4:$AY$138, LS_previous!AA$149, FALSE), VLOOKUP('Staging Table'!$A76, LS_previous!$B$4:$AY$138,LS_previous!AY$149, FALSE))/2)</f>
        <v>-668.19033834573179</v>
      </c>
      <c r="AJ76" s="298">
        <f t="array" ref="AJ76">INDEX(Demand_previous!$D$4:$AY$138, MATCH('Staging Table'!$A76, Demand_previous!$B$4:$B$138, 0), MATCH(AJ$4&amp;AJ$5,Demand_previous!$D$2:$AY$2&amp;Demand_previous!$D$3:$AY$3, 0))/1000</f>
        <v>4.0807716346153846</v>
      </c>
      <c r="AK76" s="298">
        <f t="array" ref="AK76">INDEX(Demand_previous!$D$4:$AY$138, MATCH('Staging Table'!$A76, Demand_previous!$B$4:$B$138, 0), MATCH(AK$4&amp;AK$5,Demand_previous!$D$2:$AY$2&amp;Demand_previous!$D$3:$AY$3, 0))/1000</f>
        <v>2.0860124999999998</v>
      </c>
      <c r="AL76" s="298">
        <f t="array" ref="AL76">INDEX(Demand_previous!$D$4:$AY$138, MATCH('Staging Table'!$A76, Demand_previous!$B$4:$B$138, 0), MATCH(AL$4&amp;AL$5,Demand_previous!$D$2:$AY$2&amp;Demand_previous!$D$3:$AY$3, 0))/1000</f>
        <v>3.6435817307692346</v>
      </c>
      <c r="AM76" s="298">
        <f t="array" ref="AM76">INDEX(Demand_previous!$D$4:$AY$138, MATCH('Staging Table'!$A76, Demand_previous!$B$4:$B$138, 0), MATCH(AM$4&amp;AM$5,Demand_previous!$D$2:$AY$2&amp;Demand_previous!$D$3:$AY$3, 0))/1000</f>
        <v>2.9916925000000001</v>
      </c>
      <c r="AN76" s="298">
        <f t="array" ref="AN76">INDEX(Demand_previous!$D$4:$AY$138, MATCH('Staging Table'!$A76, Demand_previous!$B$4:$B$138, 0), MATCH(AN$4&amp;AN$5,Demand_previous!$D$2:$AY$2&amp;Demand_previous!$D$3:$AY$3, 0))/1000</f>
        <v>3.8144557291666645</v>
      </c>
      <c r="AO76" s="298">
        <f t="array" ref="AO76">INDEX(Demand_previous!$D$4:$AY$138, MATCH('Staging Table'!$A76, Demand_previous!$B$4:$B$138, 0), MATCH(AO$4&amp;AO$5,Demand_previous!$D$2:$AY$2&amp;Demand_previous!$D$3:$AY$3, 0))/1000</f>
        <v>3.7430439814814811</v>
      </c>
      <c r="AP76" s="298">
        <f t="array" ref="AP76">INDEX(Demand_previous!$D$4:$AY$138, MATCH('Staging Table'!$A76, Demand_previous!$B$4:$B$138, 0), MATCH(AP$4&amp;AP$5,Demand_previous!$D$2:$AY$2&amp;Demand_previous!$D$3:$AY$3, 0))/1000</f>
        <v>2.2158245192307735</v>
      </c>
      <c r="AQ76" s="298">
        <f t="array" ref="AQ76">INDEX(Demand_previous!$D$4:$AY$138, MATCH('Staging Table'!$A76, Demand_previous!$B$4:$B$138, 0), MATCH(AQ$4&amp;AQ$5,Demand_previous!$D$2:$AY$2&amp;Demand_previous!$D$3:$AY$3, 0))/1000</f>
        <v>1.9730174999999974</v>
      </c>
      <c r="AR76" s="298">
        <f t="array" ref="AR76">INDEX(Demand_previous!$D$4:$AY$138, MATCH('Staging Table'!$A76, Demand_previous!$B$4:$B$138, 0), MATCH(AR$4&amp;AR$5,Demand_previous!$D$2:$AY$2&amp;Demand_previous!$D$3:$AY$3, 0))/1000</f>
        <v>3.7648076923076927</v>
      </c>
      <c r="AS76" s="298">
        <f t="array" ref="AS76">INDEX(Demand_previous!$D$4:$AY$138, MATCH('Staging Table'!$A76, Demand_previous!$B$4:$B$138, 0), MATCH(AS$4&amp;AS$5,Demand_previous!$D$2:$AY$2&amp;Demand_previous!$D$3:$AY$3, 0))/1000</f>
        <v>2.4502800000000016</v>
      </c>
      <c r="AT76" s="298">
        <f t="array" ref="AT76">INDEX(Demand_previous!$D$4:$AY$138, MATCH('Staging Table'!$A76, Demand_previous!$B$4:$B$138, 0), MATCH(AT$4&amp;AT$5,Demand_previous!$D$2:$AY$2&amp;Demand_previous!$D$3:$AY$3, 0))/1000</f>
        <v>3.2380023148148163</v>
      </c>
      <c r="AU76" s="298">
        <f t="array" ref="AU76">INDEX(Demand_previous!$D$4:$AY$138, MATCH('Staging Table'!$A76, Demand_previous!$B$4:$B$138, 0), MATCH(AU$4&amp;AU$5,Demand_previous!$D$2:$AY$2&amp;Demand_previous!$D$3:$AY$3, 0))/1000</f>
        <v>2.2167074999999983</v>
      </c>
      <c r="AV76" s="180">
        <f>$F76*(VLOOKUP(AV$4, Rates_previous!$G$6:$Q$29, 10, FALSE)+VLOOKUP(AV$4, Rates_previous!$G$6:$Q$29, 11, FALSE))</f>
        <v>6256.6367616862854</v>
      </c>
      <c r="AW76" s="180">
        <f>$F76*(VLOOKUP(AW$4, Rates_previous!$G$6:$Q$29, 10, FALSE)+VLOOKUP(AW$4, Rates_previous!$G$6:$Q$29, 11, FALSE))</f>
        <v>7921.1292092687145</v>
      </c>
      <c r="AX76" s="180">
        <f>$F76*(VLOOKUP(AX$4, Rates_previous!$G$6:$Q$29, 10, FALSE)+VLOOKUP(AX$4, Rates_previous!$G$6:$Q$29, 11, FALSE))</f>
        <v>7753.2029872080047</v>
      </c>
      <c r="AY76" s="180">
        <f>$F76*(VLOOKUP(AY$4, Rates_previous!$G$6:$Q$29, 10, FALSE)+VLOOKUP(AY$4, Rates_previous!$G$6:$Q$29, 11, FALSE))</f>
        <v>6403.8159637025674</v>
      </c>
      <c r="AZ76" s="180">
        <f>$F76*(VLOOKUP(AZ$4, Rates_previous!$G$6:$Q$29, 10, FALSE)+VLOOKUP(AZ$4, Rates_previous!$G$6:$Q$29, 11, FALSE))</f>
        <v>5550.327648740581</v>
      </c>
      <c r="BA76" s="180">
        <f>$F76*(VLOOKUP(BA$4, Rates_previous!$G$6:$Q$29, 10, FALSE)+VLOOKUP(BA$4, Rates_previous!$G$6:$Q$29, 11, FALSE))</f>
        <v>6625.9703836106655</v>
      </c>
      <c r="BB76" s="180">
        <f>$F76*(VLOOKUP(BB$4, Rates_previous!$G$6:$Q$29, 10, FALSE)+VLOOKUP(BB$4, Rates_previous!$G$6:$Q$29, 11, FALSE))</f>
        <v>5144.1838947291553</v>
      </c>
      <c r="BC76" s="180">
        <f>$F76*(VLOOKUP(BC$4, Rates_previous!$G$6:$Q$29, 10, FALSE)+VLOOKUP(BC$4, Rates_previous!$G$6:$Q$29, 11, FALSE))</f>
        <v>7127.3046421148601</v>
      </c>
      <c r="BD76" s="180">
        <f>$F76*(VLOOKUP(BD$4, Rates_previous!$G$6:$Q$29, 10, FALSE)+VLOOKUP(BD$4, Rates_previous!$G$6:$Q$29, 11, FALSE))</f>
        <v>7615.6742498098474</v>
      </c>
      <c r="BE76" s="180">
        <f>$F76*(VLOOKUP(BE$4, Rates_previous!$G$6:$Q$29, 10, FALSE)+VLOOKUP(BE$4, Rates_previous!$G$6:$Q$29, 11, FALSE))</f>
        <v>7230.7378502890051</v>
      </c>
      <c r="BF76" s="180">
        <f>$F76*(VLOOKUP(BF$4, Rates_previous!$G$6:$Q$29, 10, FALSE)+VLOOKUP(BF$4, Rates_previous!$G$6:$Q$29, 11, FALSE))</f>
        <v>6987.9503099026215</v>
      </c>
      <c r="BG76" s="180">
        <f>$F76*(VLOOKUP(BG$4, Rates_previous!$G$6:$Q$29, 10, FALSE)+VLOOKUP(BG$4, Rates_previous!$G$6:$Q$29, 11, FALSE))</f>
        <v>6457.5945513007609</v>
      </c>
      <c r="BH76" s="298">
        <f>IF($D76=0,IF(C76=0, MAX(BJ76 - (VLOOKUP($A76,TOCA_previous!$A$2:$AI$137,MATCH("RHWM 2022",TOCA_previous!$A$2:$AI$2,0),FALSE)*$F$2*TOCA_previous!C73),0),0), 0)</f>
        <v>712.63714731292566</v>
      </c>
      <c r="BI76" s="192">
        <f>MIN(VLOOKUP($A76,TOCA_previous!$A$2:$AI$137,MATCH("TRL - NLSL - Existing Resource "&amp;$F$1,TOCA_previous!$A$2:$AI$2,0),FALSE)*$F$2,(VLOOKUP($A76,TOCA_previous!$A$2:$AI$137,MATCH("RHWM 2022",TOCA_previous!$A$2:$AI$2,0),FALSE)*$F$2))</f>
        <v>81073.8</v>
      </c>
      <c r="BJ76" s="402">
        <f>SUM(L76:AI76)+(F76*RT1SC!$C$3*$F$2)</f>
        <v>81786.437147312929</v>
      </c>
      <c r="BK76" s="401">
        <f>VLOOKUP($A76,TOCA_previous!$A$2:$AI$137,MATCH("Above RHWM Not Served with LS "&amp;$F$1,TOCA_previous!$A$2:$AI$2,0),FALSE)*$F$2</f>
        <v>26586.600000000002</v>
      </c>
      <c r="BL76" s="402">
        <f t="shared" si="27"/>
        <v>712.63714731292566</v>
      </c>
      <c r="BM76" s="401">
        <f>(VLOOKUP($A76,TOCA_previous!$A$2:$AI$137,MATCH("RHWM 2022",TOCA_previous!$A$2:$AI$2,0),FALSE)*$F$2) - $BI76</f>
        <v>0</v>
      </c>
      <c r="BN76" s="402">
        <f t="shared" si="28"/>
        <v>0</v>
      </c>
      <c r="BO76" s="401">
        <f t="shared" si="29"/>
        <v>0</v>
      </c>
      <c r="BP76" s="402">
        <f t="shared" si="30"/>
        <v>0</v>
      </c>
      <c r="BQ76" s="401">
        <f t="shared" si="21"/>
        <v>0</v>
      </c>
      <c r="BR76" s="108">
        <f>VLOOKUP($A76,TOCA_current!$A$2:$AI$137,MATCH(BR$4,TOCA_current!$A$2:$AI$2,0),FALSE)</f>
        <v>1.3736E-3</v>
      </c>
      <c r="BS76" s="108">
        <f>VLOOKUP($A76,TOCA_current!$A$2:$AI$137,MATCH(BS$4,TOCA_current!$A$2:$AI$2,0),FALSE)</f>
        <v>1.3736E-3</v>
      </c>
      <c r="BT76" s="189">
        <f t="shared" si="31"/>
        <v>0</v>
      </c>
      <c r="BU76" s="108">
        <f>VLOOKUP($A76,TOCA_current!A72:BG207,MATCH(BU$4,TOCA_current!$A$2:$BG$2,0),FALSE)</f>
        <v>8.9018759018759011E-2</v>
      </c>
      <c r="BV76" s="108">
        <f t="shared" si="22"/>
        <v>0</v>
      </c>
      <c r="BW76" s="108">
        <f t="shared" si="23"/>
        <v>0</v>
      </c>
      <c r="BX76" s="179">
        <f>VLOOKUP($A76,IRD!$A$4:$G$139, 7, FALSE)</f>
        <v>0</v>
      </c>
      <c r="BY76" s="180">
        <f t="array" ref="BY76">IF($BT76=0, INDEX(LS_current!$D$4:$AY$138, MATCH('Staging Table'!$A76, LS_current!$B$4:$B$138, 0), MATCH(BY$4&amp;BY$5, LS_current!$D$2:$AY$2&amp;LS_current!$D$3:$AY$3, 0)),SUM(VLOOKUP($A76, LS_current!$B$4:$AY$138, LS_current!D$148, FALSE), VLOOKUP($A76, LS_current!$B$4:$AY$138,LS_current!AB$148, FALSE))/2)</f>
        <v>328.41787215039949</v>
      </c>
      <c r="BZ76" s="180">
        <f t="array" ref="BZ76">IF($BT76=0, INDEX(LS_current!$D$4:$AY$138, MATCH('Staging Table'!$A76, LS_current!$B$4:$B$138, 0), MATCH(BZ$4&amp;BZ$5, LS_current!$D$2:$AY$2&amp;LS_current!$D$3:$AY$3, 0)),SUM(VLOOKUP($A76, LS_current!$B$4:$AY$138, LS_current!E$148, FALSE), VLOOKUP($A76, LS_current!$B$4:$AY$138,LS_current!AC$148, FALSE))/2)</f>
        <v>-262.76871894679971</v>
      </c>
      <c r="CA76" s="180">
        <f t="array" ref="CA76">IF($BT76=0, INDEX(LS_current!$D$4:$AY$138, MATCH('Staging Table'!$A76, LS_current!$B$4:$B$138, 0), MATCH(CA$4&amp;CA$5, LS_current!$D$2:$AY$2&amp;LS_current!$D$3:$AY$3, 0)),SUM(VLOOKUP($A76, LS_current!$B$4:$AY$138, LS_current!F$148, FALSE), VLOOKUP($A76, LS_current!$B$4:$AY$138,LS_current!AD$148, FALSE))/2)</f>
        <v>94.695206259199949</v>
      </c>
      <c r="CB76" s="180">
        <f t="array" ref="CB76">IF($BT76=0, INDEX(LS_current!$D$4:$AY$138, MATCH('Staging Table'!$A76, LS_current!$B$4:$B$138, 0), MATCH(CB$4&amp;CB$5, LS_current!$D$2:$AY$2&amp;LS_current!$D$3:$AY$3, 0)),SUM(VLOOKUP($A76, LS_current!$B$4:$AY$138, LS_current!G$148, FALSE), VLOOKUP($A76, LS_current!$B$4:$AY$138,LS_current!AE$148, FALSE))/2)</f>
        <v>14.745112458399944</v>
      </c>
      <c r="CC76" s="180">
        <f t="array" ref="CC76">IF($BT76=0, INDEX(LS_current!$D$4:$AY$138, MATCH('Staging Table'!$A76, LS_current!$B$4:$B$138, 0), MATCH(CC$4&amp;CC$5, LS_current!$D$2:$AY$2&amp;LS_current!$D$3:$AY$3, 0)),SUM(VLOOKUP($A76, LS_current!$B$4:$AY$138, LS_current!H$148, FALSE), VLOOKUP($A76, LS_current!$B$4:$AY$138,LS_current!AF$148, FALSE))/2)</f>
        <v>1416.8427889096001</v>
      </c>
      <c r="CD76" s="180">
        <f t="array" ref="CD76">IF($BT76=0, INDEX(LS_current!$D$4:$AY$138, MATCH('Staging Table'!$A76, LS_current!$B$4:$B$138, 0), MATCH(CD$4&amp;CD$5, LS_current!$D$2:$AY$2&amp;LS_current!$D$3:$AY$3, 0)),SUM(VLOOKUP($A76, LS_current!$B$4:$AY$138, LS_current!I$148, FALSE), VLOOKUP($A76, LS_current!$B$4:$AY$138,LS_current!AG$148, FALSE))/2)</f>
        <v>1181.8860591744005</v>
      </c>
      <c r="CE76" s="180">
        <f t="array" ref="CE76">IF($BT76=0, INDEX(LS_current!$D$4:$AY$138, MATCH('Staging Table'!$A76, LS_current!$B$4:$B$138, 0), MATCH(CE$4&amp;CE$5, LS_current!$D$2:$AY$2&amp;LS_current!$D$3:$AY$3, 0)),SUM(VLOOKUP($A76, LS_current!$B$4:$AY$138, LS_current!J$148, FALSE), VLOOKUP($A76, LS_current!$B$4:$AY$138,LS_current!AH$148, FALSE))/2)</f>
        <v>1209.6008602760003</v>
      </c>
      <c r="CF76" s="180">
        <f t="array" ref="CF76">IF($BT76=0, INDEX(LS_current!$D$4:$AY$138, MATCH('Staging Table'!$A76, LS_current!$B$4:$B$138, 0), MATCH(CF$4&amp;CF$5, LS_current!$D$2:$AY$2&amp;LS_current!$D$3:$AY$3, 0)),SUM(VLOOKUP($A76, LS_current!$B$4:$AY$138, LS_current!K$148, FALSE), VLOOKUP($A76, LS_current!$B$4:$AY$138,LS_current!AI$148, FALSE))/2)</f>
        <v>983.86660336559999</v>
      </c>
      <c r="CG76" s="180">
        <f t="array" ref="CG76">IF($BT76=0, INDEX(LS_current!$D$4:$AY$138, MATCH('Staging Table'!$A76, LS_current!$B$4:$B$138, 0), MATCH(CG$4&amp;CG$5, LS_current!$D$2:$AY$2&amp;LS_current!$D$3:$AY$3, 0)),SUM(VLOOKUP($A76, LS_current!$B$4:$AY$138, LS_current!L$148, FALSE), VLOOKUP($A76, LS_current!$B$4:$AY$138,LS_current!AJ$148, FALSE))/2)</f>
        <v>322.00666060559979</v>
      </c>
      <c r="CH76" s="180">
        <f t="array" ref="CH76">IF($BT76=0, INDEX(LS_current!$D$4:$AY$138, MATCH('Staging Table'!$A76, LS_current!$B$4:$B$138, 0), MATCH(CH$4&amp;CH$5, LS_current!$D$2:$AY$2&amp;LS_current!$D$3:$AY$3, 0)),SUM(VLOOKUP($A76, LS_current!$B$4:$AY$138, LS_current!M$148, FALSE), VLOOKUP($A76, LS_current!$B$4:$AY$138,LS_current!AK$148, FALSE))/2)</f>
        <v>579.53466911760006</v>
      </c>
      <c r="CI76" s="180">
        <f t="array" ref="CI76">IF($BT76=0, INDEX(LS_current!$D$4:$AY$138, MATCH('Staging Table'!$A76, LS_current!$B$4:$B$138, 0), MATCH(CI$4&amp;CI$5, LS_current!$D$2:$AY$2&amp;LS_current!$D$3:$AY$3, 0)),SUM(VLOOKUP($A76, LS_current!$B$4:$AY$138, LS_current!N$148, FALSE), VLOOKUP($A76, LS_current!$B$4:$AY$138,LS_current!AL$148, FALSE))/2)</f>
        <v>59.164106383200306</v>
      </c>
      <c r="CJ76" s="180">
        <f t="array" ref="CJ76">IF($BT76=0, INDEX(LS_current!$D$4:$AY$138, MATCH('Staging Table'!$A76, LS_current!$B$4:$B$138, 0), MATCH(CJ$4&amp;CJ$5, LS_current!$D$2:$AY$2&amp;LS_current!$D$3:$AY$3, 0)),SUM(VLOOKUP($A76, LS_current!$B$4:$AY$138, LS_current!O$148, FALSE), VLOOKUP($A76, LS_current!$B$4:$AY$138,LS_current!AM$148, FALSE))/2)</f>
        <v>-56.146954260800612</v>
      </c>
      <c r="CK76" s="180">
        <f t="array" ref="CK76">IF($BT76=0, INDEX(LS_current!$D$4:$AY$138, MATCH('Staging Table'!$A76, LS_current!$B$4:$B$138, 0), MATCH(CK$4&amp;CK$5, LS_current!$D$2:$AY$2&amp;LS_current!$D$3:$AY$3, 0)),SUM(VLOOKUP($A76, LS_current!$B$4:$AY$138, LS_current!P$148, FALSE), VLOOKUP($A76, LS_current!$B$4:$AY$138,LS_current!AN$148, FALSE))/2)</f>
        <v>361.89367682600005</v>
      </c>
      <c r="CL76" s="180">
        <f t="array" ref="CL76">IF($BT76=0, INDEX(LS_current!$D$4:$AY$138, MATCH('Staging Table'!$A76, LS_current!$B$4:$B$138, 0), MATCH(CL$4&amp;CL$5, LS_current!$D$2:$AY$2&amp;LS_current!$D$3:$AY$3, 0)),SUM(VLOOKUP($A76, LS_current!$B$4:$AY$138, LS_current!Q$148, FALSE), VLOOKUP($A76, LS_current!$B$4:$AY$138,LS_current!AO$148, FALSE))/2)</f>
        <v>77.063788940200538</v>
      </c>
      <c r="CM76" s="180">
        <f t="array" ref="CM76">IF($BT76=0, INDEX(LS_current!$D$4:$AY$138, MATCH('Staging Table'!$A76, LS_current!$B$4:$B$138, 0), MATCH(CM$4&amp;CM$5, LS_current!$D$2:$AY$2&amp;LS_current!$D$3:$AY$3, 0)),SUM(VLOOKUP($A76, LS_current!$B$4:$AY$138, LS_current!R$148, FALSE), VLOOKUP($A76, LS_current!$B$4:$AY$138,LS_current!AP$148, FALSE))/2)</f>
        <v>-941.91062241279997</v>
      </c>
      <c r="CN76" s="180">
        <f t="array" ref="CN76">IF($BT76=0, INDEX(LS_current!$D$4:$AY$138, MATCH('Staging Table'!$A76, LS_current!$B$4:$B$138, 0), MATCH(CN$4&amp;CN$5, LS_current!$D$2:$AY$2&amp;LS_current!$D$3:$AY$3, 0)),SUM(VLOOKUP($A76, LS_current!$B$4:$AY$138, LS_current!S$148, FALSE), VLOOKUP($A76, LS_current!$B$4:$AY$138,LS_current!AQ$148, FALSE))/2)</f>
        <v>-823.47419611560008</v>
      </c>
      <c r="CO76" s="180">
        <f t="array" ref="CO76">IF($BT76=0, INDEX(LS_current!$D$4:$AY$138, MATCH('Staging Table'!$A76, LS_current!$B$4:$B$138, 0), MATCH(CO$4&amp;CO$5, LS_current!$D$2:$AY$2&amp;LS_current!$D$3:$AY$3, 0)),SUM(VLOOKUP($A76, LS_current!$B$4:$AY$138, LS_current!T$148, FALSE), VLOOKUP($A76, LS_current!$B$4:$AY$138,LS_current!AR$148, FALSE))/2)</f>
        <v>-1511.2508871535997</v>
      </c>
      <c r="CP76" s="180">
        <f t="array" ref="CP76">IF($BT76=0, INDEX(LS_current!$D$4:$AY$138, MATCH('Staging Table'!$A76, LS_current!$B$4:$B$138, 0), MATCH(CP$4&amp;CP$5, LS_current!$D$2:$AY$2&amp;LS_current!$D$3:$AY$3, 0)),SUM(VLOOKUP($A76, LS_current!$B$4:$AY$138, LS_current!U$148, FALSE), VLOOKUP($A76, LS_current!$B$4:$AY$138,LS_current!AS$148, FALSE))/2)</f>
        <v>-1266.8412148612001</v>
      </c>
      <c r="CQ76" s="180">
        <f t="array" ref="CQ76">IF($BT76=0, INDEX(LS_current!$D$4:$AY$138, MATCH('Staging Table'!$A76, LS_current!$B$4:$B$138, 0), MATCH(CQ$4&amp;CQ$5, LS_current!$D$2:$AY$2&amp;LS_current!$D$3:$AY$3, 0)),SUM(VLOOKUP($A76, LS_current!$B$4:$AY$138, LS_current!V$148, FALSE), VLOOKUP($A76, LS_current!$B$4:$AY$138,LS_current!AT$148, FALSE))/2)</f>
        <v>-134.36283103040023</v>
      </c>
      <c r="CR76" s="180">
        <f t="array" ref="CR76">IF($BT76=0, INDEX(LS_current!$D$4:$AY$138, MATCH('Staging Table'!$A76, LS_current!$B$4:$B$138, 0), MATCH(CR$4&amp;CR$5, LS_current!$D$2:$AY$2&amp;LS_current!$D$3:$AY$3, 0)),SUM(VLOOKUP($A76, LS_current!$B$4:$AY$138, LS_current!W$148, FALSE), VLOOKUP($A76, LS_current!$B$4:$AY$138,LS_current!AU$148, FALSE))/2)</f>
        <v>-294.19500113399999</v>
      </c>
      <c r="CS76" s="180">
        <f t="array" ref="CS76">IF($BT76=0, INDEX(LS_current!$D$4:$AY$138, MATCH('Staging Table'!$A76, LS_current!$B$4:$B$138, 0), MATCH(CS$4&amp;CS$5, LS_current!$D$2:$AY$2&amp;LS_current!$D$3:$AY$3, 0)),SUM(VLOOKUP($A76, LS_current!$B$4:$AY$138, LS_current!X$148, FALSE), VLOOKUP($A76, LS_current!$B$4:$AY$138,LS_current!AV$148, FALSE))/2)</f>
        <v>16.275620427600188</v>
      </c>
      <c r="CT76" s="180">
        <f t="array" ref="CT76">IF($BT76=0, INDEX(LS_current!$D$4:$AY$138, MATCH('Staging Table'!$A76, LS_current!$B$4:$B$138, 0), MATCH(CT$4&amp;CT$5, LS_current!$D$2:$AY$2&amp;LS_current!$D$3:$AY$3, 0)),SUM(VLOOKUP($A76, LS_current!$B$4:$AY$138, LS_current!Y$148, FALSE), VLOOKUP($A76, LS_current!$B$4:$AY$138,LS_current!AW$148, FALSE))/2)</f>
        <v>-367.38422648196001</v>
      </c>
      <c r="CU76" s="180">
        <f t="array" ref="CU76">IF($BT76=0, INDEX(LS_current!$D$4:$AY$138, MATCH('Staging Table'!$A76, LS_current!$B$4:$B$138, 0), MATCH(CU$4&amp;CU$5, LS_current!$D$2:$AY$2&amp;LS_current!$D$3:$AY$3, 0)),SUM(VLOOKUP($A76, LS_current!$B$4:$AY$138, LS_current!Z$148, FALSE), VLOOKUP($A76, LS_current!$B$4:$AY$138,LS_current!AX$148, FALSE))/2)</f>
        <v>-325.18621316640019</v>
      </c>
      <c r="CV76" s="180">
        <f t="array" ref="CV76">IF($BT76=0, INDEX(LS_current!$D$4:$AY$138, MATCH('Staging Table'!$A76, LS_current!$B$4:$B$138, 0), MATCH(CV$4&amp;CV$5, LS_current!$D$2:$AY$2&amp;LS_current!$D$3:$AY$3, 0)),SUM(VLOOKUP($A76, LS_current!$B$4:$AY$138, LS_current!AA$148, FALSE), VLOOKUP($A76, LS_current!$B$4:$AY$138,LS_current!AY$148, FALSE))/2)</f>
        <v>-668.52280125439984</v>
      </c>
      <c r="CW76" s="182">
        <f t="array" ref="CW76">INDEX(Demand_current!$D$4:$AY$138, MATCH($A76, Demand_current!$B$4:$B$138, 0), MATCH(CW$4&amp;CW$5,Demand_current!$D$2:$AY$2&amp;Demand_current!$D$3:$AY$3, 0))/1000</f>
        <v>4.0807716346153846</v>
      </c>
      <c r="CX76" s="182">
        <f t="array" ref="CX76">INDEX(Demand_current!$D$4:$AY$138, MATCH($A76, Demand_current!$B$4:$B$138, 0), MATCH(CX$4&amp;CX$5,Demand_current!$D$2:$AY$2&amp;Demand_current!$D$3:$AY$3, 0))/1000</f>
        <v>2.0860124999999998</v>
      </c>
      <c r="CY76" s="182">
        <f t="array" ref="CY76">INDEX(Demand_current!$D$4:$AY$138, MATCH($A76, Demand_current!$B$4:$B$138, 0), MATCH(CY$4&amp;CY$5,Demand_current!$D$2:$AY$2&amp;Demand_current!$D$3:$AY$3, 0))/1000</f>
        <v>2.8920450000000031</v>
      </c>
      <c r="CZ76" s="182">
        <f t="array" ref="CZ76">INDEX(Demand_current!$D$4:$AY$138, MATCH($A76, Demand_current!$B$4:$B$138, 0), MATCH(CZ$4&amp;CZ$5,Demand_current!$D$2:$AY$2&amp;Demand_current!$D$3:$AY$3, 0))/1000</f>
        <v>3.749050480769232</v>
      </c>
      <c r="DA76" s="182">
        <f t="array" ref="DA76">INDEX(Demand_current!$D$4:$AY$138, MATCH($A76, Demand_current!$B$4:$B$138, 0), MATCH(DA$4&amp;DA$5,Demand_current!$D$2:$AY$2&amp;Demand_current!$D$3:$AY$3, 0))/1000</f>
        <v>4.464797500000004</v>
      </c>
      <c r="DB76" s="182">
        <f t="array" ref="DB76">INDEX(Demand_current!$D$4:$AY$138, MATCH($A76, Demand_current!$B$4:$B$138, 0), MATCH(DB$4&amp;DB$5,Demand_current!$D$2:$AY$2&amp;Demand_current!$D$3:$AY$3, 0))/1000</f>
        <v>3.19500721153846</v>
      </c>
      <c r="DC76" s="182">
        <f t="array" ref="DC76">INDEX(Demand_current!$D$4:$AY$138, MATCH($A76, Demand_current!$B$4:$B$138, 0), MATCH(DC$4&amp;DC$5,Demand_current!$D$2:$AY$2&amp;Demand_current!$D$3:$AY$3, 0))/1000</f>
        <v>2.21582451923077</v>
      </c>
      <c r="DD76" s="182">
        <f t="array" ref="DD76">INDEX(Demand_current!$D$4:$AY$138, MATCH($A76, Demand_current!$B$4:$B$138, 0), MATCH(DD$4&amp;DD$5,Demand_current!$D$2:$AY$2&amp;Demand_current!$D$3:$AY$3, 0))/1000</f>
        <v>2.4681322115384585</v>
      </c>
      <c r="DE76" s="182">
        <f t="array" ref="DE76">INDEX(Demand_current!$D$4:$AY$138, MATCH($A76, Demand_current!$B$4:$B$138, 0), MATCH(DE$4&amp;DE$5,Demand_current!$D$2:$AY$2&amp;Demand_current!$D$3:$AY$3, 0))/1000</f>
        <v>3.2905600000000006</v>
      </c>
      <c r="DF76" s="182">
        <f t="array" ref="DF76">INDEX(Demand_current!$D$4:$AY$138, MATCH($A76, Demand_current!$B$4:$B$138, 0), MATCH(DF$4&amp;DF$5,Demand_current!$D$2:$AY$2&amp;Demand_current!$D$3:$AY$3, 0))/1000</f>
        <v>2.9882692307692325</v>
      </c>
      <c r="DG76" s="182">
        <f t="array" ref="DG76">INDEX(Demand_current!$D$4:$AY$138, MATCH($A76, Demand_current!$B$4:$B$138, 0), MATCH(DG$4&amp;DG$5,Demand_current!$D$2:$AY$2&amp;Demand_current!$D$3:$AY$3, 0))/1000</f>
        <v>3.2380023148148127</v>
      </c>
      <c r="DH76" s="182">
        <f t="array" ref="DH76">INDEX(Demand_current!$D$4:$AY$138, MATCH($A76, Demand_current!$B$4:$B$138, 0), MATCH(DH$4&amp;DH$5,Demand_current!$D$2:$AY$2&amp;Demand_current!$D$3:$AY$3, 0))/1000</f>
        <v>1.739945312499998</v>
      </c>
      <c r="DI76" s="180">
        <f>$BS76*(VLOOKUP(DI$4, Rates_current!$G$6:$Q$29, 10, FALSE)+VLOOKUP(DI$4, Rates_current!$G$6:$Q$29, 11, FALSE))</f>
        <v>5794.9488467964002</v>
      </c>
      <c r="DJ76" s="180">
        <f>$BS76*(VLOOKUP(DJ$4, Rates_current!$G$6:$Q$29, 10, FALSE)+VLOOKUP(DJ$4, Rates_current!$G$6:$Q$29, 11, FALSE))</f>
        <v>7390.4706812824006</v>
      </c>
      <c r="DK76" s="180">
        <f>$BS76*(VLOOKUP(DK$4, Rates_current!$G$6:$Q$29, 10, FALSE)+VLOOKUP(DK$4, Rates_current!$G$6:$Q$29, 11, FALSE))</f>
        <v>7975.7801519160002</v>
      </c>
      <c r="DL76" s="180">
        <f>$BS76*(VLOOKUP(DL$4, Rates_current!$G$6:$Q$29, 10, FALSE)+VLOOKUP(DL$4, Rates_current!$G$6:$Q$29, 11, FALSE))</f>
        <v>8288.0685363583998</v>
      </c>
      <c r="DM76" s="180">
        <f>$BS76*(VLOOKUP(DM$4, Rates_current!$G$6:$Q$29, 10, FALSE)+VLOOKUP(DM$4, Rates_current!$G$6:$Q$29, 11, FALSE))</f>
        <v>7128.8436702767995</v>
      </c>
      <c r="DN76" s="180">
        <f>$BS76*(VLOOKUP(DN$4, Rates_current!$G$6:$Q$29, 10, FALSE)+VLOOKUP(DN$4, Rates_current!$G$6:$Q$29, 11, FALSE))</f>
        <v>7783.2858478775997</v>
      </c>
      <c r="DO76" s="180">
        <f>$BS76*(VLOOKUP(DO$4, Rates_current!$G$6:$Q$29, 10, FALSE)+VLOOKUP(DO$4, Rates_current!$G$6:$Q$29, 11, FALSE))</f>
        <v>6143.5925342337996</v>
      </c>
      <c r="DP76" s="180">
        <f>$BS76*(VLOOKUP(DP$4, Rates_current!$G$6:$Q$29, 10, FALSE)+VLOOKUP(DP$4, Rates_current!$G$6:$Q$29, 11, FALSE))</f>
        <v>7621.9498185284001</v>
      </c>
      <c r="DQ76" s="180">
        <f>$BS76*(VLOOKUP(DQ$4, Rates_current!$G$6:$Q$29, 10, FALSE)+VLOOKUP(DQ$4, Rates_current!$G$6:$Q$29, 11, FALSE))</f>
        <v>7787.3271020147995</v>
      </c>
      <c r="DR76" s="180">
        <f>$BS76*(VLOOKUP(DR$4, Rates_current!$G$6:$Q$29, 10, FALSE)+VLOOKUP(DR$4, Rates_current!$G$6:$Q$29, 11, FALSE))</f>
        <v>6760.5218321643997</v>
      </c>
      <c r="DS76" s="180">
        <f>$BS76*(VLOOKUP(DS$4, Rates_current!$G$6:$Q$29, 10, FALSE)+VLOOKUP(DS$4, Rates_current!$G$6:$Q$29, 11, FALSE))</f>
        <v>6535.6276060543605</v>
      </c>
      <c r="DT76" s="180">
        <f>$BS76*(VLOOKUP(DT$4, Rates_current!$G$6:$Q$29, 10, FALSE)+VLOOKUP(DT$4, Rates_current!$G$6:$Q$29, 11, FALSE))</f>
        <v>6014.0430144208003</v>
      </c>
      <c r="DU76" s="402">
        <f>IF(D76=0,IF(C76=0,MAX(0,DW76 - (VLOOKUP($A76,TOCA_current!$A$2:$AI$137,MATCH("RHWM 2024",TOCA_current!$A$2:$AI$2,0),FALSE)*$BS$2)), 0),0)</f>
        <v>0</v>
      </c>
      <c r="DV76" s="403">
        <f>MIN(VLOOKUP($A76,TOCA_current!$A$2:$AI$137,MATCH("TRL - NLSL - Existing Resource "&amp;$BS$1,TOCA_current!$A$2:$AI$2,0),FALSE)*$BS$2, VLOOKUP($A76,TOCA_current!$A$2:$AI$137,MATCH("RHWM 2024",TOCA_current!$A$2:$AI$2,0),FALSE)*$BS$2)</f>
        <v>85222.368000000002</v>
      </c>
      <c r="DW76" s="403">
        <f>SUM(BY76:CV76)+(BS76*RT1SC!$C$4*$BS$2)</f>
        <v>85218.409390651839</v>
      </c>
      <c r="DX76" s="403">
        <f>VLOOKUP($A76,TOCA_current!$A$2:$AI$137,MATCH("Above RHWM Not Served with LS "&amp;$BS$1,TOCA_current!$A$2:$AI$2,0),FALSE)*$BS$2</f>
        <v>23154.624</v>
      </c>
      <c r="DY76" s="403">
        <f t="shared" si="32"/>
        <v>-3.9586093481630087</v>
      </c>
      <c r="DZ76" s="403">
        <f>(VLOOKUP($A76,TOCA_current!$A$2:$AI$137,MATCH("RHWM 2024",TOCA_current!$A$2:$AI$2,0),FALSE)*$BS$2) - $DV76</f>
        <v>0</v>
      </c>
      <c r="EA76" s="403">
        <f t="shared" si="33"/>
        <v>0</v>
      </c>
      <c r="EB76" s="403">
        <f t="shared" si="34"/>
        <v>0</v>
      </c>
      <c r="EC76" s="403">
        <f t="shared" si="35"/>
        <v>0</v>
      </c>
      <c r="ED76" s="403">
        <f t="shared" si="36"/>
        <v>0</v>
      </c>
    </row>
    <row r="77" spans="1:134">
      <c r="A77" s="123">
        <v>10231</v>
      </c>
      <c r="B77" s="124" t="s">
        <v>78</v>
      </c>
      <c r="C77" s="232">
        <f>VLOOKUP(A77, TOCA_current!$A$3:$D$137, 4, FALSE)</f>
        <v>0</v>
      </c>
      <c r="D77" s="191">
        <v>0</v>
      </c>
      <c r="E77" s="107">
        <f>VLOOKUP($A77,TOCA_previous!$A$2:$AI$137,MATCH(E$4,TOCA_previous!$A$2:$AI$2,0),FALSE)</f>
        <v>5.1910999999999997E-3</v>
      </c>
      <c r="F77" s="108">
        <f>VLOOKUP($A77,TOCA_previous!$A$2:$AI$137,MATCH(F$4,TOCA_previous!$A$2:$AI$2,0),FALSE)</f>
        <v>5.1910999999999997E-3</v>
      </c>
      <c r="G77" s="108">
        <f t="shared" si="24"/>
        <v>0</v>
      </c>
      <c r="H77" s="108">
        <f>VLOOKUP($A77,TOCA_previous!$A$2:$AI$137,MATCH(H$4,TOCA_previous!$A$2:$AI$2,0),FALSE)</f>
        <v>9.0179999999999996E-2</v>
      </c>
      <c r="I77" s="108">
        <f t="shared" si="25"/>
        <v>0</v>
      </c>
      <c r="J77" s="108">
        <f t="shared" si="26"/>
        <v>0</v>
      </c>
      <c r="K77" s="179">
        <f>VLOOKUP(A77, IRD!$A$5:$C$139, 3, FALSE)</f>
        <v>21632.728999999999</v>
      </c>
      <c r="L77" s="180">
        <f t="array" ref="L77">IF($G77=0, INDEX(LS_previous!$D$4:$AY$138, MATCH('Staging Table'!$A77, LS_previous!$B$4:$B$138, 0), MATCH(L$4&amp;L$5, LS_previous!$D$2:$AY$2&amp;LS_previous!$D$3:$AY$3, 0)),SUM(VLOOKUP($A77, LS_previous!$B$4:$AY$138, LS_previous!D$149, FALSE), VLOOKUP('Staging Table'!$A77, LS_previous!$B$4:$AY$138,LS_previous!AB$149, FALSE))/2)</f>
        <v>5241.5806577697676</v>
      </c>
      <c r="M77" s="180">
        <f t="array" ref="M77">IF($G77=0, INDEX(LS_previous!$D$4:$AY$138, MATCH('Staging Table'!$A77, LS_previous!$B$4:$B$138, 0), MATCH(M$4&amp;M$5, LS_previous!$D$2:$AY$2&amp;LS_previous!$D$3:$AY$3, 0)),SUM(VLOOKUP($A77, LS_previous!$B$4:$AY$138, LS_previous!E$149, FALSE), VLOOKUP('Staging Table'!$A77, LS_previous!$B$4:$AY$138,LS_previous!AC$149, FALSE))/2)</f>
        <v>4386.8582816074231</v>
      </c>
      <c r="N77" s="180">
        <f t="array" ref="N77">IF($G77=0, INDEX(LS_previous!$D$4:$AY$138, MATCH('Staging Table'!$A77, LS_previous!$B$4:$B$138, 0), MATCH(N$4&amp;N$5, LS_previous!$D$2:$AY$2&amp;LS_previous!$D$3:$AY$3, 0)),SUM(VLOOKUP($A77, LS_previous!$B$4:$AY$138, LS_previous!F$149, FALSE), VLOOKUP('Staging Table'!$A77, LS_previous!$B$4:$AY$138,LS_previous!AD$149, FALSE))/2)</f>
        <v>2193.1628251293405</v>
      </c>
      <c r="O77" s="180">
        <f t="array" ref="O77">IF($G77=0, INDEX(LS_previous!$D$4:$AY$138, MATCH('Staging Table'!$A77, LS_previous!$B$4:$B$138, 0), MATCH(O$4&amp;O$5, LS_previous!$D$2:$AY$2&amp;LS_previous!$D$3:$AY$3, 0)),SUM(VLOOKUP($A77, LS_previous!$B$4:$AY$138, LS_previous!G$149, FALSE), VLOOKUP('Staging Table'!$A77, LS_previous!$B$4:$AY$138,LS_previous!AE$149, FALSE))/2)</f>
        <v>1867.7718659436468</v>
      </c>
      <c r="P77" s="180">
        <f t="array" ref="P77">IF($G77=0, INDEX(LS_previous!$D$4:$AY$138, MATCH('Staging Table'!$A77, LS_previous!$B$4:$B$138, 0), MATCH(P$4&amp;P$5, LS_previous!$D$2:$AY$2&amp;LS_previous!$D$3:$AY$3, 0)),SUM(VLOOKUP($A77, LS_previous!$B$4:$AY$138, LS_previous!H$149, FALSE), VLOOKUP('Staging Table'!$A77, LS_previous!$B$4:$AY$138,LS_previous!AF$149, FALSE))/2)</f>
        <v>6925.879241819337</v>
      </c>
      <c r="Q77" s="180">
        <f t="array" ref="Q77">IF($G77=0, INDEX(LS_previous!$D$4:$AY$138, MATCH('Staging Table'!$A77, LS_previous!$B$4:$B$138, 0), MATCH(Q$4&amp;Q$5, LS_previous!$D$2:$AY$2&amp;LS_previous!$D$3:$AY$3, 0)),SUM(VLOOKUP($A77, LS_previous!$B$4:$AY$138, LS_previous!I$149, FALSE), VLOOKUP('Staging Table'!$A77, LS_previous!$B$4:$AY$138,LS_previous!AG$149, FALSE))/2)</f>
        <v>4796.3365380806063</v>
      </c>
      <c r="R77" s="180">
        <f t="array" ref="R77">IF($G77=0, INDEX(LS_previous!$D$4:$AY$138, MATCH('Staging Table'!$A77, LS_previous!$B$4:$B$138, 0), MATCH(R$4&amp;R$5, LS_previous!$D$2:$AY$2&amp;LS_previous!$D$3:$AY$3, 0)),SUM(VLOOKUP($A77, LS_previous!$B$4:$AY$138, LS_previous!J$149, FALSE), VLOOKUP('Staging Table'!$A77, LS_previous!$B$4:$AY$138,LS_previous!AH$149, FALSE))/2)</f>
        <v>12381.735488501306</v>
      </c>
      <c r="S77" s="180">
        <f t="array" ref="S77">IF($G77=0, INDEX(LS_previous!$D$4:$AY$138, MATCH('Staging Table'!$A77, LS_previous!$B$4:$B$138, 0), MATCH(S$4&amp;S$5, LS_previous!$D$2:$AY$2&amp;LS_previous!$D$3:$AY$3, 0)),SUM(VLOOKUP($A77, LS_previous!$B$4:$AY$138, LS_previous!K$149, FALSE), VLOOKUP('Staging Table'!$A77, LS_previous!$B$4:$AY$138,LS_previous!AI$149, FALSE))/2)</f>
        <v>6720.2422417728085</v>
      </c>
      <c r="T77" s="180">
        <f t="array" ref="T77">IF($G77=0, INDEX(LS_previous!$D$4:$AY$138, MATCH('Staging Table'!$A77, LS_previous!$B$4:$B$138, 0), MATCH(T$4&amp;T$5, LS_previous!$D$2:$AY$2&amp;LS_previous!$D$3:$AY$3, 0)),SUM(VLOOKUP($A77, LS_previous!$B$4:$AY$138, LS_previous!L$149, FALSE), VLOOKUP('Staging Table'!$A77, LS_previous!$B$4:$AY$138,LS_previous!AJ$149, FALSE))/2)</f>
        <v>7719.8679094352046</v>
      </c>
      <c r="U77" s="180">
        <f t="array" ref="U77">IF($G77=0, INDEX(LS_previous!$D$4:$AY$138, MATCH('Staging Table'!$A77, LS_previous!$B$4:$B$138, 0), MATCH(U$4&amp;U$5, LS_previous!$D$2:$AY$2&amp;LS_previous!$D$3:$AY$3, 0)),SUM(VLOOKUP($A77, LS_previous!$B$4:$AY$138, LS_previous!M$149, FALSE), VLOOKUP('Staging Table'!$A77, LS_previous!$B$4:$AY$138,LS_previous!AK$149, FALSE))/2)</f>
        <v>3453.3738856901819</v>
      </c>
      <c r="V77" s="180">
        <f t="array" ref="V77">IF($G77=0, INDEX(LS_previous!$D$4:$AY$138, MATCH('Staging Table'!$A77, LS_previous!$B$4:$B$138, 0), MATCH(V$4&amp;V$5, LS_previous!$D$2:$AY$2&amp;LS_previous!$D$3:$AY$3, 0)),SUM(VLOOKUP($A77, LS_previous!$B$4:$AY$138, LS_previous!N$149, FALSE), VLOOKUP('Staging Table'!$A77, LS_previous!$B$4:$AY$138,LS_previous!AL$149, FALSE))/2)</f>
        <v>4433.3652625168743</v>
      </c>
      <c r="W77" s="180">
        <f t="array" ref="W77">IF($G77=0, INDEX(LS_previous!$D$4:$AY$138, MATCH('Staging Table'!$A77, LS_previous!$B$4:$B$138, 0), MATCH(W$4&amp;W$5, LS_previous!$D$2:$AY$2&amp;LS_previous!$D$3:$AY$3, 0)),SUM(VLOOKUP($A77, LS_previous!$B$4:$AY$138, LS_previous!O$149, FALSE), VLOOKUP('Staging Table'!$A77, LS_previous!$B$4:$AY$138,LS_previous!AM$149, FALSE))/2)</f>
        <v>3632.0292834025367</v>
      </c>
      <c r="X77" s="180">
        <f t="array" ref="X77">IF($G77=0, INDEX(LS_previous!$D$4:$AY$138, MATCH('Staging Table'!$A77, LS_previous!$B$4:$B$138, 0), MATCH(X$4&amp;X$5, LS_previous!$D$2:$AY$2&amp;LS_previous!$D$3:$AY$3, 0)),SUM(VLOOKUP($A77, LS_previous!$B$4:$AY$138, LS_previous!P$149, FALSE), VLOOKUP('Staging Table'!$A77, LS_previous!$B$4:$AY$138,LS_previous!AN$149, FALSE))/2)</f>
        <v>7170.8512022695522</v>
      </c>
      <c r="Y77" s="180">
        <f t="array" ref="Y77">IF($G77=0, INDEX(LS_previous!$D$4:$AY$138, MATCH('Staging Table'!$A77, LS_previous!$B$4:$B$138, 0), MATCH(Y$4&amp;Y$5, LS_previous!$D$2:$AY$2&amp;LS_previous!$D$3:$AY$3, 0)),SUM(VLOOKUP($A77, LS_previous!$B$4:$AY$138, LS_previous!Q$149, FALSE), VLOOKUP('Staging Table'!$A77, LS_previous!$B$4:$AY$138,LS_previous!AO$149, FALSE))/2)</f>
        <v>3554.2542169541766</v>
      </c>
      <c r="Z77" s="180">
        <f t="array" ref="Z77">IF($G77=0, INDEX(LS_previous!$D$4:$AY$138, MATCH('Staging Table'!$A77, LS_previous!$B$4:$B$138, 0), MATCH(Z$4&amp;Z$5, LS_previous!$D$2:$AY$2&amp;LS_previous!$D$3:$AY$3, 0)),SUM(VLOOKUP($A77, LS_previous!$B$4:$AY$138, LS_previous!R$149, FALSE), VLOOKUP('Staging Table'!$A77, LS_previous!$B$4:$AY$138,LS_previous!AP$149, FALSE))/2)</f>
        <v>-152.38148937364531</v>
      </c>
      <c r="AA77" s="180">
        <f t="array" ref="AA77">IF($G77=0, INDEX(LS_previous!$D$4:$AY$138, MATCH('Staging Table'!$A77, LS_previous!$B$4:$B$138, 0), MATCH(AA$4&amp;AA$5, LS_previous!$D$2:$AY$2&amp;LS_previous!$D$3:$AY$3, 0)),SUM(VLOOKUP($A77, LS_previous!$B$4:$AY$138, LS_previous!S$149, FALSE), VLOOKUP('Staging Table'!$A77, LS_previous!$B$4:$AY$138,LS_previous!AQ$149, FALSE))/2)</f>
        <v>1479.8676409258314</v>
      </c>
      <c r="AB77" s="180">
        <f t="array" ref="AB77">IF($G77=0, INDEX(LS_previous!$D$4:$AY$138, MATCH('Staging Table'!$A77, LS_previous!$B$4:$B$138, 0), MATCH(AB$4&amp;AB$5, LS_previous!$D$2:$AY$2&amp;LS_previous!$D$3:$AY$3, 0)),SUM(VLOOKUP($A77, LS_previous!$B$4:$AY$138, LS_previous!T$149, FALSE), VLOOKUP('Staging Table'!$A77, LS_previous!$B$4:$AY$138,LS_previous!AR$149, FALSE))/2)</f>
        <v>-2358.536044264205</v>
      </c>
      <c r="AC77" s="180">
        <f t="array" ref="AC77">IF($G77=0, INDEX(LS_previous!$D$4:$AY$138, MATCH('Staging Table'!$A77, LS_previous!$B$4:$B$138, 0), MATCH(AC$4&amp;AC$5, LS_previous!$D$2:$AY$2&amp;LS_previous!$D$3:$AY$3, 0)),SUM(VLOOKUP($A77, LS_previous!$B$4:$AY$138, LS_previous!U$149, FALSE), VLOOKUP('Staging Table'!$A77, LS_previous!$B$4:$AY$138,LS_previous!AS$149, FALSE))/2)</f>
        <v>2906.9220251304232</v>
      </c>
      <c r="AD77" s="180">
        <f t="array" ref="AD77">IF($G77=0, INDEX(LS_previous!$D$4:$AY$138, MATCH('Staging Table'!$A77, LS_previous!$B$4:$B$138, 0), MATCH(AD$4&amp;AD$5, LS_previous!$D$2:$AY$2&amp;LS_previous!$D$3:$AY$3, 0)),SUM(VLOOKUP($A77, LS_previous!$B$4:$AY$138, LS_previous!V$149, FALSE), VLOOKUP('Staging Table'!$A77, LS_previous!$B$4:$AY$138,LS_previous!AT$149, FALSE))/2)</f>
        <v>5007.3661074307347</v>
      </c>
      <c r="AE77" s="180">
        <f t="array" ref="AE77">IF($G77=0, INDEX(LS_previous!$D$4:$AY$138, MATCH('Staging Table'!$A77, LS_previous!$B$4:$B$138, 0), MATCH(AE$4&amp;AE$5, LS_previous!$D$2:$AY$2&amp;LS_previous!$D$3:$AY$3, 0)),SUM(VLOOKUP($A77, LS_previous!$B$4:$AY$138, LS_previous!W$149, FALSE), VLOOKUP('Staging Table'!$A77, LS_previous!$B$4:$AY$138,LS_previous!AU$149, FALSE))/2)</f>
        <v>4172.0463048006823</v>
      </c>
      <c r="AF77" s="180">
        <f t="array" ref="AF77">IF($G77=0, INDEX(LS_previous!$D$4:$AY$138, MATCH('Staging Table'!$A77, LS_previous!$B$4:$B$138, 0), MATCH(AF$4&amp;AF$5, LS_previous!$D$2:$AY$2&amp;LS_previous!$D$3:$AY$3, 0)),SUM(VLOOKUP($A77, LS_previous!$B$4:$AY$138, LS_previous!X$149, FALSE), VLOOKUP('Staging Table'!$A77, LS_previous!$B$4:$AY$138,LS_previous!AV$149, FALSE))/2)</f>
        <v>6075.2432072564843</v>
      </c>
      <c r="AG77" s="180">
        <f t="array" ref="AG77">IF($G77=0, INDEX(LS_previous!$D$4:$AY$138, MATCH('Staging Table'!$A77, LS_previous!$B$4:$B$138, 0), MATCH(AG$4&amp;AG$5, LS_previous!$D$2:$AY$2&amp;LS_previous!$D$3:$AY$3, 0)),SUM(VLOOKUP($A77, LS_previous!$B$4:$AY$138, LS_previous!Y$149, FALSE), VLOOKUP('Staging Table'!$A77, LS_previous!$B$4:$AY$138,LS_previous!AW$149, FALSE))/2)</f>
        <v>4407.5349145606069</v>
      </c>
      <c r="AH77" s="180">
        <f t="array" ref="AH77">IF($G77=0, INDEX(LS_previous!$D$4:$AY$138, MATCH('Staging Table'!$A77, LS_previous!$B$4:$B$138, 0), MATCH(AH$4&amp;AH$5, LS_previous!$D$2:$AY$2&amp;LS_previous!$D$3:$AY$3, 0)),SUM(VLOOKUP($A77, LS_previous!$B$4:$AY$138, LS_previous!Z$149, FALSE), VLOOKUP('Staging Table'!$A77, LS_previous!$B$4:$AY$138,LS_previous!AX$149, FALSE))/2)</f>
        <v>4096.0812287860444</v>
      </c>
      <c r="AI77" s="180">
        <f t="array" ref="AI77">IF($G77=0, INDEX(LS_previous!$D$4:$AY$138, MATCH('Staging Table'!$A77, LS_previous!$B$4:$B$138, 0), MATCH(AI$4&amp;AI$5, LS_previous!$D$2:$AY$2&amp;LS_previous!$D$3:$AY$3, 0)),SUM(VLOOKUP($A77, LS_previous!$B$4:$AY$138, LS_previous!AA$149, FALSE), VLOOKUP('Staging Table'!$A77, LS_previous!$B$4:$AY$138,LS_previous!AY$149, FALSE))/2)</f>
        <v>4902.1411990053639</v>
      </c>
      <c r="AJ77" s="298">
        <f t="array" ref="AJ77">INDEX(Demand_previous!$D$4:$AY$138, MATCH('Staging Table'!$A77, Demand_previous!$B$4:$B$138, 0), MATCH(AJ$4&amp;AJ$5,Demand_previous!$D$2:$AY$2&amp;Demand_previous!$D$3:$AY$3, 0))/1000</f>
        <v>0</v>
      </c>
      <c r="AK77" s="298">
        <f t="array" ref="AK77">INDEX(Demand_previous!$D$4:$AY$138, MATCH('Staging Table'!$A77, Demand_previous!$B$4:$B$138, 0), MATCH(AK$4&amp;AK$5,Demand_previous!$D$2:$AY$2&amp;Demand_previous!$D$3:$AY$3, 0))/1000</f>
        <v>0.66852500000001847</v>
      </c>
      <c r="AL77" s="298">
        <f t="array" ref="AL77">INDEX(Demand_previous!$D$4:$AY$138, MATCH('Staging Table'!$A77, Demand_previous!$B$4:$B$138, 0), MATCH(AL$4&amp;AL$5,Demand_previous!$D$2:$AY$2&amp;Demand_previous!$D$3:$AY$3, 0))/1000</f>
        <v>8.4078533653846197</v>
      </c>
      <c r="AM77" s="298">
        <f t="array" ref="AM77">INDEX(Demand_previous!$D$4:$AY$138, MATCH('Staging Table'!$A77, Demand_previous!$B$4:$B$138, 0), MATCH(AM$4&amp;AM$5,Demand_previous!$D$2:$AY$2&amp;Demand_previous!$D$3:$AY$3, 0))/1000</f>
        <v>0</v>
      </c>
      <c r="AN77" s="298">
        <f t="array" ref="AN77">INDEX(Demand_previous!$D$4:$AY$138, MATCH('Staging Table'!$A77, Demand_previous!$B$4:$B$138, 0), MATCH(AN$4&amp;AN$5,Demand_previous!$D$2:$AY$2&amp;Demand_previous!$D$3:$AY$3, 0))/1000</f>
        <v>1.201492187499994</v>
      </c>
      <c r="AO77" s="298">
        <f t="array" ref="AO77">INDEX(Demand_previous!$D$4:$AY$138, MATCH('Staging Table'!$A77, Demand_previous!$B$4:$B$138, 0), MATCH(AO$4&amp;AO$5,Demand_previous!$D$2:$AY$2&amp;Demand_previous!$D$3:$AY$3, 0))/1000</f>
        <v>6.8124050925925985</v>
      </c>
      <c r="AP77" s="298">
        <f t="array" ref="AP77">INDEX(Demand_previous!$D$4:$AY$138, MATCH('Staging Table'!$A77, Demand_previous!$B$4:$B$138, 0), MATCH(AP$4&amp;AP$5,Demand_previous!$D$2:$AY$2&amp;Demand_previous!$D$3:$AY$3, 0))/1000</f>
        <v>0.65580048076922992</v>
      </c>
      <c r="AQ77" s="298">
        <f t="array" ref="AQ77">INDEX(Demand_previous!$D$4:$AY$138, MATCH('Staging Table'!$A77, Demand_previous!$B$4:$B$138, 0), MATCH(AQ$4&amp;AQ$5,Demand_previous!$D$2:$AY$2&amp;Demand_previous!$D$3:$AY$3, 0))/1000</f>
        <v>2.3315075000000105</v>
      </c>
      <c r="AR77" s="298">
        <f t="array" ref="AR77">INDEX(Demand_previous!$D$4:$AY$138, MATCH('Staging Table'!$A77, Demand_previous!$B$4:$B$138, 0), MATCH(AR$4&amp;AR$5,Demand_previous!$D$2:$AY$2&amp;Demand_previous!$D$3:$AY$3, 0))/1000</f>
        <v>11.213370192307686</v>
      </c>
      <c r="AS77" s="298">
        <f t="array" ref="AS77">INDEX(Demand_previous!$D$4:$AY$138, MATCH('Staging Table'!$A77, Demand_previous!$B$4:$B$138, 0), MATCH(AS$4&amp;AS$5,Demand_previous!$D$2:$AY$2&amp;Demand_previous!$D$3:$AY$3, 0))/1000</f>
        <v>6.0667500000018748E-2</v>
      </c>
      <c r="AT77" s="298">
        <f t="array" ref="AT77">INDEX(Demand_previous!$D$4:$AY$138, MATCH('Staging Table'!$A77, Demand_previous!$B$4:$B$138, 0), MATCH(AT$4&amp;AT$5,Demand_previous!$D$2:$AY$2&amp;Demand_previous!$D$3:$AY$3, 0))/1000</f>
        <v>9.0803472222222226</v>
      </c>
      <c r="AU77" s="298">
        <f t="array" ref="AU77">INDEX(Demand_previous!$D$4:$AY$138, MATCH('Staging Table'!$A77, Demand_previous!$B$4:$B$138, 0), MATCH(AU$4&amp;AU$5,Demand_previous!$D$2:$AY$2&amp;Demand_previous!$D$3:$AY$3, 0))/1000</f>
        <v>1.3111350000000073</v>
      </c>
      <c r="AV77" s="180">
        <f>$F77*(VLOOKUP(AV$4, Rates_previous!$G$6:$Q$29, 10, FALSE)+VLOOKUP(AV$4, Rates_previous!$G$6:$Q$29, 11, FALSE))</f>
        <v>23639.877060622806</v>
      </c>
      <c r="AW77" s="180">
        <f>$F77*(VLOOKUP(AW$4, Rates_previous!$G$6:$Q$29, 10, FALSE)+VLOOKUP(AW$4, Rates_previous!$G$6:$Q$29, 11, FALSE))</f>
        <v>29928.942308927009</v>
      </c>
      <c r="AX77" s="180">
        <f>$F77*(VLOOKUP(AX$4, Rates_previous!$G$6:$Q$29, 10, FALSE)+VLOOKUP(AX$4, Rates_previous!$G$6:$Q$29, 11, FALSE))</f>
        <v>29294.455220100059</v>
      </c>
      <c r="AY77" s="180">
        <f>$F77*(VLOOKUP(AY$4, Rates_previous!$G$6:$Q$29, 10, FALSE)+VLOOKUP(AY$4, Rates_previous!$G$6:$Q$29, 11, FALSE))</f>
        <v>24195.974269725884</v>
      </c>
      <c r="AZ77" s="180">
        <f>$F77*(VLOOKUP(AZ$4, Rates_previous!$G$6:$Q$29, 10, FALSE)+VLOOKUP(AZ$4, Rates_previous!$G$6:$Q$29, 11, FALSE))</f>
        <v>20971.181204874614</v>
      </c>
      <c r="BA77" s="180">
        <f>$F77*(VLOOKUP(BA$4, Rates_previous!$G$6:$Q$29, 10, FALSE)+VLOOKUP(BA$4, Rates_previous!$G$6:$Q$29, 11, FALSE))</f>
        <v>25035.355454080593</v>
      </c>
      <c r="BB77" s="180">
        <f>$F77*(VLOOKUP(BB$4, Rates_previous!$G$6:$Q$29, 10, FALSE)+VLOOKUP(BB$4, Rates_previous!$G$6:$Q$29, 11, FALSE))</f>
        <v>19436.620580776271</v>
      </c>
      <c r="BC77" s="180">
        <f>$F77*(VLOOKUP(BC$4, Rates_previous!$G$6:$Q$29, 10, FALSE)+VLOOKUP(BC$4, Rates_previous!$G$6:$Q$29, 11, FALSE))</f>
        <v>26929.580848447811</v>
      </c>
      <c r="BD77" s="180">
        <f>$F77*(VLOOKUP(BD$4, Rates_previous!$G$6:$Q$29, 10, FALSE)+VLOOKUP(BD$4, Rates_previous!$G$6:$Q$29, 11, FALSE))</f>
        <v>28774.821019133778</v>
      </c>
      <c r="BE77" s="180">
        <f>$F77*(VLOOKUP(BE$4, Rates_previous!$G$6:$Q$29, 10, FALSE)+VLOOKUP(BE$4, Rates_previous!$G$6:$Q$29, 11, FALSE))</f>
        <v>27320.389587768583</v>
      </c>
      <c r="BF77" s="180">
        <f>$F77*(VLOOKUP(BF$4, Rates_previous!$G$6:$Q$29, 10, FALSE)+VLOOKUP(BF$4, Rates_previous!$G$6:$Q$29, 11, FALSE))</f>
        <v>26403.048878182908</v>
      </c>
      <c r="BG77" s="180">
        <f>$F77*(VLOOKUP(BG$4, Rates_previous!$G$6:$Q$29, 10, FALSE)+VLOOKUP(BG$4, Rates_previous!$G$6:$Q$29, 11, FALSE))</f>
        <v>24399.16957220859</v>
      </c>
      <c r="BH77" s="298">
        <f>IF($D77=0,IF(C77=0, MAX(BJ77 - (VLOOKUP($A77,TOCA_previous!$A$2:$AI$137,MATCH("RHWM 2022",TOCA_previous!$A$2:$AI$2,0),FALSE)*$F$2*TOCA_previous!C74),0),0), 0)</f>
        <v>105014.58567007509</v>
      </c>
      <c r="BI77" s="192">
        <f>MIN(VLOOKUP($A77,TOCA_previous!$A$2:$AI$137,MATCH("TRL - NLSL - Existing Resource "&amp;$F$1,TOCA_previous!$A$2:$AI$2,0),FALSE)*$F$2,(VLOOKUP($A77,TOCA_previous!$A$2:$AI$137,MATCH("RHWM 2022",TOCA_previous!$A$2:$AI$2,0),FALSE)*$F$2))</f>
        <v>306328.44</v>
      </c>
      <c r="BJ77" s="402">
        <f>SUM(L77:AI77)+(F77*RT1SC!$C$3*$F$2)</f>
        <v>411343.02567007509</v>
      </c>
      <c r="BK77" s="401">
        <f>VLOOKUP($A77,TOCA_previous!$A$2:$AI$137,MATCH("Above RHWM Not Served with LS "&amp;$F$1,TOCA_previous!$A$2:$AI$2,0),FALSE)*$F$2</f>
        <v>88292.040000000008</v>
      </c>
      <c r="BL77" s="402">
        <f t="shared" si="27"/>
        <v>105014.58567007509</v>
      </c>
      <c r="BM77" s="401">
        <f>(VLOOKUP($A77,TOCA_previous!$A$2:$AI$137,MATCH("RHWM 2022",TOCA_previous!$A$2:$AI$2,0),FALSE)*$F$2) - $BI77</f>
        <v>0</v>
      </c>
      <c r="BN77" s="402">
        <f t="shared" si="28"/>
        <v>0</v>
      </c>
      <c r="BO77" s="401">
        <f t="shared" si="29"/>
        <v>0</v>
      </c>
      <c r="BP77" s="402">
        <f t="shared" si="30"/>
        <v>0</v>
      </c>
      <c r="BQ77" s="401">
        <f t="shared" si="21"/>
        <v>0</v>
      </c>
      <c r="BR77" s="108">
        <f>VLOOKUP($A77,TOCA_current!$A$2:$AI$137,MATCH(BR$4,TOCA_current!$A$2:$AI$2,0),FALSE)</f>
        <v>5.1900000000000002E-3</v>
      </c>
      <c r="BS77" s="108">
        <f>VLOOKUP($A77,TOCA_current!$A$2:$AI$137,MATCH(BS$4,TOCA_current!$A$2:$AI$2,0),FALSE)</f>
        <v>5.1900000000000002E-3</v>
      </c>
      <c r="BT77" s="189">
        <f t="shared" si="31"/>
        <v>0</v>
      </c>
      <c r="BU77" s="108">
        <f>VLOOKUP($A77,TOCA_current!A73:BG208,MATCH(BU$4,TOCA_current!$A$2:$BG$2,0),FALSE)</f>
        <v>0.10861180064922668</v>
      </c>
      <c r="BV77" s="108">
        <f t="shared" si="22"/>
        <v>0</v>
      </c>
      <c r="BW77" s="108">
        <f t="shared" si="23"/>
        <v>0</v>
      </c>
      <c r="BX77" s="179">
        <f>VLOOKUP($A77,IRD!$A$4:$G$139, 7, FALSE)</f>
        <v>21632.728999999999</v>
      </c>
      <c r="BY77" s="180">
        <f t="array" ref="BY77">IF($BT77=0, INDEX(LS_current!$D$4:$AY$138, MATCH('Staging Table'!$A77, LS_current!$B$4:$B$138, 0), MATCH(BY$4&amp;BY$5, LS_current!$D$2:$AY$2&amp;LS_current!$D$3:$AY$3, 0)),SUM(VLOOKUP($A77, LS_current!$B$4:$AY$138, LS_current!D$148, FALSE), VLOOKUP($A77, LS_current!$B$4:$AY$138,LS_current!AB$148, FALSE))/2)</f>
        <v>2937.4384531599972</v>
      </c>
      <c r="BZ77" s="180">
        <f t="array" ref="BZ77">IF($BT77=0, INDEX(LS_current!$D$4:$AY$138, MATCH('Staging Table'!$A77, LS_current!$B$4:$B$138, 0), MATCH(BZ$4&amp;BZ$5, LS_current!$D$2:$AY$2&amp;LS_current!$D$3:$AY$3, 0)),SUM(VLOOKUP($A77, LS_current!$B$4:$AY$138, LS_current!E$148, FALSE), VLOOKUP($A77, LS_current!$B$4:$AY$138,LS_current!AC$148, FALSE))/2)</f>
        <v>889.63802465499793</v>
      </c>
      <c r="CA77" s="180">
        <f t="array" ref="CA77">IF($BT77=0, INDEX(LS_current!$D$4:$AY$138, MATCH('Staging Table'!$A77, LS_current!$B$4:$B$138, 0), MATCH(CA$4&amp;CA$5, LS_current!$D$2:$AY$2&amp;LS_current!$D$3:$AY$3, 0)),SUM(VLOOKUP($A77, LS_current!$B$4:$AY$138, LS_current!F$148, FALSE), VLOOKUP($A77, LS_current!$B$4:$AY$138,LS_current!AD$148, FALSE))/2)</f>
        <v>-440.49923232000219</v>
      </c>
      <c r="CB77" s="180">
        <f t="array" ref="CB77">IF($BT77=0, INDEX(LS_current!$D$4:$AY$138, MATCH('Staging Table'!$A77, LS_current!$B$4:$B$138, 0), MATCH(CB$4&amp;CB$5, LS_current!$D$2:$AY$2&amp;LS_current!$D$3:$AY$3, 0)),SUM(VLOOKUP($A77, LS_current!$B$4:$AY$138, LS_current!G$148, FALSE), VLOOKUP($A77, LS_current!$B$4:$AY$138,LS_current!AE$148, FALSE))/2)</f>
        <v>-806.10509489000287</v>
      </c>
      <c r="CC77" s="180">
        <f t="array" ref="CC77">IF($BT77=0, INDEX(LS_current!$D$4:$AY$138, MATCH('Staging Table'!$A77, LS_current!$B$4:$B$138, 0), MATCH(CC$4&amp;CC$5, LS_current!$D$2:$AY$2&amp;LS_current!$D$3:$AY$3, 0)),SUM(VLOOKUP($A77, LS_current!$B$4:$AY$138, LS_current!H$148, FALSE), VLOOKUP($A77, LS_current!$B$4:$AY$138,LS_current!AF$148, FALSE))/2)</f>
        <v>1494.4680145899947</v>
      </c>
      <c r="CD77" s="180">
        <f t="array" ref="CD77">IF($BT77=0, INDEX(LS_current!$D$4:$AY$138, MATCH('Staging Table'!$A77, LS_current!$B$4:$B$138, 0), MATCH(CD$4&amp;CD$5, LS_current!$D$2:$AY$2&amp;LS_current!$D$3:$AY$3, 0)),SUM(VLOOKUP($A77, LS_current!$B$4:$AY$138, LS_current!I$148, FALSE), VLOOKUP($A77, LS_current!$B$4:$AY$138,LS_current!AG$148, FALSE))/2)</f>
        <v>1840.9267177599995</v>
      </c>
      <c r="CE77" s="180">
        <f t="array" ref="CE77">IF($BT77=0, INDEX(LS_current!$D$4:$AY$138, MATCH('Staging Table'!$A77, LS_current!$B$4:$B$138, 0), MATCH(CE$4&amp;CE$5, LS_current!$D$2:$AY$2&amp;LS_current!$D$3:$AY$3, 0)),SUM(VLOOKUP($A77, LS_current!$B$4:$AY$138, LS_current!J$148, FALSE), VLOOKUP($A77, LS_current!$B$4:$AY$138,LS_current!AH$148, FALSE))/2)</f>
        <v>2377.7749991499986</v>
      </c>
      <c r="CF77" s="180">
        <f t="array" ref="CF77">IF($BT77=0, INDEX(LS_current!$D$4:$AY$138, MATCH('Staging Table'!$A77, LS_current!$B$4:$B$138, 0), MATCH(CF$4&amp;CF$5, LS_current!$D$2:$AY$2&amp;LS_current!$D$3:$AY$3, 0)),SUM(VLOOKUP($A77, LS_current!$B$4:$AY$138, LS_current!K$148, FALSE), VLOOKUP($A77, LS_current!$B$4:$AY$138,LS_current!AI$148, FALSE))/2)</f>
        <v>2058.952629489997</v>
      </c>
      <c r="CG77" s="180">
        <f t="array" ref="CG77">IF($BT77=0, INDEX(LS_current!$D$4:$AY$138, MATCH('Staging Table'!$A77, LS_current!$B$4:$B$138, 0), MATCH(CG$4&amp;CG$5, LS_current!$D$2:$AY$2&amp;LS_current!$D$3:$AY$3, 0)),SUM(VLOOKUP($A77, LS_current!$B$4:$AY$138, LS_current!L$148, FALSE), VLOOKUP($A77, LS_current!$B$4:$AY$138,LS_current!AJ$148, FALSE))/2)</f>
        <v>-1443.2716120100013</v>
      </c>
      <c r="CH77" s="180">
        <f t="array" ref="CH77">IF($BT77=0, INDEX(LS_current!$D$4:$AY$138, MATCH('Staging Table'!$A77, LS_current!$B$4:$B$138, 0), MATCH(CH$4&amp;CH$5, LS_current!$D$2:$AY$2&amp;LS_current!$D$3:$AY$3, 0)),SUM(VLOOKUP($A77, LS_current!$B$4:$AY$138, LS_current!M$148, FALSE), VLOOKUP($A77, LS_current!$B$4:$AY$138,LS_current!AK$148, FALSE))/2)</f>
        <v>-648.60316721000345</v>
      </c>
      <c r="CI77" s="180">
        <f t="array" ref="CI77">IF($BT77=0, INDEX(LS_current!$D$4:$AY$138, MATCH('Staging Table'!$A77, LS_current!$B$4:$B$138, 0), MATCH(CI$4&amp;CI$5, LS_current!$D$2:$AY$2&amp;LS_current!$D$3:$AY$3, 0)),SUM(VLOOKUP($A77, LS_current!$B$4:$AY$138, LS_current!N$148, FALSE), VLOOKUP($A77, LS_current!$B$4:$AY$138,LS_current!AL$148, FALSE))/2)</f>
        <v>-2154.3191964700018</v>
      </c>
      <c r="CJ77" s="180">
        <f t="array" ref="CJ77">IF($BT77=0, INDEX(LS_current!$D$4:$AY$138, MATCH('Staging Table'!$A77, LS_current!$B$4:$B$138, 0), MATCH(CJ$4&amp;CJ$5, LS_current!$D$2:$AY$2&amp;LS_current!$D$3:$AY$3, 0)),SUM(VLOOKUP($A77, LS_current!$B$4:$AY$138, LS_current!O$148, FALSE), VLOOKUP($A77, LS_current!$B$4:$AY$138,LS_current!AM$148, FALSE))/2)</f>
        <v>-1688.7460278200015</v>
      </c>
      <c r="CK77" s="180">
        <f t="array" ref="CK77">IF($BT77=0, INDEX(LS_current!$D$4:$AY$138, MATCH('Staging Table'!$A77, LS_current!$B$4:$B$138, 0), MATCH(CK$4&amp;CK$5, LS_current!$D$2:$AY$2&amp;LS_current!$D$3:$AY$3, 0)),SUM(VLOOKUP($A77, LS_current!$B$4:$AY$138, LS_current!P$148, FALSE), VLOOKUP($A77, LS_current!$B$4:$AY$138,LS_current!AN$148, FALSE))/2)</f>
        <v>799.97863477499777</v>
      </c>
      <c r="CL77" s="180">
        <f t="array" ref="CL77">IF($BT77=0, INDEX(LS_current!$D$4:$AY$138, MATCH('Staging Table'!$A77, LS_current!$B$4:$B$138, 0), MATCH(CL$4&amp;CL$5, LS_current!$D$2:$AY$2&amp;LS_current!$D$3:$AY$3, 0)),SUM(VLOOKUP($A77, LS_current!$B$4:$AY$138, LS_current!Q$148, FALSE), VLOOKUP($A77, LS_current!$B$4:$AY$138,LS_current!AO$148, FALSE))/2)</f>
        <v>-1153.3968664825006</v>
      </c>
      <c r="CM77" s="180">
        <f t="array" ref="CM77">IF($BT77=0, INDEX(LS_current!$D$4:$AY$138, MATCH('Staging Table'!$A77, LS_current!$B$4:$B$138, 0), MATCH(CM$4&amp;CM$5, LS_current!$D$2:$AY$2&amp;LS_current!$D$3:$AY$3, 0)),SUM(VLOOKUP($A77, LS_current!$B$4:$AY$138, LS_current!R$148, FALSE), VLOOKUP($A77, LS_current!$B$4:$AY$138,LS_current!AP$148, FALSE))/2)</f>
        <v>-3885.8684411200047</v>
      </c>
      <c r="CN77" s="180">
        <f t="array" ref="CN77">IF($BT77=0, INDEX(LS_current!$D$4:$AY$138, MATCH('Staging Table'!$A77, LS_current!$B$4:$B$138, 0), MATCH(CN$4&amp;CN$5, LS_current!$D$2:$AY$2&amp;LS_current!$D$3:$AY$3, 0)),SUM(VLOOKUP($A77, LS_current!$B$4:$AY$138, LS_current!S$148, FALSE), VLOOKUP($A77, LS_current!$B$4:$AY$138,LS_current!AQ$148, FALSE))/2)</f>
        <v>-4201.4309326150014</v>
      </c>
      <c r="CO77" s="180">
        <f t="array" ref="CO77">IF($BT77=0, INDEX(LS_current!$D$4:$AY$138, MATCH('Staging Table'!$A77, LS_current!$B$4:$B$138, 0), MATCH(CO$4&amp;CO$5, LS_current!$D$2:$AY$2&amp;LS_current!$D$3:$AY$3, 0)),SUM(VLOOKUP($A77, LS_current!$B$4:$AY$138, LS_current!T$148, FALSE), VLOOKUP($A77, LS_current!$B$4:$AY$138,LS_current!AR$148, FALSE))/2)</f>
        <v>-4210.4431359400005</v>
      </c>
      <c r="CP77" s="180">
        <f t="array" ref="CP77">IF($BT77=0, INDEX(LS_current!$D$4:$AY$138, MATCH('Staging Table'!$A77, LS_current!$B$4:$B$138, 0), MATCH(CP$4&amp;CP$5, LS_current!$D$2:$AY$2&amp;LS_current!$D$3:$AY$3, 0)),SUM(VLOOKUP($A77, LS_current!$B$4:$AY$138, LS_current!U$148, FALSE), VLOOKUP($A77, LS_current!$B$4:$AY$138,LS_current!AS$148, FALSE))/2)</f>
        <v>-3192.1685328550011</v>
      </c>
      <c r="CQ77" s="180">
        <f t="array" ref="CQ77">IF($BT77=0, INDEX(LS_current!$D$4:$AY$138, MATCH('Staging Table'!$A77, LS_current!$B$4:$B$138, 0), MATCH(CQ$4&amp;CQ$5, LS_current!$D$2:$AY$2&amp;LS_current!$D$3:$AY$3, 0)),SUM(VLOOKUP($A77, LS_current!$B$4:$AY$138, LS_current!V$148, FALSE), VLOOKUP($A77, LS_current!$B$4:$AY$138,LS_current!AT$148, FALSE))/2)</f>
        <v>2905.7021448399973</v>
      </c>
      <c r="CR77" s="180">
        <f t="array" ref="CR77">IF($BT77=0, INDEX(LS_current!$D$4:$AY$138, MATCH('Staging Table'!$A77, LS_current!$B$4:$B$138, 0), MATCH(CR$4&amp;CR$5, LS_current!$D$2:$AY$2&amp;LS_current!$D$3:$AY$3, 0)),SUM(VLOOKUP($A77, LS_current!$B$4:$AY$138, LS_current!W$148, FALSE), VLOOKUP($A77, LS_current!$B$4:$AY$138,LS_current!AU$148, FALSE))/2)</f>
        <v>504.54656327499652</v>
      </c>
      <c r="CS77" s="180">
        <f t="array" ref="CS77">IF($BT77=0, INDEX(LS_current!$D$4:$AY$138, MATCH('Staging Table'!$A77, LS_current!$B$4:$B$138, 0), MATCH(CS$4&amp;CS$5, LS_current!$D$2:$AY$2&amp;LS_current!$D$3:$AY$3, 0)),SUM(VLOOKUP($A77, LS_current!$B$4:$AY$138, LS_current!X$148, FALSE), VLOOKUP($A77, LS_current!$B$4:$AY$138,LS_current!AV$148, FALSE))/2)</f>
        <v>3809.8360099149977</v>
      </c>
      <c r="CT77" s="180">
        <f t="array" ref="CT77">IF($BT77=0, INDEX(LS_current!$D$4:$AY$138, MATCH('Staging Table'!$A77, LS_current!$B$4:$B$138, 0), MATCH(CT$4&amp;CT$5, LS_current!$D$2:$AY$2&amp;LS_current!$D$3:$AY$3, 0)),SUM(VLOOKUP($A77, LS_current!$B$4:$AY$138, LS_current!Y$148, FALSE), VLOOKUP($A77, LS_current!$B$4:$AY$138,LS_current!AW$148, FALSE))/2)</f>
        <v>836.17636557849801</v>
      </c>
      <c r="CU77" s="180">
        <f t="array" ref="CU77">IF($BT77=0, INDEX(LS_current!$D$4:$AY$138, MATCH('Staging Table'!$A77, LS_current!$B$4:$B$138, 0), MATCH(CU$4&amp;CU$5, LS_current!$D$2:$AY$2&amp;LS_current!$D$3:$AY$3, 0)),SUM(VLOOKUP($A77, LS_current!$B$4:$AY$138, LS_current!Z$148, FALSE), VLOOKUP($A77, LS_current!$B$4:$AY$138,LS_current!AX$148, FALSE))/2)</f>
        <v>2362.9523579399993</v>
      </c>
      <c r="CV77" s="180">
        <f t="array" ref="CV77">IF($BT77=0, INDEX(LS_current!$D$4:$AY$138, MATCH('Staging Table'!$A77, LS_current!$B$4:$B$138, 0), MATCH(CV$4&amp;CV$5, LS_current!$D$2:$AY$2&amp;LS_current!$D$3:$AY$3, 0)),SUM(VLOOKUP($A77, LS_current!$B$4:$AY$138, LS_current!AA$148, FALSE), VLOOKUP($A77, LS_current!$B$4:$AY$138,LS_current!AY$148, FALSE))/2)</f>
        <v>1008.7843502399974</v>
      </c>
      <c r="CW77" s="182">
        <f t="array" ref="CW77">INDEX(Demand_current!$D$4:$AY$138, MATCH($A77, Demand_current!$B$4:$B$138, 0), MATCH(CW$4&amp;CW$5,Demand_current!$D$2:$AY$2&amp;Demand_current!$D$3:$AY$3, 0))/1000</f>
        <v>0</v>
      </c>
      <c r="CX77" s="182">
        <f t="array" ref="CX77">INDEX(Demand_current!$D$4:$AY$138, MATCH($A77, Demand_current!$B$4:$B$138, 0), MATCH(CX$4&amp;CX$5,Demand_current!$D$2:$AY$2&amp;Demand_current!$D$3:$AY$3, 0))/1000</f>
        <v>0.66852500000000425</v>
      </c>
      <c r="CY77" s="182">
        <f t="array" ref="CY77">INDEX(Demand_current!$D$4:$AY$138, MATCH($A77, Demand_current!$B$4:$B$138, 0), MATCH(CY$4&amp;CY$5,Demand_current!$D$2:$AY$2&amp;Demand_current!$D$3:$AY$3, 0))/1000</f>
        <v>5.5505275000000101</v>
      </c>
      <c r="CZ77" s="182">
        <f t="array" ref="CZ77">INDEX(Demand_current!$D$4:$AY$138, MATCH($A77, Demand_current!$B$4:$B$138, 0), MATCH(CZ$4&amp;CZ$5,Demand_current!$D$2:$AY$2&amp;Demand_current!$D$3:$AY$3, 0))/1000</f>
        <v>1.2106754807692379</v>
      </c>
      <c r="DA77" s="182">
        <f t="array" ref="DA77">INDEX(Demand_current!$D$4:$AY$138, MATCH($A77, Demand_current!$B$4:$B$138, 0), MATCH(DA$4&amp;DA$5,Demand_current!$D$2:$AY$2&amp;Demand_current!$D$3:$AY$3, 0))/1000</f>
        <v>3.8672325000000001</v>
      </c>
      <c r="DB77" s="182">
        <f t="array" ref="DB77">INDEX(Demand_current!$D$4:$AY$138, MATCH($A77, Demand_current!$B$4:$B$138, 0), MATCH(DB$4&amp;DB$5,Demand_current!$D$2:$AY$2&amp;Demand_current!$D$3:$AY$3, 0))/1000</f>
        <v>4.4933437500000011</v>
      </c>
      <c r="DC77" s="182">
        <f t="array" ref="DC77">INDEX(Demand_current!$D$4:$AY$138, MATCH($A77, Demand_current!$B$4:$B$138, 0), MATCH(DC$4&amp;DC$5,Demand_current!$D$2:$AY$2&amp;Demand_current!$D$3:$AY$3, 0))/1000</f>
        <v>0.65580048076922992</v>
      </c>
      <c r="DD77" s="182">
        <f t="array" ref="DD77">INDEX(Demand_current!$D$4:$AY$138, MATCH($A77, Demand_current!$B$4:$B$138, 0), MATCH(DD$4&amp;DD$5,Demand_current!$D$2:$AY$2&amp;Demand_current!$D$3:$AY$3, 0))/1000</f>
        <v>4.6395649038461597</v>
      </c>
      <c r="DE77" s="182">
        <f t="array" ref="DE77">INDEX(Demand_current!$D$4:$AY$138, MATCH($A77, Demand_current!$B$4:$B$138, 0), MATCH(DE$4&amp;DE$5,Demand_current!$D$2:$AY$2&amp;Demand_current!$D$3:$AY$3, 0))/1000</f>
        <v>8.8815049999999971</v>
      </c>
      <c r="DF77" s="182">
        <f t="array" ref="DF77">INDEX(Demand_current!$D$4:$AY$138, MATCH($A77, Demand_current!$B$4:$B$138, 0), MATCH(DF$4&amp;DF$5,Demand_current!$D$2:$AY$2&amp;Demand_current!$D$3:$AY$3, 0))/1000</f>
        <v>2.8643725961538529</v>
      </c>
      <c r="DG77" s="182">
        <f t="array" ref="DG77">INDEX(Demand_current!$D$4:$AY$138, MATCH($A77, Demand_current!$B$4:$B$138, 0), MATCH(DG$4&amp;DG$5,Demand_current!$D$2:$AY$2&amp;Demand_current!$D$3:$AY$3, 0))/1000</f>
        <v>9.0803472222222226</v>
      </c>
      <c r="DH77" s="182">
        <f t="array" ref="DH77">INDEX(Demand_current!$D$4:$AY$138, MATCH($A77, Demand_current!$B$4:$B$138, 0), MATCH(DH$4&amp;DH$5,Demand_current!$D$2:$AY$2&amp;Demand_current!$D$3:$AY$3, 0))/1000</f>
        <v>0</v>
      </c>
      <c r="DI77" s="180">
        <f>$BS77*(VLOOKUP(DI$4, Rates_current!$G$6:$Q$29, 10, FALSE)+VLOOKUP(DI$4, Rates_current!$G$6:$Q$29, 11, FALSE))</f>
        <v>21895.591522185001</v>
      </c>
      <c r="DJ77" s="180">
        <f>$BS77*(VLOOKUP(DJ$4, Rates_current!$G$6:$Q$29, 10, FALSE)+VLOOKUP(DJ$4, Rates_current!$G$6:$Q$29, 11, FALSE))</f>
        <v>27924.099327210006</v>
      </c>
      <c r="DK77" s="180">
        <f>$BS77*(VLOOKUP(DK$4, Rates_current!$G$6:$Q$29, 10, FALSE)+VLOOKUP(DK$4, Rates_current!$G$6:$Q$29, 11, FALSE))</f>
        <v>30135.628267650005</v>
      </c>
      <c r="DL77" s="180">
        <f>$BS77*(VLOOKUP(DL$4, Rates_current!$G$6:$Q$29, 10, FALSE)+VLOOKUP(DL$4, Rates_current!$G$6:$Q$29, 11, FALSE))</f>
        <v>31315.576371359999</v>
      </c>
      <c r="DM77" s="180">
        <f>$BS77*(VLOOKUP(DM$4, Rates_current!$G$6:$Q$29, 10, FALSE)+VLOOKUP(DM$4, Rates_current!$G$6:$Q$29, 11, FALSE))</f>
        <v>26935.569779219997</v>
      </c>
      <c r="DN77" s="180">
        <f>$BS77*(VLOOKUP(DN$4, Rates_current!$G$6:$Q$29, 10, FALSE)+VLOOKUP(DN$4, Rates_current!$G$6:$Q$29, 11, FALSE))</f>
        <v>29408.309224289998</v>
      </c>
      <c r="DO77" s="180">
        <f>$BS77*(VLOOKUP(DO$4, Rates_current!$G$6:$Q$29, 10, FALSE)+VLOOKUP(DO$4, Rates_current!$G$6:$Q$29, 11, FALSE))</f>
        <v>23212.9042317075</v>
      </c>
      <c r="DP77" s="180">
        <f>$BS77*(VLOOKUP(DP$4, Rates_current!$G$6:$Q$29, 10, FALSE)+VLOOKUP(DP$4, Rates_current!$G$6:$Q$29, 11, FALSE))</f>
        <v>28798.718373735002</v>
      </c>
      <c r="DQ77" s="180">
        <f>$BS77*(VLOOKUP(DQ$4, Rates_current!$G$6:$Q$29, 10, FALSE)+VLOOKUP(DQ$4, Rates_current!$G$6:$Q$29, 11, FALSE))</f>
        <v>29423.578668794999</v>
      </c>
      <c r="DR77" s="180">
        <f>$BS77*(VLOOKUP(DR$4, Rates_current!$G$6:$Q$29, 10, FALSE)+VLOOKUP(DR$4, Rates_current!$G$6:$Q$29, 11, FALSE))</f>
        <v>25543.905291884999</v>
      </c>
      <c r="DS77" s="180">
        <f>$BS77*(VLOOKUP(DS$4, Rates_current!$G$6:$Q$29, 10, FALSE)+VLOOKUP(DS$4, Rates_current!$G$6:$Q$29, 11, FALSE))</f>
        <v>24694.166624506503</v>
      </c>
      <c r="DT77" s="180">
        <f>$BS77*(VLOOKUP(DT$4, Rates_current!$G$6:$Q$29, 10, FALSE)+VLOOKUP(DT$4, Rates_current!$G$6:$Q$29, 11, FALSE))</f>
        <v>22723.415291820002</v>
      </c>
      <c r="DU77" s="402">
        <f>IF(D77=0,IF(C77=0,MAX(0,DW77 - (VLOOKUP($A77,TOCA_current!$A$2:$AI$137,MATCH("RHWM 2024",TOCA_current!$A$2:$AI$2,0),FALSE)*$BS$2)), 0),0)</f>
        <v>1.1314760359819047</v>
      </c>
      <c r="DV77" s="403">
        <f>MIN(VLOOKUP($A77,TOCA_current!$A$2:$AI$137,MATCH("TRL - NLSL - Existing Resource "&amp;$BS$1,TOCA_current!$A$2:$AI$2,0),FALSE)*$BS$2, VLOOKUP($A77,TOCA_current!$A$2:$AI$137,MATCH("RHWM 2024",TOCA_current!$A$2:$AI$2,0),FALSE)*$BS$2)</f>
        <v>322012.65600000002</v>
      </c>
      <c r="DW77" s="403">
        <f>SUM(BY77:CV77)+(BS77*RT1SC!$C$4*$BS$2)</f>
        <v>322013.787476036</v>
      </c>
      <c r="DX77" s="403">
        <f>VLOOKUP($A77,TOCA_current!$A$2:$AI$137,MATCH("Above RHWM Not Served with LS "&amp;$BS$1,TOCA_current!$A$2:$AI$2,0),FALSE)*$BS$2</f>
        <v>177621.26400000002</v>
      </c>
      <c r="DY77" s="403">
        <f t="shared" si="32"/>
        <v>1.1314760359819047</v>
      </c>
      <c r="DZ77" s="403">
        <f>(VLOOKUP($A77,TOCA_current!$A$2:$AI$137,MATCH("RHWM 2024",TOCA_current!$A$2:$AI$2,0),FALSE)*$BS$2) - $DV77</f>
        <v>0</v>
      </c>
      <c r="EA77" s="403">
        <f t="shared" si="33"/>
        <v>0</v>
      </c>
      <c r="EB77" s="403">
        <f t="shared" si="34"/>
        <v>0</v>
      </c>
      <c r="EC77" s="403">
        <f t="shared" si="35"/>
        <v>0</v>
      </c>
      <c r="ED77" s="403">
        <f t="shared" si="36"/>
        <v>0</v>
      </c>
    </row>
    <row r="78" spans="1:134">
      <c r="A78" s="123">
        <v>10234</v>
      </c>
      <c r="B78" s="124" t="s">
        <v>79</v>
      </c>
      <c r="C78" s="232">
        <f>VLOOKUP(A78, TOCA_current!$A$3:$D$137, 4, FALSE)</f>
        <v>0</v>
      </c>
      <c r="D78" s="191">
        <v>0</v>
      </c>
      <c r="E78" s="107">
        <f>VLOOKUP($A78,TOCA_previous!$A$2:$AI$137,MATCH(E$4,TOCA_previous!$A$2:$AI$2,0),FALSE)</f>
        <v>7.2217000000000002E-3</v>
      </c>
      <c r="F78" s="108">
        <f>VLOOKUP($A78,TOCA_previous!$A$2:$AI$137,MATCH(F$4,TOCA_previous!$A$2:$AI$2,0),FALSE)</f>
        <v>7.2217000000000002E-3</v>
      </c>
      <c r="G78" s="108">
        <f t="shared" si="24"/>
        <v>0</v>
      </c>
      <c r="H78" s="108">
        <f>VLOOKUP($A78,TOCA_previous!$A$2:$AI$137,MATCH(H$4,TOCA_previous!$A$2:$AI$2,0),FALSE)</f>
        <v>0</v>
      </c>
      <c r="I78" s="108">
        <f t="shared" si="25"/>
        <v>0</v>
      </c>
      <c r="J78" s="108">
        <f t="shared" si="26"/>
        <v>0</v>
      </c>
      <c r="K78" s="179">
        <f>VLOOKUP(A78, IRD!$A$5:$C$139, 3, FALSE)</f>
        <v>0</v>
      </c>
      <c r="L78" s="180">
        <f t="array" ref="L78">IF($G78=0, INDEX(LS_previous!$D$4:$AY$138, MATCH('Staging Table'!$A78, LS_previous!$B$4:$B$138, 0), MATCH(L$4&amp;L$5, LS_previous!$D$2:$AY$2&amp;LS_previous!$D$3:$AY$3, 0)),SUM(VLOOKUP($A78, LS_previous!$B$4:$AY$138, LS_previous!D$149, FALSE), VLOOKUP('Staging Table'!$A78, LS_previous!$B$4:$AY$138,LS_previous!AB$149, FALSE))/2)</f>
        <v>3691.6649466039817</v>
      </c>
      <c r="M78" s="180">
        <f t="array" ref="M78">IF($G78=0, INDEX(LS_previous!$D$4:$AY$138, MATCH('Staging Table'!$A78, LS_previous!$B$4:$B$138, 0), MATCH(M$4&amp;M$5, LS_previous!$D$2:$AY$2&amp;LS_previous!$D$3:$AY$3, 0)),SUM(VLOOKUP($A78, LS_previous!$B$4:$AY$138, LS_previous!E$149, FALSE), VLOOKUP('Staging Table'!$A78, LS_previous!$B$4:$AY$138,LS_previous!AC$149, FALSE))/2)</f>
        <v>2772.0290639718605</v>
      </c>
      <c r="N78" s="180">
        <f t="array" ref="N78">IF($G78=0, INDEX(LS_previous!$D$4:$AY$138, MATCH('Staging Table'!$A78, LS_previous!$B$4:$B$138, 0), MATCH(N$4&amp;N$5, LS_previous!$D$2:$AY$2&amp;LS_previous!$D$3:$AY$3, 0)),SUM(VLOOKUP($A78, LS_previous!$B$4:$AY$138, LS_previous!F$149, FALSE), VLOOKUP('Staging Table'!$A78, LS_previous!$B$4:$AY$138,LS_previous!AD$149, FALSE))/2)</f>
        <v>844.444361799342</v>
      </c>
      <c r="O78" s="180">
        <f t="array" ref="O78">IF($G78=0, INDEX(LS_previous!$D$4:$AY$138, MATCH('Staging Table'!$A78, LS_previous!$B$4:$B$138, 0), MATCH(O$4&amp;O$5, LS_previous!$D$2:$AY$2&amp;LS_previous!$D$3:$AY$3, 0)),SUM(VLOOKUP($A78, LS_previous!$B$4:$AY$138, LS_previous!G$149, FALSE), VLOOKUP('Staging Table'!$A78, LS_previous!$B$4:$AY$138,LS_previous!AE$149, FALSE))/2)</f>
        <v>1469.252881467366</v>
      </c>
      <c r="P78" s="180">
        <f t="array" ref="P78">IF($G78=0, INDEX(LS_previous!$D$4:$AY$138, MATCH('Staging Table'!$A78, LS_previous!$B$4:$B$138, 0), MATCH(P$4&amp;P$5, LS_previous!$D$2:$AY$2&amp;LS_previous!$D$3:$AY$3, 0)),SUM(VLOOKUP($A78, LS_previous!$B$4:$AY$138, LS_previous!H$149, FALSE), VLOOKUP('Staging Table'!$A78, LS_previous!$B$4:$AY$138,LS_previous!AF$149, FALSE))/2)</f>
        <v>11379.008264750573</v>
      </c>
      <c r="Q78" s="180">
        <f t="array" ref="Q78">IF($G78=0, INDEX(LS_previous!$D$4:$AY$138, MATCH('Staging Table'!$A78, LS_previous!$B$4:$B$138, 0), MATCH(Q$4&amp;Q$5, LS_previous!$D$2:$AY$2&amp;LS_previous!$D$3:$AY$3, 0)),SUM(VLOOKUP($A78, LS_previous!$B$4:$AY$138, LS_previous!I$149, FALSE), VLOOKUP('Staging Table'!$A78, LS_previous!$B$4:$AY$138,LS_previous!AG$149, FALSE))/2)</f>
        <v>6023.9200656810135</v>
      </c>
      <c r="R78" s="180">
        <f t="array" ref="R78">IF($G78=0, INDEX(LS_previous!$D$4:$AY$138, MATCH('Staging Table'!$A78, LS_previous!$B$4:$B$138, 0), MATCH(R$4&amp;R$5, LS_previous!$D$2:$AY$2&amp;LS_previous!$D$3:$AY$3, 0)),SUM(VLOOKUP($A78, LS_previous!$B$4:$AY$138, LS_previous!J$149, FALSE), VLOOKUP('Staging Table'!$A78, LS_previous!$B$4:$AY$138,LS_previous!AH$149, FALSE))/2)</f>
        <v>14488.519698505112</v>
      </c>
      <c r="S78" s="180">
        <f t="array" ref="S78">IF($G78=0, INDEX(LS_previous!$D$4:$AY$138, MATCH('Staging Table'!$A78, LS_previous!$B$4:$B$138, 0), MATCH(S$4&amp;S$5, LS_previous!$D$2:$AY$2&amp;LS_previous!$D$3:$AY$3, 0)),SUM(VLOOKUP($A78, LS_previous!$B$4:$AY$138, LS_previous!K$149, FALSE), VLOOKUP('Staging Table'!$A78, LS_previous!$B$4:$AY$138,LS_previous!AI$149, FALSE))/2)</f>
        <v>10102.359834815492</v>
      </c>
      <c r="T78" s="180">
        <f t="array" ref="T78">IF($G78=0, INDEX(LS_previous!$D$4:$AY$138, MATCH('Staging Table'!$A78, LS_previous!$B$4:$B$138, 0), MATCH(T$4&amp;T$5, LS_previous!$D$2:$AY$2&amp;LS_previous!$D$3:$AY$3, 0)),SUM(VLOOKUP($A78, LS_previous!$B$4:$AY$138, LS_previous!L$149, FALSE), VLOOKUP('Staging Table'!$A78, LS_previous!$B$4:$AY$138,LS_previous!AJ$149, FALSE))/2)</f>
        <v>13349.626948386314</v>
      </c>
      <c r="U78" s="180">
        <f t="array" ref="U78">IF($G78=0, INDEX(LS_previous!$D$4:$AY$138, MATCH('Staging Table'!$A78, LS_previous!$B$4:$B$138, 0), MATCH(U$4&amp;U$5, LS_previous!$D$2:$AY$2&amp;LS_previous!$D$3:$AY$3, 0)),SUM(VLOOKUP($A78, LS_previous!$B$4:$AY$138, LS_previous!M$149, FALSE), VLOOKUP('Staging Table'!$A78, LS_previous!$B$4:$AY$138,LS_previous!AK$149, FALSE))/2)</f>
        <v>7150.178345878292</v>
      </c>
      <c r="V78" s="180">
        <f t="array" ref="V78">IF($G78=0, INDEX(LS_previous!$D$4:$AY$138, MATCH('Staging Table'!$A78, LS_previous!$B$4:$B$138, 0), MATCH(V$4&amp;V$5, LS_previous!$D$2:$AY$2&amp;LS_previous!$D$3:$AY$3, 0)),SUM(VLOOKUP($A78, LS_previous!$B$4:$AY$138, LS_previous!N$149, FALSE), VLOOKUP('Staging Table'!$A78, LS_previous!$B$4:$AY$138,LS_previous!AL$149, FALSE))/2)</f>
        <v>8295.0254788037419</v>
      </c>
      <c r="W78" s="180">
        <f t="array" ref="W78">IF($G78=0, INDEX(LS_previous!$D$4:$AY$138, MATCH('Staging Table'!$A78, LS_previous!$B$4:$B$138, 0), MATCH(W$4&amp;W$5, LS_previous!$D$2:$AY$2&amp;LS_previous!$D$3:$AY$3, 0)),SUM(VLOOKUP($A78, LS_previous!$B$4:$AY$138, LS_previous!O$149, FALSE), VLOOKUP('Staging Table'!$A78, LS_previous!$B$4:$AY$138,LS_previous!AM$149, FALSE))/2)</f>
        <v>4391.5395505862125</v>
      </c>
      <c r="X78" s="180">
        <f t="array" ref="X78">IF($G78=0, INDEX(LS_previous!$D$4:$AY$138, MATCH('Staging Table'!$A78, LS_previous!$B$4:$B$138, 0), MATCH(X$4&amp;X$5, LS_previous!$D$2:$AY$2&amp;LS_previous!$D$3:$AY$3, 0)),SUM(VLOOKUP($A78, LS_previous!$B$4:$AY$138, LS_previous!P$149, FALSE), VLOOKUP('Staging Table'!$A78, LS_previous!$B$4:$AY$138,LS_previous!AN$149, FALSE))/2)</f>
        <v>8082.992140091701</v>
      </c>
      <c r="Y78" s="180">
        <f t="array" ref="Y78">IF($G78=0, INDEX(LS_previous!$D$4:$AY$138, MATCH('Staging Table'!$A78, LS_previous!$B$4:$B$138, 0), MATCH(Y$4&amp;Y$5, LS_previous!$D$2:$AY$2&amp;LS_previous!$D$3:$AY$3, 0)),SUM(VLOOKUP($A78, LS_previous!$B$4:$AY$138, LS_previous!Q$149, FALSE), VLOOKUP('Staging Table'!$A78, LS_previous!$B$4:$AY$138,LS_previous!AO$149, FALSE))/2)</f>
        <v>4827.94709284698</v>
      </c>
      <c r="Z78" s="180">
        <f t="array" ref="Z78">IF($G78=0, INDEX(LS_previous!$D$4:$AY$138, MATCH('Staging Table'!$A78, LS_previous!$B$4:$B$138, 0), MATCH(Z$4&amp;Z$5, LS_previous!$D$2:$AY$2&amp;LS_previous!$D$3:$AY$3, 0)),SUM(VLOOKUP($A78, LS_previous!$B$4:$AY$138, LS_previous!R$149, FALSE), VLOOKUP('Staging Table'!$A78, LS_previous!$B$4:$AY$138,LS_previous!AP$149, FALSE))/2)</f>
        <v>-3865.3145536610136</v>
      </c>
      <c r="AA78" s="180">
        <f t="array" ref="AA78">IF($G78=0, INDEX(LS_previous!$D$4:$AY$138, MATCH('Staging Table'!$A78, LS_previous!$B$4:$B$138, 0), MATCH(AA$4&amp;AA$5, LS_previous!$D$2:$AY$2&amp;LS_previous!$D$3:$AY$3, 0)),SUM(VLOOKUP($A78, LS_previous!$B$4:$AY$138, LS_previous!S$149, FALSE), VLOOKUP('Staging Table'!$A78, LS_previous!$B$4:$AY$138,LS_previous!AQ$149, FALSE))/2)</f>
        <v>2081.5929851619294</v>
      </c>
      <c r="AB78" s="180">
        <f t="array" ref="AB78">IF($G78=0, INDEX(LS_previous!$D$4:$AY$138, MATCH('Staging Table'!$A78, LS_previous!$B$4:$B$138, 0), MATCH(AB$4&amp;AB$5, LS_previous!$D$2:$AY$2&amp;LS_previous!$D$3:$AY$3, 0)),SUM(VLOOKUP($A78, LS_previous!$B$4:$AY$138, LS_previous!T$149, FALSE), VLOOKUP('Staging Table'!$A78, LS_previous!$B$4:$AY$138,LS_previous!AR$149, FALSE))/2)</f>
        <v>-4243.2936172415903</v>
      </c>
      <c r="AC78" s="180">
        <f t="array" ref="AC78">IF($G78=0, INDEX(LS_previous!$D$4:$AY$138, MATCH('Staging Table'!$A78, LS_previous!$B$4:$B$138, 0), MATCH(AC$4&amp;AC$5, LS_previous!$D$2:$AY$2&amp;LS_previous!$D$3:$AY$3, 0)),SUM(VLOOKUP($A78, LS_previous!$B$4:$AY$138, LS_previous!U$149, FALSE), VLOOKUP('Staging Table'!$A78, LS_previous!$B$4:$AY$138,LS_previous!AS$149, FALSE))/2)</f>
        <v>1882.1602000701932</v>
      </c>
      <c r="AD78" s="180">
        <f t="array" ref="AD78">IF($G78=0, INDEX(LS_previous!$D$4:$AY$138, MATCH('Staging Table'!$A78, LS_previous!$B$4:$B$138, 0), MATCH(AD$4&amp;AD$5, LS_previous!$D$2:$AY$2&amp;LS_previous!$D$3:$AY$3, 0)),SUM(VLOOKUP($A78, LS_previous!$B$4:$AY$138, LS_previous!V$149, FALSE), VLOOKUP('Staging Table'!$A78, LS_previous!$B$4:$AY$138,LS_previous!AT$149, FALSE))/2)</f>
        <v>2120.166104377211</v>
      </c>
      <c r="AE78" s="180">
        <f t="array" ref="AE78">IF($G78=0, INDEX(LS_previous!$D$4:$AY$138, MATCH('Staging Table'!$A78, LS_previous!$B$4:$B$138, 0), MATCH(AE$4&amp;AE$5, LS_previous!$D$2:$AY$2&amp;LS_previous!$D$3:$AY$3, 0)),SUM(VLOOKUP($A78, LS_previous!$B$4:$AY$138, LS_previous!W$149, FALSE), VLOOKUP('Staging Table'!$A78, LS_previous!$B$4:$AY$138,LS_previous!AU$149, FALSE))/2)</f>
        <v>4052.3301280035248</v>
      </c>
      <c r="AF78" s="180">
        <f t="array" ref="AF78">IF($G78=0, INDEX(LS_previous!$D$4:$AY$138, MATCH('Staging Table'!$A78, LS_previous!$B$4:$B$138, 0), MATCH(AF$4&amp;AF$5, LS_previous!$D$2:$AY$2&amp;LS_previous!$D$3:$AY$3, 0)),SUM(VLOOKUP($A78, LS_previous!$B$4:$AY$138, LS_previous!X$149, FALSE), VLOOKUP('Staging Table'!$A78, LS_previous!$B$4:$AY$138,LS_previous!AV$149, FALSE))/2)</f>
        <v>3545.8579697644345</v>
      </c>
      <c r="AG78" s="180">
        <f t="array" ref="AG78">IF($G78=0, INDEX(LS_previous!$D$4:$AY$138, MATCH('Staging Table'!$A78, LS_previous!$B$4:$B$138, 0), MATCH(AG$4&amp;AG$5, LS_previous!$D$2:$AY$2&amp;LS_previous!$D$3:$AY$3, 0)),SUM(VLOOKUP($A78, LS_previous!$B$4:$AY$138, LS_previous!Y$149, FALSE), VLOOKUP('Staging Table'!$A78, LS_previous!$B$4:$AY$138,LS_previous!AW$149, FALSE))/2)</f>
        <v>3342.5346804111559</v>
      </c>
      <c r="AH78" s="180">
        <f t="array" ref="AH78">IF($G78=0, INDEX(LS_previous!$D$4:$AY$138, MATCH('Staging Table'!$A78, LS_previous!$B$4:$B$138, 0), MATCH(AH$4&amp;AH$5, LS_previous!$D$2:$AY$2&amp;LS_previous!$D$3:$AY$3, 0)),SUM(VLOOKUP($A78, LS_previous!$B$4:$AY$138, LS_previous!Z$149, FALSE), VLOOKUP('Staging Table'!$A78, LS_previous!$B$4:$AY$138,LS_previous!AX$149, FALSE))/2)</f>
        <v>456.41588041535942</v>
      </c>
      <c r="AI78" s="180">
        <f t="array" ref="AI78">IF($G78=0, INDEX(LS_previous!$D$4:$AY$138, MATCH('Staging Table'!$A78, LS_previous!$B$4:$B$138, 0), MATCH(AI$4&amp;AI$5, LS_previous!$D$2:$AY$2&amp;LS_previous!$D$3:$AY$3, 0)),SUM(VLOOKUP($A78, LS_previous!$B$4:$AY$138, LS_previous!AA$149, FALSE), VLOOKUP('Staging Table'!$A78, LS_previous!$B$4:$AY$138,LS_previous!AY$149, FALSE))/2)</f>
        <v>1662.3125452133572</v>
      </c>
      <c r="AJ78" s="298">
        <f t="array" ref="AJ78">INDEX(Demand_previous!$D$4:$AY$138, MATCH('Staging Table'!$A78, Demand_previous!$B$4:$B$138, 0), MATCH(AJ$4&amp;AJ$5,Demand_previous!$D$2:$AY$2&amp;Demand_previous!$D$3:$AY$3, 0))/1000</f>
        <v>10.690307692307687</v>
      </c>
      <c r="AK78" s="298">
        <f t="array" ref="AK78">INDEX(Demand_previous!$D$4:$AY$138, MATCH('Staging Table'!$A78, Demand_previous!$B$4:$B$138, 0), MATCH(AK$4&amp;AK$5,Demand_previous!$D$2:$AY$2&amp;Demand_previous!$D$3:$AY$3, 0))/1000</f>
        <v>7.6369424999999964</v>
      </c>
      <c r="AL78" s="298">
        <f t="array" ref="AL78">INDEX(Demand_previous!$D$4:$AY$138, MATCH('Staging Table'!$A78, Demand_previous!$B$4:$B$138, 0), MATCH(AL$4&amp;AL$5,Demand_previous!$D$2:$AY$2&amp;Demand_previous!$D$3:$AY$3, 0))/1000</f>
        <v>17.013649038461537</v>
      </c>
      <c r="AM78" s="298">
        <f t="array" ref="AM78">INDEX(Demand_previous!$D$4:$AY$138, MATCH('Staging Table'!$A78, Demand_previous!$B$4:$B$138, 0), MATCH(AM$4&amp;AM$5,Demand_previous!$D$2:$AY$2&amp;Demand_previous!$D$3:$AY$3, 0))/1000</f>
        <v>16.862417499999985</v>
      </c>
      <c r="AN78" s="298">
        <f t="array" ref="AN78">INDEX(Demand_previous!$D$4:$AY$138, MATCH('Staging Table'!$A78, Demand_previous!$B$4:$B$138, 0), MATCH(AN$4&amp;AN$5,Demand_previous!$D$2:$AY$2&amp;Demand_previous!$D$3:$AY$3, 0))/1000</f>
        <v>11.611294270833344</v>
      </c>
      <c r="AO78" s="298">
        <f t="array" ref="AO78">INDEX(Demand_previous!$D$4:$AY$138, MATCH('Staging Table'!$A78, Demand_previous!$B$4:$B$138, 0), MATCH(AO$4&amp;AO$5,Demand_previous!$D$2:$AY$2&amp;Demand_previous!$D$3:$AY$3, 0))/1000</f>
        <v>17.495787037037029</v>
      </c>
      <c r="AP78" s="298">
        <f t="array" ref="AP78">INDEX(Demand_previous!$D$4:$AY$138, MATCH('Staging Table'!$A78, Demand_previous!$B$4:$B$138, 0), MATCH(AP$4&amp;AP$5,Demand_previous!$D$2:$AY$2&amp;Demand_previous!$D$3:$AY$3, 0))/1000</f>
        <v>15.53809855769231</v>
      </c>
      <c r="AQ78" s="298">
        <f t="array" ref="AQ78">INDEX(Demand_previous!$D$4:$AY$138, MATCH('Staging Table'!$A78, Demand_previous!$B$4:$B$138, 0), MATCH(AQ$4&amp;AQ$5,Demand_previous!$D$2:$AY$2&amp;Demand_previous!$D$3:$AY$3, 0))/1000</f>
        <v>10.644869999999997</v>
      </c>
      <c r="AR78" s="298">
        <f t="array" ref="AR78">INDEX(Demand_previous!$D$4:$AY$138, MATCH('Staging Table'!$A78, Demand_previous!$B$4:$B$138, 0), MATCH(AR$4&amp;AR$5,Demand_previous!$D$2:$AY$2&amp;Demand_previous!$D$3:$AY$3, 0))/1000</f>
        <v>16.714879807692313</v>
      </c>
      <c r="AS78" s="298">
        <f t="array" ref="AS78">INDEX(Demand_previous!$D$4:$AY$138, MATCH('Staging Table'!$A78, Demand_previous!$B$4:$B$138, 0), MATCH(AS$4&amp;AS$5,Demand_previous!$D$2:$AY$2&amp;Demand_previous!$D$3:$AY$3, 0))/1000</f>
        <v>21.435312500000002</v>
      </c>
      <c r="AT78" s="298">
        <f t="array" ref="AT78">INDEX(Demand_previous!$D$4:$AY$138, MATCH('Staging Table'!$A78, Demand_previous!$B$4:$B$138, 0), MATCH(AT$4&amp;AT$5,Demand_previous!$D$2:$AY$2&amp;Demand_previous!$D$3:$AY$3, 0))/1000</f>
        <v>23.988287037037029</v>
      </c>
      <c r="AU78" s="298">
        <f t="array" ref="AU78">INDEX(Demand_previous!$D$4:$AY$138, MATCH('Staging Table'!$A78, Demand_previous!$B$4:$B$138, 0), MATCH(AU$4&amp;AU$5,Demand_previous!$D$2:$AY$2&amp;Demand_previous!$D$3:$AY$3, 0))/1000</f>
        <v>14.6278975</v>
      </c>
      <c r="AV78" s="180">
        <f>$F78*(VLOOKUP(AV$4, Rates_previous!$G$6:$Q$29, 10, FALSE)+VLOOKUP(AV$4, Rates_previous!$G$6:$Q$29, 11, FALSE))</f>
        <v>32887.075989424156</v>
      </c>
      <c r="AW78" s="180">
        <f>$F78*(VLOOKUP(AW$4, Rates_previous!$G$6:$Q$29, 10, FALSE)+VLOOKUP(AW$4, Rates_previous!$G$6:$Q$29, 11, FALSE))</f>
        <v>41636.231756733294</v>
      </c>
      <c r="AX78" s="180">
        <f>$F78*(VLOOKUP(AX$4, Rates_previous!$G$6:$Q$29, 10, FALSE)+VLOOKUP(AX$4, Rates_previous!$G$6:$Q$29, 11, FALSE))</f>
        <v>40753.552669568417</v>
      </c>
      <c r="AY78" s="180">
        <f>$F78*(VLOOKUP(AY$4, Rates_previous!$G$6:$Q$29, 10, FALSE)+VLOOKUP(AY$4, Rates_previous!$G$6:$Q$29, 11, FALSE))</f>
        <v>33660.701466679406</v>
      </c>
      <c r="AZ78" s="180">
        <f>$F78*(VLOOKUP(AZ$4, Rates_previous!$G$6:$Q$29, 10, FALSE)+VLOOKUP(AZ$4, Rates_previous!$G$6:$Q$29, 11, FALSE))</f>
        <v>29174.467705735395</v>
      </c>
      <c r="BA78" s="180">
        <f>$F78*(VLOOKUP(BA$4, Rates_previous!$G$6:$Q$29, 10, FALSE)+VLOOKUP(BA$4, Rates_previous!$G$6:$Q$29, 11, FALSE))</f>
        <v>34828.422970610045</v>
      </c>
      <c r="BB78" s="180">
        <f>$F78*(VLOOKUP(BB$4, Rates_previous!$G$6:$Q$29, 10, FALSE)+VLOOKUP(BB$4, Rates_previous!$G$6:$Q$29, 11, FALSE))</f>
        <v>27039.633767061317</v>
      </c>
      <c r="BC78" s="180">
        <f>$F78*(VLOOKUP(BC$4, Rates_previous!$G$6:$Q$29, 10, FALSE)+VLOOKUP(BC$4, Rates_previous!$G$6:$Q$29, 11, FALSE))</f>
        <v>37463.61156849908</v>
      </c>
      <c r="BD78" s="180">
        <f>$F78*(VLOOKUP(BD$4, Rates_previous!$G$6:$Q$29, 10, FALSE)+VLOOKUP(BD$4, Rates_previous!$G$6:$Q$29, 11, FALSE))</f>
        <v>40030.653417171394</v>
      </c>
      <c r="BE78" s="180">
        <f>$F78*(VLOOKUP(BE$4, Rates_previous!$G$6:$Q$29, 10, FALSE)+VLOOKUP(BE$4, Rates_previous!$G$6:$Q$29, 11, FALSE))</f>
        <v>38007.29276761927</v>
      </c>
      <c r="BF78" s="180">
        <f>$F78*(VLOOKUP(BF$4, Rates_previous!$G$6:$Q$29, 10, FALSE)+VLOOKUP(BF$4, Rates_previous!$G$6:$Q$29, 11, FALSE))</f>
        <v>36731.116349824413</v>
      </c>
      <c r="BG78" s="180">
        <f>$F78*(VLOOKUP(BG$4, Rates_previous!$G$6:$Q$29, 10, FALSE)+VLOOKUP(BG$4, Rates_previous!$G$6:$Q$29, 11, FALSE))</f>
        <v>33943.380574371287</v>
      </c>
      <c r="BH78" s="298">
        <f>IF($D78=0,IF(C78=0, MAX(BJ78 - (VLOOKUP($A78,TOCA_previous!$A$2:$AI$137,MATCH("RHWM 2022",TOCA_previous!$A$2:$AI$2,0),FALSE)*$F$2*TOCA_previous!C75),0),0), 0)</f>
        <v>107902.95379973046</v>
      </c>
      <c r="BI78" s="192">
        <f>MIN(VLOOKUP($A78,TOCA_previous!$A$2:$AI$137,MATCH("TRL - NLSL - Existing Resource "&amp;$F$1,TOCA_previous!$A$2:$AI$2,0),FALSE)*$F$2,(VLOOKUP($A78,TOCA_previous!$A$2:$AI$137,MATCH("RHWM 2022",TOCA_previous!$A$2:$AI$2,0),FALSE)*$F$2))</f>
        <v>426156.48000000004</v>
      </c>
      <c r="BJ78" s="402">
        <f>SUM(L78:AI78)+(F78*RT1SC!$C$3*$F$2)</f>
        <v>534059.4337997305</v>
      </c>
      <c r="BK78" s="401">
        <f>VLOOKUP($A78,TOCA_previous!$A$2:$AI$137,MATCH("Above RHWM Not Served with LS "&amp;$F$1,TOCA_previous!$A$2:$AI$2,0),FALSE)*$F$2</f>
        <v>88721.279999999999</v>
      </c>
      <c r="BL78" s="402">
        <f t="shared" si="27"/>
        <v>107902.95379973046</v>
      </c>
      <c r="BM78" s="401">
        <f>(VLOOKUP($A78,TOCA_previous!$A$2:$AI$137,MATCH("RHWM 2022",TOCA_previous!$A$2:$AI$2,0),FALSE)*$F$2) - $BI78</f>
        <v>0</v>
      </c>
      <c r="BN78" s="402">
        <f t="shared" si="28"/>
        <v>0</v>
      </c>
      <c r="BO78" s="401">
        <f t="shared" si="29"/>
        <v>0</v>
      </c>
      <c r="BP78" s="402">
        <f t="shared" si="30"/>
        <v>0</v>
      </c>
      <c r="BQ78" s="401">
        <f t="shared" si="21"/>
        <v>0</v>
      </c>
      <c r="BR78" s="108">
        <f>VLOOKUP($A78,TOCA_current!$A$2:$AI$137,MATCH(BR$4,TOCA_current!$A$2:$AI$2,0),FALSE)</f>
        <v>7.2202000000000004E-3</v>
      </c>
      <c r="BS78" s="108">
        <f>VLOOKUP($A78,TOCA_current!$A$2:$AI$137,MATCH(BS$4,TOCA_current!$A$2:$AI$2,0),FALSE)</f>
        <v>7.2202000000000004E-3</v>
      </c>
      <c r="BT78" s="189">
        <f t="shared" si="31"/>
        <v>0</v>
      </c>
      <c r="BU78" s="108">
        <f>VLOOKUP($A78,TOCA_current!A74:BG209,MATCH(BU$4,TOCA_current!$A$2:$BG$2,0),FALSE)</f>
        <v>0</v>
      </c>
      <c r="BV78" s="108">
        <f t="shared" si="22"/>
        <v>0</v>
      </c>
      <c r="BW78" s="108">
        <f t="shared" si="23"/>
        <v>0</v>
      </c>
      <c r="BX78" s="179">
        <f>VLOOKUP($A78,IRD!$A$4:$G$139, 7, FALSE)</f>
        <v>0</v>
      </c>
      <c r="BY78" s="180">
        <f t="array" ref="BY78">IF($BT78=0, INDEX(LS_current!$D$4:$AY$138, MATCH('Staging Table'!$A78, LS_current!$B$4:$B$138, 0), MATCH(BY$4&amp;BY$5, LS_current!$D$2:$AY$2&amp;LS_current!$D$3:$AY$3, 0)),SUM(VLOOKUP($A78, LS_current!$B$4:$AY$138, LS_current!D$148, FALSE), VLOOKUP($A78, LS_current!$B$4:$AY$138,LS_current!AB$148, FALSE))/2)</f>
        <v>2290.4275712727976</v>
      </c>
      <c r="BZ78" s="180">
        <f t="array" ref="BZ78">IF($BT78=0, INDEX(LS_current!$D$4:$AY$138, MATCH('Staging Table'!$A78, LS_current!$B$4:$B$138, 0), MATCH(BZ$4&amp;BZ$5, LS_current!$D$2:$AY$2&amp;LS_current!$D$3:$AY$3, 0)),SUM(VLOOKUP($A78, LS_current!$B$4:$AY$138, LS_current!E$148, FALSE), VLOOKUP($A78, LS_current!$B$4:$AY$138,LS_current!AC$148, FALSE))/2)</f>
        <v>-670.63249005510079</v>
      </c>
      <c r="CA78" s="180">
        <f t="array" ref="CA78">IF($BT78=0, INDEX(LS_current!$D$4:$AY$138, MATCH('Staging Table'!$A78, LS_current!$B$4:$B$138, 0), MATCH(CA$4&amp;CA$5, LS_current!$D$2:$AY$2&amp;LS_current!$D$3:$AY$3, 0)),SUM(VLOOKUP($A78, LS_current!$B$4:$AY$138, LS_current!F$148, FALSE), VLOOKUP($A78, LS_current!$B$4:$AY$138,LS_current!AD$148, FALSE))/2)</f>
        <v>-1084.6284056256045</v>
      </c>
      <c r="CB78" s="180">
        <f t="array" ref="CB78">IF($BT78=0, INDEX(LS_current!$D$4:$AY$138, MATCH('Staging Table'!$A78, LS_current!$B$4:$B$138, 0), MATCH(CB$4&amp;CB$5, LS_current!$D$2:$AY$2&amp;LS_current!$D$3:$AY$3, 0)),SUM(VLOOKUP($A78, LS_current!$B$4:$AY$138, LS_current!G$148, FALSE), VLOOKUP($A78, LS_current!$B$4:$AY$138,LS_current!AE$148, FALSE))/2)</f>
        <v>-858.37289154619975</v>
      </c>
      <c r="CC78" s="180">
        <f t="array" ref="CC78">IF($BT78=0, INDEX(LS_current!$D$4:$AY$138, MATCH('Staging Table'!$A78, LS_current!$B$4:$B$138, 0), MATCH(CC$4&amp;CC$5, LS_current!$D$2:$AY$2&amp;LS_current!$D$3:$AY$3, 0)),SUM(VLOOKUP($A78, LS_current!$B$4:$AY$138, LS_current!H$148, FALSE), VLOOKUP($A78, LS_current!$B$4:$AY$138,LS_current!AF$148, FALSE))/2)</f>
        <v>5495.4868672721968</v>
      </c>
      <c r="CD78" s="180">
        <f t="array" ref="CD78">IF($BT78=0, INDEX(LS_current!$D$4:$AY$138, MATCH('Staging Table'!$A78, LS_current!$B$4:$B$138, 0), MATCH(CD$4&amp;CD$5, LS_current!$D$2:$AY$2&amp;LS_current!$D$3:$AY$3, 0)),SUM(VLOOKUP($A78, LS_current!$B$4:$AY$138, LS_current!I$148, FALSE), VLOOKUP($A78, LS_current!$B$4:$AY$138,LS_current!AG$148, FALSE))/2)</f>
        <v>3466.6833161408031</v>
      </c>
      <c r="CE78" s="180">
        <f t="array" ref="CE78">IF($BT78=0, INDEX(LS_current!$D$4:$AY$138, MATCH('Staging Table'!$A78, LS_current!$B$4:$B$138, 0), MATCH(CE$4&amp;CE$5, LS_current!$D$2:$AY$2&amp;LS_current!$D$3:$AY$3, 0)),SUM(VLOOKUP($A78, LS_current!$B$4:$AY$138, LS_current!J$148, FALSE), VLOOKUP($A78, LS_current!$B$4:$AY$138,LS_current!AH$148, FALSE))/2)</f>
        <v>2437.7916793570002</v>
      </c>
      <c r="CF78" s="180">
        <f t="array" ref="CF78">IF($BT78=0, INDEX(LS_current!$D$4:$AY$138, MATCH('Staging Table'!$A78, LS_current!$B$4:$B$138, 0), MATCH(CF$4&amp;CF$5, LS_current!$D$2:$AY$2&amp;LS_current!$D$3:$AY$3, 0)),SUM(VLOOKUP($A78, LS_current!$B$4:$AY$138, LS_current!K$148, FALSE), VLOOKUP($A78, LS_current!$B$4:$AY$138,LS_current!AI$148, FALSE))/2)</f>
        <v>4977.9638030141978</v>
      </c>
      <c r="CG78" s="180">
        <f t="array" ref="CG78">IF($BT78=0, INDEX(LS_current!$D$4:$AY$138, MATCH('Staging Table'!$A78, LS_current!$B$4:$B$138, 0), MATCH(CG$4&amp;CG$5, LS_current!$D$2:$AY$2&amp;LS_current!$D$3:$AY$3, 0)),SUM(VLOOKUP($A78, LS_current!$B$4:$AY$138, LS_current!L$148, FALSE), VLOOKUP($A78, LS_current!$B$4:$AY$138,LS_current!AJ$148, FALSE))/2)</f>
        <v>2399.2407544441994</v>
      </c>
      <c r="CH78" s="180">
        <f t="array" ref="CH78">IF($BT78=0, INDEX(LS_current!$D$4:$AY$138, MATCH('Staging Table'!$A78, LS_current!$B$4:$B$138, 0), MATCH(CH$4&amp;CH$5, LS_current!$D$2:$AY$2&amp;LS_current!$D$3:$AY$3, 0)),SUM(VLOOKUP($A78, LS_current!$B$4:$AY$138, LS_current!M$148, FALSE), VLOOKUP($A78, LS_current!$B$4:$AY$138,LS_current!AK$148, FALSE))/2)</f>
        <v>2758.5478756282027</v>
      </c>
      <c r="CI78" s="180">
        <f t="array" ref="CI78">IF($BT78=0, INDEX(LS_current!$D$4:$AY$138, MATCH('Staging Table'!$A78, LS_current!$B$4:$B$138, 0), MATCH(CI$4&amp;CI$5, LS_current!$D$2:$AY$2&amp;LS_current!$D$3:$AY$3, 0)),SUM(VLOOKUP($A78, LS_current!$B$4:$AY$138, LS_current!N$148, FALSE), VLOOKUP($A78, LS_current!$B$4:$AY$138,LS_current!AL$148, FALSE))/2)</f>
        <v>872.33002031740034</v>
      </c>
      <c r="CJ78" s="180">
        <f t="array" ref="CJ78">IF($BT78=0, INDEX(LS_current!$D$4:$AY$138, MATCH('Staging Table'!$A78, LS_current!$B$4:$B$138, 0), MATCH(CJ$4&amp;CJ$5, LS_current!$D$2:$AY$2&amp;LS_current!$D$3:$AY$3, 0)),SUM(VLOOKUP($A78, LS_current!$B$4:$AY$138, LS_current!O$148, FALSE), VLOOKUP($A78, LS_current!$B$4:$AY$138,LS_current!AM$148, FALSE))/2)</f>
        <v>-1530.0525215155976</v>
      </c>
      <c r="CK78" s="180">
        <f t="array" ref="CK78">IF($BT78=0, INDEX(LS_current!$D$4:$AY$138, MATCH('Staging Table'!$A78, LS_current!$B$4:$B$138, 0), MATCH(CK$4&amp;CK$5, LS_current!$D$2:$AY$2&amp;LS_current!$D$3:$AY$3, 0)),SUM(VLOOKUP($A78, LS_current!$B$4:$AY$138, LS_current!P$148, FALSE), VLOOKUP($A78, LS_current!$B$4:$AY$138,LS_current!AN$148, FALSE))/2)</f>
        <v>1024.2383648945033</v>
      </c>
      <c r="CL78" s="180">
        <f t="array" ref="CL78">IF($BT78=0, INDEX(LS_current!$D$4:$AY$138, MATCH('Staging Table'!$A78, LS_current!$B$4:$B$138, 0), MATCH(CL$4&amp;CL$5, LS_current!$D$2:$AY$2&amp;LS_current!$D$3:$AY$3, 0)),SUM(VLOOKUP($A78, LS_current!$B$4:$AY$138, LS_current!Q$148, FALSE), VLOOKUP($A78, LS_current!$B$4:$AY$138,LS_current!AO$148, FALSE))/2)</f>
        <v>-402.7252365273489</v>
      </c>
      <c r="CM78" s="180">
        <f t="array" ref="CM78">IF($BT78=0, INDEX(LS_current!$D$4:$AY$138, MATCH('Staging Table'!$A78, LS_current!$B$4:$B$138, 0), MATCH(CM$4&amp;CM$5, LS_current!$D$2:$AY$2&amp;LS_current!$D$3:$AY$3, 0)),SUM(VLOOKUP($A78, LS_current!$B$4:$AY$138, LS_current!R$148, FALSE), VLOOKUP($A78, LS_current!$B$4:$AY$138,LS_current!AP$148, FALSE))/2)</f>
        <v>-7192.7400059296051</v>
      </c>
      <c r="CN78" s="180">
        <f t="array" ref="CN78">IF($BT78=0, INDEX(LS_current!$D$4:$AY$138, MATCH('Staging Table'!$A78, LS_current!$B$4:$B$138, 0), MATCH(CN$4&amp;CN$5, LS_current!$D$2:$AY$2&amp;LS_current!$D$3:$AY$3, 0)),SUM(VLOOKUP($A78, LS_current!$B$4:$AY$138, LS_current!S$148, FALSE), VLOOKUP($A78, LS_current!$B$4:$AY$138,LS_current!AQ$148, FALSE))/2)</f>
        <v>-4461.8047382017012</v>
      </c>
      <c r="CO78" s="180">
        <f t="array" ref="CO78">IF($BT78=0, INDEX(LS_current!$D$4:$AY$138, MATCH('Staging Table'!$A78, LS_current!$B$4:$B$138, 0), MATCH(CO$4&amp;CO$5, LS_current!$D$2:$AY$2&amp;LS_current!$D$3:$AY$3, 0)),SUM(VLOOKUP($A78, LS_current!$B$4:$AY$138, LS_current!T$148, FALSE), VLOOKUP($A78, LS_current!$B$4:$AY$138,LS_current!AR$148, FALSE))/2)</f>
        <v>-5147.1192273052038</v>
      </c>
      <c r="CP78" s="180">
        <f t="array" ref="CP78">IF($BT78=0, INDEX(LS_current!$D$4:$AY$138, MATCH('Staging Table'!$A78, LS_current!$B$4:$B$138, 0), MATCH(CP$4&amp;CP$5, LS_current!$D$2:$AY$2&amp;LS_current!$D$3:$AY$3, 0)),SUM(VLOOKUP($A78, LS_current!$B$4:$AY$138, LS_current!U$148, FALSE), VLOOKUP($A78, LS_current!$B$4:$AY$138,LS_current!AS$148, FALSE))/2)</f>
        <v>-5152.5577485008998</v>
      </c>
      <c r="CQ78" s="180">
        <f t="array" ref="CQ78">IF($BT78=0, INDEX(LS_current!$D$4:$AY$138, MATCH('Staging Table'!$A78, LS_current!$B$4:$B$138, 0), MATCH(CQ$4&amp;CQ$5, LS_current!$D$2:$AY$2&amp;LS_current!$D$3:$AY$3, 0)),SUM(VLOOKUP($A78, LS_current!$B$4:$AY$138, LS_current!V$148, FALSE), VLOOKUP($A78, LS_current!$B$4:$AY$138,LS_current!AT$148, FALSE))/2)</f>
        <v>1062.8922575671968</v>
      </c>
      <c r="CR78" s="180">
        <f t="array" ref="CR78">IF($BT78=0, INDEX(LS_current!$D$4:$AY$138, MATCH('Staging Table'!$A78, LS_current!$B$4:$B$138, 0), MATCH(CR$4&amp;CR$5, LS_current!$D$2:$AY$2&amp;LS_current!$D$3:$AY$3, 0)),SUM(VLOOKUP($A78, LS_current!$B$4:$AY$138, LS_current!W$148, FALSE), VLOOKUP($A78, LS_current!$B$4:$AY$138,LS_current!AU$148, FALSE))/2)</f>
        <v>310.47768492449904</v>
      </c>
      <c r="CS78" s="180">
        <f t="array" ref="CS78">IF($BT78=0, INDEX(LS_current!$D$4:$AY$138, MATCH('Staging Table'!$A78, LS_current!$B$4:$B$138, 0), MATCH(CS$4&amp;CS$5, LS_current!$D$2:$AY$2&amp;LS_current!$D$3:$AY$3, 0)),SUM(VLOOKUP($A78, LS_current!$B$4:$AY$138, LS_current!X$148, FALSE), VLOOKUP($A78, LS_current!$B$4:$AY$138,LS_current!AV$148, FALSE))/2)</f>
        <v>2267.8893037357011</v>
      </c>
      <c r="CT78" s="180">
        <f t="array" ref="CT78">IF($BT78=0, INDEX(LS_current!$D$4:$AY$138, MATCH('Staging Table'!$A78, LS_current!$B$4:$B$138, 0), MATCH(CT$4&amp;CT$5, LS_current!$D$2:$AY$2&amp;LS_current!$D$3:$AY$3, 0)),SUM(VLOOKUP($A78, LS_current!$B$4:$AY$138, LS_current!Y$148, FALSE), VLOOKUP($A78, LS_current!$B$4:$AY$138,LS_current!AW$148, FALSE))/2)</f>
        <v>-272.66388413296954</v>
      </c>
      <c r="CU78" s="180">
        <f t="array" ref="CU78">IF($BT78=0, INDEX(LS_current!$D$4:$AY$138, MATCH('Staging Table'!$A78, LS_current!$B$4:$B$138, 0), MATCH(CU$4&amp;CU$5, LS_current!$D$2:$AY$2&amp;LS_current!$D$3:$AY$3, 0)),SUM(VLOOKUP($A78, LS_current!$B$4:$AY$138, LS_current!Z$148, FALSE), VLOOKUP($A78, LS_current!$B$4:$AY$138,LS_current!AX$148, FALSE))/2)</f>
        <v>-351.53632593480143</v>
      </c>
      <c r="CV78" s="180">
        <f t="array" ref="CV78">IF($BT78=0, INDEX(LS_current!$D$4:$AY$138, MATCH('Staging Table'!$A78, LS_current!$B$4:$B$138, 0), MATCH(CV$4&amp;CV$5, LS_current!$D$2:$AY$2&amp;LS_current!$D$3:$AY$3, 0)),SUM(VLOOKUP($A78, LS_current!$B$4:$AY$138, LS_current!AA$148, FALSE), VLOOKUP($A78, LS_current!$B$4:$AY$138,LS_current!AY$148, FALSE))/2)</f>
        <v>-2234.4496047007997</v>
      </c>
      <c r="CW78" s="182">
        <f t="array" ref="CW78">INDEX(Demand_current!$D$4:$AY$138, MATCH($A78, Demand_current!$B$4:$B$138, 0), MATCH(CW$4&amp;CW$5,Demand_current!$D$2:$AY$2&amp;Demand_current!$D$3:$AY$3, 0))/1000</f>
        <v>10.690307692307673</v>
      </c>
      <c r="CX78" s="182">
        <f t="array" ref="CX78">INDEX(Demand_current!$D$4:$AY$138, MATCH($A78, Demand_current!$B$4:$B$138, 0), MATCH(CX$4&amp;CX$5,Demand_current!$D$2:$AY$2&amp;Demand_current!$D$3:$AY$3, 0))/1000</f>
        <v>7.6369424999999964</v>
      </c>
      <c r="CY78" s="182">
        <f t="array" ref="CY78">INDEX(Demand_current!$D$4:$AY$138, MATCH($A78, Demand_current!$B$4:$B$138, 0), MATCH(CY$4&amp;CY$5,Demand_current!$D$2:$AY$2&amp;Demand_current!$D$3:$AY$3, 0))/1000</f>
        <v>13.275755000000006</v>
      </c>
      <c r="CZ78" s="182">
        <f t="array" ref="CZ78">INDEX(Demand_current!$D$4:$AY$138, MATCH($A78, Demand_current!$B$4:$B$138, 0), MATCH(CZ$4&amp;CZ$5,Demand_current!$D$2:$AY$2&amp;Demand_current!$D$3:$AY$3, 0))/1000</f>
        <v>20.486324519230756</v>
      </c>
      <c r="DA78" s="182">
        <f t="array" ref="DA78">INDEX(Demand_current!$D$4:$AY$138, MATCH($A78, Demand_current!$B$4:$B$138, 0), MATCH(DA$4&amp;DA$5,Demand_current!$D$2:$AY$2&amp;Demand_current!$D$3:$AY$3, 0))/1000</f>
        <v>15.172322500000011</v>
      </c>
      <c r="DB78" s="182">
        <f t="array" ref="DB78">INDEX(Demand_current!$D$4:$AY$138, MATCH($A78, Demand_current!$B$4:$B$138, 0), MATCH(DB$4&amp;DB$5,Demand_current!$D$2:$AY$2&amp;Demand_current!$D$3:$AY$3, 0))/1000</f>
        <v>14.463394230769222</v>
      </c>
      <c r="DC78" s="182">
        <f t="array" ref="DC78">INDEX(Demand_current!$D$4:$AY$138, MATCH($A78, Demand_current!$B$4:$B$138, 0), MATCH(DC$4&amp;DC$5,Demand_current!$D$2:$AY$2&amp;Demand_current!$D$3:$AY$3, 0))/1000</f>
        <v>15.538098557692296</v>
      </c>
      <c r="DD78" s="182">
        <f t="array" ref="DD78">INDEX(Demand_current!$D$4:$AY$138, MATCH($A78, Demand_current!$B$4:$B$138, 0), MATCH(DD$4&amp;DD$5,Demand_current!$D$2:$AY$2&amp;Demand_current!$D$3:$AY$3, 0))/1000</f>
        <v>13.090144230769226</v>
      </c>
      <c r="DE78" s="182">
        <f t="array" ref="DE78">INDEX(Demand_current!$D$4:$AY$138, MATCH($A78, Demand_current!$B$4:$B$138, 0), MATCH(DE$4&amp;DE$5,Demand_current!$D$2:$AY$2&amp;Demand_current!$D$3:$AY$3, 0))/1000</f>
        <v>13.972875000000004</v>
      </c>
      <c r="DF78" s="182">
        <f t="array" ref="DF78">INDEX(Demand_current!$D$4:$AY$138, MATCH($A78, Demand_current!$B$4:$B$138, 0), MATCH(DF$4&amp;DF$5,Demand_current!$D$2:$AY$2&amp;Demand_current!$D$3:$AY$3, 0))/1000</f>
        <v>24.462800480769225</v>
      </c>
      <c r="DG78" s="182">
        <f t="array" ref="DG78">INDEX(Demand_current!$D$4:$AY$138, MATCH($A78, Demand_current!$B$4:$B$138, 0), MATCH(DG$4&amp;DG$5,Demand_current!$D$2:$AY$2&amp;Demand_current!$D$3:$AY$3, 0))/1000</f>
        <v>23.988287037037043</v>
      </c>
      <c r="DH78" s="182">
        <f t="array" ref="DH78">INDEX(Demand_current!$D$4:$AY$138, MATCH($A78, Demand_current!$B$4:$B$138, 0), MATCH(DH$4&amp;DH$5,Demand_current!$D$2:$AY$2&amp;Demand_current!$D$3:$AY$3, 0))/1000</f>
        <v>11.901809895833335</v>
      </c>
      <c r="DI78" s="180">
        <f>$BS78*(VLOOKUP(DI$4, Rates_current!$G$6:$Q$29, 10, FALSE)+VLOOKUP(DI$4, Rates_current!$G$6:$Q$29, 11, FALSE))</f>
        <v>30460.606918782301</v>
      </c>
      <c r="DJ78" s="180">
        <f>$BS78*(VLOOKUP(DJ$4, Rates_current!$G$6:$Q$29, 10, FALSE)+VLOOKUP(DJ$4, Rates_current!$G$6:$Q$29, 11, FALSE))</f>
        <v>38847.318297171805</v>
      </c>
      <c r="DK78" s="180">
        <f>$BS78*(VLOOKUP(DK$4, Rates_current!$G$6:$Q$29, 10, FALSE)+VLOOKUP(DK$4, Rates_current!$G$6:$Q$29, 11, FALSE))</f>
        <v>41923.942816587005</v>
      </c>
      <c r="DL78" s="180">
        <f>$BS78*(VLOOKUP(DL$4, Rates_current!$G$6:$Q$29, 10, FALSE)+VLOOKUP(DL$4, Rates_current!$G$6:$Q$29, 11, FALSE))</f>
        <v>43565.457517628805</v>
      </c>
      <c r="DM78" s="180">
        <f>$BS78*(VLOOKUP(DM$4, Rates_current!$G$6:$Q$29, 10, FALSE)+VLOOKUP(DM$4, Rates_current!$G$6:$Q$29, 11, FALSE))</f>
        <v>37472.100369927597</v>
      </c>
      <c r="DN78" s="180">
        <f>$BS78*(VLOOKUP(DN$4, Rates_current!$G$6:$Q$29, 10, FALSE)+VLOOKUP(DN$4, Rates_current!$G$6:$Q$29, 11, FALSE))</f>
        <v>40912.114501198201</v>
      </c>
      <c r="DO78" s="180">
        <f>$BS78*(VLOOKUP(DO$4, Rates_current!$G$6:$Q$29, 10, FALSE)+VLOOKUP(DO$4, Rates_current!$G$6:$Q$29, 11, FALSE))</f>
        <v>32293.219871632849</v>
      </c>
      <c r="DP78" s="180">
        <f>$BS78*(VLOOKUP(DP$4, Rates_current!$G$6:$Q$29, 10, FALSE)+VLOOKUP(DP$4, Rates_current!$G$6:$Q$29, 11, FALSE))</f>
        <v>40064.066744131305</v>
      </c>
      <c r="DQ78" s="180">
        <f>$BS78*(VLOOKUP(DQ$4, Rates_current!$G$6:$Q$29, 10, FALSE)+VLOOKUP(DQ$4, Rates_current!$G$6:$Q$29, 11, FALSE))</f>
        <v>40933.356975806098</v>
      </c>
      <c r="DR78" s="180">
        <f>$BS78*(VLOOKUP(DR$4, Rates_current!$G$6:$Q$29, 10, FALSE)+VLOOKUP(DR$4, Rates_current!$G$6:$Q$29, 11, FALSE))</f>
        <v>35536.051057508303</v>
      </c>
      <c r="DS78" s="180">
        <f>$BS78*(VLOOKUP(DS$4, Rates_current!$G$6:$Q$29, 10, FALSE)+VLOOKUP(DS$4, Rates_current!$G$6:$Q$29, 11, FALSE))</f>
        <v>34353.915580397275</v>
      </c>
      <c r="DT78" s="180">
        <f>$BS78*(VLOOKUP(DT$4, Rates_current!$G$6:$Q$29, 10, FALSE)+VLOOKUP(DT$4, Rates_current!$G$6:$Q$29, 11, FALSE))</f>
        <v>31612.254930635605</v>
      </c>
      <c r="DU78" s="402">
        <f>IF(D78=0,IF(C78=0,MAX(0,DW78 - (VLOOKUP($A78,TOCA_current!$A$2:$AI$137,MATCH("RHWM 2024",TOCA_current!$A$2:$AI$2,0),FALSE)*$BS$2)), 0),0)</f>
        <v>3.8780534248799086</v>
      </c>
      <c r="DV78" s="403">
        <f>MIN(VLOOKUP($A78,TOCA_current!$A$2:$AI$137,MATCH("TRL - NLSL - Existing Resource "&amp;$BS$1,TOCA_current!$A$2:$AI$2,0),FALSE)*$BS$2, VLOOKUP($A78,TOCA_current!$A$2:$AI$137,MATCH("RHWM 2024",TOCA_current!$A$2:$AI$2,0),FALSE)*$BS$2)</f>
        <v>447975.21600000001</v>
      </c>
      <c r="DW78" s="403">
        <f>SUM(BY78:CV78)+(BS78*RT1SC!$C$4*$BS$2)</f>
        <v>447979.09405342489</v>
      </c>
      <c r="DX78" s="403">
        <f>VLOOKUP($A78,TOCA_current!$A$2:$AI$137,MATCH("Above RHWM Not Served with LS "&amp;$BS$1,TOCA_current!$A$2:$AI$2,0),FALSE)*$BS$2</f>
        <v>174801.59999999998</v>
      </c>
      <c r="DY78" s="403">
        <f t="shared" si="32"/>
        <v>3.8780534248799086</v>
      </c>
      <c r="DZ78" s="403">
        <f>(VLOOKUP($A78,TOCA_current!$A$2:$AI$137,MATCH("RHWM 2024",TOCA_current!$A$2:$AI$2,0),FALSE)*$BS$2) - $DV78</f>
        <v>0</v>
      </c>
      <c r="EA78" s="403">
        <f t="shared" si="33"/>
        <v>0</v>
      </c>
      <c r="EB78" s="403">
        <f t="shared" si="34"/>
        <v>0</v>
      </c>
      <c r="EC78" s="403">
        <f t="shared" si="35"/>
        <v>0</v>
      </c>
      <c r="ED78" s="403">
        <f t="shared" si="36"/>
        <v>0</v>
      </c>
    </row>
    <row r="79" spans="1:134">
      <c r="A79" s="123">
        <v>10235</v>
      </c>
      <c r="B79" s="124" t="s">
        <v>80</v>
      </c>
      <c r="C79" s="232">
        <f>VLOOKUP(A79, TOCA_current!$A$3:$D$137, 4, FALSE)</f>
        <v>0</v>
      </c>
      <c r="D79" s="191">
        <v>0</v>
      </c>
      <c r="E79" s="107">
        <f>VLOOKUP($A79,TOCA_previous!$A$2:$AI$137,MATCH(E$4,TOCA_previous!$A$2:$AI$2,0),FALSE)</f>
        <v>4.5538000000000002E-3</v>
      </c>
      <c r="F79" s="108">
        <f>VLOOKUP($A79,TOCA_previous!$A$2:$AI$137,MATCH(F$4,TOCA_previous!$A$2:$AI$2,0),FALSE)</f>
        <v>4.5538000000000002E-3</v>
      </c>
      <c r="G79" s="108">
        <f t="shared" si="24"/>
        <v>0</v>
      </c>
      <c r="H79" s="108">
        <f>VLOOKUP($A79,TOCA_previous!$A$2:$AI$137,MATCH(H$4,TOCA_previous!$A$2:$AI$2,0),FALSE)</f>
        <v>0</v>
      </c>
      <c r="I79" s="108">
        <f t="shared" si="25"/>
        <v>0</v>
      </c>
      <c r="J79" s="108">
        <f t="shared" si="26"/>
        <v>0</v>
      </c>
      <c r="K79" s="179">
        <f>VLOOKUP(A79, IRD!$A$5:$C$139, 3, FALSE)</f>
        <v>0</v>
      </c>
      <c r="L79" s="180">
        <f t="array" ref="L79">IF($G79=0, INDEX(LS_previous!$D$4:$AY$138, MATCH('Staging Table'!$A79, LS_previous!$B$4:$B$138, 0), MATCH(L$4&amp;L$5, LS_previous!$D$2:$AY$2&amp;LS_previous!$D$3:$AY$3, 0)),SUM(VLOOKUP($A79, LS_previous!$B$4:$AY$138, LS_previous!D$149, FALSE), VLOOKUP('Staging Table'!$A79, LS_previous!$B$4:$AY$138,LS_previous!AB$149, FALSE))/2)</f>
        <v>-42.978706641759345</v>
      </c>
      <c r="M79" s="180">
        <f t="array" ref="M79">IF($G79=0, INDEX(LS_previous!$D$4:$AY$138, MATCH('Staging Table'!$A79, LS_previous!$B$4:$B$138, 0), MATCH(M$4&amp;M$5, LS_previous!$D$2:$AY$2&amp;LS_previous!$D$3:$AY$3, 0)),SUM(VLOOKUP($A79, LS_previous!$B$4:$AY$138, LS_previous!E$149, FALSE), VLOOKUP('Staging Table'!$A79, LS_previous!$B$4:$AY$138,LS_previous!AC$149, FALSE))/2)</f>
        <v>707.28867937120958</v>
      </c>
      <c r="N79" s="180">
        <f t="array" ref="N79">IF($G79=0, INDEX(LS_previous!$D$4:$AY$138, MATCH('Staging Table'!$A79, LS_previous!$B$4:$B$138, 0), MATCH(N$4&amp;N$5, LS_previous!$D$2:$AY$2&amp;LS_previous!$D$3:$AY$3, 0)),SUM(VLOOKUP($A79, LS_previous!$B$4:$AY$138, LS_previous!F$149, FALSE), VLOOKUP('Staging Table'!$A79, LS_previous!$B$4:$AY$138,LS_previous!AD$149, FALSE))/2)</f>
        <v>-1207.0697176756385</v>
      </c>
      <c r="O79" s="180">
        <f t="array" ref="O79">IF($G79=0, INDEX(LS_previous!$D$4:$AY$138, MATCH('Staging Table'!$A79, LS_previous!$B$4:$B$138, 0), MATCH(O$4&amp;O$5, LS_previous!$D$2:$AY$2&amp;LS_previous!$D$3:$AY$3, 0)),SUM(VLOOKUP($A79, LS_previous!$B$4:$AY$138, LS_previous!G$149, FALSE), VLOOKUP('Staging Table'!$A79, LS_previous!$B$4:$AY$138,LS_previous!AE$149, FALSE))/2)</f>
        <v>-638.1277643593512</v>
      </c>
      <c r="P79" s="180">
        <f t="array" ref="P79">IF($G79=0, INDEX(LS_previous!$D$4:$AY$138, MATCH('Staging Table'!$A79, LS_previous!$B$4:$B$138, 0), MATCH(P$4&amp;P$5, LS_previous!$D$2:$AY$2&amp;LS_previous!$D$3:$AY$3, 0)),SUM(VLOOKUP($A79, LS_previous!$B$4:$AY$138, LS_previous!H$149, FALSE), VLOOKUP('Staging Table'!$A79, LS_previous!$B$4:$AY$138,LS_previous!AF$149, FALSE))/2)</f>
        <v>1733.7533362672457</v>
      </c>
      <c r="Q79" s="180">
        <f t="array" ref="Q79">IF($G79=0, INDEX(LS_previous!$D$4:$AY$138, MATCH('Staging Table'!$A79, LS_previous!$B$4:$B$138, 0), MATCH(Q$4&amp;Q$5, LS_previous!$D$2:$AY$2&amp;LS_previous!$D$3:$AY$3, 0)),SUM(VLOOKUP($A79, LS_previous!$B$4:$AY$138, LS_previous!I$149, FALSE), VLOOKUP('Staging Table'!$A79, LS_previous!$B$4:$AY$138,LS_previous!AG$149, FALSE))/2)</f>
        <v>456.9876775272005</v>
      </c>
      <c r="R79" s="180">
        <f t="array" ref="R79">IF($G79=0, INDEX(LS_previous!$D$4:$AY$138, MATCH('Staging Table'!$A79, LS_previous!$B$4:$B$138, 0), MATCH(R$4&amp;R$5, LS_previous!$D$2:$AY$2&amp;LS_previous!$D$3:$AY$3, 0)),SUM(VLOOKUP($A79, LS_previous!$B$4:$AY$138, LS_previous!J$149, FALSE), VLOOKUP('Staging Table'!$A79, LS_previous!$B$4:$AY$138,LS_previous!AH$149, FALSE))/2)</f>
        <v>5541.609247372855</v>
      </c>
      <c r="S79" s="180">
        <f t="array" ref="S79">IF($G79=0, INDEX(LS_previous!$D$4:$AY$138, MATCH('Staging Table'!$A79, LS_previous!$B$4:$B$138, 0), MATCH(S$4&amp;S$5, LS_previous!$D$2:$AY$2&amp;LS_previous!$D$3:$AY$3, 0)),SUM(VLOOKUP($A79, LS_previous!$B$4:$AY$138, LS_previous!K$149, FALSE), VLOOKUP('Staging Table'!$A79, LS_previous!$B$4:$AY$138,LS_previous!AI$149, FALSE))/2)</f>
        <v>2158.0183550663678</v>
      </c>
      <c r="T79" s="180">
        <f t="array" ref="T79">IF($G79=0, INDEX(LS_previous!$D$4:$AY$138, MATCH('Staging Table'!$A79, LS_previous!$B$4:$B$138, 0), MATCH(T$4&amp;T$5, LS_previous!$D$2:$AY$2&amp;LS_previous!$D$3:$AY$3, 0)),SUM(VLOOKUP($A79, LS_previous!$B$4:$AY$138, LS_previous!L$149, FALSE), VLOOKUP('Staging Table'!$A79, LS_previous!$B$4:$AY$138,LS_previous!AJ$149, FALSE))/2)</f>
        <v>5244.4955239710307</v>
      </c>
      <c r="U79" s="180">
        <f t="array" ref="U79">IF($G79=0, INDEX(LS_previous!$D$4:$AY$138, MATCH('Staging Table'!$A79, LS_previous!$B$4:$B$138, 0), MATCH(U$4&amp;U$5, LS_previous!$D$2:$AY$2&amp;LS_previous!$D$3:$AY$3, 0)),SUM(VLOOKUP($A79, LS_previous!$B$4:$AY$138, LS_previous!M$149, FALSE), VLOOKUP('Staging Table'!$A79, LS_previous!$B$4:$AY$138,LS_previous!AK$149, FALSE))/2)</f>
        <v>1882.1173476827562</v>
      </c>
      <c r="V79" s="180">
        <f t="array" ref="V79">IF($G79=0, INDEX(LS_previous!$D$4:$AY$138, MATCH('Staging Table'!$A79, LS_previous!$B$4:$B$138, 0), MATCH(V$4&amp;V$5, LS_previous!$D$2:$AY$2&amp;LS_previous!$D$3:$AY$3, 0)),SUM(VLOOKUP($A79, LS_previous!$B$4:$AY$138, LS_previous!N$149, FALSE), VLOOKUP('Staging Table'!$A79, LS_previous!$B$4:$AY$138,LS_previous!AL$149, FALSE))/2)</f>
        <v>1050.2704173776929</v>
      </c>
      <c r="W79" s="180">
        <f t="array" ref="W79">IF($G79=0, INDEX(LS_previous!$D$4:$AY$138, MATCH('Staging Table'!$A79, LS_previous!$B$4:$B$138, 0), MATCH(W$4&amp;W$5, LS_previous!$D$2:$AY$2&amp;LS_previous!$D$3:$AY$3, 0)),SUM(VLOOKUP($A79, LS_previous!$B$4:$AY$138, LS_previous!O$149, FALSE), VLOOKUP('Staging Table'!$A79, LS_previous!$B$4:$AY$138,LS_previous!AM$149, FALSE))/2)</f>
        <v>775.87399394318345</v>
      </c>
      <c r="X79" s="180">
        <f t="array" ref="X79">IF($G79=0, INDEX(LS_previous!$D$4:$AY$138, MATCH('Staging Table'!$A79, LS_previous!$B$4:$B$138, 0), MATCH(X$4&amp;X$5, LS_previous!$D$2:$AY$2&amp;LS_previous!$D$3:$AY$3, 0)),SUM(VLOOKUP($A79, LS_previous!$B$4:$AY$138, LS_previous!P$149, FALSE), VLOOKUP('Staging Table'!$A79, LS_previous!$B$4:$AY$138,LS_previous!AN$149, FALSE))/2)</f>
        <v>2420.5451802691314</v>
      </c>
      <c r="Y79" s="180">
        <f t="array" ref="Y79">IF($G79=0, INDEX(LS_previous!$D$4:$AY$138, MATCH('Staging Table'!$A79, LS_previous!$B$4:$B$138, 0), MATCH(Y$4&amp;Y$5, LS_previous!$D$2:$AY$2&amp;LS_previous!$D$3:$AY$3, 0)),SUM(VLOOKUP($A79, LS_previous!$B$4:$AY$138, LS_previous!Q$149, FALSE), VLOOKUP('Staging Table'!$A79, LS_previous!$B$4:$AY$138,LS_previous!AO$149, FALSE))/2)</f>
        <v>1036.9456619918556</v>
      </c>
      <c r="Z79" s="180">
        <f t="array" ref="Z79">IF($G79=0, INDEX(LS_previous!$D$4:$AY$138, MATCH('Staging Table'!$A79, LS_previous!$B$4:$B$138, 0), MATCH(Z$4&amp;Z$5, LS_previous!$D$2:$AY$2&amp;LS_previous!$D$3:$AY$3, 0)),SUM(VLOOKUP($A79, LS_previous!$B$4:$AY$138, LS_previous!R$149, FALSE), VLOOKUP('Staging Table'!$A79, LS_previous!$B$4:$AY$138,LS_previous!AP$149, FALSE))/2)</f>
        <v>-4311.634714050917</v>
      </c>
      <c r="AA79" s="180">
        <f t="array" ref="AA79">IF($G79=0, INDEX(LS_previous!$D$4:$AY$138, MATCH('Staging Table'!$A79, LS_previous!$B$4:$B$138, 0), MATCH(AA$4&amp;AA$5, LS_previous!$D$2:$AY$2&amp;LS_previous!$D$3:$AY$3, 0)),SUM(VLOOKUP($A79, LS_previous!$B$4:$AY$138, LS_previous!S$149, FALSE), VLOOKUP('Staging Table'!$A79, LS_previous!$B$4:$AY$138,LS_previous!AQ$149, FALSE))/2)</f>
        <v>-611.71535783397485</v>
      </c>
      <c r="AB79" s="180">
        <f t="array" ref="AB79">IF($G79=0, INDEX(LS_previous!$D$4:$AY$138, MATCH('Staging Table'!$A79, LS_previous!$B$4:$B$138, 0), MATCH(AB$4&amp;AB$5, LS_previous!$D$2:$AY$2&amp;LS_previous!$D$3:$AY$3, 0)),SUM(VLOOKUP($A79, LS_previous!$B$4:$AY$138, LS_previous!T$149, FALSE), VLOOKUP('Staging Table'!$A79, LS_previous!$B$4:$AY$138,LS_previous!AR$149, FALSE))/2)</f>
        <v>-6843.3228988596511</v>
      </c>
      <c r="AC79" s="180">
        <f t="array" ref="AC79">IF($G79=0, INDEX(LS_previous!$D$4:$AY$138, MATCH('Staging Table'!$A79, LS_previous!$B$4:$B$138, 0), MATCH(AC$4&amp;AC$5, LS_previous!$D$2:$AY$2&amp;LS_previous!$D$3:$AY$3, 0)),SUM(VLOOKUP($A79, LS_previous!$B$4:$AY$138, LS_previous!U$149, FALSE), VLOOKUP('Staging Table'!$A79, LS_previous!$B$4:$AY$138,LS_previous!AS$149, FALSE))/2)</f>
        <v>-371.44124138642746</v>
      </c>
      <c r="AD79" s="180">
        <f t="array" ref="AD79">IF($G79=0, INDEX(LS_previous!$D$4:$AY$138, MATCH('Staging Table'!$A79, LS_previous!$B$4:$B$138, 0), MATCH(AD$4&amp;AD$5, LS_previous!$D$2:$AY$2&amp;LS_previous!$D$3:$AY$3, 0)),SUM(VLOOKUP($A79, LS_previous!$B$4:$AY$138, LS_previous!V$149, FALSE), VLOOKUP('Staging Table'!$A79, LS_previous!$B$4:$AY$138,LS_previous!AT$149, FALSE))/2)</f>
        <v>-3939.8381502536886</v>
      </c>
      <c r="AE79" s="180">
        <f t="array" ref="AE79">IF($G79=0, INDEX(LS_previous!$D$4:$AY$138, MATCH('Staging Table'!$A79, LS_previous!$B$4:$B$138, 0), MATCH(AE$4&amp;AE$5, LS_previous!$D$2:$AY$2&amp;LS_previous!$D$3:$AY$3, 0)),SUM(VLOOKUP($A79, LS_previous!$B$4:$AY$138, LS_previous!W$149, FALSE), VLOOKUP('Staging Table'!$A79, LS_previous!$B$4:$AY$138,LS_previous!AU$149, FALSE))/2)</f>
        <v>-853.26492627740754</v>
      </c>
      <c r="AF79" s="180">
        <f t="array" ref="AF79">IF($G79=0, INDEX(LS_previous!$D$4:$AY$138, MATCH('Staging Table'!$A79, LS_previous!$B$4:$B$138, 0), MATCH(AF$4&amp;AF$5, LS_previous!$D$2:$AY$2&amp;LS_previous!$D$3:$AY$3, 0)),SUM(VLOOKUP($A79, LS_previous!$B$4:$AY$138, LS_previous!X$149, FALSE), VLOOKUP('Staging Table'!$A79, LS_previous!$B$4:$AY$138,LS_previous!AV$149, FALSE))/2)</f>
        <v>-3063.3491340940145</v>
      </c>
      <c r="AG79" s="180">
        <f t="array" ref="AG79">IF($G79=0, INDEX(LS_previous!$D$4:$AY$138, MATCH('Staging Table'!$A79, LS_previous!$B$4:$B$138, 0), MATCH(AG$4&amp;AG$5, LS_previous!$D$2:$AY$2&amp;LS_previous!$D$3:$AY$3, 0)),SUM(VLOOKUP($A79, LS_previous!$B$4:$AY$138, LS_previous!Y$149, FALSE), VLOOKUP('Staging Table'!$A79, LS_previous!$B$4:$AY$138,LS_previous!AW$149, FALSE))/2)</f>
        <v>-773.91114659203231</v>
      </c>
      <c r="AH79" s="180">
        <f t="array" ref="AH79">IF($G79=0, INDEX(LS_previous!$D$4:$AY$138, MATCH('Staging Table'!$A79, LS_previous!$B$4:$B$138, 0), MATCH(AH$4&amp;AH$5, LS_previous!$D$2:$AY$2&amp;LS_previous!$D$3:$AY$3, 0)),SUM(VLOOKUP($A79, LS_previous!$B$4:$AY$138, LS_previous!Z$149, FALSE), VLOOKUP('Staging Table'!$A79, LS_previous!$B$4:$AY$138,LS_previous!AX$149, FALSE))/2)</f>
        <v>-2889.4775246776426</v>
      </c>
      <c r="AI79" s="180">
        <f t="array" ref="AI79">IF($G79=0, INDEX(LS_previous!$D$4:$AY$138, MATCH('Staging Table'!$A79, LS_previous!$B$4:$B$138, 0), MATCH(AI$4&amp;AI$5, LS_previous!$D$2:$AY$2&amp;LS_previous!$D$3:$AY$3, 0)),SUM(VLOOKUP($A79, LS_previous!$B$4:$AY$138, LS_previous!AA$149, FALSE), VLOOKUP('Staging Table'!$A79, LS_previous!$B$4:$AY$138,LS_previous!AY$149, FALSE))/2)</f>
        <v>-586.9533322358202</v>
      </c>
      <c r="AJ79" s="298">
        <f t="array" ref="AJ79">INDEX(Demand_previous!$D$4:$AY$138, MATCH('Staging Table'!$A79, Demand_previous!$B$4:$B$138, 0), MATCH(AJ$4&amp;AJ$5,Demand_previous!$D$2:$AY$2&amp;Demand_previous!$D$3:$AY$3, 0))/1000</f>
        <v>2.1944903846153814</v>
      </c>
      <c r="AK79" s="298">
        <f t="array" ref="AK79">INDEX(Demand_previous!$D$4:$AY$138, MATCH('Staging Table'!$A79, Demand_previous!$B$4:$B$138, 0), MATCH(AK$4&amp;AK$5,Demand_previous!$D$2:$AY$2&amp;Demand_previous!$D$3:$AY$3, 0))/1000</f>
        <v>1.8059375000000006</v>
      </c>
      <c r="AL79" s="298">
        <f t="array" ref="AL79">INDEX(Demand_previous!$D$4:$AY$138, MATCH('Staging Table'!$A79, Demand_previous!$B$4:$B$138, 0), MATCH(AL$4&amp;AL$5,Demand_previous!$D$2:$AY$2&amp;Demand_previous!$D$3:$AY$3, 0))/1000</f>
        <v>8.6507668269230766</v>
      </c>
      <c r="AM79" s="298">
        <f t="array" ref="AM79">INDEX(Demand_previous!$D$4:$AY$138, MATCH('Staging Table'!$A79, Demand_previous!$B$4:$B$138, 0), MATCH(AM$4&amp;AM$5,Demand_previous!$D$2:$AY$2&amp;Demand_previous!$D$3:$AY$3, 0))/1000</f>
        <v>4.6560675000000051</v>
      </c>
      <c r="AN79" s="298">
        <f t="array" ref="AN79">INDEX(Demand_previous!$D$4:$AY$138, MATCH('Staging Table'!$A79, Demand_previous!$B$4:$B$138, 0), MATCH(AN$4&amp;AN$5,Demand_previous!$D$2:$AY$2&amp;Demand_previous!$D$3:$AY$3, 0))/1000</f>
        <v>2.203403645833335</v>
      </c>
      <c r="AO79" s="298">
        <f t="array" ref="AO79">INDEX(Demand_previous!$D$4:$AY$138, MATCH('Staging Table'!$A79, Demand_previous!$B$4:$B$138, 0), MATCH(AO$4&amp;AO$5,Demand_previous!$D$2:$AY$2&amp;Demand_previous!$D$3:$AY$3, 0))/1000</f>
        <v>5.4744675925925916</v>
      </c>
      <c r="AP79" s="298">
        <f t="array" ref="AP79">INDEX(Demand_previous!$D$4:$AY$138, MATCH('Staging Table'!$A79, Demand_previous!$B$4:$B$138, 0), MATCH(AP$4&amp;AP$5,Demand_previous!$D$2:$AY$2&amp;Demand_previous!$D$3:$AY$3, 0))/1000</f>
        <v>6.0030625000000013</v>
      </c>
      <c r="AQ79" s="298">
        <f t="array" ref="AQ79">INDEX(Demand_previous!$D$4:$AY$138, MATCH('Staging Table'!$A79, Demand_previous!$B$4:$B$138, 0), MATCH(AQ$4&amp;AQ$5,Demand_previous!$D$2:$AY$2&amp;Demand_previous!$D$3:$AY$3, 0))/1000</f>
        <v>2.1461799999999984</v>
      </c>
      <c r="AR79" s="298">
        <f t="array" ref="AR79">INDEX(Demand_previous!$D$4:$AY$138, MATCH('Staging Table'!$A79, Demand_previous!$B$4:$B$138, 0), MATCH(AR$4&amp;AR$5,Demand_previous!$D$2:$AY$2&amp;Demand_previous!$D$3:$AY$3, 0))/1000</f>
        <v>5.2929831730769221</v>
      </c>
      <c r="AS79" s="298">
        <f t="array" ref="AS79">INDEX(Demand_previous!$D$4:$AY$138, MATCH('Staging Table'!$A79, Demand_previous!$B$4:$B$138, 0), MATCH(AS$4&amp;AS$5,Demand_previous!$D$2:$AY$2&amp;Demand_previous!$D$3:$AY$3, 0))/1000</f>
        <v>2.5560599999999996</v>
      </c>
      <c r="AT79" s="298">
        <f t="array" ref="AT79">INDEX(Demand_previous!$D$4:$AY$138, MATCH('Staging Table'!$A79, Demand_previous!$B$4:$B$138, 0), MATCH(AT$4&amp;AT$5,Demand_previous!$D$2:$AY$2&amp;Demand_previous!$D$3:$AY$3, 0))/1000</f>
        <v>4.5097314814814844</v>
      </c>
      <c r="AU79" s="298">
        <f t="array" ref="AU79">INDEX(Demand_previous!$D$4:$AY$138, MATCH('Staging Table'!$A79, Demand_previous!$B$4:$B$138, 0), MATCH(AU$4&amp;AU$5,Demand_previous!$D$2:$AY$2&amp;Demand_previous!$D$3:$AY$3, 0))/1000</f>
        <v>5.2217800000000052</v>
      </c>
      <c r="AV79" s="180">
        <f>$F79*(VLOOKUP(AV$4, Rates_previous!$G$6:$Q$29, 10, FALSE)+VLOOKUP(AV$4, Rates_previous!$G$6:$Q$29, 11, FALSE))</f>
        <v>20737.661027270551</v>
      </c>
      <c r="AW79" s="180">
        <f>$F79*(VLOOKUP(AW$4, Rates_previous!$G$6:$Q$29, 10, FALSE)+VLOOKUP(AW$4, Rates_previous!$G$6:$Q$29, 11, FALSE))</f>
        <v>26254.631482034991</v>
      </c>
      <c r="AX79" s="180">
        <f>$F79*(VLOOKUP(AX$4, Rates_previous!$G$6:$Q$29, 10, FALSE)+VLOOKUP(AX$4, Rates_previous!$G$6:$Q$29, 11, FALSE))</f>
        <v>25698.038986205556</v>
      </c>
      <c r="AY79" s="180">
        <f>$F79*(VLOOKUP(AY$4, Rates_previous!$G$6:$Q$29, 10, FALSE)+VLOOKUP(AY$4, Rates_previous!$G$6:$Q$29, 11, FALSE))</f>
        <v>21225.487397560777</v>
      </c>
      <c r="AZ79" s="180">
        <f>$F79*(VLOOKUP(AZ$4, Rates_previous!$G$6:$Q$29, 10, FALSE)+VLOOKUP(AZ$4, Rates_previous!$G$6:$Q$29, 11, FALSE))</f>
        <v>18396.595128346213</v>
      </c>
      <c r="BA79" s="180">
        <f>$F79*(VLOOKUP(BA$4, Rates_previous!$G$6:$Q$29, 10, FALSE)+VLOOKUP(BA$4, Rates_previous!$G$6:$Q$29, 11, FALSE))</f>
        <v>21961.819588679125</v>
      </c>
      <c r="BB79" s="180">
        <f>$F79*(VLOOKUP(BB$4, Rates_previous!$G$6:$Q$29, 10, FALSE)+VLOOKUP(BB$4, Rates_previous!$G$6:$Q$29, 11, FALSE))</f>
        <v>17050.429157739014</v>
      </c>
      <c r="BC79" s="180">
        <f>$F79*(VLOOKUP(BC$4, Rates_previous!$G$6:$Q$29, 10, FALSE)+VLOOKUP(BC$4, Rates_previous!$G$6:$Q$29, 11, FALSE))</f>
        <v>23623.495071884892</v>
      </c>
      <c r="BD79" s="180">
        <f>$F79*(VLOOKUP(BD$4, Rates_previous!$G$6:$Q$29, 10, FALSE)+VLOOKUP(BD$4, Rates_previous!$G$6:$Q$29, 11, FALSE))</f>
        <v>25242.199140246077</v>
      </c>
      <c r="BE79" s="180">
        <f>$F79*(VLOOKUP(BE$4, Rates_previous!$G$6:$Q$29, 10, FALSE)+VLOOKUP(BE$4, Rates_previous!$G$6:$Q$29, 11, FALSE))</f>
        <v>23966.325076531099</v>
      </c>
      <c r="BF79" s="180">
        <f>$F79*(VLOOKUP(BF$4, Rates_previous!$G$6:$Q$29, 10, FALSE)+VLOOKUP(BF$4, Rates_previous!$G$6:$Q$29, 11, FALSE))</f>
        <v>23161.604280686046</v>
      </c>
      <c r="BG79" s="180">
        <f>$F79*(VLOOKUP(BG$4, Rates_previous!$G$6:$Q$29, 10, FALSE)+VLOOKUP(BG$4, Rates_previous!$G$6:$Q$29, 11, FALSE))</f>
        <v>21403.736856913463</v>
      </c>
      <c r="BH79" s="298">
        <f>IF($D79=0,IF(C79=0, MAX(BJ79 - (VLOOKUP($A79,TOCA_previous!$A$2:$AI$137,MATCH("RHWM 2022",TOCA_previous!$A$2:$AI$2,0),FALSE)*$F$2*TOCA_previous!C76),0),0), 0)</f>
        <v>0</v>
      </c>
      <c r="BI79" s="192">
        <f>MIN(VLOOKUP($A79,TOCA_previous!$A$2:$AI$137,MATCH("TRL - NLSL - Existing Resource "&amp;$F$1,TOCA_previous!$A$2:$AI$2,0),FALSE)*$F$2,(VLOOKUP($A79,TOCA_previous!$A$2:$AI$137,MATCH("RHWM 2022",TOCA_previous!$A$2:$AI$2,0),FALSE)*$F$2))</f>
        <v>268721.76</v>
      </c>
      <c r="BJ79" s="402">
        <f>SUM(L79:AI79)+(F79*RT1SC!$C$3*$F$2)</f>
        <v>265596.85774629423</v>
      </c>
      <c r="BK79" s="401">
        <f>VLOOKUP($A79,TOCA_previous!$A$2:$AI$137,MATCH("Above RHWM Not Served with LS "&amp;$F$1,TOCA_previous!$A$2:$AI$2,0),FALSE)*$F$2</f>
        <v>0</v>
      </c>
      <c r="BL79" s="402">
        <f t="shared" si="27"/>
        <v>-3124.9022537057754</v>
      </c>
      <c r="BM79" s="401">
        <f>(VLOOKUP($A79,TOCA_previous!$A$2:$AI$137,MATCH("RHWM 2022",TOCA_previous!$A$2:$AI$2,0),FALSE)*$F$2) - $BI79</f>
        <v>7980.359999999986</v>
      </c>
      <c r="BN79" s="402">
        <f t="shared" si="28"/>
        <v>0</v>
      </c>
      <c r="BO79" s="401">
        <f t="shared" si="29"/>
        <v>3124.9022537057754</v>
      </c>
      <c r="BP79" s="402">
        <f t="shared" si="30"/>
        <v>0</v>
      </c>
      <c r="BQ79" s="401">
        <f t="shared" si="21"/>
        <v>3124.9022537057754</v>
      </c>
      <c r="BR79" s="108">
        <f>VLOOKUP($A79,TOCA_current!$A$2:$AI$137,MATCH(BR$4,TOCA_current!$A$2:$AI$2,0),FALSE)</f>
        <v>4.2807000000000001E-3</v>
      </c>
      <c r="BS79" s="108">
        <f>VLOOKUP($A79,TOCA_current!$A$2:$AI$137,MATCH(BS$4,TOCA_current!$A$2:$AI$2,0),FALSE)</f>
        <v>4.2807000000000001E-3</v>
      </c>
      <c r="BT79" s="189">
        <f t="shared" si="31"/>
        <v>0</v>
      </c>
      <c r="BU79" s="108">
        <f>VLOOKUP($A79,TOCA_current!A75:BG210,MATCH(BU$4,TOCA_current!$A$2:$BG$2,0),FALSE)</f>
        <v>0</v>
      </c>
      <c r="BV79" s="108">
        <f t="shared" si="22"/>
        <v>0</v>
      </c>
      <c r="BW79" s="108">
        <f t="shared" si="23"/>
        <v>0</v>
      </c>
      <c r="BX79" s="179">
        <f>VLOOKUP($A79,IRD!$A$4:$G$139, 7, FALSE)</f>
        <v>0</v>
      </c>
      <c r="BY79" s="180">
        <f t="array" ref="BY79">IF($BT79=0, INDEX(LS_current!$D$4:$AY$138, MATCH('Staging Table'!$A79, LS_current!$B$4:$B$138, 0), MATCH(BY$4&amp;BY$5, LS_current!$D$2:$AY$2&amp;LS_current!$D$3:$AY$3, 0)),SUM(VLOOKUP($A79, LS_current!$B$4:$AY$138, LS_current!D$148, FALSE), VLOOKUP($A79, LS_current!$B$4:$AY$138,LS_current!AB$148, FALSE))/2)</f>
        <v>2331.4688150947986</v>
      </c>
      <c r="BZ79" s="180">
        <f t="array" ref="BZ79">IF($BT79=0, INDEX(LS_current!$D$4:$AY$138, MATCH('Staging Table'!$A79, LS_current!$B$4:$B$138, 0), MATCH(BZ$4&amp;BZ$5, LS_current!$D$2:$AY$2&amp;LS_current!$D$3:$AY$3, 0)),SUM(VLOOKUP($A79, LS_current!$B$4:$AY$138, LS_current!E$148, FALSE), VLOOKUP($A79, LS_current!$B$4:$AY$138,LS_current!AC$148, FALSE))/2)</f>
        <v>1011.0689230521502</v>
      </c>
      <c r="CA79" s="180">
        <f t="array" ref="CA79">IF($BT79=0, INDEX(LS_current!$D$4:$AY$138, MATCH('Staging Table'!$A79, LS_current!$B$4:$B$138, 0), MATCH(CA$4&amp;CA$5, LS_current!$D$2:$AY$2&amp;LS_current!$D$3:$AY$3, 0)),SUM(VLOOKUP($A79, LS_current!$B$4:$AY$138, LS_current!F$148, FALSE), VLOOKUP($A79, LS_current!$B$4:$AY$138,LS_current!AD$148, FALSE))/2)</f>
        <v>929.73409503039875</v>
      </c>
      <c r="CB79" s="180">
        <f t="array" ref="CB79">IF($BT79=0, INDEX(LS_current!$D$4:$AY$138, MATCH('Staging Table'!$A79, LS_current!$B$4:$B$138, 0), MATCH(CB$4&amp;CB$5, LS_current!$D$2:$AY$2&amp;LS_current!$D$3:$AY$3, 0)),SUM(VLOOKUP($A79, LS_current!$B$4:$AY$138, LS_current!G$148, FALSE), VLOOKUP($A79, LS_current!$B$4:$AY$138,LS_current!AE$148, FALSE))/2)</f>
        <v>447.9673442782987</v>
      </c>
      <c r="CC79" s="180">
        <f t="array" ref="CC79">IF($BT79=0, INDEX(LS_current!$D$4:$AY$138, MATCH('Staging Table'!$A79, LS_current!$B$4:$B$138, 0), MATCH(CC$4&amp;CC$5, LS_current!$D$2:$AY$2&amp;LS_current!$D$3:$AY$3, 0)),SUM(VLOOKUP($A79, LS_current!$B$4:$AY$138, LS_current!H$148, FALSE), VLOOKUP($A79, LS_current!$B$4:$AY$138,LS_current!AF$148, FALSE))/2)</f>
        <v>1344.4816970626998</v>
      </c>
      <c r="CD79" s="180">
        <f t="array" ref="CD79">IF($BT79=0, INDEX(LS_current!$D$4:$AY$138, MATCH('Staging Table'!$A79, LS_current!$B$4:$B$138, 0), MATCH(CD$4&amp;CD$5, LS_current!$D$2:$AY$2&amp;LS_current!$D$3:$AY$3, 0)),SUM(VLOOKUP($A79, LS_current!$B$4:$AY$138, LS_current!I$148, FALSE), VLOOKUP($A79, LS_current!$B$4:$AY$138,LS_current!AG$148, FALSE))/2)</f>
        <v>1688.5017855328006</v>
      </c>
      <c r="CE79" s="180">
        <f t="array" ref="CE79">IF($BT79=0, INDEX(LS_current!$D$4:$AY$138, MATCH('Staging Table'!$A79, LS_current!$B$4:$B$138, 0), MATCH(CE$4&amp;CE$5, LS_current!$D$2:$AY$2&amp;LS_current!$D$3:$AY$3, 0)),SUM(VLOOKUP($A79, LS_current!$B$4:$AY$138, LS_current!J$148, FALSE), VLOOKUP($A79, LS_current!$B$4:$AY$138,LS_current!AH$148, FALSE))/2)</f>
        <v>1624.997475599499</v>
      </c>
      <c r="CF79" s="180">
        <f t="array" ref="CF79">IF($BT79=0, INDEX(LS_current!$D$4:$AY$138, MATCH('Staging Table'!$A79, LS_current!$B$4:$B$138, 0), MATCH(CF$4&amp;CF$5, LS_current!$D$2:$AY$2&amp;LS_current!$D$3:$AY$3, 0)),SUM(VLOOKUP($A79, LS_current!$B$4:$AY$138, LS_current!K$148, FALSE), VLOOKUP($A79, LS_current!$B$4:$AY$138,LS_current!AI$148, FALSE))/2)</f>
        <v>1471.1025392597003</v>
      </c>
      <c r="CG79" s="180">
        <f t="array" ref="CG79">IF($BT79=0, INDEX(LS_current!$D$4:$AY$138, MATCH('Staging Table'!$A79, LS_current!$B$4:$B$138, 0), MATCH(CG$4&amp;CG$5, LS_current!$D$2:$AY$2&amp;LS_current!$D$3:$AY$3, 0)),SUM(VLOOKUP($A79, LS_current!$B$4:$AY$138, LS_current!L$148, FALSE), VLOOKUP($A79, LS_current!$B$4:$AY$138,LS_current!AJ$148, FALSE))/2)</f>
        <v>1804.5606407646992</v>
      </c>
      <c r="CH79" s="180">
        <f t="array" ref="CH79">IF($BT79=0, INDEX(LS_current!$D$4:$AY$138, MATCH('Staging Table'!$A79, LS_current!$B$4:$B$138, 0), MATCH(CH$4&amp;CH$5, LS_current!$D$2:$AY$2&amp;LS_current!$D$3:$AY$3, 0)),SUM(VLOOKUP($A79, LS_current!$B$4:$AY$138, LS_current!M$148, FALSE), VLOOKUP($A79, LS_current!$B$4:$AY$138,LS_current!AK$148, FALSE))/2)</f>
        <v>1502.251684108699</v>
      </c>
      <c r="CI79" s="180">
        <f t="array" ref="CI79">IF($BT79=0, INDEX(LS_current!$D$4:$AY$138, MATCH('Staging Table'!$A79, LS_current!$B$4:$B$138, 0), MATCH(CI$4&amp;CI$5, LS_current!$D$2:$AY$2&amp;LS_current!$D$3:$AY$3, 0)),SUM(VLOOKUP($A79, LS_current!$B$4:$AY$138, LS_current!N$148, FALSE), VLOOKUP($A79, LS_current!$B$4:$AY$138,LS_current!AL$148, FALSE))/2)</f>
        <v>-230.17474701910032</v>
      </c>
      <c r="CJ79" s="180">
        <f t="array" ref="CJ79">IF($BT79=0, INDEX(LS_current!$D$4:$AY$138, MATCH('Staging Table'!$A79, LS_current!$B$4:$B$138, 0), MATCH(CJ$4&amp;CJ$5, LS_current!$D$2:$AY$2&amp;LS_current!$D$3:$AY$3, 0)),SUM(VLOOKUP($A79, LS_current!$B$4:$AY$138, LS_current!O$148, FALSE), VLOOKUP($A79, LS_current!$B$4:$AY$138,LS_current!AM$148, FALSE))/2)</f>
        <v>-237.7667050846012</v>
      </c>
      <c r="CK79" s="180">
        <f t="array" ref="CK79">IF($BT79=0, INDEX(LS_current!$D$4:$AY$138, MATCH('Staging Table'!$A79, LS_current!$B$4:$B$138, 0), MATCH(CK$4&amp;CK$5, LS_current!$D$2:$AY$2&amp;LS_current!$D$3:$AY$3, 0)),SUM(VLOOKUP($A79, LS_current!$B$4:$AY$138, LS_current!P$148, FALSE), VLOOKUP($A79, LS_current!$B$4:$AY$138,LS_current!AN$148, FALSE))/2)</f>
        <v>1273.779026855751</v>
      </c>
      <c r="CL79" s="180">
        <f t="array" ref="CL79">IF($BT79=0, INDEX(LS_current!$D$4:$AY$138, MATCH('Staging Table'!$A79, LS_current!$B$4:$B$138, 0), MATCH(CL$4&amp;CL$5, LS_current!$D$2:$AY$2&amp;LS_current!$D$3:$AY$3, 0)),SUM(VLOOKUP($A79, LS_current!$B$4:$AY$138, LS_current!Q$148, FALSE), VLOOKUP($A79, LS_current!$B$4:$AY$138,LS_current!AO$148, FALSE))/2)</f>
        <v>88.191234286775398</v>
      </c>
      <c r="CM79" s="180">
        <f t="array" ref="CM79">IF($BT79=0, INDEX(LS_current!$D$4:$AY$138, MATCH('Staging Table'!$A79, LS_current!$B$4:$B$138, 0), MATCH(CM$4&amp;CM$5, LS_current!$D$2:$AY$2&amp;LS_current!$D$3:$AY$3, 0)),SUM(VLOOKUP($A79, LS_current!$B$4:$AY$138, LS_current!R$148, FALSE), VLOOKUP($A79, LS_current!$B$4:$AY$138,LS_current!AP$148, FALSE))/2)</f>
        <v>-2826.6083812336001</v>
      </c>
      <c r="CN79" s="180">
        <f t="array" ref="CN79">IF($BT79=0, INDEX(LS_current!$D$4:$AY$138, MATCH('Staging Table'!$A79, LS_current!$B$4:$B$138, 0), MATCH(CN$4&amp;CN$5, LS_current!$D$2:$AY$2&amp;LS_current!$D$3:$AY$3, 0)),SUM(VLOOKUP($A79, LS_current!$B$4:$AY$138, LS_current!S$148, FALSE), VLOOKUP($A79, LS_current!$B$4:$AY$138,LS_current!AQ$148, FALSE))/2)</f>
        <v>-2226.3629467909504</v>
      </c>
      <c r="CO79" s="180">
        <f t="array" ref="CO79">IF($BT79=0, INDEX(LS_current!$D$4:$AY$138, MATCH('Staging Table'!$A79, LS_current!$B$4:$B$138, 0), MATCH(CO$4&amp;CO$5, LS_current!$D$2:$AY$2&amp;LS_current!$D$3:$AY$3, 0)),SUM(VLOOKUP($A79, LS_current!$B$4:$AY$138, LS_current!T$148, FALSE), VLOOKUP($A79, LS_current!$B$4:$AY$138,LS_current!AR$148, FALSE))/2)</f>
        <v>-4081.782928828201</v>
      </c>
      <c r="CP79" s="180">
        <f t="array" ref="CP79">IF($BT79=0, INDEX(LS_current!$D$4:$AY$138, MATCH('Staging Table'!$A79, LS_current!$B$4:$B$138, 0), MATCH(CP$4&amp;CP$5, LS_current!$D$2:$AY$2&amp;LS_current!$D$3:$AY$3, 0)),SUM(VLOOKUP($A79, LS_current!$B$4:$AY$138, LS_current!U$148, FALSE), VLOOKUP($A79, LS_current!$B$4:$AY$138,LS_current!AS$148, FALSE))/2)</f>
        <v>-2159.2817257981515</v>
      </c>
      <c r="CQ79" s="180">
        <f t="array" ref="CQ79">IF($BT79=0, INDEX(LS_current!$D$4:$AY$138, MATCH('Staging Table'!$A79, LS_current!$B$4:$B$138, 0), MATCH(CQ$4&amp;CQ$5, LS_current!$D$2:$AY$2&amp;LS_current!$D$3:$AY$3, 0)),SUM(VLOOKUP($A79, LS_current!$B$4:$AY$138, LS_current!V$148, FALSE), VLOOKUP($A79, LS_current!$B$4:$AY$138,LS_current!AT$148, FALSE))/2)</f>
        <v>-1106.2668721547998</v>
      </c>
      <c r="CR79" s="180">
        <f t="array" ref="CR79">IF($BT79=0, INDEX(LS_current!$D$4:$AY$138, MATCH('Staging Table'!$A79, LS_current!$B$4:$B$138, 0), MATCH(CR$4&amp;CR$5, LS_current!$D$2:$AY$2&amp;LS_current!$D$3:$AY$3, 0)),SUM(VLOOKUP($A79, LS_current!$B$4:$AY$138, LS_current!W$148, FALSE), VLOOKUP($A79, LS_current!$B$4:$AY$138,LS_current!AU$148, FALSE))/2)</f>
        <v>-789.06515153925011</v>
      </c>
      <c r="CS79" s="180">
        <f t="array" ref="CS79">IF($BT79=0, INDEX(LS_current!$D$4:$AY$138, MATCH('Staging Table'!$A79, LS_current!$B$4:$B$138, 0), MATCH(CS$4&amp;CS$5, LS_current!$D$2:$AY$2&amp;LS_current!$D$3:$AY$3, 0)),SUM(VLOOKUP($A79, LS_current!$B$4:$AY$138, LS_current!X$148, FALSE), VLOOKUP($A79, LS_current!$B$4:$AY$138,LS_current!AV$148, FALSE))/2)</f>
        <v>-385.79873714005225</v>
      </c>
      <c r="CT79" s="180">
        <f t="array" ref="CT79">IF($BT79=0, INDEX(LS_current!$D$4:$AY$138, MATCH('Staging Table'!$A79, LS_current!$B$4:$B$138, 0), MATCH(CT$4&amp;CT$5, LS_current!$D$2:$AY$2&amp;LS_current!$D$3:$AY$3, 0)),SUM(VLOOKUP($A79, LS_current!$B$4:$AY$138, LS_current!Y$148, FALSE), VLOOKUP($A79, LS_current!$B$4:$AY$138,LS_current!AW$148, FALSE))/2)</f>
        <v>-657.54879841389538</v>
      </c>
      <c r="CU79" s="180">
        <f t="array" ref="CU79">IF($BT79=0, INDEX(LS_current!$D$4:$AY$138, MATCH('Staging Table'!$A79, LS_current!$B$4:$B$138, 0), MATCH(CU$4&amp;CU$5, LS_current!$D$2:$AY$2&amp;LS_current!$D$3:$AY$3, 0)),SUM(VLOOKUP($A79, LS_current!$B$4:$AY$138, LS_current!Z$148, FALSE), VLOOKUP($A79, LS_current!$B$4:$AY$138,LS_current!AX$148, FALSE))/2)</f>
        <v>-423.27826951180214</v>
      </c>
      <c r="CV79" s="180">
        <f t="array" ref="CV79">IF($BT79=0, INDEX(LS_current!$D$4:$AY$138, MATCH('Staging Table'!$A79, LS_current!$B$4:$B$138, 0), MATCH(CV$4&amp;CV$5, LS_current!$D$2:$AY$2&amp;LS_current!$D$3:$AY$3, 0)),SUM(VLOOKUP($A79, LS_current!$B$4:$AY$138, LS_current!AA$148, FALSE), VLOOKUP($A79, LS_current!$B$4:$AY$138,LS_current!AY$148, FALSE))/2)</f>
        <v>-391.63612349279992</v>
      </c>
      <c r="CW79" s="182">
        <f t="array" ref="CW79">INDEX(Demand_current!$D$4:$AY$138, MATCH($A79, Demand_current!$B$4:$B$138, 0), MATCH(CW$4&amp;CW$5,Demand_current!$D$2:$AY$2&amp;Demand_current!$D$3:$AY$3, 0))/1000</f>
        <v>2.1944903846153814</v>
      </c>
      <c r="CX79" s="182">
        <f t="array" ref="CX79">INDEX(Demand_current!$D$4:$AY$138, MATCH($A79, Demand_current!$B$4:$B$138, 0), MATCH(CX$4&amp;CX$5,Demand_current!$D$2:$AY$2&amp;Demand_current!$D$3:$AY$3, 0))/1000</f>
        <v>1.8059375000000006</v>
      </c>
      <c r="CY79" s="182">
        <f t="array" ref="CY79">INDEX(Demand_current!$D$4:$AY$138, MATCH($A79, Demand_current!$B$4:$B$138, 0), MATCH(CY$4&amp;CY$5,Demand_current!$D$2:$AY$2&amp;Demand_current!$D$3:$AY$3, 0))/1000</f>
        <v>7.0724374999999942</v>
      </c>
      <c r="CZ79" s="182">
        <f t="array" ref="CZ79">INDEX(Demand_current!$D$4:$AY$138, MATCH($A79, Demand_current!$B$4:$B$138, 0), MATCH(CZ$4&amp;CZ$5,Demand_current!$D$2:$AY$2&amp;Demand_current!$D$3:$AY$3, 0))/1000</f>
        <v>6.3499495192307753</v>
      </c>
      <c r="DA79" s="182">
        <f t="array" ref="DA79">INDEX(Demand_current!$D$4:$AY$138, MATCH($A79, Demand_current!$B$4:$B$138, 0), MATCH(DA$4&amp;DA$5,Demand_current!$D$2:$AY$2&amp;Demand_current!$D$3:$AY$3, 0))/1000</f>
        <v>3.8628675000000019</v>
      </c>
      <c r="DB79" s="182">
        <f t="array" ref="DB79">INDEX(Demand_current!$D$4:$AY$138, MATCH($A79, Demand_current!$B$4:$B$138, 0), MATCH(DB$4&amp;DB$5,Demand_current!$D$2:$AY$2&amp;Demand_current!$D$3:$AY$3, 0))/1000</f>
        <v>4.1801394230769189</v>
      </c>
      <c r="DC79" s="182">
        <f t="array" ref="DC79">INDEX(Demand_current!$D$4:$AY$138, MATCH($A79, Demand_current!$B$4:$B$138, 0), MATCH(DC$4&amp;DC$5,Demand_current!$D$2:$AY$2&amp;Demand_current!$D$3:$AY$3, 0))/1000</f>
        <v>6.0030625000000013</v>
      </c>
      <c r="DD79" s="182">
        <f t="array" ref="DD79">INDEX(Demand_current!$D$4:$AY$138, MATCH($A79, Demand_current!$B$4:$B$138, 0), MATCH(DD$4&amp;DD$5,Demand_current!$D$2:$AY$2&amp;Demand_current!$D$3:$AY$3, 0))/1000</f>
        <v>3.262249999999999</v>
      </c>
      <c r="DE79" s="182">
        <f t="array" ref="DE79">INDEX(Demand_current!$D$4:$AY$138, MATCH($A79, Demand_current!$B$4:$B$138, 0), MATCH(DE$4&amp;DE$5,Demand_current!$D$2:$AY$2&amp;Demand_current!$D$3:$AY$3, 0))/1000</f>
        <v>4.2201425000000006</v>
      </c>
      <c r="DF79" s="182">
        <f t="array" ref="DF79">INDEX(Demand_current!$D$4:$AY$138, MATCH($A79, Demand_current!$B$4:$B$138, 0), MATCH(DF$4&amp;DF$5,Demand_current!$D$2:$AY$2&amp;Demand_current!$D$3:$AY$3, 0))/1000</f>
        <v>3.7120961538461552</v>
      </c>
      <c r="DG79" s="182">
        <f t="array" ref="DG79">INDEX(Demand_current!$D$4:$AY$138, MATCH($A79, Demand_current!$B$4:$B$138, 0), MATCH(DG$4&amp;DG$5,Demand_current!$D$2:$AY$2&amp;Demand_current!$D$3:$AY$3, 0))/1000</f>
        <v>4.5097314814814844</v>
      </c>
      <c r="DH79" s="182">
        <f t="array" ref="DH79">INDEX(Demand_current!$D$4:$AY$138, MATCH($A79, Demand_current!$B$4:$B$138, 0), MATCH(DH$4&amp;DH$5,Demand_current!$D$2:$AY$2&amp;Demand_current!$D$3:$AY$3, 0))/1000</f>
        <v>4.0998541666666695</v>
      </c>
      <c r="DI79" s="180">
        <f>$BS79*(VLOOKUP(DI$4, Rates_current!$G$6:$Q$29, 10, FALSE)+VLOOKUP(DI$4, Rates_current!$G$6:$Q$29, 11, FALSE))</f>
        <v>18059.43326185305</v>
      </c>
      <c r="DJ79" s="180">
        <f>$BS79*(VLOOKUP(DJ$4, Rates_current!$G$6:$Q$29, 10, FALSE)+VLOOKUP(DJ$4, Rates_current!$G$6:$Q$29, 11, FALSE))</f>
        <v>23031.732560691304</v>
      </c>
      <c r="DK79" s="180">
        <f>$BS79*(VLOOKUP(DK$4, Rates_current!$G$6:$Q$29, 10, FALSE)+VLOOKUP(DK$4, Rates_current!$G$6:$Q$29, 11, FALSE))</f>
        <v>24855.796517404502</v>
      </c>
      <c r="DL79" s="180">
        <f>$BS79*(VLOOKUP(DL$4, Rates_current!$G$6:$Q$29, 10, FALSE)+VLOOKUP(DL$4, Rates_current!$G$6:$Q$29, 11, FALSE))</f>
        <v>25829.014985140802</v>
      </c>
      <c r="DM79" s="180">
        <f>$BS79*(VLOOKUP(DM$4, Rates_current!$G$6:$Q$29, 10, FALSE)+VLOOKUP(DM$4, Rates_current!$G$6:$Q$29, 11, FALSE))</f>
        <v>22216.395675126598</v>
      </c>
      <c r="DN79" s="180">
        <f>$BS79*(VLOOKUP(DN$4, Rates_current!$G$6:$Q$29, 10, FALSE)+VLOOKUP(DN$4, Rates_current!$G$6:$Q$29, 11, FALSE))</f>
        <v>24255.9054521037</v>
      </c>
      <c r="DO79" s="180">
        <f>$BS79*(VLOOKUP(DO$4, Rates_current!$G$6:$Q$29, 10, FALSE)+VLOOKUP(DO$4, Rates_current!$G$6:$Q$29, 11, FALSE))</f>
        <v>19145.949738857475</v>
      </c>
      <c r="DP79" s="180">
        <f>$BS79*(VLOOKUP(DP$4, Rates_current!$G$6:$Q$29, 10, FALSE)+VLOOKUP(DP$4, Rates_current!$G$6:$Q$29, 11, FALSE))</f>
        <v>23753.116328024553</v>
      </c>
      <c r="DQ79" s="180">
        <f>$BS79*(VLOOKUP(DQ$4, Rates_current!$G$6:$Q$29, 10, FALSE)+VLOOKUP(DQ$4, Rates_current!$G$6:$Q$29, 11, FALSE))</f>
        <v>24268.49965462635</v>
      </c>
      <c r="DR79" s="180">
        <f>$BS79*(VLOOKUP(DR$4, Rates_current!$G$6:$Q$29, 10, FALSE)+VLOOKUP(DR$4, Rates_current!$G$6:$Q$29, 11, FALSE))</f>
        <v>21068.554023694051</v>
      </c>
      <c r="DS79" s="180">
        <f>$BS79*(VLOOKUP(DS$4, Rates_current!$G$6:$Q$29, 10, FALSE)+VLOOKUP(DS$4, Rates_current!$G$6:$Q$29, 11, FALSE))</f>
        <v>20367.69153555395</v>
      </c>
      <c r="DT79" s="180">
        <f>$BS79*(VLOOKUP(DT$4, Rates_current!$G$6:$Q$29, 10, FALSE)+VLOOKUP(DT$4, Rates_current!$G$6:$Q$29, 11, FALSE))</f>
        <v>18742.220393004602</v>
      </c>
      <c r="DU79" s="402">
        <f>IF(D79=0,IF(C79=0,MAX(0,DW79 - (VLOOKUP($A79,TOCA_current!$A$2:$AI$137,MATCH("RHWM 2024",TOCA_current!$A$2:$AI$2,0),FALSE)*$BS$2)), 0),0)</f>
        <v>0</v>
      </c>
      <c r="DV79" s="403">
        <f>MIN(VLOOKUP($A79,TOCA_current!$A$2:$AI$137,MATCH("TRL - NLSL - Existing Resource "&amp;$BS$1,TOCA_current!$A$2:$AI$2,0),FALSE)*$BS$2, VLOOKUP($A79,TOCA_current!$A$2:$AI$137,MATCH("RHWM 2024",TOCA_current!$A$2:$AI$2,0),FALSE)*$BS$2)</f>
        <v>265593.02400000003</v>
      </c>
      <c r="DW79" s="403">
        <f>SUM(BY79:CV79)+(BS79*RT1SC!$C$4*$BS$2)</f>
        <v>265596.84521743102</v>
      </c>
      <c r="DX79" s="403">
        <f>VLOOKUP($A79,TOCA_current!$A$2:$AI$137,MATCH("Above RHWM Not Served with LS "&amp;$BS$1,TOCA_current!$A$2:$AI$2,0),FALSE)*$BS$2</f>
        <v>0</v>
      </c>
      <c r="DY79" s="403">
        <f t="shared" si="32"/>
        <v>3.8212174309883267</v>
      </c>
      <c r="DZ79" s="403">
        <f>(VLOOKUP($A79,TOCA_current!$A$2:$AI$137,MATCH("RHWM 2024",TOCA_current!$A$2:$AI$2,0),FALSE)*$BS$2) - $DV79</f>
        <v>25271.56799999997</v>
      </c>
      <c r="EA79" s="403">
        <f t="shared" si="33"/>
        <v>-3.8212174309883267</v>
      </c>
      <c r="EB79" s="403">
        <f t="shared" si="34"/>
        <v>0</v>
      </c>
      <c r="EC79" s="403">
        <f t="shared" si="35"/>
        <v>0</v>
      </c>
      <c r="ED79" s="403">
        <f t="shared" si="36"/>
        <v>-3.8212174309883267</v>
      </c>
    </row>
    <row r="80" spans="1:134">
      <c r="A80" s="123">
        <v>10236</v>
      </c>
      <c r="B80" s="124" t="s">
        <v>81</v>
      </c>
      <c r="C80" s="232">
        <f>VLOOKUP(A80, TOCA_current!$A$3:$D$137, 4, FALSE)</f>
        <v>1</v>
      </c>
      <c r="D80" s="191">
        <v>0</v>
      </c>
      <c r="E80" s="107">
        <f>VLOOKUP($A80,TOCA_previous!$A$2:$AI$137,MATCH(E$4,TOCA_previous!$A$2:$AI$2,0),FALSE)</f>
        <v>4.0645000000000004E-3</v>
      </c>
      <c r="F80" s="108">
        <f>VLOOKUP($A80,TOCA_previous!$A$2:$AI$137,MATCH(F$4,TOCA_previous!$A$2:$AI$2,0),FALSE)</f>
        <v>4.0645000000000004E-3</v>
      </c>
      <c r="G80" s="108">
        <f t="shared" si="24"/>
        <v>0</v>
      </c>
      <c r="H80" s="108">
        <f>VLOOKUP($A80,TOCA_previous!$A$2:$AI$137,MATCH(H$4,TOCA_previous!$A$2:$AI$2,0),FALSE)</f>
        <v>6.5000000000000002E-2</v>
      </c>
      <c r="I80" s="108">
        <f t="shared" si="25"/>
        <v>6.5000000000000002E-2</v>
      </c>
      <c r="J80" s="108">
        <f t="shared" si="26"/>
        <v>4.0645000000000004E-3</v>
      </c>
      <c r="K80" s="179">
        <f>VLOOKUP(A80, IRD!$A$5:$C$139, 3, FALSE)</f>
        <v>0</v>
      </c>
      <c r="L80" s="180">
        <f t="array" ref="L80">IF($G80=0, INDEX(LS_previous!$D$4:$AY$138, MATCH('Staging Table'!$A80, LS_previous!$B$4:$B$138, 0), MATCH(L$4&amp;L$5, LS_previous!$D$2:$AY$2&amp;LS_previous!$D$3:$AY$3, 0)),SUM(VLOOKUP($A80, LS_previous!$B$4:$AY$138, LS_previous!D$149, FALSE), VLOOKUP('Staging Table'!$A80, LS_previous!$B$4:$AY$138,LS_previous!AB$149, FALSE))/2)</f>
        <v>0</v>
      </c>
      <c r="M80" s="180">
        <f t="array" ref="M80">IF($G80=0, INDEX(LS_previous!$D$4:$AY$138, MATCH('Staging Table'!$A80, LS_previous!$B$4:$B$138, 0), MATCH(M$4&amp;M$5, LS_previous!$D$2:$AY$2&amp;LS_previous!$D$3:$AY$3, 0)),SUM(VLOOKUP($A80, LS_previous!$B$4:$AY$138, LS_previous!E$149, FALSE), VLOOKUP('Staging Table'!$A80, LS_previous!$B$4:$AY$138,LS_previous!AC$149, FALSE))/2)</f>
        <v>0</v>
      </c>
      <c r="N80" s="180">
        <f t="array" ref="N80">IF($G80=0, INDEX(LS_previous!$D$4:$AY$138, MATCH('Staging Table'!$A80, LS_previous!$B$4:$B$138, 0), MATCH(N$4&amp;N$5, LS_previous!$D$2:$AY$2&amp;LS_previous!$D$3:$AY$3, 0)),SUM(VLOOKUP($A80, LS_previous!$B$4:$AY$138, LS_previous!F$149, FALSE), VLOOKUP('Staging Table'!$A80, LS_previous!$B$4:$AY$138,LS_previous!AD$149, FALSE))/2)</f>
        <v>0</v>
      </c>
      <c r="O80" s="180">
        <f t="array" ref="O80">IF($G80=0, INDEX(LS_previous!$D$4:$AY$138, MATCH('Staging Table'!$A80, LS_previous!$B$4:$B$138, 0), MATCH(O$4&amp;O$5, LS_previous!$D$2:$AY$2&amp;LS_previous!$D$3:$AY$3, 0)),SUM(VLOOKUP($A80, LS_previous!$B$4:$AY$138, LS_previous!G$149, FALSE), VLOOKUP('Staging Table'!$A80, LS_previous!$B$4:$AY$138,LS_previous!AE$149, FALSE))/2)</f>
        <v>0</v>
      </c>
      <c r="P80" s="180">
        <f t="array" ref="P80">IF($G80=0, INDEX(LS_previous!$D$4:$AY$138, MATCH('Staging Table'!$A80, LS_previous!$B$4:$B$138, 0), MATCH(P$4&amp;P$5, LS_previous!$D$2:$AY$2&amp;LS_previous!$D$3:$AY$3, 0)),SUM(VLOOKUP($A80, LS_previous!$B$4:$AY$138, LS_previous!H$149, FALSE), VLOOKUP('Staging Table'!$A80, LS_previous!$B$4:$AY$138,LS_previous!AF$149, FALSE))/2)</f>
        <v>0</v>
      </c>
      <c r="Q80" s="180">
        <f t="array" ref="Q80">IF($G80=0, INDEX(LS_previous!$D$4:$AY$138, MATCH('Staging Table'!$A80, LS_previous!$B$4:$B$138, 0), MATCH(Q$4&amp;Q$5, LS_previous!$D$2:$AY$2&amp;LS_previous!$D$3:$AY$3, 0)),SUM(VLOOKUP($A80, LS_previous!$B$4:$AY$138, LS_previous!I$149, FALSE), VLOOKUP('Staging Table'!$A80, LS_previous!$B$4:$AY$138,LS_previous!AG$149, FALSE))/2)</f>
        <v>0</v>
      </c>
      <c r="R80" s="180">
        <f t="array" ref="R80">IF($G80=0, INDEX(LS_previous!$D$4:$AY$138, MATCH('Staging Table'!$A80, LS_previous!$B$4:$B$138, 0), MATCH(R$4&amp;R$5, LS_previous!$D$2:$AY$2&amp;LS_previous!$D$3:$AY$3, 0)),SUM(VLOOKUP($A80, LS_previous!$B$4:$AY$138, LS_previous!J$149, FALSE), VLOOKUP('Staging Table'!$A80, LS_previous!$B$4:$AY$138,LS_previous!AH$149, FALSE))/2)</f>
        <v>0</v>
      </c>
      <c r="S80" s="180">
        <f t="array" ref="S80">IF($G80=0, INDEX(LS_previous!$D$4:$AY$138, MATCH('Staging Table'!$A80, LS_previous!$B$4:$B$138, 0), MATCH(S$4&amp;S$5, LS_previous!$D$2:$AY$2&amp;LS_previous!$D$3:$AY$3, 0)),SUM(VLOOKUP($A80, LS_previous!$B$4:$AY$138, LS_previous!K$149, FALSE), VLOOKUP('Staging Table'!$A80, LS_previous!$B$4:$AY$138,LS_previous!AI$149, FALSE))/2)</f>
        <v>0</v>
      </c>
      <c r="T80" s="180">
        <f t="array" ref="T80">IF($G80=0, INDEX(LS_previous!$D$4:$AY$138, MATCH('Staging Table'!$A80, LS_previous!$B$4:$B$138, 0), MATCH(T$4&amp;T$5, LS_previous!$D$2:$AY$2&amp;LS_previous!$D$3:$AY$3, 0)),SUM(VLOOKUP($A80, LS_previous!$B$4:$AY$138, LS_previous!L$149, FALSE), VLOOKUP('Staging Table'!$A80, LS_previous!$B$4:$AY$138,LS_previous!AJ$149, FALSE))/2)</f>
        <v>0</v>
      </c>
      <c r="U80" s="180">
        <f t="array" ref="U80">IF($G80=0, INDEX(LS_previous!$D$4:$AY$138, MATCH('Staging Table'!$A80, LS_previous!$B$4:$B$138, 0), MATCH(U$4&amp;U$5, LS_previous!$D$2:$AY$2&amp;LS_previous!$D$3:$AY$3, 0)),SUM(VLOOKUP($A80, LS_previous!$B$4:$AY$138, LS_previous!M$149, FALSE), VLOOKUP('Staging Table'!$A80, LS_previous!$B$4:$AY$138,LS_previous!AK$149, FALSE))/2)</f>
        <v>0</v>
      </c>
      <c r="V80" s="180">
        <f t="array" ref="V80">IF($G80=0, INDEX(LS_previous!$D$4:$AY$138, MATCH('Staging Table'!$A80, LS_previous!$B$4:$B$138, 0), MATCH(V$4&amp;V$5, LS_previous!$D$2:$AY$2&amp;LS_previous!$D$3:$AY$3, 0)),SUM(VLOOKUP($A80, LS_previous!$B$4:$AY$138, LS_previous!N$149, FALSE), VLOOKUP('Staging Table'!$A80, LS_previous!$B$4:$AY$138,LS_previous!AL$149, FALSE))/2)</f>
        <v>0</v>
      </c>
      <c r="W80" s="180">
        <f t="array" ref="W80">IF($G80=0, INDEX(LS_previous!$D$4:$AY$138, MATCH('Staging Table'!$A80, LS_previous!$B$4:$B$138, 0), MATCH(W$4&amp;W$5, LS_previous!$D$2:$AY$2&amp;LS_previous!$D$3:$AY$3, 0)),SUM(VLOOKUP($A80, LS_previous!$B$4:$AY$138, LS_previous!O$149, FALSE), VLOOKUP('Staging Table'!$A80, LS_previous!$B$4:$AY$138,LS_previous!AM$149, FALSE))/2)</f>
        <v>0</v>
      </c>
      <c r="X80" s="180">
        <f t="array" ref="X80">IF($G80=0, INDEX(LS_previous!$D$4:$AY$138, MATCH('Staging Table'!$A80, LS_previous!$B$4:$B$138, 0), MATCH(X$4&amp;X$5, LS_previous!$D$2:$AY$2&amp;LS_previous!$D$3:$AY$3, 0)),SUM(VLOOKUP($A80, LS_previous!$B$4:$AY$138, LS_previous!P$149, FALSE), VLOOKUP('Staging Table'!$A80, LS_previous!$B$4:$AY$138,LS_previous!AN$149, FALSE))/2)</f>
        <v>0</v>
      </c>
      <c r="Y80" s="180">
        <f t="array" ref="Y80">IF($G80=0, INDEX(LS_previous!$D$4:$AY$138, MATCH('Staging Table'!$A80, LS_previous!$B$4:$B$138, 0), MATCH(Y$4&amp;Y$5, LS_previous!$D$2:$AY$2&amp;LS_previous!$D$3:$AY$3, 0)),SUM(VLOOKUP($A80, LS_previous!$B$4:$AY$138, LS_previous!Q$149, FALSE), VLOOKUP('Staging Table'!$A80, LS_previous!$B$4:$AY$138,LS_previous!AO$149, FALSE))/2)</f>
        <v>0</v>
      </c>
      <c r="Z80" s="180">
        <f t="array" ref="Z80">IF($G80=0, INDEX(LS_previous!$D$4:$AY$138, MATCH('Staging Table'!$A80, LS_previous!$B$4:$B$138, 0), MATCH(Z$4&amp;Z$5, LS_previous!$D$2:$AY$2&amp;LS_previous!$D$3:$AY$3, 0)),SUM(VLOOKUP($A80, LS_previous!$B$4:$AY$138, LS_previous!R$149, FALSE), VLOOKUP('Staging Table'!$A80, LS_previous!$B$4:$AY$138,LS_previous!AP$149, FALSE))/2)</f>
        <v>0</v>
      </c>
      <c r="AA80" s="180">
        <f t="array" ref="AA80">IF($G80=0, INDEX(LS_previous!$D$4:$AY$138, MATCH('Staging Table'!$A80, LS_previous!$B$4:$B$138, 0), MATCH(AA$4&amp;AA$5, LS_previous!$D$2:$AY$2&amp;LS_previous!$D$3:$AY$3, 0)),SUM(VLOOKUP($A80, LS_previous!$B$4:$AY$138, LS_previous!S$149, FALSE), VLOOKUP('Staging Table'!$A80, LS_previous!$B$4:$AY$138,LS_previous!AQ$149, FALSE))/2)</f>
        <v>0</v>
      </c>
      <c r="AB80" s="180">
        <f t="array" ref="AB80">IF($G80=0, INDEX(LS_previous!$D$4:$AY$138, MATCH('Staging Table'!$A80, LS_previous!$B$4:$B$138, 0), MATCH(AB$4&amp;AB$5, LS_previous!$D$2:$AY$2&amp;LS_previous!$D$3:$AY$3, 0)),SUM(VLOOKUP($A80, LS_previous!$B$4:$AY$138, LS_previous!T$149, FALSE), VLOOKUP('Staging Table'!$A80, LS_previous!$B$4:$AY$138,LS_previous!AR$149, FALSE))/2)</f>
        <v>0</v>
      </c>
      <c r="AC80" s="180">
        <f t="array" ref="AC80">IF($G80=0, INDEX(LS_previous!$D$4:$AY$138, MATCH('Staging Table'!$A80, LS_previous!$B$4:$B$138, 0), MATCH(AC$4&amp;AC$5, LS_previous!$D$2:$AY$2&amp;LS_previous!$D$3:$AY$3, 0)),SUM(VLOOKUP($A80, LS_previous!$B$4:$AY$138, LS_previous!U$149, FALSE), VLOOKUP('Staging Table'!$A80, LS_previous!$B$4:$AY$138,LS_previous!AS$149, FALSE))/2)</f>
        <v>0</v>
      </c>
      <c r="AD80" s="180">
        <f t="array" ref="AD80">IF($G80=0, INDEX(LS_previous!$D$4:$AY$138, MATCH('Staging Table'!$A80, LS_previous!$B$4:$B$138, 0), MATCH(AD$4&amp;AD$5, LS_previous!$D$2:$AY$2&amp;LS_previous!$D$3:$AY$3, 0)),SUM(VLOOKUP($A80, LS_previous!$B$4:$AY$138, LS_previous!V$149, FALSE), VLOOKUP('Staging Table'!$A80, LS_previous!$B$4:$AY$138,LS_previous!AT$149, FALSE))/2)</f>
        <v>0</v>
      </c>
      <c r="AE80" s="180">
        <f t="array" ref="AE80">IF($G80=0, INDEX(LS_previous!$D$4:$AY$138, MATCH('Staging Table'!$A80, LS_previous!$B$4:$B$138, 0), MATCH(AE$4&amp;AE$5, LS_previous!$D$2:$AY$2&amp;LS_previous!$D$3:$AY$3, 0)),SUM(VLOOKUP($A80, LS_previous!$B$4:$AY$138, LS_previous!W$149, FALSE), VLOOKUP('Staging Table'!$A80, LS_previous!$B$4:$AY$138,LS_previous!AU$149, FALSE))/2)</f>
        <v>0</v>
      </c>
      <c r="AF80" s="180">
        <f t="array" ref="AF80">IF($G80=0, INDEX(LS_previous!$D$4:$AY$138, MATCH('Staging Table'!$A80, LS_previous!$B$4:$B$138, 0), MATCH(AF$4&amp;AF$5, LS_previous!$D$2:$AY$2&amp;LS_previous!$D$3:$AY$3, 0)),SUM(VLOOKUP($A80, LS_previous!$B$4:$AY$138, LS_previous!X$149, FALSE), VLOOKUP('Staging Table'!$A80, LS_previous!$B$4:$AY$138,LS_previous!AV$149, FALSE))/2)</f>
        <v>0</v>
      </c>
      <c r="AG80" s="180">
        <f t="array" ref="AG80">IF($G80=0, INDEX(LS_previous!$D$4:$AY$138, MATCH('Staging Table'!$A80, LS_previous!$B$4:$B$138, 0), MATCH(AG$4&amp;AG$5, LS_previous!$D$2:$AY$2&amp;LS_previous!$D$3:$AY$3, 0)),SUM(VLOOKUP($A80, LS_previous!$B$4:$AY$138, LS_previous!Y$149, FALSE), VLOOKUP('Staging Table'!$A80, LS_previous!$B$4:$AY$138,LS_previous!AW$149, FALSE))/2)</f>
        <v>0</v>
      </c>
      <c r="AH80" s="180">
        <f t="array" ref="AH80">IF($G80=0, INDEX(LS_previous!$D$4:$AY$138, MATCH('Staging Table'!$A80, LS_previous!$B$4:$B$138, 0), MATCH(AH$4&amp;AH$5, LS_previous!$D$2:$AY$2&amp;LS_previous!$D$3:$AY$3, 0)),SUM(VLOOKUP($A80, LS_previous!$B$4:$AY$138, LS_previous!Z$149, FALSE), VLOOKUP('Staging Table'!$A80, LS_previous!$B$4:$AY$138,LS_previous!AX$149, FALSE))/2)</f>
        <v>0</v>
      </c>
      <c r="AI80" s="180">
        <f t="array" ref="AI80">IF($G80=0, INDEX(LS_previous!$D$4:$AY$138, MATCH('Staging Table'!$A80, LS_previous!$B$4:$B$138, 0), MATCH(AI$4&amp;AI$5, LS_previous!$D$2:$AY$2&amp;LS_previous!$D$3:$AY$3, 0)),SUM(VLOOKUP($A80, LS_previous!$B$4:$AY$138, LS_previous!AA$149, FALSE), VLOOKUP('Staging Table'!$A80, LS_previous!$B$4:$AY$138,LS_previous!AY$149, FALSE))/2)</f>
        <v>0</v>
      </c>
      <c r="AJ80" s="298">
        <f t="array" ref="AJ80">INDEX(Demand_previous!$D$4:$AY$138, MATCH('Staging Table'!$A80, Demand_previous!$B$4:$B$138, 0), MATCH(AJ$4&amp;AJ$5,Demand_previous!$D$2:$AY$2&amp;Demand_previous!$D$3:$AY$3, 0))/1000</f>
        <v>0</v>
      </c>
      <c r="AK80" s="298">
        <f t="array" ref="AK80">INDEX(Demand_previous!$D$4:$AY$138, MATCH('Staging Table'!$A80, Demand_previous!$B$4:$B$138, 0), MATCH(AK$4&amp;AK$5,Demand_previous!$D$2:$AY$2&amp;Demand_previous!$D$3:$AY$3, 0))/1000</f>
        <v>0</v>
      </c>
      <c r="AL80" s="298">
        <f t="array" ref="AL80">INDEX(Demand_previous!$D$4:$AY$138, MATCH('Staging Table'!$A80, Demand_previous!$B$4:$B$138, 0), MATCH(AL$4&amp;AL$5,Demand_previous!$D$2:$AY$2&amp;Demand_previous!$D$3:$AY$3, 0))/1000</f>
        <v>0</v>
      </c>
      <c r="AM80" s="298">
        <f t="array" ref="AM80">INDEX(Demand_previous!$D$4:$AY$138, MATCH('Staging Table'!$A80, Demand_previous!$B$4:$B$138, 0), MATCH(AM$4&amp;AM$5,Demand_previous!$D$2:$AY$2&amp;Demand_previous!$D$3:$AY$3, 0))/1000</f>
        <v>0</v>
      </c>
      <c r="AN80" s="298">
        <f t="array" ref="AN80">INDEX(Demand_previous!$D$4:$AY$138, MATCH('Staging Table'!$A80, Demand_previous!$B$4:$B$138, 0), MATCH(AN$4&amp;AN$5,Demand_previous!$D$2:$AY$2&amp;Demand_previous!$D$3:$AY$3, 0))/1000</f>
        <v>0</v>
      </c>
      <c r="AO80" s="298">
        <f t="array" ref="AO80">INDEX(Demand_previous!$D$4:$AY$138, MATCH('Staging Table'!$A80, Demand_previous!$B$4:$B$138, 0), MATCH(AO$4&amp;AO$5,Demand_previous!$D$2:$AY$2&amp;Demand_previous!$D$3:$AY$3, 0))/1000</f>
        <v>0</v>
      </c>
      <c r="AP80" s="298">
        <f t="array" ref="AP80">INDEX(Demand_previous!$D$4:$AY$138, MATCH('Staging Table'!$A80, Demand_previous!$B$4:$B$138, 0), MATCH(AP$4&amp;AP$5,Demand_previous!$D$2:$AY$2&amp;Demand_previous!$D$3:$AY$3, 0))/1000</f>
        <v>0</v>
      </c>
      <c r="AQ80" s="298">
        <f t="array" ref="AQ80">INDEX(Demand_previous!$D$4:$AY$138, MATCH('Staging Table'!$A80, Demand_previous!$B$4:$B$138, 0), MATCH(AQ$4&amp;AQ$5,Demand_previous!$D$2:$AY$2&amp;Demand_previous!$D$3:$AY$3, 0))/1000</f>
        <v>0</v>
      </c>
      <c r="AR80" s="298">
        <f t="array" ref="AR80">INDEX(Demand_previous!$D$4:$AY$138, MATCH('Staging Table'!$A80, Demand_previous!$B$4:$B$138, 0), MATCH(AR$4&amp;AR$5,Demand_previous!$D$2:$AY$2&amp;Demand_previous!$D$3:$AY$3, 0))/1000</f>
        <v>0</v>
      </c>
      <c r="AS80" s="298">
        <f t="array" ref="AS80">INDEX(Demand_previous!$D$4:$AY$138, MATCH('Staging Table'!$A80, Demand_previous!$B$4:$B$138, 0), MATCH(AS$4&amp;AS$5,Demand_previous!$D$2:$AY$2&amp;Demand_previous!$D$3:$AY$3, 0))/1000</f>
        <v>0</v>
      </c>
      <c r="AT80" s="298">
        <f t="array" ref="AT80">INDEX(Demand_previous!$D$4:$AY$138, MATCH('Staging Table'!$A80, Demand_previous!$B$4:$B$138, 0), MATCH(AT$4&amp;AT$5,Demand_previous!$D$2:$AY$2&amp;Demand_previous!$D$3:$AY$3, 0))/1000</f>
        <v>0</v>
      </c>
      <c r="AU80" s="298">
        <f t="array" ref="AU80">INDEX(Demand_previous!$D$4:$AY$138, MATCH('Staging Table'!$A80, Demand_previous!$B$4:$B$138, 0), MATCH(AU$4&amp;AU$5,Demand_previous!$D$2:$AY$2&amp;Demand_previous!$D$3:$AY$3, 0))/1000</f>
        <v>0</v>
      </c>
      <c r="AV80" s="180">
        <f>$F80*(VLOOKUP(AV$4, Rates_previous!$G$6:$Q$29, 10, FALSE)+VLOOKUP(AV$4, Rates_previous!$G$6:$Q$29, 11, FALSE))</f>
        <v>18509.425808191216</v>
      </c>
      <c r="AW80" s="180">
        <f>$F80*(VLOOKUP(AW$4, Rates_previous!$G$6:$Q$29, 10, FALSE)+VLOOKUP(AW$4, Rates_previous!$G$6:$Q$29, 11, FALSE))</f>
        <v>23433.60482645949</v>
      </c>
      <c r="AX80" s="180">
        <f>$F80*(VLOOKUP(AX$4, Rates_previous!$G$6:$Q$29, 10, FALSE)+VLOOKUP(AX$4, Rates_previous!$G$6:$Q$29, 11, FALSE))</f>
        <v>22936.817484174204</v>
      </c>
      <c r="AY80" s="180">
        <f>$F80*(VLOOKUP(AY$4, Rates_previous!$G$6:$Q$29, 10, FALSE)+VLOOKUP(AY$4, Rates_previous!$G$6:$Q$29, 11, FALSE))</f>
        <v>18944.835857390703</v>
      </c>
      <c r="AZ80" s="180">
        <f>$F80*(VLOOKUP(AZ$4, Rates_previous!$G$6:$Q$29, 10, FALSE)+VLOOKUP(AZ$4, Rates_previous!$G$6:$Q$29, 11, FALSE))</f>
        <v>16419.904453239753</v>
      </c>
      <c r="BA80" s="180">
        <f>$F80*(VLOOKUP(BA$4, Rates_previous!$G$6:$Q$29, 10, FALSE)+VLOOKUP(BA$4, Rates_previous!$G$6:$Q$29, 11, FALSE))</f>
        <v>19602.050094028353</v>
      </c>
      <c r="BB80" s="180">
        <f>$F80*(VLOOKUP(BB$4, Rates_previous!$G$6:$Q$29, 10, FALSE)+VLOOKUP(BB$4, Rates_previous!$G$6:$Q$29, 11, FALSE))</f>
        <v>15218.382298658313</v>
      </c>
      <c r="BC80" s="180">
        <f>$F80*(VLOOKUP(BC$4, Rates_previous!$G$6:$Q$29, 10, FALSE)+VLOOKUP(BC$4, Rates_previous!$G$6:$Q$29, 11, FALSE))</f>
        <v>21085.18066662483</v>
      </c>
      <c r="BD80" s="180">
        <f>$F80*(VLOOKUP(BD$4, Rates_previous!$G$6:$Q$29, 10, FALSE)+VLOOKUP(BD$4, Rates_previous!$G$6:$Q$29, 11, FALSE))</f>
        <v>22529.957048076372</v>
      </c>
      <c r="BE80" s="180">
        <f>$F80*(VLOOKUP(BE$4, Rates_previous!$G$6:$Q$29, 10, FALSE)+VLOOKUP(BE$4, Rates_previous!$G$6:$Q$29, 11, FALSE))</f>
        <v>21391.174024674041</v>
      </c>
      <c r="BF80" s="180">
        <f>$F80*(VLOOKUP(BF$4, Rates_previous!$G$6:$Q$29, 10, FALSE)+VLOOKUP(BF$4, Rates_previous!$G$6:$Q$29, 11, FALSE))</f>
        <v>20672.919451633457</v>
      </c>
      <c r="BG80" s="180">
        <f>$F80*(VLOOKUP(BG$4, Rates_previous!$G$6:$Q$29, 10, FALSE)+VLOOKUP(BG$4, Rates_previous!$G$6:$Q$29, 11, FALSE))</f>
        <v>19103.932639756858</v>
      </c>
      <c r="BH80" s="298">
        <f>IF($D80=0,IF(C80=0, MAX(BJ80 - (VLOOKUP($A80,TOCA_previous!$A$2:$AI$137,MATCH("RHWM 2022",TOCA_previous!$A$2:$AI$2,0),FALSE)*$F$2*TOCA_previous!C77),0),0), 0)</f>
        <v>0</v>
      </c>
      <c r="BI80" s="192">
        <f>MIN(VLOOKUP($A80,TOCA_previous!$A$2:$AI$137,MATCH("TRL - NLSL - Existing Resource "&amp;$F$1,TOCA_previous!$A$2:$AI$2,0),FALSE)*$F$2,(VLOOKUP($A80,TOCA_previous!$A$2:$AI$137,MATCH("RHWM 2022",TOCA_previous!$A$2:$AI$2,0),FALSE)*$F$2))</f>
        <v>239848.8</v>
      </c>
      <c r="BJ80" s="402">
        <f>SUM(L80:AI80)+(F80*RT1SC!$C$3*$F$2)</f>
        <v>239848.19692218004</v>
      </c>
      <c r="BK80" s="401">
        <f>VLOOKUP($A80,TOCA_previous!$A$2:$AI$137,MATCH("Above RHWM Not Served with LS "&amp;$F$1,TOCA_previous!$A$2:$AI$2,0),FALSE)*$F$2</f>
        <v>0</v>
      </c>
      <c r="BL80" s="402">
        <f t="shared" si="27"/>
        <v>-0.60307781994924881</v>
      </c>
      <c r="BM80" s="401">
        <f>(VLOOKUP($A80,TOCA_previous!$A$2:$AI$137,MATCH("RHWM 2022",TOCA_previous!$A$2:$AI$2,0),FALSE)*$F$2) - $BI80</f>
        <v>3337.5599999999977</v>
      </c>
      <c r="BN80" s="402">
        <f t="shared" si="28"/>
        <v>0</v>
      </c>
      <c r="BO80" s="401">
        <f t="shared" si="29"/>
        <v>0.60307781994924881</v>
      </c>
      <c r="BP80" s="402">
        <f t="shared" si="30"/>
        <v>0</v>
      </c>
      <c r="BQ80" s="401">
        <f t="shared" si="21"/>
        <v>0.60307781994924881</v>
      </c>
      <c r="BR80" s="108">
        <f>VLOOKUP($A80,TOCA_current!$A$2:$AI$137,MATCH(BR$4,TOCA_current!$A$2:$AI$2,0),FALSE)</f>
        <v>3.9744999999999997E-3</v>
      </c>
      <c r="BS80" s="108">
        <f>VLOOKUP($A80,TOCA_current!$A$2:$AI$137,MATCH(BS$4,TOCA_current!$A$2:$AI$2,0),FALSE)</f>
        <v>3.9744999999999997E-3</v>
      </c>
      <c r="BT80" s="189">
        <f t="shared" si="31"/>
        <v>0</v>
      </c>
      <c r="BU80" s="108">
        <f>VLOOKUP($A80,TOCA_current!A76:BG211,MATCH(BU$4,TOCA_current!$A$2:$BG$2,0),FALSE)</f>
        <v>6.5000000000000002E-2</v>
      </c>
      <c r="BV80" s="108">
        <f t="shared" si="22"/>
        <v>6.5000000000000002E-2</v>
      </c>
      <c r="BW80" s="108">
        <f t="shared" si="23"/>
        <v>3.9744999999999997E-3</v>
      </c>
      <c r="BX80" s="179">
        <f>VLOOKUP($A80,IRD!$A$4:$G$139, 7, FALSE)</f>
        <v>0</v>
      </c>
      <c r="BY80" s="180">
        <f t="array" ref="BY80">IF($BT80=0, INDEX(LS_current!$D$4:$AY$138, MATCH('Staging Table'!$A80, LS_current!$B$4:$B$138, 0), MATCH(BY$4&amp;BY$5, LS_current!$D$2:$AY$2&amp;LS_current!$D$3:$AY$3, 0)),SUM(VLOOKUP($A80, LS_current!$B$4:$AY$138, LS_current!D$148, FALSE), VLOOKUP($A80, LS_current!$B$4:$AY$138,LS_current!AB$148, FALSE))/2)</f>
        <v>0</v>
      </c>
      <c r="BZ80" s="180">
        <f t="array" ref="BZ80">IF($BT80=0, INDEX(LS_current!$D$4:$AY$138, MATCH('Staging Table'!$A80, LS_current!$B$4:$B$138, 0), MATCH(BZ$4&amp;BZ$5, LS_current!$D$2:$AY$2&amp;LS_current!$D$3:$AY$3, 0)),SUM(VLOOKUP($A80, LS_current!$B$4:$AY$138, LS_current!E$148, FALSE), VLOOKUP($A80, LS_current!$B$4:$AY$138,LS_current!AC$148, FALSE))/2)</f>
        <v>0</v>
      </c>
      <c r="CA80" s="180">
        <f t="array" ref="CA80">IF($BT80=0, INDEX(LS_current!$D$4:$AY$138, MATCH('Staging Table'!$A80, LS_current!$B$4:$B$138, 0), MATCH(CA$4&amp;CA$5, LS_current!$D$2:$AY$2&amp;LS_current!$D$3:$AY$3, 0)),SUM(VLOOKUP($A80, LS_current!$B$4:$AY$138, LS_current!F$148, FALSE), VLOOKUP($A80, LS_current!$B$4:$AY$138,LS_current!AD$148, FALSE))/2)</f>
        <v>0</v>
      </c>
      <c r="CB80" s="180">
        <f t="array" ref="CB80">IF($BT80=0, INDEX(LS_current!$D$4:$AY$138, MATCH('Staging Table'!$A80, LS_current!$B$4:$B$138, 0), MATCH(CB$4&amp;CB$5, LS_current!$D$2:$AY$2&amp;LS_current!$D$3:$AY$3, 0)),SUM(VLOOKUP($A80, LS_current!$B$4:$AY$138, LS_current!G$148, FALSE), VLOOKUP($A80, LS_current!$B$4:$AY$138,LS_current!AE$148, FALSE))/2)</f>
        <v>0</v>
      </c>
      <c r="CC80" s="180">
        <f t="array" ref="CC80">IF($BT80=0, INDEX(LS_current!$D$4:$AY$138, MATCH('Staging Table'!$A80, LS_current!$B$4:$B$138, 0), MATCH(CC$4&amp;CC$5, LS_current!$D$2:$AY$2&amp;LS_current!$D$3:$AY$3, 0)),SUM(VLOOKUP($A80, LS_current!$B$4:$AY$138, LS_current!H$148, FALSE), VLOOKUP($A80, LS_current!$B$4:$AY$138,LS_current!AF$148, FALSE))/2)</f>
        <v>0</v>
      </c>
      <c r="CD80" s="180">
        <f t="array" ref="CD80">IF($BT80=0, INDEX(LS_current!$D$4:$AY$138, MATCH('Staging Table'!$A80, LS_current!$B$4:$B$138, 0), MATCH(CD$4&amp;CD$5, LS_current!$D$2:$AY$2&amp;LS_current!$D$3:$AY$3, 0)),SUM(VLOOKUP($A80, LS_current!$B$4:$AY$138, LS_current!I$148, FALSE), VLOOKUP($A80, LS_current!$B$4:$AY$138,LS_current!AG$148, FALSE))/2)</f>
        <v>0</v>
      </c>
      <c r="CE80" s="180">
        <f t="array" ref="CE80">IF($BT80=0, INDEX(LS_current!$D$4:$AY$138, MATCH('Staging Table'!$A80, LS_current!$B$4:$B$138, 0), MATCH(CE$4&amp;CE$5, LS_current!$D$2:$AY$2&amp;LS_current!$D$3:$AY$3, 0)),SUM(VLOOKUP($A80, LS_current!$B$4:$AY$138, LS_current!J$148, FALSE), VLOOKUP($A80, LS_current!$B$4:$AY$138,LS_current!AH$148, FALSE))/2)</f>
        <v>0</v>
      </c>
      <c r="CF80" s="180">
        <f t="array" ref="CF80">IF($BT80=0, INDEX(LS_current!$D$4:$AY$138, MATCH('Staging Table'!$A80, LS_current!$B$4:$B$138, 0), MATCH(CF$4&amp;CF$5, LS_current!$D$2:$AY$2&amp;LS_current!$D$3:$AY$3, 0)),SUM(VLOOKUP($A80, LS_current!$B$4:$AY$138, LS_current!K$148, FALSE), VLOOKUP($A80, LS_current!$B$4:$AY$138,LS_current!AI$148, FALSE))/2)</f>
        <v>0</v>
      </c>
      <c r="CG80" s="180">
        <f t="array" ref="CG80">IF($BT80=0, INDEX(LS_current!$D$4:$AY$138, MATCH('Staging Table'!$A80, LS_current!$B$4:$B$138, 0), MATCH(CG$4&amp;CG$5, LS_current!$D$2:$AY$2&amp;LS_current!$D$3:$AY$3, 0)),SUM(VLOOKUP($A80, LS_current!$B$4:$AY$138, LS_current!L$148, FALSE), VLOOKUP($A80, LS_current!$B$4:$AY$138,LS_current!AJ$148, FALSE))/2)</f>
        <v>0</v>
      </c>
      <c r="CH80" s="180">
        <f t="array" ref="CH80">IF($BT80=0, INDEX(LS_current!$D$4:$AY$138, MATCH('Staging Table'!$A80, LS_current!$B$4:$B$138, 0), MATCH(CH$4&amp;CH$5, LS_current!$D$2:$AY$2&amp;LS_current!$D$3:$AY$3, 0)),SUM(VLOOKUP($A80, LS_current!$B$4:$AY$138, LS_current!M$148, FALSE), VLOOKUP($A80, LS_current!$B$4:$AY$138,LS_current!AK$148, FALSE))/2)</f>
        <v>0</v>
      </c>
      <c r="CI80" s="180">
        <f t="array" ref="CI80">IF($BT80=0, INDEX(LS_current!$D$4:$AY$138, MATCH('Staging Table'!$A80, LS_current!$B$4:$B$138, 0), MATCH(CI$4&amp;CI$5, LS_current!$D$2:$AY$2&amp;LS_current!$D$3:$AY$3, 0)),SUM(VLOOKUP($A80, LS_current!$B$4:$AY$138, LS_current!N$148, FALSE), VLOOKUP($A80, LS_current!$B$4:$AY$138,LS_current!AL$148, FALSE))/2)</f>
        <v>0</v>
      </c>
      <c r="CJ80" s="180">
        <f t="array" ref="CJ80">IF($BT80=0, INDEX(LS_current!$D$4:$AY$138, MATCH('Staging Table'!$A80, LS_current!$B$4:$B$138, 0), MATCH(CJ$4&amp;CJ$5, LS_current!$D$2:$AY$2&amp;LS_current!$D$3:$AY$3, 0)),SUM(VLOOKUP($A80, LS_current!$B$4:$AY$138, LS_current!O$148, FALSE), VLOOKUP($A80, LS_current!$B$4:$AY$138,LS_current!AM$148, FALSE))/2)</f>
        <v>0</v>
      </c>
      <c r="CK80" s="180">
        <f t="array" ref="CK80">IF($BT80=0, INDEX(LS_current!$D$4:$AY$138, MATCH('Staging Table'!$A80, LS_current!$B$4:$B$138, 0), MATCH(CK$4&amp;CK$5, LS_current!$D$2:$AY$2&amp;LS_current!$D$3:$AY$3, 0)),SUM(VLOOKUP($A80, LS_current!$B$4:$AY$138, LS_current!P$148, FALSE), VLOOKUP($A80, LS_current!$B$4:$AY$138,LS_current!AN$148, FALSE))/2)</f>
        <v>0</v>
      </c>
      <c r="CL80" s="180">
        <f t="array" ref="CL80">IF($BT80=0, INDEX(LS_current!$D$4:$AY$138, MATCH('Staging Table'!$A80, LS_current!$B$4:$B$138, 0), MATCH(CL$4&amp;CL$5, LS_current!$D$2:$AY$2&amp;LS_current!$D$3:$AY$3, 0)),SUM(VLOOKUP($A80, LS_current!$B$4:$AY$138, LS_current!Q$148, FALSE), VLOOKUP($A80, LS_current!$B$4:$AY$138,LS_current!AO$148, FALSE))/2)</f>
        <v>0</v>
      </c>
      <c r="CM80" s="180">
        <f t="array" ref="CM80">IF($BT80=0, INDEX(LS_current!$D$4:$AY$138, MATCH('Staging Table'!$A80, LS_current!$B$4:$B$138, 0), MATCH(CM$4&amp;CM$5, LS_current!$D$2:$AY$2&amp;LS_current!$D$3:$AY$3, 0)),SUM(VLOOKUP($A80, LS_current!$B$4:$AY$138, LS_current!R$148, FALSE), VLOOKUP($A80, LS_current!$B$4:$AY$138,LS_current!AP$148, FALSE))/2)</f>
        <v>0</v>
      </c>
      <c r="CN80" s="180">
        <f t="array" ref="CN80">IF($BT80=0, INDEX(LS_current!$D$4:$AY$138, MATCH('Staging Table'!$A80, LS_current!$B$4:$B$138, 0), MATCH(CN$4&amp;CN$5, LS_current!$D$2:$AY$2&amp;LS_current!$D$3:$AY$3, 0)),SUM(VLOOKUP($A80, LS_current!$B$4:$AY$138, LS_current!S$148, FALSE), VLOOKUP($A80, LS_current!$B$4:$AY$138,LS_current!AQ$148, FALSE))/2)</f>
        <v>0</v>
      </c>
      <c r="CO80" s="180">
        <f t="array" ref="CO80">IF($BT80=0, INDEX(LS_current!$D$4:$AY$138, MATCH('Staging Table'!$A80, LS_current!$B$4:$B$138, 0), MATCH(CO$4&amp;CO$5, LS_current!$D$2:$AY$2&amp;LS_current!$D$3:$AY$3, 0)),SUM(VLOOKUP($A80, LS_current!$B$4:$AY$138, LS_current!T$148, FALSE), VLOOKUP($A80, LS_current!$B$4:$AY$138,LS_current!AR$148, FALSE))/2)</f>
        <v>0</v>
      </c>
      <c r="CP80" s="180">
        <f t="array" ref="CP80">IF($BT80=0, INDEX(LS_current!$D$4:$AY$138, MATCH('Staging Table'!$A80, LS_current!$B$4:$B$138, 0), MATCH(CP$4&amp;CP$5, LS_current!$D$2:$AY$2&amp;LS_current!$D$3:$AY$3, 0)),SUM(VLOOKUP($A80, LS_current!$B$4:$AY$138, LS_current!U$148, FALSE), VLOOKUP($A80, LS_current!$B$4:$AY$138,LS_current!AS$148, FALSE))/2)</f>
        <v>0</v>
      </c>
      <c r="CQ80" s="180">
        <f t="array" ref="CQ80">IF($BT80=0, INDEX(LS_current!$D$4:$AY$138, MATCH('Staging Table'!$A80, LS_current!$B$4:$B$138, 0), MATCH(CQ$4&amp;CQ$5, LS_current!$D$2:$AY$2&amp;LS_current!$D$3:$AY$3, 0)),SUM(VLOOKUP($A80, LS_current!$B$4:$AY$138, LS_current!V$148, FALSE), VLOOKUP($A80, LS_current!$B$4:$AY$138,LS_current!AT$148, FALSE))/2)</f>
        <v>0</v>
      </c>
      <c r="CR80" s="180">
        <f t="array" ref="CR80">IF($BT80=0, INDEX(LS_current!$D$4:$AY$138, MATCH('Staging Table'!$A80, LS_current!$B$4:$B$138, 0), MATCH(CR$4&amp;CR$5, LS_current!$D$2:$AY$2&amp;LS_current!$D$3:$AY$3, 0)),SUM(VLOOKUP($A80, LS_current!$B$4:$AY$138, LS_current!W$148, FALSE), VLOOKUP($A80, LS_current!$B$4:$AY$138,LS_current!AU$148, FALSE))/2)</f>
        <v>0</v>
      </c>
      <c r="CS80" s="180">
        <f t="array" ref="CS80">IF($BT80=0, INDEX(LS_current!$D$4:$AY$138, MATCH('Staging Table'!$A80, LS_current!$B$4:$B$138, 0), MATCH(CS$4&amp;CS$5, LS_current!$D$2:$AY$2&amp;LS_current!$D$3:$AY$3, 0)),SUM(VLOOKUP($A80, LS_current!$B$4:$AY$138, LS_current!X$148, FALSE), VLOOKUP($A80, LS_current!$B$4:$AY$138,LS_current!AV$148, FALSE))/2)</f>
        <v>0</v>
      </c>
      <c r="CT80" s="180">
        <f t="array" ref="CT80">IF($BT80=0, INDEX(LS_current!$D$4:$AY$138, MATCH('Staging Table'!$A80, LS_current!$B$4:$B$138, 0), MATCH(CT$4&amp;CT$5, LS_current!$D$2:$AY$2&amp;LS_current!$D$3:$AY$3, 0)),SUM(VLOOKUP($A80, LS_current!$B$4:$AY$138, LS_current!Y$148, FALSE), VLOOKUP($A80, LS_current!$B$4:$AY$138,LS_current!AW$148, FALSE))/2)</f>
        <v>0</v>
      </c>
      <c r="CU80" s="180">
        <f t="array" ref="CU80">IF($BT80=0, INDEX(LS_current!$D$4:$AY$138, MATCH('Staging Table'!$A80, LS_current!$B$4:$B$138, 0), MATCH(CU$4&amp;CU$5, LS_current!$D$2:$AY$2&amp;LS_current!$D$3:$AY$3, 0)),SUM(VLOOKUP($A80, LS_current!$B$4:$AY$138, LS_current!Z$148, FALSE), VLOOKUP($A80, LS_current!$B$4:$AY$138,LS_current!AX$148, FALSE))/2)</f>
        <v>0</v>
      </c>
      <c r="CV80" s="180">
        <f t="array" ref="CV80">IF($BT80=0, INDEX(LS_current!$D$4:$AY$138, MATCH('Staging Table'!$A80, LS_current!$B$4:$B$138, 0), MATCH(CV$4&amp;CV$5, LS_current!$D$2:$AY$2&amp;LS_current!$D$3:$AY$3, 0)),SUM(VLOOKUP($A80, LS_current!$B$4:$AY$138, LS_current!AA$148, FALSE), VLOOKUP($A80, LS_current!$B$4:$AY$138,LS_current!AY$148, FALSE))/2)</f>
        <v>0</v>
      </c>
      <c r="CW80" s="182">
        <f t="array" ref="CW80">INDEX(Demand_current!$D$4:$AY$138, MATCH($A80, Demand_current!$B$4:$B$138, 0), MATCH(CW$4&amp;CW$5,Demand_current!$D$2:$AY$2&amp;Demand_current!$D$3:$AY$3, 0))/1000</f>
        <v>0</v>
      </c>
      <c r="CX80" s="182">
        <f t="array" ref="CX80">INDEX(Demand_current!$D$4:$AY$138, MATCH($A80, Demand_current!$B$4:$B$138, 0), MATCH(CX$4&amp;CX$5,Demand_current!$D$2:$AY$2&amp;Demand_current!$D$3:$AY$3, 0))/1000</f>
        <v>0</v>
      </c>
      <c r="CY80" s="182">
        <f t="array" ref="CY80">INDEX(Demand_current!$D$4:$AY$138, MATCH($A80, Demand_current!$B$4:$B$138, 0), MATCH(CY$4&amp;CY$5,Demand_current!$D$2:$AY$2&amp;Demand_current!$D$3:$AY$3, 0))/1000</f>
        <v>0</v>
      </c>
      <c r="CZ80" s="182">
        <f t="array" ref="CZ80">INDEX(Demand_current!$D$4:$AY$138, MATCH($A80, Demand_current!$B$4:$B$138, 0), MATCH(CZ$4&amp;CZ$5,Demand_current!$D$2:$AY$2&amp;Demand_current!$D$3:$AY$3, 0))/1000</f>
        <v>0</v>
      </c>
      <c r="DA80" s="182">
        <f t="array" ref="DA80">INDEX(Demand_current!$D$4:$AY$138, MATCH($A80, Demand_current!$B$4:$B$138, 0), MATCH(DA$4&amp;DA$5,Demand_current!$D$2:$AY$2&amp;Demand_current!$D$3:$AY$3, 0))/1000</f>
        <v>0</v>
      </c>
      <c r="DB80" s="182">
        <f t="array" ref="DB80">INDEX(Demand_current!$D$4:$AY$138, MATCH($A80, Demand_current!$B$4:$B$138, 0), MATCH(DB$4&amp;DB$5,Demand_current!$D$2:$AY$2&amp;Demand_current!$D$3:$AY$3, 0))/1000</f>
        <v>0</v>
      </c>
      <c r="DC80" s="182">
        <f t="array" ref="DC80">INDEX(Demand_current!$D$4:$AY$138, MATCH($A80, Demand_current!$B$4:$B$138, 0), MATCH(DC$4&amp;DC$5,Demand_current!$D$2:$AY$2&amp;Demand_current!$D$3:$AY$3, 0))/1000</f>
        <v>0</v>
      </c>
      <c r="DD80" s="182">
        <f t="array" ref="DD80">INDEX(Demand_current!$D$4:$AY$138, MATCH($A80, Demand_current!$B$4:$B$138, 0), MATCH(DD$4&amp;DD$5,Demand_current!$D$2:$AY$2&amp;Demand_current!$D$3:$AY$3, 0))/1000</f>
        <v>0</v>
      </c>
      <c r="DE80" s="182">
        <f t="array" ref="DE80">INDEX(Demand_current!$D$4:$AY$138, MATCH($A80, Demand_current!$B$4:$B$138, 0), MATCH(DE$4&amp;DE$5,Demand_current!$D$2:$AY$2&amp;Demand_current!$D$3:$AY$3, 0))/1000</f>
        <v>0</v>
      </c>
      <c r="DF80" s="182">
        <f t="array" ref="DF80">INDEX(Demand_current!$D$4:$AY$138, MATCH($A80, Demand_current!$B$4:$B$138, 0), MATCH(DF$4&amp;DF$5,Demand_current!$D$2:$AY$2&amp;Demand_current!$D$3:$AY$3, 0))/1000</f>
        <v>0</v>
      </c>
      <c r="DG80" s="182">
        <f t="array" ref="DG80">INDEX(Demand_current!$D$4:$AY$138, MATCH($A80, Demand_current!$B$4:$B$138, 0), MATCH(DG$4&amp;DG$5,Demand_current!$D$2:$AY$2&amp;Demand_current!$D$3:$AY$3, 0))/1000</f>
        <v>0</v>
      </c>
      <c r="DH80" s="182">
        <f t="array" ref="DH80">INDEX(Demand_current!$D$4:$AY$138, MATCH($A80, Demand_current!$B$4:$B$138, 0), MATCH(DH$4&amp;DH$5,Demand_current!$D$2:$AY$2&amp;Demand_current!$D$3:$AY$3, 0))/1000</f>
        <v>0</v>
      </c>
      <c r="DI80" s="180">
        <f>$BS80*(VLOOKUP(DI$4, Rates_current!$G$6:$Q$29, 10, FALSE)+VLOOKUP(DI$4, Rates_current!$G$6:$Q$29, 11, FALSE))</f>
        <v>16767.635550081748</v>
      </c>
      <c r="DJ80" s="180">
        <f>$BS80*(VLOOKUP(DJ$4, Rates_current!$G$6:$Q$29, 10, FALSE)+VLOOKUP(DJ$4, Rates_current!$G$6:$Q$29, 11, FALSE))</f>
        <v>21384.264504045503</v>
      </c>
      <c r="DK80" s="180">
        <f>$BS80*(VLOOKUP(DK$4, Rates_current!$G$6:$Q$29, 10, FALSE)+VLOOKUP(DK$4, Rates_current!$G$6:$Q$29, 11, FALSE))</f>
        <v>23077.852514407499</v>
      </c>
      <c r="DL80" s="180">
        <f>$BS80*(VLOOKUP(DL$4, Rates_current!$G$6:$Q$29, 10, FALSE)+VLOOKUP(DL$4, Rates_current!$G$6:$Q$29, 11, FALSE))</f>
        <v>23981.456317527998</v>
      </c>
      <c r="DM80" s="180">
        <f>$BS80*(VLOOKUP(DM$4, Rates_current!$G$6:$Q$29, 10, FALSE)+VLOOKUP(DM$4, Rates_current!$G$6:$Q$29, 11, FALSE))</f>
        <v>20627.248957130996</v>
      </c>
      <c r="DN80" s="180">
        <f>$BS80*(VLOOKUP(DN$4, Rates_current!$G$6:$Q$29, 10, FALSE)+VLOOKUP(DN$4, Rates_current!$G$6:$Q$29, 11, FALSE))</f>
        <v>22520.871871279498</v>
      </c>
      <c r="DO80" s="180">
        <f>$BS80*(VLOOKUP(DO$4, Rates_current!$G$6:$Q$29, 10, FALSE)+VLOOKUP(DO$4, Rates_current!$G$6:$Q$29, 11, FALSE))</f>
        <v>17776.433115399122</v>
      </c>
      <c r="DP80" s="180">
        <f>$BS80*(VLOOKUP(DP$4, Rates_current!$G$6:$Q$29, 10, FALSE)+VLOOKUP(DP$4, Rates_current!$G$6:$Q$29, 11, FALSE))</f>
        <v>22054.04743283425</v>
      </c>
      <c r="DQ80" s="180">
        <f>$BS80*(VLOOKUP(DQ$4, Rates_current!$G$6:$Q$29, 10, FALSE)+VLOOKUP(DQ$4, Rates_current!$G$6:$Q$29, 11, FALSE))</f>
        <v>22532.565205997245</v>
      </c>
      <c r="DR80" s="180">
        <f>$BS80*(VLOOKUP(DR$4, Rates_current!$G$6:$Q$29, 10, FALSE)+VLOOKUP(DR$4, Rates_current!$G$6:$Q$29, 11, FALSE))</f>
        <v>19561.512829016749</v>
      </c>
      <c r="DS80" s="180">
        <f>$BS80*(VLOOKUP(DS$4, Rates_current!$G$6:$Q$29, 10, FALSE)+VLOOKUP(DS$4, Rates_current!$G$6:$Q$29, 11, FALSE))</f>
        <v>18910.783284990575</v>
      </c>
      <c r="DT80" s="180">
        <f>$BS80*(VLOOKUP(DT$4, Rates_current!$G$6:$Q$29, 10, FALSE)+VLOOKUP(DT$4, Rates_current!$G$6:$Q$29, 11, FALSE))</f>
        <v>17401.582673861001</v>
      </c>
      <c r="DU80" s="402">
        <f>IF(D80=0,IF(C80=0,MAX(0,DW80 - (VLOOKUP($A80,TOCA_current!$A$2:$AI$137,MATCH("RHWM 2024",TOCA_current!$A$2:$AI$2,0),FALSE)*$BS$2)), 0),0)</f>
        <v>0</v>
      </c>
      <c r="DV80" s="403">
        <f>MIN(VLOOKUP($A80,TOCA_current!$A$2:$AI$137,MATCH("TRL - NLSL - Existing Resource "&amp;$BS$1,TOCA_current!$A$2:$AI$2,0),FALSE)*$BS$2, VLOOKUP($A80,TOCA_current!$A$2:$AI$137,MATCH("RHWM 2024",TOCA_current!$A$2:$AI$2,0),FALSE)*$BS$2)</f>
        <v>246593.23199999999</v>
      </c>
      <c r="DW80" s="403">
        <f>SUM(BY80:CV80)+(BS80*RT1SC!$C$4*$BS$2)</f>
        <v>246596.25538691998</v>
      </c>
      <c r="DX80" s="403">
        <f>VLOOKUP($A80,TOCA_current!$A$2:$AI$137,MATCH("Above RHWM Not Served with LS "&amp;$BS$1,TOCA_current!$A$2:$AI$2,0),FALSE)*$BS$2</f>
        <v>0</v>
      </c>
      <c r="DY80" s="403">
        <f t="shared" si="32"/>
        <v>3.023386919987388</v>
      </c>
      <c r="DZ80" s="403">
        <f>(VLOOKUP($A80,TOCA_current!$A$2:$AI$137,MATCH("RHWM 2024",TOCA_current!$A$2:$AI$2,0),FALSE)*$BS$2) - $DV80</f>
        <v>9047.5200000000186</v>
      </c>
      <c r="EA80" s="403">
        <f t="shared" si="33"/>
        <v>-3.023386919987388</v>
      </c>
      <c r="EB80" s="403">
        <f t="shared" si="34"/>
        <v>0</v>
      </c>
      <c r="EC80" s="403">
        <f t="shared" si="35"/>
        <v>0</v>
      </c>
      <c r="ED80" s="403">
        <f t="shared" si="36"/>
        <v>-3.023386919987388</v>
      </c>
    </row>
    <row r="81" spans="1:134">
      <c r="A81" s="123">
        <v>10237</v>
      </c>
      <c r="B81" s="124" t="s">
        <v>82</v>
      </c>
      <c r="C81" s="232">
        <f>VLOOKUP(A81, TOCA_current!$A$3:$D$137, 4, FALSE)</f>
        <v>0</v>
      </c>
      <c r="D81" s="191">
        <v>1</v>
      </c>
      <c r="E81" s="107">
        <f>VLOOKUP($A81,TOCA_previous!$A$2:$AI$137,MATCH(E$4,TOCA_previous!$A$2:$AI$2,0),FALSE)</f>
        <v>1.6105100000000001E-2</v>
      </c>
      <c r="F81" s="108">
        <f>VLOOKUP($A81,TOCA_previous!$A$2:$AI$137,MATCH(F$4,TOCA_previous!$A$2:$AI$2,0),FALSE)</f>
        <v>6.5003000000000005E-3</v>
      </c>
      <c r="G81" s="108">
        <f t="shared" si="24"/>
        <v>9.6048000000000001E-3</v>
      </c>
      <c r="H81" s="294">
        <f>150000*12</f>
        <v>1800000</v>
      </c>
      <c r="I81" s="108">
        <f t="shared" si="25"/>
        <v>0</v>
      </c>
      <c r="J81" s="108">
        <f t="shared" si="26"/>
        <v>0</v>
      </c>
      <c r="K81" s="179">
        <f>VLOOKUP(A81, IRD!$A$5:$C$139, 3, FALSE)</f>
        <v>0</v>
      </c>
      <c r="L81" s="180">
        <f t="array" ref="L81">IF($G81=0, INDEX(LS_previous!$D$4:$AY$138, MATCH('Staging Table'!$A81, LS_previous!$B$4:$B$138, 0), MATCH(L$4&amp;L$5, LS_previous!$D$2:$AY$2&amp;LS_previous!$D$3:$AY$3, 0)),SUM(VLOOKUP($A81, LS_previous!$B$4:$AY$138, LS_previous!D$149, FALSE), VLOOKUP('Staging Table'!$A81, LS_previous!$B$4:$AY$138,LS_previous!AB$149, FALSE))/2)</f>
        <v>-1827.6531548192797</v>
      </c>
      <c r="M81" s="180">
        <f t="array" ref="M81">IF($G81=0, INDEX(LS_previous!$D$4:$AY$138, MATCH('Staging Table'!$A81, LS_previous!$B$4:$B$138, 0), MATCH(M$4&amp;M$5, LS_previous!$D$2:$AY$2&amp;LS_previous!$D$3:$AY$3, 0)),SUM(VLOOKUP($A81, LS_previous!$B$4:$AY$138, LS_previous!E$149, FALSE), VLOOKUP('Staging Table'!$A81, LS_previous!$B$4:$AY$138,LS_previous!AC$149, FALSE))/2)</f>
        <v>2912.8448110315721</v>
      </c>
      <c r="N81" s="180">
        <f t="array" ref="N81">IF($G81=0, INDEX(LS_previous!$D$4:$AY$138, MATCH('Staging Table'!$A81, LS_previous!$B$4:$B$138, 0), MATCH(N$4&amp;N$5, LS_previous!$D$2:$AY$2&amp;LS_previous!$D$3:$AY$3, 0)),SUM(VLOOKUP($A81, LS_previous!$B$4:$AY$138, LS_previous!F$149, FALSE), VLOOKUP('Staging Table'!$A81, LS_previous!$B$4:$AY$138,LS_previous!AD$149, FALSE))/2)</f>
        <v>-2780.8442154121803</v>
      </c>
      <c r="O81" s="180">
        <f t="array" ref="O81">IF($G81=0, INDEX(LS_previous!$D$4:$AY$138, MATCH('Staging Table'!$A81, LS_previous!$B$4:$B$138, 0), MATCH(O$4&amp;O$5, LS_previous!$D$2:$AY$2&amp;LS_previous!$D$3:$AY$3, 0)),SUM(VLOOKUP($A81, LS_previous!$B$4:$AY$138, LS_previous!G$149, FALSE), VLOOKUP('Staging Table'!$A81, LS_previous!$B$4:$AY$138,LS_previous!AE$149, FALSE))/2)</f>
        <v>1744.6878005793396</v>
      </c>
      <c r="P81" s="180">
        <f t="array" ref="P81">IF($G81=0, INDEX(LS_previous!$D$4:$AY$138, MATCH('Staging Table'!$A81, LS_previous!$B$4:$B$138, 0), MATCH(P$4&amp;P$5, LS_previous!$D$2:$AY$2&amp;LS_previous!$D$3:$AY$3, 0)),SUM(VLOOKUP($A81, LS_previous!$B$4:$AY$138, LS_previous!H$149, FALSE), VLOOKUP('Staging Table'!$A81, LS_previous!$B$4:$AY$138,LS_previous!AF$149, FALSE))/2)</f>
        <v>3709.0022712714981</v>
      </c>
      <c r="Q81" s="180">
        <f t="array" ref="Q81">IF($G81=0, INDEX(LS_previous!$D$4:$AY$138, MATCH('Staging Table'!$A81, LS_previous!$B$4:$B$138, 0), MATCH(Q$4&amp;Q$5, LS_previous!$D$2:$AY$2&amp;LS_previous!$D$3:$AY$3, 0)),SUM(VLOOKUP($A81, LS_previous!$B$4:$AY$138, LS_previous!I$149, FALSE), VLOOKUP('Staging Table'!$A81, LS_previous!$B$4:$AY$138,LS_previous!AG$149, FALSE))/2)</f>
        <v>3721.1132484441059</v>
      </c>
      <c r="R81" s="180">
        <f t="array" ref="R81">IF($G81=0, INDEX(LS_previous!$D$4:$AY$138, MATCH('Staging Table'!$A81, LS_previous!$B$4:$B$138, 0), MATCH(R$4&amp;R$5, LS_previous!$D$2:$AY$2&amp;LS_previous!$D$3:$AY$3, 0)),SUM(VLOOKUP($A81, LS_previous!$B$4:$AY$138, LS_previous!J$149, FALSE), VLOOKUP('Staging Table'!$A81, LS_previous!$B$4:$AY$138,LS_previous!AH$149, FALSE))/2)</f>
        <v>3593.1952062063883</v>
      </c>
      <c r="S81" s="180">
        <f t="array" ref="S81">IF($G81=0, INDEX(LS_previous!$D$4:$AY$138, MATCH('Staging Table'!$A81, LS_previous!$B$4:$B$138, 0), MATCH(S$4&amp;S$5, LS_previous!$D$2:$AY$2&amp;LS_previous!$D$3:$AY$3, 0)),SUM(VLOOKUP($A81, LS_previous!$B$4:$AY$138, LS_previous!K$149, FALSE), VLOOKUP('Staging Table'!$A81, LS_previous!$B$4:$AY$138,LS_previous!AI$149, FALSE))/2)</f>
        <v>4851.0060083647295</v>
      </c>
      <c r="T81" s="180">
        <f t="array" ref="T81">IF($G81=0, INDEX(LS_previous!$D$4:$AY$138, MATCH('Staging Table'!$A81, LS_previous!$B$4:$B$138, 0), MATCH(T$4&amp;T$5, LS_previous!$D$2:$AY$2&amp;LS_previous!$D$3:$AY$3, 0)),SUM(VLOOKUP($A81, LS_previous!$B$4:$AY$138, LS_previous!L$149, FALSE), VLOOKUP('Staging Table'!$A81, LS_previous!$B$4:$AY$138,LS_previous!AJ$149, FALSE))/2)</f>
        <v>4254.0168064134596</v>
      </c>
      <c r="U81" s="180">
        <f t="array" ref="U81">IF($G81=0, INDEX(LS_previous!$D$4:$AY$138, MATCH('Staging Table'!$A81, LS_previous!$B$4:$B$138, 0), MATCH(U$4&amp;U$5, LS_previous!$D$2:$AY$2&amp;LS_previous!$D$3:$AY$3, 0)),SUM(VLOOKUP($A81, LS_previous!$B$4:$AY$138, LS_previous!M$149, FALSE), VLOOKUP('Staging Table'!$A81, LS_previous!$B$4:$AY$138,LS_previous!AK$149, FALSE))/2)</f>
        <v>3625.2131438578226</v>
      </c>
      <c r="V81" s="180">
        <f t="array" ref="V81">IF($G81=0, INDEX(LS_previous!$D$4:$AY$138, MATCH('Staging Table'!$A81, LS_previous!$B$4:$B$138, 0), MATCH(V$4&amp;V$5, LS_previous!$D$2:$AY$2&amp;LS_previous!$D$3:$AY$3, 0)),SUM(VLOOKUP($A81, LS_previous!$B$4:$AY$138, LS_previous!N$149, FALSE), VLOOKUP('Staging Table'!$A81, LS_previous!$B$4:$AY$138,LS_previous!AL$149, FALSE))/2)</f>
        <v>596.69089453856213</v>
      </c>
      <c r="W81" s="180">
        <f t="array" ref="W81">IF($G81=0, INDEX(LS_previous!$D$4:$AY$138, MATCH('Staging Table'!$A81, LS_previous!$B$4:$B$138, 0), MATCH(W$4&amp;W$5, LS_previous!$D$2:$AY$2&amp;LS_previous!$D$3:$AY$3, 0)),SUM(VLOOKUP($A81, LS_previous!$B$4:$AY$138, LS_previous!O$149, FALSE), VLOOKUP('Staging Table'!$A81, LS_previous!$B$4:$AY$138,LS_previous!AM$149, FALSE))/2)</f>
        <v>2193.3764751402632</v>
      </c>
      <c r="X81" s="180">
        <f t="array" ref="X81">IF($G81=0, INDEX(LS_previous!$D$4:$AY$138, MATCH('Staging Table'!$A81, LS_previous!$B$4:$B$138, 0), MATCH(X$4&amp;X$5, LS_previous!$D$2:$AY$2&amp;LS_previous!$D$3:$AY$3, 0)),SUM(VLOOKUP($A81, LS_previous!$B$4:$AY$138, LS_previous!P$149, FALSE), VLOOKUP('Staging Table'!$A81, LS_previous!$B$4:$AY$138,LS_previous!AN$149, FALSE))/2)</f>
        <v>3255.3948107385822</v>
      </c>
      <c r="Y81" s="180">
        <f t="array" ref="Y81">IF($G81=0, INDEX(LS_previous!$D$4:$AY$138, MATCH('Staging Table'!$A81, LS_previous!$B$4:$B$138, 0), MATCH(Y$4&amp;Y$5, LS_previous!$D$2:$AY$2&amp;LS_previous!$D$3:$AY$3, 0)),SUM(VLOOKUP($A81, LS_previous!$B$4:$AY$138, LS_previous!Q$149, FALSE), VLOOKUP('Staging Table'!$A81, LS_previous!$B$4:$AY$138,LS_previous!AO$149, FALSE))/2)</f>
        <v>4627.4716464085595</v>
      </c>
      <c r="Z81" s="180">
        <f t="array" ref="Z81">IF($G81=0, INDEX(LS_previous!$D$4:$AY$138, MATCH('Staging Table'!$A81, LS_previous!$B$4:$B$138, 0), MATCH(Z$4&amp;Z$5, LS_previous!$D$2:$AY$2&amp;LS_previous!$D$3:$AY$3, 0)),SUM(VLOOKUP($A81, LS_previous!$B$4:$AY$138, LS_previous!R$149, FALSE), VLOOKUP('Staging Table'!$A81, LS_previous!$B$4:$AY$138,LS_previous!AP$149, FALSE))/2)</f>
        <v>-6942.0697741568174</v>
      </c>
      <c r="AA81" s="180">
        <f t="array" ref="AA81">IF($G81=0, INDEX(LS_previous!$D$4:$AY$138, MATCH('Staging Table'!$A81, LS_previous!$B$4:$B$138, 0), MATCH(AA$4&amp;AA$5, LS_previous!$D$2:$AY$2&amp;LS_previous!$D$3:$AY$3, 0)),SUM(VLOOKUP($A81, LS_previous!$B$4:$AY$138, LS_previous!S$149, FALSE), VLOOKUP('Staging Table'!$A81, LS_previous!$B$4:$AY$138,LS_previous!AQ$149, FALSE))/2)</f>
        <v>1989.9497842860019</v>
      </c>
      <c r="AB81" s="180">
        <f t="array" ref="AB81">IF($G81=0, INDEX(LS_previous!$D$4:$AY$138, MATCH('Staging Table'!$A81, LS_previous!$B$4:$B$138, 0), MATCH(AB$4&amp;AB$5, LS_previous!$D$2:$AY$2&amp;LS_previous!$D$3:$AY$3, 0)),SUM(VLOOKUP($A81, LS_previous!$B$4:$AY$138, LS_previous!T$149, FALSE), VLOOKUP('Staging Table'!$A81, LS_previous!$B$4:$AY$138,LS_previous!AR$149, FALSE))/2)</f>
        <v>-10624.490454664683</v>
      </c>
      <c r="AC81" s="180">
        <f t="array" ref="AC81">IF($G81=0, INDEX(LS_previous!$D$4:$AY$138, MATCH('Staging Table'!$A81, LS_previous!$B$4:$B$138, 0), MATCH(AC$4&amp;AC$5, LS_previous!$D$2:$AY$2&amp;LS_previous!$D$3:$AY$3, 0)),SUM(VLOOKUP($A81, LS_previous!$B$4:$AY$138, LS_previous!U$149, FALSE), VLOOKUP('Staging Table'!$A81, LS_previous!$B$4:$AY$138,LS_previous!AS$149, FALSE))/2)</f>
        <v>676.64077030014505</v>
      </c>
      <c r="AD81" s="180">
        <f t="array" ref="AD81">IF($G81=0, INDEX(LS_previous!$D$4:$AY$138, MATCH('Staging Table'!$A81, LS_previous!$B$4:$B$138, 0), MATCH(AD$4&amp;AD$5, LS_previous!$D$2:$AY$2&amp;LS_previous!$D$3:$AY$3, 0)),SUM(VLOOKUP($A81, LS_previous!$B$4:$AY$138, LS_previous!V$149, FALSE), VLOOKUP('Staging Table'!$A81, LS_previous!$B$4:$AY$138,LS_previous!AT$149, FALSE))/2)</f>
        <v>-8968.3279500620156</v>
      </c>
      <c r="AE81" s="180">
        <f t="array" ref="AE81">IF($G81=0, INDEX(LS_previous!$D$4:$AY$138, MATCH('Staging Table'!$A81, LS_previous!$B$4:$B$138, 0), MATCH(AE$4&amp;AE$5, LS_previous!$D$2:$AY$2&amp;LS_previous!$D$3:$AY$3, 0)),SUM(VLOOKUP($A81, LS_previous!$B$4:$AY$138, LS_previous!W$149, FALSE), VLOOKUP('Staging Table'!$A81, LS_previous!$B$4:$AY$138,LS_previous!AU$149, FALSE))/2)</f>
        <v>458.13025516148809</v>
      </c>
      <c r="AF81" s="180">
        <f t="array" ref="AF81">IF($G81=0, INDEX(LS_previous!$D$4:$AY$138, MATCH('Staging Table'!$A81, LS_previous!$B$4:$B$138, 0), MATCH(AF$4&amp;AF$5, LS_previous!$D$2:$AY$2&amp;LS_previous!$D$3:$AY$3, 0)),SUM(VLOOKUP($A81, LS_previous!$B$4:$AY$138, LS_previous!X$149, FALSE), VLOOKUP('Staging Table'!$A81, LS_previous!$B$4:$AY$138,LS_previous!AV$149, FALSE))/2)</f>
        <v>-7119.6598671468309</v>
      </c>
      <c r="AG81" s="180">
        <f t="array" ref="AG81">IF($G81=0, INDEX(LS_previous!$D$4:$AY$138, MATCH('Staging Table'!$A81, LS_previous!$B$4:$B$138, 0), MATCH(AG$4&amp;AG$5, LS_previous!$D$2:$AY$2&amp;LS_previous!$D$3:$AY$3, 0)),SUM(VLOOKUP($A81, LS_previous!$B$4:$AY$138, LS_previous!Y$149, FALSE), VLOOKUP('Staging Table'!$A81, LS_previous!$B$4:$AY$138,LS_previous!AW$149, FALSE))/2)</f>
        <v>141.74535024638408</v>
      </c>
      <c r="AH81" s="180">
        <f t="array" ref="AH81">IF($G81=0, INDEX(LS_previous!$D$4:$AY$138, MATCH('Staging Table'!$A81, LS_previous!$B$4:$B$138, 0), MATCH(AH$4&amp;AH$5, LS_previous!$D$2:$AY$2&amp;LS_previous!$D$3:$AY$3, 0)),SUM(VLOOKUP($A81, LS_previous!$B$4:$AY$138, LS_previous!Z$149, FALSE), VLOOKUP('Staging Table'!$A81, LS_previous!$B$4:$AY$138,LS_previous!AX$149, FALSE))/2)</f>
        <v>-4794.6329676660862</v>
      </c>
      <c r="AI81" s="180">
        <f t="array" ref="AI81">IF($G81=0, INDEX(LS_previous!$D$4:$AY$138, MATCH('Staging Table'!$A81, LS_previous!$B$4:$B$138, 0), MATCH(AI$4&amp;AI$5, LS_previous!$D$2:$AY$2&amp;LS_previous!$D$3:$AY$3, 0)),SUM(VLOOKUP($A81, LS_previous!$B$4:$AY$138, LS_previous!AA$149, FALSE), VLOOKUP('Staging Table'!$A81, LS_previous!$B$4:$AY$138,LS_previous!AY$149, FALSE))/2)</f>
        <v>709.56621779412671</v>
      </c>
      <c r="AJ81" s="298">
        <f t="array" ref="AJ81">INDEX(Demand_previous!$D$4:$AY$138, MATCH('Staging Table'!$A81, Demand_previous!$B$4:$B$138, 0), MATCH(AJ$4&amp;AJ$5,Demand_previous!$D$2:$AY$2&amp;Demand_previous!$D$3:$AY$3, 0))/1000</f>
        <v>0</v>
      </c>
      <c r="AK81" s="298">
        <f t="array" ref="AK81">INDEX(Demand_previous!$D$4:$AY$138, MATCH('Staging Table'!$A81, Demand_previous!$B$4:$B$138, 0), MATCH(AK$4&amp;AK$5,Demand_previous!$D$2:$AY$2&amp;Demand_previous!$D$3:$AY$3, 0))/1000</f>
        <v>0</v>
      </c>
      <c r="AL81" s="298">
        <f t="array" ref="AL81">INDEX(Demand_previous!$D$4:$AY$138, MATCH('Staging Table'!$A81, Demand_previous!$B$4:$B$138, 0), MATCH(AL$4&amp;AL$5,Demand_previous!$D$2:$AY$2&amp;Demand_previous!$D$3:$AY$3, 0))/1000</f>
        <v>0</v>
      </c>
      <c r="AM81" s="298">
        <f t="array" ref="AM81">INDEX(Demand_previous!$D$4:$AY$138, MATCH('Staging Table'!$A81, Demand_previous!$B$4:$B$138, 0), MATCH(AM$4&amp;AM$5,Demand_previous!$D$2:$AY$2&amp;Demand_previous!$D$3:$AY$3, 0))/1000</f>
        <v>0</v>
      </c>
      <c r="AN81" s="298">
        <f t="array" ref="AN81">INDEX(Demand_previous!$D$4:$AY$138, MATCH('Staging Table'!$A81, Demand_previous!$B$4:$B$138, 0), MATCH(AN$4&amp;AN$5,Demand_previous!$D$2:$AY$2&amp;Demand_previous!$D$3:$AY$3, 0))/1000</f>
        <v>0</v>
      </c>
      <c r="AO81" s="298">
        <f t="array" ref="AO81">INDEX(Demand_previous!$D$4:$AY$138, MATCH('Staging Table'!$A81, Demand_previous!$B$4:$B$138, 0), MATCH(AO$4&amp;AO$5,Demand_previous!$D$2:$AY$2&amp;Demand_previous!$D$3:$AY$3, 0))/1000</f>
        <v>0</v>
      </c>
      <c r="AP81" s="298">
        <f t="array" ref="AP81">INDEX(Demand_previous!$D$4:$AY$138, MATCH('Staging Table'!$A81, Demand_previous!$B$4:$B$138, 0), MATCH(AP$4&amp;AP$5,Demand_previous!$D$2:$AY$2&amp;Demand_previous!$D$3:$AY$3, 0))/1000</f>
        <v>0</v>
      </c>
      <c r="AQ81" s="298">
        <f t="array" ref="AQ81">INDEX(Demand_previous!$D$4:$AY$138, MATCH('Staging Table'!$A81, Demand_previous!$B$4:$B$138, 0), MATCH(AQ$4&amp;AQ$5,Demand_previous!$D$2:$AY$2&amp;Demand_previous!$D$3:$AY$3, 0))/1000</f>
        <v>0</v>
      </c>
      <c r="AR81" s="298">
        <f t="array" ref="AR81">INDEX(Demand_previous!$D$4:$AY$138, MATCH('Staging Table'!$A81, Demand_previous!$B$4:$B$138, 0), MATCH(AR$4&amp;AR$5,Demand_previous!$D$2:$AY$2&amp;Demand_previous!$D$3:$AY$3, 0))/1000</f>
        <v>0</v>
      </c>
      <c r="AS81" s="298">
        <f t="array" ref="AS81">INDEX(Demand_previous!$D$4:$AY$138, MATCH('Staging Table'!$A81, Demand_previous!$B$4:$B$138, 0), MATCH(AS$4&amp;AS$5,Demand_previous!$D$2:$AY$2&amp;Demand_previous!$D$3:$AY$3, 0))/1000</f>
        <v>0</v>
      </c>
      <c r="AT81" s="298">
        <f t="array" ref="AT81">INDEX(Demand_previous!$D$4:$AY$138, MATCH('Staging Table'!$A81, Demand_previous!$B$4:$B$138, 0), MATCH(AT$4&amp;AT$5,Demand_previous!$D$2:$AY$2&amp;Demand_previous!$D$3:$AY$3, 0))/1000</f>
        <v>0</v>
      </c>
      <c r="AU81" s="298">
        <f t="array" ref="AU81">INDEX(Demand_previous!$D$4:$AY$138, MATCH('Staging Table'!$A81, Demand_previous!$B$4:$B$138, 0), MATCH(AU$4&amp;AU$5,Demand_previous!$D$2:$AY$2&amp;Demand_previous!$D$3:$AY$3, 0))/1000</f>
        <v>0</v>
      </c>
      <c r="AV81" s="180">
        <f>$F81*(VLOOKUP(AV$4, Rates_previous!$G$6:$Q$29, 10, FALSE)+VLOOKUP(AV$4, Rates_previous!$G$6:$Q$29, 11, FALSE))</f>
        <v>29601.87491228573</v>
      </c>
      <c r="AW81" s="180">
        <f>$F81*(VLOOKUP(AW$4, Rates_previous!$G$6:$Q$29, 10, FALSE)+VLOOKUP(AW$4, Rates_previous!$G$6:$Q$29, 11, FALSE))</f>
        <v>37477.047964924248</v>
      </c>
      <c r="AX81" s="180">
        <f>$F81*(VLOOKUP(AX$4, Rates_previous!$G$6:$Q$29, 10, FALSE)+VLOOKUP(AX$4, Rates_previous!$G$6:$Q$29, 11, FALSE))</f>
        <v>36682.542672500327</v>
      </c>
      <c r="AY81" s="180">
        <f>$F81*(VLOOKUP(AY$4, Rates_previous!$G$6:$Q$29, 10, FALSE)+VLOOKUP(AY$4, Rates_previous!$G$6:$Q$29, 11, FALSE))</f>
        <v>30298.220328157655</v>
      </c>
      <c r="AZ81" s="180">
        <f>$F81*(VLOOKUP(AZ$4, Rates_previous!$G$6:$Q$29, 10, FALSE)+VLOOKUP(AZ$4, Rates_previous!$G$6:$Q$29, 11, FALSE))</f>
        <v>26260.131607182768</v>
      </c>
      <c r="BA81" s="180">
        <f>$F81*(VLOOKUP(BA$4, Rates_previous!$G$6:$Q$29, 10, FALSE)+VLOOKUP(BA$4, Rates_previous!$G$6:$Q$29, 11, FALSE))</f>
        <v>31349.294187775249</v>
      </c>
      <c r="BB81" s="180">
        <f>$F81*(VLOOKUP(BB$4, Rates_previous!$G$6:$Q$29, 10, FALSE)+VLOOKUP(BB$4, Rates_previous!$G$6:$Q$29, 11, FALSE))</f>
        <v>24338.553439775773</v>
      </c>
      <c r="BC81" s="180">
        <f>$F81*(VLOOKUP(BC$4, Rates_previous!$G$6:$Q$29, 10, FALSE)+VLOOKUP(BC$4, Rates_previous!$G$6:$Q$29, 11, FALSE))</f>
        <v>33721.244897837707</v>
      </c>
      <c r="BD81" s="180">
        <f>$F81*(VLOOKUP(BD$4, Rates_previous!$G$6:$Q$29, 10, FALSE)+VLOOKUP(BD$4, Rates_previous!$G$6:$Q$29, 11, FALSE))</f>
        <v>36031.856267587857</v>
      </c>
      <c r="BE81" s="180">
        <f>$F81*(VLOOKUP(BE$4, Rates_previous!$G$6:$Q$29, 10, FALSE)+VLOOKUP(BE$4, Rates_previous!$G$6:$Q$29, 11, FALSE))</f>
        <v>34210.615946017635</v>
      </c>
      <c r="BF81" s="180">
        <f>$F81*(VLOOKUP(BF$4, Rates_previous!$G$6:$Q$29, 10, FALSE)+VLOOKUP(BF$4, Rates_previous!$G$6:$Q$29, 11, FALSE))</f>
        <v>33061.921100123742</v>
      </c>
      <c r="BG81" s="180">
        <f>$F81*(VLOOKUP(BG$4, Rates_previous!$G$6:$Q$29, 10, FALSE)+VLOOKUP(BG$4, Rates_previous!$G$6:$Q$29, 11, FALSE))</f>
        <v>30552.6616652015</v>
      </c>
      <c r="BH81" s="298">
        <f>IF($D81=0,IF(C81=0, MAX(BJ81 - (VLOOKUP($A81,TOCA_previous!$A$2:$AI$137,MATCH("RHWM 2022",TOCA_previous!$A$2:$AI$2,0),FALSE)*$F$2*TOCA_previous!C78),0),0), 0)</f>
        <v>0</v>
      </c>
      <c r="BI81" s="192">
        <f>MIN(VLOOKUP($A81,TOCA_previous!$A$2:$AI$137,MATCH("TRL - NLSL - Existing Resource "&amp;$F$1,TOCA_previous!$A$2:$AI$2,0),FALSE)*$F$2,(VLOOKUP($A81,TOCA_previous!$A$2:$AI$137,MATCH("RHWM 2022",TOCA_previous!$A$2:$AI$2,0),FALSE)*$F$2))</f>
        <v>950372.39999999991</v>
      </c>
      <c r="BJ81" s="402">
        <f>SUM(L81:AI81)+(F81*RT1SC!$C$3*$F$2)</f>
        <v>383588.35172830714</v>
      </c>
      <c r="BK81" s="401">
        <f>VLOOKUP($A81,TOCA_previous!$A$2:$AI$137,MATCH("Above RHWM Not Served with LS "&amp;$F$1,TOCA_previous!$A$2:$AI$2,0),FALSE)*$F$2</f>
        <v>27988.199999999997</v>
      </c>
      <c r="BL81" s="402">
        <f t="shared" si="27"/>
        <v>-566784.04827169282</v>
      </c>
      <c r="BM81" s="401">
        <f>(VLOOKUP($A81,TOCA_previous!$A$2:$AI$137,MATCH("RHWM 2022",TOCA_previous!$A$2:$AI$2,0),FALSE)*$F$2) - $BI81</f>
        <v>0</v>
      </c>
      <c r="BN81" s="402">
        <f t="shared" si="28"/>
        <v>0</v>
      </c>
      <c r="BO81" s="401">
        <f t="shared" si="29"/>
        <v>538795.84827169287</v>
      </c>
      <c r="BP81" s="402">
        <f t="shared" si="30"/>
        <v>0</v>
      </c>
      <c r="BQ81" s="401">
        <f t="shared" si="21"/>
        <v>0</v>
      </c>
      <c r="BR81" s="108">
        <f>VLOOKUP($A81,TOCA_current!$A$2:$AI$137,MATCH(BR$4,TOCA_current!$A$2:$AI$2,0),FALSE)</f>
        <v>1.61017E-2</v>
      </c>
      <c r="BS81" s="108">
        <f>VLOOKUP($A81,TOCA_current!$A$2:$AI$137,MATCH(BS$4,TOCA_current!$A$2:$AI$2,0),FALSE)</f>
        <v>6.4989000000000002E-3</v>
      </c>
      <c r="BT81" s="189">
        <f t="shared" si="31"/>
        <v>9.6027999999999999E-3</v>
      </c>
      <c r="BU81" s="294">
        <f>150000*12</f>
        <v>1800000</v>
      </c>
      <c r="BV81" s="108">
        <f t="shared" si="22"/>
        <v>0</v>
      </c>
      <c r="BW81" s="108">
        <f t="shared" si="23"/>
        <v>0</v>
      </c>
      <c r="BX81" s="179">
        <f>VLOOKUP($A81,IRD!$A$4:$G$139, 7, FALSE)</f>
        <v>0</v>
      </c>
      <c r="BY81" s="180">
        <f t="array" ref="BY81">IF($BT81=0, INDEX(LS_current!$D$4:$AY$138, MATCH('Staging Table'!$A81, LS_current!$B$4:$B$138, 0), MATCH(BY$4&amp;BY$5, LS_current!$D$2:$AY$2&amp;LS_current!$D$3:$AY$3, 0)),SUM(VLOOKUP($A81, LS_current!$B$4:$AY$138, LS_current!D$148, FALSE), VLOOKUP($A81, LS_current!$B$4:$AY$138,LS_current!AB$148, FALSE))/2)</f>
        <v>1772.1929630403956</v>
      </c>
      <c r="BZ81" s="180">
        <f t="array" ref="BZ81">IF($BT81=0, INDEX(LS_current!$D$4:$AY$138, MATCH('Staging Table'!$A81, LS_current!$B$4:$B$138, 0), MATCH(BZ$4&amp;BZ$5, LS_current!$D$2:$AY$2&amp;LS_current!$D$3:$AY$3, 0)),SUM(VLOOKUP($A81, LS_current!$B$4:$AY$138, LS_current!E$148, FALSE), VLOOKUP($A81, LS_current!$B$4:$AY$138,LS_current!AC$148, FALSE))/2)</f>
        <v>3023.757391127443</v>
      </c>
      <c r="CA81" s="180">
        <f t="array" ref="CA81">IF($BT81=0, INDEX(LS_current!$D$4:$AY$138, MATCH('Staging Table'!$A81, LS_current!$B$4:$B$138, 0), MATCH(CA$4&amp;CA$5, LS_current!$D$2:$AY$2&amp;LS_current!$D$3:$AY$3, 0)),SUM(VLOOKUP($A81, LS_current!$B$4:$AY$138, LS_current!F$148, FALSE), VLOOKUP($A81, LS_current!$B$4:$AY$138,LS_current!AD$148, FALSE))/2)</f>
        <v>6.9319127925373323</v>
      </c>
      <c r="CB81" s="180">
        <f t="array" ref="CB81">IF($BT81=0, INDEX(LS_current!$D$4:$AY$138, MATCH('Staging Table'!$A81, LS_current!$B$4:$B$138, 0), MATCH(CB$4&amp;CB$5, LS_current!$D$2:$AY$2&amp;LS_current!$D$3:$AY$3, 0)),SUM(VLOOKUP($A81, LS_current!$B$4:$AY$138, LS_current!G$148, FALSE), VLOOKUP($A81, LS_current!$B$4:$AY$138,LS_current!AE$148, FALSE))/2)</f>
        <v>3280.1795235013196</v>
      </c>
      <c r="CC81" s="180">
        <f t="array" ref="CC81">IF($BT81=0, INDEX(LS_current!$D$4:$AY$138, MATCH('Staging Table'!$A81, LS_current!$B$4:$B$138, 0), MATCH(CC$4&amp;CC$5, LS_current!$D$2:$AY$2&amp;LS_current!$D$3:$AY$3, 0)),SUM(VLOOKUP($A81, LS_current!$B$4:$AY$138, LS_current!H$148, FALSE), VLOOKUP($A81, LS_current!$B$4:$AY$138,LS_current!AF$148, FALSE))/2)</f>
        <v>2016.9277561806412</v>
      </c>
      <c r="CD81" s="180">
        <f t="array" ref="CD81">IF($BT81=0, INDEX(LS_current!$D$4:$AY$138, MATCH('Staging Table'!$A81, LS_current!$B$4:$B$138, 0), MATCH(CD$4&amp;CD$5, LS_current!$D$2:$AY$2&amp;LS_current!$D$3:$AY$3, 0)),SUM(VLOOKUP($A81, LS_current!$B$4:$AY$138, LS_current!I$148, FALSE), VLOOKUP($A81, LS_current!$B$4:$AY$138,LS_current!AG$148, FALSE))/2)</f>
        <v>6554.2983408818563</v>
      </c>
      <c r="CE81" s="180">
        <f t="array" ref="CE81">IF($BT81=0, INDEX(LS_current!$D$4:$AY$138, MATCH('Staging Table'!$A81, LS_current!$B$4:$B$138, 0), MATCH(CE$4&amp;CE$5, LS_current!$D$2:$AY$2&amp;LS_current!$D$3:$AY$3, 0)),SUM(VLOOKUP($A81, LS_current!$B$4:$AY$138, LS_current!J$148, FALSE), VLOOKUP($A81, LS_current!$B$4:$AY$138,LS_current!AH$148, FALSE))/2)</f>
        <v>-1537.9028547471607</v>
      </c>
      <c r="CF81" s="180">
        <f t="array" ref="CF81">IF($BT81=0, INDEX(LS_current!$D$4:$AY$138, MATCH('Staging Table'!$A81, LS_current!$B$4:$B$138, 0), MATCH(CF$4&amp;CF$5, LS_current!$D$2:$AY$2&amp;LS_current!$D$3:$AY$3, 0)),SUM(VLOOKUP($A81, LS_current!$B$4:$AY$138, LS_current!K$148, FALSE), VLOOKUP($A81, LS_current!$B$4:$AY$138,LS_current!AI$148, FALSE))/2)</f>
        <v>2994.2335576880487</v>
      </c>
      <c r="CG81" s="180">
        <f t="array" ref="CG81">IF($BT81=0, INDEX(LS_current!$D$4:$AY$138, MATCH('Staging Table'!$A81, LS_current!$B$4:$B$138, 0), MATCH(CG$4&amp;CG$5, LS_current!$D$2:$AY$2&amp;LS_current!$D$3:$AY$3, 0)),SUM(VLOOKUP($A81, LS_current!$B$4:$AY$138, LS_current!L$148, FALSE), VLOOKUP($A81, LS_current!$B$4:$AY$138,LS_current!AJ$148, FALSE))/2)</f>
        <v>-542.00332543152581</v>
      </c>
      <c r="CH81" s="180">
        <f t="array" ref="CH81">IF($BT81=0, INDEX(LS_current!$D$4:$AY$138, MATCH('Staging Table'!$A81, LS_current!$B$4:$B$138, 0), MATCH(CH$4&amp;CH$5, LS_current!$D$2:$AY$2&amp;LS_current!$D$3:$AY$3, 0)),SUM(VLOOKUP($A81, LS_current!$B$4:$AY$138, LS_current!M$148, FALSE), VLOOKUP($A81, LS_current!$B$4:$AY$138,LS_current!AK$148, FALSE))/2)</f>
        <v>3201.7822078907329</v>
      </c>
      <c r="CI81" s="180">
        <f t="array" ref="CI81">IF($BT81=0, INDEX(LS_current!$D$4:$AY$138, MATCH('Staging Table'!$A81, LS_current!$B$4:$B$138, 0), MATCH(CI$4&amp;CI$5, LS_current!$D$2:$AY$2&amp;LS_current!$D$3:$AY$3, 0)),SUM(VLOOKUP($A81, LS_current!$B$4:$AY$138, LS_current!N$148, FALSE), VLOOKUP($A81, LS_current!$B$4:$AY$138,LS_current!AL$148, FALSE))/2)</f>
        <v>-2355.5062539813971</v>
      </c>
      <c r="CJ81" s="180">
        <f t="array" ref="CJ81">IF($BT81=0, INDEX(LS_current!$D$4:$AY$138, MATCH('Staging Table'!$A81, LS_current!$B$4:$B$138, 0), MATCH(CJ$4&amp;CJ$5, LS_current!$D$2:$AY$2&amp;LS_current!$D$3:$AY$3, 0)),SUM(VLOOKUP($A81, LS_current!$B$4:$AY$138, LS_current!O$148, FALSE), VLOOKUP($A81, LS_current!$B$4:$AY$138,LS_current!AM$148, FALSE))/2)</f>
        <v>1368.0801457169464</v>
      </c>
      <c r="CK81" s="180">
        <f t="array" ref="CK81">IF($BT81=0, INDEX(LS_current!$D$4:$AY$138, MATCH('Staging Table'!$A81, LS_current!$B$4:$B$138, 0), MATCH(CK$4&amp;CK$5, LS_current!$D$2:$AY$2&amp;LS_current!$D$3:$AY$3, 0)),SUM(VLOOKUP($A81, LS_current!$B$4:$AY$138, LS_current!P$148, FALSE), VLOOKUP($A81, LS_current!$B$4:$AY$138,LS_current!AN$148, FALSE))/2)</f>
        <v>1850.2214608052091</v>
      </c>
      <c r="CL81" s="180">
        <f t="array" ref="CL81">IF($BT81=0, INDEX(LS_current!$D$4:$AY$138, MATCH('Staging Table'!$A81, LS_current!$B$4:$B$138, 0), MATCH(CL$4&amp;CL$5, LS_current!$D$2:$AY$2&amp;LS_current!$D$3:$AY$3, 0)),SUM(VLOOKUP($A81, LS_current!$B$4:$AY$138, LS_current!Q$148, FALSE), VLOOKUP($A81, LS_current!$B$4:$AY$138,LS_current!AO$148, FALSE))/2)</f>
        <v>2906.8711932021251</v>
      </c>
      <c r="CM81" s="180">
        <f t="array" ref="CM81">IF($BT81=0, INDEX(LS_current!$D$4:$AY$138, MATCH('Staging Table'!$A81, LS_current!$B$4:$B$138, 0), MATCH(CM$4&amp;CM$5, LS_current!$D$2:$AY$2&amp;LS_current!$D$3:$AY$3, 0)),SUM(VLOOKUP($A81, LS_current!$B$4:$AY$138, LS_current!R$148, FALSE), VLOOKUP($A81, LS_current!$B$4:$AY$138,LS_current!AP$148, FALSE))/2)</f>
        <v>-5026.9737571308378</v>
      </c>
      <c r="CN81" s="180">
        <f t="array" ref="CN81">IF($BT81=0, INDEX(LS_current!$D$4:$AY$138, MATCH('Staging Table'!$A81, LS_current!$B$4:$B$138, 0), MATCH(CN$4&amp;CN$5, LS_current!$D$2:$AY$2&amp;LS_current!$D$3:$AY$3, 0)),SUM(VLOOKUP($A81, LS_current!$B$4:$AY$138, LS_current!S$148, FALSE), VLOOKUP($A81, LS_current!$B$4:$AY$138,LS_current!AQ$148, FALSE))/2)</f>
        <v>-834.49327321813143</v>
      </c>
      <c r="CO81" s="180">
        <f t="array" ref="CO81">IF($BT81=0, INDEX(LS_current!$D$4:$AY$138, MATCH('Staging Table'!$A81, LS_current!$B$4:$B$138, 0), MATCH(CO$4&amp;CO$5, LS_current!$D$2:$AY$2&amp;LS_current!$D$3:$AY$3, 0)),SUM(VLOOKUP($A81, LS_current!$B$4:$AY$138, LS_current!T$148, FALSE), VLOOKUP($A81, LS_current!$B$4:$AY$138,LS_current!AR$148, FALSE))/2)</f>
        <v>-7924.1888426074211</v>
      </c>
      <c r="CP81" s="180">
        <f t="array" ref="CP81">IF($BT81=0, INDEX(LS_current!$D$4:$AY$138, MATCH('Staging Table'!$A81, LS_current!$B$4:$B$138, 0), MATCH(CP$4&amp;CP$5, LS_current!$D$2:$AY$2&amp;LS_current!$D$3:$AY$3, 0)),SUM(VLOOKUP($A81, LS_current!$B$4:$AY$138, LS_current!U$148, FALSE), VLOOKUP($A81, LS_current!$B$4:$AY$138,LS_current!AS$148, FALSE))/2)</f>
        <v>-1538.4103175508662</v>
      </c>
      <c r="CQ81" s="180">
        <f t="array" ref="CQ81">IF($BT81=0, INDEX(LS_current!$D$4:$AY$138, MATCH('Staging Table'!$A81, LS_current!$B$4:$B$138, 0), MATCH(CQ$4&amp;CQ$5, LS_current!$D$2:$AY$2&amp;LS_current!$D$3:$AY$3, 0)),SUM(VLOOKUP($A81, LS_current!$B$4:$AY$138, LS_current!V$148, FALSE), VLOOKUP($A81, LS_current!$B$4:$AY$138,LS_current!AT$148, FALSE))/2)</f>
        <v>-4847.392828732447</v>
      </c>
      <c r="CR81" s="180">
        <f t="array" ref="CR81">IF($BT81=0, INDEX(LS_current!$D$4:$AY$138, MATCH('Staging Table'!$A81, LS_current!$B$4:$B$138, 0), MATCH(CR$4&amp;CR$5, LS_current!$D$2:$AY$2&amp;LS_current!$D$3:$AY$3, 0)),SUM(VLOOKUP($A81, LS_current!$B$4:$AY$138, LS_current!W$148, FALSE), VLOOKUP($A81, LS_current!$B$4:$AY$138,LS_current!AU$148, FALSE))/2)</f>
        <v>-159.76196087101744</v>
      </c>
      <c r="CS81" s="180">
        <f t="array" ref="CS81">IF($BT81=0, INDEX(LS_current!$D$4:$AY$138, MATCH('Staging Table'!$A81, LS_current!$B$4:$B$138, 0), MATCH(CS$4&amp;CS$5, LS_current!$D$2:$AY$2&amp;LS_current!$D$3:$AY$3, 0)),SUM(VLOOKUP($A81, LS_current!$B$4:$AY$138, LS_current!X$148, FALSE), VLOOKUP($A81, LS_current!$B$4:$AY$138,LS_current!AV$148, FALSE))/2)</f>
        <v>-4012.7707112893049</v>
      </c>
      <c r="CT81" s="180">
        <f t="array" ref="CT81">IF($BT81=0, INDEX(LS_current!$D$4:$AY$138, MATCH('Staging Table'!$A81, LS_current!$B$4:$B$138, 0), MATCH(CT$4&amp;CT$5, LS_current!$D$2:$AY$2&amp;LS_current!$D$3:$AY$3, 0)),SUM(VLOOKUP($A81, LS_current!$B$4:$AY$138, LS_current!Y$148, FALSE), VLOOKUP($A81, LS_current!$B$4:$AY$138,LS_current!AW$148, FALSE))/2)</f>
        <v>472.32491040391778</v>
      </c>
      <c r="CU81" s="180">
        <f t="array" ref="CU81">IF($BT81=0, INDEX(LS_current!$D$4:$AY$138, MATCH('Staging Table'!$A81, LS_current!$B$4:$B$138, 0), MATCH(CU$4&amp;CU$5, LS_current!$D$2:$AY$2&amp;LS_current!$D$3:$AY$3, 0)),SUM(VLOOKUP($A81, LS_current!$B$4:$AY$138, LS_current!Z$148, FALSE), VLOOKUP($A81, LS_current!$B$4:$AY$138,LS_current!AX$148, FALSE))/2)</f>
        <v>-1865.4825081163908</v>
      </c>
      <c r="CV81" s="180">
        <f t="array" ref="CV81">IF($BT81=0, INDEX(LS_current!$D$4:$AY$138, MATCH('Staging Table'!$A81, LS_current!$B$4:$B$138, 0), MATCH(CV$4&amp;CV$5, LS_current!$D$2:$AY$2&amp;LS_current!$D$3:$AY$3, 0)),SUM(VLOOKUP($A81, LS_current!$B$4:$AY$138, LS_current!AA$148, FALSE), VLOOKUP($A81, LS_current!$B$4:$AY$138,LS_current!AY$148, FALSE))/2)</f>
        <v>1195.473867542587</v>
      </c>
      <c r="CW81" s="182">
        <f t="array" ref="CW81">INDEX(Demand_current!$D$4:$AY$138, MATCH($A81, Demand_current!$B$4:$B$138, 0), MATCH(CW$4&amp;CW$5,Demand_current!$D$2:$AY$2&amp;Demand_current!$D$3:$AY$3, 0))/1000</f>
        <v>0</v>
      </c>
      <c r="CX81" s="182">
        <f t="array" ref="CX81">INDEX(Demand_current!$D$4:$AY$138, MATCH($A81, Demand_current!$B$4:$B$138, 0), MATCH(CX$4&amp;CX$5,Demand_current!$D$2:$AY$2&amp;Demand_current!$D$3:$AY$3, 0))/1000</f>
        <v>0</v>
      </c>
      <c r="CY81" s="182">
        <f t="array" ref="CY81">INDEX(Demand_current!$D$4:$AY$138, MATCH($A81, Demand_current!$B$4:$B$138, 0), MATCH(CY$4&amp;CY$5,Demand_current!$D$2:$AY$2&amp;Demand_current!$D$3:$AY$3, 0))/1000</f>
        <v>0</v>
      </c>
      <c r="CZ81" s="182">
        <f t="array" ref="CZ81">INDEX(Demand_current!$D$4:$AY$138, MATCH($A81, Demand_current!$B$4:$B$138, 0), MATCH(CZ$4&amp;CZ$5,Demand_current!$D$2:$AY$2&amp;Demand_current!$D$3:$AY$3, 0))/1000</f>
        <v>0</v>
      </c>
      <c r="DA81" s="182">
        <f t="array" ref="DA81">INDEX(Demand_current!$D$4:$AY$138, MATCH($A81, Demand_current!$B$4:$B$138, 0), MATCH(DA$4&amp;DA$5,Demand_current!$D$2:$AY$2&amp;Demand_current!$D$3:$AY$3, 0))/1000</f>
        <v>0</v>
      </c>
      <c r="DB81" s="182">
        <f t="array" ref="DB81">INDEX(Demand_current!$D$4:$AY$138, MATCH($A81, Demand_current!$B$4:$B$138, 0), MATCH(DB$4&amp;DB$5,Demand_current!$D$2:$AY$2&amp;Demand_current!$D$3:$AY$3, 0))/1000</f>
        <v>0</v>
      </c>
      <c r="DC81" s="182">
        <f t="array" ref="DC81">INDEX(Demand_current!$D$4:$AY$138, MATCH($A81, Demand_current!$B$4:$B$138, 0), MATCH(DC$4&amp;DC$5,Demand_current!$D$2:$AY$2&amp;Demand_current!$D$3:$AY$3, 0))/1000</f>
        <v>0</v>
      </c>
      <c r="DD81" s="182">
        <f t="array" ref="DD81">INDEX(Demand_current!$D$4:$AY$138, MATCH($A81, Demand_current!$B$4:$B$138, 0), MATCH(DD$4&amp;DD$5,Demand_current!$D$2:$AY$2&amp;Demand_current!$D$3:$AY$3, 0))/1000</f>
        <v>0</v>
      </c>
      <c r="DE81" s="182">
        <f t="array" ref="DE81">INDEX(Demand_current!$D$4:$AY$138, MATCH($A81, Demand_current!$B$4:$B$138, 0), MATCH(DE$4&amp;DE$5,Demand_current!$D$2:$AY$2&amp;Demand_current!$D$3:$AY$3, 0))/1000</f>
        <v>0</v>
      </c>
      <c r="DF81" s="182">
        <f t="array" ref="DF81">INDEX(Demand_current!$D$4:$AY$138, MATCH($A81, Demand_current!$B$4:$B$138, 0), MATCH(DF$4&amp;DF$5,Demand_current!$D$2:$AY$2&amp;Demand_current!$D$3:$AY$3, 0))/1000</f>
        <v>0</v>
      </c>
      <c r="DG81" s="182">
        <f t="array" ref="DG81">INDEX(Demand_current!$D$4:$AY$138, MATCH($A81, Demand_current!$B$4:$B$138, 0), MATCH(DG$4&amp;DG$5,Demand_current!$D$2:$AY$2&amp;Demand_current!$D$3:$AY$3, 0))/1000</f>
        <v>0</v>
      </c>
      <c r="DH81" s="182">
        <f t="array" ref="DH81">INDEX(Demand_current!$D$4:$AY$138, MATCH($A81, Demand_current!$B$4:$B$138, 0), MATCH(DH$4&amp;DH$5,Demand_current!$D$2:$AY$2&amp;Demand_current!$D$3:$AY$3, 0))/1000</f>
        <v>0</v>
      </c>
      <c r="DI81" s="180">
        <f>$BS81*(VLOOKUP(DI$4, Rates_current!$G$6:$Q$29, 10, FALSE)+VLOOKUP(DI$4, Rates_current!$G$6:$Q$29, 11, FALSE))</f>
        <v>27417.583765612351</v>
      </c>
      <c r="DJ81" s="180">
        <f>$BS81*(VLOOKUP(DJ$4, Rates_current!$G$6:$Q$29, 10, FALSE)+VLOOKUP(DJ$4, Rates_current!$G$6:$Q$29, 11, FALSE))</f>
        <v>34966.460330945105</v>
      </c>
      <c r="DK81" s="180">
        <f>$BS81*(VLOOKUP(DK$4, Rates_current!$G$6:$Q$29, 10, FALSE)+VLOOKUP(DK$4, Rates_current!$G$6:$Q$29, 11, FALSE))</f>
        <v>37735.729200121503</v>
      </c>
      <c r="DL81" s="180">
        <f>$BS81*(VLOOKUP(DL$4, Rates_current!$G$6:$Q$29, 10, FALSE)+VLOOKUP(DL$4, Rates_current!$G$6:$Q$29, 11, FALSE))</f>
        <v>39213.256123281601</v>
      </c>
      <c r="DM81" s="180">
        <f>$BS81*(VLOOKUP(DM$4, Rates_current!$G$6:$Q$29, 10, FALSE)+VLOOKUP(DM$4, Rates_current!$G$6:$Q$29, 11, FALSE))</f>
        <v>33728.627059378196</v>
      </c>
      <c r="DN81" s="180">
        <f>$BS81*(VLOOKUP(DN$4, Rates_current!$G$6:$Q$29, 10, FALSE)+VLOOKUP(DN$4, Rates_current!$G$6:$Q$29, 11, FALSE))</f>
        <v>36824.9828165199</v>
      </c>
      <c r="DO81" s="180">
        <f>$BS81*(VLOOKUP(DO$4, Rates_current!$G$6:$Q$29, 10, FALSE)+VLOOKUP(DO$4, Rates_current!$G$6:$Q$29, 11, FALSE))</f>
        <v>29067.118171761824</v>
      </c>
      <c r="DP81" s="180">
        <f>$BS81*(VLOOKUP(DP$4, Rates_current!$G$6:$Q$29, 10, FALSE)+VLOOKUP(DP$4, Rates_current!$G$6:$Q$29, 11, FALSE))</f>
        <v>36061.655267642855</v>
      </c>
      <c r="DQ81" s="180">
        <f>$BS81*(VLOOKUP(DQ$4, Rates_current!$G$6:$Q$29, 10, FALSE)+VLOOKUP(DQ$4, Rates_current!$G$6:$Q$29, 11, FALSE))</f>
        <v>36844.103161971449</v>
      </c>
      <c r="DR81" s="180">
        <f>$BS81*(VLOOKUP(DR$4, Rates_current!$G$6:$Q$29, 10, FALSE)+VLOOKUP(DR$4, Rates_current!$G$6:$Q$29, 11, FALSE))</f>
        <v>31985.989614919352</v>
      </c>
      <c r="DS81" s="180">
        <f>$BS81*(VLOOKUP(DS$4, Rates_current!$G$6:$Q$29, 10, FALSE)+VLOOKUP(DS$4, Rates_current!$G$6:$Q$29, 11, FALSE))</f>
        <v>30921.94980269852</v>
      </c>
      <c r="DT81" s="180">
        <f>$BS81*(VLOOKUP(DT$4, Rates_current!$G$6:$Q$29, 10, FALSE)+VLOOKUP(DT$4, Rates_current!$G$6:$Q$29, 11, FALSE))</f>
        <v>28454.181818884204</v>
      </c>
      <c r="DU81" s="402">
        <f>IF(D81=0,IF(C81=0,MAX(0,DW81 - (VLOOKUP($A81,TOCA_current!$A$2:$AI$137,MATCH("RHWM 2024",TOCA_current!$A$2:$AI$2,0),FALSE)*$BS$2)), 0),0)</f>
        <v>0</v>
      </c>
      <c r="DV81" s="403">
        <f>MIN(VLOOKUP($A81,TOCA_current!$A$2:$AI$137,MATCH("TRL - NLSL - Existing Resource "&amp;$BS$1,TOCA_current!$A$2:$AI$2,0),FALSE)*$BS$2, VLOOKUP($A81,TOCA_current!$A$2:$AI$137,MATCH("RHWM 2024",TOCA_current!$A$2:$AI$2,0),FALSE)*$BS$2)</f>
        <v>999021.88800000004</v>
      </c>
      <c r="DW81" s="403">
        <f>SUM(BY81:CV81)+(BS81*RT1SC!$C$4*$BS$2)</f>
        <v>403220.02757912123</v>
      </c>
      <c r="DX81" s="403">
        <f>VLOOKUP($A81,TOCA_current!$A$2:$AI$137,MATCH("Above RHWM Not Served with LS "&amp;$BS$1,TOCA_current!$A$2:$AI$2,0),FALSE)*$BS$2</f>
        <v>23945.183999999994</v>
      </c>
      <c r="DY81" s="403">
        <f t="shared" si="32"/>
        <v>-595801.86042087874</v>
      </c>
      <c r="DZ81" s="403">
        <f>(VLOOKUP($A81,TOCA_current!$A$2:$AI$137,MATCH("RHWM 2024",TOCA_current!$A$2:$AI$2,0),FALSE)*$BS$2) - $DV81</f>
        <v>0</v>
      </c>
      <c r="EA81" s="403">
        <f t="shared" si="33"/>
        <v>0</v>
      </c>
      <c r="EB81" s="403">
        <f t="shared" si="34"/>
        <v>571856.67642087874</v>
      </c>
      <c r="EC81" s="403">
        <f t="shared" si="35"/>
        <v>0</v>
      </c>
      <c r="ED81" s="403">
        <f t="shared" si="36"/>
        <v>0</v>
      </c>
    </row>
    <row r="82" spans="1:134">
      <c r="A82" s="123">
        <v>10239</v>
      </c>
      <c r="B82" s="124" t="s">
        <v>83</v>
      </c>
      <c r="C82" s="232">
        <f>VLOOKUP(A82, TOCA_current!$A$3:$D$137, 4, FALSE)</f>
        <v>1</v>
      </c>
      <c r="D82" s="191">
        <v>0</v>
      </c>
      <c r="E82" s="107">
        <f>VLOOKUP($A82,TOCA_previous!$A$2:$AI$137,MATCH(E$4,TOCA_previous!$A$2:$AI$2,0),FALSE)</f>
        <v>1.9824999999999999E-3</v>
      </c>
      <c r="F82" s="108">
        <f>VLOOKUP($A82,TOCA_previous!$A$2:$AI$137,MATCH(F$4,TOCA_previous!$A$2:$AI$2,0),FALSE)</f>
        <v>1.9824999999999999E-3</v>
      </c>
      <c r="G82" s="108">
        <f t="shared" si="24"/>
        <v>0</v>
      </c>
      <c r="H82" s="108">
        <f>VLOOKUP($A82,TOCA_previous!$A$2:$AI$137,MATCH(H$4,TOCA_previous!$A$2:$AI$2,0),FALSE)</f>
        <v>7.6819999999999999E-2</v>
      </c>
      <c r="I82" s="108">
        <f t="shared" si="25"/>
        <v>7.6819999999999999E-2</v>
      </c>
      <c r="J82" s="108">
        <f t="shared" si="26"/>
        <v>1.9824999999999999E-3</v>
      </c>
      <c r="K82" s="179">
        <f>VLOOKUP(A82, IRD!$A$5:$C$139, 3, FALSE)</f>
        <v>0</v>
      </c>
      <c r="L82" s="180">
        <f t="array" ref="L82">IF($G82=0, INDEX(LS_previous!$D$4:$AY$138, MATCH('Staging Table'!$A82, LS_previous!$B$4:$B$138, 0), MATCH(L$4&amp;L$5, LS_previous!$D$2:$AY$2&amp;LS_previous!$D$3:$AY$3, 0)),SUM(VLOOKUP($A82, LS_previous!$B$4:$AY$138, LS_previous!D$149, FALSE), VLOOKUP('Staging Table'!$A82, LS_previous!$B$4:$AY$138,LS_previous!AB$149, FALSE))/2)</f>
        <v>0</v>
      </c>
      <c r="M82" s="180">
        <f t="array" ref="M82">IF($G82=0, INDEX(LS_previous!$D$4:$AY$138, MATCH('Staging Table'!$A82, LS_previous!$B$4:$B$138, 0), MATCH(M$4&amp;M$5, LS_previous!$D$2:$AY$2&amp;LS_previous!$D$3:$AY$3, 0)),SUM(VLOOKUP($A82, LS_previous!$B$4:$AY$138, LS_previous!E$149, FALSE), VLOOKUP('Staging Table'!$A82, LS_previous!$B$4:$AY$138,LS_previous!AC$149, FALSE))/2)</f>
        <v>0</v>
      </c>
      <c r="N82" s="180">
        <f t="array" ref="N82">IF($G82=0, INDEX(LS_previous!$D$4:$AY$138, MATCH('Staging Table'!$A82, LS_previous!$B$4:$B$138, 0), MATCH(N$4&amp;N$5, LS_previous!$D$2:$AY$2&amp;LS_previous!$D$3:$AY$3, 0)),SUM(VLOOKUP($A82, LS_previous!$B$4:$AY$138, LS_previous!F$149, FALSE), VLOOKUP('Staging Table'!$A82, LS_previous!$B$4:$AY$138,LS_previous!AD$149, FALSE))/2)</f>
        <v>0</v>
      </c>
      <c r="O82" s="180">
        <f t="array" ref="O82">IF($G82=0, INDEX(LS_previous!$D$4:$AY$138, MATCH('Staging Table'!$A82, LS_previous!$B$4:$B$138, 0), MATCH(O$4&amp;O$5, LS_previous!$D$2:$AY$2&amp;LS_previous!$D$3:$AY$3, 0)),SUM(VLOOKUP($A82, LS_previous!$B$4:$AY$138, LS_previous!G$149, FALSE), VLOOKUP('Staging Table'!$A82, LS_previous!$B$4:$AY$138,LS_previous!AE$149, FALSE))/2)</f>
        <v>0</v>
      </c>
      <c r="P82" s="180">
        <f t="array" ref="P82">IF($G82=0, INDEX(LS_previous!$D$4:$AY$138, MATCH('Staging Table'!$A82, LS_previous!$B$4:$B$138, 0), MATCH(P$4&amp;P$5, LS_previous!$D$2:$AY$2&amp;LS_previous!$D$3:$AY$3, 0)),SUM(VLOOKUP($A82, LS_previous!$B$4:$AY$138, LS_previous!H$149, FALSE), VLOOKUP('Staging Table'!$A82, LS_previous!$B$4:$AY$138,LS_previous!AF$149, FALSE))/2)</f>
        <v>0</v>
      </c>
      <c r="Q82" s="180">
        <f t="array" ref="Q82">IF($G82=0, INDEX(LS_previous!$D$4:$AY$138, MATCH('Staging Table'!$A82, LS_previous!$B$4:$B$138, 0), MATCH(Q$4&amp;Q$5, LS_previous!$D$2:$AY$2&amp;LS_previous!$D$3:$AY$3, 0)),SUM(VLOOKUP($A82, LS_previous!$B$4:$AY$138, LS_previous!I$149, FALSE), VLOOKUP('Staging Table'!$A82, LS_previous!$B$4:$AY$138,LS_previous!AG$149, FALSE))/2)</f>
        <v>0</v>
      </c>
      <c r="R82" s="180">
        <f t="array" ref="R82">IF($G82=0, INDEX(LS_previous!$D$4:$AY$138, MATCH('Staging Table'!$A82, LS_previous!$B$4:$B$138, 0), MATCH(R$4&amp;R$5, LS_previous!$D$2:$AY$2&amp;LS_previous!$D$3:$AY$3, 0)),SUM(VLOOKUP($A82, LS_previous!$B$4:$AY$138, LS_previous!J$149, FALSE), VLOOKUP('Staging Table'!$A82, LS_previous!$B$4:$AY$138,LS_previous!AH$149, FALSE))/2)</f>
        <v>0</v>
      </c>
      <c r="S82" s="180">
        <f t="array" ref="S82">IF($G82=0, INDEX(LS_previous!$D$4:$AY$138, MATCH('Staging Table'!$A82, LS_previous!$B$4:$B$138, 0), MATCH(S$4&amp;S$5, LS_previous!$D$2:$AY$2&amp;LS_previous!$D$3:$AY$3, 0)),SUM(VLOOKUP($A82, LS_previous!$B$4:$AY$138, LS_previous!K$149, FALSE), VLOOKUP('Staging Table'!$A82, LS_previous!$B$4:$AY$138,LS_previous!AI$149, FALSE))/2)</f>
        <v>0</v>
      </c>
      <c r="T82" s="180">
        <f t="array" ref="T82">IF($G82=0, INDEX(LS_previous!$D$4:$AY$138, MATCH('Staging Table'!$A82, LS_previous!$B$4:$B$138, 0), MATCH(T$4&amp;T$5, LS_previous!$D$2:$AY$2&amp;LS_previous!$D$3:$AY$3, 0)),SUM(VLOOKUP($A82, LS_previous!$B$4:$AY$138, LS_previous!L$149, FALSE), VLOOKUP('Staging Table'!$A82, LS_previous!$B$4:$AY$138,LS_previous!AJ$149, FALSE))/2)</f>
        <v>0</v>
      </c>
      <c r="U82" s="180">
        <f t="array" ref="U82">IF($G82=0, INDEX(LS_previous!$D$4:$AY$138, MATCH('Staging Table'!$A82, LS_previous!$B$4:$B$138, 0), MATCH(U$4&amp;U$5, LS_previous!$D$2:$AY$2&amp;LS_previous!$D$3:$AY$3, 0)),SUM(VLOOKUP($A82, LS_previous!$B$4:$AY$138, LS_previous!M$149, FALSE), VLOOKUP('Staging Table'!$A82, LS_previous!$B$4:$AY$138,LS_previous!AK$149, FALSE))/2)</f>
        <v>0</v>
      </c>
      <c r="V82" s="180">
        <f t="array" ref="V82">IF($G82=0, INDEX(LS_previous!$D$4:$AY$138, MATCH('Staging Table'!$A82, LS_previous!$B$4:$B$138, 0), MATCH(V$4&amp;V$5, LS_previous!$D$2:$AY$2&amp;LS_previous!$D$3:$AY$3, 0)),SUM(VLOOKUP($A82, LS_previous!$B$4:$AY$138, LS_previous!N$149, FALSE), VLOOKUP('Staging Table'!$A82, LS_previous!$B$4:$AY$138,LS_previous!AL$149, FALSE))/2)</f>
        <v>0</v>
      </c>
      <c r="W82" s="180">
        <f t="array" ref="W82">IF($G82=0, INDEX(LS_previous!$D$4:$AY$138, MATCH('Staging Table'!$A82, LS_previous!$B$4:$B$138, 0), MATCH(W$4&amp;W$5, LS_previous!$D$2:$AY$2&amp;LS_previous!$D$3:$AY$3, 0)),SUM(VLOOKUP($A82, LS_previous!$B$4:$AY$138, LS_previous!O$149, FALSE), VLOOKUP('Staging Table'!$A82, LS_previous!$B$4:$AY$138,LS_previous!AM$149, FALSE))/2)</f>
        <v>0</v>
      </c>
      <c r="X82" s="180">
        <f t="array" ref="X82">IF($G82=0, INDEX(LS_previous!$D$4:$AY$138, MATCH('Staging Table'!$A82, LS_previous!$B$4:$B$138, 0), MATCH(X$4&amp;X$5, LS_previous!$D$2:$AY$2&amp;LS_previous!$D$3:$AY$3, 0)),SUM(VLOOKUP($A82, LS_previous!$B$4:$AY$138, LS_previous!P$149, FALSE), VLOOKUP('Staging Table'!$A82, LS_previous!$B$4:$AY$138,LS_previous!AN$149, FALSE))/2)</f>
        <v>0</v>
      </c>
      <c r="Y82" s="180">
        <f t="array" ref="Y82">IF($G82=0, INDEX(LS_previous!$D$4:$AY$138, MATCH('Staging Table'!$A82, LS_previous!$B$4:$B$138, 0), MATCH(Y$4&amp;Y$5, LS_previous!$D$2:$AY$2&amp;LS_previous!$D$3:$AY$3, 0)),SUM(VLOOKUP($A82, LS_previous!$B$4:$AY$138, LS_previous!Q$149, FALSE), VLOOKUP('Staging Table'!$A82, LS_previous!$B$4:$AY$138,LS_previous!AO$149, FALSE))/2)</f>
        <v>0</v>
      </c>
      <c r="Z82" s="180">
        <f t="array" ref="Z82">IF($G82=0, INDEX(LS_previous!$D$4:$AY$138, MATCH('Staging Table'!$A82, LS_previous!$B$4:$B$138, 0), MATCH(Z$4&amp;Z$5, LS_previous!$D$2:$AY$2&amp;LS_previous!$D$3:$AY$3, 0)),SUM(VLOOKUP($A82, LS_previous!$B$4:$AY$138, LS_previous!R$149, FALSE), VLOOKUP('Staging Table'!$A82, LS_previous!$B$4:$AY$138,LS_previous!AP$149, FALSE))/2)</f>
        <v>0</v>
      </c>
      <c r="AA82" s="180">
        <f t="array" ref="AA82">IF($G82=0, INDEX(LS_previous!$D$4:$AY$138, MATCH('Staging Table'!$A82, LS_previous!$B$4:$B$138, 0), MATCH(AA$4&amp;AA$5, LS_previous!$D$2:$AY$2&amp;LS_previous!$D$3:$AY$3, 0)),SUM(VLOOKUP($A82, LS_previous!$B$4:$AY$138, LS_previous!S$149, FALSE), VLOOKUP('Staging Table'!$A82, LS_previous!$B$4:$AY$138,LS_previous!AQ$149, FALSE))/2)</f>
        <v>0</v>
      </c>
      <c r="AB82" s="180">
        <f t="array" ref="AB82">IF($G82=0, INDEX(LS_previous!$D$4:$AY$138, MATCH('Staging Table'!$A82, LS_previous!$B$4:$B$138, 0), MATCH(AB$4&amp;AB$5, LS_previous!$D$2:$AY$2&amp;LS_previous!$D$3:$AY$3, 0)),SUM(VLOOKUP($A82, LS_previous!$B$4:$AY$138, LS_previous!T$149, FALSE), VLOOKUP('Staging Table'!$A82, LS_previous!$B$4:$AY$138,LS_previous!AR$149, FALSE))/2)</f>
        <v>0</v>
      </c>
      <c r="AC82" s="180">
        <f t="array" ref="AC82">IF($G82=0, INDEX(LS_previous!$D$4:$AY$138, MATCH('Staging Table'!$A82, LS_previous!$B$4:$B$138, 0), MATCH(AC$4&amp;AC$5, LS_previous!$D$2:$AY$2&amp;LS_previous!$D$3:$AY$3, 0)),SUM(VLOOKUP($A82, LS_previous!$B$4:$AY$138, LS_previous!U$149, FALSE), VLOOKUP('Staging Table'!$A82, LS_previous!$B$4:$AY$138,LS_previous!AS$149, FALSE))/2)</f>
        <v>0</v>
      </c>
      <c r="AD82" s="180">
        <f t="array" ref="AD82">IF($G82=0, INDEX(LS_previous!$D$4:$AY$138, MATCH('Staging Table'!$A82, LS_previous!$B$4:$B$138, 0), MATCH(AD$4&amp;AD$5, LS_previous!$D$2:$AY$2&amp;LS_previous!$D$3:$AY$3, 0)),SUM(VLOOKUP($A82, LS_previous!$B$4:$AY$138, LS_previous!V$149, FALSE), VLOOKUP('Staging Table'!$A82, LS_previous!$B$4:$AY$138,LS_previous!AT$149, FALSE))/2)</f>
        <v>0</v>
      </c>
      <c r="AE82" s="180">
        <f t="array" ref="AE82">IF($G82=0, INDEX(LS_previous!$D$4:$AY$138, MATCH('Staging Table'!$A82, LS_previous!$B$4:$B$138, 0), MATCH(AE$4&amp;AE$5, LS_previous!$D$2:$AY$2&amp;LS_previous!$D$3:$AY$3, 0)),SUM(VLOOKUP($A82, LS_previous!$B$4:$AY$138, LS_previous!W$149, FALSE), VLOOKUP('Staging Table'!$A82, LS_previous!$B$4:$AY$138,LS_previous!AU$149, FALSE))/2)</f>
        <v>0</v>
      </c>
      <c r="AF82" s="180">
        <f t="array" ref="AF82">IF($G82=0, INDEX(LS_previous!$D$4:$AY$138, MATCH('Staging Table'!$A82, LS_previous!$B$4:$B$138, 0), MATCH(AF$4&amp;AF$5, LS_previous!$D$2:$AY$2&amp;LS_previous!$D$3:$AY$3, 0)),SUM(VLOOKUP($A82, LS_previous!$B$4:$AY$138, LS_previous!X$149, FALSE), VLOOKUP('Staging Table'!$A82, LS_previous!$B$4:$AY$138,LS_previous!AV$149, FALSE))/2)</f>
        <v>0</v>
      </c>
      <c r="AG82" s="180">
        <f t="array" ref="AG82">IF($G82=0, INDEX(LS_previous!$D$4:$AY$138, MATCH('Staging Table'!$A82, LS_previous!$B$4:$B$138, 0), MATCH(AG$4&amp;AG$5, LS_previous!$D$2:$AY$2&amp;LS_previous!$D$3:$AY$3, 0)),SUM(VLOOKUP($A82, LS_previous!$B$4:$AY$138, LS_previous!Y$149, FALSE), VLOOKUP('Staging Table'!$A82, LS_previous!$B$4:$AY$138,LS_previous!AW$149, FALSE))/2)</f>
        <v>0</v>
      </c>
      <c r="AH82" s="180">
        <f t="array" ref="AH82">IF($G82=0, INDEX(LS_previous!$D$4:$AY$138, MATCH('Staging Table'!$A82, LS_previous!$B$4:$B$138, 0), MATCH(AH$4&amp;AH$5, LS_previous!$D$2:$AY$2&amp;LS_previous!$D$3:$AY$3, 0)),SUM(VLOOKUP($A82, LS_previous!$B$4:$AY$138, LS_previous!Z$149, FALSE), VLOOKUP('Staging Table'!$A82, LS_previous!$B$4:$AY$138,LS_previous!AX$149, FALSE))/2)</f>
        <v>0</v>
      </c>
      <c r="AI82" s="180">
        <f t="array" ref="AI82">IF($G82=0, INDEX(LS_previous!$D$4:$AY$138, MATCH('Staging Table'!$A82, LS_previous!$B$4:$B$138, 0), MATCH(AI$4&amp;AI$5, LS_previous!$D$2:$AY$2&amp;LS_previous!$D$3:$AY$3, 0)),SUM(VLOOKUP($A82, LS_previous!$B$4:$AY$138, LS_previous!AA$149, FALSE), VLOOKUP('Staging Table'!$A82, LS_previous!$B$4:$AY$138,LS_previous!AY$149, FALSE))/2)</f>
        <v>0</v>
      </c>
      <c r="AJ82" s="298">
        <f t="array" ref="AJ82">INDEX(Demand_previous!$D$4:$AY$138, MATCH('Staging Table'!$A82, Demand_previous!$B$4:$B$138, 0), MATCH(AJ$4&amp;AJ$5,Demand_previous!$D$2:$AY$2&amp;Demand_previous!$D$3:$AY$3, 0))/1000</f>
        <v>0</v>
      </c>
      <c r="AK82" s="298">
        <f t="array" ref="AK82">INDEX(Demand_previous!$D$4:$AY$138, MATCH('Staging Table'!$A82, Demand_previous!$B$4:$B$138, 0), MATCH(AK$4&amp;AK$5,Demand_previous!$D$2:$AY$2&amp;Demand_previous!$D$3:$AY$3, 0))/1000</f>
        <v>0</v>
      </c>
      <c r="AL82" s="298">
        <f t="array" ref="AL82">INDEX(Demand_previous!$D$4:$AY$138, MATCH('Staging Table'!$A82, Demand_previous!$B$4:$B$138, 0), MATCH(AL$4&amp;AL$5,Demand_previous!$D$2:$AY$2&amp;Demand_previous!$D$3:$AY$3, 0))/1000</f>
        <v>0</v>
      </c>
      <c r="AM82" s="298">
        <f t="array" ref="AM82">INDEX(Demand_previous!$D$4:$AY$138, MATCH('Staging Table'!$A82, Demand_previous!$B$4:$B$138, 0), MATCH(AM$4&amp;AM$5,Demand_previous!$D$2:$AY$2&amp;Demand_previous!$D$3:$AY$3, 0))/1000</f>
        <v>0</v>
      </c>
      <c r="AN82" s="298">
        <f t="array" ref="AN82">INDEX(Demand_previous!$D$4:$AY$138, MATCH('Staging Table'!$A82, Demand_previous!$B$4:$B$138, 0), MATCH(AN$4&amp;AN$5,Demand_previous!$D$2:$AY$2&amp;Demand_previous!$D$3:$AY$3, 0))/1000</f>
        <v>0</v>
      </c>
      <c r="AO82" s="298">
        <f t="array" ref="AO82">INDEX(Demand_previous!$D$4:$AY$138, MATCH('Staging Table'!$A82, Demand_previous!$B$4:$B$138, 0), MATCH(AO$4&amp;AO$5,Demand_previous!$D$2:$AY$2&amp;Demand_previous!$D$3:$AY$3, 0))/1000</f>
        <v>0</v>
      </c>
      <c r="AP82" s="298">
        <f t="array" ref="AP82">INDEX(Demand_previous!$D$4:$AY$138, MATCH('Staging Table'!$A82, Demand_previous!$B$4:$B$138, 0), MATCH(AP$4&amp;AP$5,Demand_previous!$D$2:$AY$2&amp;Demand_previous!$D$3:$AY$3, 0))/1000</f>
        <v>0</v>
      </c>
      <c r="AQ82" s="298">
        <f t="array" ref="AQ82">INDEX(Demand_previous!$D$4:$AY$138, MATCH('Staging Table'!$A82, Demand_previous!$B$4:$B$138, 0), MATCH(AQ$4&amp;AQ$5,Demand_previous!$D$2:$AY$2&amp;Demand_previous!$D$3:$AY$3, 0))/1000</f>
        <v>0</v>
      </c>
      <c r="AR82" s="298">
        <f t="array" ref="AR82">INDEX(Demand_previous!$D$4:$AY$138, MATCH('Staging Table'!$A82, Demand_previous!$B$4:$B$138, 0), MATCH(AR$4&amp;AR$5,Demand_previous!$D$2:$AY$2&amp;Demand_previous!$D$3:$AY$3, 0))/1000</f>
        <v>0</v>
      </c>
      <c r="AS82" s="298">
        <f t="array" ref="AS82">INDEX(Demand_previous!$D$4:$AY$138, MATCH('Staging Table'!$A82, Demand_previous!$B$4:$B$138, 0), MATCH(AS$4&amp;AS$5,Demand_previous!$D$2:$AY$2&amp;Demand_previous!$D$3:$AY$3, 0))/1000</f>
        <v>0</v>
      </c>
      <c r="AT82" s="298">
        <f t="array" ref="AT82">INDEX(Demand_previous!$D$4:$AY$138, MATCH('Staging Table'!$A82, Demand_previous!$B$4:$B$138, 0), MATCH(AT$4&amp;AT$5,Demand_previous!$D$2:$AY$2&amp;Demand_previous!$D$3:$AY$3, 0))/1000</f>
        <v>0</v>
      </c>
      <c r="AU82" s="298">
        <f t="array" ref="AU82">INDEX(Demand_previous!$D$4:$AY$138, MATCH('Staging Table'!$A82, Demand_previous!$B$4:$B$138, 0), MATCH(AU$4&amp;AU$5,Demand_previous!$D$2:$AY$2&amp;Demand_previous!$D$3:$AY$3, 0))/1000</f>
        <v>0</v>
      </c>
      <c r="AV82" s="180">
        <f>$F82*(VLOOKUP(AV$4, Rates_previous!$G$6:$Q$29, 10, FALSE)+VLOOKUP(AV$4, Rates_previous!$G$6:$Q$29, 11, FALSE))</f>
        <v>9028.1551641626465</v>
      </c>
      <c r="AW82" s="180">
        <f>$F82*(VLOOKUP(AW$4, Rates_previous!$G$6:$Q$29, 10, FALSE)+VLOOKUP(AW$4, Rates_previous!$G$6:$Q$29, 11, FALSE))</f>
        <v>11429.972092128412</v>
      </c>
      <c r="AX82" s="180">
        <f>$F82*(VLOOKUP(AX$4, Rates_previous!$G$6:$Q$29, 10, FALSE)+VLOOKUP(AX$4, Rates_previous!$G$6:$Q$29, 11, FALSE))</f>
        <v>11187.659161612832</v>
      </c>
      <c r="AY82" s="180">
        <f>$F82*(VLOOKUP(AY$4, Rates_previous!$G$6:$Q$29, 10, FALSE)+VLOOKUP(AY$4, Rates_previous!$G$6:$Q$29, 11, FALSE))</f>
        <v>9240.5307140551267</v>
      </c>
      <c r="AZ82" s="180">
        <f>$F82*(VLOOKUP(AZ$4, Rates_previous!$G$6:$Q$29, 10, FALSE)+VLOOKUP(AZ$4, Rates_previous!$G$6:$Q$29, 11, FALSE))</f>
        <v>8008.9704953986475</v>
      </c>
      <c r="BA82" s="180">
        <f>$F82*(VLOOKUP(BA$4, Rates_previous!$G$6:$Q$29, 10, FALSE)+VLOOKUP(BA$4, Rates_previous!$G$6:$Q$29, 11, FALSE))</f>
        <v>9561.0934460354783</v>
      </c>
      <c r="BB82" s="180">
        <f>$F82*(VLOOKUP(BB$4, Rates_previous!$G$6:$Q$29, 10, FALSE)+VLOOKUP(BB$4, Rates_previous!$G$6:$Q$29, 11, FALSE))</f>
        <v>7422.916202999163</v>
      </c>
      <c r="BC82" s="180">
        <f>$F82*(VLOOKUP(BC$4, Rates_previous!$G$6:$Q$29, 10, FALSE)+VLOOKUP(BC$4, Rates_previous!$G$6:$Q$29, 11, FALSE))</f>
        <v>10284.505024377837</v>
      </c>
      <c r="BD82" s="180">
        <f>$F82*(VLOOKUP(BD$4, Rates_previous!$G$6:$Q$29, 10, FALSE)+VLOOKUP(BD$4, Rates_previous!$G$6:$Q$29, 11, FALSE))</f>
        <v>10989.208967354263</v>
      </c>
      <c r="BE82" s="180">
        <f>$F82*(VLOOKUP(BE$4, Rates_previous!$G$6:$Q$29, 10, FALSE)+VLOOKUP(BE$4, Rates_previous!$G$6:$Q$29, 11, FALSE))</f>
        <v>10433.756305552044</v>
      </c>
      <c r="BF82" s="180">
        <f>$F82*(VLOOKUP(BF$4, Rates_previous!$G$6:$Q$29, 10, FALSE)+VLOOKUP(BF$4, Rates_previous!$G$6:$Q$29, 11, FALSE))</f>
        <v>10083.420546897114</v>
      </c>
      <c r="BG82" s="180">
        <f>$F82*(VLOOKUP(BG$4, Rates_previous!$G$6:$Q$29, 10, FALSE)+VLOOKUP(BG$4, Rates_previous!$G$6:$Q$29, 11, FALSE))</f>
        <v>9318.1317402676741</v>
      </c>
      <c r="BH82" s="298">
        <f>IF($D82=0,IF(C82=0, MAX(BJ82 - (VLOOKUP($A82,TOCA_previous!$A$2:$AI$137,MATCH("RHWM 2022",TOCA_previous!$A$2:$AI$2,0),FALSE)*$F$2*TOCA_previous!C79),0),0), 0)</f>
        <v>0</v>
      </c>
      <c r="BI82" s="192">
        <f>MIN(VLOOKUP($A82,TOCA_previous!$A$2:$AI$137,MATCH("TRL - NLSL - Existing Resource "&amp;$F$1,TOCA_previous!$A$2:$AI$2,0),FALSE)*$F$2,(VLOOKUP($A82,TOCA_previous!$A$2:$AI$137,MATCH("RHWM 2022",TOCA_previous!$A$2:$AI$2,0),FALSE)*$F$2))</f>
        <v>116989.8</v>
      </c>
      <c r="BJ82" s="402">
        <f>SUM(L82:AI82)+(F82*RT1SC!$C$3*$F$2)</f>
        <v>116988.3258453</v>
      </c>
      <c r="BK82" s="401">
        <f>VLOOKUP($A82,TOCA_previous!$A$2:$AI$137,MATCH("Above RHWM Not Served with LS "&amp;$F$1,TOCA_previous!$A$2:$AI$2,0),FALSE)*$F$2</f>
        <v>11405.52</v>
      </c>
      <c r="BL82" s="402">
        <f t="shared" si="27"/>
        <v>-1.4741547000012361</v>
      </c>
      <c r="BM82" s="401">
        <f>(VLOOKUP($A82,TOCA_previous!$A$2:$AI$137,MATCH("RHWM 2022",TOCA_previous!$A$2:$AI$2,0),FALSE)*$F$2) - $BI82</f>
        <v>0</v>
      </c>
      <c r="BN82" s="402">
        <f t="shared" si="28"/>
        <v>0</v>
      </c>
      <c r="BO82" s="401">
        <f t="shared" si="29"/>
        <v>0</v>
      </c>
      <c r="BP82" s="402">
        <f t="shared" si="30"/>
        <v>0</v>
      </c>
      <c r="BQ82" s="401">
        <f t="shared" si="21"/>
        <v>0</v>
      </c>
      <c r="BR82" s="108">
        <f>VLOOKUP($A82,TOCA_current!$A$2:$AI$137,MATCH(BR$4,TOCA_current!$A$2:$AI$2,0),FALSE)</f>
        <v>1.9821000000000001E-3</v>
      </c>
      <c r="BS82" s="108">
        <f>VLOOKUP($A82,TOCA_current!$A$2:$AI$137,MATCH(BS$4,TOCA_current!$A$2:$AI$2,0),FALSE)</f>
        <v>1.9821000000000001E-3</v>
      </c>
      <c r="BT82" s="189">
        <f t="shared" si="31"/>
        <v>0</v>
      </c>
      <c r="BU82" s="108">
        <f>VLOOKUP($A82,TOCA_current!A78:BG213,MATCH(BU$4,TOCA_current!$A$2:$BG$2,0),FALSE)</f>
        <v>7.5445000000000012E-2</v>
      </c>
      <c r="BV82" s="108">
        <f t="shared" si="22"/>
        <v>7.5445000000000012E-2</v>
      </c>
      <c r="BW82" s="108">
        <f t="shared" si="23"/>
        <v>1.9821000000000001E-3</v>
      </c>
      <c r="BX82" s="179">
        <f>VLOOKUP($A82,IRD!$A$4:$G$139, 7, FALSE)</f>
        <v>0</v>
      </c>
      <c r="BY82" s="180">
        <f t="array" ref="BY82">IF($BT82=0, INDEX(LS_current!$D$4:$AY$138, MATCH('Staging Table'!$A82, LS_current!$B$4:$B$138, 0), MATCH(BY$4&amp;BY$5, LS_current!$D$2:$AY$2&amp;LS_current!$D$3:$AY$3, 0)),SUM(VLOOKUP($A82, LS_current!$B$4:$AY$138, LS_current!D$148, FALSE), VLOOKUP($A82, LS_current!$B$4:$AY$138,LS_current!AB$148, FALSE))/2)</f>
        <v>0</v>
      </c>
      <c r="BZ82" s="180">
        <f t="array" ref="BZ82">IF($BT82=0, INDEX(LS_current!$D$4:$AY$138, MATCH('Staging Table'!$A82, LS_current!$B$4:$B$138, 0), MATCH(BZ$4&amp;BZ$5, LS_current!$D$2:$AY$2&amp;LS_current!$D$3:$AY$3, 0)),SUM(VLOOKUP($A82, LS_current!$B$4:$AY$138, LS_current!E$148, FALSE), VLOOKUP($A82, LS_current!$B$4:$AY$138,LS_current!AC$148, FALSE))/2)</f>
        <v>0</v>
      </c>
      <c r="CA82" s="180">
        <f t="array" ref="CA82">IF($BT82=0, INDEX(LS_current!$D$4:$AY$138, MATCH('Staging Table'!$A82, LS_current!$B$4:$B$138, 0), MATCH(CA$4&amp;CA$5, LS_current!$D$2:$AY$2&amp;LS_current!$D$3:$AY$3, 0)),SUM(VLOOKUP($A82, LS_current!$B$4:$AY$138, LS_current!F$148, FALSE), VLOOKUP($A82, LS_current!$B$4:$AY$138,LS_current!AD$148, FALSE))/2)</f>
        <v>0</v>
      </c>
      <c r="CB82" s="180">
        <f t="array" ref="CB82">IF($BT82=0, INDEX(LS_current!$D$4:$AY$138, MATCH('Staging Table'!$A82, LS_current!$B$4:$B$138, 0), MATCH(CB$4&amp;CB$5, LS_current!$D$2:$AY$2&amp;LS_current!$D$3:$AY$3, 0)),SUM(VLOOKUP($A82, LS_current!$B$4:$AY$138, LS_current!G$148, FALSE), VLOOKUP($A82, LS_current!$B$4:$AY$138,LS_current!AE$148, FALSE))/2)</f>
        <v>0</v>
      </c>
      <c r="CC82" s="180">
        <f t="array" ref="CC82">IF($BT82=0, INDEX(LS_current!$D$4:$AY$138, MATCH('Staging Table'!$A82, LS_current!$B$4:$B$138, 0), MATCH(CC$4&amp;CC$5, LS_current!$D$2:$AY$2&amp;LS_current!$D$3:$AY$3, 0)),SUM(VLOOKUP($A82, LS_current!$B$4:$AY$138, LS_current!H$148, FALSE), VLOOKUP($A82, LS_current!$B$4:$AY$138,LS_current!AF$148, FALSE))/2)</f>
        <v>0</v>
      </c>
      <c r="CD82" s="180">
        <f t="array" ref="CD82">IF($BT82=0, INDEX(LS_current!$D$4:$AY$138, MATCH('Staging Table'!$A82, LS_current!$B$4:$B$138, 0), MATCH(CD$4&amp;CD$5, LS_current!$D$2:$AY$2&amp;LS_current!$D$3:$AY$3, 0)),SUM(VLOOKUP($A82, LS_current!$B$4:$AY$138, LS_current!I$148, FALSE), VLOOKUP($A82, LS_current!$B$4:$AY$138,LS_current!AG$148, FALSE))/2)</f>
        <v>0</v>
      </c>
      <c r="CE82" s="180">
        <f t="array" ref="CE82">IF($BT82=0, INDEX(LS_current!$D$4:$AY$138, MATCH('Staging Table'!$A82, LS_current!$B$4:$B$138, 0), MATCH(CE$4&amp;CE$5, LS_current!$D$2:$AY$2&amp;LS_current!$D$3:$AY$3, 0)),SUM(VLOOKUP($A82, LS_current!$B$4:$AY$138, LS_current!J$148, FALSE), VLOOKUP($A82, LS_current!$B$4:$AY$138,LS_current!AH$148, FALSE))/2)</f>
        <v>0</v>
      </c>
      <c r="CF82" s="180">
        <f t="array" ref="CF82">IF($BT82=0, INDEX(LS_current!$D$4:$AY$138, MATCH('Staging Table'!$A82, LS_current!$B$4:$B$138, 0), MATCH(CF$4&amp;CF$5, LS_current!$D$2:$AY$2&amp;LS_current!$D$3:$AY$3, 0)),SUM(VLOOKUP($A82, LS_current!$B$4:$AY$138, LS_current!K$148, FALSE), VLOOKUP($A82, LS_current!$B$4:$AY$138,LS_current!AI$148, FALSE))/2)</f>
        <v>0</v>
      </c>
      <c r="CG82" s="180">
        <f t="array" ref="CG82">IF($BT82=0, INDEX(LS_current!$D$4:$AY$138, MATCH('Staging Table'!$A82, LS_current!$B$4:$B$138, 0), MATCH(CG$4&amp;CG$5, LS_current!$D$2:$AY$2&amp;LS_current!$D$3:$AY$3, 0)),SUM(VLOOKUP($A82, LS_current!$B$4:$AY$138, LS_current!L$148, FALSE), VLOOKUP($A82, LS_current!$B$4:$AY$138,LS_current!AJ$148, FALSE))/2)</f>
        <v>0</v>
      </c>
      <c r="CH82" s="180">
        <f t="array" ref="CH82">IF($BT82=0, INDEX(LS_current!$D$4:$AY$138, MATCH('Staging Table'!$A82, LS_current!$B$4:$B$138, 0), MATCH(CH$4&amp;CH$5, LS_current!$D$2:$AY$2&amp;LS_current!$D$3:$AY$3, 0)),SUM(VLOOKUP($A82, LS_current!$B$4:$AY$138, LS_current!M$148, FALSE), VLOOKUP($A82, LS_current!$B$4:$AY$138,LS_current!AK$148, FALSE))/2)</f>
        <v>0</v>
      </c>
      <c r="CI82" s="180">
        <f t="array" ref="CI82">IF($BT82=0, INDEX(LS_current!$D$4:$AY$138, MATCH('Staging Table'!$A82, LS_current!$B$4:$B$138, 0), MATCH(CI$4&amp;CI$5, LS_current!$D$2:$AY$2&amp;LS_current!$D$3:$AY$3, 0)),SUM(VLOOKUP($A82, LS_current!$B$4:$AY$138, LS_current!N$148, FALSE), VLOOKUP($A82, LS_current!$B$4:$AY$138,LS_current!AL$148, FALSE))/2)</f>
        <v>0</v>
      </c>
      <c r="CJ82" s="180">
        <f t="array" ref="CJ82">IF($BT82=0, INDEX(LS_current!$D$4:$AY$138, MATCH('Staging Table'!$A82, LS_current!$B$4:$B$138, 0), MATCH(CJ$4&amp;CJ$5, LS_current!$D$2:$AY$2&amp;LS_current!$D$3:$AY$3, 0)),SUM(VLOOKUP($A82, LS_current!$B$4:$AY$138, LS_current!O$148, FALSE), VLOOKUP($A82, LS_current!$B$4:$AY$138,LS_current!AM$148, FALSE))/2)</f>
        <v>0</v>
      </c>
      <c r="CK82" s="180">
        <f t="array" ref="CK82">IF($BT82=0, INDEX(LS_current!$D$4:$AY$138, MATCH('Staging Table'!$A82, LS_current!$B$4:$B$138, 0), MATCH(CK$4&amp;CK$5, LS_current!$D$2:$AY$2&amp;LS_current!$D$3:$AY$3, 0)),SUM(VLOOKUP($A82, LS_current!$B$4:$AY$138, LS_current!P$148, FALSE), VLOOKUP($A82, LS_current!$B$4:$AY$138,LS_current!AN$148, FALSE))/2)</f>
        <v>0</v>
      </c>
      <c r="CL82" s="180">
        <f t="array" ref="CL82">IF($BT82=0, INDEX(LS_current!$D$4:$AY$138, MATCH('Staging Table'!$A82, LS_current!$B$4:$B$138, 0), MATCH(CL$4&amp;CL$5, LS_current!$D$2:$AY$2&amp;LS_current!$D$3:$AY$3, 0)),SUM(VLOOKUP($A82, LS_current!$B$4:$AY$138, LS_current!Q$148, FALSE), VLOOKUP($A82, LS_current!$B$4:$AY$138,LS_current!AO$148, FALSE))/2)</f>
        <v>0</v>
      </c>
      <c r="CM82" s="180">
        <f t="array" ref="CM82">IF($BT82=0, INDEX(LS_current!$D$4:$AY$138, MATCH('Staging Table'!$A82, LS_current!$B$4:$B$138, 0), MATCH(CM$4&amp;CM$5, LS_current!$D$2:$AY$2&amp;LS_current!$D$3:$AY$3, 0)),SUM(VLOOKUP($A82, LS_current!$B$4:$AY$138, LS_current!R$148, FALSE), VLOOKUP($A82, LS_current!$B$4:$AY$138,LS_current!AP$148, FALSE))/2)</f>
        <v>0</v>
      </c>
      <c r="CN82" s="180">
        <f t="array" ref="CN82">IF($BT82=0, INDEX(LS_current!$D$4:$AY$138, MATCH('Staging Table'!$A82, LS_current!$B$4:$B$138, 0), MATCH(CN$4&amp;CN$5, LS_current!$D$2:$AY$2&amp;LS_current!$D$3:$AY$3, 0)),SUM(VLOOKUP($A82, LS_current!$B$4:$AY$138, LS_current!S$148, FALSE), VLOOKUP($A82, LS_current!$B$4:$AY$138,LS_current!AQ$148, FALSE))/2)</f>
        <v>0</v>
      </c>
      <c r="CO82" s="180">
        <f t="array" ref="CO82">IF($BT82=0, INDEX(LS_current!$D$4:$AY$138, MATCH('Staging Table'!$A82, LS_current!$B$4:$B$138, 0), MATCH(CO$4&amp;CO$5, LS_current!$D$2:$AY$2&amp;LS_current!$D$3:$AY$3, 0)),SUM(VLOOKUP($A82, LS_current!$B$4:$AY$138, LS_current!T$148, FALSE), VLOOKUP($A82, LS_current!$B$4:$AY$138,LS_current!AR$148, FALSE))/2)</f>
        <v>0</v>
      </c>
      <c r="CP82" s="180">
        <f t="array" ref="CP82">IF($BT82=0, INDEX(LS_current!$D$4:$AY$138, MATCH('Staging Table'!$A82, LS_current!$B$4:$B$138, 0), MATCH(CP$4&amp;CP$5, LS_current!$D$2:$AY$2&amp;LS_current!$D$3:$AY$3, 0)),SUM(VLOOKUP($A82, LS_current!$B$4:$AY$138, LS_current!U$148, FALSE), VLOOKUP($A82, LS_current!$B$4:$AY$138,LS_current!AS$148, FALSE))/2)</f>
        <v>0</v>
      </c>
      <c r="CQ82" s="180">
        <f t="array" ref="CQ82">IF($BT82=0, INDEX(LS_current!$D$4:$AY$138, MATCH('Staging Table'!$A82, LS_current!$B$4:$B$138, 0), MATCH(CQ$4&amp;CQ$5, LS_current!$D$2:$AY$2&amp;LS_current!$D$3:$AY$3, 0)),SUM(VLOOKUP($A82, LS_current!$B$4:$AY$138, LS_current!V$148, FALSE), VLOOKUP($A82, LS_current!$B$4:$AY$138,LS_current!AT$148, FALSE))/2)</f>
        <v>0</v>
      </c>
      <c r="CR82" s="180">
        <f t="array" ref="CR82">IF($BT82=0, INDEX(LS_current!$D$4:$AY$138, MATCH('Staging Table'!$A82, LS_current!$B$4:$B$138, 0), MATCH(CR$4&amp;CR$5, LS_current!$D$2:$AY$2&amp;LS_current!$D$3:$AY$3, 0)),SUM(VLOOKUP($A82, LS_current!$B$4:$AY$138, LS_current!W$148, FALSE), VLOOKUP($A82, LS_current!$B$4:$AY$138,LS_current!AU$148, FALSE))/2)</f>
        <v>0</v>
      </c>
      <c r="CS82" s="180">
        <f t="array" ref="CS82">IF($BT82=0, INDEX(LS_current!$D$4:$AY$138, MATCH('Staging Table'!$A82, LS_current!$B$4:$B$138, 0), MATCH(CS$4&amp;CS$5, LS_current!$D$2:$AY$2&amp;LS_current!$D$3:$AY$3, 0)),SUM(VLOOKUP($A82, LS_current!$B$4:$AY$138, LS_current!X$148, FALSE), VLOOKUP($A82, LS_current!$B$4:$AY$138,LS_current!AV$148, FALSE))/2)</f>
        <v>0</v>
      </c>
      <c r="CT82" s="180">
        <f t="array" ref="CT82">IF($BT82=0, INDEX(LS_current!$D$4:$AY$138, MATCH('Staging Table'!$A82, LS_current!$B$4:$B$138, 0), MATCH(CT$4&amp;CT$5, LS_current!$D$2:$AY$2&amp;LS_current!$D$3:$AY$3, 0)),SUM(VLOOKUP($A82, LS_current!$B$4:$AY$138, LS_current!Y$148, FALSE), VLOOKUP($A82, LS_current!$B$4:$AY$138,LS_current!AW$148, FALSE))/2)</f>
        <v>0</v>
      </c>
      <c r="CU82" s="180">
        <f t="array" ref="CU82">IF($BT82=0, INDEX(LS_current!$D$4:$AY$138, MATCH('Staging Table'!$A82, LS_current!$B$4:$B$138, 0), MATCH(CU$4&amp;CU$5, LS_current!$D$2:$AY$2&amp;LS_current!$D$3:$AY$3, 0)),SUM(VLOOKUP($A82, LS_current!$B$4:$AY$138, LS_current!Z$148, FALSE), VLOOKUP($A82, LS_current!$B$4:$AY$138,LS_current!AX$148, FALSE))/2)</f>
        <v>0</v>
      </c>
      <c r="CV82" s="180">
        <f t="array" ref="CV82">IF($BT82=0, INDEX(LS_current!$D$4:$AY$138, MATCH('Staging Table'!$A82, LS_current!$B$4:$B$138, 0), MATCH(CV$4&amp;CV$5, LS_current!$D$2:$AY$2&amp;LS_current!$D$3:$AY$3, 0)),SUM(VLOOKUP($A82, LS_current!$B$4:$AY$138, LS_current!AA$148, FALSE), VLOOKUP($A82, LS_current!$B$4:$AY$138,LS_current!AY$148, FALSE))/2)</f>
        <v>0</v>
      </c>
      <c r="CW82" s="182">
        <f t="array" ref="CW82">INDEX(Demand_current!$D$4:$AY$138, MATCH($A82, Demand_current!$B$4:$B$138, 0), MATCH(CW$4&amp;CW$5,Demand_current!$D$2:$AY$2&amp;Demand_current!$D$3:$AY$3, 0))/1000</f>
        <v>0</v>
      </c>
      <c r="CX82" s="182">
        <f t="array" ref="CX82">INDEX(Demand_current!$D$4:$AY$138, MATCH($A82, Demand_current!$B$4:$B$138, 0), MATCH(CX$4&amp;CX$5,Demand_current!$D$2:$AY$2&amp;Demand_current!$D$3:$AY$3, 0))/1000</f>
        <v>0</v>
      </c>
      <c r="CY82" s="182">
        <f t="array" ref="CY82">INDEX(Demand_current!$D$4:$AY$138, MATCH($A82, Demand_current!$B$4:$B$138, 0), MATCH(CY$4&amp;CY$5,Demand_current!$D$2:$AY$2&amp;Demand_current!$D$3:$AY$3, 0))/1000</f>
        <v>0</v>
      </c>
      <c r="CZ82" s="182">
        <f t="array" ref="CZ82">INDEX(Demand_current!$D$4:$AY$138, MATCH($A82, Demand_current!$B$4:$B$138, 0), MATCH(CZ$4&amp;CZ$5,Demand_current!$D$2:$AY$2&amp;Demand_current!$D$3:$AY$3, 0))/1000</f>
        <v>0</v>
      </c>
      <c r="DA82" s="182">
        <f t="array" ref="DA82">INDEX(Demand_current!$D$4:$AY$138, MATCH($A82, Demand_current!$B$4:$B$138, 0), MATCH(DA$4&amp;DA$5,Demand_current!$D$2:$AY$2&amp;Demand_current!$D$3:$AY$3, 0))/1000</f>
        <v>0</v>
      </c>
      <c r="DB82" s="182">
        <f t="array" ref="DB82">INDEX(Demand_current!$D$4:$AY$138, MATCH($A82, Demand_current!$B$4:$B$138, 0), MATCH(DB$4&amp;DB$5,Demand_current!$D$2:$AY$2&amp;Demand_current!$D$3:$AY$3, 0))/1000</f>
        <v>0</v>
      </c>
      <c r="DC82" s="182">
        <f t="array" ref="DC82">INDEX(Demand_current!$D$4:$AY$138, MATCH($A82, Demand_current!$B$4:$B$138, 0), MATCH(DC$4&amp;DC$5,Demand_current!$D$2:$AY$2&amp;Demand_current!$D$3:$AY$3, 0))/1000</f>
        <v>0</v>
      </c>
      <c r="DD82" s="182">
        <f t="array" ref="DD82">INDEX(Demand_current!$D$4:$AY$138, MATCH($A82, Demand_current!$B$4:$B$138, 0), MATCH(DD$4&amp;DD$5,Demand_current!$D$2:$AY$2&amp;Demand_current!$D$3:$AY$3, 0))/1000</f>
        <v>0</v>
      </c>
      <c r="DE82" s="182">
        <f t="array" ref="DE82">INDEX(Demand_current!$D$4:$AY$138, MATCH($A82, Demand_current!$B$4:$B$138, 0), MATCH(DE$4&amp;DE$5,Demand_current!$D$2:$AY$2&amp;Demand_current!$D$3:$AY$3, 0))/1000</f>
        <v>0</v>
      </c>
      <c r="DF82" s="182">
        <f t="array" ref="DF82">INDEX(Demand_current!$D$4:$AY$138, MATCH($A82, Demand_current!$B$4:$B$138, 0), MATCH(DF$4&amp;DF$5,Demand_current!$D$2:$AY$2&amp;Demand_current!$D$3:$AY$3, 0))/1000</f>
        <v>0</v>
      </c>
      <c r="DG82" s="182">
        <f t="array" ref="DG82">INDEX(Demand_current!$D$4:$AY$138, MATCH($A82, Demand_current!$B$4:$B$138, 0), MATCH(DG$4&amp;DG$5,Demand_current!$D$2:$AY$2&amp;Demand_current!$D$3:$AY$3, 0))/1000</f>
        <v>0</v>
      </c>
      <c r="DH82" s="182">
        <f t="array" ref="DH82">INDEX(Demand_current!$D$4:$AY$138, MATCH($A82, Demand_current!$B$4:$B$138, 0), MATCH(DH$4&amp;DH$5,Demand_current!$D$2:$AY$2&amp;Demand_current!$D$3:$AY$3, 0))/1000</f>
        <v>0</v>
      </c>
      <c r="DI82" s="180">
        <f>$BS82*(VLOOKUP(DI$4, Rates_current!$G$6:$Q$29, 10, FALSE)+VLOOKUP(DI$4, Rates_current!$G$6:$Q$29, 11, FALSE))</f>
        <v>8362.09093566915</v>
      </c>
      <c r="DJ82" s="180">
        <f>$BS82*(VLOOKUP(DJ$4, Rates_current!$G$6:$Q$29, 10, FALSE)+VLOOKUP(DJ$4, Rates_current!$G$6:$Q$29, 11, FALSE))</f>
        <v>10664.423367333902</v>
      </c>
      <c r="DK82" s="180">
        <f>$BS82*(VLOOKUP(DK$4, Rates_current!$G$6:$Q$29, 10, FALSE)+VLOOKUP(DK$4, Rates_current!$G$6:$Q$29, 11, FALSE))</f>
        <v>11509.022888113501</v>
      </c>
      <c r="DL82" s="180">
        <f>$BS82*(VLOOKUP(DL$4, Rates_current!$G$6:$Q$29, 10, FALSE)+VLOOKUP(DL$4, Rates_current!$G$6:$Q$29, 11, FALSE))</f>
        <v>11959.653935582401</v>
      </c>
      <c r="DM82" s="180">
        <f>$BS82*(VLOOKUP(DM$4, Rates_current!$G$6:$Q$29, 10, FALSE)+VLOOKUP(DM$4, Rates_current!$G$6:$Q$29, 11, FALSE))</f>
        <v>10286.8965046998</v>
      </c>
      <c r="DN82" s="180">
        <f>$BS82*(VLOOKUP(DN$4, Rates_current!$G$6:$Q$29, 10, FALSE)+VLOOKUP(DN$4, Rates_current!$G$6:$Q$29, 11, FALSE))</f>
        <v>11231.2542800511</v>
      </c>
      <c r="DO82" s="180">
        <f>$BS82*(VLOOKUP(DO$4, Rates_current!$G$6:$Q$29, 10, FALSE)+VLOOKUP(DO$4, Rates_current!$G$6:$Q$29, 11, FALSE))</f>
        <v>8865.182558317425</v>
      </c>
      <c r="DP82" s="180">
        <f>$BS82*(VLOOKUP(DP$4, Rates_current!$G$6:$Q$29, 10, FALSE)+VLOOKUP(DP$4, Rates_current!$G$6:$Q$29, 11, FALSE))</f>
        <v>10998.446953483652</v>
      </c>
      <c r="DQ82" s="180">
        <f>$BS82*(VLOOKUP(DQ$4, Rates_current!$G$6:$Q$29, 10, FALSE)+VLOOKUP(DQ$4, Rates_current!$G$6:$Q$29, 11, FALSE))</f>
        <v>11237.085795649049</v>
      </c>
      <c r="DR82" s="180">
        <f>$BS82*(VLOOKUP(DR$4, Rates_current!$G$6:$Q$29, 10, FALSE)+VLOOKUP(DR$4, Rates_current!$G$6:$Q$29, 11, FALSE))</f>
        <v>9755.4093793921511</v>
      </c>
      <c r="DS82" s="180">
        <f>$BS82*(VLOOKUP(DS$4, Rates_current!$G$6:$Q$29, 10, FALSE)+VLOOKUP(DS$4, Rates_current!$G$6:$Q$29, 11, FALSE))</f>
        <v>9430.8877970008361</v>
      </c>
      <c r="DT82" s="180">
        <f>$BS82*(VLOOKUP(DT$4, Rates_current!$G$6:$Q$29, 10, FALSE)+VLOOKUP(DT$4, Rates_current!$G$6:$Q$29, 11, FALSE))</f>
        <v>8678.243053933802</v>
      </c>
      <c r="DU82" s="402">
        <f>IF(D82=0,IF(C82=0,MAX(0,DW82 - (VLOOKUP($A82,TOCA_current!$A$2:$AI$137,MATCH("RHWM 2024",TOCA_current!$A$2:$AI$2,0),FALSE)*$BS$2)), 0),0)</f>
        <v>0</v>
      </c>
      <c r="DV82" s="403">
        <f>MIN(VLOOKUP($A82,TOCA_current!$A$2:$AI$137,MATCH("TRL - NLSL - Existing Resource "&amp;$BS$1,TOCA_current!$A$2:$AI$2,0),FALSE)*$BS$2, VLOOKUP($A82,TOCA_current!$A$2:$AI$137,MATCH("RHWM 2024",TOCA_current!$A$2:$AI$2,0),FALSE)*$BS$2)</f>
        <v>122976</v>
      </c>
      <c r="DW82" s="403">
        <f>SUM(BY82:CV82)+(BS82*RT1SC!$C$4*$BS$2)</f>
        <v>122978.59801293601</v>
      </c>
      <c r="DX82" s="403">
        <f>VLOOKUP($A82,TOCA_current!$A$2:$AI$137,MATCH("Above RHWM Not Served with LS "&amp;$BS$1,TOCA_current!$A$2:$AI$2,0),FALSE)*$BS$2</f>
        <v>9565.7759999999998</v>
      </c>
      <c r="DY82" s="403">
        <f t="shared" si="32"/>
        <v>2.5980129360104911</v>
      </c>
      <c r="DZ82" s="403">
        <f>(VLOOKUP($A82,TOCA_current!$A$2:$AI$137,MATCH("RHWM 2024",TOCA_current!$A$2:$AI$2,0),FALSE)*$BS$2) - $DV82</f>
        <v>0</v>
      </c>
      <c r="EA82" s="403">
        <f t="shared" si="33"/>
        <v>0</v>
      </c>
      <c r="EB82" s="403">
        <f t="shared" si="34"/>
        <v>0</v>
      </c>
      <c r="EC82" s="403">
        <f t="shared" si="35"/>
        <v>0</v>
      </c>
      <c r="ED82" s="403">
        <f t="shared" si="36"/>
        <v>0</v>
      </c>
    </row>
    <row r="83" spans="1:134">
      <c r="A83" s="123">
        <v>10242</v>
      </c>
      <c r="B83" s="124" t="s">
        <v>84</v>
      </c>
      <c r="C83" s="232">
        <f>VLOOKUP(A83, TOCA_current!$A$3:$D$137, 4, FALSE)</f>
        <v>0</v>
      </c>
      <c r="D83" s="191">
        <v>0</v>
      </c>
      <c r="E83" s="107">
        <f>VLOOKUP($A83,TOCA_previous!$A$2:$AI$137,MATCH(E$4,TOCA_previous!$A$2:$AI$2,0),FALSE)</f>
        <v>1.3489000000000001E-3</v>
      </c>
      <c r="F83" s="108">
        <f>VLOOKUP($A83,TOCA_previous!$A$2:$AI$137,MATCH(F$4,TOCA_previous!$A$2:$AI$2,0),FALSE)</f>
        <v>1.3489000000000001E-3</v>
      </c>
      <c r="G83" s="108">
        <f t="shared" si="24"/>
        <v>0</v>
      </c>
      <c r="H83" s="108">
        <f>VLOOKUP($A83,TOCA_previous!$A$2:$AI$137,MATCH(H$4,TOCA_previous!$A$2:$AI$2,0),FALSE)</f>
        <v>7.424E-2</v>
      </c>
      <c r="I83" s="108">
        <f t="shared" si="25"/>
        <v>0</v>
      </c>
      <c r="J83" s="108">
        <f t="shared" si="26"/>
        <v>0</v>
      </c>
      <c r="K83" s="179">
        <f>VLOOKUP(A83, IRD!$A$5:$C$139, 3, FALSE)</f>
        <v>37558.894</v>
      </c>
      <c r="L83" s="180">
        <f t="array" ref="L83">IF($G83=0, INDEX(LS_previous!$D$4:$AY$138, MATCH('Staging Table'!$A83, LS_previous!$B$4:$B$138, 0), MATCH(L$4&amp;L$5, LS_previous!$D$2:$AY$2&amp;LS_previous!$D$3:$AY$3, 0)),SUM(VLOOKUP($A83, LS_previous!$B$4:$AY$138, LS_previous!D$149, FALSE), VLOOKUP('Staging Table'!$A83, LS_previous!$B$4:$AY$138,LS_previous!AB$149, FALSE))/2)</f>
        <v>-1476.2079878319355</v>
      </c>
      <c r="M83" s="180">
        <f t="array" ref="M83">IF($G83=0, INDEX(LS_previous!$D$4:$AY$138, MATCH('Staging Table'!$A83, LS_previous!$B$4:$B$138, 0), MATCH(M$4&amp;M$5, LS_previous!$D$2:$AY$2&amp;LS_previous!$D$3:$AY$3, 0)),SUM(VLOOKUP($A83, LS_previous!$B$4:$AY$138, LS_previous!E$149, FALSE), VLOOKUP('Staging Table'!$A83, LS_previous!$B$4:$AY$138,LS_previous!AC$149, FALSE))/2)</f>
        <v>-546.77466333527514</v>
      </c>
      <c r="N83" s="180">
        <f t="array" ref="N83">IF($G83=0, INDEX(LS_previous!$D$4:$AY$138, MATCH('Staging Table'!$A83, LS_previous!$B$4:$B$138, 0), MATCH(N$4&amp;N$5, LS_previous!$D$2:$AY$2&amp;LS_previous!$D$3:$AY$3, 0)),SUM(VLOOKUP($A83, LS_previous!$B$4:$AY$138, LS_previous!F$149, FALSE), VLOOKUP('Staging Table'!$A83, LS_previous!$B$4:$AY$138,LS_previous!AD$149, FALSE))/2)</f>
        <v>-2339.6492405623144</v>
      </c>
      <c r="O83" s="180">
        <f t="array" ref="O83">IF($G83=0, INDEX(LS_previous!$D$4:$AY$138, MATCH('Staging Table'!$A83, LS_previous!$B$4:$B$138, 0), MATCH(O$4&amp;O$5, LS_previous!$D$2:$AY$2&amp;LS_previous!$D$3:$AY$3, 0)),SUM(VLOOKUP($A83, LS_previous!$B$4:$AY$138, LS_previous!G$149, FALSE), VLOOKUP('Staging Table'!$A83, LS_previous!$B$4:$AY$138,LS_previous!AE$149, FALSE))/2)</f>
        <v>-1073.6221289569869</v>
      </c>
      <c r="P83" s="180">
        <f t="array" ref="P83">IF($G83=0, INDEX(LS_previous!$D$4:$AY$138, MATCH('Staging Table'!$A83, LS_previous!$B$4:$B$138, 0), MATCH(P$4&amp;P$5, LS_previous!$D$2:$AY$2&amp;LS_previous!$D$3:$AY$3, 0)),SUM(VLOOKUP($A83, LS_previous!$B$4:$AY$138, LS_previous!H$149, FALSE), VLOOKUP('Staging Table'!$A83, LS_previous!$B$4:$AY$138,LS_previous!AF$149, FALSE))/2)</f>
        <v>-1181.3589331567296</v>
      </c>
      <c r="Q83" s="180">
        <f t="array" ref="Q83">IF($G83=0, INDEX(LS_previous!$D$4:$AY$138, MATCH('Staging Table'!$A83, LS_previous!$B$4:$B$138, 0), MATCH(Q$4&amp;Q$5, LS_previous!$D$2:$AY$2&amp;LS_previous!$D$3:$AY$3, 0)),SUM(VLOOKUP($A83, LS_previous!$B$4:$AY$138, LS_previous!I$149, FALSE), VLOOKUP('Staging Table'!$A83, LS_previous!$B$4:$AY$138,LS_previous!AG$149, FALSE))/2)</f>
        <v>-751.8298628581756</v>
      </c>
      <c r="R83" s="180">
        <f t="array" ref="R83">IF($G83=0, INDEX(LS_previous!$D$4:$AY$138, MATCH('Staging Table'!$A83, LS_previous!$B$4:$B$138, 0), MATCH(R$4&amp;R$5, LS_previous!$D$2:$AY$2&amp;LS_previous!$D$3:$AY$3, 0)),SUM(VLOOKUP($A83, LS_previous!$B$4:$AY$138, LS_previous!J$149, FALSE), VLOOKUP('Staging Table'!$A83, LS_previous!$B$4:$AY$138,LS_previous!AH$149, FALSE))/2)</f>
        <v>-447.913891325652</v>
      </c>
      <c r="S83" s="180">
        <f t="array" ref="S83">IF($G83=0, INDEX(LS_previous!$D$4:$AY$138, MATCH('Staging Table'!$A83, LS_previous!$B$4:$B$138, 0), MATCH(S$4&amp;S$5, LS_previous!$D$2:$AY$2&amp;LS_previous!$D$3:$AY$3, 0)),SUM(VLOOKUP($A83, LS_previous!$B$4:$AY$138, LS_previous!K$149, FALSE), VLOOKUP('Staging Table'!$A83, LS_previous!$B$4:$AY$138,LS_previous!AI$149, FALSE))/2)</f>
        <v>-191.68183386424062</v>
      </c>
      <c r="T83" s="180">
        <f t="array" ref="T83">IF($G83=0, INDEX(LS_previous!$D$4:$AY$138, MATCH('Staging Table'!$A83, LS_previous!$B$4:$B$138, 0), MATCH(T$4&amp;T$5, LS_previous!$D$2:$AY$2&amp;LS_previous!$D$3:$AY$3, 0)),SUM(VLOOKUP($A83, LS_previous!$B$4:$AY$138, LS_previous!L$149, FALSE), VLOOKUP('Staging Table'!$A83, LS_previous!$B$4:$AY$138,LS_previous!AJ$149, FALSE))/2)</f>
        <v>-404.60430511122013</v>
      </c>
      <c r="U83" s="180">
        <f t="array" ref="U83">IF($G83=0, INDEX(LS_previous!$D$4:$AY$138, MATCH('Staging Table'!$A83, LS_previous!$B$4:$B$138, 0), MATCH(U$4&amp;U$5, LS_previous!$D$2:$AY$2&amp;LS_previous!$D$3:$AY$3, 0)),SUM(VLOOKUP($A83, LS_previous!$B$4:$AY$138, LS_previous!M$149, FALSE), VLOOKUP('Staging Table'!$A83, LS_previous!$B$4:$AY$138,LS_previous!AK$149, FALSE))/2)</f>
        <v>-159.70349879457399</v>
      </c>
      <c r="V83" s="180">
        <f t="array" ref="V83">IF($G83=0, INDEX(LS_previous!$D$4:$AY$138, MATCH('Staging Table'!$A83, LS_previous!$B$4:$B$138, 0), MATCH(V$4&amp;V$5, LS_previous!$D$2:$AY$2&amp;LS_previous!$D$3:$AY$3, 0)),SUM(VLOOKUP($A83, LS_previous!$B$4:$AY$138, LS_previous!N$149, FALSE), VLOOKUP('Staging Table'!$A83, LS_previous!$B$4:$AY$138,LS_previous!AL$149, FALSE))/2)</f>
        <v>-1474.6839660940818</v>
      </c>
      <c r="W83" s="180">
        <f t="array" ref="W83">IF($G83=0, INDEX(LS_previous!$D$4:$AY$138, MATCH('Staging Table'!$A83, LS_previous!$B$4:$B$138, 0), MATCH(W$4&amp;W$5, LS_previous!$D$2:$AY$2&amp;LS_previous!$D$3:$AY$3, 0)),SUM(VLOOKUP($A83, LS_previous!$B$4:$AY$138, LS_previous!O$149, FALSE), VLOOKUP('Staging Table'!$A83, LS_previous!$B$4:$AY$138,LS_previous!AM$149, FALSE))/2)</f>
        <v>-614.24277380869603</v>
      </c>
      <c r="X83" s="180">
        <f t="array" ref="X83">IF($G83=0, INDEX(LS_previous!$D$4:$AY$138, MATCH('Staging Table'!$A83, LS_previous!$B$4:$B$138, 0), MATCH(X$4&amp;X$5, LS_previous!$D$2:$AY$2&amp;LS_previous!$D$3:$AY$3, 0)),SUM(VLOOKUP($A83, LS_previous!$B$4:$AY$138, LS_previous!P$149, FALSE), VLOOKUP('Staging Table'!$A83, LS_previous!$B$4:$AY$138,LS_previous!AN$149, FALSE))/2)</f>
        <v>-759.66635889476265</v>
      </c>
      <c r="Y83" s="180">
        <f t="array" ref="Y83">IF($G83=0, INDEX(LS_previous!$D$4:$AY$138, MATCH('Staging Table'!$A83, LS_previous!$B$4:$B$138, 0), MATCH(Y$4&amp;Y$5, LS_previous!$D$2:$AY$2&amp;LS_previous!$D$3:$AY$3, 0)),SUM(VLOOKUP($A83, LS_previous!$B$4:$AY$138, LS_previous!Q$149, FALSE), VLOOKUP('Staging Table'!$A83, LS_previous!$B$4:$AY$138,LS_previous!AO$149, FALSE))/2)</f>
        <v>-280.44803516605612</v>
      </c>
      <c r="Z83" s="180">
        <f t="array" ref="Z83">IF($G83=0, INDEX(LS_previous!$D$4:$AY$138, MATCH('Staging Table'!$A83, LS_previous!$B$4:$B$138, 0), MATCH(Z$4&amp;Z$5, LS_previous!$D$2:$AY$2&amp;LS_previous!$D$3:$AY$3, 0)),SUM(VLOOKUP($A83, LS_previous!$B$4:$AY$138, LS_previous!R$149, FALSE), VLOOKUP('Staging Table'!$A83, LS_previous!$B$4:$AY$138,LS_previous!AP$149, FALSE))/2)</f>
        <v>1192.6112205667168</v>
      </c>
      <c r="AA83" s="180">
        <f t="array" ref="AA83">IF($G83=0, INDEX(LS_previous!$D$4:$AY$138, MATCH('Staging Table'!$A83, LS_previous!$B$4:$B$138, 0), MATCH(AA$4&amp;AA$5, LS_previous!$D$2:$AY$2&amp;LS_previous!$D$3:$AY$3, 0)),SUM(VLOOKUP($A83, LS_previous!$B$4:$AY$138, LS_previous!S$149, FALSE), VLOOKUP('Staging Table'!$A83, LS_previous!$B$4:$AY$138,LS_previous!AQ$149, FALSE))/2)</f>
        <v>2295.0062473357966</v>
      </c>
      <c r="AB83" s="180">
        <f t="array" ref="AB83">IF($G83=0, INDEX(LS_previous!$D$4:$AY$138, MATCH('Staging Table'!$A83, LS_previous!$B$4:$B$138, 0), MATCH(AB$4&amp;AB$5, LS_previous!$D$2:$AY$2&amp;LS_previous!$D$3:$AY$3, 0)),SUM(VLOOKUP($A83, LS_previous!$B$4:$AY$138, LS_previous!T$149, FALSE), VLOOKUP('Staging Table'!$A83, LS_previous!$B$4:$AY$138,LS_previous!AR$149, FALSE))/2)</f>
        <v>2862.8787937608622</v>
      </c>
      <c r="AC83" s="180">
        <f t="array" ref="AC83">IF($G83=0, INDEX(LS_previous!$D$4:$AY$138, MATCH('Staging Table'!$A83, LS_previous!$B$4:$B$138, 0), MATCH(AC$4&amp;AC$5, LS_previous!$D$2:$AY$2&amp;LS_previous!$D$3:$AY$3, 0)),SUM(VLOOKUP($A83, LS_previous!$B$4:$AY$138, LS_previous!U$149, FALSE), VLOOKUP('Staging Table'!$A83, LS_previous!$B$4:$AY$138,LS_previous!AS$149, FALSE))/2)</f>
        <v>3677.9166231046265</v>
      </c>
      <c r="AD83" s="180">
        <f t="array" ref="AD83">IF($G83=0, INDEX(LS_previous!$D$4:$AY$138, MATCH('Staging Table'!$A83, LS_previous!$B$4:$B$138, 0), MATCH(AD$4&amp;AD$5, LS_previous!$D$2:$AY$2&amp;LS_previous!$D$3:$AY$3, 0)),SUM(VLOOKUP($A83, LS_previous!$B$4:$AY$138, LS_previous!V$149, FALSE), VLOOKUP('Staging Table'!$A83, LS_previous!$B$4:$AY$138,LS_previous!AT$149, FALSE))/2)</f>
        <v>4952.9928046297146</v>
      </c>
      <c r="AE83" s="180">
        <f t="array" ref="AE83">IF($G83=0, INDEX(LS_previous!$D$4:$AY$138, MATCH('Staging Table'!$A83, LS_previous!$B$4:$B$138, 0), MATCH(AE$4&amp;AE$5, LS_previous!$D$2:$AY$2&amp;LS_previous!$D$3:$AY$3, 0)),SUM(VLOOKUP($A83, LS_previous!$B$4:$AY$138, LS_previous!W$149, FALSE), VLOOKUP('Staging Table'!$A83, LS_previous!$B$4:$AY$138,LS_previous!AU$149, FALSE))/2)</f>
        <v>5235.4795645712165</v>
      </c>
      <c r="AF83" s="180">
        <f t="array" ref="AF83">IF($G83=0, INDEX(LS_previous!$D$4:$AY$138, MATCH('Staging Table'!$A83, LS_previous!$B$4:$B$138, 0), MATCH(AF$4&amp;AF$5, LS_previous!$D$2:$AY$2&amp;LS_previous!$D$3:$AY$3, 0)),SUM(VLOOKUP($A83, LS_previous!$B$4:$AY$138, LS_previous!X$149, FALSE), VLOOKUP('Staging Table'!$A83, LS_previous!$B$4:$AY$138,LS_previous!AV$149, FALSE))/2)</f>
        <v>4002.6249275814889</v>
      </c>
      <c r="AG83" s="180">
        <f t="array" ref="AG83">IF($G83=0, INDEX(LS_previous!$D$4:$AY$138, MATCH('Staging Table'!$A83, LS_previous!$B$4:$B$138, 0), MATCH(AG$4&amp;AG$5, LS_previous!$D$2:$AY$2&amp;LS_previous!$D$3:$AY$3, 0)),SUM(VLOOKUP($A83, LS_previous!$B$4:$AY$138, LS_previous!Y$149, FALSE), VLOOKUP('Staging Table'!$A83, LS_previous!$B$4:$AY$138,LS_previous!AW$149, FALSE))/2)</f>
        <v>3928.0151288071515</v>
      </c>
      <c r="AH83" s="180">
        <f t="array" ref="AH83">IF($G83=0, INDEX(LS_previous!$D$4:$AY$138, MATCH('Staging Table'!$A83, LS_previous!$B$4:$B$138, 0), MATCH(AH$4&amp;AH$5, LS_previous!$D$2:$AY$2&amp;LS_previous!$D$3:$AY$3, 0)),SUM(VLOOKUP($A83, LS_previous!$B$4:$AY$138, LS_previous!Z$149, FALSE), VLOOKUP('Staging Table'!$A83, LS_previous!$B$4:$AY$138,LS_previous!AX$149, FALSE))/2)</f>
        <v>1324.6159118894825</v>
      </c>
      <c r="AI83" s="180">
        <f t="array" ref="AI83">IF($G83=0, INDEX(LS_previous!$D$4:$AY$138, MATCH('Staging Table'!$A83, LS_previous!$B$4:$B$138, 0), MATCH(AI$4&amp;AI$5, LS_previous!$D$2:$AY$2&amp;LS_previous!$D$3:$AY$3, 0)),SUM(VLOOKUP($A83, LS_previous!$B$4:$AY$138, LS_previous!AA$149, FALSE), VLOOKUP('Staging Table'!$A83, LS_previous!$B$4:$AY$138,LS_previous!AY$149, FALSE))/2)</f>
        <v>1917.7693506845053</v>
      </c>
      <c r="AJ83" s="298">
        <f t="array" ref="AJ83">INDEX(Demand_previous!$D$4:$AY$138, MATCH('Staging Table'!$A83, Demand_previous!$B$4:$B$138, 0), MATCH(AJ$4&amp;AJ$5,Demand_previous!$D$2:$AY$2&amp;Demand_previous!$D$3:$AY$3, 0))/1000</f>
        <v>2.8847740384615372</v>
      </c>
      <c r="AK83" s="298">
        <f t="array" ref="AK83">INDEX(Demand_previous!$D$4:$AY$138, MATCH('Staging Table'!$A83, Demand_previous!$B$4:$B$138, 0), MATCH(AK$4&amp;AK$5,Demand_previous!$D$2:$AY$2&amp;Demand_previous!$D$3:$AY$3, 0))/1000</f>
        <v>0.78728749999999925</v>
      </c>
      <c r="AL83" s="298">
        <f t="array" ref="AL83">INDEX(Demand_previous!$D$4:$AY$138, MATCH('Staging Table'!$A83, Demand_previous!$B$4:$B$138, 0), MATCH(AL$4&amp;AL$5,Demand_previous!$D$2:$AY$2&amp;Demand_previous!$D$3:$AY$3, 0))/1000</f>
        <v>0.9912427884615389</v>
      </c>
      <c r="AM83" s="298">
        <f t="array" ref="AM83">INDEX(Demand_previous!$D$4:$AY$138, MATCH('Staging Table'!$A83, Demand_previous!$B$4:$B$138, 0), MATCH(AM$4&amp;AM$5,Demand_previous!$D$2:$AY$2&amp;Demand_previous!$D$3:$AY$3, 0))/1000</f>
        <v>0.80499499999999991</v>
      </c>
      <c r="AN83" s="298">
        <f t="array" ref="AN83">INDEX(Demand_previous!$D$4:$AY$138, MATCH('Staging Table'!$A83, Demand_previous!$B$4:$B$138, 0), MATCH(AN$4&amp;AN$5,Demand_previous!$D$2:$AY$2&amp;Demand_previous!$D$3:$AY$3, 0))/1000</f>
        <v>0.37329687499999942</v>
      </c>
      <c r="AO83" s="298">
        <f t="array" ref="AO83">INDEX(Demand_previous!$D$4:$AY$138, MATCH('Staging Table'!$A83, Demand_previous!$B$4:$B$138, 0), MATCH(AO$4&amp;AO$5,Demand_previous!$D$2:$AY$2&amp;Demand_previous!$D$3:$AY$3, 0))/1000</f>
        <v>1.4504143518518511</v>
      </c>
      <c r="AP83" s="298">
        <f t="array" ref="AP83">INDEX(Demand_previous!$D$4:$AY$138, MATCH('Staging Table'!$A83, Demand_previous!$B$4:$B$138, 0), MATCH(AP$4&amp;AP$5,Demand_previous!$D$2:$AY$2&amp;Demand_previous!$D$3:$AY$3, 0))/1000</f>
        <v>2.2765456730769227</v>
      </c>
      <c r="AQ83" s="298">
        <f t="array" ref="AQ83">INDEX(Demand_previous!$D$4:$AY$138, MATCH('Staging Table'!$A83, Demand_previous!$B$4:$B$138, 0), MATCH(AQ$4&amp;AQ$5,Demand_previous!$D$2:$AY$2&amp;Demand_previous!$D$3:$AY$3, 0))/1000</f>
        <v>0</v>
      </c>
      <c r="AR83" s="298">
        <f t="array" ref="AR83">INDEX(Demand_previous!$D$4:$AY$138, MATCH('Staging Table'!$A83, Demand_previous!$B$4:$B$138, 0), MATCH(AR$4&amp;AR$5,Demand_previous!$D$2:$AY$2&amp;Demand_previous!$D$3:$AY$3, 0))/1000</f>
        <v>4.3605048076923083</v>
      </c>
      <c r="AS83" s="298">
        <f t="array" ref="AS83">INDEX(Demand_previous!$D$4:$AY$138, MATCH('Staging Table'!$A83, Demand_previous!$B$4:$B$138, 0), MATCH(AS$4&amp;AS$5,Demand_previous!$D$2:$AY$2&amp;Demand_previous!$D$3:$AY$3, 0))/1000</f>
        <v>2.8436375000000038</v>
      </c>
      <c r="AT83" s="298">
        <f t="array" ref="AT83">INDEX(Demand_previous!$D$4:$AY$138, MATCH('Staging Table'!$A83, Demand_previous!$B$4:$B$138, 0), MATCH(AT$4&amp;AT$5,Demand_previous!$D$2:$AY$2&amp;Demand_previous!$D$3:$AY$3, 0))/1000</f>
        <v>2.7064513888888877</v>
      </c>
      <c r="AU83" s="298">
        <f t="array" ref="AU83">INDEX(Demand_previous!$D$4:$AY$138, MATCH('Staging Table'!$A83, Demand_previous!$B$4:$B$138, 0), MATCH(AU$4&amp;AU$5,Demand_previous!$D$2:$AY$2&amp;Demand_previous!$D$3:$AY$3, 0))/1000</f>
        <v>3.7007724999999989</v>
      </c>
      <c r="AV83" s="180">
        <f>$F83*(VLOOKUP(AV$4, Rates_previous!$G$6:$Q$29, 10, FALSE)+VLOOKUP(AV$4, Rates_previous!$G$6:$Q$29, 11, FALSE))</f>
        <v>6142.7886511672114</v>
      </c>
      <c r="AW83" s="180">
        <f>$F83*(VLOOKUP(AW$4, Rates_previous!$G$6:$Q$29, 10, FALSE)+VLOOKUP(AW$4, Rates_previous!$G$6:$Q$29, 11, FALSE))</f>
        <v>7776.9933695193022</v>
      </c>
      <c r="AX83" s="180">
        <f>$F83*(VLOOKUP(AX$4, Rates_previous!$G$6:$Q$29, 10, FALSE)+VLOOKUP(AX$4, Rates_previous!$G$6:$Q$29, 11, FALSE))</f>
        <v>7612.1227960149054</v>
      </c>
      <c r="AY83" s="180">
        <f>$F83*(VLOOKUP(AY$4, Rates_previous!$G$6:$Q$29, 10, FALSE)+VLOOKUP(AY$4, Rates_previous!$G$6:$Q$29, 11, FALSE))</f>
        <v>6287.289725189893</v>
      </c>
      <c r="AZ83" s="180">
        <f>$F83*(VLOOKUP(AZ$4, Rates_previous!$G$6:$Q$29, 10, FALSE)+VLOOKUP(AZ$4, Rates_previous!$G$6:$Q$29, 11, FALSE))</f>
        <v>5449.331803905794</v>
      </c>
      <c r="BA83" s="180">
        <f>$F83*(VLOOKUP(BA$4, Rates_previous!$G$6:$Q$29, 10, FALSE)+VLOOKUP(BA$4, Rates_previous!$G$6:$Q$29, 11, FALSE))</f>
        <v>6505.4017399027789</v>
      </c>
      <c r="BB83" s="180">
        <f>$F83*(VLOOKUP(BB$4, Rates_previous!$G$6:$Q$29, 10, FALSE)+VLOOKUP(BB$4, Rates_previous!$G$6:$Q$29, 11, FALSE))</f>
        <v>5050.578394060818</v>
      </c>
      <c r="BC83" s="180">
        <f>$F83*(VLOOKUP(BC$4, Rates_previous!$G$6:$Q$29, 10, FALSE)+VLOOKUP(BC$4, Rates_previous!$G$6:$Q$29, 11, FALSE))</f>
        <v>6997.6135320974854</v>
      </c>
      <c r="BD83" s="180">
        <f>$F83*(VLOOKUP(BD$4, Rates_previous!$G$6:$Q$29, 10, FALSE)+VLOOKUP(BD$4, Rates_previous!$G$6:$Q$29, 11, FALSE))</f>
        <v>7477.0965831345102</v>
      </c>
      <c r="BE83" s="180">
        <f>$F83*(VLOOKUP(BE$4, Rates_previous!$G$6:$Q$29, 10, FALSE)+VLOOKUP(BE$4, Rates_previous!$G$6:$Q$29, 11, FALSE))</f>
        <v>7099.1646307990686</v>
      </c>
      <c r="BF83" s="180">
        <f>$F83*(VLOOKUP(BF$4, Rates_previous!$G$6:$Q$29, 10, FALSE)+VLOOKUP(BF$4, Rates_previous!$G$6:$Q$29, 11, FALSE))</f>
        <v>6860.7949436113595</v>
      </c>
      <c r="BG83" s="180">
        <f>$F83*(VLOOKUP(BG$4, Rates_previous!$G$6:$Q$29, 10, FALSE)+VLOOKUP(BG$4, Rates_previous!$G$6:$Q$29, 11, FALSE))</f>
        <v>6340.0897374260112</v>
      </c>
      <c r="BH83" s="298">
        <f>IF($D83=0,IF(C83=0, MAX(BJ83 - (VLOOKUP($A83,TOCA_previous!$A$2:$AI$137,MATCH("RHWM 2022",TOCA_previous!$A$2:$AI$2,0),FALSE)*$F$2*TOCA_previous!C80),0),0), 0)</f>
        <v>19684.673071846861</v>
      </c>
      <c r="BI83" s="192">
        <f>MIN(VLOOKUP($A83,TOCA_previous!$A$2:$AI$137,MATCH("TRL - NLSL - Existing Resource "&amp;$F$1,TOCA_previous!$A$2:$AI$2,0),FALSE)*$F$2,(VLOOKUP($A83,TOCA_previous!$A$2:$AI$137,MATCH("RHWM 2022",TOCA_previous!$A$2:$AI$2,0),FALSE)*$F$2))</f>
        <v>79602.12</v>
      </c>
      <c r="BJ83" s="402">
        <f>SUM(L83:AI83)+(F83*RT1SC!$C$3*$F$2)</f>
        <v>99286.793071846856</v>
      </c>
      <c r="BK83" s="401">
        <f>VLOOKUP($A83,TOCA_previous!$A$2:$AI$137,MATCH("Above RHWM Not Served with LS "&amp;$F$1,TOCA_previous!$A$2:$AI$2,0),FALSE)*$F$2</f>
        <v>0</v>
      </c>
      <c r="BL83" s="402">
        <f t="shared" si="27"/>
        <v>19684.673071846861</v>
      </c>
      <c r="BM83" s="401">
        <f>(VLOOKUP($A83,TOCA_previous!$A$2:$AI$137,MATCH("RHWM 2022",TOCA_previous!$A$2:$AI$2,0),FALSE)*$F$2) - $BI83</f>
        <v>0</v>
      </c>
      <c r="BN83" s="402">
        <f t="shared" si="28"/>
        <v>0</v>
      </c>
      <c r="BO83" s="401">
        <f t="shared" si="29"/>
        <v>0</v>
      </c>
      <c r="BP83" s="402">
        <f t="shared" si="30"/>
        <v>0</v>
      </c>
      <c r="BQ83" s="401">
        <f t="shared" si="21"/>
        <v>0</v>
      </c>
      <c r="BR83" s="108">
        <f>VLOOKUP($A83,TOCA_current!$A$2:$AI$137,MATCH(BR$4,TOCA_current!$A$2:$AI$2,0),FALSE)</f>
        <v>1.3485999999999999E-3</v>
      </c>
      <c r="BS83" s="108">
        <f>VLOOKUP($A83,TOCA_current!$A$2:$AI$137,MATCH(BS$4,TOCA_current!$A$2:$AI$2,0),FALSE)</f>
        <v>1.3485999999999999E-3</v>
      </c>
      <c r="BT83" s="189">
        <f t="shared" si="31"/>
        <v>0</v>
      </c>
      <c r="BU83" s="108">
        <f>VLOOKUP($A83,TOCA_current!A79:BG214,MATCH(BU$4,TOCA_current!$A$2:$BG$2,0),FALSE)</f>
        <v>8.305794667226539E-2</v>
      </c>
      <c r="BV83" s="108">
        <f t="shared" si="22"/>
        <v>0</v>
      </c>
      <c r="BW83" s="108">
        <f t="shared" si="23"/>
        <v>0</v>
      </c>
      <c r="BX83" s="179">
        <f>VLOOKUP($A83,IRD!$A$4:$G$139, 7, FALSE)</f>
        <v>37558.894</v>
      </c>
      <c r="BY83" s="180">
        <f t="array" ref="BY83">IF($BT83=0, INDEX(LS_current!$D$4:$AY$138, MATCH('Staging Table'!$A83, LS_current!$B$4:$B$138, 0), MATCH(BY$4&amp;BY$5, LS_current!$D$2:$AY$2&amp;LS_current!$D$3:$AY$3, 0)),SUM(VLOOKUP($A83, LS_current!$B$4:$AY$138, LS_current!D$148, FALSE), VLOOKUP($A83, LS_current!$B$4:$AY$138,LS_current!AB$148, FALSE))/2)</f>
        <v>-1717.8120269495998</v>
      </c>
      <c r="BZ83" s="180">
        <f t="array" ref="BZ83">IF($BT83=0, INDEX(LS_current!$D$4:$AY$138, MATCH('Staging Table'!$A83, LS_current!$B$4:$B$138, 0), MATCH(BZ$4&amp;BZ$5, LS_current!$D$2:$AY$2&amp;LS_current!$D$3:$AY$3, 0)),SUM(VLOOKUP($A83, LS_current!$B$4:$AY$138, LS_current!E$148, FALSE), VLOOKUP($A83, LS_current!$B$4:$AY$138,LS_current!AC$148, FALSE))/2)</f>
        <v>-1173.9487258092995</v>
      </c>
      <c r="CA83" s="180">
        <f t="array" ref="CA83">IF($BT83=0, INDEX(LS_current!$D$4:$AY$138, MATCH('Staging Table'!$A83, LS_current!$B$4:$B$138, 0), MATCH(CA$4&amp;CA$5, LS_current!$D$2:$AY$2&amp;LS_current!$D$3:$AY$3, 0)),SUM(VLOOKUP($A83, LS_current!$B$4:$AY$138, LS_current!F$148, FALSE), VLOOKUP($A83, LS_current!$B$4:$AY$138,LS_current!AD$148, FALSE))/2)</f>
        <v>-2680.6026105408</v>
      </c>
      <c r="CB83" s="180">
        <f t="array" ref="CB83">IF($BT83=0, INDEX(LS_current!$D$4:$AY$138, MATCH('Staging Table'!$A83, LS_current!$B$4:$B$138, 0), MATCH(CB$4&amp;CB$5, LS_current!$D$2:$AY$2&amp;LS_current!$D$3:$AY$3, 0)),SUM(VLOOKUP($A83, LS_current!$B$4:$AY$138, LS_current!G$148, FALSE), VLOOKUP($A83, LS_current!$B$4:$AY$138,LS_current!AE$148, FALSE))/2)</f>
        <v>-1492.8539217666</v>
      </c>
      <c r="CC83" s="180">
        <f t="array" ref="CC83">IF($BT83=0, INDEX(LS_current!$D$4:$AY$138, MATCH('Staging Table'!$A83, LS_current!$B$4:$B$138, 0), MATCH(CC$4&amp;CC$5, LS_current!$D$2:$AY$2&amp;LS_current!$D$3:$AY$3, 0)),SUM(VLOOKUP($A83, LS_current!$B$4:$AY$138, LS_current!H$148, FALSE), VLOOKUP($A83, LS_current!$B$4:$AY$138,LS_current!AF$148, FALSE))/2)</f>
        <v>-2291.2040676153993</v>
      </c>
      <c r="CD83" s="180">
        <f t="array" ref="CD83">IF($BT83=0, INDEX(LS_current!$D$4:$AY$138, MATCH('Staging Table'!$A83, LS_current!$B$4:$B$138, 0), MATCH(CD$4&amp;CD$5, LS_current!$D$2:$AY$2&amp;LS_current!$D$3:$AY$3, 0)),SUM(VLOOKUP($A83, LS_current!$B$4:$AY$138, LS_current!I$148, FALSE), VLOOKUP($A83, LS_current!$B$4:$AY$138,LS_current!AG$148, FALSE))/2)</f>
        <v>-1182.5680984256001</v>
      </c>
      <c r="CE83" s="180">
        <f t="array" ref="CE83">IF($BT83=0, INDEX(LS_current!$D$4:$AY$138, MATCH('Staging Table'!$A83, LS_current!$B$4:$B$138, 0), MATCH(CE$4&amp;CE$5, LS_current!$D$2:$AY$2&amp;LS_current!$D$3:$AY$3, 0)),SUM(VLOOKUP($A83, LS_current!$B$4:$AY$138, LS_current!J$148, FALSE), VLOOKUP($A83, LS_current!$B$4:$AY$138,LS_current!AH$148, FALSE))/2)</f>
        <v>-2648.3838468489989</v>
      </c>
      <c r="CF83" s="180">
        <f t="array" ref="CF83">IF($BT83=0, INDEX(LS_current!$D$4:$AY$138, MATCH('Staging Table'!$A83, LS_current!$B$4:$B$138, 0), MATCH(CF$4&amp;CF$5, LS_current!$D$2:$AY$2&amp;LS_current!$D$3:$AY$3, 0)),SUM(VLOOKUP($A83, LS_current!$B$4:$AY$138, LS_current!K$148, FALSE), VLOOKUP($A83, LS_current!$B$4:$AY$138,LS_current!AI$148, FALSE))/2)</f>
        <v>-1163.2329459094001</v>
      </c>
      <c r="CG83" s="180">
        <f t="array" ref="CG83">IF($BT83=0, INDEX(LS_current!$D$4:$AY$138, MATCH('Staging Table'!$A83, LS_current!$B$4:$B$138, 0), MATCH(CG$4&amp;CG$5, LS_current!$D$2:$AY$2&amp;LS_current!$D$3:$AY$3, 0)),SUM(VLOOKUP($A83, LS_current!$B$4:$AY$138, LS_current!L$148, FALSE), VLOOKUP($A83, LS_current!$B$4:$AY$138,LS_current!AJ$148, FALSE))/2)</f>
        <v>-2400.3284424193989</v>
      </c>
      <c r="CH83" s="180">
        <f t="array" ref="CH83">IF($BT83=0, INDEX(LS_current!$D$4:$AY$138, MATCH('Staging Table'!$A83, LS_current!$B$4:$B$138, 0), MATCH(CH$4&amp;CH$5, LS_current!$D$2:$AY$2&amp;LS_current!$D$3:$AY$3, 0)),SUM(VLOOKUP($A83, LS_current!$B$4:$AY$138, LS_current!M$148, FALSE), VLOOKUP($A83, LS_current!$B$4:$AY$138,LS_current!AK$148, FALSE))/2)</f>
        <v>-950.53578190739995</v>
      </c>
      <c r="CI83" s="180">
        <f t="array" ref="CI83">IF($BT83=0, INDEX(LS_current!$D$4:$AY$138, MATCH('Staging Table'!$A83, LS_current!$B$4:$B$138, 0), MATCH(CI$4&amp;CI$5, LS_current!$D$2:$AY$2&amp;LS_current!$D$3:$AY$3, 0)),SUM(VLOOKUP($A83, LS_current!$B$4:$AY$138, LS_current!N$148, FALSE), VLOOKUP($A83, LS_current!$B$4:$AY$138,LS_current!AL$148, FALSE))/2)</f>
        <v>-2871.2519157917995</v>
      </c>
      <c r="CJ83" s="180">
        <f t="array" ref="CJ83">IF($BT83=0, INDEX(LS_current!$D$4:$AY$138, MATCH('Staging Table'!$A83, LS_current!$B$4:$B$138, 0), MATCH(CJ$4&amp;CJ$5, LS_current!$D$2:$AY$2&amp;LS_current!$D$3:$AY$3, 0)),SUM(VLOOKUP($A83, LS_current!$B$4:$AY$138, LS_current!O$148, FALSE), VLOOKUP($A83, LS_current!$B$4:$AY$138,LS_current!AM$148, FALSE))/2)</f>
        <v>-1674.2114098107995</v>
      </c>
      <c r="CK83" s="180">
        <f t="array" ref="CK83">IF($BT83=0, INDEX(LS_current!$D$4:$AY$138, MATCH('Staging Table'!$A83, LS_current!$B$4:$B$138, 0), MATCH(CK$4&amp;CK$5, LS_current!$D$2:$AY$2&amp;LS_current!$D$3:$AY$3, 0)),SUM(VLOOKUP($A83, LS_current!$B$4:$AY$138, LS_current!P$148, FALSE), VLOOKUP($A83, LS_current!$B$4:$AY$138,LS_current!AN$148, FALSE))/2)</f>
        <v>-2058.0021287364998</v>
      </c>
      <c r="CL83" s="180">
        <f t="array" ref="CL83">IF($BT83=0, INDEX(LS_current!$D$4:$AY$138, MATCH('Staging Table'!$A83, LS_current!$B$4:$B$138, 0), MATCH(CL$4&amp;CL$5, LS_current!$D$2:$AY$2&amp;LS_current!$D$3:$AY$3, 0)),SUM(VLOOKUP($A83, LS_current!$B$4:$AY$138, LS_current!Q$148, FALSE), VLOOKUP($A83, LS_current!$B$4:$AY$138,LS_current!AO$148, FALSE))/2)</f>
        <v>-1242.7508745160494</v>
      </c>
      <c r="CM83" s="180">
        <f t="array" ref="CM83">IF($BT83=0, INDEX(LS_current!$D$4:$AY$138, MATCH('Staging Table'!$A83, LS_current!$B$4:$B$138, 0), MATCH(CM$4&amp;CM$5, LS_current!$D$2:$AY$2&amp;LS_current!$D$3:$AY$3, 0)),SUM(VLOOKUP($A83, LS_current!$B$4:$AY$138, LS_current!R$148, FALSE), VLOOKUP($A83, LS_current!$B$4:$AY$138,LS_current!AP$148, FALSE))/2)</f>
        <v>621.50979878720045</v>
      </c>
      <c r="CN83" s="180">
        <f t="array" ref="CN83">IF($BT83=0, INDEX(LS_current!$D$4:$AY$138, MATCH('Staging Table'!$A83, LS_current!$B$4:$B$138, 0), MATCH(CN$4&amp;CN$5, LS_current!$D$2:$AY$2&amp;LS_current!$D$3:$AY$3, 0)),SUM(VLOOKUP($A83, LS_current!$B$4:$AY$138, LS_current!S$148, FALSE), VLOOKUP($A83, LS_current!$B$4:$AY$138,LS_current!AQ$148, FALSE))/2)</f>
        <v>1058.4055328469003</v>
      </c>
      <c r="CO83" s="180">
        <f t="array" ref="CO83">IF($BT83=0, INDEX(LS_current!$D$4:$AY$138, MATCH('Staging Table'!$A83, LS_current!$B$4:$B$138, 0), MATCH(CO$4&amp;CO$5, LS_current!$D$2:$AY$2&amp;LS_current!$D$3:$AY$3, 0)),SUM(VLOOKUP($A83, LS_current!$B$4:$AY$138, LS_current!T$148, FALSE), VLOOKUP($A83, LS_current!$B$4:$AY$138,LS_current!AR$148, FALSE))/2)</f>
        <v>2683.1633109963996</v>
      </c>
      <c r="CP83" s="180">
        <f t="array" ref="CP83">IF($BT83=0, INDEX(LS_current!$D$4:$AY$138, MATCH('Staging Table'!$A83, LS_current!$B$4:$B$138, 0), MATCH(CP$4&amp;CP$5, LS_current!$D$2:$AY$2&amp;LS_current!$D$3:$AY$3, 0)),SUM(VLOOKUP($A83, LS_current!$B$4:$AY$138, LS_current!U$148, FALSE), VLOOKUP($A83, LS_current!$B$4:$AY$138,LS_current!AS$148, FALSE))/2)</f>
        <v>2409.6936615012996</v>
      </c>
      <c r="CQ83" s="180">
        <f t="array" ref="CQ83">IF($BT83=0, INDEX(LS_current!$D$4:$AY$138, MATCH('Staging Table'!$A83, LS_current!$B$4:$B$138, 0), MATCH(CQ$4&amp;CQ$5, LS_current!$D$2:$AY$2&amp;LS_current!$D$3:$AY$3, 0)),SUM(VLOOKUP($A83, LS_current!$B$4:$AY$138, LS_current!V$148, FALSE), VLOOKUP($A83, LS_current!$B$4:$AY$138,LS_current!AT$148, FALSE))/2)</f>
        <v>4805.9139630696</v>
      </c>
      <c r="CR83" s="180">
        <f t="array" ref="CR83">IF($BT83=0, INDEX(LS_current!$D$4:$AY$138, MATCH('Staging Table'!$A83, LS_current!$B$4:$B$138, 0), MATCH(CR$4&amp;CR$5, LS_current!$D$2:$AY$2&amp;LS_current!$D$3:$AY$3, 0)),SUM(VLOOKUP($A83, LS_current!$B$4:$AY$138, LS_current!W$148, FALSE), VLOOKUP($A83, LS_current!$B$4:$AY$138,LS_current!AU$148, FALSE))/2)</f>
        <v>4522.1570645535012</v>
      </c>
      <c r="CS83" s="180">
        <f t="array" ref="CS83">IF($BT83=0, INDEX(LS_current!$D$4:$AY$138, MATCH('Staging Table'!$A83, LS_current!$B$4:$B$138, 0), MATCH(CS$4&amp;CS$5, LS_current!$D$2:$AY$2&amp;LS_current!$D$3:$AY$3, 0)),SUM(VLOOKUP($A83, LS_current!$B$4:$AY$138, LS_current!X$148, FALSE), VLOOKUP($A83, LS_current!$B$4:$AY$138,LS_current!AV$148, FALSE))/2)</f>
        <v>3784.8268747151005</v>
      </c>
      <c r="CT83" s="180">
        <f t="array" ref="CT83">IF($BT83=0, INDEX(LS_current!$D$4:$AY$138, MATCH('Staging Table'!$A83, LS_current!$B$4:$B$138, 0), MATCH(CT$4&amp;CT$5, LS_current!$D$2:$AY$2&amp;LS_current!$D$3:$AY$3, 0)),SUM(VLOOKUP($A83, LS_current!$B$4:$AY$138, LS_current!Y$148, FALSE), VLOOKUP($A83, LS_current!$B$4:$AY$138,LS_current!AW$148, FALSE))/2)</f>
        <v>3267.8432255142902</v>
      </c>
      <c r="CU83" s="180">
        <f t="array" ref="CU83">IF($BT83=0, INDEX(LS_current!$D$4:$AY$138, MATCH('Staging Table'!$A83, LS_current!$B$4:$B$138, 0), MATCH(CU$4&amp;CU$5, LS_current!$D$2:$AY$2&amp;LS_current!$D$3:$AY$3, 0)),SUM(VLOOKUP($A83, LS_current!$B$4:$AY$138, LS_current!Z$148, FALSE), VLOOKUP($A83, LS_current!$B$4:$AY$138,LS_current!AX$148, FALSE))/2)</f>
        <v>1162.0172436835992</v>
      </c>
      <c r="CV83" s="180">
        <f t="array" ref="CV83">IF($BT83=0, INDEX(LS_current!$D$4:$AY$138, MATCH('Staging Table'!$A83, LS_current!$B$4:$B$138, 0), MATCH(CV$4&amp;CV$5, LS_current!$D$2:$AY$2&amp;LS_current!$D$3:$AY$3, 0)),SUM(VLOOKUP($A83, LS_current!$B$4:$AY$138, LS_current!AA$148, FALSE), VLOOKUP($A83, LS_current!$B$4:$AY$138,LS_current!AY$148, FALSE))/2)</f>
        <v>1236.4324263455997</v>
      </c>
      <c r="CW83" s="182">
        <f t="array" ref="CW83">INDEX(Demand_current!$D$4:$AY$138, MATCH($A83, Demand_current!$B$4:$B$138, 0), MATCH(CW$4&amp;CW$5,Demand_current!$D$2:$AY$2&amp;Demand_current!$D$3:$AY$3, 0))/1000</f>
        <v>2.8847740384615372</v>
      </c>
      <c r="CX83" s="182">
        <f t="array" ref="CX83">INDEX(Demand_current!$D$4:$AY$138, MATCH($A83, Demand_current!$B$4:$B$138, 0), MATCH(CX$4&amp;CX$5,Demand_current!$D$2:$AY$2&amp;Demand_current!$D$3:$AY$3, 0))/1000</f>
        <v>0.78728749999999925</v>
      </c>
      <c r="CY83" s="182">
        <f t="array" ref="CY83">INDEX(Demand_current!$D$4:$AY$138, MATCH($A83, Demand_current!$B$4:$B$138, 0), MATCH(CY$4&amp;CY$5,Demand_current!$D$2:$AY$2&amp;Demand_current!$D$3:$AY$3, 0))/1000</f>
        <v>0.68669249999999904</v>
      </c>
      <c r="CZ83" s="182">
        <f t="array" ref="CZ83">INDEX(Demand_current!$D$4:$AY$138, MATCH($A83, Demand_current!$B$4:$B$138, 0), MATCH(CZ$4&amp;CZ$5,Demand_current!$D$2:$AY$2&amp;Demand_current!$D$3:$AY$3, 0))/1000</f>
        <v>1.1058413461538468</v>
      </c>
      <c r="DA83" s="182">
        <f t="array" ref="DA83">INDEX(Demand_current!$D$4:$AY$138, MATCH($A83, Demand_current!$B$4:$B$138, 0), MATCH(DA$4&amp;DA$5,Demand_current!$D$2:$AY$2&amp;Demand_current!$D$3:$AY$3, 0))/1000</f>
        <v>0.66088499999999861</v>
      </c>
      <c r="DB83" s="182">
        <f t="array" ref="DB83">INDEX(Demand_current!$D$4:$AY$138, MATCH($A83, Demand_current!$B$4:$B$138, 0), MATCH(DB$4&amp;DB$5,Demand_current!$D$2:$AY$2&amp;Demand_current!$D$3:$AY$3, 0))/1000</f>
        <v>1.2260072115384606</v>
      </c>
      <c r="DC83" s="182">
        <f t="array" ref="DC83">INDEX(Demand_current!$D$4:$AY$138, MATCH($A83, Demand_current!$B$4:$B$138, 0), MATCH(DC$4&amp;DC$5,Demand_current!$D$2:$AY$2&amp;Demand_current!$D$3:$AY$3, 0))/1000</f>
        <v>2.2765456730769227</v>
      </c>
      <c r="DD83" s="182">
        <f t="array" ref="DD83">INDEX(Demand_current!$D$4:$AY$138, MATCH($A83, Demand_current!$B$4:$B$138, 0), MATCH(DD$4&amp;DD$5,Demand_current!$D$2:$AY$2&amp;Demand_current!$D$3:$AY$3, 0))/1000</f>
        <v>0.24813942307691941</v>
      </c>
      <c r="DE83" s="182">
        <f t="array" ref="DE83">INDEX(Demand_current!$D$4:$AY$138, MATCH($A83, Demand_current!$B$4:$B$138, 0), MATCH(DE$4&amp;DE$5,Demand_current!$D$2:$AY$2&amp;Demand_current!$D$3:$AY$3, 0))/1000</f>
        <v>3.5725249999999988</v>
      </c>
      <c r="DF83" s="182">
        <f t="array" ref="DF83">INDEX(Demand_current!$D$4:$AY$138, MATCH($A83, Demand_current!$B$4:$B$138, 0), MATCH(DF$4&amp;DF$5,Demand_current!$D$2:$AY$2&amp;Demand_current!$D$3:$AY$3, 0))/1000</f>
        <v>3.7745360576923095</v>
      </c>
      <c r="DG83" s="182">
        <f t="array" ref="DG83">INDEX(Demand_current!$D$4:$AY$138, MATCH($A83, Demand_current!$B$4:$B$138, 0), MATCH(DG$4&amp;DG$5,Demand_current!$D$2:$AY$2&amp;Demand_current!$D$3:$AY$3, 0))/1000</f>
        <v>2.7064513888888877</v>
      </c>
      <c r="DH83" s="182">
        <f t="array" ref="DH83">INDEX(Demand_current!$D$4:$AY$138, MATCH($A83, Demand_current!$B$4:$B$138, 0), MATCH(DH$4&amp;DH$5,Demand_current!$D$2:$AY$2&amp;Demand_current!$D$3:$AY$3, 0))/1000</f>
        <v>3.1413046874999999</v>
      </c>
      <c r="DI83" s="180">
        <f>$BS83*(VLOOKUP(DI$4, Rates_current!$G$6:$Q$29, 10, FALSE)+VLOOKUP(DI$4, Rates_current!$G$6:$Q$29, 11, FALSE))</f>
        <v>5689.4787527588996</v>
      </c>
      <c r="DJ83" s="180">
        <f>$BS83*(VLOOKUP(DJ$4, Rates_current!$G$6:$Q$29, 10, FALSE)+VLOOKUP(DJ$4, Rates_current!$G$6:$Q$29, 11, FALSE))</f>
        <v>7255.9615323074004</v>
      </c>
      <c r="DK83" s="180">
        <f>$BS83*(VLOOKUP(DK$4, Rates_current!$G$6:$Q$29, 10, FALSE)+VLOOKUP(DK$4, Rates_current!$G$6:$Q$29, 11, FALSE))</f>
        <v>7830.6181660410002</v>
      </c>
      <c r="DL83" s="180">
        <f>$BS83*(VLOOKUP(DL$4, Rates_current!$G$6:$Q$29, 10, FALSE)+VLOOKUP(DL$4, Rates_current!$G$6:$Q$29, 11, FALSE))</f>
        <v>8137.2227927583999</v>
      </c>
      <c r="DM83" s="180">
        <f>$BS83*(VLOOKUP(DM$4, Rates_current!$G$6:$Q$29, 10, FALSE)+VLOOKUP(DM$4, Rates_current!$G$6:$Q$29, 11, FALSE))</f>
        <v>6999.0962243267986</v>
      </c>
      <c r="DN83" s="180">
        <f>$BS83*(VLOOKUP(DN$4, Rates_current!$G$6:$Q$29, 10, FALSE)+VLOOKUP(DN$4, Rates_current!$G$6:$Q$29, 11, FALSE))</f>
        <v>7641.6273256025997</v>
      </c>
      <c r="DO83" s="180">
        <f>$BS83*(VLOOKUP(DO$4, Rates_current!$G$6:$Q$29, 10, FALSE)+VLOOKUP(DO$4, Rates_current!$G$6:$Q$29, 11, FALSE))</f>
        <v>6031.7770032525495</v>
      </c>
      <c r="DP83" s="180">
        <f>$BS83*(VLOOKUP(DP$4, Rates_current!$G$6:$Q$29, 10, FALSE)+VLOOKUP(DP$4, Rates_current!$G$6:$Q$29, 11, FALSE))</f>
        <v>7483.2276683659002</v>
      </c>
      <c r="DQ83" s="180">
        <f>$BS83*(VLOOKUP(DQ$4, Rates_current!$G$6:$Q$29, 10, FALSE)+VLOOKUP(DQ$4, Rates_current!$G$6:$Q$29, 11, FALSE))</f>
        <v>7645.5950275022988</v>
      </c>
      <c r="DR83" s="180">
        <f>$BS83*(VLOOKUP(DR$4, Rates_current!$G$6:$Q$29, 10, FALSE)+VLOOKUP(DR$4, Rates_current!$G$6:$Q$29, 11, FALSE))</f>
        <v>6637.4779723768997</v>
      </c>
      <c r="DS83" s="180">
        <f>$BS83*(VLOOKUP(DS$4, Rates_current!$G$6:$Q$29, 10, FALSE)+VLOOKUP(DS$4, Rates_current!$G$6:$Q$29, 11, FALSE))</f>
        <v>6416.6768997706104</v>
      </c>
      <c r="DT83" s="180">
        <f>$BS83*(VLOOKUP(DT$4, Rates_current!$G$6:$Q$29, 10, FALSE)+VLOOKUP(DT$4, Rates_current!$G$6:$Q$29, 11, FALSE))</f>
        <v>5904.5853299708006</v>
      </c>
      <c r="DU83" s="402">
        <f>IF(D83=0,IF(C83=0,MAX(0,DW83 - (VLOOKUP($A83,TOCA_current!$A$2:$AI$137,MATCH("RHWM 2024",TOCA_current!$A$2:$AI$2,0),FALSE)*$BS$2)), 0),0)</f>
        <v>1.237383541840245</v>
      </c>
      <c r="DV83" s="403">
        <f>MIN(VLOOKUP($A83,TOCA_current!$A$2:$AI$137,MATCH("TRL - NLSL - Existing Resource "&amp;$BS$1,TOCA_current!$A$2:$AI$2,0),FALSE)*$BS$2, VLOOKUP($A83,TOCA_current!$A$2:$AI$137,MATCH("RHWM 2024",TOCA_current!$A$2:$AI$2,0),FALSE)*$BS$2)</f>
        <v>83676.384000000005</v>
      </c>
      <c r="DW83" s="403">
        <f>SUM(BY83:CV83)+(BS83*RT1SC!$C$4*$BS$2)</f>
        <v>83677.621383541846</v>
      </c>
      <c r="DX83" s="403">
        <f>VLOOKUP($A83,TOCA_current!$A$2:$AI$137,MATCH("Above RHWM Not Served with LS "&amp;$BS$1,TOCA_current!$A$2:$AI$2,0),FALSE)*$BS$2</f>
        <v>15609.168</v>
      </c>
      <c r="DY83" s="403">
        <f t="shared" si="32"/>
        <v>1.237383541840245</v>
      </c>
      <c r="DZ83" s="403">
        <f>(VLOOKUP($A83,TOCA_current!$A$2:$AI$137,MATCH("RHWM 2024",TOCA_current!$A$2:$AI$2,0),FALSE)*$BS$2) - $DV83</f>
        <v>0</v>
      </c>
      <c r="EA83" s="403">
        <f t="shared" si="33"/>
        <v>0</v>
      </c>
      <c r="EB83" s="403">
        <f t="shared" si="34"/>
        <v>0</v>
      </c>
      <c r="EC83" s="403">
        <f t="shared" si="35"/>
        <v>0</v>
      </c>
      <c r="ED83" s="403">
        <f t="shared" si="36"/>
        <v>0</v>
      </c>
    </row>
    <row r="84" spans="1:134">
      <c r="A84" s="123">
        <v>10244</v>
      </c>
      <c r="B84" s="124" t="s">
        <v>85</v>
      </c>
      <c r="C84" s="232">
        <f>VLOOKUP(A84, TOCA_current!$A$3:$D$137, 4, FALSE)</f>
        <v>0</v>
      </c>
      <c r="D84" s="191">
        <v>0</v>
      </c>
      <c r="E84" s="107">
        <f>VLOOKUP($A84,TOCA_previous!$A$2:$AI$137,MATCH(E$4,TOCA_previous!$A$2:$AI$2,0),FALSE)</f>
        <v>1.2183299999999999E-2</v>
      </c>
      <c r="F84" s="108">
        <f>VLOOKUP($A84,TOCA_previous!$A$2:$AI$137,MATCH(F$4,TOCA_previous!$A$2:$AI$2,0),FALSE)</f>
        <v>1.2183299999999999E-2</v>
      </c>
      <c r="G84" s="108">
        <f t="shared" si="24"/>
        <v>0</v>
      </c>
      <c r="H84" s="108">
        <f>VLOOKUP($A84,TOCA_previous!$A$2:$AI$137,MATCH(H$4,TOCA_previous!$A$2:$AI$2,0),FALSE)</f>
        <v>7.1749999999999994E-2</v>
      </c>
      <c r="I84" s="108">
        <f t="shared" si="25"/>
        <v>0</v>
      </c>
      <c r="J84" s="108">
        <f t="shared" si="26"/>
        <v>0</v>
      </c>
      <c r="K84" s="179">
        <f>VLOOKUP(A84, IRD!$A$5:$C$139, 3, FALSE)</f>
        <v>0</v>
      </c>
      <c r="L84" s="180">
        <f t="array" ref="L84">IF($G84=0, INDEX(LS_previous!$D$4:$AY$138, MATCH('Staging Table'!$A84, LS_previous!$B$4:$B$138, 0), MATCH(L$4&amp;L$5, LS_previous!$D$2:$AY$2&amp;LS_previous!$D$3:$AY$3, 0)),SUM(VLOOKUP($A84, LS_previous!$B$4:$AY$138, LS_previous!D$149, FALSE), VLOOKUP('Staging Table'!$A84, LS_previous!$B$4:$AY$138,LS_previous!AB$149, FALSE))/2)</f>
        <v>-3188.5130299153534</v>
      </c>
      <c r="M84" s="180">
        <f t="array" ref="M84">IF($G84=0, INDEX(LS_previous!$D$4:$AY$138, MATCH('Staging Table'!$A84, LS_previous!$B$4:$B$138, 0), MATCH(M$4&amp;M$5, LS_previous!$D$2:$AY$2&amp;LS_previous!$D$3:$AY$3, 0)),SUM(VLOOKUP($A84, LS_previous!$B$4:$AY$138, LS_previous!E$149, FALSE), VLOOKUP('Staging Table'!$A84, LS_previous!$B$4:$AY$138,LS_previous!AC$149, FALSE))/2)</f>
        <v>308.71063443350067</v>
      </c>
      <c r="N84" s="180">
        <f t="array" ref="N84">IF($G84=0, INDEX(LS_previous!$D$4:$AY$138, MATCH('Staging Table'!$A84, LS_previous!$B$4:$B$138, 0), MATCH(N$4&amp;N$5, LS_previous!$D$2:$AY$2&amp;LS_previous!$D$3:$AY$3, 0)),SUM(VLOOKUP($A84, LS_previous!$B$4:$AY$138, LS_previous!F$149, FALSE), VLOOKUP('Staging Table'!$A84, LS_previous!$B$4:$AY$138,LS_previous!AD$149, FALSE))/2)</f>
        <v>-1548.9833964288337</v>
      </c>
      <c r="O84" s="180">
        <f t="array" ref="O84">IF($G84=0, INDEX(LS_previous!$D$4:$AY$138, MATCH('Staging Table'!$A84, LS_previous!$B$4:$B$138, 0), MATCH(O$4&amp;O$5, LS_previous!$D$2:$AY$2&amp;LS_previous!$D$3:$AY$3, 0)),SUM(VLOOKUP($A84, LS_previous!$B$4:$AY$138, LS_previous!G$149, FALSE), VLOOKUP('Staging Table'!$A84, LS_previous!$B$4:$AY$138,LS_previous!AE$149, FALSE))/2)</f>
        <v>4290.4583396681337</v>
      </c>
      <c r="P84" s="180">
        <f t="array" ref="P84">IF($G84=0, INDEX(LS_previous!$D$4:$AY$138, MATCH('Staging Table'!$A84, LS_previous!$B$4:$B$138, 0), MATCH(P$4&amp;P$5, LS_previous!$D$2:$AY$2&amp;LS_previous!$D$3:$AY$3, 0)),SUM(VLOOKUP($A84, LS_previous!$B$4:$AY$138, LS_previous!H$149, FALSE), VLOOKUP('Staging Table'!$A84, LS_previous!$B$4:$AY$138,LS_previous!AF$149, FALSE))/2)</f>
        <v>20290.141299408133</v>
      </c>
      <c r="Q84" s="180">
        <f t="array" ref="Q84">IF($G84=0, INDEX(LS_previous!$D$4:$AY$138, MATCH('Staging Table'!$A84, LS_previous!$B$4:$B$138, 0), MATCH(Q$4&amp;Q$5, LS_previous!$D$2:$AY$2&amp;LS_previous!$D$3:$AY$3, 0)),SUM(VLOOKUP($A84, LS_previous!$B$4:$AY$138, LS_previous!I$149, FALSE), VLOOKUP('Staging Table'!$A84, LS_previous!$B$4:$AY$138,LS_previous!AG$149, FALSE))/2)</f>
        <v>15167.978966076058</v>
      </c>
      <c r="R84" s="180">
        <f t="array" ref="R84">IF($G84=0, INDEX(LS_previous!$D$4:$AY$138, MATCH('Staging Table'!$A84, LS_previous!$B$4:$B$138, 0), MATCH(R$4&amp;R$5, LS_previous!$D$2:$AY$2&amp;LS_previous!$D$3:$AY$3, 0)),SUM(VLOOKUP($A84, LS_previous!$B$4:$AY$138, LS_previous!J$149, FALSE), VLOOKUP('Staging Table'!$A84, LS_previous!$B$4:$AY$138,LS_previous!AH$149, FALSE))/2)</f>
        <v>27576.981733940382</v>
      </c>
      <c r="S84" s="180">
        <f t="array" ref="S84">IF($G84=0, INDEX(LS_previous!$D$4:$AY$138, MATCH('Staging Table'!$A84, LS_previous!$B$4:$B$138, 0), MATCH(S$4&amp;S$5, LS_previous!$D$2:$AY$2&amp;LS_previous!$D$3:$AY$3, 0)),SUM(VLOOKUP($A84, LS_previous!$B$4:$AY$138, LS_previous!K$149, FALSE), VLOOKUP('Staging Table'!$A84, LS_previous!$B$4:$AY$138,LS_previous!AI$149, FALSE))/2)</f>
        <v>19722.080399200684</v>
      </c>
      <c r="T84" s="180">
        <f t="array" ref="T84">IF($G84=0, INDEX(LS_previous!$D$4:$AY$138, MATCH('Staging Table'!$A84, LS_previous!$B$4:$B$138, 0), MATCH(T$4&amp;T$5, LS_previous!$D$2:$AY$2&amp;LS_previous!$D$3:$AY$3, 0)),SUM(VLOOKUP($A84, LS_previous!$B$4:$AY$138, LS_previous!L$149, FALSE), VLOOKUP('Staging Table'!$A84, LS_previous!$B$4:$AY$138,LS_previous!AJ$149, FALSE))/2)</f>
        <v>21455.674240743178</v>
      </c>
      <c r="U84" s="180">
        <f t="array" ref="U84">IF($G84=0, INDEX(LS_previous!$D$4:$AY$138, MATCH('Staging Table'!$A84, LS_previous!$B$4:$B$138, 0), MATCH(U$4&amp;U$5, LS_previous!$D$2:$AY$2&amp;LS_previous!$D$3:$AY$3, 0)),SUM(VLOOKUP($A84, LS_previous!$B$4:$AY$138, LS_previous!M$149, FALSE), VLOOKUP('Staging Table'!$A84, LS_previous!$B$4:$AY$138,LS_previous!AK$149, FALSE))/2)</f>
        <v>15985.755704230167</v>
      </c>
      <c r="V84" s="180">
        <f t="array" ref="V84">IF($G84=0, INDEX(LS_previous!$D$4:$AY$138, MATCH('Staging Table'!$A84, LS_previous!$B$4:$B$138, 0), MATCH(V$4&amp;V$5, LS_previous!$D$2:$AY$2&amp;LS_previous!$D$3:$AY$3, 0)),SUM(VLOOKUP($A84, LS_previous!$B$4:$AY$138, LS_previous!N$149, FALSE), VLOOKUP('Staging Table'!$A84, LS_previous!$B$4:$AY$138,LS_previous!AL$149, FALSE))/2)</f>
        <v>8209.3958494966064</v>
      </c>
      <c r="W84" s="180">
        <f t="array" ref="W84">IF($G84=0, INDEX(LS_previous!$D$4:$AY$138, MATCH('Staging Table'!$A84, LS_previous!$B$4:$B$138, 0), MATCH(W$4&amp;W$5, LS_previous!$D$2:$AY$2&amp;LS_previous!$D$3:$AY$3, 0)),SUM(VLOOKUP($A84, LS_previous!$B$4:$AY$138, LS_previous!O$149, FALSE), VLOOKUP('Staging Table'!$A84, LS_previous!$B$4:$AY$138,LS_previous!AM$149, FALSE))/2)</f>
        <v>8222.3608750511703</v>
      </c>
      <c r="X84" s="180">
        <f t="array" ref="X84">IF($G84=0, INDEX(LS_previous!$D$4:$AY$138, MATCH('Staging Table'!$A84, LS_previous!$B$4:$B$138, 0), MATCH(X$4&amp;X$5, LS_previous!$D$2:$AY$2&amp;LS_previous!$D$3:$AY$3, 0)),SUM(VLOOKUP($A84, LS_previous!$B$4:$AY$138, LS_previous!P$149, FALSE), VLOOKUP('Staging Table'!$A84, LS_previous!$B$4:$AY$138,LS_previous!AN$149, FALSE))/2)</f>
        <v>5402.093821022645</v>
      </c>
      <c r="Y84" s="180">
        <f t="array" ref="Y84">IF($G84=0, INDEX(LS_previous!$D$4:$AY$138, MATCH('Staging Table'!$A84, LS_previous!$B$4:$B$138, 0), MATCH(Y$4&amp;Y$5, LS_previous!$D$2:$AY$2&amp;LS_previous!$D$3:$AY$3, 0)),SUM(VLOOKUP($A84, LS_previous!$B$4:$AY$138, LS_previous!Q$149, FALSE), VLOOKUP('Staging Table'!$A84, LS_previous!$B$4:$AY$138,LS_previous!AO$149, FALSE))/2)</f>
        <v>5679.2683272751055</v>
      </c>
      <c r="Z84" s="180">
        <f t="array" ref="Z84">IF($G84=0, INDEX(LS_previous!$D$4:$AY$138, MATCH('Staging Table'!$A84, LS_previous!$B$4:$B$138, 0), MATCH(Z$4&amp;Z$5, LS_previous!$D$2:$AY$2&amp;LS_previous!$D$3:$AY$3, 0)),SUM(VLOOKUP($A84, LS_previous!$B$4:$AY$138, LS_previous!R$149, FALSE), VLOOKUP('Staging Table'!$A84, LS_previous!$B$4:$AY$138,LS_previous!AP$149, FALSE))/2)</f>
        <v>-18676.159672821934</v>
      </c>
      <c r="AA84" s="180">
        <f t="array" ref="AA84">IF($G84=0, INDEX(LS_previous!$D$4:$AY$138, MATCH('Staging Table'!$A84, LS_previous!$B$4:$B$138, 0), MATCH(AA$4&amp;AA$5, LS_previous!$D$2:$AY$2&amp;LS_previous!$D$3:$AY$3, 0)),SUM(VLOOKUP($A84, LS_previous!$B$4:$AY$138, LS_previous!S$149, FALSE), VLOOKUP('Staging Table'!$A84, LS_previous!$B$4:$AY$138,LS_previous!AQ$149, FALSE))/2)</f>
        <v>-4466.5463541654572</v>
      </c>
      <c r="AB84" s="180">
        <f t="array" ref="AB84">IF($G84=0, INDEX(LS_previous!$D$4:$AY$138, MATCH('Staging Table'!$A84, LS_previous!$B$4:$B$138, 0), MATCH(AB$4&amp;AB$5, LS_previous!$D$2:$AY$2&amp;LS_previous!$D$3:$AY$3, 0)),SUM(VLOOKUP($A84, LS_previous!$B$4:$AY$138, LS_previous!T$149, FALSE), VLOOKUP('Staging Table'!$A84, LS_previous!$B$4:$AY$138,LS_previous!AR$149, FALSE))/2)</f>
        <v>-25651.026557990415</v>
      </c>
      <c r="AC84" s="180">
        <f t="array" ref="AC84">IF($G84=0, INDEX(LS_previous!$D$4:$AY$138, MATCH('Staging Table'!$A84, LS_previous!$B$4:$B$138, 0), MATCH(AC$4&amp;AC$5, LS_previous!$D$2:$AY$2&amp;LS_previous!$D$3:$AY$3, 0)),SUM(VLOOKUP($A84, LS_previous!$B$4:$AY$138, LS_previous!U$149, FALSE), VLOOKUP('Staging Table'!$A84, LS_previous!$B$4:$AY$138,LS_previous!AS$149, FALSE))/2)</f>
        <v>-7177.8418982351559</v>
      </c>
      <c r="AD84" s="180">
        <f t="array" ref="AD84">IF($G84=0, INDEX(LS_previous!$D$4:$AY$138, MATCH('Staging Table'!$A84, LS_previous!$B$4:$B$138, 0), MATCH(AD$4&amp;AD$5, LS_previous!$D$2:$AY$2&amp;LS_previous!$D$3:$AY$3, 0)),SUM(VLOOKUP($A84, LS_previous!$B$4:$AY$138, LS_previous!V$149, FALSE), VLOOKUP('Staging Table'!$A84, LS_previous!$B$4:$AY$138,LS_previous!AT$149, FALSE))/2)</f>
        <v>-19354.685416528118</v>
      </c>
      <c r="AE84" s="180">
        <f t="array" ref="AE84">IF($G84=0, INDEX(LS_previous!$D$4:$AY$138, MATCH('Staging Table'!$A84, LS_previous!$B$4:$B$138, 0), MATCH(AE$4&amp;AE$5, LS_previous!$D$2:$AY$2&amp;LS_previous!$D$3:$AY$3, 0)),SUM(VLOOKUP($A84, LS_previous!$B$4:$AY$138, LS_previous!W$149, FALSE), VLOOKUP('Staging Table'!$A84, LS_previous!$B$4:$AY$138,LS_previous!AU$149, FALSE))/2)</f>
        <v>-7741.5607839420991</v>
      </c>
      <c r="AF84" s="180">
        <f t="array" ref="AF84">IF($G84=0, INDEX(LS_previous!$D$4:$AY$138, MATCH('Staging Table'!$A84, LS_previous!$B$4:$B$138, 0), MATCH(AF$4&amp;AF$5, LS_previous!$D$2:$AY$2&amp;LS_previous!$D$3:$AY$3, 0)),SUM(VLOOKUP($A84, LS_previous!$B$4:$AY$138, LS_previous!X$149, FALSE), VLOOKUP('Staging Table'!$A84, LS_previous!$B$4:$AY$138,LS_previous!AV$149, FALSE))/2)</f>
        <v>-17407.842847206197</v>
      </c>
      <c r="AG84" s="180">
        <f t="array" ref="AG84">IF($G84=0, INDEX(LS_previous!$D$4:$AY$138, MATCH('Staging Table'!$A84, LS_previous!$B$4:$B$138, 0), MATCH(AG$4&amp;AG$5, LS_previous!$D$2:$AY$2&amp;LS_previous!$D$3:$AY$3, 0)),SUM(VLOOKUP($A84, LS_previous!$B$4:$AY$138, LS_previous!Y$149, FALSE), VLOOKUP('Staging Table'!$A84, LS_previous!$B$4:$AY$138,LS_previous!AW$149, FALSE))/2)</f>
        <v>-7188.774118247331</v>
      </c>
      <c r="AH84" s="180">
        <f t="array" ref="AH84">IF($G84=0, INDEX(LS_previous!$D$4:$AY$138, MATCH('Staging Table'!$A84, LS_previous!$B$4:$B$138, 0), MATCH(AH$4&amp;AH$5, LS_previous!$D$2:$AY$2&amp;LS_previous!$D$3:$AY$3, 0)),SUM(VLOOKUP($A84, LS_previous!$B$4:$AY$138, LS_previous!Z$149, FALSE), VLOOKUP('Staging Table'!$A84, LS_previous!$B$4:$AY$138,LS_previous!AX$149, FALSE))/2)</f>
        <v>-14602.067184725969</v>
      </c>
      <c r="AI84" s="180">
        <f t="array" ref="AI84">IF($G84=0, INDEX(LS_previous!$D$4:$AY$138, MATCH('Staging Table'!$A84, LS_previous!$B$4:$B$138, 0), MATCH(AI$4&amp;AI$5, LS_previous!$D$2:$AY$2&amp;LS_previous!$D$3:$AY$3, 0)),SUM(VLOOKUP($A84, LS_previous!$B$4:$AY$138, LS_previous!AA$149, FALSE), VLOOKUP('Staging Table'!$A84, LS_previous!$B$4:$AY$138,LS_previous!AY$149, FALSE))/2)</f>
        <v>-6908.3607704836995</v>
      </c>
      <c r="AJ84" s="298">
        <f t="array" ref="AJ84">INDEX(Demand_previous!$D$4:$AY$138, MATCH('Staging Table'!$A84, Demand_previous!$B$4:$B$138, 0), MATCH(AJ$4&amp;AJ$5,Demand_previous!$D$2:$AY$2&amp;Demand_previous!$D$3:$AY$3, 0))/1000</f>
        <v>12.398444711538477</v>
      </c>
      <c r="AK84" s="298">
        <f t="array" ref="AK84">INDEX(Demand_previous!$D$4:$AY$138, MATCH('Staging Table'!$A84, Demand_previous!$B$4:$B$138, 0), MATCH(AK$4&amp;AK$5,Demand_previous!$D$2:$AY$2&amp;Demand_previous!$D$3:$AY$3, 0))/1000</f>
        <v>17.959840000000007</v>
      </c>
      <c r="AL84" s="298">
        <f t="array" ref="AL84">INDEX(Demand_previous!$D$4:$AY$138, MATCH('Staging Table'!$A84, Demand_previous!$B$4:$B$138, 0), MATCH(AL$4&amp;AL$5,Demand_previous!$D$2:$AY$2&amp;Demand_previous!$D$3:$AY$3, 0))/1000</f>
        <v>21.25085096153844</v>
      </c>
      <c r="AM84" s="298">
        <f t="array" ref="AM84">INDEX(Demand_previous!$D$4:$AY$138, MATCH('Staging Table'!$A84, Demand_previous!$B$4:$B$138, 0), MATCH(AM$4&amp;AM$5,Demand_previous!$D$2:$AY$2&amp;Demand_previous!$D$3:$AY$3, 0))/1000</f>
        <v>31.840067499999989</v>
      </c>
      <c r="AN84" s="298">
        <f t="array" ref="AN84">INDEX(Demand_previous!$D$4:$AY$138, MATCH('Staging Table'!$A84, Demand_previous!$B$4:$B$138, 0), MATCH(AN$4&amp;AN$5,Demand_previous!$D$2:$AY$2&amp;Demand_previous!$D$3:$AY$3, 0))/1000</f>
        <v>9.389291666666665</v>
      </c>
      <c r="AO84" s="298">
        <f t="array" ref="AO84">INDEX(Demand_previous!$D$4:$AY$138, MATCH('Staging Table'!$A84, Demand_previous!$B$4:$B$138, 0), MATCH(AO$4&amp;AO$5,Demand_previous!$D$2:$AY$2&amp;Demand_previous!$D$3:$AY$3, 0))/1000</f>
        <v>24.101250000000007</v>
      </c>
      <c r="AP84" s="298">
        <f t="array" ref="AP84">INDEX(Demand_previous!$D$4:$AY$138, MATCH('Staging Table'!$A84, Demand_previous!$B$4:$B$138, 0), MATCH(AP$4&amp;AP$5,Demand_previous!$D$2:$AY$2&amp;Demand_previous!$D$3:$AY$3, 0))/1000</f>
        <v>23.487682692307693</v>
      </c>
      <c r="AQ84" s="298">
        <f t="array" ref="AQ84">INDEX(Demand_previous!$D$4:$AY$138, MATCH('Staging Table'!$A84, Demand_previous!$B$4:$B$138, 0), MATCH(AQ$4&amp;AQ$5,Demand_previous!$D$2:$AY$2&amp;Demand_previous!$D$3:$AY$3, 0))/1000</f>
        <v>15.123200000000004</v>
      </c>
      <c r="AR84" s="298">
        <f t="array" ref="AR84">INDEX(Demand_previous!$D$4:$AY$138, MATCH('Staging Table'!$A84, Demand_previous!$B$4:$B$138, 0), MATCH(AR$4&amp;AR$5,Demand_previous!$D$2:$AY$2&amp;Demand_previous!$D$3:$AY$3, 0))/1000</f>
        <v>16.34823798076922</v>
      </c>
      <c r="AS84" s="298">
        <f t="array" ref="AS84">INDEX(Demand_previous!$D$4:$AY$138, MATCH('Staging Table'!$A84, Demand_previous!$B$4:$B$138, 0), MATCH(AS$4&amp;AS$5,Demand_previous!$D$2:$AY$2&amp;Demand_previous!$D$3:$AY$3, 0))/1000</f>
        <v>11.501712500000005</v>
      </c>
      <c r="AT84" s="298">
        <f t="array" ref="AT84">INDEX(Demand_previous!$D$4:$AY$138, MATCH('Staging Table'!$A84, Demand_previous!$B$4:$B$138, 0), MATCH(AT$4&amp;AT$5,Demand_previous!$D$2:$AY$2&amp;Demand_previous!$D$3:$AY$3, 0))/1000</f>
        <v>11.689395833333334</v>
      </c>
      <c r="AU84" s="298">
        <f t="array" ref="AU84">INDEX(Demand_previous!$D$4:$AY$138, MATCH('Staging Table'!$A84, Demand_previous!$B$4:$B$138, 0), MATCH(AU$4&amp;AU$5,Demand_previous!$D$2:$AY$2&amp;Demand_previous!$D$3:$AY$3, 0))/1000</f>
        <v>19.353512500000004</v>
      </c>
      <c r="AV84" s="180">
        <f>$F84*(VLOOKUP(AV$4, Rates_previous!$G$6:$Q$29, 10, FALSE)+VLOOKUP(AV$4, Rates_previous!$G$6:$Q$29, 11, FALSE))</f>
        <v>55481.827395481851</v>
      </c>
      <c r="AW84" s="180">
        <f>$F84*(VLOOKUP(AW$4, Rates_previous!$G$6:$Q$29, 10, FALSE)+VLOOKUP(AW$4, Rates_previous!$G$6:$Q$29, 11, FALSE))</f>
        <v>70242.007056760704</v>
      </c>
      <c r="AX84" s="180">
        <f>$F84*(VLOOKUP(AX$4, Rates_previous!$G$6:$Q$29, 10, FALSE)+VLOOKUP(AX$4, Rates_previous!$G$6:$Q$29, 11, FALSE))</f>
        <v>68752.891734515812</v>
      </c>
      <c r="AY84" s="180">
        <f>$F84*(VLOOKUP(AY$4, Rates_previous!$G$6:$Q$29, 10, FALSE)+VLOOKUP(AY$4, Rates_previous!$G$6:$Q$29, 11, FALSE))</f>
        <v>56786.964866858929</v>
      </c>
      <c r="AZ84" s="180">
        <f>$F84*(VLOOKUP(AZ$4, Rates_previous!$G$6:$Q$29, 10, FALSE)+VLOOKUP(AZ$4, Rates_previous!$G$6:$Q$29, 11, FALSE))</f>
        <v>49218.507055026654</v>
      </c>
      <c r="BA84" s="180">
        <f>$F84*(VLOOKUP(BA$4, Rates_previous!$G$6:$Q$29, 10, FALSE)+VLOOKUP(BA$4, Rates_previous!$G$6:$Q$29, 11, FALSE))</f>
        <v>58756.958275452227</v>
      </c>
      <c r="BB84" s="180">
        <f>$F84*(VLOOKUP(BB$4, Rates_previous!$G$6:$Q$29, 10, FALSE)+VLOOKUP(BB$4, Rates_previous!$G$6:$Q$29, 11, FALSE))</f>
        <v>45616.955851702245</v>
      </c>
      <c r="BC84" s="180">
        <f>$F84*(VLOOKUP(BC$4, Rates_previous!$G$6:$Q$29, 10, FALSE)+VLOOKUP(BC$4, Rates_previous!$G$6:$Q$29, 11, FALSE))</f>
        <v>63202.62802698739</v>
      </c>
      <c r="BD84" s="180">
        <f>$F84*(VLOOKUP(BD$4, Rates_previous!$G$6:$Q$29, 10, FALSE)+VLOOKUP(BD$4, Rates_previous!$G$6:$Q$29, 11, FALSE))</f>
        <v>67533.331456225569</v>
      </c>
      <c r="BE84" s="180">
        <f>$F84*(VLOOKUP(BE$4, Rates_previous!$G$6:$Q$29, 10, FALSE)+VLOOKUP(BE$4, Rates_previous!$G$6:$Q$29, 11, FALSE))</f>
        <v>64119.840200470222</v>
      </c>
      <c r="BF84" s="180">
        <f>$F84*(VLOOKUP(BF$4, Rates_previous!$G$6:$Q$29, 10, FALSE)+VLOOKUP(BF$4, Rates_previous!$G$6:$Q$29, 11, FALSE))</f>
        <v>61966.878965453529</v>
      </c>
      <c r="BG84" s="180">
        <f>$F84*(VLOOKUP(BG$4, Rates_previous!$G$6:$Q$29, 10, FALSE)+VLOOKUP(BG$4, Rates_previous!$G$6:$Q$29, 11, FALSE))</f>
        <v>57263.855955209663</v>
      </c>
      <c r="BH84" s="298">
        <f>IF($D84=0,IF(C84=0, MAX(BJ84 - (VLOOKUP($A84,TOCA_previous!$A$2:$AI$137,MATCH("RHWM 2022",TOCA_previous!$A$2:$AI$2,0),FALSE)*$F$2*TOCA_previous!C81),0),0), 0)</f>
        <v>18399.261777027161</v>
      </c>
      <c r="BI84" s="192">
        <f>MIN(VLOOKUP($A84,TOCA_previous!$A$2:$AI$137,MATCH("TRL - NLSL - Existing Resource "&amp;$F$1,TOCA_previous!$A$2:$AI$2,0),FALSE)*$F$2,(VLOOKUP($A84,TOCA_previous!$A$2:$AI$137,MATCH("RHWM 2022",TOCA_previous!$A$2:$AI$2,0),FALSE)*$F$2))</f>
        <v>718941.96</v>
      </c>
      <c r="BJ84" s="402">
        <f>SUM(L84:AI84)+(F84*RT1SC!$C$3*$F$2)</f>
        <v>737341.22177702712</v>
      </c>
      <c r="BK84" s="401">
        <f>VLOOKUP($A84,TOCA_previous!$A$2:$AI$137,MATCH("Above RHWM Not Served with LS "&amp;$F$1,TOCA_previous!$A$2:$AI$2,0),FALSE)*$F$2</f>
        <v>140746.92000000001</v>
      </c>
      <c r="BL84" s="402">
        <f t="shared" si="27"/>
        <v>18399.261777027161</v>
      </c>
      <c r="BM84" s="401">
        <f>(VLOOKUP($A84,TOCA_previous!$A$2:$AI$137,MATCH("RHWM 2022",TOCA_previous!$A$2:$AI$2,0),FALSE)*$F$2) - $BI84</f>
        <v>0</v>
      </c>
      <c r="BN84" s="402">
        <f t="shared" si="28"/>
        <v>0</v>
      </c>
      <c r="BO84" s="401">
        <f t="shared" si="29"/>
        <v>0</v>
      </c>
      <c r="BP84" s="402">
        <f t="shared" si="30"/>
        <v>0</v>
      </c>
      <c r="BQ84" s="401">
        <f t="shared" si="21"/>
        <v>0</v>
      </c>
      <c r="BR84" s="108">
        <f>VLOOKUP($A84,TOCA_current!$A$2:$AI$137,MATCH(BR$4,TOCA_current!$A$2:$AI$2,0),FALSE)</f>
        <v>1.21809E-2</v>
      </c>
      <c r="BS84" s="108">
        <f>VLOOKUP($A84,TOCA_current!$A$2:$AI$137,MATCH(BS$4,TOCA_current!$A$2:$AI$2,0),FALSE)</f>
        <v>1.21809E-2</v>
      </c>
      <c r="BT84" s="189">
        <f t="shared" si="31"/>
        <v>0</v>
      </c>
      <c r="BU84" s="108">
        <f>VLOOKUP($A84,TOCA_current!A80:BG215,MATCH(BU$4,TOCA_current!$A$2:$BG$2,0),FALSE)</f>
        <v>6.9711522815500138E-2</v>
      </c>
      <c r="BV84" s="108">
        <f t="shared" si="22"/>
        <v>0</v>
      </c>
      <c r="BW84" s="108">
        <f t="shared" si="23"/>
        <v>0</v>
      </c>
      <c r="BX84" s="179">
        <f>VLOOKUP($A84,IRD!$A$4:$G$139, 7, FALSE)</f>
        <v>0</v>
      </c>
      <c r="BY84" s="180">
        <f t="array" ref="BY84">IF($BT84=0, INDEX(LS_current!$D$4:$AY$138, MATCH('Staging Table'!$A84, LS_current!$B$4:$B$138, 0), MATCH(BY$4&amp;BY$5, LS_current!$D$2:$AY$2&amp;LS_current!$D$3:$AY$3, 0)),SUM(VLOOKUP($A84, LS_current!$B$4:$AY$138, LS_current!D$148, FALSE), VLOOKUP($A84, LS_current!$B$4:$AY$138,LS_current!AB$148, FALSE))/2)</f>
        <v>2195.9414418875931</v>
      </c>
      <c r="BZ84" s="180">
        <f t="array" ref="BZ84">IF($BT84=0, INDEX(LS_current!$D$4:$AY$138, MATCH('Staging Table'!$A84, LS_current!$B$4:$B$138, 0), MATCH(BZ$4&amp;BZ$5, LS_current!$D$2:$AY$2&amp;LS_current!$D$3:$AY$3, 0)),SUM(VLOOKUP($A84, LS_current!$B$4:$AY$138, LS_current!E$148, FALSE), VLOOKUP($A84, LS_current!$B$4:$AY$138,LS_current!AC$148, FALSE))/2)</f>
        <v>610.16081965705234</v>
      </c>
      <c r="CA84" s="180">
        <f t="array" ref="CA84">IF($BT84=0, INDEX(LS_current!$D$4:$AY$138, MATCH('Staging Table'!$A84, LS_current!$B$4:$B$138, 0), MATCH(CA$4&amp;CA$5, LS_current!$D$2:$AY$2&amp;LS_current!$D$3:$AY$3, 0)),SUM(VLOOKUP($A84, LS_current!$B$4:$AY$138, LS_current!F$148, FALSE), VLOOKUP($A84, LS_current!$B$4:$AY$138,LS_current!AD$148, FALSE))/2)</f>
        <v>2646.8703063647918</v>
      </c>
      <c r="CB84" s="180">
        <f t="array" ref="CB84">IF($BT84=0, INDEX(LS_current!$D$4:$AY$138, MATCH('Staging Table'!$A84, LS_current!$B$4:$B$138, 0), MATCH(CB$4&amp;CB$5, LS_current!$D$2:$AY$2&amp;LS_current!$D$3:$AY$3, 0)),SUM(VLOOKUP($A84, LS_current!$B$4:$AY$138, LS_current!G$148, FALSE), VLOOKUP($A84, LS_current!$B$4:$AY$138,LS_current!AE$148, FALSE))/2)</f>
        <v>6342.5729836521023</v>
      </c>
      <c r="CC84" s="180">
        <f t="array" ref="CC84">IF($BT84=0, INDEX(LS_current!$D$4:$AY$138, MATCH('Staging Table'!$A84, LS_current!$B$4:$B$138, 0), MATCH(CC$4&amp;CC$5, LS_current!$D$2:$AY$2&amp;LS_current!$D$3:$AY$3, 0)),SUM(VLOOKUP($A84, LS_current!$B$4:$AY$138, LS_current!H$148, FALSE), VLOOKUP($A84, LS_current!$B$4:$AY$138,LS_current!AF$148, FALSE))/2)</f>
        <v>17798.337261814908</v>
      </c>
      <c r="CD84" s="180">
        <f t="array" ref="CD84">IF($BT84=0, INDEX(LS_current!$D$4:$AY$138, MATCH('Staging Table'!$A84, LS_current!$B$4:$B$138, 0), MATCH(CD$4&amp;CD$5, LS_current!$D$2:$AY$2&amp;LS_current!$D$3:$AY$3, 0)),SUM(VLOOKUP($A84, LS_current!$B$4:$AY$138, LS_current!I$148, FALSE), VLOOKUP($A84, LS_current!$B$4:$AY$138,LS_current!AG$148, FALSE))/2)</f>
        <v>17277.433388393601</v>
      </c>
      <c r="CE84" s="180">
        <f t="array" ref="CE84">IF($BT84=0, INDEX(LS_current!$D$4:$AY$138, MATCH('Staging Table'!$A84, LS_current!$B$4:$B$138, 0), MATCH(CE$4&amp;CE$5, LS_current!$D$2:$AY$2&amp;LS_current!$D$3:$AY$3, 0)),SUM(VLOOKUP($A84, LS_current!$B$4:$AY$138, LS_current!J$148, FALSE), VLOOKUP($A84, LS_current!$B$4:$AY$138,LS_current!AH$148, FALSE))/2)</f>
        <v>15011.469788756505</v>
      </c>
      <c r="CF84" s="180">
        <f t="array" ref="CF84">IF($BT84=0, INDEX(LS_current!$D$4:$AY$138, MATCH('Staging Table'!$A84, LS_current!$B$4:$B$138, 0), MATCH(CF$4&amp;CF$5, LS_current!$D$2:$AY$2&amp;LS_current!$D$3:$AY$3, 0)),SUM(VLOOKUP($A84, LS_current!$B$4:$AY$138, LS_current!K$148, FALSE), VLOOKUP($A84, LS_current!$B$4:$AY$138,LS_current!AI$148, FALSE))/2)</f>
        <v>17169.984482553897</v>
      </c>
      <c r="CG84" s="180">
        <f t="array" ref="CG84">IF($BT84=0, INDEX(LS_current!$D$4:$AY$138, MATCH('Staging Table'!$A84, LS_current!$B$4:$B$138, 0), MATCH(CG$4&amp;CG$5, LS_current!$D$2:$AY$2&amp;LS_current!$D$3:$AY$3, 0)),SUM(VLOOKUP($A84, LS_current!$B$4:$AY$138, LS_current!L$148, FALSE), VLOOKUP($A84, LS_current!$B$4:$AY$138,LS_current!AJ$148, FALSE))/2)</f>
        <v>10448.512197488904</v>
      </c>
      <c r="CH84" s="180">
        <f t="array" ref="CH84">IF($BT84=0, INDEX(LS_current!$D$4:$AY$138, MATCH('Staging Table'!$A84, LS_current!$B$4:$B$138, 0), MATCH(CH$4&amp;CH$5, LS_current!$D$2:$AY$2&amp;LS_current!$D$3:$AY$3, 0)),SUM(VLOOKUP($A84, LS_current!$B$4:$AY$138, LS_current!M$148, FALSE), VLOOKUP($A84, LS_current!$B$4:$AY$138,LS_current!AK$148, FALSE))/2)</f>
        <v>14098.326227616904</v>
      </c>
      <c r="CI84" s="180">
        <f t="array" ref="CI84">IF($BT84=0, INDEX(LS_current!$D$4:$AY$138, MATCH('Staging Table'!$A84, LS_current!$B$4:$B$138, 0), MATCH(CI$4&amp;CI$5, LS_current!$D$2:$AY$2&amp;LS_current!$D$3:$AY$3, 0)),SUM(VLOOKUP($A84, LS_current!$B$4:$AY$138, LS_current!N$148, FALSE), VLOOKUP($A84, LS_current!$B$4:$AY$138,LS_current!AL$148, FALSE))/2)</f>
        <v>3418.9802764583001</v>
      </c>
      <c r="CJ84" s="180">
        <f t="array" ref="CJ84">IF($BT84=0, INDEX(LS_current!$D$4:$AY$138, MATCH('Staging Table'!$A84, LS_current!$B$4:$B$138, 0), MATCH(CJ$4&amp;CJ$5, LS_current!$D$2:$AY$2&amp;LS_current!$D$3:$AY$3, 0)),SUM(VLOOKUP($A84, LS_current!$B$4:$AY$138, LS_current!O$148, FALSE), VLOOKUP($A84, LS_current!$B$4:$AY$138,LS_current!AM$148, FALSE))/2)</f>
        <v>4339.3659643598003</v>
      </c>
      <c r="CK84" s="180">
        <f t="array" ref="CK84">IF($BT84=0, INDEX(LS_current!$D$4:$AY$138, MATCH('Staging Table'!$A84, LS_current!$B$4:$B$138, 0), MATCH(CK$4&amp;CK$5, LS_current!$D$2:$AY$2&amp;LS_current!$D$3:$AY$3, 0)),SUM(VLOOKUP($A84, LS_current!$B$4:$AY$138, LS_current!P$148, FALSE), VLOOKUP($A84, LS_current!$B$4:$AY$138,LS_current!AN$148, FALSE))/2)</f>
        <v>1242.0671030502563</v>
      </c>
      <c r="CL84" s="180">
        <f t="array" ref="CL84">IF($BT84=0, INDEX(LS_current!$D$4:$AY$138, MATCH('Staging Table'!$A84, LS_current!$B$4:$B$138, 0), MATCH(CL$4&amp;CL$5, LS_current!$D$2:$AY$2&amp;LS_current!$D$3:$AY$3, 0)),SUM(VLOOKUP($A84, LS_current!$B$4:$AY$138, LS_current!Q$148, FALSE), VLOOKUP($A84, LS_current!$B$4:$AY$138,LS_current!AO$148, FALSE))/2)</f>
        <v>2517.2188437694276</v>
      </c>
      <c r="CM84" s="180">
        <f t="array" ref="CM84">IF($BT84=0, INDEX(LS_current!$D$4:$AY$138, MATCH('Staging Table'!$A84, LS_current!$B$4:$B$138, 0), MATCH(CM$4&amp;CM$5, LS_current!$D$2:$AY$2&amp;LS_current!$D$3:$AY$3, 0)),SUM(VLOOKUP($A84, LS_current!$B$4:$AY$138, LS_current!R$148, FALSE), VLOOKUP($A84, LS_current!$B$4:$AY$138,LS_current!AP$148, FALSE))/2)</f>
        <v>-16525.059843803203</v>
      </c>
      <c r="CN84" s="180">
        <f t="array" ref="CN84">IF($BT84=0, INDEX(LS_current!$D$4:$AY$138, MATCH('Staging Table'!$A84, LS_current!$B$4:$B$138, 0), MATCH(CN$4&amp;CN$5, LS_current!$D$2:$AY$2&amp;LS_current!$D$3:$AY$3, 0)),SUM(VLOOKUP($A84, LS_current!$B$4:$AY$138, LS_current!S$148, FALSE), VLOOKUP($A84, LS_current!$B$4:$AY$138,LS_current!AQ$148, FALSE))/2)</f>
        <v>-9412.5397127726501</v>
      </c>
      <c r="CO84" s="180">
        <f t="array" ref="CO84">IF($BT84=0, INDEX(LS_current!$D$4:$AY$138, MATCH('Staging Table'!$A84, LS_current!$B$4:$B$138, 0), MATCH(CO$4&amp;CO$5, LS_current!$D$2:$AY$2&amp;LS_current!$D$3:$AY$3, 0)),SUM(VLOOKUP($A84, LS_current!$B$4:$AY$138, LS_current!T$148, FALSE), VLOOKUP($A84, LS_current!$B$4:$AY$138,LS_current!AR$148, FALSE))/2)</f>
        <v>-19741.887545813399</v>
      </c>
      <c r="CP84" s="180">
        <f t="array" ref="CP84">IF($BT84=0, INDEX(LS_current!$D$4:$AY$138, MATCH('Staging Table'!$A84, LS_current!$B$4:$B$138, 0), MATCH(CP$4&amp;CP$5, LS_current!$D$2:$AY$2&amp;LS_current!$D$3:$AY$3, 0)),SUM(VLOOKUP($A84, LS_current!$B$4:$AY$138, LS_current!U$148, FALSE), VLOOKUP($A84, LS_current!$B$4:$AY$138,LS_current!AS$148, FALSE))/2)</f>
        <v>-13069.09851135905</v>
      </c>
      <c r="CQ84" s="180">
        <f t="array" ref="CQ84">IF($BT84=0, INDEX(LS_current!$D$4:$AY$138, MATCH('Staging Table'!$A84, LS_current!$B$4:$B$138, 0), MATCH(CQ$4&amp;CQ$5, LS_current!$D$2:$AY$2&amp;LS_current!$D$3:$AY$3, 0)),SUM(VLOOKUP($A84, LS_current!$B$4:$AY$138, LS_current!V$148, FALSE), VLOOKUP($A84, LS_current!$B$4:$AY$138,LS_current!AT$148, FALSE))/2)</f>
        <v>-13373.708214107599</v>
      </c>
      <c r="CR84" s="180">
        <f t="array" ref="CR84">IF($BT84=0, INDEX(LS_current!$D$4:$AY$138, MATCH('Staging Table'!$A84, LS_current!$B$4:$B$138, 0), MATCH(CR$4&amp;CR$5, LS_current!$D$2:$AY$2&amp;LS_current!$D$3:$AY$3, 0)),SUM(VLOOKUP($A84, LS_current!$B$4:$AY$138, LS_current!W$148, FALSE), VLOOKUP($A84, LS_current!$B$4:$AY$138,LS_current!AU$148, FALSE))/2)</f>
        <v>-7961.1918533147473</v>
      </c>
      <c r="CS84" s="180">
        <f t="array" ref="CS84">IF($BT84=0, INDEX(LS_current!$D$4:$AY$138, MATCH('Staging Table'!$A84, LS_current!$B$4:$B$138, 0), MATCH(CS$4&amp;CS$5, LS_current!$D$2:$AY$2&amp;LS_current!$D$3:$AY$3, 0)),SUM(VLOOKUP($A84, LS_current!$B$4:$AY$138, LS_current!X$148, FALSE), VLOOKUP($A84, LS_current!$B$4:$AY$138,LS_current!AV$148, FALSE))/2)</f>
        <v>-11517.461750024348</v>
      </c>
      <c r="CT84" s="180">
        <f t="array" ref="CT84">IF($BT84=0, INDEX(LS_current!$D$4:$AY$138, MATCH('Staging Table'!$A84, LS_current!$B$4:$B$138, 0), MATCH(CT$4&amp;CT$5, LS_current!$D$2:$AY$2&amp;LS_current!$D$3:$AY$3, 0)),SUM(VLOOKUP($A84, LS_current!$B$4:$AY$138, LS_current!Y$148, FALSE), VLOOKUP($A84, LS_current!$B$4:$AY$138,LS_current!AW$148, FALSE))/2)</f>
        <v>-7476.4385768448628</v>
      </c>
      <c r="CU84" s="180">
        <f t="array" ref="CU84">IF($BT84=0, INDEX(LS_current!$D$4:$AY$138, MATCH('Staging Table'!$A84, LS_current!$B$4:$B$138, 0), MATCH(CU$4&amp;CU$5, LS_current!$D$2:$AY$2&amp;LS_current!$D$3:$AY$3, 0)),SUM(VLOOKUP($A84, LS_current!$B$4:$AY$138, LS_current!Z$148, FALSE), VLOOKUP($A84, LS_current!$B$4:$AY$138,LS_current!AX$148, FALSE))/2)</f>
        <v>-8829.0906217666015</v>
      </c>
      <c r="CV84" s="180">
        <f t="array" ref="CV84">IF($BT84=0, INDEX(LS_current!$D$4:$AY$138, MATCH('Staging Table'!$A84, LS_current!$B$4:$B$138, 0), MATCH(CV$4&amp;CV$5, LS_current!$D$2:$AY$2&amp;LS_current!$D$3:$AY$3, 0)),SUM(VLOOKUP($A84, LS_current!$B$4:$AY$138, LS_current!AA$148, FALSE), VLOOKUP($A84, LS_current!$B$4:$AY$138,LS_current!AY$148, FALSE))/2)</f>
        <v>-7207.6857189136008</v>
      </c>
      <c r="CW84" s="182">
        <f t="array" ref="CW84">INDEX(Demand_current!$D$4:$AY$138, MATCH($A84, Demand_current!$B$4:$B$138, 0), MATCH(CW$4&amp;CW$5,Demand_current!$D$2:$AY$2&amp;Demand_current!$D$3:$AY$3, 0))/1000</f>
        <v>12.398444711538477</v>
      </c>
      <c r="CX84" s="182">
        <f t="array" ref="CX84">INDEX(Demand_current!$D$4:$AY$138, MATCH($A84, Demand_current!$B$4:$B$138, 0), MATCH(CX$4&amp;CX$5,Demand_current!$D$2:$AY$2&amp;Demand_current!$D$3:$AY$3, 0))/1000</f>
        <v>17.959840000000007</v>
      </c>
      <c r="CY84" s="182">
        <f t="array" ref="CY84">INDEX(Demand_current!$D$4:$AY$138, MATCH($A84, Demand_current!$B$4:$B$138, 0), MATCH(CY$4&amp;CY$5,Demand_current!$D$2:$AY$2&amp;Demand_current!$D$3:$AY$3, 0))/1000</f>
        <v>14.832445</v>
      </c>
      <c r="CZ84" s="182">
        <f t="array" ref="CZ84">INDEX(Demand_current!$D$4:$AY$138, MATCH($A84, Demand_current!$B$4:$B$138, 0), MATCH(CZ$4&amp;CZ$5,Demand_current!$D$2:$AY$2&amp;Demand_current!$D$3:$AY$3, 0))/1000</f>
        <v>38.260526442307693</v>
      </c>
      <c r="DA84" s="182">
        <f t="array" ref="DA84">INDEX(Demand_current!$D$4:$AY$138, MATCH($A84, Demand_current!$B$4:$B$138, 0), MATCH(DA$4&amp;DA$5,Demand_current!$D$2:$AY$2&amp;Demand_current!$D$3:$AY$3, 0))/1000</f>
        <v>15.28792</v>
      </c>
      <c r="DB84" s="182">
        <f t="array" ref="DB84">INDEX(Demand_current!$D$4:$AY$138, MATCH($A84, Demand_current!$B$4:$B$138, 0), MATCH(DB$4&amp;DB$5,Demand_current!$D$2:$AY$2&amp;Demand_current!$D$3:$AY$3, 0))/1000</f>
        <v>19.50195192307693</v>
      </c>
      <c r="DC84" s="182">
        <f t="array" ref="DC84">INDEX(Demand_current!$D$4:$AY$138, MATCH($A84, Demand_current!$B$4:$B$138, 0), MATCH(DC$4&amp;DC$5,Demand_current!$D$2:$AY$2&amp;Demand_current!$D$3:$AY$3, 0))/1000</f>
        <v>23.487682692307693</v>
      </c>
      <c r="DD84" s="182">
        <f t="array" ref="DD84">INDEX(Demand_current!$D$4:$AY$138, MATCH($A84, Demand_current!$B$4:$B$138, 0), MATCH(DD$4&amp;DD$5,Demand_current!$D$2:$AY$2&amp;Demand_current!$D$3:$AY$3, 0))/1000</f>
        <v>18.14376923076923</v>
      </c>
      <c r="DE84" s="182">
        <f t="array" ref="DE84">INDEX(Demand_current!$D$4:$AY$138, MATCH($A84, Demand_current!$B$4:$B$138, 0), MATCH(DE$4&amp;DE$5,Demand_current!$D$2:$AY$2&amp;Demand_current!$D$3:$AY$3, 0))/1000</f>
        <v>13.420967499999982</v>
      </c>
      <c r="DF84" s="182">
        <f t="array" ref="DF84">INDEX(Demand_current!$D$4:$AY$138, MATCH($A84, Demand_current!$B$4:$B$138, 0), MATCH(DF$4&amp;DF$5,Demand_current!$D$2:$AY$2&amp;Demand_current!$D$3:$AY$3, 0))/1000</f>
        <v>14.479954326923073</v>
      </c>
      <c r="DG84" s="182">
        <f t="array" ref="DG84">INDEX(Demand_current!$D$4:$AY$138, MATCH($A84, Demand_current!$B$4:$B$138, 0), MATCH(DG$4&amp;DG$5,Demand_current!$D$2:$AY$2&amp;Demand_current!$D$3:$AY$3, 0))/1000</f>
        <v>11.689395833333334</v>
      </c>
      <c r="DH84" s="182">
        <f t="array" ref="DH84">INDEX(Demand_current!$D$4:$AY$138, MATCH($A84, Demand_current!$B$4:$B$138, 0), MATCH(DH$4&amp;DH$5,Demand_current!$D$2:$AY$2&amp;Demand_current!$D$3:$AY$3, 0))/1000</f>
        <v>16.324575520833331</v>
      </c>
      <c r="DI84" s="180">
        <f>$BS84*(VLOOKUP(DI$4, Rates_current!$G$6:$Q$29, 10, FALSE)+VLOOKUP(DI$4, Rates_current!$G$6:$Q$29, 11, FALSE))</f>
        <v>51388.826738455347</v>
      </c>
      <c r="DJ84" s="180">
        <f>$BS84*(VLOOKUP(DJ$4, Rates_current!$G$6:$Q$29, 10, FALSE)+VLOOKUP(DJ$4, Rates_current!$G$6:$Q$29, 11, FALSE))</f>
        <v>65537.699709983106</v>
      </c>
      <c r="DK84" s="180">
        <f>$BS84*(VLOOKUP(DK$4, Rates_current!$G$6:$Q$29, 10, FALSE)+VLOOKUP(DK$4, Rates_current!$G$6:$Q$29, 11, FALSE))</f>
        <v>70728.145349791506</v>
      </c>
      <c r="DL84" s="180">
        <f>$BS84*(VLOOKUP(DL$4, Rates_current!$G$6:$Q$29, 10, FALSE)+VLOOKUP(DL$4, Rates_current!$G$6:$Q$29, 11, FALSE))</f>
        <v>73497.476728689595</v>
      </c>
      <c r="DM84" s="180">
        <f>$BS84*(VLOOKUP(DM$4, Rates_current!$G$6:$Q$29, 10, FALSE)+VLOOKUP(DM$4, Rates_current!$G$6:$Q$29, 11, FALSE))</f>
        <v>63217.626574894195</v>
      </c>
      <c r="DN84" s="180">
        <f>$BS84*(VLOOKUP(DN$4, Rates_current!$G$6:$Q$29, 10, FALSE)+VLOOKUP(DN$4, Rates_current!$G$6:$Q$29, 11, FALSE))</f>
        <v>69021.131759181895</v>
      </c>
      <c r="DO84" s="180">
        <f>$BS84*(VLOOKUP(DO$4, Rates_current!$G$6:$Q$29, 10, FALSE)+VLOOKUP(DO$4, Rates_current!$G$6:$Q$29, 11, FALSE))</f>
        <v>54480.552053180319</v>
      </c>
      <c r="DP84" s="180">
        <f>$BS84*(VLOOKUP(DP$4, Rates_current!$G$6:$Q$29, 10, FALSE)+VLOOKUP(DP$4, Rates_current!$G$6:$Q$29, 11, FALSE))</f>
        <v>67590.42555657585</v>
      </c>
      <c r="DQ84" s="180">
        <f>$BS84*(VLOOKUP(DQ$4, Rates_current!$G$6:$Q$29, 10, FALSE)+VLOOKUP(DQ$4, Rates_current!$G$6:$Q$29, 11, FALSE))</f>
        <v>69056.96905717245</v>
      </c>
      <c r="DR84" s="180">
        <f>$BS84*(VLOOKUP(DR$4, Rates_current!$G$6:$Q$29, 10, FALSE)+VLOOKUP(DR$4, Rates_current!$G$6:$Q$29, 11, FALSE))</f>
        <v>59951.398067422349</v>
      </c>
      <c r="DS84" s="180">
        <f>$BS84*(VLOOKUP(DS$4, Rates_current!$G$6:$Q$29, 10, FALSE)+VLOOKUP(DS$4, Rates_current!$G$6:$Q$29, 11, FALSE))</f>
        <v>57957.066326869222</v>
      </c>
      <c r="DT84" s="180">
        <f>$BS84*(VLOOKUP(DT$4, Rates_current!$G$6:$Q$29, 10, FALSE)+VLOOKUP(DT$4, Rates_current!$G$6:$Q$29, 11, FALSE))</f>
        <v>53331.724340680208</v>
      </c>
      <c r="DU84" s="402">
        <f>IF(D84=0,IF(C84=0,MAX(0,DW84 - (VLOOKUP($A84,TOCA_current!$A$2:$AI$137,MATCH("RHWM 2024",TOCA_current!$A$2:$AI$2,0),FALSE)*$BS$2)), 0),0)</f>
        <v>4.3324642478255555</v>
      </c>
      <c r="DV84" s="403">
        <f>MIN(VLOOKUP($A84,TOCA_current!$A$2:$AI$137,MATCH("TRL - NLSL - Existing Resource "&amp;$BS$1,TOCA_current!$A$2:$AI$2,0),FALSE)*$BS$2, VLOOKUP($A84,TOCA_current!$A$2:$AI$137,MATCH("RHWM 2024",TOCA_current!$A$2:$AI$2,0),FALSE)*$BS$2)</f>
        <v>755757.79200000002</v>
      </c>
      <c r="DW84" s="403">
        <f>SUM(BY84:CV84)+(BS84*RT1SC!$C$4*$BS$2)</f>
        <v>755762.12446424784</v>
      </c>
      <c r="DX84" s="403">
        <f>VLOOKUP($A84,TOCA_current!$A$2:$AI$137,MATCH("Above RHWM Not Served with LS "&amp;$BS$1,TOCA_current!$A$2:$AI$2,0),FALSE)*$BS$2</f>
        <v>122325.984</v>
      </c>
      <c r="DY84" s="403">
        <f t="shared" si="32"/>
        <v>4.3324642478255555</v>
      </c>
      <c r="DZ84" s="403">
        <f>(VLOOKUP($A84,TOCA_current!$A$2:$AI$137,MATCH("RHWM 2024",TOCA_current!$A$2:$AI$2,0),FALSE)*$BS$2) - $DV84</f>
        <v>0</v>
      </c>
      <c r="EA84" s="403">
        <f t="shared" si="33"/>
        <v>0</v>
      </c>
      <c r="EB84" s="403">
        <f t="shared" si="34"/>
        <v>0</v>
      </c>
      <c r="EC84" s="403">
        <f t="shared" si="35"/>
        <v>0</v>
      </c>
      <c r="ED84" s="403">
        <f t="shared" si="36"/>
        <v>0</v>
      </c>
    </row>
    <row r="85" spans="1:134">
      <c r="A85" s="123">
        <v>10246</v>
      </c>
      <c r="B85" s="124" t="s">
        <v>86</v>
      </c>
      <c r="C85" s="232">
        <f>VLOOKUP(A85, TOCA_current!$A$3:$D$137, 4, FALSE)</f>
        <v>0</v>
      </c>
      <c r="D85" s="191">
        <v>0</v>
      </c>
      <c r="E85" s="107">
        <f>VLOOKUP($A85,TOCA_previous!$A$2:$AI$137,MATCH(E$4,TOCA_previous!$A$2:$AI$2,0),FALSE)</f>
        <v>1.2726E-3</v>
      </c>
      <c r="F85" s="108">
        <f>VLOOKUP($A85,TOCA_previous!$A$2:$AI$137,MATCH(F$4,TOCA_previous!$A$2:$AI$2,0),FALSE)</f>
        <v>1.2726E-3</v>
      </c>
      <c r="G85" s="108">
        <f t="shared" si="24"/>
        <v>0</v>
      </c>
      <c r="H85" s="108">
        <f>VLOOKUP($A85,TOCA_previous!$A$2:$AI$137,MATCH(H$4,TOCA_previous!$A$2:$AI$2,0),FALSE)</f>
        <v>6.1949999999999998E-2</v>
      </c>
      <c r="I85" s="108">
        <f t="shared" si="25"/>
        <v>0</v>
      </c>
      <c r="J85" s="108">
        <f t="shared" si="26"/>
        <v>0</v>
      </c>
      <c r="K85" s="179">
        <f>VLOOKUP(A85, IRD!$A$5:$C$139, 3, FALSE)</f>
        <v>0</v>
      </c>
      <c r="L85" s="180">
        <f t="array" ref="L85">IF($G85=0, INDEX(LS_previous!$D$4:$AY$138, MATCH('Staging Table'!$A85, LS_previous!$B$4:$B$138, 0), MATCH(L$4&amp;L$5, LS_previous!$D$2:$AY$2&amp;LS_previous!$D$3:$AY$3, 0)),SUM(VLOOKUP($A85, LS_previous!$B$4:$AY$138, LS_previous!D$149, FALSE), VLOOKUP('Staging Table'!$A85, LS_previous!$B$4:$AY$138,LS_previous!AB$149, FALSE))/2)</f>
        <v>-31.170690647877109</v>
      </c>
      <c r="M85" s="180">
        <f t="array" ref="M85">IF($G85=0, INDEX(LS_previous!$D$4:$AY$138, MATCH('Staging Table'!$A85, LS_previous!$B$4:$B$138, 0), MATCH(M$4&amp;M$5, LS_previous!$D$2:$AY$2&amp;LS_previous!$D$3:$AY$3, 0)),SUM(VLOOKUP($A85, LS_previous!$B$4:$AY$138, LS_previous!E$149, FALSE), VLOOKUP('Staging Table'!$A85, LS_previous!$B$4:$AY$138,LS_previous!AC$149, FALSE))/2)</f>
        <v>348.6354727848834</v>
      </c>
      <c r="N85" s="180">
        <f t="array" ref="N85">IF($G85=0, INDEX(LS_previous!$D$4:$AY$138, MATCH('Staging Table'!$A85, LS_previous!$B$4:$B$138, 0), MATCH(N$4&amp;N$5, LS_previous!$D$2:$AY$2&amp;LS_previous!$D$3:$AY$3, 0)),SUM(VLOOKUP($A85, LS_previous!$B$4:$AY$138, LS_previous!F$149, FALSE), VLOOKUP('Staging Table'!$A85, LS_previous!$B$4:$AY$138,LS_previous!AD$149, FALSE))/2)</f>
        <v>78.192975951070366</v>
      </c>
      <c r="O85" s="180">
        <f t="array" ref="O85">IF($G85=0, INDEX(LS_previous!$D$4:$AY$138, MATCH('Staging Table'!$A85, LS_previous!$B$4:$B$138, 0), MATCH(O$4&amp;O$5, LS_previous!$D$2:$AY$2&amp;LS_previous!$D$3:$AY$3, 0)),SUM(VLOOKUP($A85, LS_previous!$B$4:$AY$138, LS_previous!G$149, FALSE), VLOOKUP('Staging Table'!$A85, LS_previous!$B$4:$AY$138,LS_previous!AE$149, FALSE))/2)</f>
        <v>308.83923744483536</v>
      </c>
      <c r="P85" s="180">
        <f t="array" ref="P85">IF($G85=0, INDEX(LS_previous!$D$4:$AY$138, MATCH('Staging Table'!$A85, LS_previous!$B$4:$B$138, 0), MATCH(P$4&amp;P$5, LS_previous!$D$2:$AY$2&amp;LS_previous!$D$3:$AY$3, 0)),SUM(VLOOKUP($A85, LS_previous!$B$4:$AY$138, LS_previous!H$149, FALSE), VLOOKUP('Staging Table'!$A85, LS_previous!$B$4:$AY$138,LS_previous!AF$149, FALSE))/2)</f>
        <v>1208.0935565755408</v>
      </c>
      <c r="Q85" s="180">
        <f t="array" ref="Q85">IF($G85=0, INDEX(LS_previous!$D$4:$AY$138, MATCH('Staging Table'!$A85, LS_previous!$B$4:$B$138, 0), MATCH(Q$4&amp;Q$5, LS_previous!$D$2:$AY$2&amp;LS_previous!$D$3:$AY$3, 0)),SUM(VLOOKUP($A85, LS_previous!$B$4:$AY$138, LS_previous!I$149, FALSE), VLOOKUP('Staging Table'!$A85, LS_previous!$B$4:$AY$138,LS_previous!AG$149, FALSE))/2)</f>
        <v>882.57839093089615</v>
      </c>
      <c r="R85" s="180">
        <f t="array" ref="R85">IF($G85=0, INDEX(LS_previous!$D$4:$AY$138, MATCH('Staging Table'!$A85, LS_previous!$B$4:$B$138, 0), MATCH(R$4&amp;R$5, LS_previous!$D$2:$AY$2&amp;LS_previous!$D$3:$AY$3, 0)),SUM(VLOOKUP($A85, LS_previous!$B$4:$AY$138, LS_previous!J$149, FALSE), VLOOKUP('Staging Table'!$A85, LS_previous!$B$4:$AY$138,LS_previous!AH$149, FALSE))/2)</f>
        <v>2178.6836417072982</v>
      </c>
      <c r="S85" s="180">
        <f t="array" ref="S85">IF($G85=0, INDEX(LS_previous!$D$4:$AY$138, MATCH('Staging Table'!$A85, LS_previous!$B$4:$B$138, 0), MATCH(S$4&amp;S$5, LS_previous!$D$2:$AY$2&amp;LS_previous!$D$3:$AY$3, 0)),SUM(VLOOKUP($A85, LS_previous!$B$4:$AY$138, LS_previous!K$149, FALSE), VLOOKUP('Staging Table'!$A85, LS_previous!$B$4:$AY$138,LS_previous!AI$149, FALSE))/2)</f>
        <v>1239.5657130434934</v>
      </c>
      <c r="T85" s="180">
        <f t="array" ref="T85">IF($G85=0, INDEX(LS_previous!$D$4:$AY$138, MATCH('Staging Table'!$A85, LS_previous!$B$4:$B$138, 0), MATCH(T$4&amp;T$5, LS_previous!$D$2:$AY$2&amp;LS_previous!$D$3:$AY$3, 0)),SUM(VLOOKUP($A85, LS_previous!$B$4:$AY$138, LS_previous!L$149, FALSE), VLOOKUP('Staging Table'!$A85, LS_previous!$B$4:$AY$138,LS_previous!AJ$149, FALSE))/2)</f>
        <v>2053.9651511716661</v>
      </c>
      <c r="U85" s="180">
        <f t="array" ref="U85">IF($G85=0, INDEX(LS_previous!$D$4:$AY$138, MATCH('Staging Table'!$A85, LS_previous!$B$4:$B$138, 0), MATCH(U$4&amp;U$5, LS_previous!$D$2:$AY$2&amp;LS_previous!$D$3:$AY$3, 0)),SUM(VLOOKUP($A85, LS_previous!$B$4:$AY$138, LS_previous!M$149, FALSE), VLOOKUP('Staging Table'!$A85, LS_previous!$B$4:$AY$138,LS_previous!AK$149, FALSE))/2)</f>
        <v>1102.3333633583106</v>
      </c>
      <c r="V85" s="180">
        <f t="array" ref="V85">IF($G85=0, INDEX(LS_previous!$D$4:$AY$138, MATCH('Staging Table'!$A85, LS_previous!$B$4:$B$138, 0), MATCH(V$4&amp;V$5, LS_previous!$D$2:$AY$2&amp;LS_previous!$D$3:$AY$3, 0)),SUM(VLOOKUP($A85, LS_previous!$B$4:$AY$138, LS_previous!N$149, FALSE), VLOOKUP('Staging Table'!$A85, LS_previous!$B$4:$AY$138,LS_previous!AL$149, FALSE))/2)</f>
        <v>489.46036878098539</v>
      </c>
      <c r="W85" s="180">
        <f t="array" ref="W85">IF($G85=0, INDEX(LS_previous!$D$4:$AY$138, MATCH('Staging Table'!$A85, LS_previous!$B$4:$B$138, 0), MATCH(W$4&amp;W$5, LS_previous!$D$2:$AY$2&amp;LS_previous!$D$3:$AY$3, 0)),SUM(VLOOKUP($A85, LS_previous!$B$4:$AY$138, LS_previous!O$149, FALSE), VLOOKUP('Staging Table'!$A85, LS_previous!$B$4:$AY$138,LS_previous!AM$149, FALSE))/2)</f>
        <v>665.79239191270972</v>
      </c>
      <c r="X85" s="180">
        <f t="array" ref="X85">IF($G85=0, INDEX(LS_previous!$D$4:$AY$138, MATCH('Staging Table'!$A85, LS_previous!$B$4:$B$138, 0), MATCH(X$4&amp;X$5, LS_previous!$D$2:$AY$2&amp;LS_previous!$D$3:$AY$3, 0)),SUM(VLOOKUP($A85, LS_previous!$B$4:$AY$138, LS_previous!P$149, FALSE), VLOOKUP('Staging Table'!$A85, LS_previous!$B$4:$AY$138,LS_previous!AN$149, FALSE))/2)</f>
        <v>821.88867126586501</v>
      </c>
      <c r="Y85" s="180">
        <f t="array" ref="Y85">IF($G85=0, INDEX(LS_previous!$D$4:$AY$138, MATCH('Staging Table'!$A85, LS_previous!$B$4:$B$138, 0), MATCH(Y$4&amp;Y$5, LS_previous!$D$2:$AY$2&amp;LS_previous!$D$3:$AY$3, 0)),SUM(VLOOKUP($A85, LS_previous!$B$4:$AY$138, LS_previous!Q$149, FALSE), VLOOKUP('Staging Table'!$A85, LS_previous!$B$4:$AY$138,LS_previous!AO$149, FALSE))/2)</f>
        <v>553.91792271308259</v>
      </c>
      <c r="Z85" s="180">
        <f t="array" ref="Z85">IF($G85=0, INDEX(LS_previous!$D$4:$AY$138, MATCH('Staging Table'!$A85, LS_previous!$B$4:$B$138, 0), MATCH(Z$4&amp;Z$5, LS_previous!$D$2:$AY$2&amp;LS_previous!$D$3:$AY$3, 0)),SUM(VLOOKUP($A85, LS_previous!$B$4:$AY$138, LS_previous!R$149, FALSE), VLOOKUP('Staging Table'!$A85, LS_previous!$B$4:$AY$138,LS_previous!AP$149, FALSE))/2)</f>
        <v>-1779.1121312972018</v>
      </c>
      <c r="AA85" s="180">
        <f t="array" ref="AA85">IF($G85=0, INDEX(LS_previous!$D$4:$AY$138, MATCH('Staging Table'!$A85, LS_previous!$B$4:$B$138, 0), MATCH(AA$4&amp;AA$5, LS_previous!$D$2:$AY$2&amp;LS_previous!$D$3:$AY$3, 0)),SUM(VLOOKUP($A85, LS_previous!$B$4:$AY$138, LS_previous!S$149, FALSE), VLOOKUP('Staging Table'!$A85, LS_previous!$B$4:$AY$138,LS_previous!AQ$149, FALSE))/2)</f>
        <v>-402.08713302725505</v>
      </c>
      <c r="AB85" s="180">
        <f t="array" ref="AB85">IF($G85=0, INDEX(LS_previous!$D$4:$AY$138, MATCH('Staging Table'!$A85, LS_previous!$B$4:$B$138, 0), MATCH(AB$4&amp;AB$5, LS_previous!$D$2:$AY$2&amp;LS_previous!$D$3:$AY$3, 0)),SUM(VLOOKUP($A85, LS_previous!$B$4:$AY$138, LS_previous!T$149, FALSE), VLOOKUP('Staging Table'!$A85, LS_previous!$B$4:$AY$138,LS_previous!AR$149, FALSE))/2)</f>
        <v>-2419.1554249832648</v>
      </c>
      <c r="AC85" s="180">
        <f t="array" ref="AC85">IF($G85=0, INDEX(LS_previous!$D$4:$AY$138, MATCH('Staging Table'!$A85, LS_previous!$B$4:$B$138, 0), MATCH(AC$4&amp;AC$5, LS_previous!$D$2:$AY$2&amp;LS_previous!$D$3:$AY$3, 0)),SUM(VLOOKUP($A85, LS_previous!$B$4:$AY$138, LS_previous!U$149, FALSE), VLOOKUP('Staging Table'!$A85, LS_previous!$B$4:$AY$138,LS_previous!AS$149, FALSE))/2)</f>
        <v>-247.69711945811559</v>
      </c>
      <c r="AD85" s="180">
        <f t="array" ref="AD85">IF($G85=0, INDEX(LS_previous!$D$4:$AY$138, MATCH('Staging Table'!$A85, LS_previous!$B$4:$B$138, 0), MATCH(AD$4&amp;AD$5, LS_previous!$D$2:$AY$2&amp;LS_previous!$D$3:$AY$3, 0)),SUM(VLOOKUP($A85, LS_previous!$B$4:$AY$138, LS_previous!V$149, FALSE), VLOOKUP('Staging Table'!$A85, LS_previous!$B$4:$AY$138,LS_previous!AT$149, FALSE))/2)</f>
        <v>-1596.2718060109896</v>
      </c>
      <c r="AE85" s="180">
        <f t="array" ref="AE85">IF($G85=0, INDEX(LS_previous!$D$4:$AY$138, MATCH('Staging Table'!$A85, LS_previous!$B$4:$B$138, 0), MATCH(AE$4&amp;AE$5, LS_previous!$D$2:$AY$2&amp;LS_previous!$D$3:$AY$3, 0)),SUM(VLOOKUP($A85, LS_previous!$B$4:$AY$138, LS_previous!W$149, FALSE), VLOOKUP('Staging Table'!$A85, LS_previous!$B$4:$AY$138,LS_previous!AU$149, FALSE))/2)</f>
        <v>-434.31035890478893</v>
      </c>
      <c r="AF85" s="180">
        <f t="array" ref="AF85">IF($G85=0, INDEX(LS_previous!$D$4:$AY$138, MATCH('Staging Table'!$A85, LS_previous!$B$4:$B$138, 0), MATCH(AF$4&amp;AF$5, LS_previous!$D$2:$AY$2&amp;LS_previous!$D$3:$AY$3, 0)),SUM(VLOOKUP($A85, LS_previous!$B$4:$AY$138, LS_previous!X$149, FALSE), VLOOKUP('Staging Table'!$A85, LS_previous!$B$4:$AY$138,LS_previous!AV$149, FALSE))/2)</f>
        <v>-1368.8007989916205</v>
      </c>
      <c r="AG85" s="180">
        <f t="array" ref="AG85">IF($G85=0, INDEX(LS_previous!$D$4:$AY$138, MATCH('Staging Table'!$A85, LS_previous!$B$4:$B$138, 0), MATCH(AG$4&amp;AG$5, LS_previous!$D$2:$AY$2&amp;LS_previous!$D$3:$AY$3, 0)),SUM(VLOOKUP($A85, LS_previous!$B$4:$AY$138, LS_previous!Y$149, FALSE), VLOOKUP('Staging Table'!$A85, LS_previous!$B$4:$AY$138,LS_previous!AW$149, FALSE))/2)</f>
        <v>-430.87996669880545</v>
      </c>
      <c r="AH85" s="180">
        <f t="array" ref="AH85">IF($G85=0, INDEX(LS_previous!$D$4:$AY$138, MATCH('Staging Table'!$A85, LS_previous!$B$4:$B$138, 0), MATCH(AH$4&amp;AH$5, LS_previous!$D$2:$AY$2&amp;LS_previous!$D$3:$AY$3, 0)),SUM(VLOOKUP($A85, LS_previous!$B$4:$AY$138, LS_previous!Z$149, FALSE), VLOOKUP('Staging Table'!$A85, LS_previous!$B$4:$AY$138,LS_previous!AX$149, FALSE))/2)</f>
        <v>-1231.6691230850647</v>
      </c>
      <c r="AI85" s="180">
        <f t="array" ref="AI85">IF($G85=0, INDEX(LS_previous!$D$4:$AY$138, MATCH('Staging Table'!$A85, LS_previous!$B$4:$B$138, 0), MATCH(AI$4&amp;AI$5, LS_previous!$D$2:$AY$2&amp;LS_previous!$D$3:$AY$3, 0)),SUM(VLOOKUP($A85, LS_previous!$B$4:$AY$138, LS_previous!AA$149, FALSE), VLOOKUP('Staging Table'!$A85, LS_previous!$B$4:$AY$138,LS_previous!AY$149, FALSE))/2)</f>
        <v>-239.00092239520927</v>
      </c>
      <c r="AJ85" s="298">
        <f t="array" ref="AJ85">INDEX(Demand_previous!$D$4:$AY$138, MATCH('Staging Table'!$A85, Demand_previous!$B$4:$B$138, 0), MATCH(AJ$4&amp;AJ$5,Demand_previous!$D$2:$AY$2&amp;Demand_previous!$D$3:$AY$3, 0))/1000</f>
        <v>0.89755048076923327</v>
      </c>
      <c r="AK85" s="298">
        <f t="array" ref="AK85">INDEX(Demand_previous!$D$4:$AY$138, MATCH('Staging Table'!$A85, Demand_previous!$B$4:$B$138, 0), MATCH(AK$4&amp;AK$5,Demand_previous!$D$2:$AY$2&amp;Demand_previous!$D$3:$AY$3, 0))/1000</f>
        <v>1.3765449999999992</v>
      </c>
      <c r="AL85" s="298">
        <f t="array" ref="AL85">INDEX(Demand_previous!$D$4:$AY$138, MATCH('Staging Table'!$A85, Demand_previous!$B$4:$B$138, 0), MATCH(AL$4&amp;AL$5,Demand_previous!$D$2:$AY$2&amp;Demand_previous!$D$3:$AY$3, 0))/1000</f>
        <v>4.714149038461537</v>
      </c>
      <c r="AM85" s="298">
        <f t="array" ref="AM85">INDEX(Demand_previous!$D$4:$AY$138, MATCH('Staging Table'!$A85, Demand_previous!$B$4:$B$138, 0), MATCH(AM$4&amp;AM$5,Demand_previous!$D$2:$AY$2&amp;Demand_previous!$D$3:$AY$3, 0))/1000</f>
        <v>2.9542899999999999</v>
      </c>
      <c r="AN85" s="298">
        <f t="array" ref="AN85">INDEX(Demand_previous!$D$4:$AY$138, MATCH('Staging Table'!$A85, Demand_previous!$B$4:$B$138, 0), MATCH(AN$4&amp;AN$5,Demand_previous!$D$2:$AY$2&amp;Demand_previous!$D$3:$AY$3, 0))/1000</f>
        <v>2.2520546875000029</v>
      </c>
      <c r="AO85" s="298">
        <f t="array" ref="AO85">INDEX(Demand_previous!$D$4:$AY$138, MATCH('Staging Table'!$A85, Demand_previous!$B$4:$B$138, 0), MATCH(AO$4&amp;AO$5,Demand_previous!$D$2:$AY$2&amp;Demand_previous!$D$3:$AY$3, 0))/1000</f>
        <v>3.823682870370372</v>
      </c>
      <c r="AP85" s="298">
        <f t="array" ref="AP85">INDEX(Demand_previous!$D$4:$AY$138, MATCH('Staging Table'!$A85, Demand_previous!$B$4:$B$138, 0), MATCH(AP$4&amp;AP$5,Demand_previous!$D$2:$AY$2&amp;Demand_previous!$D$3:$AY$3, 0))/1000</f>
        <v>2.7581538461538488</v>
      </c>
      <c r="AQ85" s="298">
        <f t="array" ref="AQ85">INDEX(Demand_previous!$D$4:$AY$138, MATCH('Staging Table'!$A85, Demand_previous!$B$4:$B$138, 0), MATCH(AQ$4&amp;AQ$5,Demand_previous!$D$2:$AY$2&amp;Demand_previous!$D$3:$AY$3, 0))/1000</f>
        <v>1.4791800000000013</v>
      </c>
      <c r="AR85" s="298">
        <f t="array" ref="AR85">INDEX(Demand_previous!$D$4:$AY$138, MATCH('Staging Table'!$A85, Demand_previous!$B$4:$B$138, 0), MATCH(AR$4&amp;AR$5,Demand_previous!$D$2:$AY$2&amp;Demand_previous!$D$3:$AY$3, 0))/1000</f>
        <v>2.7109927884615379</v>
      </c>
      <c r="AS85" s="298">
        <f t="array" ref="AS85">INDEX(Demand_previous!$D$4:$AY$138, MATCH('Staging Table'!$A85, Demand_previous!$B$4:$B$138, 0), MATCH(AS$4&amp;AS$5,Demand_previous!$D$2:$AY$2&amp;Demand_previous!$D$3:$AY$3, 0))/1000</f>
        <v>1.3774424999999997</v>
      </c>
      <c r="AT85" s="298">
        <f t="array" ref="AT85">INDEX(Demand_previous!$D$4:$AY$138, MATCH('Staging Table'!$A85, Demand_previous!$B$4:$B$138, 0), MATCH(AT$4&amp;AT$5,Demand_previous!$D$2:$AY$2&amp;Demand_previous!$D$3:$AY$3, 0))/1000</f>
        <v>2.2692592592592584</v>
      </c>
      <c r="AU85" s="298">
        <f t="array" ref="AU85">INDEX(Demand_previous!$D$4:$AY$138, MATCH('Staging Table'!$A85, Demand_previous!$B$4:$B$138, 0), MATCH(AU$4&amp;AU$5,Demand_previous!$D$2:$AY$2&amp;Demand_previous!$D$3:$AY$3, 0))/1000</f>
        <v>0.70967500000000028</v>
      </c>
      <c r="AV85" s="180">
        <f>$F85*(VLOOKUP(AV$4, Rates_previous!$G$6:$Q$29, 10, FALSE)+VLOOKUP(AV$4, Rates_previous!$G$6:$Q$29, 11, FALSE))</f>
        <v>5795.3242178629935</v>
      </c>
      <c r="AW85" s="180">
        <f>$F85*(VLOOKUP(AW$4, Rates_previous!$G$6:$Q$29, 10, FALSE)+VLOOKUP(AW$4, Rates_previous!$G$6:$Q$29, 11, FALSE))</f>
        <v>7337.0907866040952</v>
      </c>
      <c r="AX85" s="180">
        <f>$F85*(VLOOKUP(AX$4, Rates_previous!$G$6:$Q$29, 10, FALSE)+VLOOKUP(AX$4, Rates_previous!$G$6:$Q$29, 11, FALSE))</f>
        <v>7181.5460524935634</v>
      </c>
      <c r="AY85" s="180">
        <f>$F85*(VLOOKUP(AY$4, Rates_previous!$G$6:$Q$29, 10, FALSE)+VLOOKUP(AY$4, Rates_previous!$G$6:$Q$29, 11, FALSE))</f>
        <v>5931.6516452492078</v>
      </c>
      <c r="AZ85" s="180">
        <f>$F85*(VLOOKUP(AZ$4, Rates_previous!$G$6:$Q$29, 10, FALSE)+VLOOKUP(AZ$4, Rates_previous!$G$6:$Q$29, 11, FALSE))</f>
        <v>5141.0924854700224</v>
      </c>
      <c r="BA85" s="180">
        <f>$F85*(VLOOKUP(BA$4, Rates_previous!$G$6:$Q$29, 10, FALSE)+VLOOKUP(BA$4, Rates_previous!$G$6:$Q$29, 11, FALSE))</f>
        <v>6137.4262393063054</v>
      </c>
      <c r="BB85" s="180">
        <f>$F85*(VLOOKUP(BB$4, Rates_previous!$G$6:$Q$29, 10, FALSE)+VLOOKUP(BB$4, Rates_previous!$G$6:$Q$29, 11, FALSE))</f>
        <v>4764.8944060210524</v>
      </c>
      <c r="BC85" s="180">
        <f>$F85*(VLOOKUP(BC$4, Rates_previous!$G$6:$Q$29, 10, FALSE)+VLOOKUP(BC$4, Rates_previous!$G$6:$Q$29, 11, FALSE))</f>
        <v>6601.7962643244573</v>
      </c>
      <c r="BD85" s="180">
        <f>$F85*(VLOOKUP(BD$4, Rates_previous!$G$6:$Q$29, 10, FALSE)+VLOOKUP(BD$4, Rates_previous!$G$6:$Q$29, 11, FALSE))</f>
        <v>7054.1575444413802</v>
      </c>
      <c r="BE85" s="180">
        <f>$F85*(VLOOKUP(BE$4, Rates_previous!$G$6:$Q$29, 10, FALSE)+VLOOKUP(BE$4, Rates_previous!$G$6:$Q$29, 11, FALSE))</f>
        <v>6697.6031649157794</v>
      </c>
      <c r="BF85" s="180">
        <f>$F85*(VLOOKUP(BF$4, Rates_previous!$G$6:$Q$29, 10, FALSE)+VLOOKUP(BF$4, Rates_previous!$G$6:$Q$29, 11, FALSE))</f>
        <v>6472.7167656904257</v>
      </c>
      <c r="BG85" s="180">
        <f>$F85*(VLOOKUP(BG$4, Rates_previous!$G$6:$Q$29, 10, FALSE)+VLOOKUP(BG$4, Rates_previous!$G$6:$Q$29, 11, FALSE))</f>
        <v>5981.4650454802741</v>
      </c>
      <c r="BH85" s="298">
        <f>IF($D85=0,IF(C85=0, MAX(BJ85 - (VLOOKUP($A85,TOCA_previous!$A$2:$AI$137,MATCH("RHWM 2022",TOCA_previous!$A$2:$AI$2,0),FALSE)*$F$2*TOCA_previous!C82),0),0), 0)</f>
        <v>1749.0798415244499</v>
      </c>
      <c r="BI85" s="192">
        <f>MIN(VLOOKUP($A85,TOCA_previous!$A$2:$AI$137,MATCH("TRL - NLSL - Existing Resource "&amp;$F$1,TOCA_previous!$A$2:$AI$2,0),FALSE)*$F$2,(VLOOKUP($A85,TOCA_previous!$A$2:$AI$137,MATCH("RHWM 2022",TOCA_previous!$A$2:$AI$2,0),FALSE)*$F$2))</f>
        <v>75099.48000000001</v>
      </c>
      <c r="BJ85" s="402">
        <f>SUM(L85:AI85)+(F85*RT1SC!$C$3*$F$2)</f>
        <v>76848.55984152446</v>
      </c>
      <c r="BK85" s="401">
        <f>VLOOKUP($A85,TOCA_previous!$A$2:$AI$137,MATCH("Above RHWM Not Served with LS "&amp;$F$1,TOCA_previous!$A$2:$AI$2,0),FALSE)*$F$2</f>
        <v>9487.08</v>
      </c>
      <c r="BL85" s="402">
        <f t="shared" si="27"/>
        <v>1749.0798415244499</v>
      </c>
      <c r="BM85" s="401">
        <f>(VLOOKUP($A85,TOCA_previous!$A$2:$AI$137,MATCH("RHWM 2022",TOCA_previous!$A$2:$AI$2,0),FALSE)*$F$2) - $BI85</f>
        <v>0</v>
      </c>
      <c r="BN85" s="402">
        <f t="shared" si="28"/>
        <v>0</v>
      </c>
      <c r="BO85" s="401">
        <f t="shared" si="29"/>
        <v>0</v>
      </c>
      <c r="BP85" s="402">
        <f t="shared" si="30"/>
        <v>0</v>
      </c>
      <c r="BQ85" s="401">
        <f t="shared" si="21"/>
        <v>0</v>
      </c>
      <c r="BR85" s="108">
        <f>VLOOKUP($A85,TOCA_current!$A$2:$AI$137,MATCH(BR$4,TOCA_current!$A$2:$AI$2,0),FALSE)</f>
        <v>1.2723000000000001E-3</v>
      </c>
      <c r="BS85" s="108">
        <f>VLOOKUP($A85,TOCA_current!$A$2:$AI$137,MATCH(BS$4,TOCA_current!$A$2:$AI$2,0),FALSE)</f>
        <v>1.2723000000000001E-3</v>
      </c>
      <c r="BT85" s="189">
        <f t="shared" si="31"/>
        <v>0</v>
      </c>
      <c r="BU85" s="108">
        <f>VLOOKUP($A85,TOCA_current!A81:BG216,MATCH(BU$4,TOCA_current!$A$2:$BG$2,0),FALSE)</f>
        <v>0</v>
      </c>
      <c r="BV85" s="108">
        <f t="shared" si="22"/>
        <v>0</v>
      </c>
      <c r="BW85" s="108">
        <f t="shared" si="23"/>
        <v>0</v>
      </c>
      <c r="BX85" s="179">
        <f>VLOOKUP($A85,IRD!$A$4:$G$139, 7, FALSE)</f>
        <v>0</v>
      </c>
      <c r="BY85" s="180">
        <f t="array" ref="BY85">IF($BT85=0, INDEX(LS_current!$D$4:$AY$138, MATCH('Staging Table'!$A85, LS_current!$B$4:$B$138, 0), MATCH(BY$4&amp;BY$5, LS_current!$D$2:$AY$2&amp;LS_current!$D$3:$AY$3, 0)),SUM(VLOOKUP($A85, LS_current!$B$4:$AY$138, LS_current!D$148, FALSE), VLOOKUP($A85, LS_current!$B$4:$AY$138,LS_current!AB$148, FALSE))/2)</f>
        <v>888.88045299719897</v>
      </c>
      <c r="BZ85" s="180">
        <f t="array" ref="BZ85">IF($BT85=0, INDEX(LS_current!$D$4:$AY$138, MATCH('Staging Table'!$A85, LS_current!$B$4:$B$138, 0), MATCH(BZ$4&amp;BZ$5, LS_current!$D$2:$AY$2&amp;LS_current!$D$3:$AY$3, 0)),SUM(VLOOKUP($A85, LS_current!$B$4:$AY$138, LS_current!E$148, FALSE), VLOOKUP($A85, LS_current!$B$4:$AY$138,LS_current!AC$148, FALSE))/2)</f>
        <v>662.07652124635024</v>
      </c>
      <c r="CA85" s="180">
        <f t="array" ref="CA85">IF($BT85=0, INDEX(LS_current!$D$4:$AY$138, MATCH('Staging Table'!$A85, LS_current!$B$4:$B$138, 0), MATCH(CA$4&amp;CA$5, LS_current!$D$2:$AY$2&amp;LS_current!$D$3:$AY$3, 0)),SUM(VLOOKUP($A85, LS_current!$B$4:$AY$138, LS_current!F$148, FALSE), VLOOKUP($A85, LS_current!$B$4:$AY$138,LS_current!AD$148, FALSE))/2)</f>
        <v>860.3747725855992</v>
      </c>
      <c r="CB85" s="180">
        <f t="array" ref="CB85">IF($BT85=0, INDEX(LS_current!$D$4:$AY$138, MATCH('Staging Table'!$A85, LS_current!$B$4:$B$138, 0), MATCH(CB$4&amp;CB$5, LS_current!$D$2:$AY$2&amp;LS_current!$D$3:$AY$3, 0)),SUM(VLOOKUP($A85, LS_current!$B$4:$AY$138, LS_current!G$148, FALSE), VLOOKUP($A85, LS_current!$B$4:$AY$138,LS_current!AE$148, FALSE))/2)</f>
        <v>799.1516177786998</v>
      </c>
      <c r="CC85" s="180">
        <f t="array" ref="CC85">IF($BT85=0, INDEX(LS_current!$D$4:$AY$138, MATCH('Staging Table'!$A85, LS_current!$B$4:$B$138, 0), MATCH(CC$4&amp;CC$5, LS_current!$D$2:$AY$2&amp;LS_current!$D$3:$AY$3, 0)),SUM(VLOOKUP($A85, LS_current!$B$4:$AY$138, LS_current!H$148, FALSE), VLOOKUP($A85, LS_current!$B$4:$AY$138,LS_current!AF$148, FALSE))/2)</f>
        <v>1282.2079942702994</v>
      </c>
      <c r="CD85" s="180">
        <f t="array" ref="CD85">IF($BT85=0, INDEX(LS_current!$D$4:$AY$138, MATCH('Staging Table'!$A85, LS_current!$B$4:$B$138, 0), MATCH(CD$4&amp;CD$5, LS_current!$D$2:$AY$2&amp;LS_current!$D$3:$AY$3, 0)),SUM(VLOOKUP($A85, LS_current!$B$4:$AY$138, LS_current!I$148, FALSE), VLOOKUP($A85, LS_current!$B$4:$AY$138,LS_current!AG$148, FALSE))/2)</f>
        <v>1408.1782205792001</v>
      </c>
      <c r="CE85" s="180">
        <f t="array" ref="CE85">IF($BT85=0, INDEX(LS_current!$D$4:$AY$138, MATCH('Staging Table'!$A85, LS_current!$B$4:$B$138, 0), MATCH(CE$4&amp;CE$5, LS_current!$D$2:$AY$2&amp;LS_current!$D$3:$AY$3, 0)),SUM(VLOOKUP($A85, LS_current!$B$4:$AY$138, LS_current!J$148, FALSE), VLOOKUP($A85, LS_current!$B$4:$AY$138,LS_current!AH$148, FALSE))/2)</f>
        <v>1233.3634310054995</v>
      </c>
      <c r="CF85" s="180">
        <f t="array" ref="CF85">IF($BT85=0, INDEX(LS_current!$D$4:$AY$138, MATCH('Staging Table'!$A85, LS_current!$B$4:$B$138, 0), MATCH(CF$4&amp;CF$5, LS_current!$D$2:$AY$2&amp;LS_current!$D$3:$AY$3, 0)),SUM(VLOOKUP($A85, LS_current!$B$4:$AY$138, LS_current!K$148, FALSE), VLOOKUP($A85, LS_current!$B$4:$AY$138,LS_current!AI$148, FALSE))/2)</f>
        <v>1245.4479857032993</v>
      </c>
      <c r="CG85" s="180">
        <f t="array" ref="CG85">IF($BT85=0, INDEX(LS_current!$D$4:$AY$138, MATCH('Staging Table'!$A85, LS_current!$B$4:$B$138, 0), MATCH(CG$4&amp;CG$5, LS_current!$D$2:$AY$2&amp;LS_current!$D$3:$AY$3, 0)),SUM(VLOOKUP($A85, LS_current!$B$4:$AY$138, LS_current!L$148, FALSE), VLOOKUP($A85, LS_current!$B$4:$AY$138,LS_current!AJ$148, FALSE))/2)</f>
        <v>1257.6502431482995</v>
      </c>
      <c r="CH85" s="180">
        <f t="array" ref="CH85">IF($BT85=0, INDEX(LS_current!$D$4:$AY$138, MATCH('Staging Table'!$A85, LS_current!$B$4:$B$138, 0), MATCH(CH$4&amp;CH$5, LS_current!$D$2:$AY$2&amp;LS_current!$D$3:$AY$3, 0)),SUM(VLOOKUP($A85, LS_current!$B$4:$AY$138, LS_current!M$148, FALSE), VLOOKUP($A85, LS_current!$B$4:$AY$138,LS_current!AK$148, FALSE))/2)</f>
        <v>1164.4097375642996</v>
      </c>
      <c r="CI85" s="180">
        <f t="array" ref="CI85">IF($BT85=0, INDEX(LS_current!$D$4:$AY$138, MATCH('Staging Table'!$A85, LS_current!$B$4:$B$138, 0), MATCH(CI$4&amp;CI$5, LS_current!$D$2:$AY$2&amp;LS_current!$D$3:$AY$3, 0)),SUM(VLOOKUP($A85, LS_current!$B$4:$AY$138, LS_current!N$148, FALSE), VLOOKUP($A85, LS_current!$B$4:$AY$138,LS_current!AL$148, FALSE))/2)</f>
        <v>337.22091253009967</v>
      </c>
      <c r="CJ85" s="180">
        <f t="array" ref="CJ85">IF($BT85=0, INDEX(LS_current!$D$4:$AY$138, MATCH('Staging Table'!$A85, LS_current!$B$4:$B$138, 0), MATCH(CJ$4&amp;CJ$5, LS_current!$D$2:$AY$2&amp;LS_current!$D$3:$AY$3, 0)),SUM(VLOOKUP($A85, LS_current!$B$4:$AY$138, LS_current!O$148, FALSE), VLOOKUP($A85, LS_current!$B$4:$AY$138,LS_current!AM$148, FALSE))/2)</f>
        <v>550.84157185059985</v>
      </c>
      <c r="CK85" s="180">
        <f t="array" ref="CK85">IF($BT85=0, INDEX(LS_current!$D$4:$AY$138, MATCH('Staging Table'!$A85, LS_current!$B$4:$B$138, 0), MATCH(CK$4&amp;CK$5, LS_current!$D$2:$AY$2&amp;LS_current!$D$3:$AY$3, 0)),SUM(VLOOKUP($A85, LS_current!$B$4:$AY$138, LS_current!P$148, FALSE), VLOOKUP($A85, LS_current!$B$4:$AY$138,LS_current!AN$148, FALSE))/2)</f>
        <v>744.98458468674971</v>
      </c>
      <c r="CL85" s="180">
        <f t="array" ref="CL85">IF($BT85=0, INDEX(LS_current!$D$4:$AY$138, MATCH('Staging Table'!$A85, LS_current!$B$4:$B$138, 0), MATCH(CL$4&amp;CL$5, LS_current!$D$2:$AY$2&amp;LS_current!$D$3:$AY$3, 0)),SUM(VLOOKUP($A85, LS_current!$B$4:$AY$138, LS_current!Q$148, FALSE), VLOOKUP($A85, LS_current!$B$4:$AY$138,LS_current!AO$148, FALSE))/2)</f>
        <v>484.96041261547498</v>
      </c>
      <c r="CM85" s="180">
        <f t="array" ref="CM85">IF($BT85=0, INDEX(LS_current!$D$4:$AY$138, MATCH('Staging Table'!$A85, LS_current!$B$4:$B$138, 0), MATCH(CM$4&amp;CM$5, LS_current!$D$2:$AY$2&amp;LS_current!$D$3:$AY$3, 0)),SUM(VLOOKUP($A85, LS_current!$B$4:$AY$138, LS_current!R$148, FALSE), VLOOKUP($A85, LS_current!$B$4:$AY$138,LS_current!AP$148, FALSE))/2)</f>
        <v>-1187.2345757104003</v>
      </c>
      <c r="CN85" s="180">
        <f t="array" ref="CN85">IF($BT85=0, INDEX(LS_current!$D$4:$AY$138, MATCH('Staging Table'!$A85, LS_current!$B$4:$B$138, 0), MATCH(CN$4&amp;CN$5, LS_current!$D$2:$AY$2&amp;LS_current!$D$3:$AY$3, 0)),SUM(VLOOKUP($A85, LS_current!$B$4:$AY$138, LS_current!S$148, FALSE), VLOOKUP($A85, LS_current!$B$4:$AY$138,LS_current!AQ$148, FALSE))/2)</f>
        <v>-646.26409035954975</v>
      </c>
      <c r="CO85" s="180">
        <f t="array" ref="CO85">IF($BT85=0, INDEX(LS_current!$D$4:$AY$138, MATCH('Staging Table'!$A85, LS_current!$B$4:$B$138, 0), MATCH(CO$4&amp;CO$5, LS_current!$D$2:$AY$2&amp;LS_current!$D$3:$AY$3, 0)),SUM(VLOOKUP($A85, LS_current!$B$4:$AY$138, LS_current!T$148, FALSE), VLOOKUP($A85, LS_current!$B$4:$AY$138,LS_current!AR$148, FALSE))/2)</f>
        <v>-1467.5230842498004</v>
      </c>
      <c r="CP85" s="180">
        <f t="array" ref="CP85">IF($BT85=0, INDEX(LS_current!$D$4:$AY$138, MATCH('Staging Table'!$A85, LS_current!$B$4:$B$138, 0), MATCH(CP$4&amp;CP$5, LS_current!$D$2:$AY$2&amp;LS_current!$D$3:$AY$3, 0)),SUM(VLOOKUP($A85, LS_current!$B$4:$AY$138, LS_current!U$148, FALSE), VLOOKUP($A85, LS_current!$B$4:$AY$138,LS_current!AS$148, FALSE))/2)</f>
        <v>-578.44065184035026</v>
      </c>
      <c r="CQ85" s="180">
        <f t="array" ref="CQ85">IF($BT85=0, INDEX(LS_current!$D$4:$AY$138, MATCH('Staging Table'!$A85, LS_current!$B$4:$B$138, 0), MATCH(CQ$4&amp;CQ$5, LS_current!$D$2:$AY$2&amp;LS_current!$D$3:$AY$3, 0)),SUM(VLOOKUP($A85, LS_current!$B$4:$AY$138, LS_current!V$148, FALSE), VLOOKUP($A85, LS_current!$B$4:$AY$138,LS_current!AT$148, FALSE))/2)</f>
        <v>-604.36151333720045</v>
      </c>
      <c r="CR85" s="180">
        <f t="array" ref="CR85">IF($BT85=0, INDEX(LS_current!$D$4:$AY$138, MATCH('Staging Table'!$A85, LS_current!$B$4:$B$138, 0), MATCH(CR$4&amp;CR$5, LS_current!$D$2:$AY$2&amp;LS_current!$D$3:$AY$3, 0)),SUM(VLOOKUP($A85, LS_current!$B$4:$AY$138, LS_current!W$148, FALSE), VLOOKUP($A85, LS_current!$B$4:$AY$138,LS_current!AU$148, FALSE))/2)</f>
        <v>-184.81359896825006</v>
      </c>
      <c r="CS85" s="180">
        <f t="array" ref="CS85">IF($BT85=0, INDEX(LS_current!$D$4:$AY$138, MATCH('Staging Table'!$A85, LS_current!$B$4:$B$138, 0), MATCH(CS$4&amp;CS$5, LS_current!$D$2:$AY$2&amp;LS_current!$D$3:$AY$3, 0)),SUM(VLOOKUP($A85, LS_current!$B$4:$AY$138, LS_current!X$148, FALSE), VLOOKUP($A85, LS_current!$B$4:$AY$138,LS_current!AV$148, FALSE))/2)</f>
        <v>-382.13058519945071</v>
      </c>
      <c r="CT85" s="180">
        <f t="array" ref="CT85">IF($BT85=0, INDEX(LS_current!$D$4:$AY$138, MATCH('Staging Table'!$A85, LS_current!$B$4:$B$138, 0), MATCH(CT$4&amp;CT$5, LS_current!$D$2:$AY$2&amp;LS_current!$D$3:$AY$3, 0)),SUM(VLOOKUP($A85, LS_current!$B$4:$AY$138, LS_current!Y$148, FALSE), VLOOKUP($A85, LS_current!$B$4:$AY$138,LS_current!AW$148, FALSE))/2)</f>
        <v>-192.72075899315496</v>
      </c>
      <c r="CU85" s="180">
        <f t="array" ref="CU85">IF($BT85=0, INDEX(LS_current!$D$4:$AY$138, MATCH('Staging Table'!$A85, LS_current!$B$4:$B$138, 0), MATCH(CU$4&amp;CU$5, LS_current!$D$2:$AY$2&amp;LS_current!$D$3:$AY$3, 0)),SUM(VLOOKUP($A85, LS_current!$B$4:$AY$138, LS_current!Z$148, FALSE), VLOOKUP($A85, LS_current!$B$4:$AY$138,LS_current!AX$148, FALSE))/2)</f>
        <v>-308.05596601020079</v>
      </c>
      <c r="CV85" s="180">
        <f t="array" ref="CV85">IF($BT85=0, INDEX(LS_current!$D$4:$AY$138, MATCH('Staging Table'!$A85, LS_current!$B$4:$B$138, 0), MATCH(CV$4&amp;CV$5, LS_current!$D$2:$AY$2&amp;LS_current!$D$3:$AY$3, 0)),SUM(VLOOKUP($A85, LS_current!$B$4:$AY$138, LS_current!AA$148, FALSE), VLOOKUP($A85, LS_current!$B$4:$AY$138,LS_current!AY$148, FALSE))/2)</f>
        <v>28.090488980799819</v>
      </c>
      <c r="CW85" s="182">
        <f t="array" ref="CW85">INDEX(Demand_current!$D$4:$AY$138, MATCH($A85, Demand_current!$B$4:$B$138, 0), MATCH(CW$4&amp;CW$5,Demand_current!$D$2:$AY$2&amp;Demand_current!$D$3:$AY$3, 0))/1000</f>
        <v>0.89755048076923327</v>
      </c>
      <c r="CX85" s="182">
        <f t="array" ref="CX85">INDEX(Demand_current!$D$4:$AY$138, MATCH($A85, Demand_current!$B$4:$B$138, 0), MATCH(CX$4&amp;CX$5,Demand_current!$D$2:$AY$2&amp;Demand_current!$D$3:$AY$3, 0))/1000</f>
        <v>1.3765449999999992</v>
      </c>
      <c r="CY85" s="182">
        <f t="array" ref="CY85">INDEX(Demand_current!$D$4:$AY$138, MATCH($A85, Demand_current!$B$4:$B$138, 0), MATCH(CY$4&amp;CY$5,Demand_current!$D$2:$AY$2&amp;Demand_current!$D$3:$AY$3, 0))/1000</f>
        <v>4.1271949999999986</v>
      </c>
      <c r="CZ85" s="182">
        <f t="array" ref="CZ85">INDEX(Demand_current!$D$4:$AY$138, MATCH($A85, Demand_current!$B$4:$B$138, 0), MATCH(CZ$4&amp;CZ$5,Demand_current!$D$2:$AY$2&amp;Demand_current!$D$3:$AY$3, 0))/1000</f>
        <v>3.5798942307692303</v>
      </c>
      <c r="DA85" s="182">
        <f t="array" ref="DA85">INDEX(Demand_current!$D$4:$AY$138, MATCH($A85, Demand_current!$B$4:$B$138, 0), MATCH(DA$4&amp;DA$5,Demand_current!$D$2:$AY$2&amp;Demand_current!$D$3:$AY$3, 0))/1000</f>
        <v>2.8654125000000032</v>
      </c>
      <c r="DB85" s="182">
        <f t="array" ref="DB85">INDEX(Demand_current!$D$4:$AY$138, MATCH($A85, Demand_current!$B$4:$B$138, 0), MATCH(DB$4&amp;DB$5,Demand_current!$D$2:$AY$2&amp;Demand_current!$D$3:$AY$3, 0))/1000</f>
        <v>3.3702860576923088</v>
      </c>
      <c r="DC85" s="182">
        <f t="array" ref="DC85">INDEX(Demand_current!$D$4:$AY$138, MATCH($A85, Demand_current!$B$4:$B$138, 0), MATCH(DC$4&amp;DC$5,Demand_current!$D$2:$AY$2&amp;Demand_current!$D$3:$AY$3, 0))/1000</f>
        <v>2.7581538461538488</v>
      </c>
      <c r="DD85" s="182">
        <f t="array" ref="DD85">INDEX(Demand_current!$D$4:$AY$138, MATCH($A85, Demand_current!$B$4:$B$138, 0), MATCH(DD$4&amp;DD$5,Demand_current!$D$2:$AY$2&amp;Demand_current!$D$3:$AY$3, 0))/1000</f>
        <v>1.8046346153846162</v>
      </c>
      <c r="DE85" s="182">
        <f t="array" ref="DE85">INDEX(Demand_current!$D$4:$AY$138, MATCH($A85, Demand_current!$B$4:$B$138, 0), MATCH(DE$4&amp;DE$5,Demand_current!$D$2:$AY$2&amp;Demand_current!$D$3:$AY$3, 0))/1000</f>
        <v>2.4083124999999992</v>
      </c>
      <c r="DF85" s="182">
        <f t="array" ref="DF85">INDEX(Demand_current!$D$4:$AY$138, MATCH($A85, Demand_current!$B$4:$B$138, 0), MATCH(DF$4&amp;DF$5,Demand_current!$D$2:$AY$2&amp;Demand_current!$D$3:$AY$3, 0))/1000</f>
        <v>1.7003100961538464</v>
      </c>
      <c r="DG85" s="182">
        <f t="array" ref="DG85">INDEX(Demand_current!$D$4:$AY$138, MATCH($A85, Demand_current!$B$4:$B$138, 0), MATCH(DG$4&amp;DG$5,Demand_current!$D$2:$AY$2&amp;Demand_current!$D$3:$AY$3, 0))/1000</f>
        <v>2.2692592592592584</v>
      </c>
      <c r="DH85" s="182">
        <f t="array" ref="DH85">INDEX(Demand_current!$D$4:$AY$138, MATCH($A85, Demand_current!$B$4:$B$138, 0), MATCH(DH$4&amp;DH$5,Demand_current!$D$2:$AY$2&amp;Demand_current!$D$3:$AY$3, 0))/1000</f>
        <v>0.39520312500000054</v>
      </c>
      <c r="DI85" s="180">
        <f>$BS85*(VLOOKUP(DI$4, Rates_current!$G$6:$Q$29, 10, FALSE)+VLOOKUP(DI$4, Rates_current!$G$6:$Q$29, 11, FALSE))</f>
        <v>5367.5840257564505</v>
      </c>
      <c r="DJ85" s="180">
        <f>$BS85*(VLOOKUP(DJ$4, Rates_current!$G$6:$Q$29, 10, FALSE)+VLOOKUP(DJ$4, Rates_current!$G$6:$Q$29, 11, FALSE))</f>
        <v>6845.4396096357013</v>
      </c>
      <c r="DK85" s="180">
        <f>$BS85*(VLOOKUP(DK$4, Rates_current!$G$6:$Q$29, 10, FALSE)+VLOOKUP(DK$4, Rates_current!$G$6:$Q$29, 11, FALSE))</f>
        <v>7387.5837851505012</v>
      </c>
      <c r="DL85" s="180">
        <f>$BS85*(VLOOKUP(DL$4, Rates_current!$G$6:$Q$29, 10, FALSE)+VLOOKUP(DL$4, Rates_current!$G$6:$Q$29, 11, FALSE))</f>
        <v>7676.8415832912005</v>
      </c>
      <c r="DM85" s="180">
        <f>$BS85*(VLOOKUP(DM$4, Rates_current!$G$6:$Q$29, 10, FALSE)+VLOOKUP(DM$4, Rates_current!$G$6:$Q$29, 11, FALSE))</f>
        <v>6603.1070192873995</v>
      </c>
      <c r="DN85" s="180">
        <f>$BS85*(VLOOKUP(DN$4, Rates_current!$G$6:$Q$29, 10, FALSE)+VLOOKUP(DN$4, Rates_current!$G$6:$Q$29, 11, FALSE))</f>
        <v>7209.2855156193</v>
      </c>
      <c r="DO85" s="180">
        <f>$BS85*(VLOOKUP(DO$4, Rates_current!$G$6:$Q$29, 10, FALSE)+VLOOKUP(DO$4, Rates_current!$G$6:$Q$29, 11, FALSE))</f>
        <v>5690.5160026977746</v>
      </c>
      <c r="DP85" s="180">
        <f>$BS85*(VLOOKUP(DP$4, Rates_current!$G$6:$Q$29, 10, FALSE)+VLOOKUP(DP$4, Rates_current!$G$6:$Q$29, 11, FALSE))</f>
        <v>7059.8476660699507</v>
      </c>
      <c r="DQ85" s="180">
        <f>$BS85*(VLOOKUP(DQ$4, Rates_current!$G$6:$Q$29, 10, FALSE)+VLOOKUP(DQ$4, Rates_current!$G$6:$Q$29, 11, FALSE))</f>
        <v>7213.0287360901502</v>
      </c>
      <c r="DR85" s="180">
        <f>$BS85*(VLOOKUP(DR$4, Rates_current!$G$6:$Q$29, 10, FALSE)+VLOOKUP(DR$4, Rates_current!$G$6:$Q$29, 11, FALSE))</f>
        <v>6261.9481123054502</v>
      </c>
      <c r="DS85" s="180">
        <f>$BS85*(VLOOKUP(DS$4, Rates_current!$G$6:$Q$29, 10, FALSE)+VLOOKUP(DS$4, Rates_current!$G$6:$Q$29, 11, FALSE))</f>
        <v>6053.6393441926057</v>
      </c>
      <c r="DT85" s="180">
        <f>$BS85*(VLOOKUP(DT$4, Rates_current!$G$6:$Q$29, 10, FALSE)+VLOOKUP(DT$4, Rates_current!$G$6:$Q$29, 11, FALSE))</f>
        <v>5570.5204770294013</v>
      </c>
      <c r="DU85" s="402">
        <f>IF(D85=0,IF(C85=0,MAX(0,DW85 - (VLOOKUP($A85,TOCA_current!$A$2:$AI$137,MATCH("RHWM 2024",TOCA_current!$A$2:$AI$2,0),FALSE)*$BS$2)), 0),0)</f>
        <v>7393.8283618421119</v>
      </c>
      <c r="DV85" s="403">
        <f>MIN(VLOOKUP($A85,TOCA_current!$A$2:$AI$137,MATCH("TRL - NLSL - Existing Resource "&amp;$BS$1,TOCA_current!$A$2:$AI$2,0),FALSE)*$BS$2, VLOOKUP($A85,TOCA_current!$A$2:$AI$137,MATCH("RHWM 2024",TOCA_current!$A$2:$AI$2,0),FALSE)*$BS$2)</f>
        <v>78941.808000000005</v>
      </c>
      <c r="DW85" s="403">
        <f>SUM(BY85:CV85)+(BS85*RT1SC!$C$4*$BS$2)</f>
        <v>86335.636361842116</v>
      </c>
      <c r="DX85" s="403">
        <f>VLOOKUP($A85,TOCA_current!$A$2:$AI$137,MATCH("Above RHWM Not Served with LS "&amp;$BS$1,TOCA_current!$A$2:$AI$2,0),FALSE)*$BS$2</f>
        <v>0</v>
      </c>
      <c r="DY85" s="403">
        <f t="shared" si="32"/>
        <v>7393.8283618421119</v>
      </c>
      <c r="DZ85" s="403">
        <f>(VLOOKUP($A85,TOCA_current!$A$2:$AI$137,MATCH("RHWM 2024",TOCA_current!$A$2:$AI$2,0),FALSE)*$BS$2) - $DV85</f>
        <v>0</v>
      </c>
      <c r="EA85" s="403">
        <f t="shared" si="33"/>
        <v>0</v>
      </c>
      <c r="EB85" s="403">
        <f t="shared" si="34"/>
        <v>0</v>
      </c>
      <c r="EC85" s="403">
        <f t="shared" si="35"/>
        <v>0</v>
      </c>
      <c r="ED85" s="403">
        <f t="shared" si="36"/>
        <v>0</v>
      </c>
    </row>
    <row r="86" spans="1:134">
      <c r="A86" s="123">
        <v>10247</v>
      </c>
      <c r="B86" s="124" t="s">
        <v>87</v>
      </c>
      <c r="C86" s="232">
        <f>VLOOKUP(A86, TOCA_current!$A$3:$D$137, 4, FALSE)</f>
        <v>0</v>
      </c>
      <c r="D86" s="191">
        <v>0</v>
      </c>
      <c r="E86" s="107">
        <f>VLOOKUP($A86,TOCA_previous!$A$2:$AI$137,MATCH(E$4,TOCA_previous!$A$2:$AI$2,0),FALSE)</f>
        <v>1.13183E-2</v>
      </c>
      <c r="F86" s="108">
        <f>VLOOKUP($A86,TOCA_previous!$A$2:$AI$137,MATCH(F$4,TOCA_previous!$A$2:$AI$2,0),FALSE)</f>
        <v>1.13183E-2</v>
      </c>
      <c r="G86" s="108">
        <f t="shared" si="24"/>
        <v>0</v>
      </c>
      <c r="H86" s="108">
        <f>VLOOKUP($A86,TOCA_previous!$A$2:$AI$137,MATCH(H$4,TOCA_previous!$A$2:$AI$2,0),FALSE)</f>
        <v>5.108E-2</v>
      </c>
      <c r="I86" s="108">
        <f t="shared" si="25"/>
        <v>0</v>
      </c>
      <c r="J86" s="108">
        <f t="shared" si="26"/>
        <v>0</v>
      </c>
      <c r="K86" s="179">
        <f>VLOOKUP(A86, IRD!$A$5:$C$139, 3, FALSE)</f>
        <v>0</v>
      </c>
      <c r="L86" s="180">
        <f t="array" ref="L86">IF($G86=0, INDEX(LS_previous!$D$4:$AY$138, MATCH('Staging Table'!$A86, LS_previous!$B$4:$B$138, 0), MATCH(L$4&amp;L$5, LS_previous!$D$2:$AY$2&amp;LS_previous!$D$3:$AY$3, 0)),SUM(VLOOKUP($A86, LS_previous!$B$4:$AY$138, LS_previous!D$149, FALSE), VLOOKUP('Staging Table'!$A86, LS_previous!$B$4:$AY$138,LS_previous!AB$149, FALSE))/2)</f>
        <v>124.72354890785209</v>
      </c>
      <c r="M86" s="180">
        <f t="array" ref="M86">IF($G86=0, INDEX(LS_previous!$D$4:$AY$138, MATCH('Staging Table'!$A86, LS_previous!$B$4:$B$138, 0), MATCH(M$4&amp;M$5, LS_previous!$D$2:$AY$2&amp;LS_previous!$D$3:$AY$3, 0)),SUM(VLOOKUP($A86, LS_previous!$B$4:$AY$138, LS_previous!E$149, FALSE), VLOOKUP('Staging Table'!$A86, LS_previous!$B$4:$AY$138,LS_previous!AC$149, FALSE))/2)</f>
        <v>3066.979679570286</v>
      </c>
      <c r="N86" s="180">
        <f t="array" ref="N86">IF($G86=0, INDEX(LS_previous!$D$4:$AY$138, MATCH('Staging Table'!$A86, LS_previous!$B$4:$B$138, 0), MATCH(N$4&amp;N$5, LS_previous!$D$2:$AY$2&amp;LS_previous!$D$3:$AY$3, 0)),SUM(VLOOKUP($A86, LS_previous!$B$4:$AY$138, LS_previous!F$149, FALSE), VLOOKUP('Staging Table'!$A86, LS_previous!$B$4:$AY$138,LS_previous!AD$149, FALSE))/2)</f>
        <v>475.72117610168061</v>
      </c>
      <c r="O86" s="180">
        <f t="array" ref="O86">IF($G86=0, INDEX(LS_previous!$D$4:$AY$138, MATCH('Staging Table'!$A86, LS_previous!$B$4:$B$138, 0), MATCH(O$4&amp;O$5, LS_previous!$D$2:$AY$2&amp;LS_previous!$D$3:$AY$3, 0)),SUM(VLOOKUP($A86, LS_previous!$B$4:$AY$138, LS_previous!G$149, FALSE), VLOOKUP('Staging Table'!$A86, LS_previous!$B$4:$AY$138,LS_previous!AE$149, FALSE))/2)</f>
        <v>1118.8678224672949</v>
      </c>
      <c r="P86" s="180">
        <f t="array" ref="P86">IF($G86=0, INDEX(LS_previous!$D$4:$AY$138, MATCH('Staging Table'!$A86, LS_previous!$B$4:$B$138, 0), MATCH(P$4&amp;P$5, LS_previous!$D$2:$AY$2&amp;LS_previous!$D$3:$AY$3, 0)),SUM(VLOOKUP($A86, LS_previous!$B$4:$AY$138, LS_previous!H$149, FALSE), VLOOKUP('Staging Table'!$A86, LS_previous!$B$4:$AY$138,LS_previous!AF$149, FALSE))/2)</f>
        <v>10527.185215770027</v>
      </c>
      <c r="Q86" s="180">
        <f t="array" ref="Q86">IF($G86=0, INDEX(LS_previous!$D$4:$AY$138, MATCH('Staging Table'!$A86, LS_previous!$B$4:$B$138, 0), MATCH(Q$4&amp;Q$5, LS_previous!$D$2:$AY$2&amp;LS_previous!$D$3:$AY$3, 0)),SUM(VLOOKUP($A86, LS_previous!$B$4:$AY$138, LS_previous!I$149, FALSE), VLOOKUP('Staging Table'!$A86, LS_previous!$B$4:$AY$138,LS_previous!AG$149, FALSE))/2)</f>
        <v>3153.4716649954134</v>
      </c>
      <c r="R86" s="180">
        <f t="array" ref="R86">IF($G86=0, INDEX(LS_previous!$D$4:$AY$138, MATCH('Staging Table'!$A86, LS_previous!$B$4:$B$138, 0), MATCH(R$4&amp;R$5, LS_previous!$D$2:$AY$2&amp;LS_previous!$D$3:$AY$3, 0)),SUM(VLOOKUP($A86, LS_previous!$B$4:$AY$138, LS_previous!J$149, FALSE), VLOOKUP('Staging Table'!$A86, LS_previous!$B$4:$AY$138,LS_previous!AH$149, FALSE))/2)</f>
        <v>18652.191196240543</v>
      </c>
      <c r="S86" s="180">
        <f t="array" ref="S86">IF($G86=0, INDEX(LS_previous!$D$4:$AY$138, MATCH('Staging Table'!$A86, LS_previous!$B$4:$B$138, 0), MATCH(S$4&amp;S$5, LS_previous!$D$2:$AY$2&amp;LS_previous!$D$3:$AY$3, 0)),SUM(VLOOKUP($A86, LS_previous!$B$4:$AY$138, LS_previous!K$149, FALSE), VLOOKUP('Staging Table'!$A86, LS_previous!$B$4:$AY$138,LS_previous!AI$149, FALSE))/2)</f>
        <v>8860.0867894390794</v>
      </c>
      <c r="T86" s="180">
        <f t="array" ref="T86">IF($G86=0, INDEX(LS_previous!$D$4:$AY$138, MATCH('Staging Table'!$A86, LS_previous!$B$4:$B$138, 0), MATCH(T$4&amp;T$5, LS_previous!$D$2:$AY$2&amp;LS_previous!$D$3:$AY$3, 0)),SUM(VLOOKUP($A86, LS_previous!$B$4:$AY$138, LS_previous!L$149, FALSE), VLOOKUP('Staging Table'!$A86, LS_previous!$B$4:$AY$138,LS_previous!AJ$149, FALSE))/2)</f>
        <v>15844.619195981675</v>
      </c>
      <c r="U86" s="180">
        <f t="array" ref="U86">IF($G86=0, INDEX(LS_previous!$D$4:$AY$138, MATCH('Staging Table'!$A86, LS_previous!$B$4:$B$138, 0), MATCH(U$4&amp;U$5, LS_previous!$D$2:$AY$2&amp;LS_previous!$D$3:$AY$3, 0)),SUM(VLOOKUP($A86, LS_previous!$B$4:$AY$138, LS_previous!M$149, FALSE), VLOOKUP('Staging Table'!$A86, LS_previous!$B$4:$AY$138,LS_previous!AK$149, FALSE))/2)</f>
        <v>8446.5949802753203</v>
      </c>
      <c r="V86" s="180">
        <f t="array" ref="V86">IF($G86=0, INDEX(LS_previous!$D$4:$AY$138, MATCH('Staging Table'!$A86, LS_previous!$B$4:$B$138, 0), MATCH(V$4&amp;V$5, LS_previous!$D$2:$AY$2&amp;LS_previous!$D$3:$AY$3, 0)),SUM(VLOOKUP($A86, LS_previous!$B$4:$AY$138, LS_previous!N$149, FALSE), VLOOKUP('Staging Table'!$A86, LS_previous!$B$4:$AY$138,LS_previous!AL$149, FALSE))/2)</f>
        <v>5251.206801881046</v>
      </c>
      <c r="W86" s="180">
        <f t="array" ref="W86">IF($G86=0, INDEX(LS_previous!$D$4:$AY$138, MATCH('Staging Table'!$A86, LS_previous!$B$4:$B$138, 0), MATCH(W$4&amp;W$5, LS_previous!$D$2:$AY$2&amp;LS_previous!$D$3:$AY$3, 0)),SUM(VLOOKUP($A86, LS_previous!$B$4:$AY$138, LS_previous!O$149, FALSE), VLOOKUP('Staging Table'!$A86, LS_previous!$B$4:$AY$138,LS_previous!AM$149, FALSE))/2)</f>
        <v>4184.6109949596248</v>
      </c>
      <c r="X86" s="180">
        <f t="array" ref="X86">IF($G86=0, INDEX(LS_previous!$D$4:$AY$138, MATCH('Staging Table'!$A86, LS_previous!$B$4:$B$138, 0), MATCH(X$4&amp;X$5, LS_previous!$D$2:$AY$2&amp;LS_previous!$D$3:$AY$3, 0)),SUM(VLOOKUP($A86, LS_previous!$B$4:$AY$138, LS_previous!P$149, FALSE), VLOOKUP('Staging Table'!$A86, LS_previous!$B$4:$AY$138,LS_previous!AN$149, FALSE))/2)</f>
        <v>8069.9391131450939</v>
      </c>
      <c r="Y86" s="180">
        <f t="array" ref="Y86">IF($G86=0, INDEX(LS_previous!$D$4:$AY$138, MATCH('Staging Table'!$A86, LS_previous!$B$4:$B$138, 0), MATCH(Y$4&amp;Y$5, LS_previous!$D$2:$AY$2&amp;LS_previous!$D$3:$AY$3, 0)),SUM(VLOOKUP($A86, LS_previous!$B$4:$AY$138, LS_previous!Q$149, FALSE), VLOOKUP('Staging Table'!$A86, LS_previous!$B$4:$AY$138,LS_previous!AO$149, FALSE))/2)</f>
        <v>5984.7083582771374</v>
      </c>
      <c r="Z86" s="180">
        <f t="array" ref="Z86">IF($G86=0, INDEX(LS_previous!$D$4:$AY$138, MATCH('Staging Table'!$A86, LS_previous!$B$4:$B$138, 0), MATCH(Z$4&amp;Z$5, LS_previous!$D$2:$AY$2&amp;LS_previous!$D$3:$AY$3, 0)),SUM(VLOOKUP($A86, LS_previous!$B$4:$AY$138, LS_previous!R$149, FALSE), VLOOKUP('Staging Table'!$A86, LS_previous!$B$4:$AY$138,LS_previous!AP$149, FALSE))/2)</f>
        <v>-11522.13880469992</v>
      </c>
      <c r="AA86" s="180">
        <f t="array" ref="AA86">IF($G86=0, INDEX(LS_previous!$D$4:$AY$138, MATCH('Staging Table'!$A86, LS_previous!$B$4:$B$138, 0), MATCH(AA$4&amp;AA$5, LS_previous!$D$2:$AY$2&amp;LS_previous!$D$3:$AY$3, 0)),SUM(VLOOKUP($A86, LS_previous!$B$4:$AY$138, LS_previous!S$149, FALSE), VLOOKUP('Staging Table'!$A86, LS_previous!$B$4:$AY$138,LS_previous!AQ$149, FALSE))/2)</f>
        <v>-1995.8838156862948</v>
      </c>
      <c r="AB86" s="180">
        <f t="array" ref="AB86">IF($G86=0, INDEX(LS_previous!$D$4:$AY$138, MATCH('Staging Table'!$A86, LS_previous!$B$4:$B$138, 0), MATCH(AB$4&amp;AB$5, LS_previous!$D$2:$AY$2&amp;LS_previous!$D$3:$AY$3, 0)),SUM(VLOOKUP($A86, LS_previous!$B$4:$AY$138, LS_previous!T$149, FALSE), VLOOKUP('Staging Table'!$A86, LS_previous!$B$4:$AY$138,LS_previous!AR$149, FALSE))/2)</f>
        <v>-18846.32158831376</v>
      </c>
      <c r="AC86" s="180">
        <f t="array" ref="AC86">IF($G86=0, INDEX(LS_previous!$D$4:$AY$138, MATCH('Staging Table'!$A86, LS_previous!$B$4:$B$138, 0), MATCH(AC$4&amp;AC$5, LS_previous!$D$2:$AY$2&amp;LS_previous!$D$3:$AY$3, 0)),SUM(VLOOKUP($A86, LS_previous!$B$4:$AY$138, LS_previous!U$149, FALSE), VLOOKUP('Staging Table'!$A86, LS_previous!$B$4:$AY$138,LS_previous!AS$149, FALSE))/2)</f>
        <v>-2094.5526009451441</v>
      </c>
      <c r="AD86" s="180">
        <f t="array" ref="AD86">IF($G86=0, INDEX(LS_previous!$D$4:$AY$138, MATCH('Staging Table'!$A86, LS_previous!$B$4:$B$138, 0), MATCH(AD$4&amp;AD$5, LS_previous!$D$2:$AY$2&amp;LS_previous!$D$3:$AY$3, 0)),SUM(VLOOKUP($A86, LS_previous!$B$4:$AY$138, LS_previous!V$149, FALSE), VLOOKUP('Staging Table'!$A86, LS_previous!$B$4:$AY$138,LS_previous!AT$149, FALSE))/2)</f>
        <v>-12211.374913306758</v>
      </c>
      <c r="AE86" s="180">
        <f t="array" ref="AE86">IF($G86=0, INDEX(LS_previous!$D$4:$AY$138, MATCH('Staging Table'!$A86, LS_previous!$B$4:$B$138, 0), MATCH(AE$4&amp;AE$5, LS_previous!$D$2:$AY$2&amp;LS_previous!$D$3:$AY$3, 0)),SUM(VLOOKUP($A86, LS_previous!$B$4:$AY$138, LS_previous!W$149, FALSE), VLOOKUP('Staging Table'!$A86, LS_previous!$B$4:$AY$138,LS_previous!AU$149, FALSE))/2)</f>
        <v>-3068.4078928116251</v>
      </c>
      <c r="AF86" s="180">
        <f t="array" ref="AF86">IF($G86=0, INDEX(LS_previous!$D$4:$AY$138, MATCH('Staging Table'!$A86, LS_previous!$B$4:$B$138, 0), MATCH(AF$4&amp;AF$5, LS_previous!$D$2:$AY$2&amp;LS_previous!$D$3:$AY$3, 0)),SUM(VLOOKUP($A86, LS_previous!$B$4:$AY$138, LS_previous!X$149, FALSE), VLOOKUP('Staging Table'!$A86, LS_previous!$B$4:$AY$138,LS_previous!AV$149, FALSE))/2)</f>
        <v>-11297.611679260455</v>
      </c>
      <c r="AG86" s="180">
        <f t="array" ref="AG86">IF($G86=0, INDEX(LS_previous!$D$4:$AY$138, MATCH('Staging Table'!$A86, LS_previous!$B$4:$B$138, 0), MATCH(AG$4&amp;AG$5, LS_previous!$D$2:$AY$2&amp;LS_previous!$D$3:$AY$3, 0)),SUM(VLOOKUP($A86, LS_previous!$B$4:$AY$138, LS_previous!Y$149, FALSE), VLOOKUP('Staging Table'!$A86, LS_previous!$B$4:$AY$138,LS_previous!AW$149, FALSE))/2)</f>
        <v>-1855.5376125153889</v>
      </c>
      <c r="AH86" s="180">
        <f t="array" ref="AH86">IF($G86=0, INDEX(LS_previous!$D$4:$AY$138, MATCH('Staging Table'!$A86, LS_previous!$B$4:$B$138, 0), MATCH(AH$4&amp;AH$5, LS_previous!$D$2:$AY$2&amp;LS_previous!$D$3:$AY$3, 0)),SUM(VLOOKUP($A86, LS_previous!$B$4:$AY$138, LS_previous!Z$149, FALSE), VLOOKUP('Staging Table'!$A86, LS_previous!$B$4:$AY$138,LS_previous!AX$149, FALSE))/2)</f>
        <v>-7750.80766510584</v>
      </c>
      <c r="AI86" s="180">
        <f t="array" ref="AI86">IF($G86=0, INDEX(LS_previous!$D$4:$AY$138, MATCH('Staging Table'!$A86, LS_previous!$B$4:$B$138, 0), MATCH(AI$4&amp;AI$5, LS_previous!$D$2:$AY$2&amp;LS_previous!$D$3:$AY$3, 0)),SUM(VLOOKUP($A86, LS_previous!$B$4:$AY$138, LS_previous!AA$149, FALSE), VLOOKUP('Staging Table'!$A86, LS_previous!$B$4:$AY$138,LS_previous!AY$149, FALSE))/2)</f>
        <v>-3154.5477300374805</v>
      </c>
      <c r="AJ86" s="298">
        <f t="array" ref="AJ86">INDEX(Demand_previous!$D$4:$AY$138, MATCH('Staging Table'!$A86, Demand_previous!$B$4:$B$138, 0), MATCH(AJ$4&amp;AJ$5,Demand_previous!$D$2:$AY$2&amp;Demand_previous!$D$3:$AY$3, 0))/1000</f>
        <v>0</v>
      </c>
      <c r="AK86" s="298">
        <f t="array" ref="AK86">INDEX(Demand_previous!$D$4:$AY$138, MATCH('Staging Table'!$A86, Demand_previous!$B$4:$B$138, 0), MATCH(AK$4&amp;AK$5,Demand_previous!$D$2:$AY$2&amp;Demand_previous!$D$3:$AY$3, 0))/1000</f>
        <v>2.1448849999999879</v>
      </c>
      <c r="AL86" s="298">
        <f t="array" ref="AL86">INDEX(Demand_previous!$D$4:$AY$138, MATCH('Staging Table'!$A86, Demand_previous!$B$4:$B$138, 0), MATCH(AL$4&amp;AL$5,Demand_previous!$D$2:$AY$2&amp;Demand_previous!$D$3:$AY$3, 0))/1000</f>
        <v>20.455596153846173</v>
      </c>
      <c r="AM86" s="298">
        <f t="array" ref="AM86">INDEX(Demand_previous!$D$4:$AY$138, MATCH('Staging Table'!$A86, Demand_previous!$B$4:$B$138, 0), MATCH(AM$4&amp;AM$5,Demand_previous!$D$2:$AY$2&amp;Demand_previous!$D$3:$AY$3, 0))/1000</f>
        <v>13.946085000000007</v>
      </c>
      <c r="AN86" s="298">
        <f t="array" ref="AN86">INDEX(Demand_previous!$D$4:$AY$138, MATCH('Staging Table'!$A86, Demand_previous!$B$4:$B$138, 0), MATCH(AN$4&amp;AN$5,Demand_previous!$D$2:$AY$2&amp;Demand_previous!$D$3:$AY$3, 0))/1000</f>
        <v>12.437473958333317</v>
      </c>
      <c r="AO86" s="298">
        <f t="array" ref="AO86">INDEX(Demand_previous!$D$4:$AY$138, MATCH('Staging Table'!$A86, Demand_previous!$B$4:$B$138, 0), MATCH(AO$4&amp;AO$5,Demand_previous!$D$2:$AY$2&amp;Demand_previous!$D$3:$AY$3, 0))/1000</f>
        <v>20.027574074074074</v>
      </c>
      <c r="AP86" s="298">
        <f t="array" ref="AP86">INDEX(Demand_previous!$D$4:$AY$138, MATCH('Staging Table'!$A86, Demand_previous!$B$4:$B$138, 0), MATCH(AP$4&amp;AP$5,Demand_previous!$D$2:$AY$2&amp;Demand_previous!$D$3:$AY$3, 0))/1000</f>
        <v>11.753656249999985</v>
      </c>
      <c r="AQ86" s="298">
        <f t="array" ref="AQ86">INDEX(Demand_previous!$D$4:$AY$138, MATCH('Staging Table'!$A86, Demand_previous!$B$4:$B$138, 0), MATCH(AQ$4&amp;AQ$5,Demand_previous!$D$2:$AY$2&amp;Demand_previous!$D$3:$AY$3, 0))/1000</f>
        <v>0</v>
      </c>
      <c r="AR86" s="298">
        <f t="array" ref="AR86">INDEX(Demand_previous!$D$4:$AY$138, MATCH('Staging Table'!$A86, Demand_previous!$B$4:$B$138, 0), MATCH(AR$4&amp;AR$5,Demand_previous!$D$2:$AY$2&amp;Demand_previous!$D$3:$AY$3, 0))/1000</f>
        <v>6.1192716346153881</v>
      </c>
      <c r="AS86" s="298">
        <f t="array" ref="AS86">INDEX(Demand_previous!$D$4:$AY$138, MATCH('Staging Table'!$A86, Demand_previous!$B$4:$B$138, 0), MATCH(AS$4&amp;AS$5,Demand_previous!$D$2:$AY$2&amp;Demand_previous!$D$3:$AY$3, 0))/1000</f>
        <v>11.765232500000009</v>
      </c>
      <c r="AT86" s="298">
        <f t="array" ref="AT86">INDEX(Demand_previous!$D$4:$AY$138, MATCH('Staging Table'!$A86, Demand_previous!$B$4:$B$138, 0), MATCH(AT$4&amp;AT$5,Demand_previous!$D$2:$AY$2&amp;Demand_previous!$D$3:$AY$3, 0))/1000</f>
        <v>21.902789351851858</v>
      </c>
      <c r="AU86" s="298">
        <f t="array" ref="AU86">INDEX(Demand_previous!$D$4:$AY$138, MATCH('Staging Table'!$A86, Demand_previous!$B$4:$B$138, 0), MATCH(AU$4&amp;AU$5,Demand_previous!$D$2:$AY$2&amp;Demand_previous!$D$3:$AY$3, 0))/1000</f>
        <v>0.19918250000001692</v>
      </c>
      <c r="AV86" s="180">
        <f>$F86*(VLOOKUP(AV$4, Rates_previous!$G$6:$Q$29, 10, FALSE)+VLOOKUP(AV$4, Rates_previous!$G$6:$Q$29, 11, FALSE))</f>
        <v>51542.682771521861</v>
      </c>
      <c r="AW86" s="180">
        <f>$F86*(VLOOKUP(AW$4, Rates_previous!$G$6:$Q$29, 10, FALSE)+VLOOKUP(AW$4, Rates_previous!$G$6:$Q$29, 11, FALSE))</f>
        <v>65254.907001431027</v>
      </c>
      <c r="AX86" s="180">
        <f>$F86*(VLOOKUP(AX$4, Rates_previous!$G$6:$Q$29, 10, FALSE)+VLOOKUP(AX$4, Rates_previous!$G$6:$Q$29, 11, FALSE))</f>
        <v>63871.517119234559</v>
      </c>
      <c r="AY86" s="180">
        <f>$F86*(VLOOKUP(AY$4, Rates_previous!$G$6:$Q$29, 10, FALSE)+VLOOKUP(AY$4, Rates_previous!$G$6:$Q$29, 11, FALSE))</f>
        <v>52755.157014320379</v>
      </c>
      <c r="AZ86" s="180">
        <f>$F86*(VLOOKUP(AZ$4, Rates_previous!$G$6:$Q$29, 10, FALSE)+VLOOKUP(AZ$4, Rates_previous!$G$6:$Q$29, 11, FALSE))</f>
        <v>45724.050823743011</v>
      </c>
      <c r="BA86" s="180">
        <f>$F86*(VLOOKUP(BA$4, Rates_previous!$G$6:$Q$29, 10, FALSE)+VLOOKUP(BA$4, Rates_previous!$G$6:$Q$29, 11, FALSE))</f>
        <v>54585.283203159321</v>
      </c>
      <c r="BB86" s="180">
        <f>$F86*(VLOOKUP(BB$4, Rates_previous!$G$6:$Q$29, 10, FALSE)+VLOOKUP(BB$4, Rates_previous!$G$6:$Q$29, 11, FALSE))</f>
        <v>42378.205528577775</v>
      </c>
      <c r="BC86" s="180">
        <f>$F86*(VLOOKUP(BC$4, Rates_previous!$G$6:$Q$29, 10, FALSE)+VLOOKUP(BC$4, Rates_previous!$G$6:$Q$29, 11, FALSE))</f>
        <v>58715.315620386216</v>
      </c>
      <c r="BD86" s="180">
        <f>$F86*(VLOOKUP(BD$4, Rates_previous!$G$6:$Q$29, 10, FALSE)+VLOOKUP(BD$4, Rates_previous!$G$6:$Q$29, 11, FALSE))</f>
        <v>62738.544189258893</v>
      </c>
      <c r="BE86" s="180">
        <f>$F86*(VLOOKUP(BE$4, Rates_previous!$G$6:$Q$29, 10, FALSE)+VLOOKUP(BE$4, Rates_previous!$G$6:$Q$29, 11, FALSE))</f>
        <v>59567.406806118386</v>
      </c>
      <c r="BF86" s="180">
        <f>$F86*(VLOOKUP(BF$4, Rates_previous!$G$6:$Q$29, 10, FALSE)+VLOOKUP(BF$4, Rates_previous!$G$6:$Q$29, 11, FALSE))</f>
        <v>57567.303291775846</v>
      </c>
      <c r="BG86" s="180">
        <f>$F86*(VLOOKUP(BG$4, Rates_previous!$G$6:$Q$29, 10, FALSE)+VLOOKUP(BG$4, Rates_previous!$G$6:$Q$29, 11, FALSE))</f>
        <v>53198.189395143316</v>
      </c>
      <c r="BH86" s="298">
        <f>IF($D86=0,IF(C86=0, MAX(BJ86 - (VLOOKUP($A86,TOCA_previous!$A$2:$AI$137,MATCH("RHWM 2022",TOCA_previous!$A$2:$AI$2,0),FALSE)*$F$2*TOCA_previous!C83),0),0), 0)</f>
        <v>19964.87916590157</v>
      </c>
      <c r="BI86" s="192">
        <f>MIN(VLOOKUP($A86,TOCA_previous!$A$2:$AI$137,MATCH("TRL - NLSL - Existing Resource "&amp;$F$1,TOCA_previous!$A$2:$AI$2,0),FALSE)*$F$2,(VLOOKUP($A86,TOCA_previous!$A$2:$AI$137,MATCH("RHWM 2022",TOCA_previous!$A$2:$AI$2,0),FALSE)*$F$2))</f>
        <v>667897.43999999994</v>
      </c>
      <c r="BJ86" s="402">
        <f>SUM(L86:AI86)+(F86*RT1SC!$C$3*$F$2)</f>
        <v>687862.31916590151</v>
      </c>
      <c r="BK86" s="401">
        <f>VLOOKUP($A86,TOCA_previous!$A$2:$AI$137,MATCH("Above RHWM Not Served with LS "&amp;$F$1,TOCA_previous!$A$2:$AI$2,0),FALSE)*$F$2</f>
        <v>14454</v>
      </c>
      <c r="BL86" s="402">
        <f t="shared" si="27"/>
        <v>19964.87916590157</v>
      </c>
      <c r="BM86" s="401">
        <f>(VLOOKUP($A86,TOCA_previous!$A$2:$AI$137,MATCH("RHWM 2022",TOCA_previous!$A$2:$AI$2,0),FALSE)*$F$2) - $BI86</f>
        <v>0</v>
      </c>
      <c r="BN86" s="402">
        <f t="shared" si="28"/>
        <v>0</v>
      </c>
      <c r="BO86" s="401">
        <f t="shared" si="29"/>
        <v>0</v>
      </c>
      <c r="BP86" s="402">
        <f t="shared" si="30"/>
        <v>0</v>
      </c>
      <c r="BQ86" s="401">
        <f t="shared" si="21"/>
        <v>0</v>
      </c>
      <c r="BR86" s="108">
        <f>VLOOKUP($A86,TOCA_current!$A$2:$AI$137,MATCH(BR$4,TOCA_current!$A$2:$AI$2,0),FALSE)</f>
        <v>1.1316E-2</v>
      </c>
      <c r="BS86" s="108">
        <f>VLOOKUP($A86,TOCA_current!$A$2:$AI$137,MATCH(BS$4,TOCA_current!$A$2:$AI$2,0),FALSE)</f>
        <v>1.1316E-2</v>
      </c>
      <c r="BT86" s="189">
        <f t="shared" si="31"/>
        <v>0</v>
      </c>
      <c r="BU86" s="108">
        <f>VLOOKUP($A86,TOCA_current!A82:BG217,MATCH(BU$4,TOCA_current!$A$2:$BG$2,0),FALSE)</f>
        <v>0</v>
      </c>
      <c r="BV86" s="108">
        <f t="shared" si="22"/>
        <v>0</v>
      </c>
      <c r="BW86" s="108">
        <f t="shared" si="23"/>
        <v>0</v>
      </c>
      <c r="BX86" s="179">
        <f>VLOOKUP($A86,IRD!$A$4:$G$139, 7, FALSE)</f>
        <v>0</v>
      </c>
      <c r="BY86" s="180">
        <f t="array" ref="BY86">IF($BT86=0, INDEX(LS_current!$D$4:$AY$138, MATCH('Staging Table'!$A86, LS_current!$B$4:$B$138, 0), MATCH(BY$4&amp;BY$5, LS_current!$D$2:$AY$2&amp;LS_current!$D$3:$AY$3, 0)),SUM(VLOOKUP($A86, LS_current!$B$4:$AY$138, LS_current!D$148, FALSE), VLOOKUP($A86, LS_current!$B$4:$AY$138,LS_current!AB$148, FALSE))/2)</f>
        <v>4975.6472886239972</v>
      </c>
      <c r="BZ86" s="180">
        <f t="array" ref="BZ86">IF($BT86=0, INDEX(LS_current!$D$4:$AY$138, MATCH('Staging Table'!$A86, LS_current!$B$4:$B$138, 0), MATCH(BZ$4&amp;BZ$5, LS_current!$D$2:$AY$2&amp;LS_current!$D$3:$AY$3, 0)),SUM(VLOOKUP($A86, LS_current!$B$4:$AY$138, LS_current!E$148, FALSE), VLOOKUP($A86, LS_current!$B$4:$AY$138,LS_current!AC$148, FALSE))/2)</f>
        <v>3227.7553462420001</v>
      </c>
      <c r="CA86" s="180">
        <f t="array" ref="CA86">IF($BT86=0, INDEX(LS_current!$D$4:$AY$138, MATCH('Staging Table'!$A86, LS_current!$B$4:$B$138, 0), MATCH(CA$4&amp;CA$5, LS_current!$D$2:$AY$2&amp;LS_current!$D$3:$AY$3, 0)),SUM(VLOOKUP($A86, LS_current!$B$4:$AY$138, LS_current!F$148, FALSE), VLOOKUP($A86, LS_current!$B$4:$AY$138,LS_current!AD$148, FALSE))/2)</f>
        <v>4228.3073963520001</v>
      </c>
      <c r="CB86" s="180">
        <f t="array" ref="CB86">IF($BT86=0, INDEX(LS_current!$D$4:$AY$138, MATCH('Staging Table'!$A86, LS_current!$B$4:$B$138, 0), MATCH(CB$4&amp;CB$5, LS_current!$D$2:$AY$2&amp;LS_current!$D$3:$AY$3, 0)),SUM(VLOOKUP($A86, LS_current!$B$4:$AY$138, LS_current!G$148, FALSE), VLOOKUP($A86, LS_current!$B$4:$AY$138,LS_current!AE$148, FALSE))/2)</f>
        <v>2908.5924116040005</v>
      </c>
      <c r="CC86" s="180">
        <f t="array" ref="CC86">IF($BT86=0, INDEX(LS_current!$D$4:$AY$138, MATCH('Staging Table'!$A86, LS_current!$B$4:$B$138, 0), MATCH(CC$4&amp;CC$5, LS_current!$D$2:$AY$2&amp;LS_current!$D$3:$AY$3, 0)),SUM(VLOOKUP($A86, LS_current!$B$4:$AY$138, LS_current!H$148, FALSE), VLOOKUP($A86, LS_current!$B$4:$AY$138,LS_current!AF$148, FALSE))/2)</f>
        <v>7854.5273774759989</v>
      </c>
      <c r="CD86" s="180">
        <f t="array" ref="CD86">IF($BT86=0, INDEX(LS_current!$D$4:$AY$138, MATCH('Staging Table'!$A86, LS_current!$B$4:$B$138, 0), MATCH(CD$4&amp;CD$5, LS_current!$D$2:$AY$2&amp;LS_current!$D$3:$AY$3, 0)),SUM(VLOOKUP($A86, LS_current!$B$4:$AY$138, LS_current!I$148, FALSE), VLOOKUP($A86, LS_current!$B$4:$AY$138,LS_current!AG$148, FALSE))/2)</f>
        <v>5200.5253360640017</v>
      </c>
      <c r="CE86" s="180">
        <f t="array" ref="CE86">IF($BT86=0, INDEX(LS_current!$D$4:$AY$138, MATCH('Staging Table'!$A86, LS_current!$B$4:$B$138, 0), MATCH(CE$4&amp;CE$5, LS_current!$D$2:$AY$2&amp;LS_current!$D$3:$AY$3, 0)),SUM(VLOOKUP($A86, LS_current!$B$4:$AY$138, LS_current!J$148, FALSE), VLOOKUP($A86, LS_current!$B$4:$AY$138,LS_current!AH$148, FALSE))/2)</f>
        <v>7040.0785530599969</v>
      </c>
      <c r="CF86" s="180">
        <f t="array" ref="CF86">IF($BT86=0, INDEX(LS_current!$D$4:$AY$138, MATCH('Staging Table'!$A86, LS_current!$B$4:$B$138, 0), MATCH(CF$4&amp;CF$5, LS_current!$D$2:$AY$2&amp;LS_current!$D$3:$AY$3, 0)),SUM(VLOOKUP($A86, LS_current!$B$4:$AY$138, LS_current!K$148, FALSE), VLOOKUP($A86, LS_current!$B$4:$AY$138,LS_current!AI$148, FALSE))/2)</f>
        <v>6157.5390638360004</v>
      </c>
      <c r="CG86" s="180">
        <f t="array" ref="CG86">IF($BT86=0, INDEX(LS_current!$D$4:$AY$138, MATCH('Staging Table'!$A86, LS_current!$B$4:$B$138, 0), MATCH(CG$4&amp;CG$5, LS_current!$D$2:$AY$2&amp;LS_current!$D$3:$AY$3, 0)),SUM(VLOOKUP($A86, LS_current!$B$4:$AY$138, LS_current!L$148, FALSE), VLOOKUP($A86, LS_current!$B$4:$AY$138,LS_current!AJ$148, FALSE))/2)</f>
        <v>5686.0086332360079</v>
      </c>
      <c r="CH86" s="180">
        <f t="array" ref="CH86">IF($BT86=0, INDEX(LS_current!$D$4:$AY$138, MATCH('Staging Table'!$A86, LS_current!$B$4:$B$138, 0), MATCH(CH$4&amp;CH$5, LS_current!$D$2:$AY$2&amp;LS_current!$D$3:$AY$3, 0)),SUM(VLOOKUP($A86, LS_current!$B$4:$AY$138, LS_current!M$148, FALSE), VLOOKUP($A86, LS_current!$B$4:$AY$138,LS_current!AK$148, FALSE))/2)</f>
        <v>6691.7724319560002</v>
      </c>
      <c r="CI86" s="180">
        <f t="array" ref="CI86">IF($BT86=0, INDEX(LS_current!$D$4:$AY$138, MATCH('Staging Table'!$A86, LS_current!$B$4:$B$138, 0), MATCH(CI$4&amp;CI$5, LS_current!$D$2:$AY$2&amp;LS_current!$D$3:$AY$3, 0)),SUM(VLOOKUP($A86, LS_current!$B$4:$AY$138, LS_current!N$148, FALSE), VLOOKUP($A86, LS_current!$B$4:$AY$138,LS_current!AL$148, FALSE))/2)</f>
        <v>437.30731729199761</v>
      </c>
      <c r="CJ86" s="180">
        <f t="array" ref="CJ86">IF($BT86=0, INDEX(LS_current!$D$4:$AY$138, MATCH('Staging Table'!$A86, LS_current!$B$4:$B$138, 0), MATCH(CJ$4&amp;CJ$5, LS_current!$D$2:$AY$2&amp;LS_current!$D$3:$AY$3, 0)),SUM(VLOOKUP($A86, LS_current!$B$4:$AY$138, LS_current!O$148, FALSE), VLOOKUP($A86, LS_current!$B$4:$AY$138,LS_current!AM$148, FALSE))/2)</f>
        <v>670.85516015200483</v>
      </c>
      <c r="CK86" s="180">
        <f t="array" ref="CK86">IF($BT86=0, INDEX(LS_current!$D$4:$AY$138, MATCH('Staging Table'!$A86, LS_current!$B$4:$B$138, 0), MATCH(CK$4&amp;CK$5, LS_current!$D$2:$AY$2&amp;LS_current!$D$3:$AY$3, 0)),SUM(VLOOKUP($A86, LS_current!$B$4:$AY$138, LS_current!P$148, FALSE), VLOOKUP($A86, LS_current!$B$4:$AY$138,LS_current!AN$148, FALSE))/2)</f>
        <v>4054.0405898100034</v>
      </c>
      <c r="CL86" s="180">
        <f t="array" ref="CL86">IF($BT86=0, INDEX(LS_current!$D$4:$AY$138, MATCH('Staging Table'!$A86, LS_current!$B$4:$B$138, 0), MATCH(CL$4&amp;CL$5, LS_current!$D$2:$AY$2&amp;LS_current!$D$3:$AY$3, 0)),SUM(VLOOKUP($A86, LS_current!$B$4:$AY$138, LS_current!Q$148, FALSE), VLOOKUP($A86, LS_current!$B$4:$AY$138,LS_current!AO$148, FALSE))/2)</f>
        <v>2936.6304668370067</v>
      </c>
      <c r="CM86" s="180">
        <f t="array" ref="CM86">IF($BT86=0, INDEX(LS_current!$D$4:$AY$138, MATCH('Staging Table'!$A86, LS_current!$B$4:$B$138, 0), MATCH(CM$4&amp;CM$5, LS_current!$D$2:$AY$2&amp;LS_current!$D$3:$AY$3, 0)),SUM(VLOOKUP($A86, LS_current!$B$4:$AY$138, LS_current!R$148, FALSE), VLOOKUP($A86, LS_current!$B$4:$AY$138,LS_current!AP$148, FALSE))/2)</f>
        <v>-9462.5274519680024</v>
      </c>
      <c r="CN86" s="180">
        <f t="array" ref="CN86">IF($BT86=0, INDEX(LS_current!$D$4:$AY$138, MATCH('Staging Table'!$A86, LS_current!$B$4:$B$138, 0), MATCH(CN$4&amp;CN$5, LS_current!$D$2:$AY$2&amp;LS_current!$D$3:$AY$3, 0)),SUM(VLOOKUP($A86, LS_current!$B$4:$AY$138, LS_current!S$148, FALSE), VLOOKUP($A86, LS_current!$B$4:$AY$138,LS_current!AQ$148, FALSE))/2)</f>
        <v>-6922.3735975859963</v>
      </c>
      <c r="CO86" s="180">
        <f t="array" ref="CO86">IF($BT86=0, INDEX(LS_current!$D$4:$AY$138, MATCH('Staging Table'!$A86, LS_current!$B$4:$B$138, 0), MATCH(CO$4&amp;CO$5, LS_current!$D$2:$AY$2&amp;LS_current!$D$3:$AY$3, 0)),SUM(VLOOKUP($A86, LS_current!$B$4:$AY$138, LS_current!T$148, FALSE), VLOOKUP($A86, LS_current!$B$4:$AY$138,LS_current!AR$148, FALSE))/2)</f>
        <v>-13714.490690615996</v>
      </c>
      <c r="CP86" s="180">
        <f t="array" ref="CP86">IF($BT86=0, INDEX(LS_current!$D$4:$AY$138, MATCH('Staging Table'!$A86, LS_current!$B$4:$B$138, 0), MATCH(CP$4&amp;CP$5, LS_current!$D$2:$AY$2&amp;LS_current!$D$3:$AY$3, 0)),SUM(VLOOKUP($A86, LS_current!$B$4:$AY$138, LS_current!U$148, FALSE), VLOOKUP($A86, LS_current!$B$4:$AY$138,LS_current!AS$148, FALSE))/2)</f>
        <v>-7471.4455167220003</v>
      </c>
      <c r="CQ86" s="180">
        <f t="array" ref="CQ86">IF($BT86=0, INDEX(LS_current!$D$4:$AY$138, MATCH('Staging Table'!$A86, LS_current!$B$4:$B$138, 0), MATCH(CQ$4&amp;CQ$5, LS_current!$D$2:$AY$2&amp;LS_current!$D$3:$AY$3, 0)),SUM(VLOOKUP($A86, LS_current!$B$4:$AY$138, LS_current!V$148, FALSE), VLOOKUP($A86, LS_current!$B$4:$AY$138,LS_current!AT$148, FALSE))/2)</f>
        <v>-6593.8244414239998</v>
      </c>
      <c r="CR86" s="180">
        <f t="array" ref="CR86">IF($BT86=0, INDEX(LS_current!$D$4:$AY$138, MATCH('Staging Table'!$A86, LS_current!$B$4:$B$138, 0), MATCH(CR$4&amp;CR$5, LS_current!$D$2:$AY$2&amp;LS_current!$D$3:$AY$3, 0)),SUM(VLOOKUP($A86, LS_current!$B$4:$AY$138, LS_current!W$148, FALSE), VLOOKUP($A86, LS_current!$B$4:$AY$138,LS_current!AU$148, FALSE))/2)</f>
        <v>-3604.1242527899994</v>
      </c>
      <c r="CS86" s="180">
        <f t="array" ref="CS86">IF($BT86=0, INDEX(LS_current!$D$4:$AY$138, MATCH('Staging Table'!$A86, LS_current!$B$4:$B$138, 0), MATCH(CS$4&amp;CS$5, LS_current!$D$2:$AY$2&amp;LS_current!$D$3:$AY$3, 0)),SUM(VLOOKUP($A86, LS_current!$B$4:$AY$138, LS_current!X$148, FALSE), VLOOKUP($A86, LS_current!$B$4:$AY$138,LS_current!AV$148, FALSE))/2)</f>
        <v>-5982.4725806940005</v>
      </c>
      <c r="CT86" s="180">
        <f t="array" ref="CT86">IF($BT86=0, INDEX(LS_current!$D$4:$AY$138, MATCH('Staging Table'!$A86, LS_current!$B$4:$B$138, 0), MATCH(CT$4&amp;CT$5, LS_current!$D$2:$AY$2&amp;LS_current!$D$3:$AY$3, 0)),SUM(VLOOKUP($A86, LS_current!$B$4:$AY$138, LS_current!Y$148, FALSE), VLOOKUP($A86, LS_current!$B$4:$AY$138,LS_current!AW$148, FALSE))/2)</f>
        <v>-2236.2211115825958</v>
      </c>
      <c r="CU86" s="180">
        <f t="array" ref="CU86">IF($BT86=0, INDEX(LS_current!$D$4:$AY$138, MATCH('Staging Table'!$A86, LS_current!$B$4:$B$138, 0), MATCH(CU$4&amp;CU$5, LS_current!$D$2:$AY$2&amp;LS_current!$D$3:$AY$3, 0)),SUM(VLOOKUP($A86, LS_current!$B$4:$AY$138, LS_current!Z$148, FALSE), VLOOKUP($A86, LS_current!$B$4:$AY$138,LS_current!AX$148, FALSE))/2)</f>
        <v>-2739.714508584002</v>
      </c>
      <c r="CV86" s="180">
        <f t="array" ref="CV86">IF($BT86=0, INDEX(LS_current!$D$4:$AY$138, MATCH('Staging Table'!$A86, LS_current!$B$4:$B$138, 0), MATCH(CV$4&amp;CV$5, LS_current!$D$2:$AY$2&amp;LS_current!$D$3:$AY$3, 0)),SUM(VLOOKUP($A86, LS_current!$B$4:$AY$138, LS_current!AA$148, FALSE), VLOOKUP($A86, LS_current!$B$4:$AY$138,LS_current!AY$148, FALSE))/2)</f>
        <v>-3342.3777808640007</v>
      </c>
      <c r="CW86" s="182">
        <f t="array" ref="CW86">INDEX(Demand_current!$D$4:$AY$138, MATCH($A86, Demand_current!$B$4:$B$138, 0), MATCH(CW$4&amp;CW$5,Demand_current!$D$2:$AY$2&amp;Demand_current!$D$3:$AY$3, 0))/1000</f>
        <v>0</v>
      </c>
      <c r="CX86" s="182">
        <f t="array" ref="CX86">INDEX(Demand_current!$D$4:$AY$138, MATCH($A86, Demand_current!$B$4:$B$138, 0), MATCH(CX$4&amp;CX$5,Demand_current!$D$2:$AY$2&amp;Demand_current!$D$3:$AY$3, 0))/1000</f>
        <v>2.1448849999999879</v>
      </c>
      <c r="CY86" s="182">
        <f t="array" ref="CY86">INDEX(Demand_current!$D$4:$AY$138, MATCH($A86, Demand_current!$B$4:$B$138, 0), MATCH(CY$4&amp;CY$5,Demand_current!$D$2:$AY$2&amp;Demand_current!$D$3:$AY$3, 0))/1000</f>
        <v>15.836140000000015</v>
      </c>
      <c r="CZ86" s="182">
        <f t="array" ref="CZ86">INDEX(Demand_current!$D$4:$AY$138, MATCH($A86, Demand_current!$B$4:$B$138, 0), MATCH(CZ$4&amp;CZ$5,Demand_current!$D$2:$AY$2&amp;Demand_current!$D$3:$AY$3, 0))/1000</f>
        <v>18.713543269230779</v>
      </c>
      <c r="DA86" s="182">
        <f t="array" ref="DA86">INDEX(Demand_current!$D$4:$AY$138, MATCH($A86, Demand_current!$B$4:$B$138, 0), MATCH(DA$4&amp;DA$5,Demand_current!$D$2:$AY$2&amp;Demand_current!$D$3:$AY$3, 0))/1000</f>
        <v>16.941094999999994</v>
      </c>
      <c r="DB86" s="182">
        <f t="array" ref="DB86">INDEX(Demand_current!$D$4:$AY$138, MATCH($A86, Demand_current!$B$4:$B$138, 0), MATCH(DB$4&amp;DB$5,Demand_current!$D$2:$AY$2&amp;Demand_current!$D$3:$AY$3, 0))/1000</f>
        <v>16.496057692307694</v>
      </c>
      <c r="DC86" s="182">
        <f t="array" ref="DC86">INDEX(Demand_current!$D$4:$AY$138, MATCH($A86, Demand_current!$B$4:$B$138, 0), MATCH(DC$4&amp;DC$5,Demand_current!$D$2:$AY$2&amp;Demand_current!$D$3:$AY$3, 0))/1000</f>
        <v>11.753656249999985</v>
      </c>
      <c r="DD86" s="182">
        <f t="array" ref="DD86">INDEX(Demand_current!$D$4:$AY$138, MATCH($A86, Demand_current!$B$4:$B$138, 0), MATCH(DD$4&amp;DD$5,Demand_current!$D$2:$AY$2&amp;Demand_current!$D$3:$AY$3, 0))/1000</f>
        <v>1.4902692307692362</v>
      </c>
      <c r="DE86" s="182">
        <f t="array" ref="DE86">INDEX(Demand_current!$D$4:$AY$138, MATCH($A86, Demand_current!$B$4:$B$138, 0), MATCH(DE$4&amp;DE$5,Demand_current!$D$2:$AY$2&amp;Demand_current!$D$3:$AY$3, 0))/1000</f>
        <v>3.5196025000000057</v>
      </c>
      <c r="DF86" s="182">
        <f t="array" ref="DF86">INDEX(Demand_current!$D$4:$AY$138, MATCH($A86, Demand_current!$B$4:$B$138, 0), MATCH(DF$4&amp;DF$5,Demand_current!$D$2:$AY$2&amp;Demand_current!$D$3:$AY$3, 0))/1000</f>
        <v>14.498992788461534</v>
      </c>
      <c r="DG86" s="182">
        <f t="array" ref="DG86">INDEX(Demand_current!$D$4:$AY$138, MATCH($A86, Demand_current!$B$4:$B$138, 0), MATCH(DG$4&amp;DG$5,Demand_current!$D$2:$AY$2&amp;Demand_current!$D$3:$AY$3, 0))/1000</f>
        <v>21.902789351851858</v>
      </c>
      <c r="DH86" s="182">
        <f t="array" ref="DH86">INDEX(Demand_current!$D$4:$AY$138, MATCH($A86, Demand_current!$B$4:$B$138, 0), MATCH(DH$4&amp;DH$5,Demand_current!$D$2:$AY$2&amp;Demand_current!$D$3:$AY$3, 0))/1000</f>
        <v>0</v>
      </c>
      <c r="DI86" s="180">
        <f>$BS86*(VLOOKUP(DI$4, Rates_current!$G$6:$Q$29, 10, FALSE)+VLOOKUP(DI$4, Rates_current!$G$6:$Q$29, 11, FALSE))</f>
        <v>47739.983365134001</v>
      </c>
      <c r="DJ86" s="180">
        <f>$BS86*(VLOOKUP(DJ$4, Rates_current!$G$6:$Q$29, 10, FALSE)+VLOOKUP(DJ$4, Rates_current!$G$6:$Q$29, 11, FALSE))</f>
        <v>60884.22119204401</v>
      </c>
      <c r="DK86" s="180">
        <f>$BS86*(VLOOKUP(DK$4, Rates_current!$G$6:$Q$29, 10, FALSE)+VLOOKUP(DK$4, Rates_current!$G$6:$Q$29, 11, FALSE))</f>
        <v>65706.121286460009</v>
      </c>
      <c r="DL86" s="180">
        <f>$BS86*(VLOOKUP(DL$4, Rates_current!$G$6:$Q$29, 10, FALSE)+VLOOKUP(DL$4, Rates_current!$G$6:$Q$29, 11, FALSE))</f>
        <v>68278.817383104004</v>
      </c>
      <c r="DM86" s="180">
        <f>$BS86*(VLOOKUP(DM$4, Rates_current!$G$6:$Q$29, 10, FALSE)+VLOOKUP(DM$4, Rates_current!$G$6:$Q$29, 11, FALSE))</f>
        <v>58728.883934807993</v>
      </c>
      <c r="DN86" s="180">
        <f>$BS86*(VLOOKUP(DN$4, Rates_current!$G$6:$Q$29, 10, FALSE)+VLOOKUP(DN$4, Rates_current!$G$6:$Q$29, 11, FALSE))</f>
        <v>64120.313522555996</v>
      </c>
      <c r="DO86" s="180">
        <f>$BS86*(VLOOKUP(DO$4, Rates_current!$G$6:$Q$29, 10, FALSE)+VLOOKUP(DO$4, Rates_current!$G$6:$Q$29, 11, FALSE))</f>
        <v>50612.181943352996</v>
      </c>
      <c r="DP86" s="180">
        <f>$BS86*(VLOOKUP(DP$4, Rates_current!$G$6:$Q$29, 10, FALSE)+VLOOKUP(DP$4, Rates_current!$G$6:$Q$29, 11, FALSE))</f>
        <v>62791.194049553997</v>
      </c>
      <c r="DQ86" s="180">
        <f>$BS86*(VLOOKUP(DQ$4, Rates_current!$G$6:$Q$29, 10, FALSE)+VLOOKUP(DQ$4, Rates_current!$G$6:$Q$29, 11, FALSE))</f>
        <v>64153.606207337994</v>
      </c>
      <c r="DR86" s="180">
        <f>$BS86*(VLOOKUP(DR$4, Rates_current!$G$6:$Q$29, 10, FALSE)+VLOOKUP(DR$4, Rates_current!$G$6:$Q$29, 11, FALSE))</f>
        <v>55694.572694213995</v>
      </c>
      <c r="DS86" s="180">
        <f>$BS86*(VLOOKUP(DS$4, Rates_current!$G$6:$Q$29, 10, FALSE)+VLOOKUP(DS$4, Rates_current!$G$6:$Q$29, 11, FALSE))</f>
        <v>53841.847692276606</v>
      </c>
      <c r="DT86" s="180">
        <f>$BS86*(VLOOKUP(DT$4, Rates_current!$G$6:$Q$29, 10, FALSE)+VLOOKUP(DT$4, Rates_current!$G$6:$Q$29, 11, FALSE))</f>
        <v>49544.926289448005</v>
      </c>
      <c r="DU86" s="402">
        <f>IF(D86=0,IF(C86=0,MAX(0,DW86 - (VLOOKUP($A86,TOCA_current!$A$2:$AI$137,MATCH("RHWM 2024",TOCA_current!$A$2:$AI$2,0),FALSE)*$BS$2)), 0),0)</f>
        <v>0.35221827041823417</v>
      </c>
      <c r="DV86" s="403">
        <f>MIN(VLOOKUP($A86,TOCA_current!$A$2:$AI$137,MATCH("TRL - NLSL - Existing Resource "&amp;$BS$1,TOCA_current!$A$2:$AI$2,0),FALSE)*$BS$2, VLOOKUP($A86,TOCA_current!$A$2:$AI$137,MATCH("RHWM 2024",TOCA_current!$A$2:$AI$2,0),FALSE)*$BS$2)</f>
        <v>702096.33600000001</v>
      </c>
      <c r="DW86" s="403">
        <f>SUM(BY86:CV86)+(BS86*RT1SC!$C$4*$BS$2)</f>
        <v>702096.68821827043</v>
      </c>
      <c r="DX86" s="403">
        <f>VLOOKUP($A86,TOCA_current!$A$2:$AI$137,MATCH("Above RHWM Not Served with LS "&amp;$BS$1,TOCA_current!$A$2:$AI$2,0),FALSE)*$BS$2</f>
        <v>219.60000000000002</v>
      </c>
      <c r="DY86" s="403">
        <f t="shared" si="32"/>
        <v>0.35221827041823417</v>
      </c>
      <c r="DZ86" s="403">
        <f>(VLOOKUP($A86,TOCA_current!$A$2:$AI$137,MATCH("RHWM 2024",TOCA_current!$A$2:$AI$2,0),FALSE)*$BS$2) - $DV86</f>
        <v>0</v>
      </c>
      <c r="EA86" s="403">
        <f t="shared" si="33"/>
        <v>0</v>
      </c>
      <c r="EB86" s="403">
        <f t="shared" si="34"/>
        <v>0</v>
      </c>
      <c r="EC86" s="403">
        <f t="shared" si="35"/>
        <v>0</v>
      </c>
      <c r="ED86" s="403">
        <f t="shared" si="36"/>
        <v>0</v>
      </c>
    </row>
    <row r="87" spans="1:134">
      <c r="A87" s="123">
        <v>10256</v>
      </c>
      <c r="B87" s="124" t="s">
        <v>88</v>
      </c>
      <c r="C87" s="232">
        <f>VLOOKUP(A87, TOCA_current!$A$3:$D$137, 4, FALSE)</f>
        <v>0</v>
      </c>
      <c r="D87" s="191">
        <v>0</v>
      </c>
      <c r="E87" s="107">
        <f>VLOOKUP($A87,TOCA_previous!$A$2:$AI$137,MATCH(E$4,TOCA_previous!$A$2:$AI$2,0),FALSE)</f>
        <v>6.6194000000000001E-3</v>
      </c>
      <c r="F87" s="108">
        <f>VLOOKUP($A87,TOCA_previous!$A$2:$AI$137,MATCH(F$4,TOCA_previous!$A$2:$AI$2,0),FALSE)</f>
        <v>6.6194000000000001E-3</v>
      </c>
      <c r="G87" s="108">
        <f t="shared" si="24"/>
        <v>0</v>
      </c>
      <c r="H87" s="108">
        <f>VLOOKUP($A87,TOCA_previous!$A$2:$AI$137,MATCH(H$4,TOCA_previous!$A$2:$AI$2,0),FALSE)</f>
        <v>6.8760000000000002E-2</v>
      </c>
      <c r="I87" s="108">
        <f t="shared" si="25"/>
        <v>0</v>
      </c>
      <c r="J87" s="108">
        <f t="shared" si="26"/>
        <v>0</v>
      </c>
      <c r="K87" s="179">
        <f>VLOOKUP(A87, IRD!$A$5:$C$139, 3, FALSE)</f>
        <v>41489.314000000006</v>
      </c>
      <c r="L87" s="180">
        <f t="array" ref="L87">IF($G87=0, INDEX(LS_previous!$D$4:$AY$138, MATCH('Staging Table'!$A87, LS_previous!$B$4:$B$138, 0), MATCH(L$4&amp;L$5, LS_previous!$D$2:$AY$2&amp;LS_previous!$D$3:$AY$3, 0)),SUM(VLOOKUP($A87, LS_previous!$B$4:$AY$138, LS_previous!D$149, FALSE), VLOOKUP('Staging Table'!$A87, LS_previous!$B$4:$AY$138,LS_previous!AB$149, FALSE))/2)</f>
        <v>845.11492293371339</v>
      </c>
      <c r="M87" s="180">
        <f t="array" ref="M87">IF($G87=0, INDEX(LS_previous!$D$4:$AY$138, MATCH('Staging Table'!$A87, LS_previous!$B$4:$B$138, 0), MATCH(M$4&amp;M$5, LS_previous!$D$2:$AY$2&amp;LS_previous!$D$3:$AY$3, 0)),SUM(VLOOKUP($A87, LS_previous!$B$4:$AY$138, LS_previous!E$149, FALSE), VLOOKUP('Staging Table'!$A87, LS_previous!$B$4:$AY$138,LS_previous!AC$149, FALSE))/2)</f>
        <v>2130.3907662676829</v>
      </c>
      <c r="N87" s="180">
        <f t="array" ref="N87">IF($G87=0, INDEX(LS_previous!$D$4:$AY$138, MATCH('Staging Table'!$A87, LS_previous!$B$4:$B$138, 0), MATCH(N$4&amp;N$5, LS_previous!$D$2:$AY$2&amp;LS_previous!$D$3:$AY$3, 0)),SUM(VLOOKUP($A87, LS_previous!$B$4:$AY$138, LS_previous!F$149, FALSE), VLOOKUP('Staging Table'!$A87, LS_previous!$B$4:$AY$138,LS_previous!AD$149, FALSE))/2)</f>
        <v>-1492.1562619750803</v>
      </c>
      <c r="O87" s="180">
        <f t="array" ref="O87">IF($G87=0, INDEX(LS_previous!$D$4:$AY$138, MATCH('Staging Table'!$A87, LS_previous!$B$4:$B$138, 0), MATCH(O$4&amp;O$5, LS_previous!$D$2:$AY$2&amp;LS_previous!$D$3:$AY$3, 0)),SUM(VLOOKUP($A87, LS_previous!$B$4:$AY$138, LS_previous!G$149, FALSE), VLOOKUP('Staging Table'!$A87, LS_previous!$B$4:$AY$138,LS_previous!AE$149, FALSE))/2)</f>
        <v>1652.0621564846333</v>
      </c>
      <c r="P87" s="180">
        <f t="array" ref="P87">IF($G87=0, INDEX(LS_previous!$D$4:$AY$138, MATCH('Staging Table'!$A87, LS_previous!$B$4:$B$138, 0), MATCH(P$4&amp;P$5, LS_previous!$D$2:$AY$2&amp;LS_previous!$D$3:$AY$3, 0)),SUM(VLOOKUP($A87, LS_previous!$B$4:$AY$138, LS_previous!H$149, FALSE), VLOOKUP('Staging Table'!$A87, LS_previous!$B$4:$AY$138,LS_previous!AF$149, FALSE))/2)</f>
        <v>7392.7778134497385</v>
      </c>
      <c r="Q87" s="180">
        <f t="array" ref="Q87">IF($G87=0, INDEX(LS_previous!$D$4:$AY$138, MATCH('Staging Table'!$A87, LS_previous!$B$4:$B$138, 0), MATCH(Q$4&amp;Q$5, LS_previous!$D$2:$AY$2&amp;LS_previous!$D$3:$AY$3, 0)),SUM(VLOOKUP($A87, LS_previous!$B$4:$AY$138, LS_previous!I$149, FALSE), VLOOKUP('Staging Table'!$A87, LS_previous!$B$4:$AY$138,LS_previous!AG$149, FALSE))/2)</f>
        <v>5175.1584832060125</v>
      </c>
      <c r="R87" s="180">
        <f t="array" ref="R87">IF($G87=0, INDEX(LS_previous!$D$4:$AY$138, MATCH('Staging Table'!$A87, LS_previous!$B$4:$B$138, 0), MATCH(R$4&amp;R$5, LS_previous!$D$2:$AY$2&amp;LS_previous!$D$3:$AY$3, 0)),SUM(VLOOKUP($A87, LS_previous!$B$4:$AY$138, LS_previous!J$149, FALSE), VLOOKUP('Staging Table'!$A87, LS_previous!$B$4:$AY$138,LS_previous!AH$149, FALSE))/2)</f>
        <v>9769.2831669945735</v>
      </c>
      <c r="S87" s="180">
        <f t="array" ref="S87">IF($G87=0, INDEX(LS_previous!$D$4:$AY$138, MATCH('Staging Table'!$A87, LS_previous!$B$4:$B$138, 0), MATCH(S$4&amp;S$5, LS_previous!$D$2:$AY$2&amp;LS_previous!$D$3:$AY$3, 0)),SUM(VLOOKUP($A87, LS_previous!$B$4:$AY$138, LS_previous!K$149, FALSE), VLOOKUP('Staging Table'!$A87, LS_previous!$B$4:$AY$138,LS_previous!AI$149, FALSE))/2)</f>
        <v>6780.4215045733908</v>
      </c>
      <c r="T87" s="180">
        <f t="array" ref="T87">IF($G87=0, INDEX(LS_previous!$D$4:$AY$138, MATCH('Staging Table'!$A87, LS_previous!$B$4:$B$138, 0), MATCH(T$4&amp;T$5, LS_previous!$D$2:$AY$2&amp;LS_previous!$D$3:$AY$3, 0)),SUM(VLOOKUP($A87, LS_previous!$B$4:$AY$138, LS_previous!L$149, FALSE), VLOOKUP('Staging Table'!$A87, LS_previous!$B$4:$AY$138,LS_previous!AJ$149, FALSE))/2)</f>
        <v>7403.1314086639395</v>
      </c>
      <c r="U87" s="180">
        <f t="array" ref="U87">IF($G87=0, INDEX(LS_previous!$D$4:$AY$138, MATCH('Staging Table'!$A87, LS_previous!$B$4:$B$138, 0), MATCH(U$4&amp;U$5, LS_previous!$D$2:$AY$2&amp;LS_previous!$D$3:$AY$3, 0)),SUM(VLOOKUP($A87, LS_previous!$B$4:$AY$138, LS_previous!M$149, FALSE), VLOOKUP('Staging Table'!$A87, LS_previous!$B$4:$AY$138,LS_previous!AK$149, FALSE))/2)</f>
        <v>4398.9437793603684</v>
      </c>
      <c r="V87" s="180">
        <f t="array" ref="V87">IF($G87=0, INDEX(LS_previous!$D$4:$AY$138, MATCH('Staging Table'!$A87, LS_previous!$B$4:$B$138, 0), MATCH(V$4&amp;V$5, LS_previous!$D$2:$AY$2&amp;LS_previous!$D$3:$AY$3, 0)),SUM(VLOOKUP($A87, LS_previous!$B$4:$AY$138, LS_previous!N$149, FALSE), VLOOKUP('Staging Table'!$A87, LS_previous!$B$4:$AY$138,LS_previous!AL$149, FALSE))/2)</f>
        <v>4960.253259868663</v>
      </c>
      <c r="W87" s="180">
        <f t="array" ref="W87">IF($G87=0, INDEX(LS_previous!$D$4:$AY$138, MATCH('Staging Table'!$A87, LS_previous!$B$4:$B$138, 0), MATCH(W$4&amp;W$5, LS_previous!$D$2:$AY$2&amp;LS_previous!$D$3:$AY$3, 0)),SUM(VLOOKUP($A87, LS_previous!$B$4:$AY$138, LS_previous!O$149, FALSE), VLOOKUP('Staging Table'!$A87, LS_previous!$B$4:$AY$138,LS_previous!AM$149, FALSE))/2)</f>
        <v>4686.1805337317219</v>
      </c>
      <c r="X87" s="180">
        <f t="array" ref="X87">IF($G87=0, INDEX(LS_previous!$D$4:$AY$138, MATCH('Staging Table'!$A87, LS_previous!$B$4:$B$138, 0), MATCH(X$4&amp;X$5, LS_previous!$D$2:$AY$2&amp;LS_previous!$D$3:$AY$3, 0)),SUM(VLOOKUP($A87, LS_previous!$B$4:$AY$138, LS_previous!P$149, FALSE), VLOOKUP('Staging Table'!$A87, LS_previous!$B$4:$AY$138,LS_previous!AN$149, FALSE))/2)</f>
        <v>6651.1931409533809</v>
      </c>
      <c r="Y87" s="180">
        <f t="array" ref="Y87">IF($G87=0, INDEX(LS_previous!$D$4:$AY$138, MATCH('Staging Table'!$A87, LS_previous!$B$4:$B$138, 0), MATCH(Y$4&amp;Y$5, LS_previous!$D$2:$AY$2&amp;LS_previous!$D$3:$AY$3, 0)),SUM(VLOOKUP($A87, LS_previous!$B$4:$AY$138, LS_previous!Q$149, FALSE), VLOOKUP('Staging Table'!$A87, LS_previous!$B$4:$AY$138,LS_previous!AO$149, FALSE))/2)</f>
        <v>4912.9658140868905</v>
      </c>
      <c r="Z87" s="180">
        <f t="array" ref="Z87">IF($G87=0, INDEX(LS_previous!$D$4:$AY$138, MATCH('Staging Table'!$A87, LS_previous!$B$4:$B$138, 0), MATCH(Z$4&amp;Z$5, LS_previous!$D$2:$AY$2&amp;LS_previous!$D$3:$AY$3, 0)),SUM(VLOOKUP($A87, LS_previous!$B$4:$AY$138, LS_previous!R$149, FALSE), VLOOKUP('Staging Table'!$A87, LS_previous!$B$4:$AY$138,LS_previous!AP$149, FALSE))/2)</f>
        <v>-1951.9776169328106</v>
      </c>
      <c r="AA87" s="180">
        <f t="array" ref="AA87">IF($G87=0, INDEX(LS_previous!$D$4:$AY$138, MATCH('Staging Table'!$A87, LS_previous!$B$4:$B$138, 0), MATCH(AA$4&amp;AA$5, LS_previous!$D$2:$AY$2&amp;LS_previous!$D$3:$AY$3, 0)),SUM(VLOOKUP($A87, LS_previous!$B$4:$AY$138, LS_previous!S$149, FALSE), VLOOKUP('Staging Table'!$A87, LS_previous!$B$4:$AY$138,LS_previous!AQ$149, FALSE))/2)</f>
        <v>3080.5712709723284</v>
      </c>
      <c r="AB87" s="180">
        <f t="array" ref="AB87">IF($G87=0, INDEX(LS_previous!$D$4:$AY$138, MATCH('Staging Table'!$A87, LS_previous!$B$4:$B$138, 0), MATCH(AB$4&amp;AB$5, LS_previous!$D$2:$AY$2&amp;LS_previous!$D$3:$AY$3, 0)),SUM(VLOOKUP($A87, LS_previous!$B$4:$AY$138, LS_previous!T$149, FALSE), VLOOKUP('Staging Table'!$A87, LS_previous!$B$4:$AY$138,LS_previous!AR$149, FALSE))/2)</f>
        <v>-7010.9681237892692</v>
      </c>
      <c r="AC87" s="180">
        <f t="array" ref="AC87">IF($G87=0, INDEX(LS_previous!$D$4:$AY$138, MATCH('Staging Table'!$A87, LS_previous!$B$4:$B$138, 0), MATCH(AC$4&amp;AC$5, LS_previous!$D$2:$AY$2&amp;LS_previous!$D$3:$AY$3, 0)),SUM(VLOOKUP($A87, LS_previous!$B$4:$AY$138, LS_previous!U$149, FALSE), VLOOKUP('Staging Table'!$A87, LS_previous!$B$4:$AY$138,LS_previous!AS$149, FALSE))/2)</f>
        <v>1050.992852160105</v>
      </c>
      <c r="AD87" s="180">
        <f t="array" ref="AD87">IF($G87=0, INDEX(LS_previous!$D$4:$AY$138, MATCH('Staging Table'!$A87, LS_previous!$B$4:$B$138, 0), MATCH(AD$4&amp;AD$5, LS_previous!$D$2:$AY$2&amp;LS_previous!$D$3:$AY$3, 0)),SUM(VLOOKUP($A87, LS_previous!$B$4:$AY$138, LS_previous!V$149, FALSE), VLOOKUP('Staging Table'!$A87, LS_previous!$B$4:$AY$138,LS_previous!AT$149, FALSE))/2)</f>
        <v>-2210.4930291601013</v>
      </c>
      <c r="AE87" s="180">
        <f t="array" ref="AE87">IF($G87=0, INDEX(LS_previous!$D$4:$AY$138, MATCH('Staging Table'!$A87, LS_previous!$B$4:$B$138, 0), MATCH(AE$4&amp;AE$5, LS_previous!$D$2:$AY$2&amp;LS_previous!$D$3:$AY$3, 0)),SUM(VLOOKUP($A87, LS_previous!$B$4:$AY$138, LS_previous!W$149, FALSE), VLOOKUP('Staging Table'!$A87, LS_previous!$B$4:$AY$138,LS_previous!AU$149, FALSE))/2)</f>
        <v>2648.2552654924093</v>
      </c>
      <c r="AF87" s="180">
        <f t="array" ref="AF87">IF($G87=0, INDEX(LS_previous!$D$4:$AY$138, MATCH('Staging Table'!$A87, LS_previous!$B$4:$B$138, 0), MATCH(AF$4&amp;AF$5, LS_previous!$D$2:$AY$2&amp;LS_previous!$D$3:$AY$3, 0)),SUM(VLOOKUP($A87, LS_previous!$B$4:$AY$138, LS_previous!X$149, FALSE), VLOOKUP('Staging Table'!$A87, LS_previous!$B$4:$AY$138,LS_previous!AV$149, FALSE))/2)</f>
        <v>-1471.1054419653701</v>
      </c>
      <c r="AG87" s="180">
        <f t="array" ref="AG87">IF($G87=0, INDEX(LS_previous!$D$4:$AY$138, MATCH('Staging Table'!$A87, LS_previous!$B$4:$B$138, 0), MATCH(AG$4&amp;AG$5, LS_previous!$D$2:$AY$2&amp;LS_previous!$D$3:$AY$3, 0)),SUM(VLOOKUP($A87, LS_previous!$B$4:$AY$138, LS_previous!Y$149, FALSE), VLOOKUP('Staging Table'!$A87, LS_previous!$B$4:$AY$138,LS_previous!AW$149, FALSE))/2)</f>
        <v>2200.8881768300562</v>
      </c>
      <c r="AH87" s="180">
        <f t="array" ref="AH87">IF($G87=0, INDEX(LS_previous!$D$4:$AY$138, MATCH('Staging Table'!$A87, LS_previous!$B$4:$B$138, 0), MATCH(AH$4&amp;AH$5, LS_previous!$D$2:$AY$2&amp;LS_previous!$D$3:$AY$3, 0)),SUM(VLOOKUP($A87, LS_previous!$B$4:$AY$138, LS_previous!Z$149, FALSE), VLOOKUP('Staging Table'!$A87, LS_previous!$B$4:$AY$138,LS_previous!AX$149, FALSE))/2)</f>
        <v>-3240.6898478306393</v>
      </c>
      <c r="AI87" s="180">
        <f t="array" ref="AI87">IF($G87=0, INDEX(LS_previous!$D$4:$AY$138, MATCH('Staging Table'!$A87, LS_previous!$B$4:$B$138, 0), MATCH(AI$4&amp;AI$5, LS_previous!$D$2:$AY$2&amp;LS_previous!$D$3:$AY$3, 0)),SUM(VLOOKUP($A87, LS_previous!$B$4:$AY$138, LS_previous!AA$149, FALSE), VLOOKUP('Staging Table'!$A87, LS_previous!$B$4:$AY$138,LS_previous!AY$149, FALSE))/2)</f>
        <v>-68.54475067016574</v>
      </c>
      <c r="AJ87" s="298">
        <f t="array" ref="AJ87">INDEX(Demand_previous!$D$4:$AY$138, MATCH('Staging Table'!$A87, Demand_previous!$B$4:$B$138, 0), MATCH(AJ$4&amp;AJ$5,Demand_previous!$D$2:$AY$2&amp;Demand_previous!$D$3:$AY$3, 0))/1000</f>
        <v>11.036168269230764</v>
      </c>
      <c r="AK87" s="298">
        <f t="array" ref="AK87">INDEX(Demand_previous!$D$4:$AY$138, MATCH('Staging Table'!$A87, Demand_previous!$B$4:$B$138, 0), MATCH(AK$4&amp;AK$5,Demand_previous!$D$2:$AY$2&amp;Demand_previous!$D$3:$AY$3, 0))/1000</f>
        <v>7.4402050000000131</v>
      </c>
      <c r="AL87" s="298">
        <f t="array" ref="AL87">INDEX(Demand_previous!$D$4:$AY$138, MATCH('Staging Table'!$A87, Demand_previous!$B$4:$B$138, 0), MATCH(AL$4&amp;AL$5,Demand_previous!$D$2:$AY$2&amp;Demand_previous!$D$3:$AY$3, 0))/1000</f>
        <v>19.455170673076921</v>
      </c>
      <c r="AM87" s="298">
        <f t="array" ref="AM87">INDEX(Demand_previous!$D$4:$AY$138, MATCH('Staging Table'!$A87, Demand_previous!$B$4:$B$138, 0), MATCH(AM$4&amp;AM$5,Demand_previous!$D$2:$AY$2&amp;Demand_previous!$D$3:$AY$3, 0))/1000</f>
        <v>15.36762499999999</v>
      </c>
      <c r="AN87" s="298">
        <f t="array" ref="AN87">INDEX(Demand_previous!$D$4:$AY$138, MATCH('Staging Table'!$A87, Demand_previous!$B$4:$B$138, 0), MATCH(AN$4&amp;AN$5,Demand_previous!$D$2:$AY$2&amp;Demand_previous!$D$3:$AY$3, 0))/1000</f>
        <v>1.2124479166666724</v>
      </c>
      <c r="AO87" s="298">
        <f t="array" ref="AO87">INDEX(Demand_previous!$D$4:$AY$138, MATCH('Staging Table'!$A87, Demand_previous!$B$4:$B$138, 0), MATCH(AO$4&amp;AO$5,Demand_previous!$D$2:$AY$2&amp;Demand_previous!$D$3:$AY$3, 0))/1000</f>
        <v>14.572287037037036</v>
      </c>
      <c r="AP87" s="298">
        <f t="array" ref="AP87">INDEX(Demand_previous!$D$4:$AY$138, MATCH('Staging Table'!$A87, Demand_previous!$B$4:$B$138, 0), MATCH(AP$4&amp;AP$5,Demand_previous!$D$2:$AY$2&amp;Demand_previous!$D$3:$AY$3, 0))/1000</f>
        <v>13.609901442307695</v>
      </c>
      <c r="AQ87" s="298">
        <f t="array" ref="AQ87">INDEX(Demand_previous!$D$4:$AY$138, MATCH('Staging Table'!$A87, Demand_previous!$B$4:$B$138, 0), MATCH(AQ$4&amp;AQ$5,Demand_previous!$D$2:$AY$2&amp;Demand_previous!$D$3:$AY$3, 0))/1000</f>
        <v>5.8296924999999966</v>
      </c>
      <c r="AR87" s="298">
        <f t="array" ref="AR87">INDEX(Demand_previous!$D$4:$AY$138, MATCH('Staging Table'!$A87, Demand_previous!$B$4:$B$138, 0), MATCH(AR$4&amp;AR$5,Demand_previous!$D$2:$AY$2&amp;Demand_previous!$D$3:$AY$3, 0))/1000</f>
        <v>6.4867403846153904</v>
      </c>
      <c r="AS87" s="298">
        <f t="array" ref="AS87">INDEX(Demand_previous!$D$4:$AY$138, MATCH('Staging Table'!$A87, Demand_previous!$B$4:$B$138, 0), MATCH(AS$4&amp;AS$5,Demand_previous!$D$2:$AY$2&amp;Demand_previous!$D$3:$AY$3, 0))/1000</f>
        <v>3.9736250000000055</v>
      </c>
      <c r="AT87" s="298">
        <f t="array" ref="AT87">INDEX(Demand_previous!$D$4:$AY$138, MATCH('Staging Table'!$A87, Demand_previous!$B$4:$B$138, 0), MATCH(AT$4&amp;AT$5,Demand_previous!$D$2:$AY$2&amp;Demand_previous!$D$3:$AY$3, 0))/1000</f>
        <v>7.5380208333333387</v>
      </c>
      <c r="AU87" s="298">
        <f t="array" ref="AU87">INDEX(Demand_previous!$D$4:$AY$138, MATCH('Staging Table'!$A87, Demand_previous!$B$4:$B$138, 0), MATCH(AU$4&amp;AU$5,Demand_previous!$D$2:$AY$2&amp;Demand_previous!$D$3:$AY$3, 0))/1000</f>
        <v>2.6144374999999922</v>
      </c>
      <c r="AV87" s="180">
        <f>$F87*(VLOOKUP(AV$4, Rates_previous!$G$6:$Q$29, 10, FALSE)+VLOOKUP(AV$4, Rates_previous!$G$6:$Q$29, 11, FALSE))</f>
        <v>30144.247310798601</v>
      </c>
      <c r="AW87" s="180">
        <f>$F87*(VLOOKUP(AW$4, Rates_previous!$G$6:$Q$29, 10, FALSE)+VLOOKUP(AW$4, Rates_previous!$G$6:$Q$29, 11, FALSE))</f>
        <v>38163.711105490453</v>
      </c>
      <c r="AX87" s="180">
        <f>$F87*(VLOOKUP(AX$4, Rates_previous!$G$6:$Q$29, 10, FALSE)+VLOOKUP(AX$4, Rates_previous!$G$6:$Q$29, 11, FALSE))</f>
        <v>37354.648703344254</v>
      </c>
      <c r="AY87" s="180">
        <f>$F87*(VLOOKUP(AY$4, Rates_previous!$G$6:$Q$29, 10, FALSE)+VLOOKUP(AY$4, Rates_previous!$G$6:$Q$29, 11, FALSE))</f>
        <v>30853.351328432036</v>
      </c>
      <c r="AZ87" s="180">
        <f>$F87*(VLOOKUP(AZ$4, Rates_previous!$G$6:$Q$29, 10, FALSE)+VLOOKUP(AZ$4, Rates_previous!$G$6:$Q$29, 11, FALSE))</f>
        <v>26741.275811975695</v>
      </c>
      <c r="BA87" s="180">
        <f>$F87*(VLOOKUP(BA$4, Rates_previous!$G$6:$Q$29, 10, FALSE)+VLOOKUP(BA$4, Rates_previous!$G$6:$Q$29, 11, FALSE))</f>
        <v>31923.683206399623</v>
      </c>
      <c r="BB87" s="180">
        <f>$F87*(VLOOKUP(BB$4, Rates_previous!$G$6:$Q$29, 10, FALSE)+VLOOKUP(BB$4, Rates_previous!$G$6:$Q$29, 11, FALSE))</f>
        <v>24784.49004495973</v>
      </c>
      <c r="BC87" s="180">
        <f>$F87*(VLOOKUP(BC$4, Rates_previous!$G$6:$Q$29, 10, FALSE)+VLOOKUP(BC$4, Rates_previous!$G$6:$Q$29, 11, FALSE))</f>
        <v>34339.093345960486</v>
      </c>
      <c r="BD87" s="180">
        <f>$F87*(VLOOKUP(BD$4, Rates_previous!$G$6:$Q$29, 10, FALSE)+VLOOKUP(BD$4, Rates_previous!$G$6:$Q$29, 11, FALSE))</f>
        <v>36692.040271629165</v>
      </c>
      <c r="BE87" s="180">
        <f>$F87*(VLOOKUP(BE$4, Rates_previous!$G$6:$Q$29, 10, FALSE)+VLOOKUP(BE$4, Rates_previous!$G$6:$Q$29, 11, FALSE))</f>
        <v>34837.430763667697</v>
      </c>
      <c r="BF87" s="180">
        <f>$F87*(VLOOKUP(BF$4, Rates_previous!$G$6:$Q$29, 10, FALSE)+VLOOKUP(BF$4, Rates_previous!$G$6:$Q$29, 11, FALSE))</f>
        <v>33667.689265135319</v>
      </c>
      <c r="BG87" s="180">
        <f>$F87*(VLOOKUP(BG$4, Rates_previous!$G$6:$Q$29, 10, FALSE)+VLOOKUP(BG$4, Rates_previous!$G$6:$Q$29, 11, FALSE))</f>
        <v>31112.454598500808</v>
      </c>
      <c r="BH87" s="298">
        <f>IF($D87=0,IF(C87=0, MAX(BJ87 - (VLOOKUP($A87,TOCA_previous!$A$2:$AI$137,MATCH("RHWM 2022",TOCA_previous!$A$2:$AI$2,0),FALSE)*$F$2*TOCA_previous!C84),0),0), 0)</f>
        <v>58289.624981602188</v>
      </c>
      <c r="BI87" s="192">
        <f>MIN(VLOOKUP($A87,TOCA_previous!$A$2:$AI$137,MATCH("TRL - NLSL - Existing Resource "&amp;$F$1,TOCA_previous!$A$2:$AI$2,0),FALSE)*$F$2,(VLOOKUP($A87,TOCA_previous!$A$2:$AI$137,MATCH("RHWM 2022",TOCA_previous!$A$2:$AI$2,0),FALSE)*$F$2))</f>
        <v>390617.16000000003</v>
      </c>
      <c r="BJ87" s="402">
        <f>SUM(L87:AI87)+(F87*RT1SC!$C$3*$F$2)</f>
        <v>448906.78498160222</v>
      </c>
      <c r="BK87" s="401">
        <f>VLOOKUP($A87,TOCA_previous!$A$2:$AI$137,MATCH("Above RHWM Not Served with LS "&amp;$F$1,TOCA_previous!$A$2:$AI$2,0),FALSE)*$F$2</f>
        <v>57018.840000000004</v>
      </c>
      <c r="BL87" s="402">
        <f t="shared" si="27"/>
        <v>58289.624981602188</v>
      </c>
      <c r="BM87" s="401">
        <f>(VLOOKUP($A87,TOCA_previous!$A$2:$AI$137,MATCH("RHWM 2022",TOCA_previous!$A$2:$AI$2,0),FALSE)*$F$2) - $BI87</f>
        <v>0</v>
      </c>
      <c r="BN87" s="402">
        <f t="shared" si="28"/>
        <v>0</v>
      </c>
      <c r="BO87" s="401">
        <f t="shared" si="29"/>
        <v>0</v>
      </c>
      <c r="BP87" s="402">
        <f t="shared" si="30"/>
        <v>0</v>
      </c>
      <c r="BQ87" s="401">
        <f t="shared" si="21"/>
        <v>0</v>
      </c>
      <c r="BR87" s="108">
        <f>VLOOKUP($A87,TOCA_current!$A$2:$AI$137,MATCH(BR$4,TOCA_current!$A$2:$AI$2,0),FALSE)</f>
        <v>6.6181E-3</v>
      </c>
      <c r="BS87" s="108">
        <f>VLOOKUP($A87,TOCA_current!$A$2:$AI$137,MATCH(BS$4,TOCA_current!$A$2:$AI$2,0),FALSE)</f>
        <v>6.6181E-3</v>
      </c>
      <c r="BT87" s="189">
        <f t="shared" si="31"/>
        <v>0</v>
      </c>
      <c r="BU87" s="108">
        <f>VLOOKUP($A87,TOCA_current!A83:BG218,MATCH(BU$4,TOCA_current!$A$2:$BG$2,0),FALSE)</f>
        <v>8.0086852351003296E-2</v>
      </c>
      <c r="BV87" s="108">
        <f t="shared" si="22"/>
        <v>0</v>
      </c>
      <c r="BW87" s="108">
        <f t="shared" si="23"/>
        <v>0</v>
      </c>
      <c r="BX87" s="179">
        <f>VLOOKUP($A87,IRD!$A$4:$G$139, 7, FALSE)</f>
        <v>41489.314000000006</v>
      </c>
      <c r="BY87" s="180">
        <f t="array" ref="BY87">IF($BT87=0, INDEX(LS_current!$D$4:$AY$138, MATCH('Staging Table'!$A87, LS_current!$B$4:$B$138, 0), MATCH(BY$4&amp;BY$5, LS_current!$D$2:$AY$2&amp;LS_current!$D$3:$AY$3, 0)),SUM(VLOOKUP($A87, LS_current!$B$4:$AY$138, LS_current!D$148, FALSE), VLOOKUP($A87, LS_current!$B$4:$AY$138,LS_current!AB$148, FALSE))/2)</f>
        <v>1480.8081253484015</v>
      </c>
      <c r="BZ87" s="180">
        <f t="array" ref="BZ87">IF($BT87=0, INDEX(LS_current!$D$4:$AY$138, MATCH('Staging Table'!$A87, LS_current!$B$4:$B$138, 0), MATCH(BZ$4&amp;BZ$5, LS_current!$D$2:$AY$2&amp;LS_current!$D$3:$AY$3, 0)),SUM(VLOOKUP($A87, LS_current!$B$4:$AY$138, LS_current!E$148, FALSE), VLOOKUP($A87, LS_current!$B$4:$AY$138,LS_current!AC$148, FALSE))/2)</f>
        <v>488.77570066844964</v>
      </c>
      <c r="CA87" s="180">
        <f t="array" ref="CA87">IF($BT87=0, INDEX(LS_current!$D$4:$AY$138, MATCH('Staging Table'!$A87, LS_current!$B$4:$B$138, 0), MATCH(CA$4&amp;CA$5, LS_current!$D$2:$AY$2&amp;LS_current!$D$3:$AY$3, 0)),SUM(VLOOKUP($A87, LS_current!$B$4:$AY$138, LS_current!F$148, FALSE), VLOOKUP($A87, LS_current!$B$4:$AY$138,LS_current!AD$148, FALSE))/2)</f>
        <v>-1414.1855854368005</v>
      </c>
      <c r="CB87" s="180">
        <f t="array" ref="CB87">IF($BT87=0, INDEX(LS_current!$D$4:$AY$138, MATCH('Staging Table'!$A87, LS_current!$B$4:$B$138, 0), MATCH(CB$4&amp;CB$5, LS_current!$D$2:$AY$2&amp;LS_current!$D$3:$AY$3, 0)),SUM(VLOOKUP($A87, LS_current!$B$4:$AY$138, LS_current!G$148, FALSE), VLOOKUP($A87, LS_current!$B$4:$AY$138,LS_current!AE$148, FALSE))/2)</f>
        <v>1000.1416321788984</v>
      </c>
      <c r="CC87" s="180">
        <f t="array" ref="CC87">IF($BT87=0, INDEX(LS_current!$D$4:$AY$138, MATCH('Staging Table'!$A87, LS_current!$B$4:$B$138, 0), MATCH(CC$4&amp;CC$5, LS_current!$D$2:$AY$2&amp;LS_current!$D$3:$AY$3, 0)),SUM(VLOOKUP($A87, LS_current!$B$4:$AY$138, LS_current!H$148, FALSE), VLOOKUP($A87, LS_current!$B$4:$AY$138,LS_current!AF$148, FALSE))/2)</f>
        <v>3801.6983307240989</v>
      </c>
      <c r="CD87" s="180">
        <f t="array" ref="CD87">IF($BT87=0, INDEX(LS_current!$D$4:$AY$138, MATCH('Staging Table'!$A87, LS_current!$B$4:$B$138, 0), MATCH(CD$4&amp;CD$5, LS_current!$D$2:$AY$2&amp;LS_current!$D$3:$AY$3, 0)),SUM(VLOOKUP($A87, LS_current!$B$4:$AY$138, LS_current!I$148, FALSE), VLOOKUP($A87, LS_current!$B$4:$AY$138,LS_current!AG$148, FALSE))/2)</f>
        <v>4463.3211205023981</v>
      </c>
      <c r="CE87" s="180">
        <f t="array" ref="CE87">IF($BT87=0, INDEX(LS_current!$D$4:$AY$138, MATCH('Staging Table'!$A87, LS_current!$B$4:$B$138, 0), MATCH(CE$4&amp;CE$5, LS_current!$D$2:$AY$2&amp;LS_current!$D$3:$AY$3, 0)),SUM(VLOOKUP($A87, LS_current!$B$4:$AY$138, LS_current!J$148, FALSE), VLOOKUP($A87, LS_current!$B$4:$AY$138,LS_current!AH$148, FALSE))/2)</f>
        <v>687.96866095850055</v>
      </c>
      <c r="CF87" s="180">
        <f t="array" ref="CF87">IF($BT87=0, INDEX(LS_current!$D$4:$AY$138, MATCH('Staging Table'!$A87, LS_current!$B$4:$B$138, 0), MATCH(CF$4&amp;CF$5, LS_current!$D$2:$AY$2&amp;LS_current!$D$3:$AY$3, 0)),SUM(VLOOKUP($A87, LS_current!$B$4:$AY$138, LS_current!K$148, FALSE), VLOOKUP($A87, LS_current!$B$4:$AY$138,LS_current!AI$148, FALSE))/2)</f>
        <v>3552.8947102751008</v>
      </c>
      <c r="CG87" s="180">
        <f t="array" ref="CG87">IF($BT87=0, INDEX(LS_current!$D$4:$AY$138, MATCH('Staging Table'!$A87, LS_current!$B$4:$B$138, 0), MATCH(CG$4&amp;CG$5, LS_current!$D$2:$AY$2&amp;LS_current!$D$3:$AY$3, 0)),SUM(VLOOKUP($A87, LS_current!$B$4:$AY$138, LS_current!L$148, FALSE), VLOOKUP($A87, LS_current!$B$4:$AY$138,LS_current!AJ$148, FALSE))/2)</f>
        <v>-743.43472680989726</v>
      </c>
      <c r="CH87" s="180">
        <f t="array" ref="CH87">IF($BT87=0, INDEX(LS_current!$D$4:$AY$138, MATCH('Staging Table'!$A87, LS_current!$B$4:$B$138, 0), MATCH(CH$4&amp;CH$5, LS_current!$D$2:$AY$2&amp;LS_current!$D$3:$AY$3, 0)),SUM(VLOOKUP($A87, LS_current!$B$4:$AY$138, LS_current!M$148, FALSE), VLOOKUP($A87, LS_current!$B$4:$AY$138,LS_current!AK$148, FALSE))/2)</f>
        <v>1761.9708451421011</v>
      </c>
      <c r="CI87" s="180">
        <f t="array" ref="CI87">IF($BT87=0, INDEX(LS_current!$D$4:$AY$138, MATCH('Staging Table'!$A87, LS_current!$B$4:$B$138, 0), MATCH(CI$4&amp;CI$5, LS_current!$D$2:$AY$2&amp;LS_current!$D$3:$AY$3, 0)),SUM(VLOOKUP($A87, LS_current!$B$4:$AY$138, LS_current!N$148, FALSE), VLOOKUP($A87, LS_current!$B$4:$AY$138,LS_current!AL$148, FALSE))/2)</f>
        <v>32.230318254703889</v>
      </c>
      <c r="CJ87" s="180">
        <f t="array" ref="CJ87">IF($BT87=0, INDEX(LS_current!$D$4:$AY$138, MATCH('Staging Table'!$A87, LS_current!$B$4:$B$138, 0), MATCH(CJ$4&amp;CJ$5, LS_current!$D$2:$AY$2&amp;LS_current!$D$3:$AY$3, 0)),SUM(VLOOKUP($A87, LS_current!$B$4:$AY$138, LS_current!O$148, FALSE), VLOOKUP($A87, LS_current!$B$4:$AY$138,LS_current!AM$148, FALSE))/2)</f>
        <v>812.11303101819794</v>
      </c>
      <c r="CK87" s="180">
        <f t="array" ref="CK87">IF($BT87=0, INDEX(LS_current!$D$4:$AY$138, MATCH('Staging Table'!$A87, LS_current!$B$4:$B$138, 0), MATCH(CK$4&amp;CK$5, LS_current!$D$2:$AY$2&amp;LS_current!$D$3:$AY$3, 0)),SUM(VLOOKUP($A87, LS_current!$B$4:$AY$138, LS_current!P$148, FALSE), VLOOKUP($A87, LS_current!$B$4:$AY$138,LS_current!AN$148, FALSE))/2)</f>
        <v>2101.2020877272516</v>
      </c>
      <c r="CL87" s="180">
        <f t="array" ref="CL87">IF($BT87=0, INDEX(LS_current!$D$4:$AY$138, MATCH('Staging Table'!$A87, LS_current!$B$4:$B$138, 0), MATCH(CL$4&amp;CL$5, LS_current!$D$2:$AY$2&amp;LS_current!$D$3:$AY$3, 0)),SUM(VLOOKUP($A87, LS_current!$B$4:$AY$138, LS_current!Q$148, FALSE), VLOOKUP($A87, LS_current!$B$4:$AY$138,LS_current!AO$148, FALSE))/2)</f>
        <v>1521.6722887923261</v>
      </c>
      <c r="CM87" s="180">
        <f t="array" ref="CM87">IF($BT87=0, INDEX(LS_current!$D$4:$AY$138, MATCH('Staging Table'!$A87, LS_current!$B$4:$B$138, 0), MATCH(CM$4&amp;CM$5, LS_current!$D$2:$AY$2&amp;LS_current!$D$3:$AY$3, 0)),SUM(VLOOKUP($A87, LS_current!$B$4:$AY$138, LS_current!R$148, FALSE), VLOOKUP($A87, LS_current!$B$4:$AY$138,LS_current!AP$148, FALSE))/2)</f>
        <v>-3037.4980817487994</v>
      </c>
      <c r="CN87" s="180">
        <f t="array" ref="CN87">IF($BT87=0, INDEX(LS_current!$D$4:$AY$138, MATCH('Staging Table'!$A87, LS_current!$B$4:$B$138, 0), MATCH(CN$4&amp;CN$5, LS_current!$D$2:$AY$2&amp;LS_current!$D$3:$AY$3, 0)),SUM(VLOOKUP($A87, LS_current!$B$4:$AY$138, LS_current!S$148, FALSE), VLOOKUP($A87, LS_current!$B$4:$AY$138,LS_current!AQ$148, FALSE))/2)</f>
        <v>-1447.6013978688497</v>
      </c>
      <c r="CO87" s="180">
        <f t="array" ref="CO87">IF($BT87=0, INDEX(LS_current!$D$4:$AY$138, MATCH('Staging Table'!$A87, LS_current!$B$4:$B$138, 0), MATCH(CO$4&amp;CO$5, LS_current!$D$2:$AY$2&amp;LS_current!$D$3:$AY$3, 0)),SUM(VLOOKUP($A87, LS_current!$B$4:$AY$138, LS_current!T$148, FALSE), VLOOKUP($A87, LS_current!$B$4:$AY$138,LS_current!AR$148, FALSE))/2)</f>
        <v>-6037.6684550606005</v>
      </c>
      <c r="CP87" s="180">
        <f t="array" ref="CP87">IF($BT87=0, INDEX(LS_current!$D$4:$AY$138, MATCH('Staging Table'!$A87, LS_current!$B$4:$B$138, 0), MATCH(CP$4&amp;CP$5, LS_current!$D$2:$AY$2&amp;LS_current!$D$3:$AY$3, 0)),SUM(VLOOKUP($A87, LS_current!$B$4:$AY$138, LS_current!U$148, FALSE), VLOOKUP($A87, LS_current!$B$4:$AY$138,LS_current!AS$148, FALSE))/2)</f>
        <v>-3875.6682381864503</v>
      </c>
      <c r="CQ87" s="180">
        <f t="array" ref="CQ87">IF($BT87=0, INDEX(LS_current!$D$4:$AY$138, MATCH('Staging Table'!$A87, LS_current!$B$4:$B$138, 0), MATCH(CQ$4&amp;CQ$5, LS_current!$D$2:$AY$2&amp;LS_current!$D$3:$AY$3, 0)),SUM(VLOOKUP($A87, LS_current!$B$4:$AY$138, LS_current!V$148, FALSE), VLOOKUP($A87, LS_current!$B$4:$AY$138,LS_current!AT$148, FALSE))/2)</f>
        <v>-1215.1729173284002</v>
      </c>
      <c r="CR87" s="180">
        <f t="array" ref="CR87">IF($BT87=0, INDEX(LS_current!$D$4:$AY$138, MATCH('Staging Table'!$A87, LS_current!$B$4:$B$138, 0), MATCH(CR$4&amp;CR$5, LS_current!$D$2:$AY$2&amp;LS_current!$D$3:$AY$3, 0)),SUM(VLOOKUP($A87, LS_current!$B$4:$AY$138, LS_current!W$148, FALSE), VLOOKUP($A87, LS_current!$B$4:$AY$138,LS_current!AU$148, FALSE))/2)</f>
        <v>687.99917894225109</v>
      </c>
      <c r="CS87" s="180">
        <f t="array" ref="CS87">IF($BT87=0, INDEX(LS_current!$D$4:$AY$138, MATCH('Staging Table'!$A87, LS_current!$B$4:$B$138, 0), MATCH(CS$4&amp;CS$5, LS_current!$D$2:$AY$2&amp;LS_current!$D$3:$AY$3, 0)),SUM(VLOOKUP($A87, LS_current!$B$4:$AY$138, LS_current!X$148, FALSE), VLOOKUP($A87, LS_current!$B$4:$AY$138,LS_current!AV$148, FALSE))/2)</f>
        <v>-648.60318400415417</v>
      </c>
      <c r="CT87" s="180">
        <f t="array" ref="CT87">IF($BT87=0, INDEX(LS_current!$D$4:$AY$138, MATCH('Staging Table'!$A87, LS_current!$B$4:$B$138, 0), MATCH(CT$4&amp;CT$5, LS_current!$D$2:$AY$2&amp;LS_current!$D$3:$AY$3, 0)),SUM(VLOOKUP($A87, LS_current!$B$4:$AY$138, LS_current!Y$148, FALSE), VLOOKUP($A87, LS_current!$B$4:$AY$138,LS_current!AW$148, FALSE))/2)</f>
        <v>327.26441374471688</v>
      </c>
      <c r="CU87" s="180">
        <f t="array" ref="CU87">IF($BT87=0, INDEX(LS_current!$D$4:$AY$138, MATCH('Staging Table'!$A87, LS_current!$B$4:$B$138, 0), MATCH(CU$4&amp;CU$5, LS_current!$D$2:$AY$2&amp;LS_current!$D$3:$AY$3, 0)),SUM(VLOOKUP($A87, LS_current!$B$4:$AY$138, LS_current!Z$148, FALSE), VLOOKUP($A87, LS_current!$B$4:$AY$138,LS_current!AX$148, FALSE))/2)</f>
        <v>-2253.2979911593993</v>
      </c>
      <c r="CV87" s="180">
        <f t="array" ref="CV87">IF($BT87=0, INDEX(LS_current!$D$4:$AY$138, MATCH('Staging Table'!$A87, LS_current!$B$4:$B$138, 0), MATCH(CV$4&amp;CV$5, LS_current!$D$2:$AY$2&amp;LS_current!$D$3:$AY$3, 0)),SUM(VLOOKUP($A87, LS_current!$B$4:$AY$138, LS_current!AA$148, FALSE), VLOOKUP($A87, LS_current!$B$4:$AY$138,LS_current!AY$148, FALSE))/2)</f>
        <v>-2045.0780671824014</v>
      </c>
      <c r="CW87" s="182">
        <f t="array" ref="CW87">INDEX(Demand_current!$D$4:$AY$138, MATCH($A87, Demand_current!$B$4:$B$138, 0), MATCH(CW$4&amp;CW$5,Demand_current!$D$2:$AY$2&amp;Demand_current!$D$3:$AY$3, 0))/1000</f>
        <v>11.036168269230764</v>
      </c>
      <c r="CX87" s="182">
        <f t="array" ref="CX87">INDEX(Demand_current!$D$4:$AY$138, MATCH($A87, Demand_current!$B$4:$B$138, 0), MATCH(CX$4&amp;CX$5,Demand_current!$D$2:$AY$2&amp;Demand_current!$D$3:$AY$3, 0))/1000</f>
        <v>7.4402049999999988</v>
      </c>
      <c r="CY87" s="182">
        <f t="array" ref="CY87">INDEX(Demand_current!$D$4:$AY$138, MATCH($A87, Demand_current!$B$4:$B$138, 0), MATCH(CY$4&amp;CY$5,Demand_current!$D$2:$AY$2&amp;Demand_current!$D$3:$AY$3, 0))/1000</f>
        <v>16.411937500000008</v>
      </c>
      <c r="CZ87" s="182">
        <f t="array" ref="CZ87">INDEX(Demand_current!$D$4:$AY$138, MATCH($A87, Demand_current!$B$4:$B$138, 0), MATCH(CZ$4&amp;CZ$5,Demand_current!$D$2:$AY$2&amp;Demand_current!$D$3:$AY$3, 0))/1000</f>
        <v>18.265870192307688</v>
      </c>
      <c r="DA87" s="182">
        <f t="array" ref="DA87">INDEX(Demand_current!$D$4:$AY$138, MATCH($A87, Demand_current!$B$4:$B$138, 0), MATCH(DA$4&amp;DA$5,Demand_current!$D$2:$AY$2&amp;Demand_current!$D$3:$AY$3, 0))/1000</f>
        <v>3.8838299999999997</v>
      </c>
      <c r="DB87" s="182">
        <f t="array" ref="DB87">INDEX(Demand_current!$D$4:$AY$138, MATCH($A87, Demand_current!$B$4:$B$138, 0), MATCH(DB$4&amp;DB$5,Demand_current!$D$2:$AY$2&amp;Demand_current!$D$3:$AY$3, 0))/1000</f>
        <v>12.115490384615391</v>
      </c>
      <c r="DC87" s="182">
        <f t="array" ref="DC87">INDEX(Demand_current!$D$4:$AY$138, MATCH($A87, Demand_current!$B$4:$B$138, 0), MATCH(DC$4&amp;DC$5,Demand_current!$D$2:$AY$2&amp;Demand_current!$D$3:$AY$3, 0))/1000</f>
        <v>13.609901442307695</v>
      </c>
      <c r="DD87" s="182">
        <f t="array" ref="DD87">INDEX(Demand_current!$D$4:$AY$138, MATCH($A87, Demand_current!$B$4:$B$138, 0), MATCH(DD$4&amp;DD$5,Demand_current!$D$2:$AY$2&amp;Demand_current!$D$3:$AY$3, 0))/1000</f>
        <v>8.138165865384611</v>
      </c>
      <c r="DE87" s="182">
        <f t="array" ref="DE87">INDEX(Demand_current!$D$4:$AY$138, MATCH($A87, Demand_current!$B$4:$B$138, 0), MATCH(DE$4&amp;DE$5,Demand_current!$D$2:$AY$2&amp;Demand_current!$D$3:$AY$3, 0))/1000</f>
        <v>4.3644500000000077</v>
      </c>
      <c r="DF87" s="182">
        <f t="array" ref="DF87">INDEX(Demand_current!$D$4:$AY$138, MATCH($A87, Demand_current!$B$4:$B$138, 0), MATCH(DF$4&amp;DF$5,Demand_current!$D$2:$AY$2&amp;Demand_current!$D$3:$AY$3, 0))/1000</f>
        <v>6.2633701923077041</v>
      </c>
      <c r="DG87" s="182">
        <f t="array" ref="DG87">INDEX(Demand_current!$D$4:$AY$138, MATCH($A87, Demand_current!$B$4:$B$138, 0), MATCH(DG$4&amp;DG$5,Demand_current!$D$2:$AY$2&amp;Demand_current!$D$3:$AY$3, 0))/1000</f>
        <v>7.5380208333333387</v>
      </c>
      <c r="DH87" s="182">
        <f t="array" ref="DH87">INDEX(Demand_current!$D$4:$AY$138, MATCH($A87, Demand_current!$B$4:$B$138, 0), MATCH(DH$4&amp;DH$5,Demand_current!$D$2:$AY$2&amp;Demand_current!$D$3:$AY$3, 0))/1000</f>
        <v>0.59162239583332443</v>
      </c>
      <c r="DI87" s="180">
        <f>$BS87*(VLOOKUP(DI$4, Rates_current!$G$6:$Q$29, 10, FALSE)+VLOOKUP(DI$4, Rates_current!$G$6:$Q$29, 11, FALSE))</f>
        <v>27920.46517398315</v>
      </c>
      <c r="DJ87" s="180">
        <f>$BS87*(VLOOKUP(DJ$4, Rates_current!$G$6:$Q$29, 10, FALSE)+VLOOKUP(DJ$4, Rates_current!$G$6:$Q$29, 11, FALSE))</f>
        <v>35607.799953257905</v>
      </c>
      <c r="DK87" s="180">
        <f>$BS87*(VLOOKUP(DK$4, Rates_current!$G$6:$Q$29, 10, FALSE)+VLOOKUP(DK$4, Rates_current!$G$6:$Q$29, 11, FALSE))</f>
        <v>38427.861548773501</v>
      </c>
      <c r="DL87" s="180">
        <f>$BS87*(VLOOKUP(DL$4, Rates_current!$G$6:$Q$29, 10, FALSE)+VLOOKUP(DL$4, Rates_current!$G$6:$Q$29, 11, FALSE))</f>
        <v>39932.488628766398</v>
      </c>
      <c r="DM87" s="180">
        <f>$BS87*(VLOOKUP(DM$4, Rates_current!$G$6:$Q$29, 10, FALSE)+VLOOKUP(DM$4, Rates_current!$G$6:$Q$29, 11, FALSE))</f>
        <v>34347.262881667797</v>
      </c>
      <c r="DN87" s="180">
        <f>$BS87*(VLOOKUP(DN$4, Rates_current!$G$6:$Q$29, 10, FALSE)+VLOOKUP(DN$4, Rates_current!$G$6:$Q$29, 11, FALSE))</f>
        <v>37500.410650727099</v>
      </c>
      <c r="DO87" s="180">
        <f>$BS87*(VLOOKUP(DO$4, Rates_current!$G$6:$Q$29, 10, FALSE)+VLOOKUP(DO$4, Rates_current!$G$6:$Q$29, 11, FALSE))</f>
        <v>29600.254623480421</v>
      </c>
      <c r="DP87" s="180">
        <f>$BS87*(VLOOKUP(DP$4, Rates_current!$G$6:$Q$29, 10, FALSE)+VLOOKUP(DP$4, Rates_current!$G$6:$Q$29, 11, FALSE))</f>
        <v>36723.082479617653</v>
      </c>
      <c r="DQ87" s="180">
        <f>$BS87*(VLOOKUP(DQ$4, Rates_current!$G$6:$Q$29, 10, FALSE)+VLOOKUP(DQ$4, Rates_current!$G$6:$Q$29, 11, FALSE))</f>
        <v>37519.881693247051</v>
      </c>
      <c r="DR87" s="180">
        <f>$BS87*(VLOOKUP(DR$4, Rates_current!$G$6:$Q$29, 10, FALSE)+VLOOKUP(DR$4, Rates_current!$G$6:$Q$29, 11, FALSE))</f>
        <v>32572.662738386149</v>
      </c>
      <c r="DS87" s="180">
        <f>$BS87*(VLOOKUP(DS$4, Rates_current!$G$6:$Q$29, 10, FALSE)+VLOOKUP(DS$4, Rates_current!$G$6:$Q$29, 11, FALSE))</f>
        <v>31489.106770259437</v>
      </c>
      <c r="DT87" s="180">
        <f>$BS87*(VLOOKUP(DT$4, Rates_current!$G$6:$Q$29, 10, FALSE)+VLOOKUP(DT$4, Rates_current!$G$6:$Q$29, 11, FALSE))</f>
        <v>28976.076058341805</v>
      </c>
      <c r="DU87" s="402">
        <f>IF(D87=0,IF(C87=0,MAX(0,DW87 - (VLOOKUP($A87,TOCA_current!$A$2:$AI$137,MATCH("RHWM 2024",TOCA_current!$A$2:$AI$2,0),FALSE)*$BS$2)), 0),0)</f>
        <v>2.3428821875713766</v>
      </c>
      <c r="DV87" s="403">
        <f>MIN(VLOOKUP($A87,TOCA_current!$A$2:$AI$137,MATCH("TRL - NLSL - Existing Resource "&amp;$BS$1,TOCA_current!$A$2:$AI$2,0),FALSE)*$BS$2, VLOOKUP($A87,TOCA_current!$A$2:$AI$137,MATCH("RHWM 2024",TOCA_current!$A$2:$AI$2,0),FALSE)*$BS$2)</f>
        <v>410616.864</v>
      </c>
      <c r="DW87" s="403">
        <f>SUM(BY87:CV87)+(BS87*RT1SC!$C$4*$BS$2)</f>
        <v>410619.20688218757</v>
      </c>
      <c r="DX87" s="403">
        <f>VLOOKUP($A87,TOCA_current!$A$2:$AI$137,MATCH("Above RHWM Not Served with LS "&amp;$BS$1,TOCA_current!$A$2:$AI$2,0),FALSE)*$BS$2</f>
        <v>95306.4</v>
      </c>
      <c r="DY87" s="403">
        <f t="shared" si="32"/>
        <v>2.3428821875713766</v>
      </c>
      <c r="DZ87" s="403">
        <f>(VLOOKUP($A87,TOCA_current!$A$2:$AI$137,MATCH("RHWM 2024",TOCA_current!$A$2:$AI$2,0),FALSE)*$BS$2) - $DV87</f>
        <v>0</v>
      </c>
      <c r="EA87" s="403">
        <f t="shared" si="33"/>
        <v>0</v>
      </c>
      <c r="EB87" s="403">
        <f t="shared" si="34"/>
        <v>0</v>
      </c>
      <c r="EC87" s="403">
        <f t="shared" si="35"/>
        <v>0</v>
      </c>
      <c r="ED87" s="403">
        <f t="shared" si="36"/>
        <v>0</v>
      </c>
    </row>
    <row r="88" spans="1:134">
      <c r="A88" s="123">
        <v>10258</v>
      </c>
      <c r="B88" s="124" t="s">
        <v>89</v>
      </c>
      <c r="C88" s="232">
        <f>VLOOKUP(A88, TOCA_current!$A$3:$D$137, 4, FALSE)</f>
        <v>0</v>
      </c>
      <c r="D88" s="191">
        <v>0</v>
      </c>
      <c r="E88" s="107">
        <f>VLOOKUP($A88,TOCA_previous!$A$2:$AI$137,MATCH(E$4,TOCA_previous!$A$2:$AI$2,0),FALSE)</f>
        <v>5.3740999999999997E-3</v>
      </c>
      <c r="F88" s="108">
        <f>VLOOKUP($A88,TOCA_previous!$A$2:$AI$137,MATCH(F$4,TOCA_previous!$A$2:$AI$2,0),FALSE)</f>
        <v>5.3740999999999997E-3</v>
      </c>
      <c r="G88" s="108">
        <f t="shared" si="24"/>
        <v>0</v>
      </c>
      <c r="H88" s="108">
        <f>VLOOKUP($A88,TOCA_previous!$A$2:$AI$137,MATCH(H$4,TOCA_previous!$A$2:$AI$2,0),FALSE)</f>
        <v>5.8970000000000002E-2</v>
      </c>
      <c r="I88" s="108">
        <f t="shared" si="25"/>
        <v>0</v>
      </c>
      <c r="J88" s="108">
        <f t="shared" si="26"/>
        <v>0</v>
      </c>
      <c r="K88" s="179">
        <f>VLOOKUP(A88, IRD!$A$5:$C$139, 3, FALSE)</f>
        <v>18387.022000000001</v>
      </c>
      <c r="L88" s="180">
        <f t="array" ref="L88">IF($G88=0, INDEX(LS_previous!$D$4:$AY$138, MATCH('Staging Table'!$A88, LS_previous!$B$4:$B$138, 0), MATCH(L$4&amp;L$5, LS_previous!$D$2:$AY$2&amp;LS_previous!$D$3:$AY$3, 0)),SUM(VLOOKUP($A88, LS_previous!$B$4:$AY$138, LS_previous!D$149, FALSE), VLOOKUP('Staging Table'!$A88, LS_previous!$B$4:$AY$138,LS_previous!AB$149, FALSE))/2)</f>
        <v>-1080.2439606402277</v>
      </c>
      <c r="M88" s="180">
        <f t="array" ref="M88">IF($G88=0, INDEX(LS_previous!$D$4:$AY$138, MATCH('Staging Table'!$A88, LS_previous!$B$4:$B$138, 0), MATCH(M$4&amp;M$5, LS_previous!$D$2:$AY$2&amp;LS_previous!$D$3:$AY$3, 0)),SUM(VLOOKUP($A88, LS_previous!$B$4:$AY$138, LS_previous!E$149, FALSE), VLOOKUP('Staging Table'!$A88, LS_previous!$B$4:$AY$138,LS_previous!AC$149, FALSE))/2)</f>
        <v>-266.24026898220836</v>
      </c>
      <c r="N88" s="180">
        <f t="array" ref="N88">IF($G88=0, INDEX(LS_previous!$D$4:$AY$138, MATCH('Staging Table'!$A88, LS_previous!$B$4:$B$138, 0), MATCH(N$4&amp;N$5, LS_previous!$D$2:$AY$2&amp;LS_previous!$D$3:$AY$3, 0)),SUM(VLOOKUP($A88, LS_previous!$B$4:$AY$138, LS_previous!F$149, FALSE), VLOOKUP('Staging Table'!$A88, LS_previous!$B$4:$AY$138,LS_previous!AD$149, FALSE))/2)</f>
        <v>-1283.3031410823132</v>
      </c>
      <c r="O88" s="180">
        <f t="array" ref="O88">IF($G88=0, INDEX(LS_previous!$D$4:$AY$138, MATCH('Staging Table'!$A88, LS_previous!$B$4:$B$138, 0), MATCH(O$4&amp;O$5, LS_previous!$D$2:$AY$2&amp;LS_previous!$D$3:$AY$3, 0)),SUM(VLOOKUP($A88, LS_previous!$B$4:$AY$138, LS_previous!G$149, FALSE), VLOOKUP('Staging Table'!$A88, LS_previous!$B$4:$AY$138,LS_previous!AE$149, FALSE))/2)</f>
        <v>972.27748518960652</v>
      </c>
      <c r="P88" s="180">
        <f t="array" ref="P88">IF($G88=0, INDEX(LS_previous!$D$4:$AY$138, MATCH('Staging Table'!$A88, LS_previous!$B$4:$B$138, 0), MATCH(P$4&amp;P$5, LS_previous!$D$2:$AY$2&amp;LS_previous!$D$3:$AY$3, 0)),SUM(VLOOKUP($A88, LS_previous!$B$4:$AY$138, LS_previous!H$149, FALSE), VLOOKUP('Staging Table'!$A88, LS_previous!$B$4:$AY$138,LS_previous!AF$149, FALSE))/2)</f>
        <v>9937.8005311901725</v>
      </c>
      <c r="Q88" s="180">
        <f t="array" ref="Q88">IF($G88=0, INDEX(LS_previous!$D$4:$AY$138, MATCH('Staging Table'!$A88, LS_previous!$B$4:$B$138, 0), MATCH(Q$4&amp;Q$5, LS_previous!$D$2:$AY$2&amp;LS_previous!$D$3:$AY$3, 0)),SUM(VLOOKUP($A88, LS_previous!$B$4:$AY$138, LS_previous!I$149, FALSE), VLOOKUP('Staging Table'!$A88, LS_previous!$B$4:$AY$138,LS_previous!AG$149, FALSE))/2)</f>
        <v>6832.6842491762782</v>
      </c>
      <c r="R88" s="180">
        <f t="array" ref="R88">IF($G88=0, INDEX(LS_previous!$D$4:$AY$138, MATCH('Staging Table'!$A88, LS_previous!$B$4:$B$138, 0), MATCH(R$4&amp;R$5, LS_previous!$D$2:$AY$2&amp;LS_previous!$D$3:$AY$3, 0)),SUM(VLOOKUP($A88, LS_previous!$B$4:$AY$138, LS_previous!J$149, FALSE), VLOOKUP('Staging Table'!$A88, LS_previous!$B$4:$AY$138,LS_previous!AH$149, FALSE))/2)</f>
        <v>13492.477398789248</v>
      </c>
      <c r="S88" s="180">
        <f t="array" ref="S88">IF($G88=0, INDEX(LS_previous!$D$4:$AY$138, MATCH('Staging Table'!$A88, LS_previous!$B$4:$B$138, 0), MATCH(S$4&amp;S$5, LS_previous!$D$2:$AY$2&amp;LS_previous!$D$3:$AY$3, 0)),SUM(VLOOKUP($A88, LS_previous!$B$4:$AY$138, LS_previous!K$149, FALSE), VLOOKUP('Staging Table'!$A88, LS_previous!$B$4:$AY$138,LS_previous!AI$149, FALSE))/2)</f>
        <v>9564.1452655720877</v>
      </c>
      <c r="T88" s="180">
        <f t="array" ref="T88">IF($G88=0, INDEX(LS_previous!$D$4:$AY$138, MATCH('Staging Table'!$A88, LS_previous!$B$4:$B$138, 0), MATCH(T$4&amp;T$5, LS_previous!$D$2:$AY$2&amp;LS_previous!$D$3:$AY$3, 0)),SUM(VLOOKUP($A88, LS_previous!$B$4:$AY$138, LS_previous!L$149, FALSE), VLOOKUP('Staging Table'!$A88, LS_previous!$B$4:$AY$138,LS_previous!AJ$149, FALSE))/2)</f>
        <v>8448.7576171708752</v>
      </c>
      <c r="U88" s="180">
        <f t="array" ref="U88">IF($G88=0, INDEX(LS_previous!$D$4:$AY$138, MATCH('Staging Table'!$A88, LS_previous!$B$4:$B$138, 0), MATCH(U$4&amp;U$5, LS_previous!$D$2:$AY$2&amp;LS_previous!$D$3:$AY$3, 0)),SUM(VLOOKUP($A88, LS_previous!$B$4:$AY$138, LS_previous!M$149, FALSE), VLOOKUP('Staging Table'!$A88, LS_previous!$B$4:$AY$138,LS_previous!AK$149, FALSE))/2)</f>
        <v>5880.9785937638717</v>
      </c>
      <c r="V88" s="180">
        <f t="array" ref="V88">IF($G88=0, INDEX(LS_previous!$D$4:$AY$138, MATCH('Staging Table'!$A88, LS_previous!$B$4:$B$138, 0), MATCH(V$4&amp;V$5, LS_previous!$D$2:$AY$2&amp;LS_previous!$D$3:$AY$3, 0)),SUM(VLOOKUP($A88, LS_previous!$B$4:$AY$138, LS_previous!N$149, FALSE), VLOOKUP('Staging Table'!$A88, LS_previous!$B$4:$AY$138,LS_previous!AL$149, FALSE))/2)</f>
        <v>3386.5236795268702</v>
      </c>
      <c r="W88" s="180">
        <f t="array" ref="W88">IF($G88=0, INDEX(LS_previous!$D$4:$AY$138, MATCH('Staging Table'!$A88, LS_previous!$B$4:$B$138, 0), MATCH(W$4&amp;W$5, LS_previous!$D$2:$AY$2&amp;LS_previous!$D$3:$AY$3, 0)),SUM(VLOOKUP($A88, LS_previous!$B$4:$AY$138, LS_previous!O$149, FALSE), VLOOKUP('Staging Table'!$A88, LS_previous!$B$4:$AY$138,LS_previous!AM$149, FALSE))/2)</f>
        <v>3328.012394450805</v>
      </c>
      <c r="X88" s="180">
        <f t="array" ref="X88">IF($G88=0, INDEX(LS_previous!$D$4:$AY$138, MATCH('Staging Table'!$A88, LS_previous!$B$4:$B$138, 0), MATCH(X$4&amp;X$5, LS_previous!$D$2:$AY$2&amp;LS_previous!$D$3:$AY$3, 0)),SUM(VLOOKUP($A88, LS_previous!$B$4:$AY$138, LS_previous!P$149, FALSE), VLOOKUP('Staging Table'!$A88, LS_previous!$B$4:$AY$138,LS_previous!AN$149, FALSE))/2)</f>
        <v>1844.2308075199489</v>
      </c>
      <c r="Y88" s="180">
        <f t="array" ref="Y88">IF($G88=0, INDEX(LS_previous!$D$4:$AY$138, MATCH('Staging Table'!$A88, LS_previous!$B$4:$B$138, 0), MATCH(Y$4&amp;Y$5, LS_previous!$D$2:$AY$2&amp;LS_previous!$D$3:$AY$3, 0)),SUM(VLOOKUP($A88, LS_previous!$B$4:$AY$138, LS_previous!Q$149, FALSE), VLOOKUP('Staging Table'!$A88, LS_previous!$B$4:$AY$138,LS_previous!AO$149, FALSE))/2)</f>
        <v>1723.8533468115502</v>
      </c>
      <c r="Z88" s="180">
        <f t="array" ref="Z88">IF($G88=0, INDEX(LS_previous!$D$4:$AY$138, MATCH('Staging Table'!$A88, LS_previous!$B$4:$B$138, 0), MATCH(Z$4&amp;Z$5, LS_previous!$D$2:$AY$2&amp;LS_previous!$D$3:$AY$3, 0)),SUM(VLOOKUP($A88, LS_previous!$B$4:$AY$138, LS_previous!R$149, FALSE), VLOOKUP('Staging Table'!$A88, LS_previous!$B$4:$AY$138,LS_previous!AP$149, FALSE))/2)</f>
        <v>-8183.321359739346</v>
      </c>
      <c r="AA88" s="180">
        <f t="array" ref="AA88">IF($G88=0, INDEX(LS_previous!$D$4:$AY$138, MATCH('Staging Table'!$A88, LS_previous!$B$4:$B$138, 0), MATCH(AA$4&amp;AA$5, LS_previous!$D$2:$AY$2&amp;LS_previous!$D$3:$AY$3, 0)),SUM(VLOOKUP($A88, LS_previous!$B$4:$AY$138, LS_previous!S$149, FALSE), VLOOKUP('Staging Table'!$A88, LS_previous!$B$4:$AY$138,LS_previous!AQ$149, FALSE))/2)</f>
        <v>-2108.9564140356524</v>
      </c>
      <c r="AB88" s="180">
        <f t="array" ref="AB88">IF($G88=0, INDEX(LS_previous!$D$4:$AY$138, MATCH('Staging Table'!$A88, LS_previous!$B$4:$B$138, 0), MATCH(AB$4&amp;AB$5, LS_previous!$D$2:$AY$2&amp;LS_previous!$D$3:$AY$3, 0)),SUM(VLOOKUP($A88, LS_previous!$B$4:$AY$138, LS_previous!T$149, FALSE), VLOOKUP('Staging Table'!$A88, LS_previous!$B$4:$AY$138,LS_previous!AR$149, FALSE))/2)</f>
        <v>-10800.920767328746</v>
      </c>
      <c r="AC88" s="180">
        <f t="array" ref="AC88">IF($G88=0, INDEX(LS_previous!$D$4:$AY$138, MATCH('Staging Table'!$A88, LS_previous!$B$4:$B$138, 0), MATCH(AC$4&amp;AC$5, LS_previous!$D$2:$AY$2&amp;LS_previous!$D$3:$AY$3, 0)),SUM(VLOOKUP($A88, LS_previous!$B$4:$AY$138, LS_previous!U$149, FALSE), VLOOKUP('Staging Table'!$A88, LS_previous!$B$4:$AY$138,LS_previous!AS$149, FALSE))/2)</f>
        <v>-3064.2897718685053</v>
      </c>
      <c r="AD88" s="180">
        <f t="array" ref="AD88">IF($G88=0, INDEX(LS_previous!$D$4:$AY$138, MATCH('Staging Table'!$A88, LS_previous!$B$4:$B$138, 0), MATCH(AD$4&amp;AD$5, LS_previous!$D$2:$AY$2&amp;LS_previous!$D$3:$AY$3, 0)),SUM(VLOOKUP($A88, LS_previous!$B$4:$AY$138, LS_previous!V$149, FALSE), VLOOKUP('Staging Table'!$A88, LS_previous!$B$4:$AY$138,LS_previous!AT$149, FALSE))/2)</f>
        <v>-5003.293986314362</v>
      </c>
      <c r="AE88" s="180">
        <f t="array" ref="AE88">IF($G88=0, INDEX(LS_previous!$D$4:$AY$138, MATCH('Staging Table'!$A88, LS_previous!$B$4:$B$138, 0), MATCH(AE$4&amp;AE$5, LS_previous!$D$2:$AY$2&amp;LS_previous!$D$3:$AY$3, 0)),SUM(VLOOKUP($A88, LS_previous!$B$4:$AY$138, LS_previous!W$149, FALSE), VLOOKUP('Staging Table'!$A88, LS_previous!$B$4:$AY$138,LS_previous!AU$149, FALSE))/2)</f>
        <v>-1063.8645681205617</v>
      </c>
      <c r="AF88" s="180">
        <f t="array" ref="AF88">IF($G88=0, INDEX(LS_previous!$D$4:$AY$138, MATCH('Staging Table'!$A88, LS_previous!$B$4:$B$138, 0), MATCH(AF$4&amp;AF$5, LS_previous!$D$2:$AY$2&amp;LS_previous!$D$3:$AY$3, 0)),SUM(VLOOKUP($A88, LS_previous!$B$4:$AY$138, LS_previous!X$149, FALSE), VLOOKUP('Staging Table'!$A88, LS_previous!$B$4:$AY$138,LS_previous!AV$149, FALSE))/2)</f>
        <v>-3373.0052178696096</v>
      </c>
      <c r="AG88" s="180">
        <f t="array" ref="AG88">IF($G88=0, INDEX(LS_previous!$D$4:$AY$138, MATCH('Staging Table'!$A88, LS_previous!$B$4:$B$138, 0), MATCH(AG$4&amp;AG$5, LS_previous!$D$2:$AY$2&amp;LS_previous!$D$3:$AY$3, 0)),SUM(VLOOKUP($A88, LS_previous!$B$4:$AY$138, LS_previous!Y$149, FALSE), VLOOKUP('Staging Table'!$A88, LS_previous!$B$4:$AY$138,LS_previous!AW$149, FALSE))/2)</f>
        <v>-264.11994156533729</v>
      </c>
      <c r="AH88" s="180">
        <f t="array" ref="AH88">IF($G88=0, INDEX(LS_previous!$D$4:$AY$138, MATCH('Staging Table'!$A88, LS_previous!$B$4:$B$138, 0), MATCH(AH$4&amp;AH$5, LS_previous!$D$2:$AY$2&amp;LS_previous!$D$3:$AY$3, 0)),SUM(VLOOKUP($A88, LS_previous!$B$4:$AY$138, LS_previous!Z$149, FALSE), VLOOKUP('Staging Table'!$A88, LS_previous!$B$4:$AY$138,LS_previous!AX$149, FALSE))/2)</f>
        <v>-4980.4201250757851</v>
      </c>
      <c r="AI88" s="180">
        <f t="array" ref="AI88">IF($G88=0, INDEX(LS_previous!$D$4:$AY$138, MATCH('Staging Table'!$A88, LS_previous!$B$4:$B$138, 0), MATCH(AI$4&amp;AI$5, LS_previous!$D$2:$AY$2&amp;LS_previous!$D$3:$AY$3, 0)),SUM(VLOOKUP($A88, LS_previous!$B$4:$AY$138, LS_previous!AA$149, FALSE), VLOOKUP('Staging Table'!$A88, LS_previous!$B$4:$AY$138,LS_previous!AY$149, FALSE))/2)</f>
        <v>-1969.8806846959724</v>
      </c>
      <c r="AJ88" s="298">
        <f t="array" ref="AJ88">INDEX(Demand_previous!$D$4:$AY$138, MATCH('Staging Table'!$A88, Demand_previous!$B$4:$B$138, 0), MATCH(AJ$4&amp;AJ$5,Demand_previous!$D$2:$AY$2&amp;Demand_previous!$D$3:$AY$3, 0))/1000</f>
        <v>3.6644254807692338</v>
      </c>
      <c r="AK88" s="298">
        <f t="array" ref="AK88">INDEX(Demand_previous!$D$4:$AY$138, MATCH('Staging Table'!$A88, Demand_previous!$B$4:$B$138, 0), MATCH(AK$4&amp;AK$5,Demand_previous!$D$2:$AY$2&amp;Demand_previous!$D$3:$AY$3, 0))/1000</f>
        <v>2.9655799999999957</v>
      </c>
      <c r="AL88" s="298">
        <f t="array" ref="AL88">INDEX(Demand_previous!$D$4:$AY$138, MATCH('Staging Table'!$A88, Demand_previous!$B$4:$B$138, 0), MATCH(AL$4&amp;AL$5,Demand_previous!$D$2:$AY$2&amp;Demand_previous!$D$3:$AY$3, 0))/1000</f>
        <v>6.1892139423077008</v>
      </c>
      <c r="AM88" s="298">
        <f t="array" ref="AM88">INDEX(Demand_previous!$D$4:$AY$138, MATCH('Staging Table'!$A88, Demand_previous!$B$4:$B$138, 0), MATCH(AM$4&amp;AM$5,Demand_previous!$D$2:$AY$2&amp;Demand_previous!$D$3:$AY$3, 0))/1000</f>
        <v>0</v>
      </c>
      <c r="AN88" s="298">
        <f t="array" ref="AN88">INDEX(Demand_previous!$D$4:$AY$138, MATCH('Staging Table'!$A88, Demand_previous!$B$4:$B$138, 0), MATCH(AN$4&amp;AN$5,Demand_previous!$D$2:$AY$2&amp;Demand_previous!$D$3:$AY$3, 0))/1000</f>
        <v>14.741393229166661</v>
      </c>
      <c r="AO88" s="298">
        <f t="array" ref="AO88">INDEX(Demand_previous!$D$4:$AY$138, MATCH('Staging Table'!$A88, Demand_previous!$B$4:$B$138, 0), MATCH(AO$4&amp;AO$5,Demand_previous!$D$2:$AY$2&amp;Demand_previous!$D$3:$AY$3, 0))/1000</f>
        <v>11.068055555555562</v>
      </c>
      <c r="AP88" s="298">
        <f t="array" ref="AP88">INDEX(Demand_previous!$D$4:$AY$138, MATCH('Staging Table'!$A88, Demand_previous!$B$4:$B$138, 0), MATCH(AP$4&amp;AP$5,Demand_previous!$D$2:$AY$2&amp;Demand_previous!$D$3:$AY$3, 0))/1000</f>
        <v>9.1682379807692413</v>
      </c>
      <c r="AQ88" s="298">
        <f t="array" ref="AQ88">INDEX(Demand_previous!$D$4:$AY$138, MATCH('Staging Table'!$A88, Demand_previous!$B$4:$B$138, 0), MATCH(AQ$4&amp;AQ$5,Demand_previous!$D$2:$AY$2&amp;Demand_previous!$D$3:$AY$3, 0))/1000</f>
        <v>0</v>
      </c>
      <c r="AR88" s="298">
        <f t="array" ref="AR88">INDEX(Demand_previous!$D$4:$AY$138, MATCH('Staging Table'!$A88, Demand_previous!$B$4:$B$138, 0), MATCH(AR$4&amp;AR$5,Demand_previous!$D$2:$AY$2&amp;Demand_previous!$D$3:$AY$3, 0))/1000</f>
        <v>9.0798269230769222</v>
      </c>
      <c r="AS88" s="298">
        <f t="array" ref="AS88">INDEX(Demand_previous!$D$4:$AY$138, MATCH('Staging Table'!$A88, Demand_previous!$B$4:$B$138, 0), MATCH(AS$4&amp;AS$5,Demand_previous!$D$2:$AY$2&amp;Demand_previous!$D$3:$AY$3, 0))/1000</f>
        <v>11.313125000000003</v>
      </c>
      <c r="AT88" s="298">
        <f t="array" ref="AT88">INDEX(Demand_previous!$D$4:$AY$138, MATCH('Staging Table'!$A88, Demand_previous!$B$4:$B$138, 0), MATCH(AT$4&amp;AT$5,Demand_previous!$D$2:$AY$2&amp;Demand_previous!$D$3:$AY$3, 0))/1000</f>
        <v>9.2635185185185236</v>
      </c>
      <c r="AU88" s="298">
        <f t="array" ref="AU88">INDEX(Demand_previous!$D$4:$AY$138, MATCH('Staging Table'!$A88, Demand_previous!$B$4:$B$138, 0), MATCH(AU$4&amp;AU$5,Demand_previous!$D$2:$AY$2&amp;Demand_previous!$D$3:$AY$3, 0))/1000</f>
        <v>5.1940325000000005</v>
      </c>
      <c r="AV88" s="180">
        <f>$F88*(VLOOKUP(AV$4, Rates_previous!$G$6:$Q$29, 10, FALSE)+VLOOKUP(AV$4, Rates_previous!$G$6:$Q$29, 11, FALSE))</f>
        <v>24473.245229622436</v>
      </c>
      <c r="AW88" s="180">
        <f>$F88*(VLOOKUP(AW$4, Rates_previous!$G$6:$Q$29, 10, FALSE)+VLOOKUP(AW$4, Rates_previous!$G$6:$Q$29, 11, FALSE))</f>
        <v>30984.016655892712</v>
      </c>
      <c r="AX88" s="180">
        <f>$F88*(VLOOKUP(AX$4, Rates_previous!$G$6:$Q$29, 10, FALSE)+VLOOKUP(AX$4, Rates_previous!$G$6:$Q$29, 11, FALSE))</f>
        <v>30327.162219633552</v>
      </c>
      <c r="AY88" s="180">
        <f>$F88*(VLOOKUP(AY$4, Rates_previous!$G$6:$Q$29, 10, FALSE)+VLOOKUP(AY$4, Rates_previous!$G$6:$Q$29, 11, FALSE))</f>
        <v>25048.946335638666</v>
      </c>
      <c r="AZ88" s="180">
        <f>$F88*(VLOOKUP(AZ$4, Rates_previous!$G$6:$Q$29, 10, FALSE)+VLOOKUP(AZ$4, Rates_previous!$G$6:$Q$29, 11, FALSE))</f>
        <v>21710.470789065257</v>
      </c>
      <c r="BA88" s="180">
        <f>$F88*(VLOOKUP(BA$4, Rates_previous!$G$6:$Q$29, 10, FALSE)+VLOOKUP(BA$4, Rates_previous!$G$6:$Q$29, 11, FALSE))</f>
        <v>25917.917926022328</v>
      </c>
      <c r="BB88" s="180">
        <f>$F88*(VLOOKUP(BB$4, Rates_previous!$G$6:$Q$29, 10, FALSE)+VLOOKUP(BB$4, Rates_previous!$G$6:$Q$29, 11, FALSE))</f>
        <v>20121.812845668501</v>
      </c>
      <c r="BC88" s="180">
        <f>$F88*(VLOOKUP(BC$4, Rates_previous!$G$6:$Q$29, 10, FALSE)+VLOOKUP(BC$4, Rates_previous!$G$6:$Q$29, 11, FALSE))</f>
        <v>27878.919773774996</v>
      </c>
      <c r="BD88" s="180">
        <f>$F88*(VLOOKUP(BD$4, Rates_previous!$G$6:$Q$29, 10, FALSE)+VLOOKUP(BD$4, Rates_previous!$G$6:$Q$29, 11, FALSE))</f>
        <v>29789.209539197247</v>
      </c>
      <c r="BE88" s="180">
        <f>$F88*(VLOOKUP(BE$4, Rates_previous!$G$6:$Q$29, 10, FALSE)+VLOOKUP(BE$4, Rates_previous!$G$6:$Q$29, 11, FALSE))</f>
        <v>28283.505554434923</v>
      </c>
      <c r="BF88" s="180">
        <f>$F88*(VLOOKUP(BF$4, Rates_previous!$G$6:$Q$29, 10, FALSE)+VLOOKUP(BF$4, Rates_previous!$G$6:$Q$29, 11, FALSE))</f>
        <v>27333.82615943495</v>
      </c>
      <c r="BG88" s="180">
        <f>$F88*(VLOOKUP(BG$4, Rates_previous!$G$6:$Q$29, 10, FALSE)+VLOOKUP(BG$4, Rates_previous!$G$6:$Q$29, 11, FALSE))</f>
        <v>25259.304809771758</v>
      </c>
      <c r="BH88" s="298">
        <f>IF($D88=0,IF(C88=0, MAX(BJ88 - (VLOOKUP($A88,TOCA_previous!$A$2:$AI$137,MATCH("RHWM 2022",TOCA_previous!$A$2:$AI$2,0),FALSE)*$F$2*TOCA_previous!C85),0),0), 0)</f>
        <v>21968.715222486702</v>
      </c>
      <c r="BI88" s="192">
        <f>MIN(VLOOKUP($A88,TOCA_previous!$A$2:$AI$137,MATCH("TRL - NLSL - Existing Resource "&amp;$F$1,TOCA_previous!$A$2:$AI$2,0),FALSE)*$F$2,(VLOOKUP($A88,TOCA_previous!$A$2:$AI$137,MATCH("RHWM 2022",TOCA_previous!$A$2:$AI$2,0),FALSE)*$F$2))</f>
        <v>317129.51999999996</v>
      </c>
      <c r="BJ88" s="402">
        <f>SUM(L88:AI88)+(F88*RT1SC!$C$3*$F$2)</f>
        <v>339098.23522248666</v>
      </c>
      <c r="BK88" s="401">
        <f>VLOOKUP($A88,TOCA_previous!$A$2:$AI$137,MATCH("Above RHWM Not Served with LS "&amp;$F$1,TOCA_previous!$A$2:$AI$2,0),FALSE)*$F$2</f>
        <v>22898.639999999999</v>
      </c>
      <c r="BL88" s="402">
        <f t="shared" si="27"/>
        <v>21968.715222486702</v>
      </c>
      <c r="BM88" s="401">
        <f>(VLOOKUP($A88,TOCA_previous!$A$2:$AI$137,MATCH("RHWM 2022",TOCA_previous!$A$2:$AI$2,0),FALSE)*$F$2) - $BI88</f>
        <v>0</v>
      </c>
      <c r="BN88" s="402">
        <f t="shared" si="28"/>
        <v>0</v>
      </c>
      <c r="BO88" s="401">
        <f t="shared" si="29"/>
        <v>0</v>
      </c>
      <c r="BP88" s="402">
        <f t="shared" si="30"/>
        <v>0</v>
      </c>
      <c r="BQ88" s="401">
        <f t="shared" si="21"/>
        <v>0</v>
      </c>
      <c r="BR88" s="108">
        <f>VLOOKUP($A88,TOCA_current!$A$2:$AI$137,MATCH(BR$4,TOCA_current!$A$2:$AI$2,0),FALSE)</f>
        <v>5.3730999999999996E-3</v>
      </c>
      <c r="BS88" s="108">
        <f>VLOOKUP($A88,TOCA_current!$A$2:$AI$137,MATCH(BS$4,TOCA_current!$A$2:$AI$2,0),FALSE)</f>
        <v>5.3730999999999996E-3</v>
      </c>
      <c r="BT88" s="189">
        <f t="shared" si="31"/>
        <v>0</v>
      </c>
      <c r="BU88" s="108">
        <f>VLOOKUP($A88,TOCA_current!A84:BG219,MATCH(BU$4,TOCA_current!$A$2:$BG$2,0),FALSE)</f>
        <v>5.4293581365935928E-2</v>
      </c>
      <c r="BV88" s="108">
        <f t="shared" si="22"/>
        <v>0</v>
      </c>
      <c r="BW88" s="108">
        <f t="shared" si="23"/>
        <v>0</v>
      </c>
      <c r="BX88" s="179">
        <f>VLOOKUP($A88,IRD!$A$4:$G$139, 7, FALSE)</f>
        <v>18387.022000000001</v>
      </c>
      <c r="BY88" s="180">
        <f t="array" ref="BY88">IF($BT88=0, INDEX(LS_current!$D$4:$AY$138, MATCH('Staging Table'!$A88, LS_current!$B$4:$B$138, 0), MATCH(BY$4&amp;BY$5, LS_current!$D$2:$AY$2&amp;LS_current!$D$3:$AY$3, 0)),SUM(VLOOKUP($A88, LS_current!$B$4:$AY$138, LS_current!D$148, FALSE), VLOOKUP($A88, LS_current!$B$4:$AY$138,LS_current!AB$148, FALSE))/2)</f>
        <v>633.51795016839969</v>
      </c>
      <c r="BZ88" s="180">
        <f t="array" ref="BZ88">IF($BT88=0, INDEX(LS_current!$D$4:$AY$138, MATCH('Staging Table'!$A88, LS_current!$B$4:$B$138, 0), MATCH(BZ$4&amp;BZ$5, LS_current!$D$2:$AY$2&amp;LS_current!$D$3:$AY$3, 0)),SUM(VLOOKUP($A88, LS_current!$B$4:$AY$138, LS_current!E$148, FALSE), VLOOKUP($A88, LS_current!$B$4:$AY$138,LS_current!AC$148, FALSE))/2)</f>
        <v>-654.69144108404726</v>
      </c>
      <c r="CA88" s="180">
        <f t="array" ref="CA88">IF($BT88=0, INDEX(LS_current!$D$4:$AY$138, MATCH('Staging Table'!$A88, LS_current!$B$4:$B$138, 0), MATCH(CA$4&amp;CA$5, LS_current!$D$2:$AY$2&amp;LS_current!$D$3:$AY$3, 0)),SUM(VLOOKUP($A88, LS_current!$B$4:$AY$138, LS_current!F$148, FALSE), VLOOKUP($A88, LS_current!$B$4:$AY$138,LS_current!AD$148, FALSE))/2)</f>
        <v>-68.448862076798832</v>
      </c>
      <c r="CB88" s="180">
        <f t="array" ref="CB88">IF($BT88=0, INDEX(LS_current!$D$4:$AY$138, MATCH('Staging Table'!$A88, LS_current!$B$4:$B$138, 0), MATCH(CB$4&amp;CB$5, LS_current!$D$2:$AY$2&amp;LS_current!$D$3:$AY$3, 0)),SUM(VLOOKUP($A88, LS_current!$B$4:$AY$138, LS_current!G$148, FALSE), VLOOKUP($A88, LS_current!$B$4:$AY$138,LS_current!AE$148, FALSE))/2)</f>
        <v>1367.1505277739016</v>
      </c>
      <c r="CC88" s="180">
        <f t="array" ref="CC88">IF($BT88=0, INDEX(LS_current!$D$4:$AY$138, MATCH('Staging Table'!$A88, LS_current!$B$4:$B$138, 0), MATCH(CC$4&amp;CC$5, LS_current!$D$2:$AY$2&amp;LS_current!$D$3:$AY$3, 0)),SUM(VLOOKUP($A88, LS_current!$B$4:$AY$138, LS_current!H$148, FALSE), VLOOKUP($A88, LS_current!$B$4:$AY$138,LS_current!AF$148, FALSE))/2)</f>
        <v>8131.1170757791006</v>
      </c>
      <c r="CD88" s="180">
        <f t="array" ref="CD88">IF($BT88=0, INDEX(LS_current!$D$4:$AY$138, MATCH('Staging Table'!$A88, LS_current!$B$4:$B$138, 0), MATCH(CD$4&amp;CD$5, LS_current!$D$2:$AY$2&amp;LS_current!$D$3:$AY$3, 0)),SUM(VLOOKUP($A88, LS_current!$B$4:$AY$138, LS_current!I$148, FALSE), VLOOKUP($A88, LS_current!$B$4:$AY$138,LS_current!AG$148, FALSE))/2)</f>
        <v>7287.8552720223997</v>
      </c>
      <c r="CE88" s="180">
        <f t="array" ref="CE88">IF($BT88=0, INDEX(LS_current!$D$4:$AY$138, MATCH('Staging Table'!$A88, LS_current!$B$4:$B$138, 0), MATCH(CE$4&amp;CE$5, LS_current!$D$2:$AY$2&amp;LS_current!$D$3:$AY$3, 0)),SUM(VLOOKUP($A88, LS_current!$B$4:$AY$138, LS_current!J$148, FALSE), VLOOKUP($A88, LS_current!$B$4:$AY$138,LS_current!AH$148, FALSE))/2)</f>
        <v>7359.9428461335046</v>
      </c>
      <c r="CF88" s="180">
        <f t="array" ref="CF88">IF($BT88=0, INDEX(LS_current!$D$4:$AY$138, MATCH('Staging Table'!$A88, LS_current!$B$4:$B$138, 0), MATCH(CF$4&amp;CF$5, LS_current!$D$2:$AY$2&amp;LS_current!$D$3:$AY$3, 0)),SUM(VLOOKUP($A88, LS_current!$B$4:$AY$138, LS_current!K$148, FALSE), VLOOKUP($A88, LS_current!$B$4:$AY$138,LS_current!AI$148, FALSE))/2)</f>
        <v>7845.3755563801005</v>
      </c>
      <c r="CG88" s="180">
        <f t="array" ref="CG88">IF($BT88=0, INDEX(LS_current!$D$4:$AY$138, MATCH('Staging Table'!$A88, LS_current!$B$4:$B$138, 0), MATCH(CG$4&amp;CG$5, LS_current!$D$2:$AY$2&amp;LS_current!$D$3:$AY$3, 0)),SUM(VLOOKUP($A88, LS_current!$B$4:$AY$138, LS_current!L$148, FALSE), VLOOKUP($A88, LS_current!$B$4:$AY$138,LS_current!AJ$148, FALSE))/2)</f>
        <v>3029.0731425451049</v>
      </c>
      <c r="CH88" s="180">
        <f t="array" ref="CH88">IF($BT88=0, INDEX(LS_current!$D$4:$AY$138, MATCH('Staging Table'!$A88, LS_current!$B$4:$B$138, 0), MATCH(CH$4&amp;CH$5, LS_current!$D$2:$AY$2&amp;LS_current!$D$3:$AY$3, 0)),SUM(VLOOKUP($A88, LS_current!$B$4:$AY$138, LS_current!M$148, FALSE), VLOOKUP($A88, LS_current!$B$4:$AY$138,LS_current!AK$148, FALSE))/2)</f>
        <v>4613.6377840971018</v>
      </c>
      <c r="CI88" s="180">
        <f t="array" ref="CI88">IF($BT88=0, INDEX(LS_current!$D$4:$AY$138, MATCH('Staging Table'!$A88, LS_current!$B$4:$B$138, 0), MATCH(CI$4&amp;CI$5, LS_current!$D$2:$AY$2&amp;LS_current!$D$3:$AY$3, 0)),SUM(VLOOKUP($A88, LS_current!$B$4:$AY$138, LS_current!N$148, FALSE), VLOOKUP($A88, LS_current!$B$4:$AY$138,LS_current!AL$148, FALSE))/2)</f>
        <v>540.48761393970199</v>
      </c>
      <c r="CJ88" s="180">
        <f t="array" ref="CJ88">IF($BT88=0, INDEX(LS_current!$D$4:$AY$138, MATCH('Staging Table'!$A88, LS_current!$B$4:$B$138, 0), MATCH(CJ$4&amp;CJ$5, LS_current!$D$2:$AY$2&amp;LS_current!$D$3:$AY$3, 0)),SUM(VLOOKUP($A88, LS_current!$B$4:$AY$138, LS_current!O$148, FALSE), VLOOKUP($A88, LS_current!$B$4:$AY$138,LS_current!AM$148, FALSE))/2)</f>
        <v>1166.9151446282031</v>
      </c>
      <c r="CK88" s="180">
        <f t="array" ref="CK88">IF($BT88=0, INDEX(LS_current!$D$4:$AY$138, MATCH('Staging Table'!$A88, LS_current!$B$4:$B$138, 0), MATCH(CK$4&amp;CK$5, LS_current!$D$2:$AY$2&amp;LS_current!$D$3:$AY$3, 0)),SUM(VLOOKUP($A88, LS_current!$B$4:$AY$138, LS_current!P$148, FALSE), VLOOKUP($A88, LS_current!$B$4:$AY$138,LS_current!AN$148, FALSE))/2)</f>
        <v>-652.12422928524757</v>
      </c>
      <c r="CL88" s="180">
        <f t="array" ref="CL88">IF($BT88=0, INDEX(LS_current!$D$4:$AY$138, MATCH('Staging Table'!$A88, LS_current!$B$4:$B$138, 0), MATCH(CL$4&amp;CL$5, LS_current!$D$2:$AY$2&amp;LS_current!$D$3:$AY$3, 0)),SUM(VLOOKUP($A88, LS_current!$B$4:$AY$138, LS_current!Q$148, FALSE), VLOOKUP($A88, LS_current!$B$4:$AY$138,LS_current!AO$148, FALSE))/2)</f>
        <v>-154.21995132892334</v>
      </c>
      <c r="CM88" s="180">
        <f t="array" ref="CM88">IF($BT88=0, INDEX(LS_current!$D$4:$AY$138, MATCH('Staging Table'!$A88, LS_current!$B$4:$B$138, 0), MATCH(CM$4&amp;CM$5, LS_current!$D$2:$AY$2&amp;LS_current!$D$3:$AY$3, 0)),SUM(VLOOKUP($A88, LS_current!$B$4:$AY$138, LS_current!R$148, FALSE), VLOOKUP($A88, LS_current!$B$4:$AY$138,LS_current!AP$148, FALSE))/2)</f>
        <v>-7824.281105988799</v>
      </c>
      <c r="CN88" s="180">
        <f t="array" ref="CN88">IF($BT88=0, INDEX(LS_current!$D$4:$AY$138, MATCH('Staging Table'!$A88, LS_current!$B$4:$B$138, 0), MATCH(CN$4&amp;CN$5, LS_current!$D$2:$AY$2&amp;LS_current!$D$3:$AY$3, 0)),SUM(VLOOKUP($A88, LS_current!$B$4:$AY$138, LS_current!S$148, FALSE), VLOOKUP($A88, LS_current!$B$4:$AY$138,LS_current!AQ$148, FALSE))/2)</f>
        <v>-4883.6762955363483</v>
      </c>
      <c r="CO88" s="180">
        <f t="array" ref="CO88">IF($BT88=0, INDEX(LS_current!$D$4:$AY$138, MATCH('Staging Table'!$A88, LS_current!$B$4:$B$138, 0), MATCH(CO$4&amp;CO$5, LS_current!$D$2:$AY$2&amp;LS_current!$D$3:$AY$3, 0)),SUM(VLOOKUP($A88, LS_current!$B$4:$AY$138, LS_current!T$148, FALSE), VLOOKUP($A88, LS_current!$B$4:$AY$138,LS_current!AR$148, FALSE))/2)</f>
        <v>-8901.9185871905993</v>
      </c>
      <c r="CP88" s="180">
        <f t="array" ref="CP88">IF($BT88=0, INDEX(LS_current!$D$4:$AY$138, MATCH('Staging Table'!$A88, LS_current!$B$4:$B$138, 0), MATCH(CP$4&amp;CP$5, LS_current!$D$2:$AY$2&amp;LS_current!$D$3:$AY$3, 0)),SUM(VLOOKUP($A88, LS_current!$B$4:$AY$138, LS_current!U$148, FALSE), VLOOKUP($A88, LS_current!$B$4:$AY$138,LS_current!AS$148, FALSE))/2)</f>
        <v>-6100.106795333948</v>
      </c>
      <c r="CQ88" s="180">
        <f t="array" ref="CQ88">IF($BT88=0, INDEX(LS_current!$D$4:$AY$138, MATCH('Staging Table'!$A88, LS_current!$B$4:$B$138, 0), MATCH(CQ$4&amp;CQ$5, LS_current!$D$2:$AY$2&amp;LS_current!$D$3:$AY$3, 0)),SUM(VLOOKUP($A88, LS_current!$B$4:$AY$138, LS_current!V$148, FALSE), VLOOKUP($A88, LS_current!$B$4:$AY$138,LS_current!AT$148, FALSE))/2)</f>
        <v>-2954.8623711483997</v>
      </c>
      <c r="CR88" s="180">
        <f t="array" ref="CR88">IF($BT88=0, INDEX(LS_current!$D$4:$AY$138, MATCH('Staging Table'!$A88, LS_current!$B$4:$B$138, 0), MATCH(CR$4&amp;CR$5, LS_current!$D$2:$AY$2&amp;LS_current!$D$3:$AY$3, 0)),SUM(VLOOKUP($A88, LS_current!$B$4:$AY$138, LS_current!W$148, FALSE), VLOOKUP($A88, LS_current!$B$4:$AY$138,LS_current!AU$148, FALSE))/2)</f>
        <v>-1753.7491498202489</v>
      </c>
      <c r="CS88" s="180">
        <f t="array" ref="CS88">IF($BT88=0, INDEX(LS_current!$D$4:$AY$138, MATCH('Staging Table'!$A88, LS_current!$B$4:$B$138, 0), MATCH(CS$4&amp;CS$5, LS_current!$D$2:$AY$2&amp;LS_current!$D$3:$AY$3, 0)),SUM(VLOOKUP($A88, LS_current!$B$4:$AY$138, LS_current!X$148, FALSE), VLOOKUP($A88, LS_current!$B$4:$AY$138,LS_current!AV$148, FALSE))/2)</f>
        <v>-1461.5349204866488</v>
      </c>
      <c r="CT88" s="180">
        <f t="array" ref="CT88">IF($BT88=0, INDEX(LS_current!$D$4:$AY$138, MATCH('Staging Table'!$A88, LS_current!$B$4:$B$138, 0), MATCH(CT$4&amp;CT$5, LS_current!$D$2:$AY$2&amp;LS_current!$D$3:$AY$3, 0)),SUM(VLOOKUP($A88, LS_current!$B$4:$AY$138, LS_current!Y$148, FALSE), VLOOKUP($A88, LS_current!$B$4:$AY$138,LS_current!AW$148, FALSE))/2)</f>
        <v>-887.00567684203452</v>
      </c>
      <c r="CU88" s="180">
        <f t="array" ref="CU88">IF($BT88=0, INDEX(LS_current!$D$4:$AY$138, MATCH('Staging Table'!$A88, LS_current!$B$4:$B$138, 0), MATCH(CU$4&amp;CU$5, LS_current!$D$2:$AY$2&amp;LS_current!$D$3:$AY$3, 0)),SUM(VLOOKUP($A88, LS_current!$B$4:$AY$138, LS_current!Z$148, FALSE), VLOOKUP($A88, LS_current!$B$4:$AY$138,LS_current!AX$148, FALSE))/2)</f>
        <v>-3115.9938400293995</v>
      </c>
      <c r="CV88" s="180">
        <f t="array" ref="CV88">IF($BT88=0, INDEX(LS_current!$D$4:$AY$138, MATCH('Staging Table'!$A88, LS_current!$B$4:$B$138, 0), MATCH(CV$4&amp;CV$5, LS_current!$D$2:$AY$2&amp;LS_current!$D$3:$AY$3, 0)),SUM(VLOOKUP($A88, LS_current!$B$4:$AY$138, LS_current!AA$148, FALSE), VLOOKUP($A88, LS_current!$B$4:$AY$138,LS_current!AY$148, FALSE))/2)</f>
        <v>-2564.4855327023979</v>
      </c>
      <c r="CW88" s="182">
        <f t="array" ref="CW88">INDEX(Demand_current!$D$4:$AY$138, MATCH($A88, Demand_current!$B$4:$B$138, 0), MATCH(CW$4&amp;CW$5,Demand_current!$D$2:$AY$2&amp;Demand_current!$D$3:$AY$3, 0))/1000</f>
        <v>3.6644254807692338</v>
      </c>
      <c r="CX88" s="182">
        <f t="array" ref="CX88">INDEX(Demand_current!$D$4:$AY$138, MATCH($A88, Demand_current!$B$4:$B$138, 0), MATCH(CX$4&amp;CX$5,Demand_current!$D$2:$AY$2&amp;Demand_current!$D$3:$AY$3, 0))/1000</f>
        <v>2.9655799999999957</v>
      </c>
      <c r="CY88" s="182">
        <f t="array" ref="CY88">INDEX(Demand_current!$D$4:$AY$138, MATCH($A88, Demand_current!$B$4:$B$138, 0), MATCH(CY$4&amp;CY$5,Demand_current!$D$2:$AY$2&amp;Demand_current!$D$3:$AY$3, 0))/1000</f>
        <v>3.1629025000000137</v>
      </c>
      <c r="CZ88" s="182">
        <f t="array" ref="CZ88">INDEX(Demand_current!$D$4:$AY$138, MATCH($A88, Demand_current!$B$4:$B$138, 0), MATCH(CZ$4&amp;CZ$5,Demand_current!$D$2:$AY$2&amp;Demand_current!$D$3:$AY$3, 0))/1000</f>
        <v>0</v>
      </c>
      <c r="DA88" s="182">
        <f t="array" ref="DA88">INDEX(Demand_current!$D$4:$AY$138, MATCH($A88, Demand_current!$B$4:$B$138, 0), MATCH(DA$4&amp;DA$5,Demand_current!$D$2:$AY$2&amp;Demand_current!$D$3:$AY$3, 0))/1000</f>
        <v>17.364297499999992</v>
      </c>
      <c r="DB88" s="182">
        <f t="array" ref="DB88">INDEX(Demand_current!$D$4:$AY$138, MATCH($A88, Demand_current!$B$4:$B$138, 0), MATCH(DB$4&amp;DB$5,Demand_current!$D$2:$AY$2&amp;Demand_current!$D$3:$AY$3, 0))/1000</f>
        <v>8.9589038461538557</v>
      </c>
      <c r="DC88" s="182">
        <f t="array" ref="DC88">INDEX(Demand_current!$D$4:$AY$138, MATCH($A88, Demand_current!$B$4:$B$138, 0), MATCH(DC$4&amp;DC$5,Demand_current!$D$2:$AY$2&amp;Demand_current!$D$3:$AY$3, 0))/1000</f>
        <v>9.1682379807692342</v>
      </c>
      <c r="DD88" s="182">
        <f t="array" ref="DD88">INDEX(Demand_current!$D$4:$AY$138, MATCH($A88, Demand_current!$B$4:$B$138, 0), MATCH(DD$4&amp;DD$5,Demand_current!$D$2:$AY$2&amp;Demand_current!$D$3:$AY$3, 0))/1000</f>
        <v>1.0805288461538431</v>
      </c>
      <c r="DE88" s="182">
        <f t="array" ref="DE88">INDEX(Demand_current!$D$4:$AY$138, MATCH($A88, Demand_current!$B$4:$B$138, 0), MATCH(DE$4&amp;DE$5,Demand_current!$D$2:$AY$2&amp;Demand_current!$D$3:$AY$3, 0))/1000</f>
        <v>7.5330999999999966</v>
      </c>
      <c r="DF88" s="182">
        <f t="array" ref="DF88">INDEX(Demand_current!$D$4:$AY$138, MATCH($A88, Demand_current!$B$4:$B$138, 0), MATCH(DF$4&amp;DF$5,Demand_current!$D$2:$AY$2&amp;Demand_current!$D$3:$AY$3, 0))/1000</f>
        <v>13.19969711538462</v>
      </c>
      <c r="DG88" s="182">
        <f t="array" ref="DG88">INDEX(Demand_current!$D$4:$AY$138, MATCH($A88, Demand_current!$B$4:$B$138, 0), MATCH(DG$4&amp;DG$5,Demand_current!$D$2:$AY$2&amp;Demand_current!$D$3:$AY$3, 0))/1000</f>
        <v>9.2635185185185236</v>
      </c>
      <c r="DH88" s="182">
        <f t="array" ref="DH88">INDEX(Demand_current!$D$4:$AY$138, MATCH($A88, Demand_current!$B$4:$B$138, 0), MATCH(DH$4&amp;DH$5,Demand_current!$D$2:$AY$2&amp;Demand_current!$D$3:$AY$3, 0))/1000</f>
        <v>3.4677005208333345</v>
      </c>
      <c r="DI88" s="180">
        <f>$BS88*(VLOOKUP(DI$4, Rates_current!$G$6:$Q$29, 10, FALSE)+VLOOKUP(DI$4, Rates_current!$G$6:$Q$29, 11, FALSE))</f>
        <v>22668.054490915649</v>
      </c>
      <c r="DJ88" s="180">
        <f>$BS88*(VLOOKUP(DJ$4, Rates_current!$G$6:$Q$29, 10, FALSE)+VLOOKUP(DJ$4, Rates_current!$G$6:$Q$29, 11, FALSE))</f>
        <v>28909.244334302901</v>
      </c>
      <c r="DK88" s="180">
        <f>$BS88*(VLOOKUP(DK$4, Rates_current!$G$6:$Q$29, 10, FALSE)+VLOOKUP(DK$4, Rates_current!$G$6:$Q$29, 11, FALSE))</f>
        <v>31198.7946521985</v>
      </c>
      <c r="DL88" s="180">
        <f>$BS88*(VLOOKUP(DL$4, Rates_current!$G$6:$Q$29, 10, FALSE)+VLOOKUP(DL$4, Rates_current!$G$6:$Q$29, 11, FALSE))</f>
        <v>32420.370597486399</v>
      </c>
      <c r="DM88" s="180">
        <f>$BS88*(VLOOKUP(DM$4, Rates_current!$G$6:$Q$29, 10, FALSE)+VLOOKUP(DM$4, Rates_current!$G$6:$Q$29, 11, FALSE))</f>
        <v>27885.840073357795</v>
      </c>
      <c r="DN88" s="180">
        <f>$BS88*(VLOOKUP(DN$4, Rates_current!$G$6:$Q$29, 10, FALSE)+VLOOKUP(DN$4, Rates_current!$G$6:$Q$29, 11, FALSE))</f>
        <v>30445.816241432098</v>
      </c>
      <c r="DO88" s="180">
        <f>$BS88*(VLOOKUP(DO$4, Rates_current!$G$6:$Q$29, 10, FALSE)+VLOOKUP(DO$4, Rates_current!$G$6:$Q$29, 11, FALSE))</f>
        <v>24031.84118061417</v>
      </c>
      <c r="DP88" s="180">
        <f>$BS88*(VLOOKUP(DP$4, Rates_current!$G$6:$Q$29, 10, FALSE)+VLOOKUP(DP$4, Rates_current!$G$6:$Q$29, 11, FALSE))</f>
        <v>29814.719401525148</v>
      </c>
      <c r="DQ88" s="180">
        <f>$BS88*(VLOOKUP(DQ$4, Rates_current!$G$6:$Q$29, 10, FALSE)+VLOOKUP(DQ$4, Rates_current!$G$6:$Q$29, 11, FALSE))</f>
        <v>30461.624382524544</v>
      </c>
      <c r="DR88" s="180">
        <f>$BS88*(VLOOKUP(DR$4, Rates_current!$G$6:$Q$29, 10, FALSE)+VLOOKUP(DR$4, Rates_current!$G$6:$Q$29, 11, FALSE))</f>
        <v>26445.078520968647</v>
      </c>
      <c r="DS88" s="180">
        <f>$BS88*(VLOOKUP(DS$4, Rates_current!$G$6:$Q$29, 10, FALSE)+VLOOKUP(DS$4, Rates_current!$G$6:$Q$29, 11, FALSE))</f>
        <v>25565.361597328687</v>
      </c>
      <c r="DT88" s="180">
        <f>$BS88*(VLOOKUP(DT$4, Rates_current!$G$6:$Q$29, 10, FALSE)+VLOOKUP(DT$4, Rates_current!$G$6:$Q$29, 11, FALSE))</f>
        <v>23525.083372731802</v>
      </c>
      <c r="DU88" s="402">
        <f>IF(D88=0,IF(C88=0,MAX(0,DW88 - (VLOOKUP($A88,TOCA_current!$A$2:$AI$137,MATCH("RHWM 2024",TOCA_current!$A$2:$AI$2,0),FALSE)*$BS$2)), 0),0)</f>
        <v>0</v>
      </c>
      <c r="DV88" s="403">
        <f>MIN(VLOOKUP($A88,TOCA_current!$A$2:$AI$137,MATCH("TRL - NLSL - Existing Resource "&amp;$BS$1,TOCA_current!$A$2:$AI$2,0),FALSE)*$BS$2, VLOOKUP($A88,TOCA_current!$A$2:$AI$137,MATCH("RHWM 2024",TOCA_current!$A$2:$AI$2,0),FALSE)*$BS$2)</f>
        <v>333370.36799999996</v>
      </c>
      <c r="DW88" s="403">
        <f>SUM(BY88:CV88)+(BS88*RT1SC!$C$4*$BS$2)</f>
        <v>333369.80452810961</v>
      </c>
      <c r="DX88" s="403">
        <f>VLOOKUP($A88,TOCA_current!$A$2:$AI$137,MATCH("Above RHWM Not Served with LS "&amp;$BS$1,TOCA_current!$A$2:$AI$2,0),FALSE)*$BS$2</f>
        <v>28627.056</v>
      </c>
      <c r="DY88" s="403">
        <f t="shared" si="32"/>
        <v>-0.56347189034568146</v>
      </c>
      <c r="DZ88" s="403">
        <f>(VLOOKUP($A88,TOCA_current!$A$2:$AI$137,MATCH("RHWM 2024",TOCA_current!$A$2:$AI$2,0),FALSE)*$BS$2) - $DV88</f>
        <v>0</v>
      </c>
      <c r="EA88" s="403">
        <f t="shared" si="33"/>
        <v>0</v>
      </c>
      <c r="EB88" s="403">
        <f t="shared" si="34"/>
        <v>0</v>
      </c>
      <c r="EC88" s="403">
        <f t="shared" si="35"/>
        <v>0</v>
      </c>
      <c r="ED88" s="403">
        <f t="shared" si="36"/>
        <v>0</v>
      </c>
    </row>
    <row r="89" spans="1:134">
      <c r="A89" s="123">
        <v>10259</v>
      </c>
      <c r="B89" s="124" t="s">
        <v>90</v>
      </c>
      <c r="C89" s="232">
        <f>VLOOKUP(A89, TOCA_current!$A$3:$D$137, 4, FALSE)</f>
        <v>0</v>
      </c>
      <c r="D89" s="191">
        <v>0</v>
      </c>
      <c r="E89" s="107">
        <f>VLOOKUP($A89,TOCA_previous!$A$2:$AI$137,MATCH(E$4,TOCA_previous!$A$2:$AI$2,0),FALSE)</f>
        <v>3.8211999999999999E-3</v>
      </c>
      <c r="F89" s="108">
        <f>VLOOKUP($A89,TOCA_previous!$A$2:$AI$137,MATCH(F$4,TOCA_previous!$A$2:$AI$2,0),FALSE)</f>
        <v>3.8211999999999999E-3</v>
      </c>
      <c r="G89" s="108">
        <f t="shared" si="24"/>
        <v>0</v>
      </c>
      <c r="H89" s="108">
        <f>VLOOKUP($A89,TOCA_previous!$A$2:$AI$137,MATCH(H$4,TOCA_previous!$A$2:$AI$2,0),FALSE)</f>
        <v>7.324E-2</v>
      </c>
      <c r="I89" s="108">
        <f t="shared" si="25"/>
        <v>0</v>
      </c>
      <c r="J89" s="108">
        <f t="shared" si="26"/>
        <v>0</v>
      </c>
      <c r="K89" s="179">
        <f>VLOOKUP(A89, IRD!$A$5:$C$139, 3, FALSE)</f>
        <v>0</v>
      </c>
      <c r="L89" s="180">
        <f t="array" ref="L89">IF($G89=0, INDEX(LS_previous!$D$4:$AY$138, MATCH('Staging Table'!$A89, LS_previous!$B$4:$B$138, 0), MATCH(L$4&amp;L$5, LS_previous!$D$2:$AY$2&amp;LS_previous!$D$3:$AY$3, 0)),SUM(VLOOKUP($A89, LS_previous!$B$4:$AY$138, LS_previous!D$149, FALSE), VLOOKUP('Staging Table'!$A89, LS_previous!$B$4:$AY$138,LS_previous!AB$149, FALSE))/2)</f>
        <v>1509.4462411569475</v>
      </c>
      <c r="M89" s="180">
        <f t="array" ref="M89">IF($G89=0, INDEX(LS_previous!$D$4:$AY$138, MATCH('Staging Table'!$A89, LS_previous!$B$4:$B$138, 0), MATCH(M$4&amp;M$5, LS_previous!$D$2:$AY$2&amp;LS_previous!$D$3:$AY$3, 0)),SUM(VLOOKUP($A89, LS_previous!$B$4:$AY$138, LS_previous!E$149, FALSE), VLOOKUP('Staging Table'!$A89, LS_previous!$B$4:$AY$138,LS_previous!AC$149, FALSE))/2)</f>
        <v>1818.1277622234766</v>
      </c>
      <c r="N89" s="180">
        <f t="array" ref="N89">IF($G89=0, INDEX(LS_previous!$D$4:$AY$138, MATCH('Staging Table'!$A89, LS_previous!$B$4:$B$138, 0), MATCH(N$4&amp;N$5, LS_previous!$D$2:$AY$2&amp;LS_previous!$D$3:$AY$3, 0)),SUM(VLOOKUP($A89, LS_previous!$B$4:$AY$138, LS_previous!F$149, FALSE), VLOOKUP('Staging Table'!$A89, LS_previous!$B$4:$AY$138,LS_previous!AD$149, FALSE))/2)</f>
        <v>510.40891427332463</v>
      </c>
      <c r="O89" s="180">
        <f t="array" ref="O89">IF($G89=0, INDEX(LS_previous!$D$4:$AY$138, MATCH('Staging Table'!$A89, LS_previous!$B$4:$B$138, 0), MATCH(O$4&amp;O$5, LS_previous!$D$2:$AY$2&amp;LS_previous!$D$3:$AY$3, 0)),SUM(VLOOKUP($A89, LS_previous!$B$4:$AY$138, LS_previous!G$149, FALSE), VLOOKUP('Staging Table'!$A89, LS_previous!$B$4:$AY$138,LS_previous!AE$149, FALSE))/2)</f>
        <v>918.83925170847579</v>
      </c>
      <c r="P89" s="180">
        <f t="array" ref="P89">IF($G89=0, INDEX(LS_previous!$D$4:$AY$138, MATCH('Staging Table'!$A89, LS_previous!$B$4:$B$138, 0), MATCH(P$4&amp;P$5, LS_previous!$D$2:$AY$2&amp;LS_previous!$D$3:$AY$3, 0)),SUM(VLOOKUP($A89, LS_previous!$B$4:$AY$138, LS_previous!H$149, FALSE), VLOOKUP('Staging Table'!$A89, LS_previous!$B$4:$AY$138,LS_previous!AF$149, FALSE))/2)</f>
        <v>3761.5505024253162</v>
      </c>
      <c r="Q89" s="180">
        <f t="array" ref="Q89">IF($G89=0, INDEX(LS_previous!$D$4:$AY$138, MATCH('Staging Table'!$A89, LS_previous!$B$4:$B$138, 0), MATCH(Q$4&amp;Q$5, LS_previous!$D$2:$AY$2&amp;LS_previous!$D$3:$AY$3, 0)),SUM(VLOOKUP($A89, LS_previous!$B$4:$AY$138, LS_previous!I$149, FALSE), VLOOKUP('Staging Table'!$A89, LS_previous!$B$4:$AY$138,LS_previous!AG$149, FALSE))/2)</f>
        <v>2602.6904340917336</v>
      </c>
      <c r="R89" s="180">
        <f t="array" ref="R89">IF($G89=0, INDEX(LS_previous!$D$4:$AY$138, MATCH('Staging Table'!$A89, LS_previous!$B$4:$B$138, 0), MATCH(R$4&amp;R$5, LS_previous!$D$2:$AY$2&amp;LS_previous!$D$3:$AY$3, 0)),SUM(VLOOKUP($A89, LS_previous!$B$4:$AY$138, LS_previous!J$149, FALSE), VLOOKUP('Staging Table'!$A89, LS_previous!$B$4:$AY$138,LS_previous!AH$149, FALSE))/2)</f>
        <v>6023.0835540562075</v>
      </c>
      <c r="S89" s="180">
        <f t="array" ref="S89">IF($G89=0, INDEX(LS_previous!$D$4:$AY$138, MATCH('Staging Table'!$A89, LS_previous!$B$4:$B$138, 0), MATCH(S$4&amp;S$5, LS_previous!$D$2:$AY$2&amp;LS_previous!$D$3:$AY$3, 0)),SUM(VLOOKUP($A89, LS_previous!$B$4:$AY$138, LS_previous!K$149, FALSE), VLOOKUP('Staging Table'!$A89, LS_previous!$B$4:$AY$138,LS_previous!AI$149, FALSE))/2)</f>
        <v>3121.9929417584444</v>
      </c>
      <c r="T89" s="180">
        <f t="array" ref="T89">IF($G89=0, INDEX(LS_previous!$D$4:$AY$138, MATCH('Staging Table'!$A89, LS_previous!$B$4:$B$138, 0), MATCH(T$4&amp;T$5, LS_previous!$D$2:$AY$2&amp;LS_previous!$D$3:$AY$3, 0)),SUM(VLOOKUP($A89, LS_previous!$B$4:$AY$138, LS_previous!L$149, FALSE), VLOOKUP('Staging Table'!$A89, LS_previous!$B$4:$AY$138,LS_previous!AJ$149, FALSE))/2)</f>
        <v>7758.862707101347</v>
      </c>
      <c r="U89" s="180">
        <f t="array" ref="U89">IF($G89=0, INDEX(LS_previous!$D$4:$AY$138, MATCH('Staging Table'!$A89, LS_previous!$B$4:$B$138, 0), MATCH(U$4&amp;U$5, LS_previous!$D$2:$AY$2&amp;LS_previous!$D$3:$AY$3, 0)),SUM(VLOOKUP($A89, LS_previous!$B$4:$AY$138, LS_previous!M$149, FALSE), VLOOKUP('Staging Table'!$A89, LS_previous!$B$4:$AY$138,LS_previous!AK$149, FALSE))/2)</f>
        <v>4259.8614015910553</v>
      </c>
      <c r="V89" s="180">
        <f t="array" ref="V89">IF($G89=0, INDEX(LS_previous!$D$4:$AY$138, MATCH('Staging Table'!$A89, LS_previous!$B$4:$B$138, 0), MATCH(V$4&amp;V$5, LS_previous!$D$2:$AY$2&amp;LS_previous!$D$3:$AY$3, 0)),SUM(VLOOKUP($A89, LS_previous!$B$4:$AY$138, LS_previous!N$149, FALSE), VLOOKUP('Staging Table'!$A89, LS_previous!$B$4:$AY$138,LS_previous!AL$149, FALSE))/2)</f>
        <v>3074.2228528884989</v>
      </c>
      <c r="W89" s="180">
        <f t="array" ref="W89">IF($G89=0, INDEX(LS_previous!$D$4:$AY$138, MATCH('Staging Table'!$A89, LS_previous!$B$4:$B$138, 0), MATCH(W$4&amp;W$5, LS_previous!$D$2:$AY$2&amp;LS_previous!$D$3:$AY$3, 0)),SUM(VLOOKUP($A89, LS_previous!$B$4:$AY$138, LS_previous!O$149, FALSE), VLOOKUP('Staging Table'!$A89, LS_previous!$B$4:$AY$138,LS_previous!AM$149, FALSE))/2)</f>
        <v>2813.586093648315</v>
      </c>
      <c r="X89" s="180">
        <f t="array" ref="X89">IF($G89=0, INDEX(LS_previous!$D$4:$AY$138, MATCH('Staging Table'!$A89, LS_previous!$B$4:$B$138, 0), MATCH(X$4&amp;X$5, LS_previous!$D$2:$AY$2&amp;LS_previous!$D$3:$AY$3, 0)),SUM(VLOOKUP($A89, LS_previous!$B$4:$AY$138, LS_previous!P$149, FALSE), VLOOKUP('Staging Table'!$A89, LS_previous!$B$4:$AY$138,LS_previous!AN$149, FALSE))/2)</f>
        <v>3352.8141474470576</v>
      </c>
      <c r="Y89" s="180">
        <f t="array" ref="Y89">IF($G89=0, INDEX(LS_previous!$D$4:$AY$138, MATCH('Staging Table'!$A89, LS_previous!$B$4:$B$138, 0), MATCH(Y$4&amp;Y$5, LS_previous!$D$2:$AY$2&amp;LS_previous!$D$3:$AY$3, 0)),SUM(VLOOKUP($A89, LS_previous!$B$4:$AY$138, LS_previous!Q$149, FALSE), VLOOKUP('Staging Table'!$A89, LS_previous!$B$4:$AY$138,LS_previous!AO$149, FALSE))/2)</f>
        <v>1931.166286398894</v>
      </c>
      <c r="Z89" s="180">
        <f t="array" ref="Z89">IF($G89=0, INDEX(LS_previous!$D$4:$AY$138, MATCH('Staging Table'!$A89, LS_previous!$B$4:$B$138, 0), MATCH(Z$4&amp;Z$5, LS_previous!$D$2:$AY$2&amp;LS_previous!$D$3:$AY$3, 0)),SUM(VLOOKUP($A89, LS_previous!$B$4:$AY$138, LS_previous!R$149, FALSE), VLOOKUP('Staging Table'!$A89, LS_previous!$B$4:$AY$138,LS_previous!AP$149, FALSE))/2)</f>
        <v>-2348.5338067836437</v>
      </c>
      <c r="AA89" s="180">
        <f t="array" ref="AA89">IF($G89=0, INDEX(LS_previous!$D$4:$AY$138, MATCH('Staging Table'!$A89, LS_previous!$B$4:$B$138, 0), MATCH(AA$4&amp;AA$5, LS_previous!$D$2:$AY$2&amp;LS_previous!$D$3:$AY$3, 0)),SUM(VLOOKUP($A89, LS_previous!$B$4:$AY$138, LS_previous!S$149, FALSE), VLOOKUP('Staging Table'!$A89, LS_previous!$B$4:$AY$138,LS_previous!AQ$149, FALSE))/2)</f>
        <v>484.02402284791151</v>
      </c>
      <c r="AB89" s="180">
        <f t="array" ref="AB89">IF($G89=0, INDEX(LS_previous!$D$4:$AY$138, MATCH('Staging Table'!$A89, LS_previous!$B$4:$B$138, 0), MATCH(AB$4&amp;AB$5, LS_previous!$D$2:$AY$2&amp;LS_previous!$D$3:$AY$3, 0)),SUM(VLOOKUP($A89, LS_previous!$B$4:$AY$138, LS_previous!T$149, FALSE), VLOOKUP('Staging Table'!$A89, LS_previous!$B$4:$AY$138,LS_previous!AR$149, FALSE))/2)</f>
        <v>-3682.7672468537257</v>
      </c>
      <c r="AC89" s="180">
        <f t="array" ref="AC89">IF($G89=0, INDEX(LS_previous!$D$4:$AY$138, MATCH('Staging Table'!$A89, LS_previous!$B$4:$B$138, 0), MATCH(AC$4&amp;AC$5, LS_previous!$D$2:$AY$2&amp;LS_previous!$D$3:$AY$3, 0)),SUM(VLOOKUP($A89, LS_previous!$B$4:$AY$138, LS_previous!U$149, FALSE), VLOOKUP('Staging Table'!$A89, LS_previous!$B$4:$AY$138,LS_previous!AS$149, FALSE))/2)</f>
        <v>1128.1400508617389</v>
      </c>
      <c r="AD89" s="180">
        <f t="array" ref="AD89">IF($G89=0, INDEX(LS_previous!$D$4:$AY$138, MATCH('Staging Table'!$A89, LS_previous!$B$4:$B$138, 0), MATCH(AD$4&amp;AD$5, LS_previous!$D$2:$AY$2&amp;LS_previous!$D$3:$AY$3, 0)),SUM(VLOOKUP($A89, LS_previous!$B$4:$AY$138, LS_previous!V$149, FALSE), VLOOKUP('Staging Table'!$A89, LS_previous!$B$4:$AY$138,LS_previous!AT$149, FALSE))/2)</f>
        <v>-401.95957168724817</v>
      </c>
      <c r="AE89" s="180">
        <f t="array" ref="AE89">IF($G89=0, INDEX(LS_previous!$D$4:$AY$138, MATCH('Staging Table'!$A89, LS_previous!$B$4:$B$138, 0), MATCH(AE$4&amp;AE$5, LS_previous!$D$2:$AY$2&amp;LS_previous!$D$3:$AY$3, 0)),SUM(VLOOKUP($A89, LS_previous!$B$4:$AY$138, LS_previous!W$149, FALSE), VLOOKUP('Staging Table'!$A89, LS_previous!$B$4:$AY$138,LS_previous!AU$149, FALSE))/2)</f>
        <v>820.38211908928315</v>
      </c>
      <c r="AF89" s="180">
        <f t="array" ref="AF89">IF($G89=0, INDEX(LS_previous!$D$4:$AY$138, MATCH('Staging Table'!$A89, LS_previous!$B$4:$B$138, 0), MATCH(AF$4&amp;AF$5, LS_previous!$D$2:$AY$2&amp;LS_previous!$D$3:$AY$3, 0)),SUM(VLOOKUP($A89, LS_previous!$B$4:$AY$138, LS_previous!X$149, FALSE), VLOOKUP('Staging Table'!$A89, LS_previous!$B$4:$AY$138,LS_previous!AV$149, FALSE))/2)</f>
        <v>222.83372190257978</v>
      </c>
      <c r="AG89" s="180">
        <f t="array" ref="AG89">IF($G89=0, INDEX(LS_previous!$D$4:$AY$138, MATCH('Staging Table'!$A89, LS_previous!$B$4:$B$138, 0), MATCH(AG$4&amp;AG$5, LS_previous!$D$2:$AY$2&amp;LS_previous!$D$3:$AY$3, 0)),SUM(VLOOKUP($A89, LS_previous!$B$4:$AY$138, LS_previous!Y$149, FALSE), VLOOKUP('Staging Table'!$A89, LS_previous!$B$4:$AY$138,LS_previous!AW$149, FALSE))/2)</f>
        <v>863.45385121053368</v>
      </c>
      <c r="AH89" s="180">
        <f t="array" ref="AH89">IF($G89=0, INDEX(LS_previous!$D$4:$AY$138, MATCH('Staging Table'!$A89, LS_previous!$B$4:$B$138, 0), MATCH(AH$4&amp;AH$5, LS_previous!$D$2:$AY$2&amp;LS_previous!$D$3:$AY$3, 0)),SUM(VLOOKUP($A89, LS_previous!$B$4:$AY$138, LS_previous!Z$149, FALSE), VLOOKUP('Staging Table'!$A89, LS_previous!$B$4:$AY$138,LS_previous!AX$149, FALSE))/2)</f>
        <v>-1273.5982982340465</v>
      </c>
      <c r="AI89" s="180">
        <f t="array" ref="AI89">IF($G89=0, INDEX(LS_previous!$D$4:$AY$138, MATCH('Staging Table'!$A89, LS_previous!$B$4:$B$138, 0), MATCH(AI$4&amp;AI$5, LS_previous!$D$2:$AY$2&amp;LS_previous!$D$3:$AY$3, 0)),SUM(VLOOKUP($A89, LS_previous!$B$4:$AY$138, LS_previous!AA$149, FALSE), VLOOKUP('Staging Table'!$A89, LS_previous!$B$4:$AY$138,LS_previous!AY$149, FALSE))/2)</f>
        <v>669.25350710625935</v>
      </c>
      <c r="AJ89" s="298">
        <f t="array" ref="AJ89">INDEX(Demand_previous!$D$4:$AY$138, MATCH('Staging Table'!$A89, Demand_previous!$B$4:$B$138, 0), MATCH(AJ$4&amp;AJ$5,Demand_previous!$D$2:$AY$2&amp;Demand_previous!$D$3:$AY$3, 0))/1000</f>
        <v>3.7573798076923115</v>
      </c>
      <c r="AK89" s="298">
        <f t="array" ref="AK89">INDEX(Demand_previous!$D$4:$AY$138, MATCH('Staging Table'!$A89, Demand_previous!$B$4:$B$138, 0), MATCH(AK$4&amp;AK$5,Demand_previous!$D$2:$AY$2&amp;Demand_previous!$D$3:$AY$3, 0))/1000</f>
        <v>4.7069875000000003</v>
      </c>
      <c r="AL89" s="298">
        <f t="array" ref="AL89">INDEX(Demand_previous!$D$4:$AY$138, MATCH('Staging Table'!$A89, Demand_previous!$B$4:$B$138, 0), MATCH(AL$4&amp;AL$5,Demand_previous!$D$2:$AY$2&amp;Demand_previous!$D$3:$AY$3, 0))/1000</f>
        <v>5.1096802884615382</v>
      </c>
      <c r="AM89" s="298">
        <f t="array" ref="AM89">INDEX(Demand_previous!$D$4:$AY$138, MATCH('Staging Table'!$A89, Demand_previous!$B$4:$B$138, 0), MATCH(AM$4&amp;AM$5,Demand_previous!$D$2:$AY$2&amp;Demand_previous!$D$3:$AY$3, 0))/1000</f>
        <v>2.2427499999999982</v>
      </c>
      <c r="AN89" s="298">
        <f t="array" ref="AN89">INDEX(Demand_previous!$D$4:$AY$138, MATCH('Staging Table'!$A89, Demand_previous!$B$4:$B$138, 0), MATCH(AN$4&amp;AN$5,Demand_previous!$D$2:$AY$2&amp;Demand_previous!$D$3:$AY$3, 0))/1000</f>
        <v>2.0686171874999983</v>
      </c>
      <c r="AO89" s="298">
        <f t="array" ref="AO89">INDEX(Demand_previous!$D$4:$AY$138, MATCH('Staging Table'!$A89, Demand_previous!$B$4:$B$138, 0), MATCH(AO$4&amp;AO$5,Demand_previous!$D$2:$AY$2&amp;Demand_previous!$D$3:$AY$3, 0))/1000</f>
        <v>8.3201782407407414</v>
      </c>
      <c r="AP89" s="298">
        <f t="array" ref="AP89">INDEX(Demand_previous!$D$4:$AY$138, MATCH('Staging Table'!$A89, Demand_previous!$B$4:$B$138, 0), MATCH(AP$4&amp;AP$5,Demand_previous!$D$2:$AY$2&amp;Demand_previous!$D$3:$AY$3, 0))/1000</f>
        <v>7.4493437499999979</v>
      </c>
      <c r="AQ89" s="298">
        <f t="array" ref="AQ89">INDEX(Demand_previous!$D$4:$AY$138, MATCH('Staging Table'!$A89, Demand_previous!$B$4:$B$138, 0), MATCH(AQ$4&amp;AQ$5,Demand_previous!$D$2:$AY$2&amp;Demand_previous!$D$3:$AY$3, 0))/1000</f>
        <v>3.8828199999999979</v>
      </c>
      <c r="AR89" s="298">
        <f t="array" ref="AR89">INDEX(Demand_previous!$D$4:$AY$138, MATCH('Staging Table'!$A89, Demand_previous!$B$4:$B$138, 0), MATCH(AR$4&amp;AR$5,Demand_previous!$D$2:$AY$2&amp;Demand_previous!$D$3:$AY$3, 0))/1000</f>
        <v>7.5028365384615388</v>
      </c>
      <c r="AS89" s="298">
        <f t="array" ref="AS89">INDEX(Demand_previous!$D$4:$AY$138, MATCH('Staging Table'!$A89, Demand_previous!$B$4:$B$138, 0), MATCH(AS$4&amp;AS$5,Demand_previous!$D$2:$AY$2&amp;Demand_previous!$D$3:$AY$3, 0))/1000</f>
        <v>5.7753925000000041</v>
      </c>
      <c r="AT89" s="298">
        <f t="array" ref="AT89">INDEX(Demand_previous!$D$4:$AY$138, MATCH('Staging Table'!$A89, Demand_previous!$B$4:$B$138, 0), MATCH(AT$4&amp;AT$5,Demand_previous!$D$2:$AY$2&amp;Demand_previous!$D$3:$AY$3, 0))/1000</f>
        <v>6.9414953703703723</v>
      </c>
      <c r="AU89" s="298">
        <f t="array" ref="AU89">INDEX(Demand_previous!$D$4:$AY$138, MATCH('Staging Table'!$A89, Demand_previous!$B$4:$B$138, 0), MATCH(AU$4&amp;AU$5,Demand_previous!$D$2:$AY$2&amp;Demand_previous!$D$3:$AY$3, 0))/1000</f>
        <v>6.359004999999998</v>
      </c>
      <c r="AV89" s="180">
        <f>$F89*(VLOOKUP(AV$4, Rates_previous!$G$6:$Q$29, 10, FALSE)+VLOOKUP(AV$4, Rates_previous!$G$6:$Q$29, 11, FALSE))</f>
        <v>17401.455996619574</v>
      </c>
      <c r="AW89" s="180">
        <f>$F89*(VLOOKUP(AW$4, Rates_previous!$G$6:$Q$29, 10, FALSE)+VLOOKUP(AW$4, Rates_previous!$G$6:$Q$29, 11, FALSE))</f>
        <v>22030.874834018203</v>
      </c>
      <c r="AX89" s="180">
        <f>$F89*(VLOOKUP(AX$4, Rates_previous!$G$6:$Q$29, 10, FALSE)+VLOOKUP(AX$4, Rates_previous!$G$6:$Q$29, 11, FALSE))</f>
        <v>21563.825063482949</v>
      </c>
      <c r="AY89" s="180">
        <f>$F89*(VLOOKUP(AY$4, Rates_previous!$G$6:$Q$29, 10, FALSE)+VLOOKUP(AY$4, Rates_previous!$G$6:$Q$29, 11, FALSE))</f>
        <v>17810.802504185347</v>
      </c>
      <c r="AZ89" s="180">
        <f>$F89*(VLOOKUP(AZ$4, Rates_previous!$G$6:$Q$29, 10, FALSE)+VLOOKUP(AZ$4, Rates_previous!$G$6:$Q$29, 11, FALSE))</f>
        <v>15437.012891307599</v>
      </c>
      <c r="BA89" s="180">
        <f>$F89*(VLOOKUP(BA$4, Rates_previous!$G$6:$Q$29, 10, FALSE)+VLOOKUP(BA$4, Rates_previous!$G$6:$Q$29, 11, FALSE))</f>
        <v>18428.676053463187</v>
      </c>
      <c r="BB89" s="180">
        <f>$F89*(VLOOKUP(BB$4, Rates_previous!$G$6:$Q$29, 10, FALSE)+VLOOKUP(BB$4, Rates_previous!$G$6:$Q$29, 11, FALSE))</f>
        <v>14307.413566154049</v>
      </c>
      <c r="BC89" s="180">
        <f>$F89*(VLOOKUP(BC$4, Rates_previous!$G$6:$Q$29, 10, FALSE)+VLOOKUP(BC$4, Rates_previous!$G$6:$Q$29, 11, FALSE))</f>
        <v>19823.026783935733</v>
      </c>
      <c r="BD89" s="180">
        <f>$F89*(VLOOKUP(BD$4, Rates_previous!$G$6:$Q$29, 10, FALSE)+VLOOKUP(BD$4, Rates_previous!$G$6:$Q$29, 11, FALSE))</f>
        <v>21181.319195991986</v>
      </c>
      <c r="BE89" s="180">
        <f>$F89*(VLOOKUP(BE$4, Rates_previous!$G$6:$Q$29, 10, FALSE)+VLOOKUP(BE$4, Rates_previous!$G$6:$Q$29, 11, FALSE))</f>
        <v>20110.703452597969</v>
      </c>
      <c r="BF89" s="180">
        <f>$F89*(VLOOKUP(BF$4, Rates_previous!$G$6:$Q$29, 10, FALSE)+VLOOKUP(BF$4, Rates_previous!$G$6:$Q$29, 11, FALSE))</f>
        <v>19435.44342688689</v>
      </c>
      <c r="BG89" s="180">
        <f>$F89*(VLOOKUP(BG$4, Rates_previous!$G$6:$Q$29, 10, FALSE)+VLOOKUP(BG$4, Rates_previous!$G$6:$Q$29, 11, FALSE))</f>
        <v>17960.375791127786</v>
      </c>
      <c r="BH89" s="298">
        <f>IF($D89=0,IF(C89=0, MAX(BJ89 - (VLOOKUP($A89,TOCA_previous!$A$2:$AI$137,MATCH("RHWM 2022",TOCA_previous!$A$2:$AI$2,0),FALSE)*$F$2*TOCA_previous!C86),0),0), 0)</f>
        <v>39937.662534836709</v>
      </c>
      <c r="BI89" s="192">
        <f>MIN(VLOOKUP($A89,TOCA_previous!$A$2:$AI$137,MATCH("TRL - NLSL - Existing Resource "&amp;$F$1,TOCA_previous!$A$2:$AI$2,0),FALSE)*$F$2,(VLOOKUP($A89,TOCA_previous!$A$2:$AI$137,MATCH("RHWM 2022",TOCA_previous!$A$2:$AI$2,0),FALSE)*$F$2))</f>
        <v>225491.16</v>
      </c>
      <c r="BJ89" s="402">
        <f>SUM(L89:AI89)+(F89*RT1SC!$C$3*$F$2)</f>
        <v>265428.82253483671</v>
      </c>
      <c r="BK89" s="401">
        <f>VLOOKUP($A89,TOCA_previous!$A$2:$AI$137,MATCH("Above RHWM Not Served with LS "&amp;$F$1,TOCA_previous!$A$2:$AI$2,0),FALSE)*$F$2</f>
        <v>28575.119999999999</v>
      </c>
      <c r="BL89" s="402">
        <f t="shared" si="27"/>
        <v>39937.662534836709</v>
      </c>
      <c r="BM89" s="401">
        <f>(VLOOKUP($A89,TOCA_previous!$A$2:$AI$137,MATCH("RHWM 2022",TOCA_previous!$A$2:$AI$2,0),FALSE)*$F$2) - $BI89</f>
        <v>0</v>
      </c>
      <c r="BN89" s="402">
        <f t="shared" si="28"/>
        <v>0</v>
      </c>
      <c r="BO89" s="401">
        <f t="shared" si="29"/>
        <v>0</v>
      </c>
      <c r="BP89" s="402">
        <f t="shared" si="30"/>
        <v>0</v>
      </c>
      <c r="BQ89" s="401">
        <f t="shared" si="21"/>
        <v>0</v>
      </c>
      <c r="BR89" s="108">
        <f>VLOOKUP($A89,TOCA_current!$A$2:$AI$137,MATCH(BR$4,TOCA_current!$A$2:$AI$2,0),FALSE)</f>
        <v>3.8203999999999998E-3</v>
      </c>
      <c r="BS89" s="108">
        <f>VLOOKUP($A89,TOCA_current!$A$2:$AI$137,MATCH(BS$4,TOCA_current!$A$2:$AI$2,0),FALSE)</f>
        <v>3.8203999999999998E-3</v>
      </c>
      <c r="BT89" s="189">
        <f t="shared" si="31"/>
        <v>0</v>
      </c>
      <c r="BU89" s="108">
        <f>VLOOKUP($A89,TOCA_current!A85:BG220,MATCH(BU$4,TOCA_current!$A$2:$BG$2,0),FALSE)</f>
        <v>8.06207152121549E-2</v>
      </c>
      <c r="BV89" s="108">
        <f t="shared" si="22"/>
        <v>0</v>
      </c>
      <c r="BW89" s="108">
        <f t="shared" si="23"/>
        <v>0</v>
      </c>
      <c r="BX89" s="179">
        <f>VLOOKUP($A89,IRD!$A$4:$G$139, 7, FALSE)</f>
        <v>0</v>
      </c>
      <c r="BY89" s="180">
        <f t="array" ref="BY89">IF($BT89=0, INDEX(LS_current!$D$4:$AY$138, MATCH('Staging Table'!$A89, LS_current!$B$4:$B$138, 0), MATCH(BY$4&amp;BY$5, LS_current!$D$2:$AY$2&amp;LS_current!$D$3:$AY$3, 0)),SUM(VLOOKUP($A89, LS_current!$B$4:$AY$138, LS_current!D$148, FALSE), VLOOKUP($A89, LS_current!$B$4:$AY$138,LS_current!AB$148, FALSE))/2)</f>
        <v>1578.2448048655988</v>
      </c>
      <c r="BZ89" s="180">
        <f t="array" ref="BZ89">IF($BT89=0, INDEX(LS_current!$D$4:$AY$138, MATCH('Staging Table'!$A89, LS_current!$B$4:$B$138, 0), MATCH(BZ$4&amp;BZ$5, LS_current!$D$2:$AY$2&amp;LS_current!$D$3:$AY$3, 0)),SUM(VLOOKUP($A89, LS_current!$B$4:$AY$138, LS_current!E$148, FALSE), VLOOKUP($A89, LS_current!$B$4:$AY$138,LS_current!AC$148, FALSE))/2)</f>
        <v>635.3553046998004</v>
      </c>
      <c r="CA89" s="180">
        <f t="array" ref="CA89">IF($BT89=0, INDEX(LS_current!$D$4:$AY$138, MATCH('Staging Table'!$A89, LS_current!$B$4:$B$138, 0), MATCH(CA$4&amp;CA$5, LS_current!$D$2:$AY$2&amp;LS_current!$D$3:$AY$3, 0)),SUM(VLOOKUP($A89, LS_current!$B$4:$AY$138, LS_current!F$148, FALSE), VLOOKUP($A89, LS_current!$B$4:$AY$138,LS_current!AD$148, FALSE))/2)</f>
        <v>268.75761210880046</v>
      </c>
      <c r="CB89" s="180">
        <f t="array" ref="CB89">IF($BT89=0, INDEX(LS_current!$D$4:$AY$138, MATCH('Staging Table'!$A89, LS_current!$B$4:$B$138, 0), MATCH(CB$4&amp;CB$5, LS_current!$D$2:$AY$2&amp;LS_current!$D$3:$AY$3, 0)),SUM(VLOOKUP($A89, LS_current!$B$4:$AY$138, LS_current!G$148, FALSE), VLOOKUP($A89, LS_current!$B$4:$AY$138,LS_current!AE$148, FALSE))/2)</f>
        <v>312.43227812760142</v>
      </c>
      <c r="CC89" s="180">
        <f t="array" ref="CC89">IF($BT89=0, INDEX(LS_current!$D$4:$AY$138, MATCH('Staging Table'!$A89, LS_current!$B$4:$B$138, 0), MATCH(CC$4&amp;CC$5, LS_current!$D$2:$AY$2&amp;LS_current!$D$3:$AY$3, 0)),SUM(VLOOKUP($A89, LS_current!$B$4:$AY$138, LS_current!H$148, FALSE), VLOOKUP($A89, LS_current!$B$4:$AY$138,LS_current!AF$148, FALSE))/2)</f>
        <v>1393.9412827243996</v>
      </c>
      <c r="CD89" s="180">
        <f t="array" ref="CD89">IF($BT89=0, INDEX(LS_current!$D$4:$AY$138, MATCH('Staging Table'!$A89, LS_current!$B$4:$B$138, 0), MATCH(CD$4&amp;CD$5, LS_current!$D$2:$AY$2&amp;LS_current!$D$3:$AY$3, 0)),SUM(VLOOKUP($A89, LS_current!$B$4:$AY$138, LS_current!I$148, FALSE), VLOOKUP($A89, LS_current!$B$4:$AY$138,LS_current!AG$148, FALSE))/2)</f>
        <v>1953.1386838015987</v>
      </c>
      <c r="CE89" s="180">
        <f t="array" ref="CE89">IF($BT89=0, INDEX(LS_current!$D$4:$AY$138, MATCH('Staging Table'!$A89, LS_current!$B$4:$B$138, 0), MATCH(CE$4&amp;CE$5, LS_current!$D$2:$AY$2&amp;LS_current!$D$3:$AY$3, 0)),SUM(VLOOKUP($A89, LS_current!$B$4:$AY$138, LS_current!J$148, FALSE), VLOOKUP($A89, LS_current!$B$4:$AY$138,LS_current!AH$148, FALSE))/2)</f>
        <v>490.50337201399998</v>
      </c>
      <c r="CF89" s="180">
        <f t="array" ref="CF89">IF($BT89=0, INDEX(LS_current!$D$4:$AY$138, MATCH('Staging Table'!$A89, LS_current!$B$4:$B$138, 0), MATCH(CF$4&amp;CF$5, LS_current!$D$2:$AY$2&amp;LS_current!$D$3:$AY$3, 0)),SUM(VLOOKUP($A89, LS_current!$B$4:$AY$138, LS_current!K$148, FALSE), VLOOKUP($A89, LS_current!$B$4:$AY$138,LS_current!AI$148, FALSE))/2)</f>
        <v>1015.8204740084002</v>
      </c>
      <c r="CG89" s="180">
        <f t="array" ref="CG89">IF($BT89=0, INDEX(LS_current!$D$4:$AY$138, MATCH('Staging Table'!$A89, LS_current!$B$4:$B$138, 0), MATCH(CG$4&amp;CG$5, LS_current!$D$2:$AY$2&amp;LS_current!$D$3:$AY$3, 0)),SUM(VLOOKUP($A89, LS_current!$B$4:$AY$138, LS_current!L$148, FALSE), VLOOKUP($A89, LS_current!$B$4:$AY$138,LS_current!AJ$148, FALSE))/2)</f>
        <v>2777.3387438684022</v>
      </c>
      <c r="CH89" s="180">
        <f t="array" ref="CH89">IF($BT89=0, INDEX(LS_current!$D$4:$AY$138, MATCH('Staging Table'!$A89, LS_current!$B$4:$B$138, 0), MATCH(CH$4&amp;CH$5, LS_current!$D$2:$AY$2&amp;LS_current!$D$3:$AY$3, 0)),SUM(VLOOKUP($A89, LS_current!$B$4:$AY$138, LS_current!M$148, FALSE), VLOOKUP($A89, LS_current!$B$4:$AY$138,LS_current!AK$148, FALSE))/2)</f>
        <v>2529.4165558364002</v>
      </c>
      <c r="CI89" s="180">
        <f t="array" ref="CI89">IF($BT89=0, INDEX(LS_current!$D$4:$AY$138, MATCH('Staging Table'!$A89, LS_current!$B$4:$B$138, 0), MATCH(CI$4&amp;CI$5, LS_current!$D$2:$AY$2&amp;LS_current!$D$3:$AY$3, 0)),SUM(VLOOKUP($A89, LS_current!$B$4:$AY$138, LS_current!N$148, FALSE), VLOOKUP($A89, LS_current!$B$4:$AY$138,LS_current!AL$148, FALSE))/2)</f>
        <v>-76.643979305199537</v>
      </c>
      <c r="CJ89" s="180">
        <f t="array" ref="CJ89">IF($BT89=0, INDEX(LS_current!$D$4:$AY$138, MATCH('Staging Table'!$A89, LS_current!$B$4:$B$138, 0), MATCH(CJ$4&amp;CJ$5, LS_current!$D$2:$AY$2&amp;LS_current!$D$3:$AY$3, 0)),SUM(VLOOKUP($A89, LS_current!$B$4:$AY$138, LS_current!O$148, FALSE), VLOOKUP($A89, LS_current!$B$4:$AY$138,LS_current!AM$148, FALSE))/2)</f>
        <v>350.75123932879978</v>
      </c>
      <c r="CK89" s="180">
        <f t="array" ref="CK89">IF($BT89=0, INDEX(LS_current!$D$4:$AY$138, MATCH('Staging Table'!$A89, LS_current!$B$4:$B$138, 0), MATCH(CK$4&amp;CK$5, LS_current!$D$2:$AY$2&amp;LS_current!$D$3:$AY$3, 0)),SUM(VLOOKUP($A89, LS_current!$B$4:$AY$138, LS_current!P$148, FALSE), VLOOKUP($A89, LS_current!$B$4:$AY$138,LS_current!AN$148, FALSE))/2)</f>
        <v>428.0663268390017</v>
      </c>
      <c r="CL89" s="180">
        <f t="array" ref="CL89">IF($BT89=0, INDEX(LS_current!$D$4:$AY$138, MATCH('Staging Table'!$A89, LS_current!$B$4:$B$138, 0), MATCH(CL$4&amp;CL$5, LS_current!$D$2:$AY$2&amp;LS_current!$D$3:$AY$3, 0)),SUM(VLOOKUP($A89, LS_current!$B$4:$AY$138, LS_current!Q$148, FALSE), VLOOKUP($A89, LS_current!$B$4:$AY$138,LS_current!AO$148, FALSE))/2)</f>
        <v>-244.43450926969854</v>
      </c>
      <c r="CM89" s="180">
        <f t="array" ref="CM89">IF($BT89=0, INDEX(LS_current!$D$4:$AY$138, MATCH('Staging Table'!$A89, LS_current!$B$4:$B$138, 0), MATCH(CM$4&amp;CM$5, LS_current!$D$2:$AY$2&amp;LS_current!$D$3:$AY$3, 0)),SUM(VLOOKUP($A89, LS_current!$B$4:$AY$138, LS_current!R$148, FALSE), VLOOKUP($A89, LS_current!$B$4:$AY$138,LS_current!AP$148, FALSE))/2)</f>
        <v>-3265.3770860992008</v>
      </c>
      <c r="CN89" s="180">
        <f t="array" ref="CN89">IF($BT89=0, INDEX(LS_current!$D$4:$AY$138, MATCH('Staging Table'!$A89, LS_current!$B$4:$B$138, 0), MATCH(CN$4&amp;CN$5, LS_current!$D$2:$AY$2&amp;LS_current!$D$3:$AY$3, 0)),SUM(VLOOKUP($A89, LS_current!$B$4:$AY$138, LS_current!S$148, FALSE), VLOOKUP($A89, LS_current!$B$4:$AY$138,LS_current!AQ$148, FALSE))/2)</f>
        <v>-2372.9820131334</v>
      </c>
      <c r="CO89" s="180">
        <f t="array" ref="CO89">IF($BT89=0, INDEX(LS_current!$D$4:$AY$138, MATCH('Staging Table'!$A89, LS_current!$B$4:$B$138, 0), MATCH(CO$4&amp;CO$5, LS_current!$D$2:$AY$2&amp;LS_current!$D$3:$AY$3, 0)),SUM(VLOOKUP($A89, LS_current!$B$4:$AY$138, LS_current!T$148, FALSE), VLOOKUP($A89, LS_current!$B$4:$AY$138,LS_current!AR$148, FALSE))/2)</f>
        <v>-3415.4822804903997</v>
      </c>
      <c r="CP89" s="180">
        <f t="array" ref="CP89">IF($BT89=0, INDEX(LS_current!$D$4:$AY$138, MATCH('Staging Table'!$A89, LS_current!$B$4:$B$138, 0), MATCH(CP$4&amp;CP$5, LS_current!$D$2:$AY$2&amp;LS_current!$D$3:$AY$3, 0)),SUM(VLOOKUP($A89, LS_current!$B$4:$AY$138, LS_current!U$148, FALSE), VLOOKUP($A89, LS_current!$B$4:$AY$138,LS_current!AS$148, FALSE))/2)</f>
        <v>-1937.3144182118012</v>
      </c>
      <c r="CQ89" s="180">
        <f t="array" ref="CQ89">IF($BT89=0, INDEX(LS_current!$D$4:$AY$138, MATCH('Staging Table'!$A89, LS_current!$B$4:$B$138, 0), MATCH(CQ$4&amp;CQ$5, LS_current!$D$2:$AY$2&amp;LS_current!$D$3:$AY$3, 0)),SUM(VLOOKUP($A89, LS_current!$B$4:$AY$138, LS_current!V$148, FALSE), VLOOKUP($A89, LS_current!$B$4:$AY$138,LS_current!AT$148, FALSE))/2)</f>
        <v>-117.60515118560033</v>
      </c>
      <c r="CR89" s="180">
        <f t="array" ref="CR89">IF($BT89=0, INDEX(LS_current!$D$4:$AY$138, MATCH('Staging Table'!$A89, LS_current!$B$4:$B$138, 0), MATCH(CR$4&amp;CR$5, LS_current!$D$2:$AY$2&amp;LS_current!$D$3:$AY$3, 0)),SUM(VLOOKUP($A89, LS_current!$B$4:$AY$138, LS_current!W$148, FALSE), VLOOKUP($A89, LS_current!$B$4:$AY$138,LS_current!AU$148, FALSE))/2)</f>
        <v>-554.25132610099899</v>
      </c>
      <c r="CS89" s="180">
        <f t="array" ref="CS89">IF($BT89=0, INDEX(LS_current!$D$4:$AY$138, MATCH('Staging Table'!$A89, LS_current!$B$4:$B$138, 0), MATCH(CS$4&amp;CS$5, LS_current!$D$2:$AY$2&amp;LS_current!$D$3:$AY$3, 0)),SUM(VLOOKUP($A89, LS_current!$B$4:$AY$138, LS_current!X$148, FALSE), VLOOKUP($A89, LS_current!$B$4:$AY$138,LS_current!AV$148, FALSE))/2)</f>
        <v>388.02222880139925</v>
      </c>
      <c r="CT89" s="180">
        <f t="array" ref="CT89">IF($BT89=0, INDEX(LS_current!$D$4:$AY$138, MATCH('Staging Table'!$A89, LS_current!$B$4:$B$138, 0), MATCH(CT$4&amp;CT$5, LS_current!$D$2:$AY$2&amp;LS_current!$D$3:$AY$3, 0)),SUM(VLOOKUP($A89, LS_current!$B$4:$AY$138, LS_current!Y$148, FALSE), VLOOKUP($A89, LS_current!$B$4:$AY$138,LS_current!AW$148, FALSE))/2)</f>
        <v>-441.77436025893985</v>
      </c>
      <c r="CU89" s="180">
        <f t="array" ref="CU89">IF($BT89=0, INDEX(LS_current!$D$4:$AY$138, MATCH('Staging Table'!$A89, LS_current!$B$4:$B$138, 0), MATCH(CU$4&amp;CU$5, LS_current!$D$2:$AY$2&amp;LS_current!$D$3:$AY$3, 0)),SUM(VLOOKUP($A89, LS_current!$B$4:$AY$138, LS_current!Z$148, FALSE), VLOOKUP($A89, LS_current!$B$4:$AY$138,LS_current!AX$148, FALSE))/2)</f>
        <v>-986.75218198960101</v>
      </c>
      <c r="CV89" s="180">
        <f t="array" ref="CV89">IF($BT89=0, INDEX(LS_current!$D$4:$AY$138, MATCH('Staging Table'!$A89, LS_current!$B$4:$B$138, 0), MATCH(CV$4&amp;CV$5, LS_current!$D$2:$AY$2&amp;LS_current!$D$3:$AY$3, 0)),SUM(VLOOKUP($A89, LS_current!$B$4:$AY$138, LS_current!AA$148, FALSE), VLOOKUP($A89, LS_current!$B$4:$AY$138,LS_current!AY$148, FALSE))/2)</f>
        <v>-704.66232492159997</v>
      </c>
      <c r="CW89" s="182">
        <f t="array" ref="CW89">INDEX(Demand_current!$D$4:$AY$138, MATCH($A89, Demand_current!$B$4:$B$138, 0), MATCH(CW$4&amp;CW$5,Demand_current!$D$2:$AY$2&amp;Demand_current!$D$3:$AY$3, 0))/1000</f>
        <v>3.7573798076923115</v>
      </c>
      <c r="CX89" s="182">
        <f t="array" ref="CX89">INDEX(Demand_current!$D$4:$AY$138, MATCH($A89, Demand_current!$B$4:$B$138, 0), MATCH(CX$4&amp;CX$5,Demand_current!$D$2:$AY$2&amp;Demand_current!$D$3:$AY$3, 0))/1000</f>
        <v>4.7069875000000003</v>
      </c>
      <c r="CY89" s="182">
        <f t="array" ref="CY89">INDEX(Demand_current!$D$4:$AY$138, MATCH($A89, Demand_current!$B$4:$B$138, 0), MATCH(CY$4&amp;CY$5,Demand_current!$D$2:$AY$2&amp;Demand_current!$D$3:$AY$3, 0))/1000</f>
        <v>3.4329875000000012</v>
      </c>
      <c r="CZ89" s="182">
        <f t="array" ref="CZ89">INDEX(Demand_current!$D$4:$AY$138, MATCH($A89, Demand_current!$B$4:$B$138, 0), MATCH(CZ$4&amp;CZ$5,Demand_current!$D$2:$AY$2&amp;Demand_current!$D$3:$AY$3, 0))/1000</f>
        <v>3.9216057692307702</v>
      </c>
      <c r="DA89" s="182">
        <f t="array" ref="DA89">INDEX(Demand_current!$D$4:$AY$138, MATCH($A89, Demand_current!$B$4:$B$138, 0), MATCH(DA$4&amp;DA$5,Demand_current!$D$2:$AY$2&amp;Demand_current!$D$3:$AY$3, 0))/1000</f>
        <v>3.9413925000000019</v>
      </c>
      <c r="DB89" s="182">
        <f t="array" ref="DB89">INDEX(Demand_current!$D$4:$AY$138, MATCH($A89, Demand_current!$B$4:$B$138, 0), MATCH(DB$4&amp;DB$5,Demand_current!$D$2:$AY$2&amp;Demand_current!$D$3:$AY$3, 0))/1000</f>
        <v>6.9133774038461588</v>
      </c>
      <c r="DC89" s="182">
        <f t="array" ref="DC89">INDEX(Demand_current!$D$4:$AY$138, MATCH($A89, Demand_current!$B$4:$B$138, 0), MATCH(DC$4&amp;DC$5,Demand_current!$D$2:$AY$2&amp;Demand_current!$D$3:$AY$3, 0))/1000</f>
        <v>7.4493437499999979</v>
      </c>
      <c r="DD89" s="182">
        <f t="array" ref="DD89">INDEX(Demand_current!$D$4:$AY$138, MATCH($A89, Demand_current!$B$4:$B$138, 0), MATCH(DD$4&amp;DD$5,Demand_current!$D$2:$AY$2&amp;Demand_current!$D$3:$AY$3, 0))/1000</f>
        <v>5.0668653846153822</v>
      </c>
      <c r="DE89" s="182">
        <f t="array" ref="DE89">INDEX(Demand_current!$D$4:$AY$138, MATCH($A89, Demand_current!$B$4:$B$138, 0), MATCH(DE$4&amp;DE$5,Demand_current!$D$2:$AY$2&amp;Demand_current!$D$3:$AY$3, 0))/1000</f>
        <v>6.2740700000000036</v>
      </c>
      <c r="DF89" s="182">
        <f t="array" ref="DF89">INDEX(Demand_current!$D$4:$AY$138, MATCH($A89, Demand_current!$B$4:$B$138, 0), MATCH(DF$4&amp;DF$5,Demand_current!$D$2:$AY$2&amp;Demand_current!$D$3:$AY$3, 0))/1000</f>
        <v>7.1501466346153837</v>
      </c>
      <c r="DG89" s="182">
        <f t="array" ref="DG89">INDEX(Demand_current!$D$4:$AY$138, MATCH($A89, Demand_current!$B$4:$B$138, 0), MATCH(DG$4&amp;DG$5,Demand_current!$D$2:$AY$2&amp;Demand_current!$D$3:$AY$3, 0))/1000</f>
        <v>6.9414953703703723</v>
      </c>
      <c r="DH89" s="182">
        <f t="array" ref="DH89">INDEX(Demand_current!$D$4:$AY$138, MATCH($A89, Demand_current!$B$4:$B$138, 0), MATCH(DH$4&amp;DH$5,Demand_current!$D$2:$AY$2&amp;Demand_current!$D$3:$AY$3, 0))/1000</f>
        <v>5.1617552083333305</v>
      </c>
      <c r="DI89" s="180">
        <f>$BS89*(VLOOKUP(DI$4, Rates_current!$G$6:$Q$29, 10, FALSE)+VLOOKUP(DI$4, Rates_current!$G$6:$Q$29, 11, FALSE))</f>
        <v>16117.517890434599</v>
      </c>
      <c r="DJ89" s="180">
        <f>$BS89*(VLOOKUP(DJ$4, Rates_current!$G$6:$Q$29, 10, FALSE)+VLOOKUP(DJ$4, Rates_current!$G$6:$Q$29, 11, FALSE))</f>
        <v>20555.150109763603</v>
      </c>
      <c r="DK89" s="180">
        <f>$BS89*(VLOOKUP(DK$4, Rates_current!$G$6:$Q$29, 10, FALSE)+VLOOKUP(DK$4, Rates_current!$G$6:$Q$29, 11, FALSE))</f>
        <v>22183.074033474</v>
      </c>
      <c r="DL89" s="180">
        <f>$BS89*(VLOOKUP(DL$4, Rates_current!$G$6:$Q$29, 10, FALSE)+VLOOKUP(DL$4, Rates_current!$G$6:$Q$29, 11, FALSE))</f>
        <v>23051.643153977599</v>
      </c>
      <c r="DM89" s="180">
        <f>$BS89*(VLOOKUP(DM$4, Rates_current!$G$6:$Q$29, 10, FALSE)+VLOOKUP(DM$4, Rates_current!$G$6:$Q$29, 11, FALSE))</f>
        <v>19827.485700295198</v>
      </c>
      <c r="DN89" s="180">
        <f>$BS89*(VLOOKUP(DN$4, Rates_current!$G$6:$Q$29, 10, FALSE)+VLOOKUP(DN$4, Rates_current!$G$6:$Q$29, 11, FALSE))</f>
        <v>21647.688739976398</v>
      </c>
      <c r="DO89" s="180">
        <f>$BS89*(VLOOKUP(DO$4, Rates_current!$G$6:$Q$29, 10, FALSE)+VLOOKUP(DO$4, Rates_current!$G$6:$Q$29, 11, FALSE))</f>
        <v>17087.202182430698</v>
      </c>
      <c r="DP89" s="180">
        <f>$BS89*(VLOOKUP(DP$4, Rates_current!$G$6:$Q$29, 10, FALSE)+VLOOKUP(DP$4, Rates_current!$G$6:$Q$29, 11, FALSE))</f>
        <v>21198.964099232599</v>
      </c>
      <c r="DQ89" s="180">
        <f>$BS89*(VLOOKUP(DQ$4, Rates_current!$G$6:$Q$29, 10, FALSE)+VLOOKUP(DQ$4, Rates_current!$G$6:$Q$29, 11, FALSE))</f>
        <v>21658.928698702199</v>
      </c>
      <c r="DR89" s="180">
        <f>$BS89*(VLOOKUP(DR$4, Rates_current!$G$6:$Q$29, 10, FALSE)+VLOOKUP(DR$4, Rates_current!$G$6:$Q$29, 11, FALSE))</f>
        <v>18803.070477286597</v>
      </c>
      <c r="DS89" s="180">
        <f>$BS89*(VLOOKUP(DS$4, Rates_current!$G$6:$Q$29, 10, FALSE)+VLOOKUP(DS$4, Rates_current!$G$6:$Q$29, 11, FALSE))</f>
        <v>18177.571131457542</v>
      </c>
      <c r="DT89" s="180">
        <f>$BS89*(VLOOKUP(DT$4, Rates_current!$G$6:$Q$29, 10, FALSE)+VLOOKUP(DT$4, Rates_current!$G$6:$Q$29, 11, FALSE))</f>
        <v>16726.8855069112</v>
      </c>
      <c r="DU89" s="402">
        <f>IF(D89=0,IF(C89=0,MAX(0,DW89 - (VLOOKUP($A89,TOCA_current!$A$2:$AI$137,MATCH("RHWM 2024",TOCA_current!$A$2:$AI$2,0),FALSE)*$BS$2)), 0),0)</f>
        <v>3.4520865217782557</v>
      </c>
      <c r="DV89" s="403">
        <f>MIN(VLOOKUP($A89,TOCA_current!$A$2:$AI$137,MATCH("TRL - NLSL - Existing Resource "&amp;$BS$1,TOCA_current!$A$2:$AI$2,0),FALSE)*$BS$2, VLOOKUP($A89,TOCA_current!$A$2:$AI$137,MATCH("RHWM 2024",TOCA_current!$A$2:$AI$2,0),FALSE)*$BS$2)</f>
        <v>237036.24</v>
      </c>
      <c r="DW89" s="403">
        <f>SUM(BY89:CV89)+(BS89*RT1SC!$C$4*$BS$2)</f>
        <v>237039.69208652177</v>
      </c>
      <c r="DX89" s="403">
        <f>VLOOKUP($A89,TOCA_current!$A$2:$AI$137,MATCH("Above RHWM Not Served with LS "&amp;$BS$1,TOCA_current!$A$2:$AI$2,0),FALSE)*$BS$2</f>
        <v>56964.240000000005</v>
      </c>
      <c r="DY89" s="403">
        <f t="shared" si="32"/>
        <v>3.4520865217782557</v>
      </c>
      <c r="DZ89" s="403">
        <f>(VLOOKUP($A89,TOCA_current!$A$2:$AI$137,MATCH("RHWM 2024",TOCA_current!$A$2:$AI$2,0),FALSE)*$BS$2) - $DV89</f>
        <v>0</v>
      </c>
      <c r="EA89" s="403">
        <f t="shared" si="33"/>
        <v>0</v>
      </c>
      <c r="EB89" s="403">
        <f t="shared" si="34"/>
        <v>0</v>
      </c>
      <c r="EC89" s="403">
        <f t="shared" si="35"/>
        <v>0</v>
      </c>
      <c r="ED89" s="403">
        <f t="shared" si="36"/>
        <v>0</v>
      </c>
    </row>
    <row r="90" spans="1:134">
      <c r="A90" s="123">
        <v>10260</v>
      </c>
      <c r="B90" s="124" t="s">
        <v>91</v>
      </c>
      <c r="C90" s="232">
        <f>VLOOKUP(A90, TOCA_current!$A$3:$D$137, 4, FALSE)</f>
        <v>0</v>
      </c>
      <c r="D90" s="191">
        <v>0</v>
      </c>
      <c r="E90" s="107">
        <f>VLOOKUP($A90,TOCA_previous!$A$2:$AI$137,MATCH(E$4,TOCA_previous!$A$2:$AI$2,0),FALSE)</f>
        <v>3.722E-3</v>
      </c>
      <c r="F90" s="108">
        <f>VLOOKUP($A90,TOCA_previous!$A$2:$AI$137,MATCH(F$4,TOCA_previous!$A$2:$AI$2,0),FALSE)</f>
        <v>3.722E-3</v>
      </c>
      <c r="G90" s="108">
        <f t="shared" si="24"/>
        <v>0</v>
      </c>
      <c r="H90" s="108">
        <f>VLOOKUP($A90,TOCA_previous!$A$2:$AI$137,MATCH(H$4,TOCA_previous!$A$2:$AI$2,0),FALSE)</f>
        <v>0</v>
      </c>
      <c r="I90" s="108">
        <f t="shared" si="25"/>
        <v>0</v>
      </c>
      <c r="J90" s="108">
        <f t="shared" si="26"/>
        <v>0</v>
      </c>
      <c r="K90" s="179">
        <f>VLOOKUP(A90, IRD!$A$5:$C$139, 3, FALSE)</f>
        <v>0</v>
      </c>
      <c r="L90" s="180">
        <f t="array" ref="L90">IF($G90=0, INDEX(LS_previous!$D$4:$AY$138, MATCH('Staging Table'!$A90, LS_previous!$B$4:$B$138, 0), MATCH(L$4&amp;L$5, LS_previous!$D$2:$AY$2&amp;LS_previous!$D$3:$AY$3, 0)),SUM(VLOOKUP($A90, LS_previous!$B$4:$AY$138, LS_previous!D$149, FALSE), VLOOKUP('Staging Table'!$A90, LS_previous!$B$4:$AY$138,LS_previous!AB$149, FALSE))/2)</f>
        <v>-433.92736460113156</v>
      </c>
      <c r="M90" s="180">
        <f t="array" ref="M90">IF($G90=0, INDEX(LS_previous!$D$4:$AY$138, MATCH('Staging Table'!$A90, LS_previous!$B$4:$B$138, 0), MATCH(M$4&amp;M$5, LS_previous!$D$2:$AY$2&amp;LS_previous!$D$3:$AY$3, 0)),SUM(VLOOKUP($A90, LS_previous!$B$4:$AY$138, LS_previous!E$149, FALSE), VLOOKUP('Staging Table'!$A90, LS_previous!$B$4:$AY$138,LS_previous!AC$149, FALSE))/2)</f>
        <v>-215.24032947875548</v>
      </c>
      <c r="N90" s="180">
        <f t="array" ref="N90">IF($G90=0, INDEX(LS_previous!$D$4:$AY$138, MATCH('Staging Table'!$A90, LS_previous!$B$4:$B$138, 0), MATCH(N$4&amp;N$5, LS_previous!$D$2:$AY$2&amp;LS_previous!$D$3:$AY$3, 0)),SUM(VLOOKUP($A90, LS_previous!$B$4:$AY$138, LS_previous!F$149, FALSE), VLOOKUP('Staging Table'!$A90, LS_previous!$B$4:$AY$138,LS_previous!AD$149, FALSE))/2)</f>
        <v>-2084.0659248075735</v>
      </c>
      <c r="O90" s="180">
        <f t="array" ref="O90">IF($G90=0, INDEX(LS_previous!$D$4:$AY$138, MATCH('Staging Table'!$A90, LS_previous!$B$4:$B$138, 0), MATCH(O$4&amp;O$5, LS_previous!$D$2:$AY$2&amp;LS_previous!$D$3:$AY$3, 0)),SUM(VLOOKUP($A90, LS_previous!$B$4:$AY$138, LS_previous!G$149, FALSE), VLOOKUP('Staging Table'!$A90, LS_previous!$B$4:$AY$138,LS_previous!AE$149, FALSE))/2)</f>
        <v>-891.33889708496281</v>
      </c>
      <c r="P90" s="180">
        <f t="array" ref="P90">IF($G90=0, INDEX(LS_previous!$D$4:$AY$138, MATCH('Staging Table'!$A90, LS_previous!$B$4:$B$138, 0), MATCH(P$4&amp;P$5, LS_previous!$D$2:$AY$2&amp;LS_previous!$D$3:$AY$3, 0)),SUM(VLOOKUP($A90, LS_previous!$B$4:$AY$138, LS_previous!H$149, FALSE), VLOOKUP('Staging Table'!$A90, LS_previous!$B$4:$AY$138,LS_previous!AF$149, FALSE))/2)</f>
        <v>1759.4616778046238</v>
      </c>
      <c r="Q90" s="180">
        <f t="array" ref="Q90">IF($G90=0, INDEX(LS_previous!$D$4:$AY$138, MATCH('Staging Table'!$A90, LS_previous!$B$4:$B$138, 0), MATCH(Q$4&amp;Q$5, LS_previous!$D$2:$AY$2&amp;LS_previous!$D$3:$AY$3, 0)),SUM(VLOOKUP($A90, LS_previous!$B$4:$AY$138, LS_previous!I$149, FALSE), VLOOKUP('Staging Table'!$A90, LS_previous!$B$4:$AY$138,LS_previous!AG$149, FALSE))/2)</f>
        <v>314.81445736664682</v>
      </c>
      <c r="R90" s="180">
        <f t="array" ref="R90">IF($G90=0, INDEX(LS_previous!$D$4:$AY$138, MATCH('Staging Table'!$A90, LS_previous!$B$4:$B$138, 0), MATCH(R$4&amp;R$5, LS_previous!$D$2:$AY$2&amp;LS_previous!$D$3:$AY$3, 0)),SUM(VLOOKUP($A90, LS_previous!$B$4:$AY$138, LS_previous!J$149, FALSE), VLOOKUP('Staging Table'!$A90, LS_previous!$B$4:$AY$138,LS_previous!AH$149, FALSE))/2)</f>
        <v>3933.2382627962943</v>
      </c>
      <c r="S90" s="180">
        <f t="array" ref="S90">IF($G90=0, INDEX(LS_previous!$D$4:$AY$138, MATCH('Staging Table'!$A90, LS_previous!$B$4:$B$138, 0), MATCH(S$4&amp;S$5, LS_previous!$D$2:$AY$2&amp;LS_previous!$D$3:$AY$3, 0)),SUM(VLOOKUP($A90, LS_previous!$B$4:$AY$138, LS_previous!K$149, FALSE), VLOOKUP('Staging Table'!$A90, LS_previous!$B$4:$AY$138,LS_previous!AI$149, FALSE))/2)</f>
        <v>1710.6303474366514</v>
      </c>
      <c r="T90" s="180">
        <f t="array" ref="T90">IF($G90=0, INDEX(LS_previous!$D$4:$AY$138, MATCH('Staging Table'!$A90, LS_previous!$B$4:$B$138, 0), MATCH(T$4&amp;T$5, LS_previous!$D$2:$AY$2&amp;LS_previous!$D$3:$AY$3, 0)),SUM(VLOOKUP($A90, LS_previous!$B$4:$AY$138, LS_previous!L$149, FALSE), VLOOKUP('Staging Table'!$A90, LS_previous!$B$4:$AY$138,LS_previous!AJ$149, FALSE))/2)</f>
        <v>3375.4473671703163</v>
      </c>
      <c r="U90" s="180">
        <f t="array" ref="U90">IF($G90=0, INDEX(LS_previous!$D$4:$AY$138, MATCH('Staging Table'!$A90, LS_previous!$B$4:$B$138, 0), MATCH(U$4&amp;U$5, LS_previous!$D$2:$AY$2&amp;LS_previous!$D$3:$AY$3, 0)),SUM(VLOOKUP($A90, LS_previous!$B$4:$AY$138, LS_previous!M$149, FALSE), VLOOKUP('Staging Table'!$A90, LS_previous!$B$4:$AY$138,LS_previous!AK$149, FALSE))/2)</f>
        <v>1331.757253826524</v>
      </c>
      <c r="V90" s="180">
        <f t="array" ref="V90">IF($G90=0, INDEX(LS_previous!$D$4:$AY$138, MATCH('Staging Table'!$A90, LS_previous!$B$4:$B$138, 0), MATCH(V$4&amp;V$5, LS_previous!$D$2:$AY$2&amp;LS_previous!$D$3:$AY$3, 0)),SUM(VLOOKUP($A90, LS_previous!$B$4:$AY$138, LS_previous!N$149, FALSE), VLOOKUP('Staging Table'!$A90, LS_previous!$B$4:$AY$138,LS_previous!AL$149, FALSE))/2)</f>
        <v>733.8173066185991</v>
      </c>
      <c r="W90" s="180">
        <f t="array" ref="W90">IF($G90=0, INDEX(LS_previous!$D$4:$AY$138, MATCH('Staging Table'!$A90, LS_previous!$B$4:$B$138, 0), MATCH(W$4&amp;W$5, LS_previous!$D$2:$AY$2&amp;LS_previous!$D$3:$AY$3, 0)),SUM(VLOOKUP($A90, LS_previous!$B$4:$AY$138, LS_previous!O$149, FALSE), VLOOKUP('Staging Table'!$A90, LS_previous!$B$4:$AY$138,LS_previous!AM$149, FALSE))/2)</f>
        <v>312.59701815111202</v>
      </c>
      <c r="X90" s="180">
        <f t="array" ref="X90">IF($G90=0, INDEX(LS_previous!$D$4:$AY$138, MATCH('Staging Table'!$A90, LS_previous!$B$4:$B$138, 0), MATCH(X$4&amp;X$5, LS_previous!$D$2:$AY$2&amp;LS_previous!$D$3:$AY$3, 0)),SUM(VLOOKUP($A90, LS_previous!$B$4:$AY$138, LS_previous!P$149, FALSE), VLOOKUP('Staging Table'!$A90, LS_previous!$B$4:$AY$138,LS_previous!AN$149, FALSE))/2)</f>
        <v>1638.4256597921976</v>
      </c>
      <c r="Y90" s="180">
        <f t="array" ref="Y90">IF($G90=0, INDEX(LS_previous!$D$4:$AY$138, MATCH('Staging Table'!$A90, LS_previous!$B$4:$B$138, 0), MATCH(Y$4&amp;Y$5, LS_previous!$D$2:$AY$2&amp;LS_previous!$D$3:$AY$3, 0)),SUM(VLOOKUP($A90, LS_previous!$B$4:$AY$138, LS_previous!Q$149, FALSE), VLOOKUP('Staging Table'!$A90, LS_previous!$B$4:$AY$138,LS_previous!AO$149, FALSE))/2)</f>
        <v>762.41840070571561</v>
      </c>
      <c r="Z90" s="180">
        <f t="array" ref="Z90">IF($G90=0, INDEX(LS_previous!$D$4:$AY$138, MATCH('Staging Table'!$A90, LS_previous!$B$4:$B$138, 0), MATCH(Z$4&amp;Z$5, LS_previous!$D$2:$AY$2&amp;LS_previous!$D$3:$AY$3, 0)),SUM(VLOOKUP($A90, LS_previous!$B$4:$AY$138, LS_previous!R$149, FALSE), VLOOKUP('Staging Table'!$A90, LS_previous!$B$4:$AY$138,LS_previous!AP$149, FALSE))/2)</f>
        <v>-3660.5854071100002</v>
      </c>
      <c r="AA90" s="180">
        <f t="array" ref="AA90">IF($G90=0, INDEX(LS_previous!$D$4:$AY$138, MATCH('Staging Table'!$A90, LS_previous!$B$4:$B$138, 0), MATCH(AA$4&amp;AA$5, LS_previous!$D$2:$AY$2&amp;LS_previous!$D$3:$AY$3, 0)),SUM(VLOOKUP($A90, LS_previous!$B$4:$AY$138, LS_previous!S$149, FALSE), VLOOKUP('Staging Table'!$A90, LS_previous!$B$4:$AY$138,LS_previous!AQ$149, FALSE))/2)</f>
        <v>-556.05205227679107</v>
      </c>
      <c r="AB90" s="180">
        <f t="array" ref="AB90">IF($G90=0, INDEX(LS_previous!$D$4:$AY$138, MATCH('Staging Table'!$A90, LS_previous!$B$4:$B$138, 0), MATCH(AB$4&amp;AB$5, LS_previous!$D$2:$AY$2&amp;LS_previous!$D$3:$AY$3, 0)),SUM(VLOOKUP($A90, LS_previous!$B$4:$AY$138, LS_previous!T$149, FALSE), VLOOKUP('Staging Table'!$A90, LS_previous!$B$4:$AY$138,LS_previous!AR$149, FALSE))/2)</f>
        <v>-4606.4253018919644</v>
      </c>
      <c r="AC90" s="180">
        <f t="array" ref="AC90">IF($G90=0, INDEX(LS_previous!$D$4:$AY$138, MATCH('Staging Table'!$A90, LS_previous!$B$4:$B$138, 0), MATCH(AC$4&amp;AC$5, LS_previous!$D$2:$AY$2&amp;LS_previous!$D$3:$AY$3, 0)),SUM(VLOOKUP($A90, LS_previous!$B$4:$AY$138, LS_previous!U$149, FALSE), VLOOKUP('Staging Table'!$A90, LS_previous!$B$4:$AY$138,LS_previous!AS$149, FALSE))/2)</f>
        <v>-324.58671273228538</v>
      </c>
      <c r="AD90" s="180">
        <f t="array" ref="AD90">IF($G90=0, INDEX(LS_previous!$D$4:$AY$138, MATCH('Staging Table'!$A90, LS_previous!$B$4:$B$138, 0), MATCH(AD$4&amp;AD$5, LS_previous!$D$2:$AY$2&amp;LS_previous!$D$3:$AY$3, 0)),SUM(VLOOKUP($A90, LS_previous!$B$4:$AY$138, LS_previous!V$149, FALSE), VLOOKUP('Staging Table'!$A90, LS_previous!$B$4:$AY$138,LS_previous!AT$149, FALSE))/2)</f>
        <v>-1894.2069121270652</v>
      </c>
      <c r="AE90" s="180">
        <f t="array" ref="AE90">IF($G90=0, INDEX(LS_previous!$D$4:$AY$138, MATCH('Staging Table'!$A90, LS_previous!$B$4:$B$138, 0), MATCH(AE$4&amp;AE$5, LS_previous!$D$2:$AY$2&amp;LS_previous!$D$3:$AY$3, 0)),SUM(VLOOKUP($A90, LS_previous!$B$4:$AY$138, LS_previous!W$149, FALSE), VLOOKUP('Staging Table'!$A90, LS_previous!$B$4:$AY$138,LS_previous!AU$149, FALSE))/2)</f>
        <v>-115.36200553483104</v>
      </c>
      <c r="AF90" s="180">
        <f t="array" ref="AF90">IF($G90=0, INDEX(LS_previous!$D$4:$AY$138, MATCH('Staging Table'!$A90, LS_previous!$B$4:$B$138, 0), MATCH(AF$4&amp;AF$5, LS_previous!$D$2:$AY$2&amp;LS_previous!$D$3:$AY$3, 0)),SUM(VLOOKUP($A90, LS_previous!$B$4:$AY$138, LS_previous!X$149, FALSE), VLOOKUP('Staging Table'!$A90, LS_previous!$B$4:$AY$138,LS_previous!AV$149, FALSE))/2)</f>
        <v>-1257.5335700509277</v>
      </c>
      <c r="AG90" s="180">
        <f t="array" ref="AG90">IF($G90=0, INDEX(LS_previous!$D$4:$AY$138, MATCH('Staging Table'!$A90, LS_previous!$B$4:$B$138, 0), MATCH(AG$4&amp;AG$5, LS_previous!$D$2:$AY$2&amp;LS_previous!$D$3:$AY$3, 0)),SUM(VLOOKUP($A90, LS_previous!$B$4:$AY$138, LS_previous!Y$149, FALSE), VLOOKUP('Staging Table'!$A90, LS_previous!$B$4:$AY$138,LS_previous!AW$149, FALSE))/2)</f>
        <v>-35.2423633922308</v>
      </c>
      <c r="AH90" s="180">
        <f t="array" ref="AH90">IF($G90=0, INDEX(LS_previous!$D$4:$AY$138, MATCH('Staging Table'!$A90, LS_previous!$B$4:$B$138, 0), MATCH(AH$4&amp;AH$5, LS_previous!$D$2:$AY$2&amp;LS_previous!$D$3:$AY$3, 0)),SUM(VLOOKUP($A90, LS_previous!$B$4:$AY$138, LS_previous!Z$149, FALSE), VLOOKUP('Staging Table'!$A90, LS_previous!$B$4:$AY$138,LS_previous!AX$149, FALSE))/2)</f>
        <v>-1858.9115468510226</v>
      </c>
      <c r="AI90" s="180">
        <f t="array" ref="AI90">IF($G90=0, INDEX(LS_previous!$D$4:$AY$138, MATCH('Staging Table'!$A90, LS_previous!$B$4:$B$138, 0), MATCH(AI$4&amp;AI$5, LS_previous!$D$2:$AY$2&amp;LS_previous!$D$3:$AY$3, 0)),SUM(VLOOKUP($A90, LS_previous!$B$4:$AY$138, LS_previous!AA$149, FALSE), VLOOKUP('Staging Table'!$A90, LS_previous!$B$4:$AY$138,LS_previous!AY$149, FALSE))/2)</f>
        <v>-526.24114282175833</v>
      </c>
      <c r="AJ90" s="298">
        <f t="array" ref="AJ90">INDEX(Demand_previous!$D$4:$AY$138, MATCH('Staging Table'!$A90, Demand_previous!$B$4:$B$138, 0), MATCH(AJ$4&amp;AJ$5,Demand_previous!$D$2:$AY$2&amp;Demand_previous!$D$3:$AY$3, 0))/1000</f>
        <v>3.1924471153846188</v>
      </c>
      <c r="AK90" s="298">
        <f t="array" ref="AK90">INDEX(Demand_previous!$D$4:$AY$138, MATCH('Staging Table'!$A90, Demand_previous!$B$4:$B$138, 0), MATCH(AK$4&amp;AK$5,Demand_previous!$D$2:$AY$2&amp;Demand_previous!$D$3:$AY$3, 0))/1000</f>
        <v>4.2065849999999987</v>
      </c>
      <c r="AL90" s="298">
        <f t="array" ref="AL90">INDEX(Demand_previous!$D$4:$AY$138, MATCH('Staging Table'!$A90, Demand_previous!$B$4:$B$138, 0), MATCH(AL$4&amp;AL$5,Demand_previous!$D$2:$AY$2&amp;Demand_previous!$D$3:$AY$3, 0))/1000</f>
        <v>6.7471634615384595</v>
      </c>
      <c r="AM90" s="298">
        <f t="array" ref="AM90">INDEX(Demand_previous!$D$4:$AY$138, MATCH('Staging Table'!$A90, Demand_previous!$B$4:$B$138, 0), MATCH(AM$4&amp;AM$5,Demand_previous!$D$2:$AY$2&amp;Demand_previous!$D$3:$AY$3, 0))/1000</f>
        <v>5.0249549999999967</v>
      </c>
      <c r="AN90" s="298">
        <f t="array" ref="AN90">INDEX(Demand_previous!$D$4:$AY$138, MATCH('Staging Table'!$A90, Demand_previous!$B$4:$B$138, 0), MATCH(AN$4&amp;AN$5,Demand_previous!$D$2:$AY$2&amp;Demand_previous!$D$3:$AY$3, 0))/1000</f>
        <v>3.568989583333332</v>
      </c>
      <c r="AO90" s="298">
        <f t="array" ref="AO90">INDEX(Demand_previous!$D$4:$AY$138, MATCH('Staging Table'!$A90, Demand_previous!$B$4:$B$138, 0), MATCH(AO$4&amp;AO$5,Demand_previous!$D$2:$AY$2&amp;Demand_previous!$D$3:$AY$3, 0))/1000</f>
        <v>5.6139097222222212</v>
      </c>
      <c r="AP90" s="298">
        <f t="array" ref="AP90">INDEX(Demand_previous!$D$4:$AY$138, MATCH('Staging Table'!$A90, Demand_previous!$B$4:$B$138, 0), MATCH(AP$4&amp;AP$5,Demand_previous!$D$2:$AY$2&amp;Demand_previous!$D$3:$AY$3, 0))/1000</f>
        <v>7.1246754807692323</v>
      </c>
      <c r="AQ90" s="298">
        <f t="array" ref="AQ90">INDEX(Demand_previous!$D$4:$AY$138, MATCH('Staging Table'!$A90, Demand_previous!$B$4:$B$138, 0), MATCH(AQ$4&amp;AQ$5,Demand_previous!$D$2:$AY$2&amp;Demand_previous!$D$3:$AY$3, 0))/1000</f>
        <v>5.7988849999999967</v>
      </c>
      <c r="AR90" s="298">
        <f t="array" ref="AR90">INDEX(Demand_previous!$D$4:$AY$138, MATCH('Staging Table'!$A90, Demand_previous!$B$4:$B$138, 0), MATCH(AR$4&amp;AR$5,Demand_previous!$D$2:$AY$2&amp;Demand_previous!$D$3:$AY$3, 0))/1000</f>
        <v>7.8227908653846194</v>
      </c>
      <c r="AS90" s="298">
        <f t="array" ref="AS90">INDEX(Demand_previous!$D$4:$AY$138, MATCH('Staging Table'!$A90, Demand_previous!$B$4:$B$138, 0), MATCH(AS$4&amp;AS$5,Demand_previous!$D$2:$AY$2&amp;Demand_previous!$D$3:$AY$3, 0))/1000</f>
        <v>5.5683349999999958</v>
      </c>
      <c r="AT90" s="298">
        <f t="array" ref="AT90">INDEX(Demand_previous!$D$4:$AY$138, MATCH('Staging Table'!$A90, Demand_previous!$B$4:$B$138, 0), MATCH(AT$4&amp;AT$5,Demand_previous!$D$2:$AY$2&amp;Demand_previous!$D$3:$AY$3, 0))/1000</f>
        <v>7.0958124999999965</v>
      </c>
      <c r="AU90" s="298">
        <f t="array" ref="AU90">INDEX(Demand_previous!$D$4:$AY$138, MATCH('Staging Table'!$A90, Demand_previous!$B$4:$B$138, 0), MATCH(AU$4&amp;AU$5,Demand_previous!$D$2:$AY$2&amp;Demand_previous!$D$3:$AY$3, 0))/1000</f>
        <v>6.7162099999999993</v>
      </c>
      <c r="AV90" s="180">
        <f>$F90*(VLOOKUP(AV$4, Rates_previous!$G$6:$Q$29, 10, FALSE)+VLOOKUP(AV$4, Rates_previous!$G$6:$Q$29, 11, FALSE))</f>
        <v>16949.706694079887</v>
      </c>
      <c r="AW90" s="180">
        <f>$F90*(VLOOKUP(AW$4, Rates_previous!$G$6:$Q$29, 10, FALSE)+VLOOKUP(AW$4, Rates_previous!$G$6:$Q$29, 11, FALSE))</f>
        <v>21458.943821892535</v>
      </c>
      <c r="AX90" s="180">
        <f>$F90*(VLOOKUP(AX$4, Rates_previous!$G$6:$Q$29, 10, FALSE)+VLOOKUP(AX$4, Rates_previous!$G$6:$Q$29, 11, FALSE))</f>
        <v>21004.018864828729</v>
      </c>
      <c r="AY90" s="180">
        <f>$F90*(VLOOKUP(AY$4, Rates_previous!$G$6:$Q$29, 10, FALSE)+VLOOKUP(AY$4, Rates_previous!$G$6:$Q$29, 11, FALSE))</f>
        <v>17348.426389767053</v>
      </c>
      <c r="AZ90" s="180">
        <f>$F90*(VLOOKUP(AZ$4, Rates_previous!$G$6:$Q$29, 10, FALSE)+VLOOKUP(AZ$4, Rates_previous!$G$6:$Q$29, 11, FALSE))</f>
        <v>15036.261379003163</v>
      </c>
      <c r="BA90" s="180">
        <f>$F90*(VLOOKUP(BA$4, Rates_previous!$G$6:$Q$29, 10, FALSE)+VLOOKUP(BA$4, Rates_previous!$G$6:$Q$29, 11, FALSE))</f>
        <v>17950.259675230292</v>
      </c>
      <c r="BB90" s="180">
        <f>$F90*(VLOOKUP(BB$4, Rates_previous!$G$6:$Q$29, 10, FALSE)+VLOOKUP(BB$4, Rates_previous!$G$6:$Q$29, 11, FALSE))</f>
        <v>13935.986939502087</v>
      </c>
      <c r="BC90" s="180">
        <f>$F90*(VLOOKUP(BC$4, Rates_previous!$G$6:$Q$29, 10, FALSE)+VLOOKUP(BC$4, Rates_previous!$G$6:$Q$29, 11, FALSE))</f>
        <v>19308.412459386789</v>
      </c>
      <c r="BD90" s="180">
        <f>$F90*(VLOOKUP(BD$4, Rates_previous!$G$6:$Q$29, 10, FALSE)+VLOOKUP(BD$4, Rates_previous!$G$6:$Q$29, 11, FALSE))</f>
        <v>20631.443014624248</v>
      </c>
      <c r="BE90" s="180">
        <f>$F90*(VLOOKUP(BE$4, Rates_previous!$G$6:$Q$29, 10, FALSE)+VLOOKUP(BE$4, Rates_previous!$G$6:$Q$29, 11, FALSE))</f>
        <v>19588.620917661898</v>
      </c>
      <c r="BF90" s="180">
        <f>$F90*(VLOOKUP(BF$4, Rates_previous!$G$6:$Q$29, 10, FALSE)+VLOOKUP(BF$4, Rates_previous!$G$6:$Q$29, 11, FALSE))</f>
        <v>18930.890933443159</v>
      </c>
      <c r="BG90" s="180">
        <f>$F90*(VLOOKUP(BG$4, Rates_previous!$G$6:$Q$29, 10, FALSE)+VLOOKUP(BG$4, Rates_previous!$G$6:$Q$29, 11, FALSE))</f>
        <v>17494.116689672781</v>
      </c>
      <c r="BH90" s="298">
        <f>IF($D90=0,IF(C90=0, MAX(BJ90 - (VLOOKUP($A90,TOCA_previous!$A$2:$AI$137,MATCH("RHWM 2022",TOCA_previous!$A$2:$AI$2,0),FALSE)*$F$2*TOCA_previous!C87),0),0), 0)</f>
        <v>0</v>
      </c>
      <c r="BI90" s="192">
        <f>MIN(VLOOKUP($A90,TOCA_previous!$A$2:$AI$137,MATCH("TRL - NLSL - Existing Resource "&amp;$F$1,TOCA_previous!$A$2:$AI$2,0),FALSE)*$F$2,(VLOOKUP($A90,TOCA_previous!$A$2:$AI$137,MATCH("RHWM 2022",TOCA_previous!$A$2:$AI$2,0),FALSE)*$F$2))</f>
        <v>219639.48</v>
      </c>
      <c r="BJ90" s="402">
        <f>SUM(L90:AI90)+(F90*RT1SC!$C$3*$F$2)</f>
        <v>217049.98723538738</v>
      </c>
      <c r="BK90" s="401">
        <f>VLOOKUP($A90,TOCA_previous!$A$2:$AI$137,MATCH("Above RHWM Not Served with LS "&amp;$F$1,TOCA_previous!$A$2:$AI$2,0),FALSE)*$F$2</f>
        <v>20524.68</v>
      </c>
      <c r="BL90" s="402">
        <f t="shared" si="27"/>
        <v>-2589.4927646126307</v>
      </c>
      <c r="BM90" s="401">
        <f>(VLOOKUP($A90,TOCA_previous!$A$2:$AI$137,MATCH("RHWM 2022",TOCA_previous!$A$2:$AI$2,0),FALSE)*$F$2) - $BI90</f>
        <v>0</v>
      </c>
      <c r="BN90" s="402">
        <f t="shared" si="28"/>
        <v>0</v>
      </c>
      <c r="BO90" s="401">
        <f t="shared" si="29"/>
        <v>0</v>
      </c>
      <c r="BP90" s="402">
        <f t="shared" si="30"/>
        <v>0</v>
      </c>
      <c r="BQ90" s="401">
        <f t="shared" si="21"/>
        <v>0</v>
      </c>
      <c r="BR90" s="108">
        <f>VLOOKUP($A90,TOCA_current!$A$2:$AI$137,MATCH(BR$4,TOCA_current!$A$2:$AI$2,0),FALSE)</f>
        <v>3.7212999999999999E-3</v>
      </c>
      <c r="BS90" s="108">
        <f>VLOOKUP($A90,TOCA_current!$A$2:$AI$137,MATCH(BS$4,TOCA_current!$A$2:$AI$2,0),FALSE)</f>
        <v>3.7212999999999999E-3</v>
      </c>
      <c r="BT90" s="189">
        <f t="shared" si="31"/>
        <v>0</v>
      </c>
      <c r="BU90" s="108">
        <f>VLOOKUP($A90,TOCA_current!A86:BG221,MATCH(BU$4,TOCA_current!$A$2:$BG$2,0),FALSE)</f>
        <v>0</v>
      </c>
      <c r="BV90" s="108">
        <f t="shared" si="22"/>
        <v>0</v>
      </c>
      <c r="BW90" s="108">
        <f t="shared" si="23"/>
        <v>0</v>
      </c>
      <c r="BX90" s="179">
        <f>VLOOKUP($A90,IRD!$A$4:$G$139, 7, FALSE)</f>
        <v>0</v>
      </c>
      <c r="BY90" s="180">
        <f t="array" ref="BY90">IF($BT90=0, INDEX(LS_current!$D$4:$AY$138, MATCH('Staging Table'!$A90, LS_current!$B$4:$B$138, 0), MATCH(BY$4&amp;BY$5, LS_current!$D$2:$AY$2&amp;LS_current!$D$3:$AY$3, 0)),SUM(VLOOKUP($A90, LS_current!$B$4:$AY$138, LS_current!D$148, FALSE), VLOOKUP($A90, LS_current!$B$4:$AY$138,LS_current!AB$148, FALSE))/2)</f>
        <v>1913.5320088331991</v>
      </c>
      <c r="BZ90" s="180">
        <f t="array" ref="BZ90">IF($BT90=0, INDEX(LS_current!$D$4:$AY$138, MATCH('Staging Table'!$A90, LS_current!$B$4:$B$138, 0), MATCH(BZ$4&amp;BZ$5, LS_current!$D$2:$AY$2&amp;LS_current!$D$3:$AY$3, 0)),SUM(VLOOKUP($A90, LS_current!$B$4:$AY$138, LS_current!E$148, FALSE), VLOOKUP($A90, LS_current!$B$4:$AY$138,LS_current!AC$148, FALSE))/2)</f>
        <v>430.76455349685057</v>
      </c>
      <c r="CA90" s="180">
        <f t="array" ref="CA90">IF($BT90=0, INDEX(LS_current!$D$4:$AY$138, MATCH('Staging Table'!$A90, LS_current!$B$4:$B$138, 0), MATCH(CA$4&amp;CA$5, LS_current!$D$2:$AY$2&amp;LS_current!$D$3:$AY$3, 0)),SUM(VLOOKUP($A90, LS_current!$B$4:$AY$138, LS_current!F$148, FALSE), VLOOKUP($A90, LS_current!$B$4:$AY$138,LS_current!AD$148, FALSE))/2)</f>
        <v>-126.77069368639968</v>
      </c>
      <c r="CB90" s="180">
        <f t="array" ref="CB90">IF($BT90=0, INDEX(LS_current!$D$4:$AY$138, MATCH('Staging Table'!$A90, LS_current!$B$4:$B$138, 0), MATCH(CB$4&amp;CB$5, LS_current!$D$2:$AY$2&amp;LS_current!$D$3:$AY$3, 0)),SUM(VLOOKUP($A90, LS_current!$B$4:$AY$138, LS_current!G$148, FALSE), VLOOKUP($A90, LS_current!$B$4:$AY$138,LS_current!AE$148, FALSE))/2)</f>
        <v>277.65685045969985</v>
      </c>
      <c r="CC90" s="180">
        <f t="array" ref="CC90">IF($BT90=0, INDEX(LS_current!$D$4:$AY$138, MATCH('Staging Table'!$A90, LS_current!$B$4:$B$138, 0), MATCH(CC$4&amp;CC$5, LS_current!$D$2:$AY$2&amp;LS_current!$D$3:$AY$3, 0)),SUM(VLOOKUP($A90, LS_current!$B$4:$AY$138, LS_current!H$148, FALSE), VLOOKUP($A90, LS_current!$B$4:$AY$138,LS_current!AF$148, FALSE))/2)</f>
        <v>1632.620419459301</v>
      </c>
      <c r="CD90" s="180">
        <f t="array" ref="CD90">IF($BT90=0, INDEX(LS_current!$D$4:$AY$138, MATCH('Staging Table'!$A90, LS_current!$B$4:$B$138, 0), MATCH(CD$4&amp;CD$5, LS_current!$D$2:$AY$2&amp;LS_current!$D$3:$AY$3, 0)),SUM(VLOOKUP($A90, LS_current!$B$4:$AY$138, LS_current!I$148, FALSE), VLOOKUP($A90, LS_current!$B$4:$AY$138,LS_current!AG$148, FALSE))/2)</f>
        <v>1581.2146590752</v>
      </c>
      <c r="CE90" s="180">
        <f t="array" ref="CE90">IF($BT90=0, INDEX(LS_current!$D$4:$AY$138, MATCH('Staging Table'!$A90, LS_current!$B$4:$B$138, 0), MATCH(CE$4&amp;CE$5, LS_current!$D$2:$AY$2&amp;LS_current!$D$3:$AY$3, 0)),SUM(VLOOKUP($A90, LS_current!$B$4:$AY$138, LS_current!J$148, FALSE), VLOOKUP($A90, LS_current!$B$4:$AY$138,LS_current!AH$148, FALSE))/2)</f>
        <v>837.98842097050147</v>
      </c>
      <c r="CF90" s="180">
        <f t="array" ref="CF90">IF($BT90=0, INDEX(LS_current!$D$4:$AY$138, MATCH('Staging Table'!$A90, LS_current!$B$4:$B$138, 0), MATCH(CF$4&amp;CF$5, LS_current!$D$2:$AY$2&amp;LS_current!$D$3:$AY$3, 0)),SUM(VLOOKUP($A90, LS_current!$B$4:$AY$138, LS_current!K$148, FALSE), VLOOKUP($A90, LS_current!$B$4:$AY$138,LS_current!AI$148, FALSE))/2)</f>
        <v>1443.8079526823003</v>
      </c>
      <c r="CG90" s="180">
        <f t="array" ref="CG90">IF($BT90=0, INDEX(LS_current!$D$4:$AY$138, MATCH('Staging Table'!$A90, LS_current!$B$4:$B$138, 0), MATCH(CG$4&amp;CG$5, LS_current!$D$2:$AY$2&amp;LS_current!$D$3:$AY$3, 0)),SUM(VLOOKUP($A90, LS_current!$B$4:$AY$138, LS_current!L$148, FALSE), VLOOKUP($A90, LS_current!$B$4:$AY$138,LS_current!AJ$148, FALSE))/2)</f>
        <v>729.26533547730287</v>
      </c>
      <c r="CH90" s="180">
        <f t="array" ref="CH90">IF($BT90=0, INDEX(LS_current!$D$4:$AY$138, MATCH('Staging Table'!$A90, LS_current!$B$4:$B$138, 0), MATCH(CH$4&amp;CH$5, LS_current!$D$2:$AY$2&amp;LS_current!$D$3:$AY$3, 0)),SUM(VLOOKUP($A90, LS_current!$B$4:$AY$138, LS_current!M$148, FALSE), VLOOKUP($A90, LS_current!$B$4:$AY$138,LS_current!AK$148, FALSE))/2)</f>
        <v>1275.529839973301</v>
      </c>
      <c r="CI90" s="180">
        <f t="array" ref="CI90">IF($BT90=0, INDEX(LS_current!$D$4:$AY$138, MATCH('Staging Table'!$A90, LS_current!$B$4:$B$138, 0), MATCH(CI$4&amp;CI$5, LS_current!$D$2:$AY$2&amp;LS_current!$D$3:$AY$3, 0)),SUM(VLOOKUP($A90, LS_current!$B$4:$AY$138, LS_current!N$148, FALSE), VLOOKUP($A90, LS_current!$B$4:$AY$138,LS_current!AL$148, FALSE))/2)</f>
        <v>-68.224995206897802</v>
      </c>
      <c r="CJ90" s="180">
        <f t="array" ref="CJ90">IF($BT90=0, INDEX(LS_current!$D$4:$AY$138, MATCH('Staging Table'!$A90, LS_current!$B$4:$B$138, 0), MATCH(CJ$4&amp;CJ$5, LS_current!$D$2:$AY$2&amp;LS_current!$D$3:$AY$3, 0)),SUM(VLOOKUP($A90, LS_current!$B$4:$AY$138, LS_current!O$148, FALSE), VLOOKUP($A90, LS_current!$B$4:$AY$138,LS_current!AM$148, FALSE))/2)</f>
        <v>-280.40636247139992</v>
      </c>
      <c r="CK90" s="180">
        <f t="array" ref="CK90">IF($BT90=0, INDEX(LS_current!$D$4:$AY$138, MATCH('Staging Table'!$A90, LS_current!$B$4:$B$138, 0), MATCH(CK$4&amp;CK$5, LS_current!$D$2:$AY$2&amp;LS_current!$D$3:$AY$3, 0)),SUM(VLOOKUP($A90, LS_current!$B$4:$AY$138, LS_current!P$148, FALSE), VLOOKUP($A90, LS_current!$B$4:$AY$138,LS_current!AN$148, FALSE))/2)</f>
        <v>1070.0389375892501</v>
      </c>
      <c r="CL90" s="180">
        <f t="array" ref="CL90">IF($BT90=0, INDEX(LS_current!$D$4:$AY$138, MATCH('Staging Table'!$A90, LS_current!$B$4:$B$138, 0), MATCH(CL$4&amp;CL$5, LS_current!$D$2:$AY$2&amp;LS_current!$D$3:$AY$3, 0)),SUM(VLOOKUP($A90, LS_current!$B$4:$AY$138, LS_current!Q$148, FALSE), VLOOKUP($A90, LS_current!$B$4:$AY$138,LS_current!AO$148, FALSE))/2)</f>
        <v>309.78664478972587</v>
      </c>
      <c r="CM90" s="180">
        <f t="array" ref="CM90">IF($BT90=0, INDEX(LS_current!$D$4:$AY$138, MATCH('Staging Table'!$A90, LS_current!$B$4:$B$138, 0), MATCH(CM$4&amp;CM$5, LS_current!$D$2:$AY$2&amp;LS_current!$D$3:$AY$3, 0)),SUM(VLOOKUP($A90, LS_current!$B$4:$AY$138, LS_current!R$148, FALSE), VLOOKUP($A90, LS_current!$B$4:$AY$138,LS_current!AP$148, FALSE))/2)</f>
        <v>-2259.8960364623999</v>
      </c>
      <c r="CN90" s="180">
        <f t="array" ref="CN90">IF($BT90=0, INDEX(LS_current!$D$4:$AY$138, MATCH('Staging Table'!$A90, LS_current!$B$4:$B$138, 0), MATCH(CN$4&amp;CN$5, LS_current!$D$2:$AY$2&amp;LS_current!$D$3:$AY$3, 0)),SUM(VLOOKUP($A90, LS_current!$B$4:$AY$138, LS_current!S$148, FALSE), VLOOKUP($A90, LS_current!$B$4:$AY$138,LS_current!AQ$148, FALSE))/2)</f>
        <v>-1554.206459526049</v>
      </c>
      <c r="CO90" s="180">
        <f t="array" ref="CO90">IF($BT90=0, INDEX(LS_current!$D$4:$AY$138, MATCH('Staging Table'!$A90, LS_current!$B$4:$B$138, 0), MATCH(CO$4&amp;CO$5, LS_current!$D$2:$AY$2&amp;LS_current!$D$3:$AY$3, 0)),SUM(VLOOKUP($A90, LS_current!$B$4:$AY$138, LS_current!T$148, FALSE), VLOOKUP($A90, LS_current!$B$4:$AY$138,LS_current!AR$148, FALSE))/2)</f>
        <v>-2166.7784950238001</v>
      </c>
      <c r="CP90" s="180">
        <f t="array" ref="CP90">IF($BT90=0, INDEX(LS_current!$D$4:$AY$138, MATCH('Staging Table'!$A90, LS_current!$B$4:$B$138, 0), MATCH(CP$4&amp;CP$5, LS_current!$D$2:$AY$2&amp;LS_current!$D$3:$AY$3, 0)),SUM(VLOOKUP($A90, LS_current!$B$4:$AY$138, LS_current!U$148, FALSE), VLOOKUP($A90, LS_current!$B$4:$AY$138,LS_current!AS$148, FALSE))/2)</f>
        <v>-1542.9332603108505</v>
      </c>
      <c r="CQ90" s="180">
        <f t="array" ref="CQ90">IF($BT90=0, INDEX(LS_current!$D$4:$AY$138, MATCH('Staging Table'!$A90, LS_current!$B$4:$B$138, 0), MATCH(CQ$4&amp;CQ$5, LS_current!$D$2:$AY$2&amp;LS_current!$D$3:$AY$3, 0)),SUM(VLOOKUP($A90, LS_current!$B$4:$AY$138, LS_current!V$148, FALSE), VLOOKUP($A90, LS_current!$B$4:$AY$138,LS_current!AT$148, FALSE))/2)</f>
        <v>676.52069662679969</v>
      </c>
      <c r="CR90" s="180">
        <f t="array" ref="CR90">IF($BT90=0, INDEX(LS_current!$D$4:$AY$138, MATCH('Staging Table'!$A90, LS_current!$B$4:$B$138, 0), MATCH(CR$4&amp;CR$5, LS_current!$D$2:$AY$2&amp;LS_current!$D$3:$AY$3, 0)),SUM(VLOOKUP($A90, LS_current!$B$4:$AY$138, LS_current!W$148, FALSE), VLOOKUP($A90, LS_current!$B$4:$AY$138,LS_current!AU$148, FALSE))/2)</f>
        <v>330.39868628425029</v>
      </c>
      <c r="CS90" s="180">
        <f t="array" ref="CS90">IF($BT90=0, INDEX(LS_current!$D$4:$AY$138, MATCH('Staging Table'!$A90, LS_current!$B$4:$B$138, 0), MATCH(CS$4&amp;CS$5, LS_current!$D$2:$AY$2&amp;LS_current!$D$3:$AY$3, 0)),SUM(VLOOKUP($A90, LS_current!$B$4:$AY$138, LS_current!X$148, FALSE), VLOOKUP($A90, LS_current!$B$4:$AY$138,LS_current!AV$148, FALSE))/2)</f>
        <v>1271.4937847970505</v>
      </c>
      <c r="CT90" s="180">
        <f t="array" ref="CT90">IF($BT90=0, INDEX(LS_current!$D$4:$AY$138, MATCH('Staging Table'!$A90, LS_current!$B$4:$B$138, 0), MATCH(CT$4&amp;CT$5, LS_current!$D$2:$AY$2&amp;LS_current!$D$3:$AY$3, 0)),SUM(VLOOKUP($A90, LS_current!$B$4:$AY$138, LS_current!Y$148, FALSE), VLOOKUP($A90, LS_current!$B$4:$AY$138,LS_current!AW$148, FALSE))/2)</f>
        <v>403.76268345419612</v>
      </c>
      <c r="CU90" s="180">
        <f t="array" ref="CU90">IF($BT90=0, INDEX(LS_current!$D$4:$AY$138, MATCH('Staging Table'!$A90, LS_current!$B$4:$B$138, 0), MATCH(CU$4&amp;CU$5, LS_current!$D$2:$AY$2&amp;LS_current!$D$3:$AY$3, 0)),SUM(VLOOKUP($A90, LS_current!$B$4:$AY$138, LS_current!Z$148, FALSE), VLOOKUP($A90, LS_current!$B$4:$AY$138,LS_current!AX$148, FALSE))/2)</f>
        <v>512.14620096379986</v>
      </c>
      <c r="CV90" s="180">
        <f t="array" ref="CV90">IF($BT90=0, INDEX(LS_current!$D$4:$AY$138, MATCH('Staging Table'!$A90, LS_current!$B$4:$B$138, 0), MATCH(CV$4&amp;CV$5, LS_current!$D$2:$AY$2&amp;LS_current!$D$3:$AY$3, 0)),SUM(VLOOKUP($A90, LS_current!$B$4:$AY$138, LS_current!AA$148, FALSE), VLOOKUP($A90, LS_current!$B$4:$AY$138,LS_current!AY$148, FALSE))/2)</f>
        <v>-9.2174467151999124</v>
      </c>
      <c r="CW90" s="182">
        <f t="array" ref="CW90">INDEX(Demand_current!$D$4:$AY$138, MATCH($A90, Demand_current!$B$4:$B$138, 0), MATCH(CW$4&amp;CW$5,Demand_current!$D$2:$AY$2&amp;Demand_current!$D$3:$AY$3, 0))/1000</f>
        <v>3.1924471153846188</v>
      </c>
      <c r="CX90" s="182">
        <f t="array" ref="CX90">INDEX(Demand_current!$D$4:$AY$138, MATCH($A90, Demand_current!$B$4:$B$138, 0), MATCH(CX$4&amp;CX$5,Demand_current!$D$2:$AY$2&amp;Demand_current!$D$3:$AY$3, 0))/1000</f>
        <v>4.2065849999999987</v>
      </c>
      <c r="CY90" s="182">
        <f t="array" ref="CY90">INDEX(Demand_current!$D$4:$AY$138, MATCH($A90, Demand_current!$B$4:$B$138, 0), MATCH(CY$4&amp;CY$5,Demand_current!$D$2:$AY$2&amp;Demand_current!$D$3:$AY$3, 0))/1000</f>
        <v>5.330489999999994</v>
      </c>
      <c r="CZ90" s="182">
        <f t="array" ref="CZ90">INDEX(Demand_current!$D$4:$AY$138, MATCH($A90, Demand_current!$B$4:$B$138, 0), MATCH(CZ$4&amp;CZ$5,Demand_current!$D$2:$AY$2&amp;Demand_current!$D$3:$AY$3, 0))/1000</f>
        <v>6.4422259615384601</v>
      </c>
      <c r="DA90" s="182">
        <f t="array" ref="DA90">INDEX(Demand_current!$D$4:$AY$138, MATCH($A90, Demand_current!$B$4:$B$138, 0), MATCH(DA$4&amp;DA$5,Demand_current!$D$2:$AY$2&amp;Demand_current!$D$3:$AY$3, 0))/1000</f>
        <v>4.9241499999999956</v>
      </c>
      <c r="DB90" s="182">
        <f t="array" ref="DB90">INDEX(Demand_current!$D$4:$AY$138, MATCH($A90, Demand_current!$B$4:$B$138, 0), MATCH(DB$4&amp;DB$5,Demand_current!$D$2:$AY$2&amp;Demand_current!$D$3:$AY$3, 0))/1000</f>
        <v>4.4769831730769205</v>
      </c>
      <c r="DC90" s="182">
        <f t="array" ref="DC90">INDEX(Demand_current!$D$4:$AY$138, MATCH($A90, Demand_current!$B$4:$B$138, 0), MATCH(DC$4&amp;DC$5,Demand_current!$D$2:$AY$2&amp;Demand_current!$D$3:$AY$3, 0))/1000</f>
        <v>7.1246754807692323</v>
      </c>
      <c r="DD90" s="182">
        <f t="array" ref="DD90">INDEX(Demand_current!$D$4:$AY$138, MATCH($A90, Demand_current!$B$4:$B$138, 0), MATCH(DD$4&amp;DD$5,Demand_current!$D$2:$AY$2&amp;Demand_current!$D$3:$AY$3, 0))/1000</f>
        <v>6.7880817307692265</v>
      </c>
      <c r="DE90" s="182">
        <f t="array" ref="DE90">INDEX(Demand_current!$D$4:$AY$138, MATCH($A90, Demand_current!$B$4:$B$138, 0), MATCH(DE$4&amp;DE$5,Demand_current!$D$2:$AY$2&amp;Demand_current!$D$3:$AY$3, 0))/1000</f>
        <v>6.7573025000000024</v>
      </c>
      <c r="DF90" s="182">
        <f t="array" ref="DF90">INDEX(Demand_current!$D$4:$AY$138, MATCH($A90, Demand_current!$B$4:$B$138, 0), MATCH(DF$4&amp;DF$5,Demand_current!$D$2:$AY$2&amp;Demand_current!$D$3:$AY$3, 0))/1000</f>
        <v>6.7308221153846137</v>
      </c>
      <c r="DG90" s="182">
        <f t="array" ref="DG90">INDEX(Demand_current!$D$4:$AY$138, MATCH($A90, Demand_current!$B$4:$B$138, 0), MATCH(DG$4&amp;DG$5,Demand_current!$D$2:$AY$2&amp;Demand_current!$D$3:$AY$3, 0))/1000</f>
        <v>7.0958124999999965</v>
      </c>
      <c r="DH90" s="182">
        <f t="array" ref="DH90">INDEX(Demand_current!$D$4:$AY$138, MATCH($A90, Demand_current!$B$4:$B$138, 0), MATCH(DH$4&amp;DH$5,Demand_current!$D$2:$AY$2&amp;Demand_current!$D$3:$AY$3, 0))/1000</f>
        <v>5.649218750000002</v>
      </c>
      <c r="DI90" s="180">
        <f>$BS90*(VLOOKUP(DI$4, Rates_current!$G$6:$Q$29, 10, FALSE)+VLOOKUP(DI$4, Rates_current!$G$6:$Q$29, 11, FALSE))</f>
        <v>15699.43443766995</v>
      </c>
      <c r="DJ90" s="180">
        <f>$BS90*(VLOOKUP(DJ$4, Rates_current!$G$6:$Q$29, 10, FALSE)+VLOOKUP(DJ$4, Rates_current!$G$6:$Q$29, 11, FALSE))</f>
        <v>20021.9558432267</v>
      </c>
      <c r="DK90" s="180">
        <f>$BS90*(VLOOKUP(DK$4, Rates_current!$G$6:$Q$29, 10, FALSE)+VLOOKUP(DK$4, Rates_current!$G$6:$Q$29, 11, FALSE))</f>
        <v>21607.651921465502</v>
      </c>
      <c r="DL90" s="180">
        <f>$BS90*(VLOOKUP(DL$4, Rates_current!$G$6:$Q$29, 10, FALSE)+VLOOKUP(DL$4, Rates_current!$G$6:$Q$29, 11, FALSE))</f>
        <v>22453.690626347197</v>
      </c>
      <c r="DM90" s="180">
        <f>$BS90*(VLOOKUP(DM$4, Rates_current!$G$6:$Q$29, 10, FALSE)+VLOOKUP(DM$4, Rates_current!$G$6:$Q$29, 11, FALSE))</f>
        <v>19313.166824549397</v>
      </c>
      <c r="DN90" s="180">
        <f>$BS90*(VLOOKUP(DN$4, Rates_current!$G$6:$Q$29, 10, FALSE)+VLOOKUP(DN$4, Rates_current!$G$6:$Q$29, 11, FALSE))</f>
        <v>21086.154357678297</v>
      </c>
      <c r="DO90" s="180">
        <f>$BS90*(VLOOKUP(DO$4, Rates_current!$G$6:$Q$29, 10, FALSE)+VLOOKUP(DO$4, Rates_current!$G$6:$Q$29, 11, FALSE))</f>
        <v>16643.965417621024</v>
      </c>
      <c r="DP90" s="180">
        <f>$BS90*(VLOOKUP(DP$4, Rates_current!$G$6:$Q$29, 10, FALSE)+VLOOKUP(DP$4, Rates_current!$G$6:$Q$29, 11, FALSE))</f>
        <v>20649.069495988449</v>
      </c>
      <c r="DQ90" s="180">
        <f>$BS90*(VLOOKUP(DQ$4, Rates_current!$G$6:$Q$29, 10, FALSE)+VLOOKUP(DQ$4, Rates_current!$G$6:$Q$29, 11, FALSE))</f>
        <v>21097.102755334647</v>
      </c>
      <c r="DR90" s="180">
        <f>$BS90*(VLOOKUP(DR$4, Rates_current!$G$6:$Q$29, 10, FALSE)+VLOOKUP(DR$4, Rates_current!$G$6:$Q$29, 11, FALSE))</f>
        <v>18315.324617088951</v>
      </c>
      <c r="DS90" s="180">
        <f>$BS90*(VLOOKUP(DS$4, Rates_current!$G$6:$Q$29, 10, FALSE)+VLOOKUP(DS$4, Rates_current!$G$6:$Q$29, 11, FALSE))</f>
        <v>17706.050531748755</v>
      </c>
      <c r="DT90" s="180">
        <f>$BS90*(VLOOKUP(DT$4, Rates_current!$G$6:$Q$29, 10, FALSE)+VLOOKUP(DT$4, Rates_current!$G$6:$Q$29, 11, FALSE))</f>
        <v>16292.995245751401</v>
      </c>
      <c r="DU90" s="402">
        <f>IF(D90=0,IF(C90=0,MAX(0,DW90 - (VLOOKUP($A90,TOCA_current!$A$2:$AI$137,MATCH("RHWM 2024",TOCA_current!$A$2:$AI$2,0),FALSE)*$BS$2)), 0),0)</f>
        <v>6687.2170583377301</v>
      </c>
      <c r="DV90" s="403">
        <f>MIN(VLOOKUP($A90,TOCA_current!$A$2:$AI$137,MATCH("TRL - NLSL - Existing Resource "&amp;$BS$1,TOCA_current!$A$2:$AI$2,0),FALSE)*$BS$2, VLOOKUP($A90,TOCA_current!$A$2:$AI$137,MATCH("RHWM 2024",TOCA_current!$A$2:$AI$2,0),FALSE)*$BS$2)</f>
        <v>230887.44</v>
      </c>
      <c r="DW90" s="403">
        <f>SUM(BY90:CV90)+(BS90*RT1SC!$C$4*$BS$2)</f>
        <v>237574.65705833773</v>
      </c>
      <c r="DX90" s="403">
        <f>VLOOKUP($A90,TOCA_current!$A$2:$AI$137,MATCH("Above RHWM Not Served with LS "&amp;$BS$1,TOCA_current!$A$2:$AI$2,0),FALSE)*$BS$2</f>
        <v>0</v>
      </c>
      <c r="DY90" s="403">
        <f t="shared" si="32"/>
        <v>6687.2170583377301</v>
      </c>
      <c r="DZ90" s="403">
        <f>(VLOOKUP($A90,TOCA_current!$A$2:$AI$137,MATCH("RHWM 2024",TOCA_current!$A$2:$AI$2,0),FALSE)*$BS$2) - $DV90</f>
        <v>0</v>
      </c>
      <c r="EA90" s="403">
        <f t="shared" si="33"/>
        <v>0</v>
      </c>
      <c r="EB90" s="403">
        <f t="shared" si="34"/>
        <v>0</v>
      </c>
      <c r="EC90" s="403">
        <f t="shared" si="35"/>
        <v>0</v>
      </c>
      <c r="ED90" s="403">
        <f t="shared" si="36"/>
        <v>0</v>
      </c>
    </row>
    <row r="91" spans="1:134">
      <c r="A91" s="123">
        <v>10273</v>
      </c>
      <c r="B91" s="124" t="s">
        <v>92</v>
      </c>
      <c r="C91" s="232">
        <f>VLOOKUP(A91, TOCA_current!$A$3:$D$137, 4, FALSE)</f>
        <v>0</v>
      </c>
      <c r="D91" s="191">
        <v>0</v>
      </c>
      <c r="E91" s="107">
        <f>VLOOKUP($A91,TOCA_previous!$A$2:$AI$137,MATCH(E$4,TOCA_previous!$A$2:$AI$2,0),FALSE)</f>
        <v>8.3279999999999997E-4</v>
      </c>
      <c r="F91" s="108">
        <f>VLOOKUP($A91,TOCA_previous!$A$2:$AI$137,MATCH(F$4,TOCA_previous!$A$2:$AI$2,0),FALSE)</f>
        <v>8.3279999999999997E-4</v>
      </c>
      <c r="G91" s="108">
        <f t="shared" si="24"/>
        <v>0</v>
      </c>
      <c r="H91" s="108">
        <f>VLOOKUP($A91,TOCA_previous!$A$2:$AI$137,MATCH(H$4,TOCA_previous!$A$2:$AI$2,0),FALSE)</f>
        <v>0.10555</v>
      </c>
      <c r="I91" s="108">
        <f t="shared" si="25"/>
        <v>0</v>
      </c>
      <c r="J91" s="108">
        <f t="shared" si="26"/>
        <v>0</v>
      </c>
      <c r="K91" s="179">
        <f>VLOOKUP(A91, IRD!$A$5:$C$139, 3, FALSE)</f>
        <v>9522.0249999999996</v>
      </c>
      <c r="L91" s="180">
        <f t="array" ref="L91">IF($G91=0, INDEX(LS_previous!$D$4:$AY$138, MATCH('Staging Table'!$A91, LS_previous!$B$4:$B$138, 0), MATCH(L$4&amp;L$5, LS_previous!$D$2:$AY$2&amp;LS_previous!$D$3:$AY$3, 0)),SUM(VLOOKUP($A91, LS_previous!$B$4:$AY$138, LS_previous!D$149, FALSE), VLOOKUP('Staging Table'!$A91, LS_previous!$B$4:$AY$138,LS_previous!AB$149, FALSE))/2)</f>
        <v>-536.42513230516397</v>
      </c>
      <c r="M91" s="180">
        <f t="array" ref="M91">IF($G91=0, INDEX(LS_previous!$D$4:$AY$138, MATCH('Staging Table'!$A91, LS_previous!$B$4:$B$138, 0), MATCH(M$4&amp;M$5, LS_previous!$D$2:$AY$2&amp;LS_previous!$D$3:$AY$3, 0)),SUM(VLOOKUP($A91, LS_previous!$B$4:$AY$138, LS_previous!E$149, FALSE), VLOOKUP('Staging Table'!$A91, LS_previous!$B$4:$AY$138,LS_previous!AC$149, FALSE))/2)</f>
        <v>-344.42012530626232</v>
      </c>
      <c r="N91" s="180">
        <f t="array" ref="N91">IF($G91=0, INDEX(LS_previous!$D$4:$AY$138, MATCH('Staging Table'!$A91, LS_previous!$B$4:$B$138, 0), MATCH(N$4&amp;N$5, LS_previous!$D$2:$AY$2&amp;LS_previous!$D$3:$AY$3, 0)),SUM(VLOOKUP($A91, LS_previous!$B$4:$AY$138, LS_previous!F$149, FALSE), VLOOKUP('Staging Table'!$A91, LS_previous!$B$4:$AY$138,LS_previous!AD$149, FALSE))/2)</f>
        <v>-1648.4807380386208</v>
      </c>
      <c r="O91" s="180">
        <f t="array" ref="O91">IF($G91=0, INDEX(LS_previous!$D$4:$AY$138, MATCH('Staging Table'!$A91, LS_previous!$B$4:$B$138, 0), MATCH(O$4&amp;O$5, LS_previous!$D$2:$AY$2&amp;LS_previous!$D$3:$AY$3, 0)),SUM(VLOOKUP($A91, LS_previous!$B$4:$AY$138, LS_previous!G$149, FALSE), VLOOKUP('Staging Table'!$A91, LS_previous!$B$4:$AY$138,LS_previous!AE$149, FALSE))/2)</f>
        <v>-834.90935569380883</v>
      </c>
      <c r="P91" s="180">
        <f t="array" ref="P91">IF($G91=0, INDEX(LS_previous!$D$4:$AY$138, MATCH('Staging Table'!$A91, LS_previous!$B$4:$B$138, 0), MATCH(P$4&amp;P$5, LS_previous!$D$2:$AY$2&amp;LS_previous!$D$3:$AY$3, 0)),SUM(VLOOKUP($A91, LS_previous!$B$4:$AY$138, LS_previous!H$149, FALSE), VLOOKUP('Staging Table'!$A91, LS_previous!$B$4:$AY$138,LS_previous!AF$149, FALSE))/2)</f>
        <v>-754.49821427305505</v>
      </c>
      <c r="Q91" s="180">
        <f t="array" ref="Q91">IF($G91=0, INDEX(LS_previous!$D$4:$AY$138, MATCH('Staging Table'!$A91, LS_previous!$B$4:$B$138, 0), MATCH(Q$4&amp;Q$5, LS_previous!$D$2:$AY$2&amp;LS_previous!$D$3:$AY$3, 0)),SUM(VLOOKUP($A91, LS_previous!$B$4:$AY$138, LS_previous!I$149, FALSE), VLOOKUP('Staging Table'!$A91, LS_previous!$B$4:$AY$138,LS_previous!AG$149, FALSE))/2)</f>
        <v>-597.88611475149287</v>
      </c>
      <c r="R91" s="180">
        <f t="array" ref="R91">IF($G91=0, INDEX(LS_previous!$D$4:$AY$138, MATCH('Staging Table'!$A91, LS_previous!$B$4:$B$138, 0), MATCH(R$4&amp;R$5, LS_previous!$D$2:$AY$2&amp;LS_previous!$D$3:$AY$3, 0)),SUM(VLOOKUP($A91, LS_previous!$B$4:$AY$138, LS_previous!J$149, FALSE), VLOOKUP('Staging Table'!$A91, LS_previous!$B$4:$AY$138,LS_previous!AH$149, FALSE))/2)</f>
        <v>-155.4215951486417</v>
      </c>
      <c r="S91" s="180">
        <f t="array" ref="S91">IF($G91=0, INDEX(LS_previous!$D$4:$AY$138, MATCH('Staging Table'!$A91, LS_previous!$B$4:$B$138, 0), MATCH(S$4&amp;S$5, LS_previous!$D$2:$AY$2&amp;LS_previous!$D$3:$AY$3, 0)),SUM(VLOOKUP($A91, LS_previous!$B$4:$AY$138, LS_previous!K$149, FALSE), VLOOKUP('Staging Table'!$A91, LS_previous!$B$4:$AY$138,LS_previous!AI$149, FALSE))/2)</f>
        <v>-290.64646218558732</v>
      </c>
      <c r="T91" s="180">
        <f t="array" ref="T91">IF($G91=0, INDEX(LS_previous!$D$4:$AY$138, MATCH('Staging Table'!$A91, LS_previous!$B$4:$B$138, 0), MATCH(T$4&amp;T$5, LS_previous!$D$2:$AY$2&amp;LS_previous!$D$3:$AY$3, 0)),SUM(VLOOKUP($A91, LS_previous!$B$4:$AY$138, LS_previous!L$149, FALSE), VLOOKUP('Staging Table'!$A91, LS_previous!$B$4:$AY$138,LS_previous!AJ$149, FALSE))/2)</f>
        <v>-384.68853332094614</v>
      </c>
      <c r="U91" s="180">
        <f t="array" ref="U91">IF($G91=0, INDEX(LS_previous!$D$4:$AY$138, MATCH('Staging Table'!$A91, LS_previous!$B$4:$B$138, 0), MATCH(U$4&amp;U$5, LS_previous!$D$2:$AY$2&amp;LS_previous!$D$3:$AY$3, 0)),SUM(VLOOKUP($A91, LS_previous!$B$4:$AY$138, LS_previous!M$149, FALSE), VLOOKUP('Staging Table'!$A91, LS_previous!$B$4:$AY$138,LS_previous!AK$149, FALSE))/2)</f>
        <v>-291.51104981549497</v>
      </c>
      <c r="V91" s="180">
        <f t="array" ref="V91">IF($G91=0, INDEX(LS_previous!$D$4:$AY$138, MATCH('Staging Table'!$A91, LS_previous!$B$4:$B$138, 0), MATCH(V$4&amp;V$5, LS_previous!$D$2:$AY$2&amp;LS_previous!$D$3:$AY$3, 0)),SUM(VLOOKUP($A91, LS_previous!$B$4:$AY$138, LS_previous!N$149, FALSE), VLOOKUP('Staging Table'!$A91, LS_previous!$B$4:$AY$138,LS_previous!AL$149, FALSE))/2)</f>
        <v>-1259.3587284922169</v>
      </c>
      <c r="W91" s="180">
        <f t="array" ref="W91">IF($G91=0, INDEX(LS_previous!$D$4:$AY$138, MATCH('Staging Table'!$A91, LS_previous!$B$4:$B$138, 0), MATCH(W$4&amp;W$5, LS_previous!$D$2:$AY$2&amp;LS_previous!$D$3:$AY$3, 0)),SUM(VLOOKUP($A91, LS_previous!$B$4:$AY$138, LS_previous!O$149, FALSE), VLOOKUP('Staging Table'!$A91, LS_previous!$B$4:$AY$138,LS_previous!AM$149, FALSE))/2)</f>
        <v>-567.43093070493126</v>
      </c>
      <c r="X91" s="180">
        <f t="array" ref="X91">IF($G91=0, INDEX(LS_previous!$D$4:$AY$138, MATCH('Staging Table'!$A91, LS_previous!$B$4:$B$138, 0), MATCH(X$4&amp;X$5, LS_previous!$D$2:$AY$2&amp;LS_previous!$D$3:$AY$3, 0)),SUM(VLOOKUP($A91, LS_previous!$B$4:$AY$138, LS_previous!P$149, FALSE), VLOOKUP('Staging Table'!$A91, LS_previous!$B$4:$AY$138,LS_previous!AN$149, FALSE))/2)</f>
        <v>-456.29779315557721</v>
      </c>
      <c r="Y91" s="180">
        <f t="array" ref="Y91">IF($G91=0, INDEX(LS_previous!$D$4:$AY$138, MATCH('Staging Table'!$A91, LS_previous!$B$4:$B$138, 0), MATCH(Y$4&amp;Y$5, LS_previous!$D$2:$AY$2&amp;LS_previous!$D$3:$AY$3, 0)),SUM(VLOOKUP($A91, LS_previous!$B$4:$AY$138, LS_previous!Q$149, FALSE), VLOOKUP('Staging Table'!$A91, LS_previous!$B$4:$AY$138,LS_previous!AO$149, FALSE))/2)</f>
        <v>-265.34764510808168</v>
      </c>
      <c r="Z91" s="180">
        <f t="array" ref="Z91">IF($G91=0, INDEX(LS_previous!$D$4:$AY$138, MATCH('Staging Table'!$A91, LS_previous!$B$4:$B$138, 0), MATCH(Z$4&amp;Z$5, LS_previous!$D$2:$AY$2&amp;LS_previous!$D$3:$AY$3, 0)),SUM(VLOOKUP($A91, LS_previous!$B$4:$AY$138, LS_previous!R$149, FALSE), VLOOKUP('Staging Table'!$A91, LS_previous!$B$4:$AY$138,LS_previous!AP$149, FALSE))/2)</f>
        <v>-549.47101661504712</v>
      </c>
      <c r="AA91" s="180">
        <f t="array" ref="AA91">IF($G91=0, INDEX(LS_previous!$D$4:$AY$138, MATCH('Staging Table'!$A91, LS_previous!$B$4:$B$138, 0), MATCH(AA$4&amp;AA$5, LS_previous!$D$2:$AY$2&amp;LS_previous!$D$3:$AY$3, 0)),SUM(VLOOKUP($A91, LS_previous!$B$4:$AY$138, LS_previous!S$149, FALSE), VLOOKUP('Staging Table'!$A91, LS_previous!$B$4:$AY$138,LS_previous!AQ$149, FALSE))/2)</f>
        <v>21.000759716251423</v>
      </c>
      <c r="AB91" s="180">
        <f t="array" ref="AB91">IF($G91=0, INDEX(LS_previous!$D$4:$AY$138, MATCH('Staging Table'!$A91, LS_previous!$B$4:$B$138, 0), MATCH(AB$4&amp;AB$5, LS_previous!$D$2:$AY$2&amp;LS_previous!$D$3:$AY$3, 0)),SUM(VLOOKUP($A91, LS_previous!$B$4:$AY$138, LS_previous!T$149, FALSE), VLOOKUP('Staging Table'!$A91, LS_previous!$B$4:$AY$138,LS_previous!AR$149, FALSE))/2)</f>
        <v>-181.89952988060895</v>
      </c>
      <c r="AC91" s="180">
        <f t="array" ref="AC91">IF($G91=0, INDEX(LS_previous!$D$4:$AY$138, MATCH('Staging Table'!$A91, LS_previous!$B$4:$B$138, 0), MATCH(AC$4&amp;AC$5, LS_previous!$D$2:$AY$2&amp;LS_previous!$D$3:$AY$3, 0)),SUM(VLOOKUP($A91, LS_previous!$B$4:$AY$138, LS_previous!U$149, FALSE), VLOOKUP('Staging Table'!$A91, LS_previous!$B$4:$AY$138,LS_previous!AS$149, FALSE))/2)</f>
        <v>746.51029759176572</v>
      </c>
      <c r="AD91" s="180">
        <f t="array" ref="AD91">IF($G91=0, INDEX(LS_previous!$D$4:$AY$138, MATCH('Staging Table'!$A91, LS_previous!$B$4:$B$138, 0), MATCH(AD$4&amp;AD$5, LS_previous!$D$2:$AY$2&amp;LS_previous!$D$3:$AY$3, 0)),SUM(VLOOKUP($A91, LS_previous!$B$4:$AY$138, LS_previous!V$149, FALSE), VLOOKUP('Staging Table'!$A91, LS_previous!$B$4:$AY$138,LS_previous!AT$149, FALSE))/2)</f>
        <v>1231.3464225632943</v>
      </c>
      <c r="AE91" s="180">
        <f t="array" ref="AE91">IF($G91=0, INDEX(LS_previous!$D$4:$AY$138, MATCH('Staging Table'!$A91, LS_previous!$B$4:$B$138, 0), MATCH(AE$4&amp;AE$5, LS_previous!$D$2:$AY$2&amp;LS_previous!$D$3:$AY$3, 0)),SUM(VLOOKUP($A91, LS_previous!$B$4:$AY$138, LS_previous!W$149, FALSE), VLOOKUP('Staging Table'!$A91, LS_previous!$B$4:$AY$138,LS_previous!AU$149, FALSE))/2)</f>
        <v>1271.1224897879079</v>
      </c>
      <c r="AF91" s="180">
        <f t="array" ref="AF91">IF($G91=0, INDEX(LS_previous!$D$4:$AY$138, MATCH('Staging Table'!$A91, LS_previous!$B$4:$B$138, 0), MATCH(AF$4&amp;AF$5, LS_previous!$D$2:$AY$2&amp;LS_previous!$D$3:$AY$3, 0)),SUM(VLOOKUP($A91, LS_previous!$B$4:$AY$138, LS_previous!X$149, FALSE), VLOOKUP('Staging Table'!$A91, LS_previous!$B$4:$AY$138,LS_previous!AV$149, FALSE))/2)</f>
        <v>1166.0601768032207</v>
      </c>
      <c r="AG91" s="180">
        <f t="array" ref="AG91">IF($G91=0, INDEX(LS_previous!$D$4:$AY$138, MATCH('Staging Table'!$A91, LS_previous!$B$4:$B$138, 0), MATCH(AG$4&amp;AG$5, LS_previous!$D$2:$AY$2&amp;LS_previous!$D$3:$AY$3, 0)),SUM(VLOOKUP($A91, LS_previous!$B$4:$AY$138, LS_previous!Y$149, FALSE), VLOOKUP('Staging Table'!$A91, LS_previous!$B$4:$AY$138,LS_previous!AW$149, FALSE))/2)</f>
        <v>1071.2012613022437</v>
      </c>
      <c r="AH91" s="180">
        <f t="array" ref="AH91">IF($G91=0, INDEX(LS_previous!$D$4:$AY$138, MATCH('Staging Table'!$A91, LS_previous!$B$4:$B$138, 0), MATCH(AH$4&amp;AH$5, LS_previous!$D$2:$AY$2&amp;LS_previous!$D$3:$AY$3, 0)),SUM(VLOOKUP($A91, LS_previous!$B$4:$AY$138, LS_previous!Z$149, FALSE), VLOOKUP('Staging Table'!$A91, LS_previous!$B$4:$AY$138,LS_previous!AX$149, FALSE))/2)</f>
        <v>49.492337179599417</v>
      </c>
      <c r="AI91" s="180">
        <f t="array" ref="AI91">IF($G91=0, INDEX(LS_previous!$D$4:$AY$138, MATCH('Staging Table'!$A91, LS_previous!$B$4:$B$138, 0), MATCH(AI$4&amp;AI$5, LS_previous!$D$2:$AY$2&amp;LS_previous!$D$3:$AY$3, 0)),SUM(VLOOKUP($A91, LS_previous!$B$4:$AY$138, LS_previous!AA$149, FALSE), VLOOKUP('Staging Table'!$A91, LS_previous!$B$4:$AY$138,LS_previous!AY$149, FALSE))/2)</f>
        <v>481.38630302472825</v>
      </c>
      <c r="AJ91" s="298">
        <f t="array" ref="AJ91">INDEX(Demand_previous!$D$4:$AY$138, MATCH('Staging Table'!$A91, Demand_previous!$B$4:$B$138, 0), MATCH(AJ$4&amp;AJ$5,Demand_previous!$D$2:$AY$2&amp;Demand_previous!$D$3:$AY$3, 0))/1000</f>
        <v>2.6332860576923065</v>
      </c>
      <c r="AK91" s="298">
        <f t="array" ref="AK91">INDEX(Demand_previous!$D$4:$AY$138, MATCH('Staging Table'!$A91, Demand_previous!$B$4:$B$138, 0), MATCH(AK$4&amp;AK$5,Demand_previous!$D$2:$AY$2&amp;Demand_previous!$D$3:$AY$3, 0))/1000</f>
        <v>0.71420000000000083</v>
      </c>
      <c r="AL91" s="298">
        <f t="array" ref="AL91">INDEX(Demand_previous!$D$4:$AY$138, MATCH('Staging Table'!$A91, Demand_previous!$B$4:$B$138, 0), MATCH(AL$4&amp;AL$5,Demand_previous!$D$2:$AY$2&amp;Demand_previous!$D$3:$AY$3, 0))/1000</f>
        <v>2.1607524038461534</v>
      </c>
      <c r="AM91" s="298">
        <f t="array" ref="AM91">INDEX(Demand_previous!$D$4:$AY$138, MATCH('Staging Table'!$A91, Demand_previous!$B$4:$B$138, 0), MATCH(AM$4&amp;AM$5,Demand_previous!$D$2:$AY$2&amp;Demand_previous!$D$3:$AY$3, 0))/1000</f>
        <v>1.6689649999999983</v>
      </c>
      <c r="AN91" s="298">
        <f t="array" ref="AN91">INDEX(Demand_previous!$D$4:$AY$138, MATCH('Staging Table'!$A91, Demand_previous!$B$4:$B$138, 0), MATCH(AN$4&amp;AN$5,Demand_previous!$D$2:$AY$2&amp;Demand_previous!$D$3:$AY$3, 0))/1000</f>
        <v>1.1914088541666681</v>
      </c>
      <c r="AO91" s="298">
        <f t="array" ref="AO91">INDEX(Demand_previous!$D$4:$AY$138, MATCH('Staging Table'!$A91, Demand_previous!$B$4:$B$138, 0), MATCH(AO$4&amp;AO$5,Demand_previous!$D$2:$AY$2&amp;Demand_previous!$D$3:$AY$3, 0))/1000</f>
        <v>2.0634143518518515</v>
      </c>
      <c r="AP91" s="298">
        <f t="array" ref="AP91">INDEX(Demand_previous!$D$4:$AY$138, MATCH('Staging Table'!$A91, Demand_previous!$B$4:$B$138, 0), MATCH(AP$4&amp;AP$5,Demand_previous!$D$2:$AY$2&amp;Demand_previous!$D$3:$AY$3, 0))/1000</f>
        <v>0.64980528846153973</v>
      </c>
      <c r="AQ91" s="298">
        <f t="array" ref="AQ91">INDEX(Demand_previous!$D$4:$AY$138, MATCH('Staging Table'!$A91, Demand_previous!$B$4:$B$138, 0), MATCH(AQ$4&amp;AQ$5,Demand_previous!$D$2:$AY$2&amp;Demand_previous!$D$3:$AY$3, 0))/1000</f>
        <v>0.89060999999999879</v>
      </c>
      <c r="AR91" s="298">
        <f t="array" ref="AR91">INDEX(Demand_previous!$D$4:$AY$138, MATCH('Staging Table'!$A91, Demand_previous!$B$4:$B$138, 0), MATCH(AR$4&amp;AR$5,Demand_previous!$D$2:$AY$2&amp;Demand_previous!$D$3:$AY$3, 0))/1000</f>
        <v>2.5247908653846158</v>
      </c>
      <c r="AS91" s="298">
        <f t="array" ref="AS91">INDEX(Demand_previous!$D$4:$AY$138, MATCH('Staging Table'!$A91, Demand_previous!$B$4:$B$138, 0), MATCH(AS$4&amp;AS$5,Demand_previous!$D$2:$AY$2&amp;Demand_previous!$D$3:$AY$3, 0))/1000</f>
        <v>1.8425174999999998</v>
      </c>
      <c r="AT91" s="298">
        <f t="array" ref="AT91">INDEX(Demand_previous!$D$4:$AY$138, MATCH('Staging Table'!$A91, Demand_previous!$B$4:$B$138, 0), MATCH(AT$4&amp;AT$5,Demand_previous!$D$2:$AY$2&amp;Demand_previous!$D$3:$AY$3, 0))/1000</f>
        <v>3.2256481481481489</v>
      </c>
      <c r="AU91" s="298">
        <f t="array" ref="AU91">INDEX(Demand_previous!$D$4:$AY$138, MATCH('Staging Table'!$A91, Demand_previous!$B$4:$B$138, 0), MATCH(AU$4&amp;AU$5,Demand_previous!$D$2:$AY$2&amp;Demand_previous!$D$3:$AY$3, 0))/1000</f>
        <v>3.0179249999999986</v>
      </c>
      <c r="AV91" s="180">
        <f>$F91*(VLOOKUP(AV$4, Rates_previous!$G$6:$Q$29, 10, FALSE)+VLOOKUP(AV$4, Rates_previous!$G$6:$Q$29, 11, FALSE))</f>
        <v>3792.508257611426</v>
      </c>
      <c r="AW91" s="180">
        <f>$F91*(VLOOKUP(AW$4, Rates_previous!$G$6:$Q$29, 10, FALSE)+VLOOKUP(AW$4, Rates_previous!$G$6:$Q$29, 11, FALSE))</f>
        <v>4801.4530937324298</v>
      </c>
      <c r="AX91" s="180">
        <f>$F91*(VLOOKUP(AX$4, Rates_previous!$G$6:$Q$29, 10, FALSE)+VLOOKUP(AX$4, Rates_previous!$G$6:$Q$29, 11, FALSE))</f>
        <v>4699.6633290245472</v>
      </c>
      <c r="AY91" s="180">
        <f>$F91*(VLOOKUP(AY$4, Rates_previous!$G$6:$Q$29, 10, FALSE)+VLOOKUP(AY$4, Rates_previous!$G$6:$Q$29, 11, FALSE))</f>
        <v>3881.7220573342292</v>
      </c>
      <c r="AZ91" s="180">
        <f>$F91*(VLOOKUP(AZ$4, Rates_previous!$G$6:$Q$29, 10, FALSE)+VLOOKUP(AZ$4, Rates_previous!$G$6:$Q$29, 11, FALSE))</f>
        <v>3364.3735831364406</v>
      </c>
      <c r="BA91" s="180">
        <f>$F91*(VLOOKUP(BA$4, Rates_previous!$G$6:$Q$29, 10, FALSE)+VLOOKUP(BA$4, Rates_previous!$G$6:$Q$29, 11, FALSE))</f>
        <v>4016.3826591971483</v>
      </c>
      <c r="BB91" s="180">
        <f>$F91*(VLOOKUP(BB$4, Rates_previous!$G$6:$Q$29, 10, FALSE)+VLOOKUP(BB$4, Rates_previous!$G$6:$Q$29, 11, FALSE))</f>
        <v>3118.1864382636586</v>
      </c>
      <c r="BC91" s="180">
        <f>$F91*(VLOOKUP(BC$4, Rates_previous!$G$6:$Q$29, 10, FALSE)+VLOOKUP(BC$4, Rates_previous!$G$6:$Q$29, 11, FALSE))</f>
        <v>4320.2702568987961</v>
      </c>
      <c r="BD91" s="180">
        <f>$F91*(VLOOKUP(BD$4, Rates_previous!$G$6:$Q$29, 10, FALSE)+VLOOKUP(BD$4, Rates_previous!$G$6:$Q$29, 11, FALSE))</f>
        <v>4616.2992322888422</v>
      </c>
      <c r="BE91" s="180">
        <f>$F91*(VLOOKUP(BE$4, Rates_previous!$G$6:$Q$29, 10, FALSE)+VLOOKUP(BE$4, Rates_previous!$G$6:$Q$29, 11, FALSE))</f>
        <v>4382.967087648798</v>
      </c>
      <c r="BF91" s="180">
        <f>$F91*(VLOOKUP(BF$4, Rates_previous!$G$6:$Q$29, 10, FALSE)+VLOOKUP(BF$4, Rates_previous!$G$6:$Q$29, 11, FALSE))</f>
        <v>4235.7995618945361</v>
      </c>
      <c r="BG91" s="180">
        <f>$F91*(VLOOKUP(BG$4, Rates_previous!$G$6:$Q$29, 10, FALSE)+VLOOKUP(BG$4, Rates_previous!$G$6:$Q$29, 11, FALSE))</f>
        <v>3914.3203597956717</v>
      </c>
      <c r="BH91" s="298">
        <f>IF($D91=0,IF(C91=0, MAX(BJ91 - (VLOOKUP($A91,TOCA_previous!$A$2:$AI$137,MATCH("RHWM 2022",TOCA_previous!$A$2:$AI$2,0),FALSE)*$F$2*TOCA_previous!C88),0),0), 0)</f>
        <v>0</v>
      </c>
      <c r="BI91" s="192">
        <f>MIN(VLOOKUP($A91,TOCA_previous!$A$2:$AI$137,MATCH("TRL - NLSL - Existing Resource "&amp;$F$1,TOCA_previous!$A$2:$AI$2,0),FALSE)*$F$2,(VLOOKUP($A91,TOCA_previous!$A$2:$AI$137,MATCH("RHWM 2022",TOCA_previous!$A$2:$AI$2,0),FALSE)*$F$2))</f>
        <v>49143.600000000006</v>
      </c>
      <c r="BJ91" s="402">
        <f>SUM(L91:AI91)+(F91*RT1SC!$C$3*$F$2)</f>
        <v>46063.375513925464</v>
      </c>
      <c r="BK91" s="401">
        <f>VLOOKUP($A91,TOCA_previous!$A$2:$AI$137,MATCH("Above RHWM Not Served with LS "&amp;$F$1,TOCA_previous!$A$2:$AI$2,0),FALSE)*$F$2</f>
        <v>24957.24</v>
      </c>
      <c r="BL91" s="402">
        <f t="shared" si="27"/>
        <v>-3080.2244860745413</v>
      </c>
      <c r="BM91" s="401">
        <f>(VLOOKUP($A91,TOCA_previous!$A$2:$AI$137,MATCH("RHWM 2022",TOCA_previous!$A$2:$AI$2,0),FALSE)*$F$2) - $BI91</f>
        <v>0</v>
      </c>
      <c r="BN91" s="402">
        <f t="shared" si="28"/>
        <v>0</v>
      </c>
      <c r="BO91" s="401">
        <f t="shared" si="29"/>
        <v>0</v>
      </c>
      <c r="BP91" s="402">
        <f t="shared" si="30"/>
        <v>0</v>
      </c>
      <c r="BQ91" s="401">
        <f t="shared" si="21"/>
        <v>0</v>
      </c>
      <c r="BR91" s="108">
        <f>VLOOKUP($A91,TOCA_current!$A$2:$AI$137,MATCH(BR$4,TOCA_current!$A$2:$AI$2,0),FALSE)</f>
        <v>8.3259999999999996E-4</v>
      </c>
      <c r="BS91" s="108">
        <f>VLOOKUP($A91,TOCA_current!$A$2:$AI$137,MATCH(BS$4,TOCA_current!$A$2:$AI$2,0),FALSE)</f>
        <v>8.3259999999999996E-4</v>
      </c>
      <c r="BT91" s="189">
        <f t="shared" si="31"/>
        <v>0</v>
      </c>
      <c r="BU91" s="108">
        <f>VLOOKUP($A91,TOCA_current!A87:BG222,MATCH(BU$4,TOCA_current!$A$2:$BG$2,0),FALSE)</f>
        <v>9.6233633735759244E-2</v>
      </c>
      <c r="BV91" s="108">
        <f t="shared" si="22"/>
        <v>0</v>
      </c>
      <c r="BW91" s="108">
        <f t="shared" si="23"/>
        <v>0</v>
      </c>
      <c r="BX91" s="179">
        <f>VLOOKUP($A91,IRD!$A$4:$G$139, 7, FALSE)</f>
        <v>9522.0249999999996</v>
      </c>
      <c r="BY91" s="180">
        <f t="array" ref="BY91">IF($BT91=0, INDEX(LS_current!$D$4:$AY$138, MATCH('Staging Table'!$A91, LS_current!$B$4:$B$138, 0), MATCH(BY$4&amp;BY$5, LS_current!$D$2:$AY$2&amp;LS_current!$D$3:$AY$3, 0)),SUM(VLOOKUP($A91, LS_current!$B$4:$AY$138, LS_current!D$148, FALSE), VLOOKUP($A91, LS_current!$B$4:$AY$138,LS_current!AB$148, FALSE))/2)</f>
        <v>39.164095626400012</v>
      </c>
      <c r="BZ91" s="180">
        <f t="array" ref="BZ91">IF($BT91=0, INDEX(LS_current!$D$4:$AY$138, MATCH('Staging Table'!$A91, LS_current!$B$4:$B$138, 0), MATCH(BZ$4&amp;BZ$5, LS_current!$D$2:$AY$2&amp;LS_current!$D$3:$AY$3, 0)),SUM(VLOOKUP($A91, LS_current!$B$4:$AY$138, LS_current!E$148, FALSE), VLOOKUP($A91, LS_current!$B$4:$AY$138,LS_current!AC$148, FALSE))/2)</f>
        <v>-160.19710745129987</v>
      </c>
      <c r="CA91" s="180">
        <f t="array" ref="CA91">IF($BT91=0, INDEX(LS_current!$D$4:$AY$138, MATCH('Staging Table'!$A91, LS_current!$B$4:$B$138, 0), MATCH(CA$4&amp;CA$5, LS_current!$D$2:$AY$2&amp;LS_current!$D$3:$AY$3, 0)),SUM(VLOOKUP($A91, LS_current!$B$4:$AY$138, LS_current!F$148, FALSE), VLOOKUP($A91, LS_current!$B$4:$AY$138,LS_current!AD$148, FALSE))/2)</f>
        <v>-1162.0921492928001</v>
      </c>
      <c r="CB91" s="180">
        <f t="array" ref="CB91">IF($BT91=0, INDEX(LS_current!$D$4:$AY$138, MATCH('Staging Table'!$A91, LS_current!$B$4:$B$138, 0), MATCH(CB$4&amp;CB$5, LS_current!$D$2:$AY$2&amp;LS_current!$D$3:$AY$3, 0)),SUM(VLOOKUP($A91, LS_current!$B$4:$AY$138, LS_current!G$148, FALSE), VLOOKUP($A91, LS_current!$B$4:$AY$138,LS_current!AE$148, FALSE))/2)</f>
        <v>-534.49254817059978</v>
      </c>
      <c r="CC91" s="180">
        <f t="array" ref="CC91">IF($BT91=0, INDEX(LS_current!$D$4:$AY$138, MATCH('Staging Table'!$A91, LS_current!$B$4:$B$138, 0), MATCH(CC$4&amp;CC$5, LS_current!$D$2:$AY$2&amp;LS_current!$D$3:$AY$3, 0)),SUM(VLOOKUP($A91, LS_current!$B$4:$AY$138, LS_current!H$148, FALSE), VLOOKUP($A91, LS_current!$B$4:$AY$138,LS_current!AF$148, FALSE))/2)</f>
        <v>-697.2294262913997</v>
      </c>
      <c r="CD91" s="180">
        <f t="array" ref="CD91">IF($BT91=0, INDEX(LS_current!$D$4:$AY$138, MATCH('Staging Table'!$A91, LS_current!$B$4:$B$138, 0), MATCH(CD$4&amp;CD$5, LS_current!$D$2:$AY$2&amp;LS_current!$D$3:$AY$3, 0)),SUM(VLOOKUP($A91, LS_current!$B$4:$AY$138, LS_current!I$148, FALSE), VLOOKUP($A91, LS_current!$B$4:$AY$138,LS_current!AG$148, FALSE))/2)</f>
        <v>-310.08635128959986</v>
      </c>
      <c r="CE91" s="180">
        <f t="array" ref="CE91">IF($BT91=0, INDEX(LS_current!$D$4:$AY$138, MATCH('Staging Table'!$A91, LS_current!$B$4:$B$138, 0), MATCH(CE$4&amp;CE$5, LS_current!$D$2:$AY$2&amp;LS_current!$D$3:$AY$3, 0)),SUM(VLOOKUP($A91, LS_current!$B$4:$AY$138, LS_current!J$148, FALSE), VLOOKUP($A91, LS_current!$B$4:$AY$138,LS_current!AH$148, FALSE))/2)</f>
        <v>-834.78692190899937</v>
      </c>
      <c r="CF91" s="180">
        <f t="array" ref="CF91">IF($BT91=0, INDEX(LS_current!$D$4:$AY$138, MATCH('Staging Table'!$A91, LS_current!$B$4:$B$138, 0), MATCH(CF$4&amp;CF$5, LS_current!$D$2:$AY$2&amp;LS_current!$D$3:$AY$3, 0)),SUM(VLOOKUP($A91, LS_current!$B$4:$AY$138, LS_current!K$148, FALSE), VLOOKUP($A91, LS_current!$B$4:$AY$138,LS_current!AI$148, FALSE))/2)</f>
        <v>-273.44572294539989</v>
      </c>
      <c r="CG91" s="180">
        <f t="array" ref="CG91">IF($BT91=0, INDEX(LS_current!$D$4:$AY$138, MATCH('Staging Table'!$A91, LS_current!$B$4:$B$138, 0), MATCH(CG$4&amp;CG$5, LS_current!$D$2:$AY$2&amp;LS_current!$D$3:$AY$3, 0)),SUM(VLOOKUP($A91, LS_current!$B$4:$AY$138, LS_current!L$148, FALSE), VLOOKUP($A91, LS_current!$B$4:$AY$138,LS_current!AJ$148, FALSE))/2)</f>
        <v>-965.5255688553998</v>
      </c>
      <c r="CH91" s="180">
        <f t="array" ref="CH91">IF($BT91=0, INDEX(LS_current!$D$4:$AY$138, MATCH('Staging Table'!$A91, LS_current!$B$4:$B$138, 0), MATCH(CH$4&amp;CH$5, LS_current!$D$2:$AY$2&amp;LS_current!$D$3:$AY$3, 0)),SUM(VLOOKUP($A91, LS_current!$B$4:$AY$138, LS_current!M$148, FALSE), VLOOKUP($A91, LS_current!$B$4:$AY$138,LS_current!AK$148, FALSE))/2)</f>
        <v>-286.86537106340006</v>
      </c>
      <c r="CI91" s="180">
        <f t="array" ref="CI91">IF($BT91=0, INDEX(LS_current!$D$4:$AY$138, MATCH('Staging Table'!$A91, LS_current!$B$4:$B$138, 0), MATCH(CI$4&amp;CI$5, LS_current!$D$2:$AY$2&amp;LS_current!$D$3:$AY$3, 0)),SUM(VLOOKUP($A91, LS_current!$B$4:$AY$138, LS_current!N$148, FALSE), VLOOKUP($A91, LS_current!$B$4:$AY$138,LS_current!AL$148, FALSE))/2)</f>
        <v>-1351.2376534837999</v>
      </c>
      <c r="CJ91" s="180">
        <f t="array" ref="CJ91">IF($BT91=0, INDEX(LS_current!$D$4:$AY$138, MATCH('Staging Table'!$A91, LS_current!$B$4:$B$138, 0), MATCH(CJ$4&amp;CJ$5, LS_current!$D$2:$AY$2&amp;LS_current!$D$3:$AY$3, 0)),SUM(VLOOKUP($A91, LS_current!$B$4:$AY$138, LS_current!O$148, FALSE), VLOOKUP($A91, LS_current!$B$4:$AY$138,LS_current!AM$148, FALSE))/2)</f>
        <v>-697.72977236279985</v>
      </c>
      <c r="CK91" s="180">
        <f t="array" ref="CK91">IF($BT91=0, INDEX(LS_current!$D$4:$AY$138, MATCH('Staging Table'!$A91, LS_current!$B$4:$B$138, 0), MATCH(CK$4&amp;CK$5, LS_current!$D$2:$AY$2&amp;LS_current!$D$3:$AY$3, 0)),SUM(VLOOKUP($A91, LS_current!$B$4:$AY$138, LS_current!P$148, FALSE), VLOOKUP($A91, LS_current!$B$4:$AY$138,LS_current!AN$148, FALSE))/2)</f>
        <v>-533.12371554650008</v>
      </c>
      <c r="CL91" s="180">
        <f t="array" ref="CL91">IF($BT91=0, INDEX(LS_current!$D$4:$AY$138, MATCH('Staging Table'!$A91, LS_current!$B$4:$B$138, 0), MATCH(CL$4&amp;CL$5, LS_current!$D$2:$AY$2&amp;LS_current!$D$3:$AY$3, 0)),SUM(VLOOKUP($A91, LS_current!$B$4:$AY$138, LS_current!Q$148, FALSE), VLOOKUP($A91, LS_current!$B$4:$AY$138,LS_current!AO$148, FALSE))/2)</f>
        <v>-329.83972825304977</v>
      </c>
      <c r="CM91" s="180">
        <f t="array" ref="CM91">IF($BT91=0, INDEX(LS_current!$D$4:$AY$138, MATCH('Staging Table'!$A91, LS_current!$B$4:$B$138, 0), MATCH(CM$4&amp;CM$5, LS_current!$D$2:$AY$2&amp;LS_current!$D$3:$AY$3, 0)),SUM(VLOOKUP($A91, LS_current!$B$4:$AY$138, LS_current!R$148, FALSE), VLOOKUP($A91, LS_current!$B$4:$AY$138,LS_current!AP$148, FALSE))/2)</f>
        <v>-222.88270764479967</v>
      </c>
      <c r="CN91" s="180">
        <f t="array" ref="CN91">IF($BT91=0, INDEX(LS_current!$D$4:$AY$138, MATCH('Staging Table'!$A91, LS_current!$B$4:$B$138, 0), MATCH(CN$4&amp;CN$5, LS_current!$D$2:$AY$2&amp;LS_current!$D$3:$AY$3, 0)),SUM(VLOOKUP($A91, LS_current!$B$4:$AY$138, LS_current!S$148, FALSE), VLOOKUP($A91, LS_current!$B$4:$AY$138,LS_current!AQ$148, FALSE))/2)</f>
        <v>-125.43978136710007</v>
      </c>
      <c r="CO91" s="180">
        <f t="array" ref="CO91">IF($BT91=0, INDEX(LS_current!$D$4:$AY$138, MATCH('Staging Table'!$A91, LS_current!$B$4:$B$138, 0), MATCH(CO$4&amp;CO$5, LS_current!$D$2:$AY$2&amp;LS_current!$D$3:$AY$3, 0)),SUM(VLOOKUP($A91, LS_current!$B$4:$AY$138, LS_current!T$148, FALSE), VLOOKUP($A91, LS_current!$B$4:$AY$138,LS_current!AR$148, FALSE))/2)</f>
        <v>449.62440081240038</v>
      </c>
      <c r="CP91" s="180">
        <f t="array" ref="CP91">IF($BT91=0, INDEX(LS_current!$D$4:$AY$138, MATCH('Staging Table'!$A91, LS_current!$B$4:$B$138, 0), MATCH(CP$4&amp;CP$5, LS_current!$D$2:$AY$2&amp;LS_current!$D$3:$AY$3, 0)),SUM(VLOOKUP($A91, LS_current!$B$4:$AY$138, LS_current!U$148, FALSE), VLOOKUP($A91, LS_current!$B$4:$AY$138,LS_current!AS$148, FALSE))/2)</f>
        <v>475.4405896232995</v>
      </c>
      <c r="CQ91" s="180">
        <f t="array" ref="CQ91">IF($BT91=0, INDEX(LS_current!$D$4:$AY$138, MATCH('Staging Table'!$A91, LS_current!$B$4:$B$138, 0), MATCH(CQ$4&amp;CQ$5, LS_current!$D$2:$AY$2&amp;LS_current!$D$3:$AY$3, 0)),SUM(VLOOKUP($A91, LS_current!$B$4:$AY$138, LS_current!V$148, FALSE), VLOOKUP($A91, LS_current!$B$4:$AY$138,LS_current!AT$148, FALSE))/2)</f>
        <v>1819.7183532935996</v>
      </c>
      <c r="CR91" s="180">
        <f t="array" ref="CR91">IF($BT91=0, INDEX(LS_current!$D$4:$AY$138, MATCH('Staging Table'!$A91, LS_current!$B$4:$B$138, 0), MATCH(CR$4&amp;CR$5, LS_current!$D$2:$AY$2&amp;LS_current!$D$3:$AY$3, 0)),SUM(VLOOKUP($A91, LS_current!$B$4:$AY$138, LS_current!W$148, FALSE), VLOOKUP($A91, LS_current!$B$4:$AY$138,LS_current!AU$148, FALSE))/2)</f>
        <v>1447.7449403435003</v>
      </c>
      <c r="CS91" s="180">
        <f t="array" ref="CS91">IF($BT91=0, INDEX(LS_current!$D$4:$AY$138, MATCH('Staging Table'!$A91, LS_current!$B$4:$B$138, 0), MATCH(CS$4&amp;CS$5, LS_current!$D$2:$AY$2&amp;LS_current!$D$3:$AY$3, 0)),SUM(VLOOKUP($A91, LS_current!$B$4:$AY$138, LS_current!X$148, FALSE), VLOOKUP($A91, LS_current!$B$4:$AY$138,LS_current!AV$148, FALSE))/2)</f>
        <v>1784.2276032091004</v>
      </c>
      <c r="CT91" s="180">
        <f t="array" ref="CT91">IF($BT91=0, INDEX(LS_current!$D$4:$AY$138, MATCH('Staging Table'!$A91, LS_current!$B$4:$B$138, 0), MATCH(CT$4&amp;CT$5, LS_current!$D$2:$AY$2&amp;LS_current!$D$3:$AY$3, 0)),SUM(VLOOKUP($A91, LS_current!$B$4:$AY$138, LS_current!Y$148, FALSE), VLOOKUP($A91, LS_current!$B$4:$AY$138,LS_current!AW$148, FALSE))/2)</f>
        <v>1207.1790747168902</v>
      </c>
      <c r="CU91" s="180">
        <f t="array" ref="CU91">IF($BT91=0, INDEX(LS_current!$D$4:$AY$138, MATCH('Staging Table'!$A91, LS_current!$B$4:$B$138, 0), MATCH(CU$4&amp;CU$5, LS_current!$D$2:$AY$2&amp;LS_current!$D$3:$AY$3, 0)),SUM(VLOOKUP($A91, LS_current!$B$4:$AY$138, LS_current!Z$148, FALSE), VLOOKUP($A91, LS_current!$B$4:$AY$138,LS_current!AX$148, FALSE))/2)</f>
        <v>663.69639306760018</v>
      </c>
      <c r="CV91" s="180">
        <f t="array" ref="CV91">IF($BT91=0, INDEX(LS_current!$D$4:$AY$138, MATCH('Staging Table'!$A91, LS_current!$B$4:$B$138, 0), MATCH(CV$4&amp;CV$5, LS_current!$D$2:$AY$2&amp;LS_current!$D$3:$AY$3, 0)),SUM(VLOOKUP($A91, LS_current!$B$4:$AY$138, LS_current!AA$148, FALSE), VLOOKUP($A91, LS_current!$B$4:$AY$138,LS_current!AY$148, FALSE))/2)</f>
        <v>600.5238840095999</v>
      </c>
      <c r="CW91" s="182">
        <f t="array" ref="CW91">INDEX(Demand_current!$D$4:$AY$138, MATCH($A91, Demand_current!$B$4:$B$138, 0), MATCH(CW$4&amp;CW$5,Demand_current!$D$2:$AY$2&amp;Demand_current!$D$3:$AY$3, 0))/1000</f>
        <v>2.6332860576923065</v>
      </c>
      <c r="CX91" s="182">
        <f t="array" ref="CX91">INDEX(Demand_current!$D$4:$AY$138, MATCH($A91, Demand_current!$B$4:$B$138, 0), MATCH(CX$4&amp;CX$5,Demand_current!$D$2:$AY$2&amp;Demand_current!$D$3:$AY$3, 0))/1000</f>
        <v>0.71420000000000083</v>
      </c>
      <c r="CY91" s="182">
        <f t="array" ref="CY91">INDEX(Demand_current!$D$4:$AY$138, MATCH($A91, Demand_current!$B$4:$B$138, 0), MATCH(CY$4&amp;CY$5,Demand_current!$D$2:$AY$2&amp;Demand_current!$D$3:$AY$3, 0))/1000</f>
        <v>1.8611824999999991</v>
      </c>
      <c r="CZ91" s="182">
        <f t="array" ref="CZ91">INDEX(Demand_current!$D$4:$AY$138, MATCH($A91, Demand_current!$B$4:$B$138, 0), MATCH(CZ$4&amp;CZ$5,Demand_current!$D$2:$AY$2&amp;Demand_current!$D$3:$AY$3, 0))/1000</f>
        <v>1.975927884615384</v>
      </c>
      <c r="DA91" s="182">
        <f t="array" ref="DA91">INDEX(Demand_current!$D$4:$AY$138, MATCH($A91, Demand_current!$B$4:$B$138, 0), MATCH(DA$4&amp;DA$5,Demand_current!$D$2:$AY$2&amp;Demand_current!$D$3:$AY$3, 0))/1000</f>
        <v>1.4688725000000016</v>
      </c>
      <c r="DB91" s="182">
        <f t="array" ref="DB91">INDEX(Demand_current!$D$4:$AY$138, MATCH($A91, Demand_current!$B$4:$B$138, 0), MATCH(DB$4&amp;DB$5,Demand_current!$D$2:$AY$2&amp;Demand_current!$D$3:$AY$3, 0))/1000</f>
        <v>1.8463533653846158</v>
      </c>
      <c r="DC91" s="182">
        <f t="array" ref="DC91">INDEX(Demand_current!$D$4:$AY$138, MATCH($A91, Demand_current!$B$4:$B$138, 0), MATCH(DC$4&amp;DC$5,Demand_current!$D$2:$AY$2&amp;Demand_current!$D$3:$AY$3, 0))/1000</f>
        <v>0.64980528846153973</v>
      </c>
      <c r="DD91" s="182">
        <f t="array" ref="DD91">INDEX(Demand_current!$D$4:$AY$138, MATCH($A91, Demand_current!$B$4:$B$138, 0), MATCH(DD$4&amp;DD$5,Demand_current!$D$2:$AY$2&amp;Demand_current!$D$3:$AY$3, 0))/1000</f>
        <v>1.2272788461538457</v>
      </c>
      <c r="DE91" s="182">
        <f t="array" ref="DE91">INDEX(Demand_current!$D$4:$AY$138, MATCH($A91, Demand_current!$B$4:$B$138, 0), MATCH(DE$4&amp;DE$5,Demand_current!$D$2:$AY$2&amp;Demand_current!$D$3:$AY$3, 0))/1000</f>
        <v>2.1117824999999995</v>
      </c>
      <c r="DF91" s="182">
        <f t="array" ref="DF91">INDEX(Demand_current!$D$4:$AY$138, MATCH($A91, Demand_current!$B$4:$B$138, 0), MATCH(DF$4&amp;DF$5,Demand_current!$D$2:$AY$2&amp;Demand_current!$D$3:$AY$3, 0))/1000</f>
        <v>2.351189903846155</v>
      </c>
      <c r="DG91" s="182">
        <f t="array" ref="DG91">INDEX(Demand_current!$D$4:$AY$138, MATCH($A91, Demand_current!$B$4:$B$138, 0), MATCH(DG$4&amp;DG$5,Demand_current!$D$2:$AY$2&amp;Demand_current!$D$3:$AY$3, 0))/1000</f>
        <v>3.2256481481481489</v>
      </c>
      <c r="DH91" s="182">
        <f t="array" ref="DH91">INDEX(Demand_current!$D$4:$AY$138, MATCH($A91, Demand_current!$B$4:$B$138, 0), MATCH(DH$4&amp;DH$5,Demand_current!$D$2:$AY$2&amp;Demand_current!$D$3:$AY$3, 0))/1000</f>
        <v>2.6338385416666648</v>
      </c>
      <c r="DI91" s="180">
        <f>$BS91*(VLOOKUP(DI$4, Rates_current!$G$6:$Q$29, 10, FALSE)+VLOOKUP(DI$4, Rates_current!$G$6:$Q$29, 11, FALSE))</f>
        <v>3512.5760118249</v>
      </c>
      <c r="DJ91" s="180">
        <f>$BS91*(VLOOKUP(DJ$4, Rates_current!$G$6:$Q$29, 10, FALSE)+VLOOKUP(DJ$4, Rates_current!$G$6:$Q$29, 11, FALSE))</f>
        <v>4479.6926974634007</v>
      </c>
      <c r="DK91" s="180">
        <f>$BS91*(VLOOKUP(DK$4, Rates_current!$G$6:$Q$29, 10, FALSE)+VLOOKUP(DK$4, Rates_current!$G$6:$Q$29, 11, FALSE))</f>
        <v>4834.4747775810001</v>
      </c>
      <c r="DL91" s="180">
        <f>$BS91*(VLOOKUP(DL$4, Rates_current!$G$6:$Q$29, 10, FALSE)+VLOOKUP(DL$4, Rates_current!$G$6:$Q$29, 11, FALSE))</f>
        <v>5023.7666448543996</v>
      </c>
      <c r="DM91" s="180">
        <f>$BS91*(VLOOKUP(DM$4, Rates_current!$G$6:$Q$29, 10, FALSE)+VLOOKUP(DM$4, Rates_current!$G$6:$Q$29, 11, FALSE))</f>
        <v>4321.1089399187995</v>
      </c>
      <c r="DN91" s="180">
        <f>$BS91*(VLOOKUP(DN$4, Rates_current!$G$6:$Q$29, 10, FALSE)+VLOOKUP(DN$4, Rates_current!$G$6:$Q$29, 11, FALSE))</f>
        <v>4717.7954258465998</v>
      </c>
      <c r="DO91" s="180">
        <f>$BS91*(VLOOKUP(DO$4, Rates_current!$G$6:$Q$29, 10, FALSE)+VLOOKUP(DO$4, Rates_current!$G$6:$Q$29, 11, FALSE))</f>
        <v>3723.9044437995494</v>
      </c>
      <c r="DP91" s="180">
        <f>$BS91*(VLOOKUP(DP$4, Rates_current!$G$6:$Q$29, 10, FALSE)+VLOOKUP(DP$4, Rates_current!$G$6:$Q$29, 11, FALSE))</f>
        <v>4620.0024890119003</v>
      </c>
      <c r="DQ91" s="180">
        <f>$BS91*(VLOOKUP(DQ$4, Rates_current!$G$6:$Q$29, 10, FALSE)+VLOOKUP(DQ$4, Rates_current!$G$6:$Q$29, 11, FALSE))</f>
        <v>4720.2450095642998</v>
      </c>
      <c r="DR91" s="180">
        <f>$BS91*(VLOOKUP(DR$4, Rates_current!$G$6:$Q$29, 10, FALSE)+VLOOKUP(DR$4, Rates_current!$G$6:$Q$29, 11, FALSE))</f>
        <v>4097.8527063628999</v>
      </c>
      <c r="DS91" s="180">
        <f>$BS91*(VLOOKUP(DS$4, Rates_current!$G$6:$Q$29, 10, FALSE)+VLOOKUP(DS$4, Rates_current!$G$6:$Q$29, 11, FALSE))</f>
        <v>3961.5343220740101</v>
      </c>
      <c r="DT91" s="180">
        <f>$BS91*(VLOOKUP(DT$4, Rates_current!$G$6:$Q$29, 10, FALSE)+VLOOKUP(DT$4, Rates_current!$G$6:$Q$29, 11, FALSE))</f>
        <v>3645.3787229228001</v>
      </c>
      <c r="DU91" s="402">
        <f>IF(D91=0,IF(C91=0,MAX(0,DW91 - (VLOOKUP($A91,TOCA_current!$A$2:$AI$137,MATCH("RHWM 2024",TOCA_current!$A$2:$AI$2,0),FALSE)*$BS$2)), 0),0)</f>
        <v>1.9732367914330098</v>
      </c>
      <c r="DV91" s="403">
        <f>MIN(VLOOKUP($A91,TOCA_current!$A$2:$AI$137,MATCH("TRL - NLSL - Existing Resource "&amp;$BS$1,TOCA_current!$A$2:$AI$2,0),FALSE)*$BS$2, VLOOKUP($A91,TOCA_current!$A$2:$AI$137,MATCH("RHWM 2024",TOCA_current!$A$2:$AI$2,0),FALSE)*$BS$2)</f>
        <v>51658.704000000005</v>
      </c>
      <c r="DW91" s="403">
        <f>SUM(BY91:CV91)+(BS91*RT1SC!$C$4*$BS$2)</f>
        <v>51660.677236791438</v>
      </c>
      <c r="DX91" s="403">
        <f>VLOOKUP($A91,TOCA_current!$A$2:$AI$137,MATCH("Above RHWM Not Served with LS "&amp;$BS$1,TOCA_current!$A$2:$AI$2,0),FALSE)*$BS$2</f>
        <v>19359.936000000002</v>
      </c>
      <c r="DY91" s="403">
        <f t="shared" si="32"/>
        <v>1.9732367914330098</v>
      </c>
      <c r="DZ91" s="403">
        <f>(VLOOKUP($A91,TOCA_current!$A$2:$AI$137,MATCH("RHWM 2024",TOCA_current!$A$2:$AI$2,0),FALSE)*$BS$2) - $DV91</f>
        <v>0</v>
      </c>
      <c r="EA91" s="403">
        <f t="shared" si="33"/>
        <v>0</v>
      </c>
      <c r="EB91" s="403">
        <f t="shared" si="34"/>
        <v>0</v>
      </c>
      <c r="EC91" s="403">
        <f t="shared" si="35"/>
        <v>0</v>
      </c>
      <c r="ED91" s="403">
        <f t="shared" si="36"/>
        <v>0</v>
      </c>
    </row>
    <row r="92" spans="1:134">
      <c r="A92" s="123">
        <v>10278</v>
      </c>
      <c r="B92" s="124" t="s">
        <v>93</v>
      </c>
      <c r="C92" s="232">
        <f>VLOOKUP(A92, TOCA_current!$A$3:$D$137, 4, FALSE)</f>
        <v>1</v>
      </c>
      <c r="D92" s="191">
        <v>0</v>
      </c>
      <c r="E92" s="107">
        <f>VLOOKUP($A92,TOCA_previous!$A$2:$AI$137,MATCH(E$4,TOCA_previous!$A$2:$AI$2,0),FALSE)</f>
        <v>5.0876000000000003E-3</v>
      </c>
      <c r="F92" s="108">
        <f>VLOOKUP($A92,TOCA_previous!$A$2:$AI$137,MATCH(F$4,TOCA_previous!$A$2:$AI$2,0),FALSE)</f>
        <v>5.0876000000000003E-3</v>
      </c>
      <c r="G92" s="108">
        <f t="shared" si="24"/>
        <v>0</v>
      </c>
      <c r="H92" s="108">
        <f>VLOOKUP($A92,TOCA_previous!$A$2:$AI$137,MATCH(H$4,TOCA_previous!$A$2:$AI$2,0),FALSE)</f>
        <v>7.2940000000000005E-2</v>
      </c>
      <c r="I92" s="108">
        <f t="shared" si="25"/>
        <v>7.2940000000000005E-2</v>
      </c>
      <c r="J92" s="108">
        <f t="shared" si="26"/>
        <v>5.0876000000000003E-3</v>
      </c>
      <c r="K92" s="179">
        <f>VLOOKUP(A92, IRD!$A$5:$C$139, 3, FALSE)</f>
        <v>0</v>
      </c>
      <c r="L92" s="180">
        <f t="array" ref="L92">IF($G92=0, INDEX(LS_previous!$D$4:$AY$138, MATCH('Staging Table'!$A92, LS_previous!$B$4:$B$138, 0), MATCH(L$4&amp;L$5, LS_previous!$D$2:$AY$2&amp;LS_previous!$D$3:$AY$3, 0)),SUM(VLOOKUP($A92, LS_previous!$B$4:$AY$138, LS_previous!D$149, FALSE), VLOOKUP('Staging Table'!$A92, LS_previous!$B$4:$AY$138,LS_previous!AB$149, FALSE))/2)</f>
        <v>0</v>
      </c>
      <c r="M92" s="180">
        <f t="array" ref="M92">IF($G92=0, INDEX(LS_previous!$D$4:$AY$138, MATCH('Staging Table'!$A92, LS_previous!$B$4:$B$138, 0), MATCH(M$4&amp;M$5, LS_previous!$D$2:$AY$2&amp;LS_previous!$D$3:$AY$3, 0)),SUM(VLOOKUP($A92, LS_previous!$B$4:$AY$138, LS_previous!E$149, FALSE), VLOOKUP('Staging Table'!$A92, LS_previous!$B$4:$AY$138,LS_previous!AC$149, FALSE))/2)</f>
        <v>0</v>
      </c>
      <c r="N92" s="180">
        <f t="array" ref="N92">IF($G92=0, INDEX(LS_previous!$D$4:$AY$138, MATCH('Staging Table'!$A92, LS_previous!$B$4:$B$138, 0), MATCH(N$4&amp;N$5, LS_previous!$D$2:$AY$2&amp;LS_previous!$D$3:$AY$3, 0)),SUM(VLOOKUP($A92, LS_previous!$B$4:$AY$138, LS_previous!F$149, FALSE), VLOOKUP('Staging Table'!$A92, LS_previous!$B$4:$AY$138,LS_previous!AD$149, FALSE))/2)</f>
        <v>0</v>
      </c>
      <c r="O92" s="180">
        <f t="array" ref="O92">IF($G92=0, INDEX(LS_previous!$D$4:$AY$138, MATCH('Staging Table'!$A92, LS_previous!$B$4:$B$138, 0), MATCH(O$4&amp;O$5, LS_previous!$D$2:$AY$2&amp;LS_previous!$D$3:$AY$3, 0)),SUM(VLOOKUP($A92, LS_previous!$B$4:$AY$138, LS_previous!G$149, FALSE), VLOOKUP('Staging Table'!$A92, LS_previous!$B$4:$AY$138,LS_previous!AE$149, FALSE))/2)</f>
        <v>0</v>
      </c>
      <c r="P92" s="180">
        <f t="array" ref="P92">IF($G92=0, INDEX(LS_previous!$D$4:$AY$138, MATCH('Staging Table'!$A92, LS_previous!$B$4:$B$138, 0), MATCH(P$4&amp;P$5, LS_previous!$D$2:$AY$2&amp;LS_previous!$D$3:$AY$3, 0)),SUM(VLOOKUP($A92, LS_previous!$B$4:$AY$138, LS_previous!H$149, FALSE), VLOOKUP('Staging Table'!$A92, LS_previous!$B$4:$AY$138,LS_previous!AF$149, FALSE))/2)</f>
        <v>0</v>
      </c>
      <c r="Q92" s="180">
        <f t="array" ref="Q92">IF($G92=0, INDEX(LS_previous!$D$4:$AY$138, MATCH('Staging Table'!$A92, LS_previous!$B$4:$B$138, 0), MATCH(Q$4&amp;Q$5, LS_previous!$D$2:$AY$2&amp;LS_previous!$D$3:$AY$3, 0)),SUM(VLOOKUP($A92, LS_previous!$B$4:$AY$138, LS_previous!I$149, FALSE), VLOOKUP('Staging Table'!$A92, LS_previous!$B$4:$AY$138,LS_previous!AG$149, FALSE))/2)</f>
        <v>0</v>
      </c>
      <c r="R92" s="180">
        <f t="array" ref="R92">IF($G92=0, INDEX(LS_previous!$D$4:$AY$138, MATCH('Staging Table'!$A92, LS_previous!$B$4:$B$138, 0), MATCH(R$4&amp;R$5, LS_previous!$D$2:$AY$2&amp;LS_previous!$D$3:$AY$3, 0)),SUM(VLOOKUP($A92, LS_previous!$B$4:$AY$138, LS_previous!J$149, FALSE), VLOOKUP('Staging Table'!$A92, LS_previous!$B$4:$AY$138,LS_previous!AH$149, FALSE))/2)</f>
        <v>0</v>
      </c>
      <c r="S92" s="180">
        <f t="array" ref="S92">IF($G92=0, INDEX(LS_previous!$D$4:$AY$138, MATCH('Staging Table'!$A92, LS_previous!$B$4:$B$138, 0), MATCH(S$4&amp;S$5, LS_previous!$D$2:$AY$2&amp;LS_previous!$D$3:$AY$3, 0)),SUM(VLOOKUP($A92, LS_previous!$B$4:$AY$138, LS_previous!K$149, FALSE), VLOOKUP('Staging Table'!$A92, LS_previous!$B$4:$AY$138,LS_previous!AI$149, FALSE))/2)</f>
        <v>0</v>
      </c>
      <c r="T92" s="180">
        <f t="array" ref="T92">IF($G92=0, INDEX(LS_previous!$D$4:$AY$138, MATCH('Staging Table'!$A92, LS_previous!$B$4:$B$138, 0), MATCH(T$4&amp;T$5, LS_previous!$D$2:$AY$2&amp;LS_previous!$D$3:$AY$3, 0)),SUM(VLOOKUP($A92, LS_previous!$B$4:$AY$138, LS_previous!L$149, FALSE), VLOOKUP('Staging Table'!$A92, LS_previous!$B$4:$AY$138,LS_previous!AJ$149, FALSE))/2)</f>
        <v>0</v>
      </c>
      <c r="U92" s="180">
        <f t="array" ref="U92">IF($G92=0, INDEX(LS_previous!$D$4:$AY$138, MATCH('Staging Table'!$A92, LS_previous!$B$4:$B$138, 0), MATCH(U$4&amp;U$5, LS_previous!$D$2:$AY$2&amp;LS_previous!$D$3:$AY$3, 0)),SUM(VLOOKUP($A92, LS_previous!$B$4:$AY$138, LS_previous!M$149, FALSE), VLOOKUP('Staging Table'!$A92, LS_previous!$B$4:$AY$138,LS_previous!AK$149, FALSE))/2)</f>
        <v>0</v>
      </c>
      <c r="V92" s="180">
        <f t="array" ref="V92">IF($G92=0, INDEX(LS_previous!$D$4:$AY$138, MATCH('Staging Table'!$A92, LS_previous!$B$4:$B$138, 0), MATCH(V$4&amp;V$5, LS_previous!$D$2:$AY$2&amp;LS_previous!$D$3:$AY$3, 0)),SUM(VLOOKUP($A92, LS_previous!$B$4:$AY$138, LS_previous!N$149, FALSE), VLOOKUP('Staging Table'!$A92, LS_previous!$B$4:$AY$138,LS_previous!AL$149, FALSE))/2)</f>
        <v>0</v>
      </c>
      <c r="W92" s="180">
        <f t="array" ref="W92">IF($G92=0, INDEX(LS_previous!$D$4:$AY$138, MATCH('Staging Table'!$A92, LS_previous!$B$4:$B$138, 0), MATCH(W$4&amp;W$5, LS_previous!$D$2:$AY$2&amp;LS_previous!$D$3:$AY$3, 0)),SUM(VLOOKUP($A92, LS_previous!$B$4:$AY$138, LS_previous!O$149, FALSE), VLOOKUP('Staging Table'!$A92, LS_previous!$B$4:$AY$138,LS_previous!AM$149, FALSE))/2)</f>
        <v>0</v>
      </c>
      <c r="X92" s="180">
        <f t="array" ref="X92">IF($G92=0, INDEX(LS_previous!$D$4:$AY$138, MATCH('Staging Table'!$A92, LS_previous!$B$4:$B$138, 0), MATCH(X$4&amp;X$5, LS_previous!$D$2:$AY$2&amp;LS_previous!$D$3:$AY$3, 0)),SUM(VLOOKUP($A92, LS_previous!$B$4:$AY$138, LS_previous!P$149, FALSE), VLOOKUP('Staging Table'!$A92, LS_previous!$B$4:$AY$138,LS_previous!AN$149, FALSE))/2)</f>
        <v>0</v>
      </c>
      <c r="Y92" s="180">
        <f t="array" ref="Y92">IF($G92=0, INDEX(LS_previous!$D$4:$AY$138, MATCH('Staging Table'!$A92, LS_previous!$B$4:$B$138, 0), MATCH(Y$4&amp;Y$5, LS_previous!$D$2:$AY$2&amp;LS_previous!$D$3:$AY$3, 0)),SUM(VLOOKUP($A92, LS_previous!$B$4:$AY$138, LS_previous!Q$149, FALSE), VLOOKUP('Staging Table'!$A92, LS_previous!$B$4:$AY$138,LS_previous!AO$149, FALSE))/2)</f>
        <v>0</v>
      </c>
      <c r="Z92" s="180">
        <f t="array" ref="Z92">IF($G92=0, INDEX(LS_previous!$D$4:$AY$138, MATCH('Staging Table'!$A92, LS_previous!$B$4:$B$138, 0), MATCH(Z$4&amp;Z$5, LS_previous!$D$2:$AY$2&amp;LS_previous!$D$3:$AY$3, 0)),SUM(VLOOKUP($A92, LS_previous!$B$4:$AY$138, LS_previous!R$149, FALSE), VLOOKUP('Staging Table'!$A92, LS_previous!$B$4:$AY$138,LS_previous!AP$149, FALSE))/2)</f>
        <v>0</v>
      </c>
      <c r="AA92" s="180">
        <f t="array" ref="AA92">IF($G92=0, INDEX(LS_previous!$D$4:$AY$138, MATCH('Staging Table'!$A92, LS_previous!$B$4:$B$138, 0), MATCH(AA$4&amp;AA$5, LS_previous!$D$2:$AY$2&amp;LS_previous!$D$3:$AY$3, 0)),SUM(VLOOKUP($A92, LS_previous!$B$4:$AY$138, LS_previous!S$149, FALSE), VLOOKUP('Staging Table'!$A92, LS_previous!$B$4:$AY$138,LS_previous!AQ$149, FALSE))/2)</f>
        <v>0</v>
      </c>
      <c r="AB92" s="180">
        <f t="array" ref="AB92">IF($G92=0, INDEX(LS_previous!$D$4:$AY$138, MATCH('Staging Table'!$A92, LS_previous!$B$4:$B$138, 0), MATCH(AB$4&amp;AB$5, LS_previous!$D$2:$AY$2&amp;LS_previous!$D$3:$AY$3, 0)),SUM(VLOOKUP($A92, LS_previous!$B$4:$AY$138, LS_previous!T$149, FALSE), VLOOKUP('Staging Table'!$A92, LS_previous!$B$4:$AY$138,LS_previous!AR$149, FALSE))/2)</f>
        <v>0</v>
      </c>
      <c r="AC92" s="180">
        <f t="array" ref="AC92">IF($G92=0, INDEX(LS_previous!$D$4:$AY$138, MATCH('Staging Table'!$A92, LS_previous!$B$4:$B$138, 0), MATCH(AC$4&amp;AC$5, LS_previous!$D$2:$AY$2&amp;LS_previous!$D$3:$AY$3, 0)),SUM(VLOOKUP($A92, LS_previous!$B$4:$AY$138, LS_previous!U$149, FALSE), VLOOKUP('Staging Table'!$A92, LS_previous!$B$4:$AY$138,LS_previous!AS$149, FALSE))/2)</f>
        <v>0</v>
      </c>
      <c r="AD92" s="180">
        <f t="array" ref="AD92">IF($G92=0, INDEX(LS_previous!$D$4:$AY$138, MATCH('Staging Table'!$A92, LS_previous!$B$4:$B$138, 0), MATCH(AD$4&amp;AD$5, LS_previous!$D$2:$AY$2&amp;LS_previous!$D$3:$AY$3, 0)),SUM(VLOOKUP($A92, LS_previous!$B$4:$AY$138, LS_previous!V$149, FALSE), VLOOKUP('Staging Table'!$A92, LS_previous!$B$4:$AY$138,LS_previous!AT$149, FALSE))/2)</f>
        <v>0</v>
      </c>
      <c r="AE92" s="180">
        <f t="array" ref="AE92">IF($G92=0, INDEX(LS_previous!$D$4:$AY$138, MATCH('Staging Table'!$A92, LS_previous!$B$4:$B$138, 0), MATCH(AE$4&amp;AE$5, LS_previous!$D$2:$AY$2&amp;LS_previous!$D$3:$AY$3, 0)),SUM(VLOOKUP($A92, LS_previous!$B$4:$AY$138, LS_previous!W$149, FALSE), VLOOKUP('Staging Table'!$A92, LS_previous!$B$4:$AY$138,LS_previous!AU$149, FALSE))/2)</f>
        <v>0</v>
      </c>
      <c r="AF92" s="180">
        <f t="array" ref="AF92">IF($G92=0, INDEX(LS_previous!$D$4:$AY$138, MATCH('Staging Table'!$A92, LS_previous!$B$4:$B$138, 0), MATCH(AF$4&amp;AF$5, LS_previous!$D$2:$AY$2&amp;LS_previous!$D$3:$AY$3, 0)),SUM(VLOOKUP($A92, LS_previous!$B$4:$AY$138, LS_previous!X$149, FALSE), VLOOKUP('Staging Table'!$A92, LS_previous!$B$4:$AY$138,LS_previous!AV$149, FALSE))/2)</f>
        <v>0</v>
      </c>
      <c r="AG92" s="180">
        <f t="array" ref="AG92">IF($G92=0, INDEX(LS_previous!$D$4:$AY$138, MATCH('Staging Table'!$A92, LS_previous!$B$4:$B$138, 0), MATCH(AG$4&amp;AG$5, LS_previous!$D$2:$AY$2&amp;LS_previous!$D$3:$AY$3, 0)),SUM(VLOOKUP($A92, LS_previous!$B$4:$AY$138, LS_previous!Y$149, FALSE), VLOOKUP('Staging Table'!$A92, LS_previous!$B$4:$AY$138,LS_previous!AW$149, FALSE))/2)</f>
        <v>0</v>
      </c>
      <c r="AH92" s="180">
        <f t="array" ref="AH92">IF($G92=0, INDEX(LS_previous!$D$4:$AY$138, MATCH('Staging Table'!$A92, LS_previous!$B$4:$B$138, 0), MATCH(AH$4&amp;AH$5, LS_previous!$D$2:$AY$2&amp;LS_previous!$D$3:$AY$3, 0)),SUM(VLOOKUP($A92, LS_previous!$B$4:$AY$138, LS_previous!Z$149, FALSE), VLOOKUP('Staging Table'!$A92, LS_previous!$B$4:$AY$138,LS_previous!AX$149, FALSE))/2)</f>
        <v>0</v>
      </c>
      <c r="AI92" s="180">
        <f t="array" ref="AI92">IF($G92=0, INDEX(LS_previous!$D$4:$AY$138, MATCH('Staging Table'!$A92, LS_previous!$B$4:$B$138, 0), MATCH(AI$4&amp;AI$5, LS_previous!$D$2:$AY$2&amp;LS_previous!$D$3:$AY$3, 0)),SUM(VLOOKUP($A92, LS_previous!$B$4:$AY$138, LS_previous!AA$149, FALSE), VLOOKUP('Staging Table'!$A92, LS_previous!$B$4:$AY$138,LS_previous!AY$149, FALSE))/2)</f>
        <v>0</v>
      </c>
      <c r="AJ92" s="298">
        <f t="array" ref="AJ92">INDEX(Demand_previous!$D$4:$AY$138, MATCH('Staging Table'!$A92, Demand_previous!$B$4:$B$138, 0), MATCH(AJ$4&amp;AJ$5,Demand_previous!$D$2:$AY$2&amp;Demand_previous!$D$3:$AY$3, 0))/1000</f>
        <v>0</v>
      </c>
      <c r="AK92" s="298">
        <f t="array" ref="AK92">INDEX(Demand_previous!$D$4:$AY$138, MATCH('Staging Table'!$A92, Demand_previous!$B$4:$B$138, 0), MATCH(AK$4&amp;AK$5,Demand_previous!$D$2:$AY$2&amp;Demand_previous!$D$3:$AY$3, 0))/1000</f>
        <v>0</v>
      </c>
      <c r="AL92" s="298">
        <f t="array" ref="AL92">INDEX(Demand_previous!$D$4:$AY$138, MATCH('Staging Table'!$A92, Demand_previous!$B$4:$B$138, 0), MATCH(AL$4&amp;AL$5,Demand_previous!$D$2:$AY$2&amp;Demand_previous!$D$3:$AY$3, 0))/1000</f>
        <v>0</v>
      </c>
      <c r="AM92" s="298">
        <f t="array" ref="AM92">INDEX(Demand_previous!$D$4:$AY$138, MATCH('Staging Table'!$A92, Demand_previous!$B$4:$B$138, 0), MATCH(AM$4&amp;AM$5,Demand_previous!$D$2:$AY$2&amp;Demand_previous!$D$3:$AY$3, 0))/1000</f>
        <v>0</v>
      </c>
      <c r="AN92" s="298">
        <f t="array" ref="AN92">INDEX(Demand_previous!$D$4:$AY$138, MATCH('Staging Table'!$A92, Demand_previous!$B$4:$B$138, 0), MATCH(AN$4&amp;AN$5,Demand_previous!$D$2:$AY$2&amp;Demand_previous!$D$3:$AY$3, 0))/1000</f>
        <v>0</v>
      </c>
      <c r="AO92" s="298">
        <f t="array" ref="AO92">INDEX(Demand_previous!$D$4:$AY$138, MATCH('Staging Table'!$A92, Demand_previous!$B$4:$B$138, 0), MATCH(AO$4&amp;AO$5,Demand_previous!$D$2:$AY$2&amp;Demand_previous!$D$3:$AY$3, 0))/1000</f>
        <v>0</v>
      </c>
      <c r="AP92" s="298">
        <f t="array" ref="AP92">INDEX(Demand_previous!$D$4:$AY$138, MATCH('Staging Table'!$A92, Demand_previous!$B$4:$B$138, 0), MATCH(AP$4&amp;AP$5,Demand_previous!$D$2:$AY$2&amp;Demand_previous!$D$3:$AY$3, 0))/1000</f>
        <v>0</v>
      </c>
      <c r="AQ92" s="298">
        <f t="array" ref="AQ92">INDEX(Demand_previous!$D$4:$AY$138, MATCH('Staging Table'!$A92, Demand_previous!$B$4:$B$138, 0), MATCH(AQ$4&amp;AQ$5,Demand_previous!$D$2:$AY$2&amp;Demand_previous!$D$3:$AY$3, 0))/1000</f>
        <v>0</v>
      </c>
      <c r="AR92" s="298">
        <f t="array" ref="AR92">INDEX(Demand_previous!$D$4:$AY$138, MATCH('Staging Table'!$A92, Demand_previous!$B$4:$B$138, 0), MATCH(AR$4&amp;AR$5,Demand_previous!$D$2:$AY$2&amp;Demand_previous!$D$3:$AY$3, 0))/1000</f>
        <v>0</v>
      </c>
      <c r="AS92" s="298">
        <f t="array" ref="AS92">INDEX(Demand_previous!$D$4:$AY$138, MATCH('Staging Table'!$A92, Demand_previous!$B$4:$B$138, 0), MATCH(AS$4&amp;AS$5,Demand_previous!$D$2:$AY$2&amp;Demand_previous!$D$3:$AY$3, 0))/1000</f>
        <v>0</v>
      </c>
      <c r="AT92" s="298">
        <f t="array" ref="AT92">INDEX(Demand_previous!$D$4:$AY$138, MATCH('Staging Table'!$A92, Demand_previous!$B$4:$B$138, 0), MATCH(AT$4&amp;AT$5,Demand_previous!$D$2:$AY$2&amp;Demand_previous!$D$3:$AY$3, 0))/1000</f>
        <v>0</v>
      </c>
      <c r="AU92" s="298">
        <f t="array" ref="AU92">INDEX(Demand_previous!$D$4:$AY$138, MATCH('Staging Table'!$A92, Demand_previous!$B$4:$B$138, 0), MATCH(AU$4&amp;AU$5,Demand_previous!$D$2:$AY$2&amp;Demand_previous!$D$3:$AY$3, 0))/1000</f>
        <v>0</v>
      </c>
      <c r="AV92" s="180">
        <f>$F92*(VLOOKUP(AV$4, Rates_previous!$G$6:$Q$29, 10, FALSE)+VLOOKUP(AV$4, Rates_previous!$G$6:$Q$29, 11, FALSE))</f>
        <v>23168.545883073839</v>
      </c>
      <c r="AW92" s="180">
        <f>$F92*(VLOOKUP(AW$4, Rates_previous!$G$6:$Q$29, 10, FALSE)+VLOOKUP(AW$4, Rates_previous!$G$6:$Q$29, 11, FALSE))</f>
        <v>29332.219932364445</v>
      </c>
      <c r="AX92" s="180">
        <f>$F92*(VLOOKUP(AX$4, Rates_previous!$G$6:$Q$29, 10, FALSE)+VLOOKUP(AX$4, Rates_previous!$G$6:$Q$29, 11, FALSE))</f>
        <v>28710.38322856063</v>
      </c>
      <c r="AY92" s="180">
        <f>$F92*(VLOOKUP(AY$4, Rates_previous!$G$6:$Q$29, 10, FALSE)+VLOOKUP(AY$4, Rates_previous!$G$6:$Q$29, 11, FALSE))</f>
        <v>23713.555642283412</v>
      </c>
      <c r="AZ92" s="180">
        <f>$F92*(VLOOKUP(AZ$4, Rates_previous!$G$6:$Q$29, 10, FALSE)+VLOOKUP(AZ$4, Rates_previous!$G$6:$Q$29, 11, FALSE))</f>
        <v>20553.058407258595</v>
      </c>
      <c r="BA92" s="180">
        <f>$F92*(VLOOKUP(BA$4, Rates_previous!$G$6:$Q$29, 10, FALSE)+VLOOKUP(BA$4, Rates_previous!$G$6:$Q$29, 11, FALSE))</f>
        <v>24536.201269129939</v>
      </c>
      <c r="BB92" s="180">
        <f>$F92*(VLOOKUP(BB$4, Rates_previous!$G$6:$Q$29, 10, FALSE)+VLOOKUP(BB$4, Rates_previous!$G$6:$Q$29, 11, FALSE))</f>
        <v>19049.093808009355</v>
      </c>
      <c r="BC92" s="180">
        <f>$F92*(VLOOKUP(BC$4, Rates_previous!$G$6:$Q$29, 10, FALSE)+VLOOKUP(BC$4, Rates_previous!$G$6:$Q$29, 11, FALSE))</f>
        <v>26392.659652975883</v>
      </c>
      <c r="BD92" s="180">
        <f>$F92*(VLOOKUP(BD$4, Rates_previous!$G$6:$Q$29, 10, FALSE)+VLOOKUP(BD$4, Rates_previous!$G$6:$Q$29, 11, FALSE))</f>
        <v>28201.109479097882</v>
      </c>
      <c r="BE92" s="180">
        <f>$F92*(VLOOKUP(BE$4, Rates_previous!$G$6:$Q$29, 10, FALSE)+VLOOKUP(BE$4, Rates_previous!$G$6:$Q$29, 11, FALSE))</f>
        <v>26775.676459080245</v>
      </c>
      <c r="BF92" s="180">
        <f>$F92*(VLOOKUP(BF$4, Rates_previous!$G$6:$Q$29, 10, FALSE)+VLOOKUP(BF$4, Rates_previous!$G$6:$Q$29, 11, FALSE))</f>
        <v>25876.625661737082</v>
      </c>
      <c r="BG92" s="180">
        <f>$F92*(VLOOKUP(BG$4, Rates_previous!$G$6:$Q$29, 10, FALSE)+VLOOKUP(BG$4, Rates_previous!$G$6:$Q$29, 11, FALSE))</f>
        <v>23912.699642767126</v>
      </c>
      <c r="BH92" s="298">
        <f>IF($D92=0,IF(C92=0, MAX(BJ92 - (VLOOKUP($A92,TOCA_previous!$A$2:$AI$137,MATCH("RHWM 2022",TOCA_previous!$A$2:$AI$2,0),FALSE)*$F$2*TOCA_previous!C89),0),0), 0)</f>
        <v>0</v>
      </c>
      <c r="BI92" s="192">
        <f>MIN(VLOOKUP($A92,TOCA_previous!$A$2:$AI$137,MATCH("TRL - NLSL - Existing Resource "&amp;$F$1,TOCA_previous!$A$2:$AI$2,0),FALSE)*$F$2,(VLOOKUP($A92,TOCA_previous!$A$2:$AI$137,MATCH("RHWM 2022",TOCA_previous!$A$2:$AI$2,0),FALSE)*$F$2))</f>
        <v>300222.71999999997</v>
      </c>
      <c r="BJ92" s="402">
        <f>SUM(L92:AI92)+(F92*RT1SC!$C$3*$F$2)</f>
        <v>300221.84442398406</v>
      </c>
      <c r="BK92" s="401">
        <f>VLOOKUP($A92,TOCA_previous!$A$2:$AI$137,MATCH("Above RHWM Not Served with LS "&amp;$F$1,TOCA_previous!$A$2:$AI$2,0),FALSE)*$F$2</f>
        <v>36678.120000000003</v>
      </c>
      <c r="BL92" s="402">
        <f t="shared" si="27"/>
        <v>-0.87557601591106504</v>
      </c>
      <c r="BM92" s="401">
        <f>(VLOOKUP($A92,TOCA_previous!$A$2:$AI$137,MATCH("RHWM 2022",TOCA_previous!$A$2:$AI$2,0),FALSE)*$F$2) - $BI92</f>
        <v>0</v>
      </c>
      <c r="BN92" s="402">
        <f t="shared" si="28"/>
        <v>0</v>
      </c>
      <c r="BO92" s="401">
        <f t="shared" si="29"/>
        <v>0</v>
      </c>
      <c r="BP92" s="402">
        <f t="shared" si="30"/>
        <v>0</v>
      </c>
      <c r="BQ92" s="401">
        <f t="shared" si="21"/>
        <v>0</v>
      </c>
      <c r="BR92" s="108">
        <f>VLOOKUP($A92,TOCA_current!$A$2:$AI$137,MATCH(BR$4,TOCA_current!$A$2:$AI$2,0),FALSE)</f>
        <v>5.0864999999999999E-3</v>
      </c>
      <c r="BS92" s="108">
        <f>VLOOKUP($A92,TOCA_current!$A$2:$AI$137,MATCH(BS$4,TOCA_current!$A$2:$AI$2,0),FALSE)</f>
        <v>5.0864999999999999E-3</v>
      </c>
      <c r="BT92" s="189">
        <f t="shared" si="31"/>
        <v>0</v>
      </c>
      <c r="BU92" s="108">
        <f>VLOOKUP($A92,TOCA_current!A88:BG223,MATCH(BU$4,TOCA_current!$A$2:$BG$2,0),FALSE)</f>
        <v>7.1523881095524378E-2</v>
      </c>
      <c r="BV92" s="108">
        <f t="shared" si="22"/>
        <v>7.1523881095524378E-2</v>
      </c>
      <c r="BW92" s="108">
        <f t="shared" si="23"/>
        <v>5.0864999999999999E-3</v>
      </c>
      <c r="BX92" s="179">
        <f>VLOOKUP($A92,IRD!$A$4:$G$139, 7, FALSE)</f>
        <v>0</v>
      </c>
      <c r="BY92" s="180">
        <f t="array" ref="BY92">IF($BT92=0, INDEX(LS_current!$D$4:$AY$138, MATCH('Staging Table'!$A92, LS_current!$B$4:$B$138, 0), MATCH(BY$4&amp;BY$5, LS_current!$D$2:$AY$2&amp;LS_current!$D$3:$AY$3, 0)),SUM(VLOOKUP($A92, LS_current!$B$4:$AY$138, LS_current!D$148, FALSE), VLOOKUP($A92, LS_current!$B$4:$AY$138,LS_current!AB$148, FALSE))/2)</f>
        <v>0</v>
      </c>
      <c r="BZ92" s="180">
        <f t="array" ref="BZ92">IF($BT92=0, INDEX(LS_current!$D$4:$AY$138, MATCH('Staging Table'!$A92, LS_current!$B$4:$B$138, 0), MATCH(BZ$4&amp;BZ$5, LS_current!$D$2:$AY$2&amp;LS_current!$D$3:$AY$3, 0)),SUM(VLOOKUP($A92, LS_current!$B$4:$AY$138, LS_current!E$148, FALSE), VLOOKUP($A92, LS_current!$B$4:$AY$138,LS_current!AC$148, FALSE))/2)</f>
        <v>0</v>
      </c>
      <c r="CA92" s="180">
        <f t="array" ref="CA92">IF($BT92=0, INDEX(LS_current!$D$4:$AY$138, MATCH('Staging Table'!$A92, LS_current!$B$4:$B$138, 0), MATCH(CA$4&amp;CA$5, LS_current!$D$2:$AY$2&amp;LS_current!$D$3:$AY$3, 0)),SUM(VLOOKUP($A92, LS_current!$B$4:$AY$138, LS_current!F$148, FALSE), VLOOKUP($A92, LS_current!$B$4:$AY$138,LS_current!AD$148, FALSE))/2)</f>
        <v>0</v>
      </c>
      <c r="CB92" s="180">
        <f t="array" ref="CB92">IF($BT92=0, INDEX(LS_current!$D$4:$AY$138, MATCH('Staging Table'!$A92, LS_current!$B$4:$B$138, 0), MATCH(CB$4&amp;CB$5, LS_current!$D$2:$AY$2&amp;LS_current!$D$3:$AY$3, 0)),SUM(VLOOKUP($A92, LS_current!$B$4:$AY$138, LS_current!G$148, FALSE), VLOOKUP($A92, LS_current!$B$4:$AY$138,LS_current!AE$148, FALSE))/2)</f>
        <v>0</v>
      </c>
      <c r="CC92" s="180">
        <f t="array" ref="CC92">IF($BT92=0, INDEX(LS_current!$D$4:$AY$138, MATCH('Staging Table'!$A92, LS_current!$B$4:$B$138, 0), MATCH(CC$4&amp;CC$5, LS_current!$D$2:$AY$2&amp;LS_current!$D$3:$AY$3, 0)),SUM(VLOOKUP($A92, LS_current!$B$4:$AY$138, LS_current!H$148, FALSE), VLOOKUP($A92, LS_current!$B$4:$AY$138,LS_current!AF$148, FALSE))/2)</f>
        <v>0</v>
      </c>
      <c r="CD92" s="180">
        <f t="array" ref="CD92">IF($BT92=0, INDEX(LS_current!$D$4:$AY$138, MATCH('Staging Table'!$A92, LS_current!$B$4:$B$138, 0), MATCH(CD$4&amp;CD$5, LS_current!$D$2:$AY$2&amp;LS_current!$D$3:$AY$3, 0)),SUM(VLOOKUP($A92, LS_current!$B$4:$AY$138, LS_current!I$148, FALSE), VLOOKUP($A92, LS_current!$B$4:$AY$138,LS_current!AG$148, FALSE))/2)</f>
        <v>0</v>
      </c>
      <c r="CE92" s="180">
        <f t="array" ref="CE92">IF($BT92=0, INDEX(LS_current!$D$4:$AY$138, MATCH('Staging Table'!$A92, LS_current!$B$4:$B$138, 0), MATCH(CE$4&amp;CE$5, LS_current!$D$2:$AY$2&amp;LS_current!$D$3:$AY$3, 0)),SUM(VLOOKUP($A92, LS_current!$B$4:$AY$138, LS_current!J$148, FALSE), VLOOKUP($A92, LS_current!$B$4:$AY$138,LS_current!AH$148, FALSE))/2)</f>
        <v>0</v>
      </c>
      <c r="CF92" s="180">
        <f t="array" ref="CF92">IF($BT92=0, INDEX(LS_current!$D$4:$AY$138, MATCH('Staging Table'!$A92, LS_current!$B$4:$B$138, 0), MATCH(CF$4&amp;CF$5, LS_current!$D$2:$AY$2&amp;LS_current!$D$3:$AY$3, 0)),SUM(VLOOKUP($A92, LS_current!$B$4:$AY$138, LS_current!K$148, FALSE), VLOOKUP($A92, LS_current!$B$4:$AY$138,LS_current!AI$148, FALSE))/2)</f>
        <v>0</v>
      </c>
      <c r="CG92" s="180">
        <f t="array" ref="CG92">IF($BT92=0, INDEX(LS_current!$D$4:$AY$138, MATCH('Staging Table'!$A92, LS_current!$B$4:$B$138, 0), MATCH(CG$4&amp;CG$5, LS_current!$D$2:$AY$2&amp;LS_current!$D$3:$AY$3, 0)),SUM(VLOOKUP($A92, LS_current!$B$4:$AY$138, LS_current!L$148, FALSE), VLOOKUP($A92, LS_current!$B$4:$AY$138,LS_current!AJ$148, FALSE))/2)</f>
        <v>0</v>
      </c>
      <c r="CH92" s="180">
        <f t="array" ref="CH92">IF($BT92=0, INDEX(LS_current!$D$4:$AY$138, MATCH('Staging Table'!$A92, LS_current!$B$4:$B$138, 0), MATCH(CH$4&amp;CH$5, LS_current!$D$2:$AY$2&amp;LS_current!$D$3:$AY$3, 0)),SUM(VLOOKUP($A92, LS_current!$B$4:$AY$138, LS_current!M$148, FALSE), VLOOKUP($A92, LS_current!$B$4:$AY$138,LS_current!AK$148, FALSE))/2)</f>
        <v>0</v>
      </c>
      <c r="CI92" s="180">
        <f t="array" ref="CI92">IF($BT92=0, INDEX(LS_current!$D$4:$AY$138, MATCH('Staging Table'!$A92, LS_current!$B$4:$B$138, 0), MATCH(CI$4&amp;CI$5, LS_current!$D$2:$AY$2&amp;LS_current!$D$3:$AY$3, 0)),SUM(VLOOKUP($A92, LS_current!$B$4:$AY$138, LS_current!N$148, FALSE), VLOOKUP($A92, LS_current!$B$4:$AY$138,LS_current!AL$148, FALSE))/2)</f>
        <v>0</v>
      </c>
      <c r="CJ92" s="180">
        <f t="array" ref="CJ92">IF($BT92=0, INDEX(LS_current!$D$4:$AY$138, MATCH('Staging Table'!$A92, LS_current!$B$4:$B$138, 0), MATCH(CJ$4&amp;CJ$5, LS_current!$D$2:$AY$2&amp;LS_current!$D$3:$AY$3, 0)),SUM(VLOOKUP($A92, LS_current!$B$4:$AY$138, LS_current!O$148, FALSE), VLOOKUP($A92, LS_current!$B$4:$AY$138,LS_current!AM$148, FALSE))/2)</f>
        <v>0</v>
      </c>
      <c r="CK92" s="180">
        <f t="array" ref="CK92">IF($BT92=0, INDEX(LS_current!$D$4:$AY$138, MATCH('Staging Table'!$A92, LS_current!$B$4:$B$138, 0), MATCH(CK$4&amp;CK$5, LS_current!$D$2:$AY$2&amp;LS_current!$D$3:$AY$3, 0)),SUM(VLOOKUP($A92, LS_current!$B$4:$AY$138, LS_current!P$148, FALSE), VLOOKUP($A92, LS_current!$B$4:$AY$138,LS_current!AN$148, FALSE))/2)</f>
        <v>0</v>
      </c>
      <c r="CL92" s="180">
        <f t="array" ref="CL92">IF($BT92=0, INDEX(LS_current!$D$4:$AY$138, MATCH('Staging Table'!$A92, LS_current!$B$4:$B$138, 0), MATCH(CL$4&amp;CL$5, LS_current!$D$2:$AY$2&amp;LS_current!$D$3:$AY$3, 0)),SUM(VLOOKUP($A92, LS_current!$B$4:$AY$138, LS_current!Q$148, FALSE), VLOOKUP($A92, LS_current!$B$4:$AY$138,LS_current!AO$148, FALSE))/2)</f>
        <v>0</v>
      </c>
      <c r="CM92" s="180">
        <f t="array" ref="CM92">IF($BT92=0, INDEX(LS_current!$D$4:$AY$138, MATCH('Staging Table'!$A92, LS_current!$B$4:$B$138, 0), MATCH(CM$4&amp;CM$5, LS_current!$D$2:$AY$2&amp;LS_current!$D$3:$AY$3, 0)),SUM(VLOOKUP($A92, LS_current!$B$4:$AY$138, LS_current!R$148, FALSE), VLOOKUP($A92, LS_current!$B$4:$AY$138,LS_current!AP$148, FALSE))/2)</f>
        <v>0</v>
      </c>
      <c r="CN92" s="180">
        <f t="array" ref="CN92">IF($BT92=0, INDEX(LS_current!$D$4:$AY$138, MATCH('Staging Table'!$A92, LS_current!$B$4:$B$138, 0), MATCH(CN$4&amp;CN$5, LS_current!$D$2:$AY$2&amp;LS_current!$D$3:$AY$3, 0)),SUM(VLOOKUP($A92, LS_current!$B$4:$AY$138, LS_current!S$148, FALSE), VLOOKUP($A92, LS_current!$B$4:$AY$138,LS_current!AQ$148, FALSE))/2)</f>
        <v>0</v>
      </c>
      <c r="CO92" s="180">
        <f t="array" ref="CO92">IF($BT92=0, INDEX(LS_current!$D$4:$AY$138, MATCH('Staging Table'!$A92, LS_current!$B$4:$B$138, 0), MATCH(CO$4&amp;CO$5, LS_current!$D$2:$AY$2&amp;LS_current!$D$3:$AY$3, 0)),SUM(VLOOKUP($A92, LS_current!$B$4:$AY$138, LS_current!T$148, FALSE), VLOOKUP($A92, LS_current!$B$4:$AY$138,LS_current!AR$148, FALSE))/2)</f>
        <v>0</v>
      </c>
      <c r="CP92" s="180">
        <f t="array" ref="CP92">IF($BT92=0, INDEX(LS_current!$D$4:$AY$138, MATCH('Staging Table'!$A92, LS_current!$B$4:$B$138, 0), MATCH(CP$4&amp;CP$5, LS_current!$D$2:$AY$2&amp;LS_current!$D$3:$AY$3, 0)),SUM(VLOOKUP($A92, LS_current!$B$4:$AY$138, LS_current!U$148, FALSE), VLOOKUP($A92, LS_current!$B$4:$AY$138,LS_current!AS$148, FALSE))/2)</f>
        <v>0</v>
      </c>
      <c r="CQ92" s="180">
        <f t="array" ref="CQ92">IF($BT92=0, INDEX(LS_current!$D$4:$AY$138, MATCH('Staging Table'!$A92, LS_current!$B$4:$B$138, 0), MATCH(CQ$4&amp;CQ$5, LS_current!$D$2:$AY$2&amp;LS_current!$D$3:$AY$3, 0)),SUM(VLOOKUP($A92, LS_current!$B$4:$AY$138, LS_current!V$148, FALSE), VLOOKUP($A92, LS_current!$B$4:$AY$138,LS_current!AT$148, FALSE))/2)</f>
        <v>0</v>
      </c>
      <c r="CR92" s="180">
        <f t="array" ref="CR92">IF($BT92=0, INDEX(LS_current!$D$4:$AY$138, MATCH('Staging Table'!$A92, LS_current!$B$4:$B$138, 0), MATCH(CR$4&amp;CR$5, LS_current!$D$2:$AY$2&amp;LS_current!$D$3:$AY$3, 0)),SUM(VLOOKUP($A92, LS_current!$B$4:$AY$138, LS_current!W$148, FALSE), VLOOKUP($A92, LS_current!$B$4:$AY$138,LS_current!AU$148, FALSE))/2)</f>
        <v>0</v>
      </c>
      <c r="CS92" s="180">
        <f t="array" ref="CS92">IF($BT92=0, INDEX(LS_current!$D$4:$AY$138, MATCH('Staging Table'!$A92, LS_current!$B$4:$B$138, 0), MATCH(CS$4&amp;CS$5, LS_current!$D$2:$AY$2&amp;LS_current!$D$3:$AY$3, 0)),SUM(VLOOKUP($A92, LS_current!$B$4:$AY$138, LS_current!X$148, FALSE), VLOOKUP($A92, LS_current!$B$4:$AY$138,LS_current!AV$148, FALSE))/2)</f>
        <v>0</v>
      </c>
      <c r="CT92" s="180">
        <f t="array" ref="CT92">IF($BT92=0, INDEX(LS_current!$D$4:$AY$138, MATCH('Staging Table'!$A92, LS_current!$B$4:$B$138, 0), MATCH(CT$4&amp;CT$5, LS_current!$D$2:$AY$2&amp;LS_current!$D$3:$AY$3, 0)),SUM(VLOOKUP($A92, LS_current!$B$4:$AY$138, LS_current!Y$148, FALSE), VLOOKUP($A92, LS_current!$B$4:$AY$138,LS_current!AW$148, FALSE))/2)</f>
        <v>0</v>
      </c>
      <c r="CU92" s="180">
        <f t="array" ref="CU92">IF($BT92=0, INDEX(LS_current!$D$4:$AY$138, MATCH('Staging Table'!$A92, LS_current!$B$4:$B$138, 0), MATCH(CU$4&amp;CU$5, LS_current!$D$2:$AY$2&amp;LS_current!$D$3:$AY$3, 0)),SUM(VLOOKUP($A92, LS_current!$B$4:$AY$138, LS_current!Z$148, FALSE), VLOOKUP($A92, LS_current!$B$4:$AY$138,LS_current!AX$148, FALSE))/2)</f>
        <v>0</v>
      </c>
      <c r="CV92" s="180">
        <f t="array" ref="CV92">IF($BT92=0, INDEX(LS_current!$D$4:$AY$138, MATCH('Staging Table'!$A92, LS_current!$B$4:$B$138, 0), MATCH(CV$4&amp;CV$5, LS_current!$D$2:$AY$2&amp;LS_current!$D$3:$AY$3, 0)),SUM(VLOOKUP($A92, LS_current!$B$4:$AY$138, LS_current!AA$148, FALSE), VLOOKUP($A92, LS_current!$B$4:$AY$138,LS_current!AY$148, FALSE))/2)</f>
        <v>0</v>
      </c>
      <c r="CW92" s="182">
        <f t="array" ref="CW92">INDEX(Demand_current!$D$4:$AY$138, MATCH($A92, Demand_current!$B$4:$B$138, 0), MATCH(CW$4&amp;CW$5,Demand_current!$D$2:$AY$2&amp;Demand_current!$D$3:$AY$3, 0))/1000</f>
        <v>0</v>
      </c>
      <c r="CX92" s="182">
        <f t="array" ref="CX92">INDEX(Demand_current!$D$4:$AY$138, MATCH($A92, Demand_current!$B$4:$B$138, 0), MATCH(CX$4&amp;CX$5,Demand_current!$D$2:$AY$2&amp;Demand_current!$D$3:$AY$3, 0))/1000</f>
        <v>0</v>
      </c>
      <c r="CY92" s="182">
        <f t="array" ref="CY92">INDEX(Demand_current!$D$4:$AY$138, MATCH($A92, Demand_current!$B$4:$B$138, 0), MATCH(CY$4&amp;CY$5,Demand_current!$D$2:$AY$2&amp;Demand_current!$D$3:$AY$3, 0))/1000</f>
        <v>0</v>
      </c>
      <c r="CZ92" s="182">
        <f t="array" ref="CZ92">INDEX(Demand_current!$D$4:$AY$138, MATCH($A92, Demand_current!$B$4:$B$138, 0), MATCH(CZ$4&amp;CZ$5,Demand_current!$D$2:$AY$2&amp;Demand_current!$D$3:$AY$3, 0))/1000</f>
        <v>0</v>
      </c>
      <c r="DA92" s="182">
        <f t="array" ref="DA92">INDEX(Demand_current!$D$4:$AY$138, MATCH($A92, Demand_current!$B$4:$B$138, 0), MATCH(DA$4&amp;DA$5,Demand_current!$D$2:$AY$2&amp;Demand_current!$D$3:$AY$3, 0))/1000</f>
        <v>0</v>
      </c>
      <c r="DB92" s="182">
        <f t="array" ref="DB92">INDEX(Demand_current!$D$4:$AY$138, MATCH($A92, Demand_current!$B$4:$B$138, 0), MATCH(DB$4&amp;DB$5,Demand_current!$D$2:$AY$2&amp;Demand_current!$D$3:$AY$3, 0))/1000</f>
        <v>0</v>
      </c>
      <c r="DC92" s="182">
        <f t="array" ref="DC92">INDEX(Demand_current!$D$4:$AY$138, MATCH($A92, Demand_current!$B$4:$B$138, 0), MATCH(DC$4&amp;DC$5,Demand_current!$D$2:$AY$2&amp;Demand_current!$D$3:$AY$3, 0))/1000</f>
        <v>0</v>
      </c>
      <c r="DD92" s="182">
        <f t="array" ref="DD92">INDEX(Demand_current!$D$4:$AY$138, MATCH($A92, Demand_current!$B$4:$B$138, 0), MATCH(DD$4&amp;DD$5,Demand_current!$D$2:$AY$2&amp;Demand_current!$D$3:$AY$3, 0))/1000</f>
        <v>0</v>
      </c>
      <c r="DE92" s="182">
        <f t="array" ref="DE92">INDEX(Demand_current!$D$4:$AY$138, MATCH($A92, Demand_current!$B$4:$B$138, 0), MATCH(DE$4&amp;DE$5,Demand_current!$D$2:$AY$2&amp;Demand_current!$D$3:$AY$3, 0))/1000</f>
        <v>0</v>
      </c>
      <c r="DF92" s="182">
        <f t="array" ref="DF92">INDEX(Demand_current!$D$4:$AY$138, MATCH($A92, Demand_current!$B$4:$B$138, 0), MATCH(DF$4&amp;DF$5,Demand_current!$D$2:$AY$2&amp;Demand_current!$D$3:$AY$3, 0))/1000</f>
        <v>0</v>
      </c>
      <c r="DG92" s="182">
        <f t="array" ref="DG92">INDEX(Demand_current!$D$4:$AY$138, MATCH($A92, Demand_current!$B$4:$B$138, 0), MATCH(DG$4&amp;DG$5,Demand_current!$D$2:$AY$2&amp;Demand_current!$D$3:$AY$3, 0))/1000</f>
        <v>0</v>
      </c>
      <c r="DH92" s="182">
        <f t="array" ref="DH92">INDEX(Demand_current!$D$4:$AY$138, MATCH($A92, Demand_current!$B$4:$B$138, 0), MATCH(DH$4&amp;DH$5,Demand_current!$D$2:$AY$2&amp;Demand_current!$D$3:$AY$3, 0))/1000</f>
        <v>0</v>
      </c>
      <c r="DI92" s="180">
        <f>$BS92*(VLOOKUP(DI$4, Rates_current!$G$6:$Q$29, 10, FALSE)+VLOOKUP(DI$4, Rates_current!$G$6:$Q$29, 11, FALSE))</f>
        <v>21458.945332869749</v>
      </c>
      <c r="DJ92" s="180">
        <f>$BS92*(VLOOKUP(DJ$4, Rates_current!$G$6:$Q$29, 10, FALSE)+VLOOKUP(DJ$4, Rates_current!$G$6:$Q$29, 11, FALSE))</f>
        <v>27367.231450453502</v>
      </c>
      <c r="DK92" s="180">
        <f>$BS92*(VLOOKUP(DK$4, Rates_current!$G$6:$Q$29, 10, FALSE)+VLOOKUP(DK$4, Rates_current!$G$6:$Q$29, 11, FALSE))</f>
        <v>29534.657646127504</v>
      </c>
      <c r="DL92" s="180">
        <f>$BS92*(VLOOKUP(DL$4, Rates_current!$G$6:$Q$29, 10, FALSE)+VLOOKUP(DL$4, Rates_current!$G$6:$Q$29, 11, FALSE))</f>
        <v>30691.074992856</v>
      </c>
      <c r="DM92" s="180">
        <f>$BS92*(VLOOKUP(DM$4, Rates_current!$G$6:$Q$29, 10, FALSE)+VLOOKUP(DM$4, Rates_current!$G$6:$Q$29, 11, FALSE))</f>
        <v>26398.415352986998</v>
      </c>
      <c r="DN92" s="180">
        <f>$BS92*(VLOOKUP(DN$4, Rates_current!$G$6:$Q$29, 10, FALSE)+VLOOKUP(DN$4, Rates_current!$G$6:$Q$29, 11, FALSE))</f>
        <v>28821.8429420715</v>
      </c>
      <c r="DO92" s="180">
        <f>$BS92*(VLOOKUP(DO$4, Rates_current!$G$6:$Q$29, 10, FALSE)+VLOOKUP(DO$4, Rates_current!$G$6:$Q$29, 11, FALSE))</f>
        <v>22749.987933445122</v>
      </c>
      <c r="DP92" s="180">
        <f>$BS92*(VLOOKUP(DP$4, Rates_current!$G$6:$Q$29, 10, FALSE)+VLOOKUP(DP$4, Rates_current!$G$6:$Q$29, 11, FALSE))</f>
        <v>28224.408672062251</v>
      </c>
      <c r="DQ92" s="180">
        <f>$BS92*(VLOOKUP(DQ$4, Rates_current!$G$6:$Q$29, 10, FALSE)+VLOOKUP(DQ$4, Rates_current!$G$6:$Q$29, 11, FALSE))</f>
        <v>28836.807880313248</v>
      </c>
      <c r="DR92" s="180">
        <f>$BS92*(VLOOKUP(DR$4, Rates_current!$G$6:$Q$29, 10, FALSE)+VLOOKUP(DR$4, Rates_current!$G$6:$Q$29, 11, FALSE))</f>
        <v>25034.503712364749</v>
      </c>
      <c r="DS92" s="180">
        <f>$BS92*(VLOOKUP(DS$4, Rates_current!$G$6:$Q$29, 10, FALSE)+VLOOKUP(DS$4, Rates_current!$G$6:$Q$29, 11, FALSE))</f>
        <v>24201.710700491778</v>
      </c>
      <c r="DT92" s="180">
        <f>$BS92*(VLOOKUP(DT$4, Rates_current!$G$6:$Q$29, 10, FALSE)+VLOOKUP(DT$4, Rates_current!$G$6:$Q$29, 11, FALSE))</f>
        <v>22270.260478197</v>
      </c>
      <c r="DU92" s="402">
        <f>IF(D92=0,IF(C92=0,MAX(0,DW92 - (VLOOKUP($A92,TOCA_current!$A$2:$AI$137,MATCH("RHWM 2024",TOCA_current!$A$2:$AI$2,0),FALSE)*$BS$2)), 0),0)</f>
        <v>0</v>
      </c>
      <c r="DV92" s="403">
        <f>MIN(VLOOKUP($A92,TOCA_current!$A$2:$AI$137,MATCH("TRL - NLSL - Existing Resource "&amp;$BS$1,TOCA_current!$A$2:$AI$2,0),FALSE)*$BS$2, VLOOKUP($A92,TOCA_current!$A$2:$AI$137,MATCH("RHWM 2024",TOCA_current!$A$2:$AI$2,0),FALSE)*$BS$2)</f>
        <v>315591.55199999997</v>
      </c>
      <c r="DW92" s="403">
        <f>SUM(BY92:CV92)+(BS92*RT1SC!$C$4*$BS$2)</f>
        <v>315589.84854083997</v>
      </c>
      <c r="DX92" s="403">
        <f>VLOOKUP($A92,TOCA_current!$A$2:$AI$137,MATCH("Above RHWM Not Served with LS "&amp;$BS$1,TOCA_current!$A$2:$AI$2,0),FALSE)*$BS$2</f>
        <v>31675.103999999999</v>
      </c>
      <c r="DY92" s="403">
        <f t="shared" si="32"/>
        <v>-1.7034591599949636</v>
      </c>
      <c r="DZ92" s="403">
        <f>(VLOOKUP($A92,TOCA_current!$A$2:$AI$137,MATCH("RHWM 2024",TOCA_current!$A$2:$AI$2,0),FALSE)*$BS$2) - $DV92</f>
        <v>0</v>
      </c>
      <c r="EA92" s="403">
        <f t="shared" si="33"/>
        <v>0</v>
      </c>
      <c r="EB92" s="403">
        <f t="shared" si="34"/>
        <v>0</v>
      </c>
      <c r="EC92" s="403">
        <f t="shared" si="35"/>
        <v>0</v>
      </c>
      <c r="ED92" s="403">
        <f t="shared" si="36"/>
        <v>0</v>
      </c>
    </row>
    <row r="93" spans="1:134">
      <c r="A93" s="123">
        <v>10279</v>
      </c>
      <c r="B93" s="124" t="s">
        <v>94</v>
      </c>
      <c r="C93" s="232">
        <f>VLOOKUP(A93, TOCA_current!$A$3:$D$137, 4, FALSE)</f>
        <v>0</v>
      </c>
      <c r="D93" s="191">
        <v>0</v>
      </c>
      <c r="E93" s="107">
        <f>VLOOKUP($A93,TOCA_previous!$A$2:$AI$137,MATCH(E$4,TOCA_previous!$A$2:$AI$2,0),FALSE)</f>
        <v>9.1710000000000003E-3</v>
      </c>
      <c r="F93" s="108">
        <f>VLOOKUP($A93,TOCA_previous!$A$2:$AI$137,MATCH(F$4,TOCA_previous!$A$2:$AI$2,0),FALSE)</f>
        <v>9.1710000000000003E-3</v>
      </c>
      <c r="G93" s="108">
        <f t="shared" si="24"/>
        <v>0</v>
      </c>
      <c r="H93" s="108">
        <f>VLOOKUP($A93,TOCA_previous!$A$2:$AI$137,MATCH(H$4,TOCA_previous!$A$2:$AI$2,0),FALSE)</f>
        <v>0</v>
      </c>
      <c r="I93" s="108">
        <f t="shared" si="25"/>
        <v>0</v>
      </c>
      <c r="J93" s="108">
        <f t="shared" si="26"/>
        <v>0</v>
      </c>
      <c r="K93" s="179">
        <f>VLOOKUP(A93, IRD!$A$5:$C$139, 3, FALSE)</f>
        <v>0</v>
      </c>
      <c r="L93" s="180">
        <f t="array" ref="L93">IF($G93=0, INDEX(LS_previous!$D$4:$AY$138, MATCH('Staging Table'!$A93, LS_previous!$B$4:$B$138, 0), MATCH(L$4&amp;L$5, LS_previous!$D$2:$AY$2&amp;LS_previous!$D$3:$AY$3, 0)),SUM(VLOOKUP($A93, LS_previous!$B$4:$AY$138, LS_previous!D$149, FALSE), VLOOKUP('Staging Table'!$A93, LS_previous!$B$4:$AY$138,LS_previous!AB$149, FALSE))/2)</f>
        <v>3152.0818694638911</v>
      </c>
      <c r="M93" s="180">
        <f t="array" ref="M93">IF($G93=0, INDEX(LS_previous!$D$4:$AY$138, MATCH('Staging Table'!$A93, LS_previous!$B$4:$B$138, 0), MATCH(M$4&amp;M$5, LS_previous!$D$2:$AY$2&amp;LS_previous!$D$3:$AY$3, 0)),SUM(VLOOKUP($A93, LS_previous!$B$4:$AY$138, LS_previous!E$149, FALSE), VLOOKUP('Staging Table'!$A93, LS_previous!$B$4:$AY$138,LS_previous!AC$149, FALSE))/2)</f>
        <v>5592.8145038128841</v>
      </c>
      <c r="N93" s="180">
        <f t="array" ref="N93">IF($G93=0, INDEX(LS_previous!$D$4:$AY$138, MATCH('Staging Table'!$A93, LS_previous!$B$4:$B$138, 0), MATCH(N$4&amp;N$5, LS_previous!$D$2:$AY$2&amp;LS_previous!$D$3:$AY$3, 0)),SUM(VLOOKUP($A93, LS_previous!$B$4:$AY$138, LS_previous!F$149, FALSE), VLOOKUP('Staging Table'!$A93, LS_previous!$B$4:$AY$138,LS_previous!AD$149, FALSE))/2)</f>
        <v>-88.992060146549193</v>
      </c>
      <c r="O93" s="180">
        <f t="array" ref="O93">IF($G93=0, INDEX(LS_previous!$D$4:$AY$138, MATCH('Staging Table'!$A93, LS_previous!$B$4:$B$138, 0), MATCH(O$4&amp;O$5, LS_previous!$D$2:$AY$2&amp;LS_previous!$D$3:$AY$3, 0)),SUM(VLOOKUP($A93, LS_previous!$B$4:$AY$138, LS_previous!G$149, FALSE), VLOOKUP('Staging Table'!$A93, LS_previous!$B$4:$AY$138,LS_previous!AE$149, FALSE))/2)</f>
        <v>1092.3019519866139</v>
      </c>
      <c r="P93" s="180">
        <f t="array" ref="P93">IF($G93=0, INDEX(LS_previous!$D$4:$AY$138, MATCH('Staging Table'!$A93, LS_previous!$B$4:$B$138, 0), MATCH(P$4&amp;P$5, LS_previous!$D$2:$AY$2&amp;LS_previous!$D$3:$AY$3, 0)),SUM(VLOOKUP($A93, LS_previous!$B$4:$AY$138, LS_previous!H$149, FALSE), VLOOKUP('Staging Table'!$A93, LS_previous!$B$4:$AY$138,LS_previous!AF$149, FALSE))/2)</f>
        <v>2111.2405734671556</v>
      </c>
      <c r="Q93" s="180">
        <f t="array" ref="Q93">IF($G93=0, INDEX(LS_previous!$D$4:$AY$138, MATCH('Staging Table'!$A93, LS_previous!$B$4:$B$138, 0), MATCH(Q$4&amp;Q$5, LS_previous!$D$2:$AY$2&amp;LS_previous!$D$3:$AY$3, 0)),SUM(VLOOKUP($A93, LS_previous!$B$4:$AY$138, LS_previous!I$149, FALSE), VLOOKUP('Staging Table'!$A93, LS_previous!$B$4:$AY$138,LS_previous!AG$149, FALSE))/2)</f>
        <v>7300.0929936587199</v>
      </c>
      <c r="R93" s="180">
        <f t="array" ref="R93">IF($G93=0, INDEX(LS_previous!$D$4:$AY$138, MATCH('Staging Table'!$A93, LS_previous!$B$4:$B$138, 0), MATCH(R$4&amp;R$5, LS_previous!$D$2:$AY$2&amp;LS_previous!$D$3:$AY$3, 0)),SUM(VLOOKUP($A93, LS_previous!$B$4:$AY$138, LS_previous!J$149, FALSE), VLOOKUP('Staging Table'!$A93, LS_previous!$B$4:$AY$138,LS_previous!AH$149, FALSE))/2)</f>
        <v>14640.836592944001</v>
      </c>
      <c r="S93" s="180">
        <f t="array" ref="S93">IF($G93=0, INDEX(LS_previous!$D$4:$AY$138, MATCH('Staging Table'!$A93, LS_previous!$B$4:$B$138, 0), MATCH(S$4&amp;S$5, LS_previous!$D$2:$AY$2&amp;LS_previous!$D$3:$AY$3, 0)),SUM(VLOOKUP($A93, LS_previous!$B$4:$AY$138, LS_previous!K$149, FALSE), VLOOKUP('Staging Table'!$A93, LS_previous!$B$4:$AY$138,LS_previous!AI$149, FALSE))/2)</f>
        <v>5619.3287650947241</v>
      </c>
      <c r="T93" s="180">
        <f t="array" ref="T93">IF($G93=0, INDEX(LS_previous!$D$4:$AY$138, MATCH('Staging Table'!$A93, LS_previous!$B$4:$B$138, 0), MATCH(T$4&amp;T$5, LS_previous!$D$2:$AY$2&amp;LS_previous!$D$3:$AY$3, 0)),SUM(VLOOKUP($A93, LS_previous!$B$4:$AY$138, LS_previous!L$149, FALSE), VLOOKUP('Staging Table'!$A93, LS_previous!$B$4:$AY$138,LS_previous!AJ$149, FALSE))/2)</f>
        <v>10279.763302749125</v>
      </c>
      <c r="U93" s="180">
        <f t="array" ref="U93">IF($G93=0, INDEX(LS_previous!$D$4:$AY$138, MATCH('Staging Table'!$A93, LS_previous!$B$4:$B$138, 0), MATCH(U$4&amp;U$5, LS_previous!$D$2:$AY$2&amp;LS_previous!$D$3:$AY$3, 0)),SUM(VLOOKUP($A93, LS_previous!$B$4:$AY$138, LS_previous!M$149, FALSE), VLOOKUP('Staging Table'!$A93, LS_previous!$B$4:$AY$138,LS_previous!AK$149, FALSE))/2)</f>
        <v>6326.8304783332842</v>
      </c>
      <c r="V93" s="180">
        <f t="array" ref="V93">IF($G93=0, INDEX(LS_previous!$D$4:$AY$138, MATCH('Staging Table'!$A93, LS_previous!$B$4:$B$138, 0), MATCH(V$4&amp;V$5, LS_previous!$D$2:$AY$2&amp;LS_previous!$D$3:$AY$3, 0)),SUM(VLOOKUP($A93, LS_previous!$B$4:$AY$138, LS_previous!N$149, FALSE), VLOOKUP('Staging Table'!$A93, LS_previous!$B$4:$AY$138,LS_previous!AL$149, FALSE))/2)</f>
        <v>4112.1057378533988</v>
      </c>
      <c r="W93" s="180">
        <f t="array" ref="W93">IF($G93=0, INDEX(LS_previous!$D$4:$AY$138, MATCH('Staging Table'!$A93, LS_previous!$B$4:$B$138, 0), MATCH(W$4&amp;W$5, LS_previous!$D$2:$AY$2&amp;LS_previous!$D$3:$AY$3, 0)),SUM(VLOOKUP($A93, LS_previous!$B$4:$AY$138, LS_previous!O$149, FALSE), VLOOKUP('Staging Table'!$A93, LS_previous!$B$4:$AY$138,LS_previous!AM$149, FALSE))/2)</f>
        <v>3001.6778939618489</v>
      </c>
      <c r="X93" s="180">
        <f t="array" ref="X93">IF($G93=0, INDEX(LS_previous!$D$4:$AY$138, MATCH('Staging Table'!$A93, LS_previous!$B$4:$B$138, 0), MATCH(X$4&amp;X$5, LS_previous!$D$2:$AY$2&amp;LS_previous!$D$3:$AY$3, 0)),SUM(VLOOKUP($A93, LS_previous!$B$4:$AY$138, LS_previous!P$149, FALSE), VLOOKUP('Staging Table'!$A93, LS_previous!$B$4:$AY$138,LS_previous!AN$149, FALSE))/2)</f>
        <v>9837.1873593615492</v>
      </c>
      <c r="Y93" s="180">
        <f t="array" ref="Y93">IF($G93=0, INDEX(LS_previous!$D$4:$AY$138, MATCH('Staging Table'!$A93, LS_previous!$B$4:$B$138, 0), MATCH(Y$4&amp;Y$5, LS_previous!$D$2:$AY$2&amp;LS_previous!$D$3:$AY$3, 0)),SUM(VLOOKUP($A93, LS_previous!$B$4:$AY$138, LS_previous!Q$149, FALSE), VLOOKUP('Staging Table'!$A93, LS_previous!$B$4:$AY$138,LS_previous!AO$149, FALSE))/2)</f>
        <v>1196.958629120385</v>
      </c>
      <c r="Z93" s="180">
        <f t="array" ref="Z93">IF($G93=0, INDEX(LS_previous!$D$4:$AY$138, MATCH('Staging Table'!$A93, LS_previous!$B$4:$B$138, 0), MATCH(Z$4&amp;Z$5, LS_previous!$D$2:$AY$2&amp;LS_previous!$D$3:$AY$3, 0)),SUM(VLOOKUP($A93, LS_previous!$B$4:$AY$138, LS_previous!R$149, FALSE), VLOOKUP('Staging Table'!$A93, LS_previous!$B$4:$AY$138,LS_previous!AP$149, FALSE))/2)</f>
        <v>-2136.0827814512813</v>
      </c>
      <c r="AA93" s="180">
        <f t="array" ref="AA93">IF($G93=0, INDEX(LS_previous!$D$4:$AY$138, MATCH('Staging Table'!$A93, LS_previous!$B$4:$B$138, 0), MATCH(AA$4&amp;AA$5, LS_previous!$D$2:$AY$2&amp;LS_previous!$D$3:$AY$3, 0)),SUM(VLOOKUP($A93, LS_previous!$B$4:$AY$138, LS_previous!S$149, FALSE), VLOOKUP('Staging Table'!$A93, LS_previous!$B$4:$AY$138,LS_previous!AQ$149, FALSE))/2)</f>
        <v>292.6245489084049</v>
      </c>
      <c r="AB93" s="180">
        <f t="array" ref="AB93">IF($G93=0, INDEX(LS_previous!$D$4:$AY$138, MATCH('Staging Table'!$A93, LS_previous!$B$4:$B$138, 0), MATCH(AB$4&amp;AB$5, LS_previous!$D$2:$AY$2&amp;LS_previous!$D$3:$AY$3, 0)),SUM(VLOOKUP($A93, LS_previous!$B$4:$AY$138, LS_previous!T$149, FALSE), VLOOKUP('Staging Table'!$A93, LS_previous!$B$4:$AY$138,LS_previous!AR$149, FALSE))/2)</f>
        <v>-9515.4965076923472</v>
      </c>
      <c r="AC93" s="180">
        <f t="array" ref="AC93">IF($G93=0, INDEX(LS_previous!$D$4:$AY$138, MATCH('Staging Table'!$A93, LS_previous!$B$4:$B$138, 0), MATCH(AC$4&amp;AC$5, LS_previous!$D$2:$AY$2&amp;LS_previous!$D$3:$AY$3, 0)),SUM(VLOOKUP($A93, LS_previous!$B$4:$AY$138, LS_previous!U$149, FALSE), VLOOKUP('Staging Table'!$A93, LS_previous!$B$4:$AY$138,LS_previous!AS$149, FALSE))/2)</f>
        <v>4916.089442424829</v>
      </c>
      <c r="AD93" s="180">
        <f t="array" ref="AD93">IF($G93=0, INDEX(LS_previous!$D$4:$AY$138, MATCH('Staging Table'!$A93, LS_previous!$B$4:$B$138, 0), MATCH(AD$4&amp;AD$5, LS_previous!$D$2:$AY$2&amp;LS_previous!$D$3:$AY$3, 0)),SUM(VLOOKUP($A93, LS_previous!$B$4:$AY$138, LS_previous!V$149, FALSE), VLOOKUP('Staging Table'!$A93, LS_previous!$B$4:$AY$138,LS_previous!AT$149, FALSE))/2)</f>
        <v>-123.9659759340575</v>
      </c>
      <c r="AE93" s="180">
        <f t="array" ref="AE93">IF($G93=0, INDEX(LS_previous!$D$4:$AY$138, MATCH('Staging Table'!$A93, LS_previous!$B$4:$B$138, 0), MATCH(AE$4&amp;AE$5, LS_previous!$D$2:$AY$2&amp;LS_previous!$D$3:$AY$3, 0)),SUM(VLOOKUP($A93, LS_previous!$B$4:$AY$138, LS_previous!W$149, FALSE), VLOOKUP('Staging Table'!$A93, LS_previous!$B$4:$AY$138,LS_previous!AU$149, FALSE))/2)</f>
        <v>1438.1547901026588</v>
      </c>
      <c r="AF93" s="180">
        <f t="array" ref="AF93">IF($G93=0, INDEX(LS_previous!$D$4:$AY$138, MATCH('Staging Table'!$A93, LS_previous!$B$4:$B$138, 0), MATCH(AF$4&amp;AF$5, LS_previous!$D$2:$AY$2&amp;LS_previous!$D$3:$AY$3, 0)),SUM(VLOOKUP($A93, LS_previous!$B$4:$AY$138, LS_previous!X$149, FALSE), VLOOKUP('Staging Table'!$A93, LS_previous!$B$4:$AY$138,LS_previous!AV$149, FALSE))/2)</f>
        <v>2592.2541671299441</v>
      </c>
      <c r="AG93" s="180">
        <f t="array" ref="AG93">IF($G93=0, INDEX(LS_previous!$D$4:$AY$138, MATCH('Staging Table'!$A93, LS_previous!$B$4:$B$138, 0), MATCH(AG$4&amp;AG$5, LS_previous!$D$2:$AY$2&amp;LS_previous!$D$3:$AY$3, 0)),SUM(VLOOKUP($A93, LS_previous!$B$4:$AY$138, LS_previous!Y$149, FALSE), VLOOKUP('Staging Table'!$A93, LS_previous!$B$4:$AY$138,LS_previous!AW$149, FALSE))/2)</f>
        <v>155.20954296530363</v>
      </c>
      <c r="AH93" s="180">
        <f t="array" ref="AH93">IF($G93=0, INDEX(LS_previous!$D$4:$AY$138, MATCH('Staging Table'!$A93, LS_previous!$B$4:$B$138, 0), MATCH(AH$4&amp;AH$5, LS_previous!$D$2:$AY$2&amp;LS_previous!$D$3:$AY$3, 0)),SUM(VLOOKUP($A93, LS_previous!$B$4:$AY$138, LS_previous!Z$149, FALSE), VLOOKUP('Staging Table'!$A93, LS_previous!$B$4:$AY$138,LS_previous!AX$149, FALSE))/2)</f>
        <v>-2447.5398575254112</v>
      </c>
      <c r="AI93" s="180">
        <f t="array" ref="AI93">IF($G93=0, INDEX(LS_previous!$D$4:$AY$138, MATCH('Staging Table'!$A93, LS_previous!$B$4:$B$138, 0), MATCH(AI$4&amp;AI$5, LS_previous!$D$2:$AY$2&amp;LS_previous!$D$3:$AY$3, 0)),SUM(VLOOKUP($A93, LS_previous!$B$4:$AY$138, LS_previous!AA$149, FALSE), VLOOKUP('Staging Table'!$A93, LS_previous!$B$4:$AY$138,LS_previous!AY$149, FALSE))/2)</f>
        <v>4170.7253101466104</v>
      </c>
      <c r="AJ93" s="298">
        <f t="array" ref="AJ93">INDEX(Demand_previous!$D$4:$AY$138, MATCH('Staging Table'!$A93, Demand_previous!$B$4:$B$138, 0), MATCH(AJ$4&amp;AJ$5,Demand_previous!$D$2:$AY$2&amp;Demand_previous!$D$3:$AY$3, 0))/1000</f>
        <v>0</v>
      </c>
      <c r="AK93" s="298">
        <f t="array" ref="AK93">INDEX(Demand_previous!$D$4:$AY$138, MATCH('Staging Table'!$A93, Demand_previous!$B$4:$B$138, 0), MATCH(AK$4&amp;AK$5,Demand_previous!$D$2:$AY$2&amp;Demand_previous!$D$3:$AY$3, 0))/1000</f>
        <v>0</v>
      </c>
      <c r="AL93" s="298">
        <f t="array" ref="AL93">INDEX(Demand_previous!$D$4:$AY$138, MATCH('Staging Table'!$A93, Demand_previous!$B$4:$B$138, 0), MATCH(AL$4&amp;AL$5,Demand_previous!$D$2:$AY$2&amp;Demand_previous!$D$3:$AY$3, 0))/1000</f>
        <v>0</v>
      </c>
      <c r="AM93" s="298">
        <f t="array" ref="AM93">INDEX(Demand_previous!$D$4:$AY$138, MATCH('Staging Table'!$A93, Demand_previous!$B$4:$B$138, 0), MATCH(AM$4&amp;AM$5,Demand_previous!$D$2:$AY$2&amp;Demand_previous!$D$3:$AY$3, 0))/1000</f>
        <v>0</v>
      </c>
      <c r="AN93" s="298">
        <f t="array" ref="AN93">INDEX(Demand_previous!$D$4:$AY$138, MATCH('Staging Table'!$A93, Demand_previous!$B$4:$B$138, 0), MATCH(AN$4&amp;AN$5,Demand_previous!$D$2:$AY$2&amp;Demand_previous!$D$3:$AY$3, 0))/1000</f>
        <v>0</v>
      </c>
      <c r="AO93" s="298">
        <f t="array" ref="AO93">INDEX(Demand_previous!$D$4:$AY$138, MATCH('Staging Table'!$A93, Demand_previous!$B$4:$B$138, 0), MATCH(AO$4&amp;AO$5,Demand_previous!$D$2:$AY$2&amp;Demand_previous!$D$3:$AY$3, 0))/1000</f>
        <v>0</v>
      </c>
      <c r="AP93" s="298">
        <f t="array" ref="AP93">INDEX(Demand_previous!$D$4:$AY$138, MATCH('Staging Table'!$A93, Demand_previous!$B$4:$B$138, 0), MATCH(AP$4&amp;AP$5,Demand_previous!$D$2:$AY$2&amp;Demand_previous!$D$3:$AY$3, 0))/1000</f>
        <v>0</v>
      </c>
      <c r="AQ93" s="298">
        <f t="array" ref="AQ93">INDEX(Demand_previous!$D$4:$AY$138, MATCH('Staging Table'!$A93, Demand_previous!$B$4:$B$138, 0), MATCH(AQ$4&amp;AQ$5,Demand_previous!$D$2:$AY$2&amp;Demand_previous!$D$3:$AY$3, 0))/1000</f>
        <v>0</v>
      </c>
      <c r="AR93" s="298">
        <f t="array" ref="AR93">INDEX(Demand_previous!$D$4:$AY$138, MATCH('Staging Table'!$A93, Demand_previous!$B$4:$B$138, 0), MATCH(AR$4&amp;AR$5,Demand_previous!$D$2:$AY$2&amp;Demand_previous!$D$3:$AY$3, 0))/1000</f>
        <v>0</v>
      </c>
      <c r="AS93" s="298">
        <f t="array" ref="AS93">INDEX(Demand_previous!$D$4:$AY$138, MATCH('Staging Table'!$A93, Demand_previous!$B$4:$B$138, 0), MATCH(AS$4&amp;AS$5,Demand_previous!$D$2:$AY$2&amp;Demand_previous!$D$3:$AY$3, 0))/1000</f>
        <v>0</v>
      </c>
      <c r="AT93" s="298">
        <f t="array" ref="AT93">INDEX(Demand_previous!$D$4:$AY$138, MATCH('Staging Table'!$A93, Demand_previous!$B$4:$B$138, 0), MATCH(AT$4&amp;AT$5,Demand_previous!$D$2:$AY$2&amp;Demand_previous!$D$3:$AY$3, 0))/1000</f>
        <v>0</v>
      </c>
      <c r="AU93" s="298">
        <f t="array" ref="AU93">INDEX(Demand_previous!$D$4:$AY$138, MATCH('Staging Table'!$A93, Demand_previous!$B$4:$B$138, 0), MATCH(AU$4&amp;AU$5,Demand_previous!$D$2:$AY$2&amp;Demand_previous!$D$3:$AY$3, 0))/1000</f>
        <v>0</v>
      </c>
      <c r="AV93" s="180">
        <f>$F93*(VLOOKUP(AV$4, Rates_previous!$G$6:$Q$29, 10, FALSE)+VLOOKUP(AV$4, Rates_previous!$G$6:$Q$29, 11, FALSE))</f>
        <v>41764.040862817477</v>
      </c>
      <c r="AW93" s="180">
        <f>$F93*(VLOOKUP(AW$4, Rates_previous!$G$6:$Q$29, 10, FALSE)+VLOOKUP(AW$4, Rates_previous!$G$6:$Q$29, 11, FALSE))</f>
        <v>52874.791453674487</v>
      </c>
      <c r="AX93" s="180">
        <f>$F93*(VLOOKUP(AX$4, Rates_previous!$G$6:$Q$29, 10, FALSE)+VLOOKUP(AX$4, Rates_previous!$G$6:$Q$29, 11, FALSE))</f>
        <v>51753.857337276815</v>
      </c>
      <c r="AY93" s="180">
        <f>$F93*(VLOOKUP(AY$4, Rates_previous!$G$6:$Q$29, 10, FALSE)+VLOOKUP(AY$4, Rates_previous!$G$6:$Q$29, 11, FALSE))</f>
        <v>42746.485335989695</v>
      </c>
      <c r="AZ93" s="180">
        <f>$F93*(VLOOKUP(AZ$4, Rates_previous!$G$6:$Q$29, 10, FALSE)+VLOOKUP(AZ$4, Rates_previous!$G$6:$Q$29, 11, FALSE))</f>
        <v>37049.315719193444</v>
      </c>
      <c r="BA93" s="180">
        <f>$F93*(VLOOKUP(BA$4, Rates_previous!$G$6:$Q$29, 10, FALSE)+VLOOKUP(BA$4, Rates_previous!$G$6:$Q$29, 11, FALSE))</f>
        <v>44229.401257801452</v>
      </c>
      <c r="BB93" s="180">
        <f>$F93*(VLOOKUP(BB$4, Rates_previous!$G$6:$Q$29, 10, FALSE)+VLOOKUP(BB$4, Rates_previous!$G$6:$Q$29, 11, FALSE))</f>
        <v>34338.241865172931</v>
      </c>
      <c r="BC93" s="180">
        <f>$F93*(VLOOKUP(BC$4, Rates_previous!$G$6:$Q$29, 10, FALSE)+VLOOKUP(BC$4, Rates_previous!$G$6:$Q$29, 11, FALSE))</f>
        <v>47575.886798773849</v>
      </c>
      <c r="BD93" s="180">
        <f>$F93*(VLOOKUP(BD$4, Rates_previous!$G$6:$Q$29, 10, FALSE)+VLOOKUP(BD$4, Rates_previous!$G$6:$Q$29, 11, FALSE))</f>
        <v>50835.831243180808</v>
      </c>
      <c r="BE93" s="180">
        <f>$F93*(VLOOKUP(BE$4, Rates_previous!$G$6:$Q$29, 10, FALSE)+VLOOKUP(BE$4, Rates_previous!$G$6:$Q$29, 11, FALSE))</f>
        <v>48266.319837688679</v>
      </c>
      <c r="BF93" s="180">
        <f>$F93*(VLOOKUP(BF$4, Rates_previous!$G$6:$Q$29, 10, FALSE)+VLOOKUP(BF$4, Rates_previous!$G$6:$Q$29, 11, FALSE))</f>
        <v>46645.674570286734</v>
      </c>
      <c r="BG93" s="180">
        <f>$F93*(VLOOKUP(BG$4, Rates_previous!$G$6:$Q$29, 10, FALSE)+VLOOKUP(BG$4, Rates_previous!$G$6:$Q$29, 11, FALSE))</f>
        <v>43105.465921813295</v>
      </c>
      <c r="BH93" s="298">
        <f>IF($D93=0,IF(C93=0, MAX(BJ93 - (VLOOKUP($A93,TOCA_previous!$A$2:$AI$137,MATCH("RHWM 2022",TOCA_previous!$A$2:$AI$2,0),FALSE)*$F$2*TOCA_previous!C90),0),0), 0)</f>
        <v>73517.501158375759</v>
      </c>
      <c r="BI93" s="192">
        <f>MIN(VLOOKUP($A93,TOCA_previous!$A$2:$AI$137,MATCH("TRL - NLSL - Existing Resource "&amp;$F$1,TOCA_previous!$A$2:$AI$2,0),FALSE)*$F$2,(VLOOKUP($A93,TOCA_previous!$A$2:$AI$137,MATCH("RHWM 2022",TOCA_previous!$A$2:$AI$2,0),FALSE)*$F$2))</f>
        <v>541184.04</v>
      </c>
      <c r="BJ93" s="402">
        <f>SUM(L93:AI93)+(F93*RT1SC!$C$3*$F$2)</f>
        <v>614701.5411583758</v>
      </c>
      <c r="BK93" s="401">
        <f>VLOOKUP($A93,TOCA_previous!$A$2:$AI$137,MATCH("Above RHWM Not Served with LS "&amp;$F$1,TOCA_previous!$A$2:$AI$2,0),FALSE)*$F$2</f>
        <v>67171.680000000008</v>
      </c>
      <c r="BL93" s="402">
        <f t="shared" si="27"/>
        <v>73517.501158375759</v>
      </c>
      <c r="BM93" s="401">
        <f>(VLOOKUP($A93,TOCA_previous!$A$2:$AI$137,MATCH("RHWM 2022",TOCA_previous!$A$2:$AI$2,0),FALSE)*$F$2) - $BI93</f>
        <v>0</v>
      </c>
      <c r="BN93" s="402">
        <f t="shared" si="28"/>
        <v>0</v>
      </c>
      <c r="BO93" s="401">
        <f t="shared" si="29"/>
        <v>0</v>
      </c>
      <c r="BP93" s="402">
        <f t="shared" si="30"/>
        <v>0</v>
      </c>
      <c r="BQ93" s="401">
        <f t="shared" si="21"/>
        <v>0</v>
      </c>
      <c r="BR93" s="108">
        <f>VLOOKUP($A93,TOCA_current!$A$2:$AI$137,MATCH(BR$4,TOCA_current!$A$2:$AI$2,0),FALSE)</f>
        <v>9.1690999999999995E-3</v>
      </c>
      <c r="BS93" s="108">
        <f>VLOOKUP($A93,TOCA_current!$A$2:$AI$137,MATCH(BS$4,TOCA_current!$A$2:$AI$2,0),FALSE)</f>
        <v>9.1690999999999995E-3</v>
      </c>
      <c r="BT93" s="189">
        <f t="shared" si="31"/>
        <v>0</v>
      </c>
      <c r="BU93" s="108">
        <f>VLOOKUP($A93,TOCA_current!A89:BG224,MATCH(BU$4,TOCA_current!$A$2:$BG$2,0),FALSE)</f>
        <v>0</v>
      </c>
      <c r="BV93" s="108">
        <f t="shared" si="22"/>
        <v>0</v>
      </c>
      <c r="BW93" s="108">
        <f t="shared" si="23"/>
        <v>0</v>
      </c>
      <c r="BX93" s="179">
        <f>VLOOKUP($A93,IRD!$A$4:$G$139, 7, FALSE)</f>
        <v>0</v>
      </c>
      <c r="BY93" s="180">
        <f t="array" ref="BY93">IF($BT93=0, INDEX(LS_current!$D$4:$AY$138, MATCH('Staging Table'!$A93, LS_current!$B$4:$B$138, 0), MATCH(BY$4&amp;BY$5, LS_current!$D$2:$AY$2&amp;LS_current!$D$3:$AY$3, 0)),SUM(VLOOKUP($A93, LS_current!$B$4:$AY$138, LS_current!D$148, FALSE), VLOOKUP($A93, LS_current!$B$4:$AY$138,LS_current!AB$148, FALSE))/2)</f>
        <v>4374.3307750313579</v>
      </c>
      <c r="BZ93" s="180">
        <f t="array" ref="BZ93">IF($BT93=0, INDEX(LS_current!$D$4:$AY$138, MATCH('Staging Table'!$A93, LS_current!$B$4:$B$138, 0), MATCH(BZ$4&amp;BZ$5, LS_current!$D$2:$AY$2&amp;LS_current!$D$3:$AY$3, 0)),SUM(VLOOKUP($A93, LS_current!$B$4:$AY$138, LS_current!E$148, FALSE), VLOOKUP($A93, LS_current!$B$4:$AY$138,LS_current!AC$148, FALSE))/2)</f>
        <v>3587.6368914932427</v>
      </c>
      <c r="CA93" s="180">
        <f t="array" ref="CA93">IF($BT93=0, INDEX(LS_current!$D$4:$AY$138, MATCH('Staging Table'!$A93, LS_current!$B$4:$B$138, 0), MATCH(CA$4&amp;CA$5, LS_current!$D$2:$AY$2&amp;LS_current!$D$3:$AY$3, 0)),SUM(VLOOKUP($A93, LS_current!$B$4:$AY$138, LS_current!F$148, FALSE), VLOOKUP($A93, LS_current!$B$4:$AY$138,LS_current!AD$148, FALSE))/2)</f>
        <v>347.4923398531464</v>
      </c>
      <c r="CB93" s="180">
        <f t="array" ref="CB93">IF($BT93=0, INDEX(LS_current!$D$4:$AY$138, MATCH('Staging Table'!$A93, LS_current!$B$4:$B$138, 0), MATCH(CB$4&amp;CB$5, LS_current!$D$2:$AY$2&amp;LS_current!$D$3:$AY$3, 0)),SUM(VLOOKUP($A93, LS_current!$B$4:$AY$138, LS_current!G$148, FALSE), VLOOKUP($A93, LS_current!$B$4:$AY$138,LS_current!AE$148, FALSE))/2)</f>
        <v>452.62149099450835</v>
      </c>
      <c r="CC93" s="180">
        <f t="array" ref="CC93">IF($BT93=0, INDEX(LS_current!$D$4:$AY$138, MATCH('Staging Table'!$A93, LS_current!$B$4:$B$138, 0), MATCH(CC$4&amp;CC$5, LS_current!$D$2:$AY$2&amp;LS_current!$D$3:$AY$3, 0)),SUM(VLOOKUP($A93, LS_current!$B$4:$AY$138, LS_current!H$148, FALSE), VLOOKUP($A93, LS_current!$B$4:$AY$138,LS_current!AF$148, FALSE))/2)</f>
        <v>-2557.2203570902166</v>
      </c>
      <c r="CD93" s="180">
        <f t="array" ref="CD93">IF($BT93=0, INDEX(LS_current!$D$4:$AY$138, MATCH('Staging Table'!$A93, LS_current!$B$4:$B$138, 0), MATCH(CD$4&amp;CD$5, LS_current!$D$2:$AY$2&amp;LS_current!$D$3:$AY$3, 0)),SUM(VLOOKUP($A93, LS_current!$B$4:$AY$138, LS_current!I$148, FALSE), VLOOKUP($A93, LS_current!$B$4:$AY$138,LS_current!AG$148, FALSE))/2)</f>
        <v>6617.8846740344052</v>
      </c>
      <c r="CE93" s="180">
        <f t="array" ref="CE93">IF($BT93=0, INDEX(LS_current!$D$4:$AY$138, MATCH('Staging Table'!$A93, LS_current!$B$4:$B$138, 0), MATCH(CE$4&amp;CE$5, LS_current!$D$2:$AY$2&amp;LS_current!$D$3:$AY$3, 0)),SUM(VLOOKUP($A93, LS_current!$B$4:$AY$138, LS_current!J$148, FALSE), VLOOKUP($A93, LS_current!$B$4:$AY$138,LS_current!AH$148, FALSE))/2)</f>
        <v>2422.1513487696211</v>
      </c>
      <c r="CF93" s="180">
        <f t="array" ref="CF93">IF($BT93=0, INDEX(LS_current!$D$4:$AY$138, MATCH('Staging Table'!$A93, LS_current!$B$4:$B$138, 0), MATCH(CF$4&amp;CF$5, LS_current!$D$2:$AY$2&amp;LS_current!$D$3:$AY$3, 0)),SUM(VLOOKUP($A93, LS_current!$B$4:$AY$138, LS_current!K$148, FALSE), VLOOKUP($A93, LS_current!$B$4:$AY$138,LS_current!AI$148, FALSE))/2)</f>
        <v>1395.3750395483985</v>
      </c>
      <c r="CG93" s="180">
        <f t="array" ref="CG93">IF($BT93=0, INDEX(LS_current!$D$4:$AY$138, MATCH('Staging Table'!$A93, LS_current!$B$4:$B$138, 0), MATCH(CG$4&amp;CG$5, LS_current!$D$2:$AY$2&amp;LS_current!$D$3:$AY$3, 0)),SUM(VLOOKUP($A93, LS_current!$B$4:$AY$138, LS_current!L$148, FALSE), VLOOKUP($A93, LS_current!$B$4:$AY$138,LS_current!AJ$148, FALSE))/2)</f>
        <v>-657.02180561839486</v>
      </c>
      <c r="CH93" s="180">
        <f t="array" ref="CH93">IF($BT93=0, INDEX(LS_current!$D$4:$AY$138, MATCH('Staging Table'!$A93, LS_current!$B$4:$B$138, 0), MATCH(CH$4&amp;CH$5, LS_current!$D$2:$AY$2&amp;LS_current!$D$3:$AY$3, 0)),SUM(VLOOKUP($A93, LS_current!$B$4:$AY$138, LS_current!M$148, FALSE), VLOOKUP($A93, LS_current!$B$4:$AY$138,LS_current!AK$148, FALSE))/2)</f>
        <v>2927.1830394884528</v>
      </c>
      <c r="CI93" s="180">
        <f t="array" ref="CI93">IF($BT93=0, INDEX(LS_current!$D$4:$AY$138, MATCH('Staging Table'!$A93, LS_current!$B$4:$B$138, 0), MATCH(CI$4&amp;CI$5, LS_current!$D$2:$AY$2&amp;LS_current!$D$3:$AY$3, 0)),SUM(VLOOKUP($A93, LS_current!$B$4:$AY$138, LS_current!N$148, FALSE), VLOOKUP($A93, LS_current!$B$4:$AY$138,LS_current!AL$148, FALSE))/2)</f>
        <v>-2395.5358273771308</v>
      </c>
      <c r="CJ93" s="180">
        <f t="array" ref="CJ93">IF($BT93=0, INDEX(LS_current!$D$4:$AY$138, MATCH('Staging Table'!$A93, LS_current!$B$4:$B$138, 0), MATCH(CJ$4&amp;CJ$5, LS_current!$D$2:$AY$2&amp;LS_current!$D$3:$AY$3, 0)),SUM(VLOOKUP($A93, LS_current!$B$4:$AY$138, LS_current!O$148, FALSE), VLOOKUP($A93, LS_current!$B$4:$AY$138,LS_current!AM$148, FALSE))/2)</f>
        <v>-2075.6675466742636</v>
      </c>
      <c r="CK93" s="180">
        <f t="array" ref="CK93">IF($BT93=0, INDEX(LS_current!$D$4:$AY$138, MATCH('Staging Table'!$A93, LS_current!$B$4:$B$138, 0), MATCH(CK$4&amp;CK$5, LS_current!$D$2:$AY$2&amp;LS_current!$D$3:$AY$3, 0)),SUM(VLOOKUP($A93, LS_current!$B$4:$AY$138, LS_current!P$148, FALSE), VLOOKUP($A93, LS_current!$B$4:$AY$138,LS_current!AN$148, FALSE))/2)</f>
        <v>3874.8275304492672</v>
      </c>
      <c r="CL93" s="180">
        <f t="array" ref="CL93">IF($BT93=0, INDEX(LS_current!$D$4:$AY$138, MATCH('Staging Table'!$A93, LS_current!$B$4:$B$138, 0), MATCH(CL$4&amp;CL$5, LS_current!$D$2:$AY$2&amp;LS_current!$D$3:$AY$3, 0)),SUM(VLOOKUP($A93, LS_current!$B$4:$AY$138, LS_current!Q$148, FALSE), VLOOKUP($A93, LS_current!$B$4:$AY$138,LS_current!AO$148, FALSE))/2)</f>
        <v>-3252.0310816015681</v>
      </c>
      <c r="CM93" s="180">
        <f t="array" ref="CM93">IF($BT93=0, INDEX(LS_current!$D$4:$AY$138, MATCH('Staging Table'!$A93, LS_current!$B$4:$B$138, 0), MATCH(CM$4&amp;CM$5, LS_current!$D$2:$AY$2&amp;LS_current!$D$3:$AY$3, 0)),SUM(VLOOKUP($A93, LS_current!$B$4:$AY$138, LS_current!R$148, FALSE), VLOOKUP($A93, LS_current!$B$4:$AY$138,LS_current!AP$148, FALSE))/2)</f>
        <v>-3276.8472210064356</v>
      </c>
      <c r="CN93" s="180">
        <f t="array" ref="CN93">IF($BT93=0, INDEX(LS_current!$D$4:$AY$138, MATCH('Staging Table'!$A93, LS_current!$B$4:$B$138, 0), MATCH(CN$4&amp;CN$5, LS_current!$D$2:$AY$2&amp;LS_current!$D$3:$AY$3, 0)),SUM(VLOOKUP($A93, LS_current!$B$4:$AY$138, LS_current!S$148, FALSE), VLOOKUP($A93, LS_current!$B$4:$AY$138,LS_current!AQ$148, FALSE))/2)</f>
        <v>-5733.350894961739</v>
      </c>
      <c r="CO93" s="180">
        <f t="array" ref="CO93">IF($BT93=0, INDEX(LS_current!$D$4:$AY$138, MATCH('Staging Table'!$A93, LS_current!$B$4:$B$138, 0), MATCH(CO$4&amp;CO$5, LS_current!$D$2:$AY$2&amp;LS_current!$D$3:$AY$3, 0)),SUM(VLOOKUP($A93, LS_current!$B$4:$AY$138, LS_current!T$148, FALSE), VLOOKUP($A93, LS_current!$B$4:$AY$138,LS_current!AR$148, FALSE))/2)</f>
        <v>-7860.1294375804464</v>
      </c>
      <c r="CP93" s="180">
        <f t="array" ref="CP93">IF($BT93=0, INDEX(LS_current!$D$4:$AY$138, MATCH('Staging Table'!$A93, LS_current!$B$4:$B$138, 0), MATCH(CP$4&amp;CP$5, LS_current!$D$2:$AY$2&amp;LS_current!$D$3:$AY$3, 0)),SUM(VLOOKUP($A93, LS_current!$B$4:$AY$138, LS_current!U$148, FALSE), VLOOKUP($A93, LS_current!$B$4:$AY$138,LS_current!AS$148, FALSE))/2)</f>
        <v>-1625.3489610087963</v>
      </c>
      <c r="CQ93" s="180">
        <f t="array" ref="CQ93">IF($BT93=0, INDEX(LS_current!$D$4:$AY$138, MATCH('Staging Table'!$A93, LS_current!$B$4:$B$138, 0), MATCH(CQ$4&amp;CQ$5, LS_current!$D$2:$AY$2&amp;LS_current!$D$3:$AY$3, 0)),SUM(VLOOKUP($A93, LS_current!$B$4:$AY$138, LS_current!V$148, FALSE), VLOOKUP($A93, LS_current!$B$4:$AY$138,LS_current!AT$148, FALSE))/2)</f>
        <v>1618.187889540146</v>
      </c>
      <c r="CR93" s="180">
        <f t="array" ref="CR93">IF($BT93=0, INDEX(LS_current!$D$4:$AY$138, MATCH('Staging Table'!$A93, LS_current!$B$4:$B$138, 0), MATCH(CR$4&amp;CR$5, LS_current!$D$2:$AY$2&amp;LS_current!$D$3:$AY$3, 0)),SUM(VLOOKUP($A93, LS_current!$B$4:$AY$138, LS_current!W$148, FALSE), VLOOKUP($A93, LS_current!$B$4:$AY$138,LS_current!AU$148, FALSE))/2)</f>
        <v>-1030.0734287855194</v>
      </c>
      <c r="CS93" s="180">
        <f t="array" ref="CS93">IF($BT93=0, INDEX(LS_current!$D$4:$AY$138, MATCH('Staging Table'!$A93, LS_current!$B$4:$B$138, 0), MATCH(CS$4&amp;CS$5, LS_current!$D$2:$AY$2&amp;LS_current!$D$3:$AY$3, 0)),SUM(VLOOKUP($A93, LS_current!$B$4:$AY$138, LS_current!X$148, FALSE), VLOOKUP($A93, LS_current!$B$4:$AY$138,LS_current!AV$148, FALSE))/2)</f>
        <v>4086.4934541615621</v>
      </c>
      <c r="CT93" s="180">
        <f t="array" ref="CT93">IF($BT93=0, INDEX(LS_current!$D$4:$AY$138, MATCH('Staging Table'!$A93, LS_current!$B$4:$B$138, 0), MATCH(CT$4&amp;CT$5, LS_current!$D$2:$AY$2&amp;LS_current!$D$3:$AY$3, 0)),SUM(VLOOKUP($A93, LS_current!$B$4:$AY$138, LS_current!Y$148, FALSE), VLOOKUP($A93, LS_current!$B$4:$AY$138,LS_current!AW$148, FALSE))/2)</f>
        <v>-2184.5280132328535</v>
      </c>
      <c r="CU93" s="180">
        <f t="array" ref="CU93">IF($BT93=0, INDEX(LS_current!$D$4:$AY$138, MATCH('Staging Table'!$A93, LS_current!$B$4:$B$138, 0), MATCH(CU$4&amp;CU$5, LS_current!$D$2:$AY$2&amp;LS_current!$D$3:$AY$3, 0)),SUM(VLOOKUP($A93, LS_current!$B$4:$AY$138, LS_current!Z$148, FALSE), VLOOKUP($A93, LS_current!$B$4:$AY$138,LS_current!AX$148, FALSE))/2)</f>
        <v>-785.86730769784481</v>
      </c>
      <c r="CV93" s="180">
        <f t="array" ref="CV93">IF($BT93=0, INDEX(LS_current!$D$4:$AY$138, MATCH('Staging Table'!$A93, LS_current!$B$4:$B$138, 0), MATCH(CV$4&amp;CV$5, LS_current!$D$2:$AY$2&amp;LS_current!$D$3:$AY$3, 0)),SUM(VLOOKUP($A93, LS_current!$B$4:$AY$138, LS_current!AA$148, FALSE), VLOOKUP($A93, LS_current!$B$4:$AY$138,LS_current!AY$148, FALSE))/2)</f>
        <v>1729.7005025125382</v>
      </c>
      <c r="CW93" s="182">
        <f t="array" ref="CW93">INDEX(Demand_current!$D$4:$AY$138, MATCH($A93, Demand_current!$B$4:$B$138, 0), MATCH(CW$4&amp;CW$5,Demand_current!$D$2:$AY$2&amp;Demand_current!$D$3:$AY$3, 0))/1000</f>
        <v>0</v>
      </c>
      <c r="CX93" s="182">
        <f t="array" ref="CX93">INDEX(Demand_current!$D$4:$AY$138, MATCH($A93, Demand_current!$B$4:$B$138, 0), MATCH(CX$4&amp;CX$5,Demand_current!$D$2:$AY$2&amp;Demand_current!$D$3:$AY$3, 0))/1000</f>
        <v>0</v>
      </c>
      <c r="CY93" s="182">
        <f t="array" ref="CY93">INDEX(Demand_current!$D$4:$AY$138, MATCH($A93, Demand_current!$B$4:$B$138, 0), MATCH(CY$4&amp;CY$5,Demand_current!$D$2:$AY$2&amp;Demand_current!$D$3:$AY$3, 0))/1000</f>
        <v>0</v>
      </c>
      <c r="CZ93" s="182">
        <f t="array" ref="CZ93">INDEX(Demand_current!$D$4:$AY$138, MATCH($A93, Demand_current!$B$4:$B$138, 0), MATCH(CZ$4&amp;CZ$5,Demand_current!$D$2:$AY$2&amp;Demand_current!$D$3:$AY$3, 0))/1000</f>
        <v>0</v>
      </c>
      <c r="DA93" s="182">
        <f t="array" ref="DA93">INDEX(Demand_current!$D$4:$AY$138, MATCH($A93, Demand_current!$B$4:$B$138, 0), MATCH(DA$4&amp;DA$5,Demand_current!$D$2:$AY$2&amp;Demand_current!$D$3:$AY$3, 0))/1000</f>
        <v>0</v>
      </c>
      <c r="DB93" s="182">
        <f t="array" ref="DB93">INDEX(Demand_current!$D$4:$AY$138, MATCH($A93, Demand_current!$B$4:$B$138, 0), MATCH(DB$4&amp;DB$5,Demand_current!$D$2:$AY$2&amp;Demand_current!$D$3:$AY$3, 0))/1000</f>
        <v>0</v>
      </c>
      <c r="DC93" s="182">
        <f t="array" ref="DC93">INDEX(Demand_current!$D$4:$AY$138, MATCH($A93, Demand_current!$B$4:$B$138, 0), MATCH(DC$4&amp;DC$5,Demand_current!$D$2:$AY$2&amp;Demand_current!$D$3:$AY$3, 0))/1000</f>
        <v>0</v>
      </c>
      <c r="DD93" s="182">
        <f t="array" ref="DD93">INDEX(Demand_current!$D$4:$AY$138, MATCH($A93, Demand_current!$B$4:$B$138, 0), MATCH(DD$4&amp;DD$5,Demand_current!$D$2:$AY$2&amp;Demand_current!$D$3:$AY$3, 0))/1000</f>
        <v>0</v>
      </c>
      <c r="DE93" s="182">
        <f t="array" ref="DE93">INDEX(Demand_current!$D$4:$AY$138, MATCH($A93, Demand_current!$B$4:$B$138, 0), MATCH(DE$4&amp;DE$5,Demand_current!$D$2:$AY$2&amp;Demand_current!$D$3:$AY$3, 0))/1000</f>
        <v>0</v>
      </c>
      <c r="DF93" s="182">
        <f t="array" ref="DF93">INDEX(Demand_current!$D$4:$AY$138, MATCH($A93, Demand_current!$B$4:$B$138, 0), MATCH(DF$4&amp;DF$5,Demand_current!$D$2:$AY$2&amp;Demand_current!$D$3:$AY$3, 0))/1000</f>
        <v>0</v>
      </c>
      <c r="DG93" s="182">
        <f t="array" ref="DG93">INDEX(Demand_current!$D$4:$AY$138, MATCH($A93, Demand_current!$B$4:$B$138, 0), MATCH(DG$4&amp;DG$5,Demand_current!$D$2:$AY$2&amp;Demand_current!$D$3:$AY$3, 0))/1000</f>
        <v>0</v>
      </c>
      <c r="DH93" s="182">
        <f t="array" ref="DH93">INDEX(Demand_current!$D$4:$AY$138, MATCH($A93, Demand_current!$B$4:$B$138, 0), MATCH(DH$4&amp;DH$5,Demand_current!$D$2:$AY$2&amp;Demand_current!$D$3:$AY$3, 0))/1000</f>
        <v>0</v>
      </c>
      <c r="DI93" s="180">
        <f>$BS93*(VLOOKUP(DI$4, Rates_current!$G$6:$Q$29, 10, FALSE)+VLOOKUP(DI$4, Rates_current!$G$6:$Q$29, 11, FALSE))</f>
        <v>38682.633569569647</v>
      </c>
      <c r="DJ93" s="180">
        <f>$BS93*(VLOOKUP(DJ$4, Rates_current!$G$6:$Q$29, 10, FALSE)+VLOOKUP(DJ$4, Rates_current!$G$6:$Q$29, 11, FALSE))</f>
        <v>49333.113514666904</v>
      </c>
      <c r="DK93" s="180">
        <f>$BS93*(VLOOKUP(DK$4, Rates_current!$G$6:$Q$29, 10, FALSE)+VLOOKUP(DK$4, Rates_current!$G$6:$Q$29, 11, FALSE))</f>
        <v>53240.190587458499</v>
      </c>
      <c r="DL93" s="180">
        <f>$BS93*(VLOOKUP(DL$4, Rates_current!$G$6:$Q$29, 10, FALSE)+VLOOKUP(DL$4, Rates_current!$G$6:$Q$29, 11, FALSE))</f>
        <v>55324.788305710397</v>
      </c>
      <c r="DM93" s="180">
        <f>$BS93*(VLOOKUP(DM$4, Rates_current!$G$6:$Q$29, 10, FALSE)+VLOOKUP(DM$4, Rates_current!$G$6:$Q$29, 11, FALSE))</f>
        <v>47586.692266405793</v>
      </c>
      <c r="DN93" s="180">
        <f>$BS93*(VLOOKUP(DN$4, Rates_current!$G$6:$Q$29, 10, FALSE)+VLOOKUP(DN$4, Rates_current!$G$6:$Q$29, 11, FALSE))</f>
        <v>51955.246263668094</v>
      </c>
      <c r="DO93" s="180">
        <f>$BS93*(VLOOKUP(DO$4, Rates_current!$G$6:$Q$29, 10, FALSE)+VLOOKUP(DO$4, Rates_current!$G$6:$Q$29, 11, FALSE))</f>
        <v>41009.911404807171</v>
      </c>
      <c r="DP93" s="180">
        <f>$BS93*(VLOOKUP(DP$4, Rates_current!$G$6:$Q$29, 10, FALSE)+VLOOKUP(DP$4, Rates_current!$G$6:$Q$29, 11, FALSE))</f>
        <v>50878.290682199149</v>
      </c>
      <c r="DQ93" s="180">
        <f>$BS93*(VLOOKUP(DQ$4, Rates_current!$G$6:$Q$29, 10, FALSE)+VLOOKUP(DQ$4, Rates_current!$G$6:$Q$29, 11, FALSE))</f>
        <v>51982.222576502543</v>
      </c>
      <c r="DR93" s="180">
        <f>$BS93*(VLOOKUP(DR$4, Rates_current!$G$6:$Q$29, 10, FALSE)+VLOOKUP(DR$4, Rates_current!$G$6:$Q$29, 11, FALSE))</f>
        <v>45128.058191102646</v>
      </c>
      <c r="DS93" s="180">
        <f>$BS93*(VLOOKUP(DS$4, Rates_current!$G$6:$Q$29, 10, FALSE)+VLOOKUP(DS$4, Rates_current!$G$6:$Q$29, 11, FALSE))</f>
        <v>43626.836839453288</v>
      </c>
      <c r="DT93" s="180">
        <f>$BS93*(VLOOKUP(DT$4, Rates_current!$G$6:$Q$29, 10, FALSE)+VLOOKUP(DT$4, Rates_current!$G$6:$Q$29, 11, FALSE))</f>
        <v>40145.138179619804</v>
      </c>
      <c r="DU93" s="402">
        <f>IF(D93=0,IF(C93=0,MAX(0,DW93 - (VLOOKUP($A93,TOCA_current!$A$2:$AI$137,MATCH("RHWM 2024",TOCA_current!$A$2:$AI$2,0),FALSE)*$BS$2)), 0),0)</f>
        <v>0</v>
      </c>
      <c r="DV93" s="403">
        <f>MIN(VLOOKUP($A93,TOCA_current!$A$2:$AI$137,MATCH("TRL - NLSL - Existing Resource "&amp;$BS$1,TOCA_current!$A$2:$AI$2,0),FALSE)*$BS$2, VLOOKUP($A93,TOCA_current!$A$2:$AI$137,MATCH("RHWM 2024",TOCA_current!$A$2:$AI$2,0),FALSE)*$BS$2)</f>
        <v>568895.76</v>
      </c>
      <c r="DW93" s="403">
        <f>SUM(BY93:CV93)+(BS93*RT1SC!$C$4*$BS$2)</f>
        <v>568893.3880820974</v>
      </c>
      <c r="DX93" s="403">
        <f>VLOOKUP($A93,TOCA_current!$A$2:$AI$137,MATCH("Above RHWM Not Served with LS "&amp;$BS$1,TOCA_current!$A$2:$AI$2,0),FALSE)*$BS$2</f>
        <v>112979.80799999996</v>
      </c>
      <c r="DY93" s="403">
        <f t="shared" si="32"/>
        <v>-2.3719179026084021</v>
      </c>
      <c r="DZ93" s="403">
        <f>(VLOOKUP($A93,TOCA_current!$A$2:$AI$137,MATCH("RHWM 2024",TOCA_current!$A$2:$AI$2,0),FALSE)*$BS$2) - $DV93</f>
        <v>0</v>
      </c>
      <c r="EA93" s="403">
        <f t="shared" si="33"/>
        <v>0</v>
      </c>
      <c r="EB93" s="403">
        <f t="shared" si="34"/>
        <v>0</v>
      </c>
      <c r="EC93" s="403">
        <f t="shared" si="35"/>
        <v>0</v>
      </c>
      <c r="ED93" s="403">
        <f t="shared" si="36"/>
        <v>0</v>
      </c>
    </row>
    <row r="94" spans="1:134">
      <c r="A94" s="123">
        <v>10284</v>
      </c>
      <c r="B94" s="124" t="s">
        <v>95</v>
      </c>
      <c r="C94" s="232">
        <f>VLOOKUP(A94, TOCA_current!$A$3:$D$137, 4, FALSE)</f>
        <v>0</v>
      </c>
      <c r="D94" s="191">
        <v>0</v>
      </c>
      <c r="E94" s="107">
        <f>VLOOKUP($A94,TOCA_previous!$A$2:$AI$137,MATCH(E$4,TOCA_previous!$A$2:$AI$2,0),FALSE)</f>
        <v>1.4385000000000001E-3</v>
      </c>
      <c r="F94" s="108">
        <f>VLOOKUP($A94,TOCA_previous!$A$2:$AI$137,MATCH(F$4,TOCA_previous!$A$2:$AI$2,0),FALSE)</f>
        <v>1.4385000000000001E-3</v>
      </c>
      <c r="G94" s="108">
        <f t="shared" si="24"/>
        <v>0</v>
      </c>
      <c r="H94" s="108">
        <f>VLOOKUP($A94,TOCA_previous!$A$2:$AI$137,MATCH(H$4,TOCA_previous!$A$2:$AI$2,0),FALSE)</f>
        <v>5.0479999999999997E-2</v>
      </c>
      <c r="I94" s="108">
        <f t="shared" si="25"/>
        <v>0</v>
      </c>
      <c r="J94" s="108">
        <f t="shared" si="26"/>
        <v>0</v>
      </c>
      <c r="K94" s="179">
        <f>VLOOKUP(A94, IRD!$A$5:$C$139, 3, FALSE)</f>
        <v>0</v>
      </c>
      <c r="L94" s="180">
        <f t="array" ref="L94">IF($G94=0, INDEX(LS_previous!$D$4:$AY$138, MATCH('Staging Table'!$A94, LS_previous!$B$4:$B$138, 0), MATCH(L$4&amp;L$5, LS_previous!$D$2:$AY$2&amp;LS_previous!$D$3:$AY$3, 0)),SUM(VLOOKUP($A94, LS_previous!$B$4:$AY$138, LS_previous!D$149, FALSE), VLOOKUP('Staging Table'!$A94, LS_previous!$B$4:$AY$138,LS_previous!AB$149, FALSE))/2)</f>
        <v>352.17720446568364</v>
      </c>
      <c r="M94" s="180">
        <f t="array" ref="M94">IF($G94=0, INDEX(LS_previous!$D$4:$AY$138, MATCH('Staging Table'!$A94, LS_previous!$B$4:$B$138, 0), MATCH(M$4&amp;M$5, LS_previous!$D$2:$AY$2&amp;LS_previous!$D$3:$AY$3, 0)),SUM(VLOOKUP($A94, LS_previous!$B$4:$AY$138, LS_previous!E$149, FALSE), VLOOKUP('Staging Table'!$A94, LS_previous!$B$4:$AY$138,LS_previous!AC$149, FALSE))/2)</f>
        <v>858.25051626674076</v>
      </c>
      <c r="N94" s="180">
        <f t="array" ref="N94">IF($G94=0, INDEX(LS_previous!$D$4:$AY$138, MATCH('Staging Table'!$A94, LS_previous!$B$4:$B$138, 0), MATCH(N$4&amp;N$5, LS_previous!$D$2:$AY$2&amp;LS_previous!$D$3:$AY$3, 0)),SUM(VLOOKUP($A94, LS_previous!$B$4:$AY$138, LS_previous!F$149, FALSE), VLOOKUP('Staging Table'!$A94, LS_previous!$B$4:$AY$138,LS_previous!AD$149, FALSE))/2)</f>
        <v>128.96287215591201</v>
      </c>
      <c r="O94" s="180">
        <f t="array" ref="O94">IF($G94=0, INDEX(LS_previous!$D$4:$AY$138, MATCH('Staging Table'!$A94, LS_previous!$B$4:$B$138, 0), MATCH(O$4&amp;O$5, LS_previous!$D$2:$AY$2&amp;LS_previous!$D$3:$AY$3, 0)),SUM(VLOOKUP($A94, LS_previous!$B$4:$AY$138, LS_previous!G$149, FALSE), VLOOKUP('Staging Table'!$A94, LS_previous!$B$4:$AY$138,LS_previous!AE$149, FALSE))/2)</f>
        <v>549.9049086628911</v>
      </c>
      <c r="P94" s="180">
        <f t="array" ref="P94">IF($G94=0, INDEX(LS_previous!$D$4:$AY$138, MATCH('Staging Table'!$A94, LS_previous!$B$4:$B$138, 0), MATCH(P$4&amp;P$5, LS_previous!$D$2:$AY$2&amp;LS_previous!$D$3:$AY$3, 0)),SUM(VLOOKUP($A94, LS_previous!$B$4:$AY$138, LS_previous!H$149, FALSE), VLOOKUP('Staging Table'!$A94, LS_previous!$B$4:$AY$138,LS_previous!AF$149, FALSE))/2)</f>
        <v>1941.1510697264775</v>
      </c>
      <c r="Q94" s="180">
        <f t="array" ref="Q94">IF($G94=0, INDEX(LS_previous!$D$4:$AY$138, MATCH('Staging Table'!$A94, LS_previous!$B$4:$B$138, 0), MATCH(Q$4&amp;Q$5, LS_previous!$D$2:$AY$2&amp;LS_previous!$D$3:$AY$3, 0)),SUM(VLOOKUP($A94, LS_previous!$B$4:$AY$138, LS_previous!I$149, FALSE), VLOOKUP('Staging Table'!$A94, LS_previous!$B$4:$AY$138,LS_previous!AG$149, FALSE))/2)</f>
        <v>1546.4857290225473</v>
      </c>
      <c r="R94" s="180">
        <f t="array" ref="R94">IF($G94=0, INDEX(LS_previous!$D$4:$AY$138, MATCH('Staging Table'!$A94, LS_previous!$B$4:$B$138, 0), MATCH(R$4&amp;R$5, LS_previous!$D$2:$AY$2&amp;LS_previous!$D$3:$AY$3, 0)),SUM(VLOOKUP($A94, LS_previous!$B$4:$AY$138, LS_previous!J$149, FALSE), VLOOKUP('Staging Table'!$A94, LS_previous!$B$4:$AY$138,LS_previous!AH$149, FALSE))/2)</f>
        <v>3278.9875652962037</v>
      </c>
      <c r="S94" s="180">
        <f t="array" ref="S94">IF($G94=0, INDEX(LS_previous!$D$4:$AY$138, MATCH('Staging Table'!$A94, LS_previous!$B$4:$B$138, 0), MATCH(S$4&amp;S$5, LS_previous!$D$2:$AY$2&amp;LS_previous!$D$3:$AY$3, 0)),SUM(VLOOKUP($A94, LS_previous!$B$4:$AY$138, LS_previous!K$149, FALSE), VLOOKUP('Staging Table'!$A94, LS_previous!$B$4:$AY$138,LS_previous!AI$149, FALSE))/2)</f>
        <v>2064.2926706844764</v>
      </c>
      <c r="T94" s="180">
        <f t="array" ref="T94">IF($G94=0, INDEX(LS_previous!$D$4:$AY$138, MATCH('Staging Table'!$A94, LS_previous!$B$4:$B$138, 0), MATCH(T$4&amp;T$5, LS_previous!$D$2:$AY$2&amp;LS_previous!$D$3:$AY$3, 0)),SUM(VLOOKUP($A94, LS_previous!$B$4:$AY$138, LS_previous!L$149, FALSE), VLOOKUP('Staging Table'!$A94, LS_previous!$B$4:$AY$138,LS_previous!AJ$149, FALSE))/2)</f>
        <v>2329.9142599877746</v>
      </c>
      <c r="U94" s="180">
        <f t="array" ref="U94">IF($G94=0, INDEX(LS_previous!$D$4:$AY$138, MATCH('Staging Table'!$A94, LS_previous!$B$4:$B$138, 0), MATCH(U$4&amp;U$5, LS_previous!$D$2:$AY$2&amp;LS_previous!$D$3:$AY$3, 0)),SUM(VLOOKUP($A94, LS_previous!$B$4:$AY$138, LS_previous!M$149, FALSE), VLOOKUP('Staging Table'!$A94, LS_previous!$B$4:$AY$138,LS_previous!AK$149, FALSE))/2)</f>
        <v>1414.8368282185525</v>
      </c>
      <c r="V94" s="180">
        <f t="array" ref="V94">IF($G94=0, INDEX(LS_previous!$D$4:$AY$138, MATCH('Staging Table'!$A94, LS_previous!$B$4:$B$138, 0), MATCH(V$4&amp;V$5, LS_previous!$D$2:$AY$2&amp;LS_previous!$D$3:$AY$3, 0)),SUM(VLOOKUP($A94, LS_previous!$B$4:$AY$138, LS_previous!N$149, FALSE), VLOOKUP('Staging Table'!$A94, LS_previous!$B$4:$AY$138,LS_previous!AL$149, FALSE))/2)</f>
        <v>961.51723698840669</v>
      </c>
      <c r="W94" s="180">
        <f t="array" ref="W94">IF($G94=0, INDEX(LS_previous!$D$4:$AY$138, MATCH('Staging Table'!$A94, LS_previous!$B$4:$B$138, 0), MATCH(W$4&amp;W$5, LS_previous!$D$2:$AY$2&amp;LS_previous!$D$3:$AY$3, 0)),SUM(VLOOKUP($A94, LS_previous!$B$4:$AY$138, LS_previous!O$149, FALSE), VLOOKUP('Staging Table'!$A94, LS_previous!$B$4:$AY$138,LS_previous!AM$149, FALSE))/2)</f>
        <v>1193.620004059746</v>
      </c>
      <c r="X94" s="180">
        <f t="array" ref="X94">IF($G94=0, INDEX(LS_previous!$D$4:$AY$138, MATCH('Staging Table'!$A94, LS_previous!$B$4:$B$138, 0), MATCH(X$4&amp;X$5, LS_previous!$D$2:$AY$2&amp;LS_previous!$D$3:$AY$3, 0)),SUM(VLOOKUP($A94, LS_previous!$B$4:$AY$138, LS_previous!P$149, FALSE), VLOOKUP('Staging Table'!$A94, LS_previous!$B$4:$AY$138,LS_previous!AN$149, FALSE))/2)</f>
        <v>1261.5033396322069</v>
      </c>
      <c r="Y94" s="180">
        <f t="array" ref="Y94">IF($G94=0, INDEX(LS_previous!$D$4:$AY$138, MATCH('Staging Table'!$A94, LS_previous!$B$4:$B$138, 0), MATCH(Y$4&amp;Y$5, LS_previous!$D$2:$AY$2&amp;LS_previous!$D$3:$AY$3, 0)),SUM(VLOOKUP($A94, LS_previous!$B$4:$AY$138, LS_previous!Q$149, FALSE), VLOOKUP('Staging Table'!$A94, LS_previous!$B$4:$AY$138,LS_previous!AO$149, FALSE))/2)</f>
        <v>1001.8011519116526</v>
      </c>
      <c r="Z94" s="180">
        <f t="array" ref="Z94">IF($G94=0, INDEX(LS_previous!$D$4:$AY$138, MATCH('Staging Table'!$A94, LS_previous!$B$4:$B$138, 0), MATCH(Z$4&amp;Z$5, LS_previous!$D$2:$AY$2&amp;LS_previous!$D$3:$AY$3, 0)),SUM(VLOOKUP($A94, LS_previous!$B$4:$AY$138, LS_previous!R$149, FALSE), VLOOKUP('Staging Table'!$A94, LS_previous!$B$4:$AY$138,LS_previous!AP$149, FALSE))/2)</f>
        <v>-1398.0413662352862</v>
      </c>
      <c r="AA94" s="180">
        <f t="array" ref="AA94">IF($G94=0, INDEX(LS_previous!$D$4:$AY$138, MATCH('Staging Table'!$A94, LS_previous!$B$4:$B$138, 0), MATCH(AA$4&amp;AA$5, LS_previous!$D$2:$AY$2&amp;LS_previous!$D$3:$AY$3, 0)),SUM(VLOOKUP($A94, LS_previous!$B$4:$AY$138, LS_previous!S$149, FALSE), VLOOKUP('Staging Table'!$A94, LS_previous!$B$4:$AY$138,LS_previous!AQ$149, FALSE))/2)</f>
        <v>24.170895835527972</v>
      </c>
      <c r="AB94" s="180">
        <f t="array" ref="AB94">IF($G94=0, INDEX(LS_previous!$D$4:$AY$138, MATCH('Staging Table'!$A94, LS_previous!$B$4:$B$138, 0), MATCH(AB$4&amp;AB$5, LS_previous!$D$2:$AY$2&amp;LS_previous!$D$3:$AY$3, 0)),SUM(VLOOKUP($A94, LS_previous!$B$4:$AY$138, LS_previous!T$149, FALSE), VLOOKUP('Staging Table'!$A94, LS_previous!$B$4:$AY$138,LS_previous!AR$149, FALSE))/2)</f>
        <v>-2386.7569952368599</v>
      </c>
      <c r="AC94" s="180">
        <f t="array" ref="AC94">IF($G94=0, INDEX(LS_previous!$D$4:$AY$138, MATCH('Staging Table'!$A94, LS_previous!$B$4:$B$138, 0), MATCH(AC$4&amp;AC$5, LS_previous!$D$2:$AY$2&amp;LS_previous!$D$3:$AY$3, 0)),SUM(VLOOKUP($A94, LS_previous!$B$4:$AY$138, LS_previous!U$149, FALSE), VLOOKUP('Staging Table'!$A94, LS_previous!$B$4:$AY$138,LS_previous!AS$149, FALSE))/2)</f>
        <v>-20.814945262061428</v>
      </c>
      <c r="AD94" s="180">
        <f t="array" ref="AD94">IF($G94=0, INDEX(LS_previous!$D$4:$AY$138, MATCH('Staging Table'!$A94, LS_previous!$B$4:$B$138, 0), MATCH(AD$4&amp;AD$5, LS_previous!$D$2:$AY$2&amp;LS_previous!$D$3:$AY$3, 0)),SUM(VLOOKUP($A94, LS_previous!$B$4:$AY$138, LS_previous!V$149, FALSE), VLOOKUP('Staging Table'!$A94, LS_previous!$B$4:$AY$138,LS_previous!AT$149, FALSE))/2)</f>
        <v>-1540.7935975536761</v>
      </c>
      <c r="AE94" s="180">
        <f t="array" ref="AE94">IF($G94=0, INDEX(LS_previous!$D$4:$AY$138, MATCH('Staging Table'!$A94, LS_previous!$B$4:$B$138, 0), MATCH(AE$4&amp;AE$5, LS_previous!$D$2:$AY$2&amp;LS_previous!$D$3:$AY$3, 0)),SUM(VLOOKUP($A94, LS_previous!$B$4:$AY$138, LS_previous!W$149, FALSE), VLOOKUP('Staging Table'!$A94, LS_previous!$B$4:$AY$138,LS_previous!AU$149, FALSE))/2)</f>
        <v>-298.05545189732766</v>
      </c>
      <c r="AF94" s="180">
        <f t="array" ref="AF94">IF($G94=0, INDEX(LS_previous!$D$4:$AY$138, MATCH('Staging Table'!$A94, LS_previous!$B$4:$B$138, 0), MATCH(AF$4&amp;AF$5, LS_previous!$D$2:$AY$2&amp;LS_previous!$D$3:$AY$3, 0)),SUM(VLOOKUP($A94, LS_previous!$B$4:$AY$138, LS_previous!X$149, FALSE), VLOOKUP('Staging Table'!$A94, LS_previous!$B$4:$AY$138,LS_previous!AV$149, FALSE))/2)</f>
        <v>-1212.7252925895382</v>
      </c>
      <c r="AG94" s="180">
        <f t="array" ref="AG94">IF($G94=0, INDEX(LS_previous!$D$4:$AY$138, MATCH('Staging Table'!$A94, LS_previous!$B$4:$B$138, 0), MATCH(AG$4&amp;AG$5, LS_previous!$D$2:$AY$2&amp;LS_previous!$D$3:$AY$3, 0)),SUM(VLOOKUP($A94, LS_previous!$B$4:$AY$138, LS_previous!Y$149, FALSE), VLOOKUP('Staging Table'!$A94, LS_previous!$B$4:$AY$138,LS_previous!AW$149, FALSE))/2)</f>
        <v>-287.21848380970596</v>
      </c>
      <c r="AH94" s="180">
        <f t="array" ref="AH94">IF($G94=0, INDEX(LS_previous!$D$4:$AY$138, MATCH('Staging Table'!$A94, LS_previous!$B$4:$B$138, 0), MATCH(AH$4&amp;AH$5, LS_previous!$D$2:$AY$2&amp;LS_previous!$D$3:$AY$3, 0)),SUM(VLOOKUP($A94, LS_previous!$B$4:$AY$138, LS_previous!Z$149, FALSE), VLOOKUP('Staging Table'!$A94, LS_previous!$B$4:$AY$138,LS_previous!AX$149, FALSE))/2)</f>
        <v>-1214.8668635532499</v>
      </c>
      <c r="AI94" s="180">
        <f t="array" ref="AI94">IF($G94=0, INDEX(LS_previous!$D$4:$AY$138, MATCH('Staging Table'!$A94, LS_previous!$B$4:$B$138, 0), MATCH(AI$4&amp;AI$5, LS_previous!$D$2:$AY$2&amp;LS_previous!$D$3:$AY$3, 0)),SUM(VLOOKUP($A94, LS_previous!$B$4:$AY$138, LS_previous!AA$149, FALSE), VLOOKUP('Staging Table'!$A94, LS_previous!$B$4:$AY$138,LS_previous!AY$149, FALSE))/2)</f>
        <v>-133.24012679986572</v>
      </c>
      <c r="AJ94" s="298">
        <f t="array" ref="AJ94">INDEX(Demand_previous!$D$4:$AY$138, MATCH('Staging Table'!$A94, Demand_previous!$B$4:$B$138, 0), MATCH(AJ$4&amp;AJ$5,Demand_previous!$D$2:$AY$2&amp;Demand_previous!$D$3:$AY$3, 0))/1000</f>
        <v>1.5515240384615376</v>
      </c>
      <c r="AK94" s="298">
        <f t="array" ref="AK94">INDEX(Demand_previous!$D$4:$AY$138, MATCH('Staging Table'!$A94, Demand_previous!$B$4:$B$138, 0), MATCH(AK$4&amp;AK$5,Demand_previous!$D$2:$AY$2&amp;Demand_previous!$D$3:$AY$3, 0))/1000</f>
        <v>1.2972575000000015</v>
      </c>
      <c r="AL94" s="298">
        <f t="array" ref="AL94">INDEX(Demand_previous!$D$4:$AY$138, MATCH('Staging Table'!$A94, Demand_previous!$B$4:$B$138, 0), MATCH(AL$4&amp;AL$5,Demand_previous!$D$2:$AY$2&amp;Demand_previous!$D$3:$AY$3, 0))/1000</f>
        <v>4.1228365384615371</v>
      </c>
      <c r="AM94" s="298">
        <f t="array" ref="AM94">INDEX(Demand_previous!$D$4:$AY$138, MATCH('Staging Table'!$A94, Demand_previous!$B$4:$B$138, 0), MATCH(AM$4&amp;AM$5,Demand_previous!$D$2:$AY$2&amp;Demand_previous!$D$3:$AY$3, 0))/1000</f>
        <v>3.4097874999999984</v>
      </c>
      <c r="AN94" s="298">
        <f t="array" ref="AN94">INDEX(Demand_previous!$D$4:$AY$138, MATCH('Staging Table'!$A94, Demand_previous!$B$4:$B$138, 0), MATCH(AN$4&amp;AN$5,Demand_previous!$D$2:$AY$2&amp;Demand_previous!$D$3:$AY$3, 0))/1000</f>
        <v>0.46559374999999997</v>
      </c>
      <c r="AO94" s="298">
        <f t="array" ref="AO94">INDEX(Demand_previous!$D$4:$AY$138, MATCH('Staging Table'!$A94, Demand_previous!$B$4:$B$138, 0), MATCH(AO$4&amp;AO$5,Demand_previous!$D$2:$AY$2&amp;Demand_previous!$D$3:$AY$3, 0))/1000</f>
        <v>2.8577523148148174</v>
      </c>
      <c r="AP94" s="298">
        <f t="array" ref="AP94">INDEX(Demand_previous!$D$4:$AY$138, MATCH('Staging Table'!$A94, Demand_previous!$B$4:$B$138, 0), MATCH(AP$4&amp;AP$5,Demand_previous!$D$2:$AY$2&amp;Demand_previous!$D$3:$AY$3, 0))/1000</f>
        <v>2.0690048076923082</v>
      </c>
      <c r="AQ94" s="298">
        <f t="array" ref="AQ94">INDEX(Demand_previous!$D$4:$AY$138, MATCH('Staging Table'!$A94, Demand_previous!$B$4:$B$138, 0), MATCH(AQ$4&amp;AQ$5,Demand_previous!$D$2:$AY$2&amp;Demand_previous!$D$3:$AY$3, 0))/1000</f>
        <v>0</v>
      </c>
      <c r="AR94" s="298">
        <f t="array" ref="AR94">INDEX(Demand_previous!$D$4:$AY$138, MATCH('Staging Table'!$A94, Demand_previous!$B$4:$B$138, 0), MATCH(AR$4&amp;AR$5,Demand_previous!$D$2:$AY$2&amp;Demand_previous!$D$3:$AY$3, 0))/1000</f>
        <v>2.698420673076924</v>
      </c>
      <c r="AS94" s="298">
        <f t="array" ref="AS94">INDEX(Demand_previous!$D$4:$AY$138, MATCH('Staging Table'!$A94, Demand_previous!$B$4:$B$138, 0), MATCH(AS$4&amp;AS$5,Demand_previous!$D$2:$AY$2&amp;Demand_previous!$D$3:$AY$3, 0))/1000</f>
        <v>1.6829074999999993</v>
      </c>
      <c r="AT94" s="298">
        <f t="array" ref="AT94">INDEX(Demand_previous!$D$4:$AY$138, MATCH('Staging Table'!$A94, Demand_previous!$B$4:$B$138, 0), MATCH(AT$4&amp;AT$5,Demand_previous!$D$2:$AY$2&amp;Demand_previous!$D$3:$AY$3, 0))/1000</f>
        <v>2.794597222222222</v>
      </c>
      <c r="AU94" s="298">
        <f t="array" ref="AU94">INDEX(Demand_previous!$D$4:$AY$138, MATCH('Staging Table'!$A94, Demand_previous!$B$4:$B$138, 0), MATCH(AU$4&amp;AU$5,Demand_previous!$D$2:$AY$2&amp;Demand_previous!$D$3:$AY$3, 0))/1000</f>
        <v>1.2995499999999995</v>
      </c>
      <c r="AV94" s="180">
        <f>$F94*(VLOOKUP(AV$4, Rates_previous!$G$6:$Q$29, 10, FALSE)+VLOOKUP(AV$4, Rates_previous!$G$6:$Q$29, 11, FALSE))</f>
        <v>6550.8202792675756</v>
      </c>
      <c r="AW94" s="180">
        <f>$F94*(VLOOKUP(AW$4, Rates_previous!$G$6:$Q$29, 10, FALSE)+VLOOKUP(AW$4, Rates_previous!$G$6:$Q$29, 11, FALSE))</f>
        <v>8293.5762191811973</v>
      </c>
      <c r="AX94" s="180">
        <f>$F94*(VLOOKUP(AX$4, Rates_previous!$G$6:$Q$29, 10, FALSE)+VLOOKUP(AX$4, Rates_previous!$G$6:$Q$29, 11, FALSE))</f>
        <v>8117.7542012509757</v>
      </c>
      <c r="AY94" s="180">
        <f>$F94*(VLOOKUP(AY$4, Rates_previous!$G$6:$Q$29, 10, FALSE)+VLOOKUP(AY$4, Rates_previous!$G$6:$Q$29, 11, FALSE))</f>
        <v>6704.9197640193197</v>
      </c>
      <c r="AZ94" s="180">
        <f>$F94*(VLOOKUP(AZ$4, Rates_previous!$G$6:$Q$29, 10, FALSE)+VLOOKUP(AZ$4, Rates_previous!$G$6:$Q$29, 11, FALSE))</f>
        <v>5811.3009117936726</v>
      </c>
      <c r="BA94" s="180">
        <f>$F94*(VLOOKUP(BA$4, Rates_previous!$G$6:$Q$29, 10, FALSE)+VLOOKUP(BA$4, Rates_previous!$G$6:$Q$29, 11, FALSE))</f>
        <v>6937.5197589518475</v>
      </c>
      <c r="BB94" s="180">
        <f>$F94*(VLOOKUP(BB$4, Rates_previous!$G$6:$Q$29, 10, FALSE)+VLOOKUP(BB$4, Rates_previous!$G$6:$Q$29, 11, FALSE))</f>
        <v>5386.0605084561403</v>
      </c>
      <c r="BC94" s="180">
        <f>$F94*(VLOOKUP(BC$4, Rates_previous!$G$6:$Q$29, 10, FALSE)+VLOOKUP(BC$4, Rates_previous!$G$6:$Q$29, 11, FALSE))</f>
        <v>7462.4264703997578</v>
      </c>
      <c r="BD94" s="180">
        <f>$F94*(VLOOKUP(BD$4, Rates_previous!$G$6:$Q$29, 10, FALSE)+VLOOKUP(BD$4, Rates_previous!$G$6:$Q$29, 11, FALSE))</f>
        <v>7973.7589404989203</v>
      </c>
      <c r="BE94" s="180">
        <f>$F94*(VLOOKUP(BE$4, Rates_previous!$G$6:$Q$29, 10, FALSE)+VLOOKUP(BE$4, Rates_previous!$G$6:$Q$29, 11, FALSE))</f>
        <v>7570.723049451005</v>
      </c>
      <c r="BF94" s="180">
        <f>$F94*(VLOOKUP(BF$4, Rates_previous!$G$6:$Q$29, 10, FALSE)+VLOOKUP(BF$4, Rates_previous!$G$6:$Q$29, 11, FALSE))</f>
        <v>7316.5197763992437</v>
      </c>
      <c r="BG94" s="180">
        <f>$F94*(VLOOKUP(BG$4, Rates_previous!$G$6:$Q$29, 10, FALSE)+VLOOKUP(BG$4, Rates_previous!$G$6:$Q$29, 11, FALSE))</f>
        <v>6761.226990353116</v>
      </c>
      <c r="BH94" s="298">
        <f>IF($D94=0,IF(C94=0, MAX(BJ94 - (VLOOKUP($A94,TOCA_previous!$A$2:$AI$137,MATCH("RHWM 2022",TOCA_previous!$A$2:$AI$2,0),FALSE)*$F$2*TOCA_previous!C91),0),0), 0)</f>
        <v>10417.274342317251</v>
      </c>
      <c r="BI94" s="192">
        <f>MIN(VLOOKUP($A94,TOCA_previous!$A$2:$AI$137,MATCH("TRL - NLSL - Existing Resource "&amp;$F$1,TOCA_previous!$A$2:$AI$2,0),FALSE)*$F$2,(VLOOKUP($A94,TOCA_previous!$A$2:$AI$137,MATCH("RHWM 2022",TOCA_previous!$A$2:$AI$2,0),FALSE)*$F$2))</f>
        <v>84884.4</v>
      </c>
      <c r="BJ94" s="402">
        <f>SUM(L94:AI94)+(F94*RT1SC!$C$3*$F$2)</f>
        <v>95301.674342317245</v>
      </c>
      <c r="BK94" s="401">
        <f>VLOOKUP($A94,TOCA_previous!$A$2:$AI$137,MATCH("Above RHWM Not Served with LS "&amp;$F$1,TOCA_previous!$A$2:$AI$2,0),FALSE)*$F$2</f>
        <v>0</v>
      </c>
      <c r="BL94" s="402">
        <f t="shared" si="27"/>
        <v>10417.274342317251</v>
      </c>
      <c r="BM94" s="401">
        <f>(VLOOKUP($A94,TOCA_previous!$A$2:$AI$137,MATCH("RHWM 2022",TOCA_previous!$A$2:$AI$2,0),FALSE)*$F$2) - $BI94</f>
        <v>0</v>
      </c>
      <c r="BN94" s="402">
        <f t="shared" si="28"/>
        <v>0</v>
      </c>
      <c r="BO94" s="401">
        <f t="shared" si="29"/>
        <v>0</v>
      </c>
      <c r="BP94" s="402">
        <f t="shared" si="30"/>
        <v>0</v>
      </c>
      <c r="BQ94" s="401">
        <f t="shared" si="21"/>
        <v>0</v>
      </c>
      <c r="BR94" s="108">
        <f>VLOOKUP($A94,TOCA_current!$A$2:$AI$137,MATCH(BR$4,TOCA_current!$A$2:$AI$2,0),FALSE)</f>
        <v>1.4381000000000001E-3</v>
      </c>
      <c r="BS94" s="108">
        <f>VLOOKUP($A94,TOCA_current!$A$2:$AI$137,MATCH(BS$4,TOCA_current!$A$2:$AI$2,0),FALSE)</f>
        <v>1.4381000000000001E-3</v>
      </c>
      <c r="BT94" s="189">
        <f t="shared" si="31"/>
        <v>0</v>
      </c>
      <c r="BU94" s="108">
        <f>VLOOKUP($A94,TOCA_current!A90:BG225,MATCH(BU$4,TOCA_current!$A$2:$BG$2,0),FALSE)</f>
        <v>5.3401260090569017E-2</v>
      </c>
      <c r="BV94" s="108">
        <f t="shared" si="22"/>
        <v>0</v>
      </c>
      <c r="BW94" s="108">
        <f t="shared" si="23"/>
        <v>0</v>
      </c>
      <c r="BX94" s="179">
        <f>VLOOKUP($A94,IRD!$A$4:$G$139, 7, FALSE)</f>
        <v>0</v>
      </c>
      <c r="BY94" s="180">
        <f t="array" ref="BY94">IF($BT94=0, INDEX(LS_current!$D$4:$AY$138, MATCH('Staging Table'!$A94, LS_current!$B$4:$B$138, 0), MATCH(BY$4&amp;BY$5, LS_current!$D$2:$AY$2&amp;LS_current!$D$3:$AY$3, 0)),SUM(VLOOKUP($A94, LS_current!$B$4:$AY$138, LS_current!D$148, FALSE), VLOOKUP($A94, LS_current!$B$4:$AY$138,LS_current!AB$148, FALSE))/2)</f>
        <v>883.0642318283999</v>
      </c>
      <c r="BZ94" s="180">
        <f t="array" ref="BZ94">IF($BT94=0, INDEX(LS_current!$D$4:$AY$138, MATCH('Staging Table'!$A94, LS_current!$B$4:$B$138, 0), MATCH(BZ$4&amp;BZ$5, LS_current!$D$2:$AY$2&amp;LS_current!$D$3:$AY$3, 0)),SUM(VLOOKUP($A94, LS_current!$B$4:$AY$138, LS_current!E$148, FALSE), VLOOKUP($A94, LS_current!$B$4:$AY$138,LS_current!AC$148, FALSE))/2)</f>
        <v>811.12207875845024</v>
      </c>
      <c r="CA94" s="180">
        <f t="array" ref="CA94">IF($BT94=0, INDEX(LS_current!$D$4:$AY$138, MATCH('Staging Table'!$A94, LS_current!$B$4:$B$138, 0), MATCH(CA$4&amp;CA$5, LS_current!$D$2:$AY$2&amp;LS_current!$D$3:$AY$3, 0)),SUM(VLOOKUP($A94, LS_current!$B$4:$AY$138, LS_current!F$148, FALSE), VLOOKUP($A94, LS_current!$B$4:$AY$138,LS_current!AD$148, FALSE))/2)</f>
        <v>523.63777360319909</v>
      </c>
      <c r="CB94" s="180">
        <f t="array" ref="CB94">IF($BT94=0, INDEX(LS_current!$D$4:$AY$138, MATCH('Staging Table'!$A94, LS_current!$B$4:$B$138, 0), MATCH(CB$4&amp;CB$5, LS_current!$D$2:$AY$2&amp;LS_current!$D$3:$AY$3, 0)),SUM(VLOOKUP($A94, LS_current!$B$4:$AY$138, LS_current!G$148, FALSE), VLOOKUP($A94, LS_current!$B$4:$AY$138,LS_current!AE$148, FALSE))/2)</f>
        <v>711.30194075889949</v>
      </c>
      <c r="CC94" s="180">
        <f t="array" ref="CC94">IF($BT94=0, INDEX(LS_current!$D$4:$AY$138, MATCH('Staging Table'!$A94, LS_current!$B$4:$B$138, 0), MATCH(CC$4&amp;CC$5, LS_current!$D$2:$AY$2&amp;LS_current!$D$3:$AY$3, 0)),SUM(VLOOKUP($A94, LS_current!$B$4:$AY$138, LS_current!H$148, FALSE), VLOOKUP($A94, LS_current!$B$4:$AY$138,LS_current!AF$148, FALSE))/2)</f>
        <v>1515.8814587440993</v>
      </c>
      <c r="CD94" s="180">
        <f t="array" ref="CD94">IF($BT94=0, INDEX(LS_current!$D$4:$AY$138, MATCH('Staging Table'!$A94, LS_current!$B$4:$B$138, 0), MATCH(CD$4&amp;CD$5, LS_current!$D$2:$AY$2&amp;LS_current!$D$3:$AY$3, 0)),SUM(VLOOKUP($A94, LS_current!$B$4:$AY$138, LS_current!I$148, FALSE), VLOOKUP($A94, LS_current!$B$4:$AY$138,LS_current!AG$148, FALSE))/2)</f>
        <v>1739.2114657823995</v>
      </c>
      <c r="CE94" s="180">
        <f t="array" ref="CE94">IF($BT94=0, INDEX(LS_current!$D$4:$AY$138, MATCH('Staging Table'!$A94, LS_current!$B$4:$B$138, 0), MATCH(CE$4&amp;CE$5, LS_current!$D$2:$AY$2&amp;LS_current!$D$3:$AY$3, 0)),SUM(VLOOKUP($A94, LS_current!$B$4:$AY$138, LS_current!J$148, FALSE), VLOOKUP($A94, LS_current!$B$4:$AY$138,LS_current!AH$148, FALSE))/2)</f>
        <v>1720.9867446584994</v>
      </c>
      <c r="CF94" s="180">
        <f t="array" ref="CF94">IF($BT94=0, INDEX(LS_current!$D$4:$AY$138, MATCH('Staging Table'!$A94, LS_current!$B$4:$B$138, 0), MATCH(CF$4&amp;CF$5, LS_current!$D$2:$AY$2&amp;LS_current!$D$3:$AY$3, 0)),SUM(VLOOKUP($A94, LS_current!$B$4:$AY$138, LS_current!K$148, FALSE), VLOOKUP($A94, LS_current!$B$4:$AY$138,LS_current!AI$148, FALSE))/2)</f>
        <v>1649.9627004950994</v>
      </c>
      <c r="CG94" s="180">
        <f t="array" ref="CG94">IF($BT94=0, INDEX(LS_current!$D$4:$AY$138, MATCH('Staging Table'!$A94, LS_current!$B$4:$B$138, 0), MATCH(CG$4&amp;CG$5, LS_current!$D$2:$AY$2&amp;LS_current!$D$3:$AY$3, 0)),SUM(VLOOKUP($A94, LS_current!$B$4:$AY$138, LS_current!L$148, FALSE), VLOOKUP($A94, LS_current!$B$4:$AY$138,LS_current!AJ$148, FALSE))/2)</f>
        <v>959.90392641010021</v>
      </c>
      <c r="CH94" s="180">
        <f t="array" ref="CH94">IF($BT94=0, INDEX(LS_current!$D$4:$AY$138, MATCH('Staging Table'!$A94, LS_current!$B$4:$B$138, 0), MATCH(CH$4&amp;CH$5, LS_current!$D$2:$AY$2&amp;LS_current!$D$3:$AY$3, 0)),SUM(VLOOKUP($A94, LS_current!$B$4:$AY$138, LS_current!M$148, FALSE), VLOOKUP($A94, LS_current!$B$4:$AY$138,LS_current!AK$148, FALSE))/2)</f>
        <v>1132.5559927620998</v>
      </c>
      <c r="CI94" s="180">
        <f t="array" ref="CI94">IF($BT94=0, INDEX(LS_current!$D$4:$AY$138, MATCH('Staging Table'!$A94, LS_current!$B$4:$B$138, 0), MATCH(CI$4&amp;CI$5, LS_current!$D$2:$AY$2&amp;LS_current!$D$3:$AY$3, 0)),SUM(VLOOKUP($A94, LS_current!$B$4:$AY$138, LS_current!N$148, FALSE), VLOOKUP($A94, LS_current!$B$4:$AY$138,LS_current!AL$148, FALSE))/2)</f>
        <v>260.79432359469956</v>
      </c>
      <c r="CJ94" s="180">
        <f t="array" ref="CJ94">IF($BT94=0, INDEX(LS_current!$D$4:$AY$138, MATCH('Staging Table'!$A94, LS_current!$B$4:$B$138, 0), MATCH(CJ$4&amp;CJ$5, LS_current!$D$2:$AY$2&amp;LS_current!$D$3:$AY$3, 0)),SUM(VLOOKUP($A94, LS_current!$B$4:$AY$138, LS_current!O$148, FALSE), VLOOKUP($A94, LS_current!$B$4:$AY$138,LS_current!AM$148, FALSE))/2)</f>
        <v>683.09784105820017</v>
      </c>
      <c r="CK94" s="180">
        <f t="array" ref="CK94">IF($BT94=0, INDEX(LS_current!$D$4:$AY$138, MATCH('Staging Table'!$A94, LS_current!$B$4:$B$138, 0), MATCH(CK$4&amp;CK$5, LS_current!$D$2:$AY$2&amp;LS_current!$D$3:$AY$3, 0)),SUM(VLOOKUP($A94, LS_current!$B$4:$AY$138, LS_current!P$148, FALSE), VLOOKUP($A94, LS_current!$B$4:$AY$138,LS_current!AN$148, FALSE))/2)</f>
        <v>665.47937517724949</v>
      </c>
      <c r="CL94" s="180">
        <f t="array" ref="CL94">IF($BT94=0, INDEX(LS_current!$D$4:$AY$138, MATCH('Staging Table'!$A94, LS_current!$B$4:$B$138, 0), MATCH(CL$4&amp;CL$5, LS_current!$D$2:$AY$2&amp;LS_current!$D$3:$AY$3, 0)),SUM(VLOOKUP($A94, LS_current!$B$4:$AY$138, LS_current!Q$148, FALSE), VLOOKUP($A94, LS_current!$B$4:$AY$138,LS_current!AO$148, FALSE))/2)</f>
        <v>551.80902065732516</v>
      </c>
      <c r="CM94" s="180">
        <f t="array" ref="CM94">IF($BT94=0, INDEX(LS_current!$D$4:$AY$138, MATCH('Staging Table'!$A94, LS_current!$B$4:$B$138, 0), MATCH(CM$4&amp;CM$5, LS_current!$D$2:$AY$2&amp;LS_current!$D$3:$AY$3, 0)),SUM(VLOOKUP($A94, LS_current!$B$4:$AY$138, LS_current!R$148, FALSE), VLOOKUP($A94, LS_current!$B$4:$AY$138,LS_current!AP$148, FALSE))/2)</f>
        <v>-1218.4728091088004</v>
      </c>
      <c r="CN94" s="180">
        <f t="array" ref="CN94">IF($BT94=0, INDEX(LS_current!$D$4:$AY$138, MATCH('Staging Table'!$A94, LS_current!$B$4:$B$138, 0), MATCH(CN$4&amp;CN$5, LS_current!$D$2:$AY$2&amp;LS_current!$D$3:$AY$3, 0)),SUM(VLOOKUP($A94, LS_current!$B$4:$AY$138, LS_current!S$148, FALSE), VLOOKUP($A94, LS_current!$B$4:$AY$138,LS_current!AQ$148, FALSE))/2)</f>
        <v>-672.82415683885029</v>
      </c>
      <c r="CO94" s="180">
        <f t="array" ref="CO94">IF($BT94=0, INDEX(LS_current!$D$4:$AY$138, MATCH('Staging Table'!$A94, LS_current!$B$4:$B$138, 0), MATCH(CO$4&amp;CO$5, LS_current!$D$2:$AY$2&amp;LS_current!$D$3:$AY$3, 0)),SUM(VLOOKUP($A94, LS_current!$B$4:$AY$138, LS_current!T$148, FALSE), VLOOKUP($A94, LS_current!$B$4:$AY$138,LS_current!AR$148, FALSE))/2)</f>
        <v>-1820.1103983806001</v>
      </c>
      <c r="CP94" s="180">
        <f t="array" ref="CP94">IF($BT94=0, INDEX(LS_current!$D$4:$AY$138, MATCH('Staging Table'!$A94, LS_current!$B$4:$B$138, 0), MATCH(CP$4&amp;CP$5, LS_current!$D$2:$AY$2&amp;LS_current!$D$3:$AY$3, 0)),SUM(VLOOKUP($A94, LS_current!$B$4:$AY$138, LS_current!U$148, FALSE), VLOOKUP($A94, LS_current!$B$4:$AY$138,LS_current!AS$148, FALSE))/2)</f>
        <v>-766.69845587645023</v>
      </c>
      <c r="CQ94" s="180">
        <f t="array" ref="CQ94">IF($BT94=0, INDEX(LS_current!$D$4:$AY$138, MATCH('Staging Table'!$A94, LS_current!$B$4:$B$138, 0), MATCH(CQ$4&amp;CQ$5, LS_current!$D$2:$AY$2&amp;LS_current!$D$3:$AY$3, 0)),SUM(VLOOKUP($A94, LS_current!$B$4:$AY$138, LS_current!V$148, FALSE), VLOOKUP($A94, LS_current!$B$4:$AY$138,LS_current!AT$148, FALSE))/2)</f>
        <v>-909.06137980840003</v>
      </c>
      <c r="CR94" s="180">
        <f t="array" ref="CR94">IF($BT94=0, INDEX(LS_current!$D$4:$AY$138, MATCH('Staging Table'!$A94, LS_current!$B$4:$B$138, 0), MATCH(CR$4&amp;CR$5, LS_current!$D$2:$AY$2&amp;LS_current!$D$3:$AY$3, 0)),SUM(VLOOKUP($A94, LS_current!$B$4:$AY$138, LS_current!W$148, FALSE), VLOOKUP($A94, LS_current!$B$4:$AY$138,LS_current!AU$148, FALSE))/2)</f>
        <v>-437.03961060775009</v>
      </c>
      <c r="CS94" s="180">
        <f t="array" ref="CS94">IF($BT94=0, INDEX(LS_current!$D$4:$AY$138, MATCH('Staging Table'!$A94, LS_current!$B$4:$B$138, 0), MATCH(CS$4&amp;CS$5, LS_current!$D$2:$AY$2&amp;LS_current!$D$3:$AY$3, 0)),SUM(VLOOKUP($A94, LS_current!$B$4:$AY$138, LS_current!X$148, FALSE), VLOOKUP($A94, LS_current!$B$4:$AY$138,LS_current!AV$148, FALSE))/2)</f>
        <v>-626.0930956341499</v>
      </c>
      <c r="CT94" s="180">
        <f t="array" ref="CT94">IF($BT94=0, INDEX(LS_current!$D$4:$AY$138, MATCH('Staging Table'!$A94, LS_current!$B$4:$B$138, 0), MATCH(CT$4&amp;CT$5, LS_current!$D$2:$AY$2&amp;LS_current!$D$3:$AY$3, 0)),SUM(VLOOKUP($A94, LS_current!$B$4:$AY$138, LS_current!Y$148, FALSE), VLOOKUP($A94, LS_current!$B$4:$AY$138,LS_current!AW$148, FALSE))/2)</f>
        <v>-399.85133263228499</v>
      </c>
      <c r="CU94" s="180">
        <f t="array" ref="CU94">IF($BT94=0, INDEX(LS_current!$D$4:$AY$138, MATCH('Staging Table'!$A94, LS_current!$B$4:$B$138, 0), MATCH(CU$4&amp;CU$5, LS_current!$D$2:$AY$2&amp;LS_current!$D$3:$AY$3, 0)),SUM(VLOOKUP($A94, LS_current!$B$4:$AY$138, LS_current!Z$148, FALSE), VLOOKUP($A94, LS_current!$B$4:$AY$138,LS_current!AX$148, FALSE))/2)</f>
        <v>-660.36273183940057</v>
      </c>
      <c r="CV94" s="180">
        <f t="array" ref="CV94">IF($BT94=0, INDEX(LS_current!$D$4:$AY$138, MATCH('Staging Table'!$A94, LS_current!$B$4:$B$138, 0), MATCH(CV$4&amp;CV$5, LS_current!$D$2:$AY$2&amp;LS_current!$D$3:$AY$3, 0)),SUM(VLOOKUP($A94, LS_current!$B$4:$AY$138, LS_current!AA$148, FALSE), VLOOKUP($A94, LS_current!$B$4:$AY$138,LS_current!AY$148, FALSE))/2)</f>
        <v>-222.96110846240026</v>
      </c>
      <c r="CW94" s="182">
        <f t="array" ref="CW94">INDEX(Demand_current!$D$4:$AY$138, MATCH($A94, Demand_current!$B$4:$B$138, 0), MATCH(CW$4&amp;CW$5,Demand_current!$D$2:$AY$2&amp;Demand_current!$D$3:$AY$3, 0))/1000</f>
        <v>1.5515240384615376</v>
      </c>
      <c r="CX94" s="182">
        <f t="array" ref="CX94">INDEX(Demand_current!$D$4:$AY$138, MATCH($A94, Demand_current!$B$4:$B$138, 0), MATCH(CX$4&amp;CX$5,Demand_current!$D$2:$AY$2&amp;Demand_current!$D$3:$AY$3, 0))/1000</f>
        <v>1.2972575000000015</v>
      </c>
      <c r="CY94" s="182">
        <f t="array" ref="CY94">INDEX(Demand_current!$D$4:$AY$138, MATCH($A94, Demand_current!$B$4:$B$138, 0), MATCH(CY$4&amp;CY$5,Demand_current!$D$2:$AY$2&amp;Demand_current!$D$3:$AY$3, 0))/1000</f>
        <v>3.4902699999999998</v>
      </c>
      <c r="CZ94" s="182">
        <f t="array" ref="CZ94">INDEX(Demand_current!$D$4:$AY$138, MATCH($A94, Demand_current!$B$4:$B$138, 0), MATCH(CZ$4&amp;CZ$5,Demand_current!$D$2:$AY$2&amp;Demand_current!$D$3:$AY$3, 0))/1000</f>
        <v>4.0918341346153841</v>
      </c>
      <c r="DA94" s="182">
        <f t="array" ref="DA94">INDEX(Demand_current!$D$4:$AY$138, MATCH($A94, Demand_current!$B$4:$B$138, 0), MATCH(DA$4&amp;DA$5,Demand_current!$D$2:$AY$2&amp;Demand_current!$D$3:$AY$3, 0))/1000</f>
        <v>1.0599300000000014</v>
      </c>
      <c r="DB94" s="182">
        <f t="array" ref="DB94">INDEX(Demand_current!$D$4:$AY$138, MATCH($A94, Demand_current!$B$4:$B$138, 0), MATCH(DB$4&amp;DB$5,Demand_current!$D$2:$AY$2&amp;Demand_current!$D$3:$AY$3, 0))/1000</f>
        <v>2.3928197115384644</v>
      </c>
      <c r="DC94" s="182">
        <f t="array" ref="DC94">INDEX(Demand_current!$D$4:$AY$138, MATCH($A94, Demand_current!$B$4:$B$138, 0), MATCH(DC$4&amp;DC$5,Demand_current!$D$2:$AY$2&amp;Demand_current!$D$3:$AY$3, 0))/1000</f>
        <v>2.0690048076923082</v>
      </c>
      <c r="DD94" s="182">
        <f t="array" ref="DD94">INDEX(Demand_current!$D$4:$AY$138, MATCH($A94, Demand_current!$B$4:$B$138, 0), MATCH(DD$4&amp;DD$5,Demand_current!$D$2:$AY$2&amp;Demand_current!$D$3:$AY$3, 0))/1000</f>
        <v>0</v>
      </c>
      <c r="DE94" s="182">
        <f t="array" ref="DE94">INDEX(Demand_current!$D$4:$AY$138, MATCH($A94, Demand_current!$B$4:$B$138, 0), MATCH(DE$4&amp;DE$5,Demand_current!$D$2:$AY$2&amp;Demand_current!$D$3:$AY$3, 0))/1000</f>
        <v>2.3811575</v>
      </c>
      <c r="DF94" s="182">
        <f t="array" ref="DF94">INDEX(Demand_current!$D$4:$AY$138, MATCH($A94, Demand_current!$B$4:$B$138, 0), MATCH(DF$4&amp;DF$5,Demand_current!$D$2:$AY$2&amp;Demand_current!$D$3:$AY$3, 0))/1000</f>
        <v>2.0196033653846155</v>
      </c>
      <c r="DG94" s="182">
        <f t="array" ref="DG94">INDEX(Demand_current!$D$4:$AY$138, MATCH($A94, Demand_current!$B$4:$B$138, 0), MATCH(DG$4&amp;DG$5,Demand_current!$D$2:$AY$2&amp;Demand_current!$D$3:$AY$3, 0))/1000</f>
        <v>2.794597222222222</v>
      </c>
      <c r="DH94" s="182">
        <f t="array" ref="DH94">INDEX(Demand_current!$D$4:$AY$138, MATCH($A94, Demand_current!$B$4:$B$138, 0), MATCH(DH$4&amp;DH$5,Demand_current!$D$2:$AY$2&amp;Demand_current!$D$3:$AY$3, 0))/1000</f>
        <v>0.97661458333333373</v>
      </c>
      <c r="DI94" s="180">
        <f>$BS94*(VLOOKUP(DI$4, Rates_current!$G$6:$Q$29, 10, FALSE)+VLOOKUP(DI$4, Rates_current!$G$6:$Q$29, 11, FALSE))</f>
        <v>6067.0616894131508</v>
      </c>
      <c r="DJ94" s="180">
        <f>$BS94*(VLOOKUP(DJ$4, Rates_current!$G$6:$Q$29, 10, FALSE)+VLOOKUP(DJ$4, Rates_current!$G$6:$Q$29, 11, FALSE))</f>
        <v>7737.5042856379014</v>
      </c>
      <c r="DK94" s="180">
        <f>$BS94*(VLOOKUP(DK$4, Rates_current!$G$6:$Q$29, 10, FALSE)+VLOOKUP(DK$4, Rates_current!$G$6:$Q$29, 11, FALSE))</f>
        <v>8350.2980754735017</v>
      </c>
      <c r="DL94" s="180">
        <f>$BS94*(VLOOKUP(DL$4, Rates_current!$G$6:$Q$29, 10, FALSE)+VLOOKUP(DL$4, Rates_current!$G$6:$Q$29, 11, FALSE))</f>
        <v>8677.2505548464014</v>
      </c>
      <c r="DM94" s="180">
        <f>$BS94*(VLOOKUP(DM$4, Rates_current!$G$6:$Q$29, 10, FALSE)+VLOOKUP(DM$4, Rates_current!$G$6:$Q$29, 11, FALSE))</f>
        <v>7463.5920808277997</v>
      </c>
      <c r="DN94" s="180">
        <f>$BS94*(VLOOKUP(DN$4, Rates_current!$G$6:$Q$29, 10, FALSE)+VLOOKUP(DN$4, Rates_current!$G$6:$Q$29, 11, FALSE))</f>
        <v>8148.7648353471004</v>
      </c>
      <c r="DO94" s="180">
        <f>$BS94*(VLOOKUP(DO$4, Rates_current!$G$6:$Q$29, 10, FALSE)+VLOOKUP(DO$4, Rates_current!$G$6:$Q$29, 11, FALSE))</f>
        <v>6432.0766041654251</v>
      </c>
      <c r="DP94" s="180">
        <f>$BS94*(VLOOKUP(DP$4, Rates_current!$G$6:$Q$29, 10, FALSE)+VLOOKUP(DP$4, Rates_current!$G$6:$Q$29, 11, FALSE))</f>
        <v>7979.8529659476508</v>
      </c>
      <c r="DQ94" s="180">
        <f>$BS94*(VLOOKUP(DQ$4, Rates_current!$G$6:$Q$29, 10, FALSE)+VLOOKUP(DQ$4, Rates_current!$G$6:$Q$29, 11, FALSE))</f>
        <v>8152.9958542570503</v>
      </c>
      <c r="DR94" s="180">
        <f>$BS94*(VLOOKUP(DR$4, Rates_current!$G$6:$Q$29, 10, FALSE)+VLOOKUP(DR$4, Rates_current!$G$6:$Q$29, 11, FALSE))</f>
        <v>7077.9749904161499</v>
      </c>
      <c r="DS94" s="180">
        <f>$BS94*(VLOOKUP(DS$4, Rates_current!$G$6:$Q$29, 10, FALSE)+VLOOKUP(DS$4, Rates_current!$G$6:$Q$29, 11, FALSE))</f>
        <v>6842.5204282664363</v>
      </c>
      <c r="DT94" s="180">
        <f>$BS94*(VLOOKUP(DT$4, Rates_current!$G$6:$Q$29, 10, FALSE)+VLOOKUP(DT$4, Rates_current!$G$6:$Q$29, 11, FALSE))</f>
        <v>6296.4438403018012</v>
      </c>
      <c r="DU94" s="402">
        <f>IF(D94=0,IF(C94=0,MAX(0,DW94 - (VLOOKUP($A94,TOCA_current!$A$2:$AI$137,MATCH("RHWM 2024",TOCA_current!$A$2:$AI$2,0),FALSE)*$BS$2)), 0),0)</f>
        <v>6073.7984089956444</v>
      </c>
      <c r="DV94" s="403">
        <f>MIN(VLOOKUP($A94,TOCA_current!$A$2:$AI$137,MATCH("TRL - NLSL - Existing Resource "&amp;$BS$1,TOCA_current!$A$2:$AI$2,0),FALSE)*$BS$2, VLOOKUP($A94,TOCA_current!$A$2:$AI$137,MATCH("RHWM 2024",TOCA_current!$A$2:$AI$2,0),FALSE)*$BS$2)</f>
        <v>89227.871999999988</v>
      </c>
      <c r="DW94" s="403">
        <f>SUM(BY94:CV94)+(BS94*RT1SC!$C$4*$BS$2)</f>
        <v>95301.670408995633</v>
      </c>
      <c r="DX94" s="403">
        <f>VLOOKUP($A94,TOCA_current!$A$2:$AI$137,MATCH("Above RHWM Not Served with LS "&amp;$BS$1,TOCA_current!$A$2:$AI$2,0),FALSE)*$BS$2</f>
        <v>0</v>
      </c>
      <c r="DY94" s="403">
        <f t="shared" si="32"/>
        <v>6073.7984089956444</v>
      </c>
      <c r="DZ94" s="403">
        <f>(VLOOKUP($A94,TOCA_current!$A$2:$AI$137,MATCH("RHWM 2024",TOCA_current!$A$2:$AI$2,0),FALSE)*$BS$2) - $DV94</f>
        <v>0</v>
      </c>
      <c r="EA94" s="403">
        <f t="shared" si="33"/>
        <v>0</v>
      </c>
      <c r="EB94" s="403">
        <f t="shared" si="34"/>
        <v>0</v>
      </c>
      <c r="EC94" s="403">
        <f t="shared" si="35"/>
        <v>0</v>
      </c>
      <c r="ED94" s="403">
        <f t="shared" si="36"/>
        <v>0</v>
      </c>
    </row>
    <row r="95" spans="1:134">
      <c r="A95" s="123">
        <v>10285</v>
      </c>
      <c r="B95" s="124" t="s">
        <v>96</v>
      </c>
      <c r="C95" s="232">
        <f>VLOOKUP(A95, TOCA_current!$A$3:$D$137, 4, FALSE)</f>
        <v>1</v>
      </c>
      <c r="D95" s="191">
        <v>0</v>
      </c>
      <c r="E95" s="107">
        <f>VLOOKUP($A95,TOCA_previous!$A$2:$AI$137,MATCH(E$4,TOCA_previous!$A$2:$AI$2,0),FALSE)</f>
        <v>9.2449999999999997E-4</v>
      </c>
      <c r="F95" s="108">
        <f>VLOOKUP($A95,TOCA_previous!$A$2:$AI$137,MATCH(F$4,TOCA_previous!$A$2:$AI$2,0),FALSE)</f>
        <v>9.2449999999999997E-4</v>
      </c>
      <c r="G95" s="108">
        <f t="shared" si="24"/>
        <v>0</v>
      </c>
      <c r="H95" s="108">
        <f>VLOOKUP($A95,TOCA_previous!$A$2:$AI$137,MATCH(H$4,TOCA_previous!$A$2:$AI$2,0),FALSE)</f>
        <v>7.2330000000000005E-2</v>
      </c>
      <c r="I95" s="108">
        <f t="shared" si="25"/>
        <v>7.2330000000000005E-2</v>
      </c>
      <c r="J95" s="108">
        <f t="shared" si="26"/>
        <v>9.2449999999999997E-4</v>
      </c>
      <c r="K95" s="179">
        <f>VLOOKUP(A95, IRD!$A$5:$C$139, 3, FALSE)</f>
        <v>0</v>
      </c>
      <c r="L95" s="180">
        <f t="array" ref="L95">IF($G95=0, INDEX(LS_previous!$D$4:$AY$138, MATCH('Staging Table'!$A95, LS_previous!$B$4:$B$138, 0), MATCH(L$4&amp;L$5, LS_previous!$D$2:$AY$2&amp;LS_previous!$D$3:$AY$3, 0)),SUM(VLOOKUP($A95, LS_previous!$B$4:$AY$138, LS_previous!D$149, FALSE), VLOOKUP('Staging Table'!$A95, LS_previous!$B$4:$AY$138,LS_previous!AB$149, FALSE))/2)</f>
        <v>0</v>
      </c>
      <c r="M95" s="180">
        <f t="array" ref="M95">IF($G95=0, INDEX(LS_previous!$D$4:$AY$138, MATCH('Staging Table'!$A95, LS_previous!$B$4:$B$138, 0), MATCH(M$4&amp;M$5, LS_previous!$D$2:$AY$2&amp;LS_previous!$D$3:$AY$3, 0)),SUM(VLOOKUP($A95, LS_previous!$B$4:$AY$138, LS_previous!E$149, FALSE), VLOOKUP('Staging Table'!$A95, LS_previous!$B$4:$AY$138,LS_previous!AC$149, FALSE))/2)</f>
        <v>0</v>
      </c>
      <c r="N95" s="180">
        <f t="array" ref="N95">IF($G95=0, INDEX(LS_previous!$D$4:$AY$138, MATCH('Staging Table'!$A95, LS_previous!$B$4:$B$138, 0), MATCH(N$4&amp;N$5, LS_previous!$D$2:$AY$2&amp;LS_previous!$D$3:$AY$3, 0)),SUM(VLOOKUP($A95, LS_previous!$B$4:$AY$138, LS_previous!F$149, FALSE), VLOOKUP('Staging Table'!$A95, LS_previous!$B$4:$AY$138,LS_previous!AD$149, FALSE))/2)</f>
        <v>0</v>
      </c>
      <c r="O95" s="180">
        <f t="array" ref="O95">IF($G95=0, INDEX(LS_previous!$D$4:$AY$138, MATCH('Staging Table'!$A95, LS_previous!$B$4:$B$138, 0), MATCH(O$4&amp;O$5, LS_previous!$D$2:$AY$2&amp;LS_previous!$D$3:$AY$3, 0)),SUM(VLOOKUP($A95, LS_previous!$B$4:$AY$138, LS_previous!G$149, FALSE), VLOOKUP('Staging Table'!$A95, LS_previous!$B$4:$AY$138,LS_previous!AE$149, FALSE))/2)</f>
        <v>0</v>
      </c>
      <c r="P95" s="180">
        <f t="array" ref="P95">IF($G95=0, INDEX(LS_previous!$D$4:$AY$138, MATCH('Staging Table'!$A95, LS_previous!$B$4:$B$138, 0), MATCH(P$4&amp;P$5, LS_previous!$D$2:$AY$2&amp;LS_previous!$D$3:$AY$3, 0)),SUM(VLOOKUP($A95, LS_previous!$B$4:$AY$138, LS_previous!H$149, FALSE), VLOOKUP('Staging Table'!$A95, LS_previous!$B$4:$AY$138,LS_previous!AF$149, FALSE))/2)</f>
        <v>0</v>
      </c>
      <c r="Q95" s="180">
        <f t="array" ref="Q95">IF($G95=0, INDEX(LS_previous!$D$4:$AY$138, MATCH('Staging Table'!$A95, LS_previous!$B$4:$B$138, 0), MATCH(Q$4&amp;Q$5, LS_previous!$D$2:$AY$2&amp;LS_previous!$D$3:$AY$3, 0)),SUM(VLOOKUP($A95, LS_previous!$B$4:$AY$138, LS_previous!I$149, FALSE), VLOOKUP('Staging Table'!$A95, LS_previous!$B$4:$AY$138,LS_previous!AG$149, FALSE))/2)</f>
        <v>0</v>
      </c>
      <c r="R95" s="180">
        <f t="array" ref="R95">IF($G95=0, INDEX(LS_previous!$D$4:$AY$138, MATCH('Staging Table'!$A95, LS_previous!$B$4:$B$138, 0), MATCH(R$4&amp;R$5, LS_previous!$D$2:$AY$2&amp;LS_previous!$D$3:$AY$3, 0)),SUM(VLOOKUP($A95, LS_previous!$B$4:$AY$138, LS_previous!J$149, FALSE), VLOOKUP('Staging Table'!$A95, LS_previous!$B$4:$AY$138,LS_previous!AH$149, FALSE))/2)</f>
        <v>0</v>
      </c>
      <c r="S95" s="180">
        <f t="array" ref="S95">IF($G95=0, INDEX(LS_previous!$D$4:$AY$138, MATCH('Staging Table'!$A95, LS_previous!$B$4:$B$138, 0), MATCH(S$4&amp;S$5, LS_previous!$D$2:$AY$2&amp;LS_previous!$D$3:$AY$3, 0)),SUM(VLOOKUP($A95, LS_previous!$B$4:$AY$138, LS_previous!K$149, FALSE), VLOOKUP('Staging Table'!$A95, LS_previous!$B$4:$AY$138,LS_previous!AI$149, FALSE))/2)</f>
        <v>0</v>
      </c>
      <c r="T95" s="180">
        <f t="array" ref="T95">IF($G95=0, INDEX(LS_previous!$D$4:$AY$138, MATCH('Staging Table'!$A95, LS_previous!$B$4:$B$138, 0), MATCH(T$4&amp;T$5, LS_previous!$D$2:$AY$2&amp;LS_previous!$D$3:$AY$3, 0)),SUM(VLOOKUP($A95, LS_previous!$B$4:$AY$138, LS_previous!L$149, FALSE), VLOOKUP('Staging Table'!$A95, LS_previous!$B$4:$AY$138,LS_previous!AJ$149, FALSE))/2)</f>
        <v>0</v>
      </c>
      <c r="U95" s="180">
        <f t="array" ref="U95">IF($G95=0, INDEX(LS_previous!$D$4:$AY$138, MATCH('Staging Table'!$A95, LS_previous!$B$4:$B$138, 0), MATCH(U$4&amp;U$5, LS_previous!$D$2:$AY$2&amp;LS_previous!$D$3:$AY$3, 0)),SUM(VLOOKUP($A95, LS_previous!$B$4:$AY$138, LS_previous!M$149, FALSE), VLOOKUP('Staging Table'!$A95, LS_previous!$B$4:$AY$138,LS_previous!AK$149, FALSE))/2)</f>
        <v>0</v>
      </c>
      <c r="V95" s="180">
        <f t="array" ref="V95">IF($G95=0, INDEX(LS_previous!$D$4:$AY$138, MATCH('Staging Table'!$A95, LS_previous!$B$4:$B$138, 0), MATCH(V$4&amp;V$5, LS_previous!$D$2:$AY$2&amp;LS_previous!$D$3:$AY$3, 0)),SUM(VLOOKUP($A95, LS_previous!$B$4:$AY$138, LS_previous!N$149, FALSE), VLOOKUP('Staging Table'!$A95, LS_previous!$B$4:$AY$138,LS_previous!AL$149, FALSE))/2)</f>
        <v>0</v>
      </c>
      <c r="W95" s="180">
        <f t="array" ref="W95">IF($G95=0, INDEX(LS_previous!$D$4:$AY$138, MATCH('Staging Table'!$A95, LS_previous!$B$4:$B$138, 0), MATCH(W$4&amp;W$5, LS_previous!$D$2:$AY$2&amp;LS_previous!$D$3:$AY$3, 0)),SUM(VLOOKUP($A95, LS_previous!$B$4:$AY$138, LS_previous!O$149, FALSE), VLOOKUP('Staging Table'!$A95, LS_previous!$B$4:$AY$138,LS_previous!AM$149, FALSE))/2)</f>
        <v>0</v>
      </c>
      <c r="X95" s="180">
        <f t="array" ref="X95">IF($G95=0, INDEX(LS_previous!$D$4:$AY$138, MATCH('Staging Table'!$A95, LS_previous!$B$4:$B$138, 0), MATCH(X$4&amp;X$5, LS_previous!$D$2:$AY$2&amp;LS_previous!$D$3:$AY$3, 0)),SUM(VLOOKUP($A95, LS_previous!$B$4:$AY$138, LS_previous!P$149, FALSE), VLOOKUP('Staging Table'!$A95, LS_previous!$B$4:$AY$138,LS_previous!AN$149, FALSE))/2)</f>
        <v>0</v>
      </c>
      <c r="Y95" s="180">
        <f t="array" ref="Y95">IF($G95=0, INDEX(LS_previous!$D$4:$AY$138, MATCH('Staging Table'!$A95, LS_previous!$B$4:$B$138, 0), MATCH(Y$4&amp;Y$5, LS_previous!$D$2:$AY$2&amp;LS_previous!$D$3:$AY$3, 0)),SUM(VLOOKUP($A95, LS_previous!$B$4:$AY$138, LS_previous!Q$149, FALSE), VLOOKUP('Staging Table'!$A95, LS_previous!$B$4:$AY$138,LS_previous!AO$149, FALSE))/2)</f>
        <v>0</v>
      </c>
      <c r="Z95" s="180">
        <f t="array" ref="Z95">IF($G95=0, INDEX(LS_previous!$D$4:$AY$138, MATCH('Staging Table'!$A95, LS_previous!$B$4:$B$138, 0), MATCH(Z$4&amp;Z$5, LS_previous!$D$2:$AY$2&amp;LS_previous!$D$3:$AY$3, 0)),SUM(VLOOKUP($A95, LS_previous!$B$4:$AY$138, LS_previous!R$149, FALSE), VLOOKUP('Staging Table'!$A95, LS_previous!$B$4:$AY$138,LS_previous!AP$149, FALSE))/2)</f>
        <v>0</v>
      </c>
      <c r="AA95" s="180">
        <f t="array" ref="AA95">IF($G95=0, INDEX(LS_previous!$D$4:$AY$138, MATCH('Staging Table'!$A95, LS_previous!$B$4:$B$138, 0), MATCH(AA$4&amp;AA$5, LS_previous!$D$2:$AY$2&amp;LS_previous!$D$3:$AY$3, 0)),SUM(VLOOKUP($A95, LS_previous!$B$4:$AY$138, LS_previous!S$149, FALSE), VLOOKUP('Staging Table'!$A95, LS_previous!$B$4:$AY$138,LS_previous!AQ$149, FALSE))/2)</f>
        <v>0</v>
      </c>
      <c r="AB95" s="180">
        <f t="array" ref="AB95">IF($G95=0, INDEX(LS_previous!$D$4:$AY$138, MATCH('Staging Table'!$A95, LS_previous!$B$4:$B$138, 0), MATCH(AB$4&amp;AB$5, LS_previous!$D$2:$AY$2&amp;LS_previous!$D$3:$AY$3, 0)),SUM(VLOOKUP($A95, LS_previous!$B$4:$AY$138, LS_previous!T$149, FALSE), VLOOKUP('Staging Table'!$A95, LS_previous!$B$4:$AY$138,LS_previous!AR$149, FALSE))/2)</f>
        <v>0</v>
      </c>
      <c r="AC95" s="180">
        <f t="array" ref="AC95">IF($G95=0, INDEX(LS_previous!$D$4:$AY$138, MATCH('Staging Table'!$A95, LS_previous!$B$4:$B$138, 0), MATCH(AC$4&amp;AC$5, LS_previous!$D$2:$AY$2&amp;LS_previous!$D$3:$AY$3, 0)),SUM(VLOOKUP($A95, LS_previous!$B$4:$AY$138, LS_previous!U$149, FALSE), VLOOKUP('Staging Table'!$A95, LS_previous!$B$4:$AY$138,LS_previous!AS$149, FALSE))/2)</f>
        <v>0</v>
      </c>
      <c r="AD95" s="180">
        <f t="array" ref="AD95">IF($G95=0, INDEX(LS_previous!$D$4:$AY$138, MATCH('Staging Table'!$A95, LS_previous!$B$4:$B$138, 0), MATCH(AD$4&amp;AD$5, LS_previous!$D$2:$AY$2&amp;LS_previous!$D$3:$AY$3, 0)),SUM(VLOOKUP($A95, LS_previous!$B$4:$AY$138, LS_previous!V$149, FALSE), VLOOKUP('Staging Table'!$A95, LS_previous!$B$4:$AY$138,LS_previous!AT$149, FALSE))/2)</f>
        <v>0</v>
      </c>
      <c r="AE95" s="180">
        <f t="array" ref="AE95">IF($G95=0, INDEX(LS_previous!$D$4:$AY$138, MATCH('Staging Table'!$A95, LS_previous!$B$4:$B$138, 0), MATCH(AE$4&amp;AE$5, LS_previous!$D$2:$AY$2&amp;LS_previous!$D$3:$AY$3, 0)),SUM(VLOOKUP($A95, LS_previous!$B$4:$AY$138, LS_previous!W$149, FALSE), VLOOKUP('Staging Table'!$A95, LS_previous!$B$4:$AY$138,LS_previous!AU$149, FALSE))/2)</f>
        <v>0</v>
      </c>
      <c r="AF95" s="180">
        <f t="array" ref="AF95">IF($G95=0, INDEX(LS_previous!$D$4:$AY$138, MATCH('Staging Table'!$A95, LS_previous!$B$4:$B$138, 0), MATCH(AF$4&amp;AF$5, LS_previous!$D$2:$AY$2&amp;LS_previous!$D$3:$AY$3, 0)),SUM(VLOOKUP($A95, LS_previous!$B$4:$AY$138, LS_previous!X$149, FALSE), VLOOKUP('Staging Table'!$A95, LS_previous!$B$4:$AY$138,LS_previous!AV$149, FALSE))/2)</f>
        <v>0</v>
      </c>
      <c r="AG95" s="180">
        <f t="array" ref="AG95">IF($G95=0, INDEX(LS_previous!$D$4:$AY$138, MATCH('Staging Table'!$A95, LS_previous!$B$4:$B$138, 0), MATCH(AG$4&amp;AG$5, LS_previous!$D$2:$AY$2&amp;LS_previous!$D$3:$AY$3, 0)),SUM(VLOOKUP($A95, LS_previous!$B$4:$AY$138, LS_previous!Y$149, FALSE), VLOOKUP('Staging Table'!$A95, LS_previous!$B$4:$AY$138,LS_previous!AW$149, FALSE))/2)</f>
        <v>0</v>
      </c>
      <c r="AH95" s="180">
        <f t="array" ref="AH95">IF($G95=0, INDEX(LS_previous!$D$4:$AY$138, MATCH('Staging Table'!$A95, LS_previous!$B$4:$B$138, 0), MATCH(AH$4&amp;AH$5, LS_previous!$D$2:$AY$2&amp;LS_previous!$D$3:$AY$3, 0)),SUM(VLOOKUP($A95, LS_previous!$B$4:$AY$138, LS_previous!Z$149, FALSE), VLOOKUP('Staging Table'!$A95, LS_previous!$B$4:$AY$138,LS_previous!AX$149, FALSE))/2)</f>
        <v>0</v>
      </c>
      <c r="AI95" s="180">
        <f t="array" ref="AI95">IF($G95=0, INDEX(LS_previous!$D$4:$AY$138, MATCH('Staging Table'!$A95, LS_previous!$B$4:$B$138, 0), MATCH(AI$4&amp;AI$5, LS_previous!$D$2:$AY$2&amp;LS_previous!$D$3:$AY$3, 0)),SUM(VLOOKUP($A95, LS_previous!$B$4:$AY$138, LS_previous!AA$149, FALSE), VLOOKUP('Staging Table'!$A95, LS_previous!$B$4:$AY$138,LS_previous!AY$149, FALSE))/2)</f>
        <v>0</v>
      </c>
      <c r="AJ95" s="298">
        <f t="array" ref="AJ95">INDEX(Demand_previous!$D$4:$AY$138, MATCH('Staging Table'!$A95, Demand_previous!$B$4:$B$138, 0), MATCH(AJ$4&amp;AJ$5,Demand_previous!$D$2:$AY$2&amp;Demand_previous!$D$3:$AY$3, 0))/1000</f>
        <v>0</v>
      </c>
      <c r="AK95" s="298">
        <f t="array" ref="AK95">INDEX(Demand_previous!$D$4:$AY$138, MATCH('Staging Table'!$A95, Demand_previous!$B$4:$B$138, 0), MATCH(AK$4&amp;AK$5,Demand_previous!$D$2:$AY$2&amp;Demand_previous!$D$3:$AY$3, 0))/1000</f>
        <v>0</v>
      </c>
      <c r="AL95" s="298">
        <f t="array" ref="AL95">INDEX(Demand_previous!$D$4:$AY$138, MATCH('Staging Table'!$A95, Demand_previous!$B$4:$B$138, 0), MATCH(AL$4&amp;AL$5,Demand_previous!$D$2:$AY$2&amp;Demand_previous!$D$3:$AY$3, 0))/1000</f>
        <v>0</v>
      </c>
      <c r="AM95" s="298">
        <f t="array" ref="AM95">INDEX(Demand_previous!$D$4:$AY$138, MATCH('Staging Table'!$A95, Demand_previous!$B$4:$B$138, 0), MATCH(AM$4&amp;AM$5,Demand_previous!$D$2:$AY$2&amp;Demand_previous!$D$3:$AY$3, 0))/1000</f>
        <v>0</v>
      </c>
      <c r="AN95" s="298">
        <f t="array" ref="AN95">INDEX(Demand_previous!$D$4:$AY$138, MATCH('Staging Table'!$A95, Demand_previous!$B$4:$B$138, 0), MATCH(AN$4&amp;AN$5,Demand_previous!$D$2:$AY$2&amp;Demand_previous!$D$3:$AY$3, 0))/1000</f>
        <v>0</v>
      </c>
      <c r="AO95" s="298">
        <f t="array" ref="AO95">INDEX(Demand_previous!$D$4:$AY$138, MATCH('Staging Table'!$A95, Demand_previous!$B$4:$B$138, 0), MATCH(AO$4&amp;AO$5,Demand_previous!$D$2:$AY$2&amp;Demand_previous!$D$3:$AY$3, 0))/1000</f>
        <v>0</v>
      </c>
      <c r="AP95" s="298">
        <f t="array" ref="AP95">INDEX(Demand_previous!$D$4:$AY$138, MATCH('Staging Table'!$A95, Demand_previous!$B$4:$B$138, 0), MATCH(AP$4&amp;AP$5,Demand_previous!$D$2:$AY$2&amp;Demand_previous!$D$3:$AY$3, 0))/1000</f>
        <v>0</v>
      </c>
      <c r="AQ95" s="298">
        <f t="array" ref="AQ95">INDEX(Demand_previous!$D$4:$AY$138, MATCH('Staging Table'!$A95, Demand_previous!$B$4:$B$138, 0), MATCH(AQ$4&amp;AQ$5,Demand_previous!$D$2:$AY$2&amp;Demand_previous!$D$3:$AY$3, 0))/1000</f>
        <v>0</v>
      </c>
      <c r="AR95" s="298">
        <f t="array" ref="AR95">INDEX(Demand_previous!$D$4:$AY$138, MATCH('Staging Table'!$A95, Demand_previous!$B$4:$B$138, 0), MATCH(AR$4&amp;AR$5,Demand_previous!$D$2:$AY$2&amp;Demand_previous!$D$3:$AY$3, 0))/1000</f>
        <v>0</v>
      </c>
      <c r="AS95" s="298">
        <f t="array" ref="AS95">INDEX(Demand_previous!$D$4:$AY$138, MATCH('Staging Table'!$A95, Demand_previous!$B$4:$B$138, 0), MATCH(AS$4&amp;AS$5,Demand_previous!$D$2:$AY$2&amp;Demand_previous!$D$3:$AY$3, 0))/1000</f>
        <v>0</v>
      </c>
      <c r="AT95" s="298">
        <f t="array" ref="AT95">INDEX(Demand_previous!$D$4:$AY$138, MATCH('Staging Table'!$A95, Demand_previous!$B$4:$B$138, 0), MATCH(AT$4&amp;AT$5,Demand_previous!$D$2:$AY$2&amp;Demand_previous!$D$3:$AY$3, 0))/1000</f>
        <v>0</v>
      </c>
      <c r="AU95" s="298">
        <f t="array" ref="AU95">INDEX(Demand_previous!$D$4:$AY$138, MATCH('Staging Table'!$A95, Demand_previous!$B$4:$B$138, 0), MATCH(AU$4&amp;AU$5,Demand_previous!$D$2:$AY$2&amp;Demand_previous!$D$3:$AY$3, 0))/1000</f>
        <v>0</v>
      </c>
      <c r="AV95" s="180">
        <f>$F95*(VLOOKUP(AV$4, Rates_previous!$G$6:$Q$29, 10, FALSE)+VLOOKUP(AV$4, Rates_previous!$G$6:$Q$29, 11, FALSE))</f>
        <v>4210.1031269953937</v>
      </c>
      <c r="AW95" s="180">
        <f>$F95*(VLOOKUP(AW$4, Rates_previous!$G$6:$Q$29, 10, FALSE)+VLOOKUP(AW$4, Rates_previous!$G$6:$Q$29, 11, FALSE))</f>
        <v>5330.1433539332747</v>
      </c>
      <c r="AX95" s="180">
        <f>$F95*(VLOOKUP(AX$4, Rates_previous!$G$6:$Q$29, 10, FALSE)+VLOOKUP(AX$4, Rates_previous!$G$6:$Q$29, 11, FALSE))</f>
        <v>5217.1454703208383</v>
      </c>
      <c r="AY95" s="180">
        <f>$F95*(VLOOKUP(AY$4, Rates_previous!$G$6:$Q$29, 10, FALSE)+VLOOKUP(AY$4, Rates_previous!$G$6:$Q$29, 11, FALSE))</f>
        <v>4309.140300198721</v>
      </c>
      <c r="AZ95" s="180">
        <f>$F95*(VLOOKUP(AZ$4, Rates_previous!$G$6:$Q$29, 10, FALSE)+VLOOKUP(AZ$4, Rates_previous!$G$6:$Q$29, 11, FALSE))</f>
        <v>3734.8263419904415</v>
      </c>
      <c r="BA95" s="180">
        <f>$F95*(VLOOKUP(BA$4, Rates_previous!$G$6:$Q$29, 10, FALSE)+VLOOKUP(BA$4, Rates_previous!$G$6:$Q$29, 11, FALSE))</f>
        <v>4458.6284443176801</v>
      </c>
      <c r="BB95" s="180">
        <f>$F95*(VLOOKUP(BB$4, Rates_previous!$G$6:$Q$29, 10, FALSE)+VLOOKUP(BB$4, Rates_previous!$G$6:$Q$29, 11, FALSE))</f>
        <v>3461.5314147151207</v>
      </c>
      <c r="BC95" s="180">
        <f>$F95*(VLOOKUP(BC$4, Rates_previous!$G$6:$Q$29, 10, FALSE)+VLOOKUP(BC$4, Rates_previous!$G$6:$Q$29, 11, FALSE))</f>
        <v>4795.9772484425275</v>
      </c>
      <c r="BD95" s="180">
        <f>$F95*(VLOOKUP(BD$4, Rates_previous!$G$6:$Q$29, 10, FALSE)+VLOOKUP(BD$4, Rates_previous!$G$6:$Q$29, 11, FALSE))</f>
        <v>5124.6021136539803</v>
      </c>
      <c r="BE95" s="180">
        <f>$F95*(VLOOKUP(BE$4, Rates_previous!$G$6:$Q$29, 10, FALSE)+VLOOKUP(BE$4, Rates_previous!$G$6:$Q$29, 11, FALSE))</f>
        <v>4865.5776567378889</v>
      </c>
      <c r="BF95" s="180">
        <f>$F95*(VLOOKUP(BF$4, Rates_previous!$G$6:$Q$29, 10, FALSE)+VLOOKUP(BF$4, Rates_previous!$G$6:$Q$29, 11, FALSE))</f>
        <v>4702.2054454508871</v>
      </c>
      <c r="BG95" s="180">
        <f>$F95*(VLOOKUP(BG$4, Rates_previous!$G$6:$Q$29, 10, FALSE)+VLOOKUP(BG$4, Rates_previous!$G$6:$Q$29, 11, FALSE))</f>
        <v>4345.3280170882554</v>
      </c>
      <c r="BH95" s="298">
        <f>IF($D95=0,IF(C95=0, MAX(BJ95 - (VLOOKUP($A95,TOCA_previous!$A$2:$AI$137,MATCH("RHWM 2022",TOCA_previous!$A$2:$AI$2,0),FALSE)*$F$2*TOCA_previous!C92),0),0), 0)</f>
        <v>0</v>
      </c>
      <c r="BI95" s="192">
        <f>MIN(VLOOKUP($A95,TOCA_previous!$A$2:$AI$137,MATCH("TRL - NLSL - Existing Resource "&amp;$F$1,TOCA_previous!$A$2:$AI$2,0),FALSE)*$F$2,(VLOOKUP($A95,TOCA_previous!$A$2:$AI$137,MATCH("RHWM 2022",TOCA_previous!$A$2:$AI$2,0),FALSE)*$F$2))</f>
        <v>54557.279999999999</v>
      </c>
      <c r="BJ95" s="402">
        <f>SUM(L95:AI95)+(F95*RT1SC!$C$3*$F$2)</f>
        <v>54555.211724579996</v>
      </c>
      <c r="BK95" s="401">
        <f>VLOOKUP($A95,TOCA_previous!$A$2:$AI$137,MATCH("Above RHWM Not Served with LS "&amp;$F$1,TOCA_previous!$A$2:$AI$2,0),FALSE)*$F$2</f>
        <v>6149.5199999999995</v>
      </c>
      <c r="BL95" s="402">
        <f t="shared" si="27"/>
        <v>-2.0682754200024647</v>
      </c>
      <c r="BM95" s="401">
        <f>(VLOOKUP($A95,TOCA_previous!$A$2:$AI$137,MATCH("RHWM 2022",TOCA_previous!$A$2:$AI$2,0),FALSE)*$F$2) - $BI95</f>
        <v>0</v>
      </c>
      <c r="BN95" s="402">
        <f t="shared" si="28"/>
        <v>0</v>
      </c>
      <c r="BO95" s="401">
        <f t="shared" si="29"/>
        <v>0</v>
      </c>
      <c r="BP95" s="402">
        <f t="shared" si="30"/>
        <v>0</v>
      </c>
      <c r="BQ95" s="401">
        <f t="shared" si="21"/>
        <v>0</v>
      </c>
      <c r="BR95" s="108">
        <f>VLOOKUP($A95,TOCA_current!$A$2:$AI$137,MATCH(BR$4,TOCA_current!$A$2:$AI$2,0),FALSE)</f>
        <v>9.2429999999999997E-4</v>
      </c>
      <c r="BS95" s="108">
        <f>VLOOKUP($A95,TOCA_current!$A$2:$AI$137,MATCH(BS$4,TOCA_current!$A$2:$AI$2,0),FALSE)</f>
        <v>9.2429999999999997E-4</v>
      </c>
      <c r="BT95" s="189">
        <f t="shared" si="31"/>
        <v>0</v>
      </c>
      <c r="BU95" s="108">
        <f>VLOOKUP($A95,TOCA_current!A91:BG226,MATCH(BU$4,TOCA_current!$A$2:$BG$2,0),FALSE)</f>
        <v>7.7484300811762913E-2</v>
      </c>
      <c r="BV95" s="108">
        <f t="shared" si="22"/>
        <v>7.7484300811762913E-2</v>
      </c>
      <c r="BW95" s="108">
        <f t="shared" si="23"/>
        <v>9.2429999999999997E-4</v>
      </c>
      <c r="BX95" s="179">
        <f>VLOOKUP($A95,IRD!$A$4:$G$139, 7, FALSE)</f>
        <v>0</v>
      </c>
      <c r="BY95" s="180">
        <f t="array" ref="BY95">IF($BT95=0, INDEX(LS_current!$D$4:$AY$138, MATCH('Staging Table'!$A95, LS_current!$B$4:$B$138, 0), MATCH(BY$4&amp;BY$5, LS_current!$D$2:$AY$2&amp;LS_current!$D$3:$AY$3, 0)),SUM(VLOOKUP($A95, LS_current!$B$4:$AY$138, LS_current!D$148, FALSE), VLOOKUP($A95, LS_current!$B$4:$AY$138,LS_current!AB$148, FALSE))/2)</f>
        <v>0</v>
      </c>
      <c r="BZ95" s="180">
        <f t="array" ref="BZ95">IF($BT95=0, INDEX(LS_current!$D$4:$AY$138, MATCH('Staging Table'!$A95, LS_current!$B$4:$B$138, 0), MATCH(BZ$4&amp;BZ$5, LS_current!$D$2:$AY$2&amp;LS_current!$D$3:$AY$3, 0)),SUM(VLOOKUP($A95, LS_current!$B$4:$AY$138, LS_current!E$148, FALSE), VLOOKUP($A95, LS_current!$B$4:$AY$138,LS_current!AC$148, FALSE))/2)</f>
        <v>0</v>
      </c>
      <c r="CA95" s="180">
        <f t="array" ref="CA95">IF($BT95=0, INDEX(LS_current!$D$4:$AY$138, MATCH('Staging Table'!$A95, LS_current!$B$4:$B$138, 0), MATCH(CA$4&amp;CA$5, LS_current!$D$2:$AY$2&amp;LS_current!$D$3:$AY$3, 0)),SUM(VLOOKUP($A95, LS_current!$B$4:$AY$138, LS_current!F$148, FALSE), VLOOKUP($A95, LS_current!$B$4:$AY$138,LS_current!AD$148, FALSE))/2)</f>
        <v>0</v>
      </c>
      <c r="CB95" s="180">
        <f t="array" ref="CB95">IF($BT95=0, INDEX(LS_current!$D$4:$AY$138, MATCH('Staging Table'!$A95, LS_current!$B$4:$B$138, 0), MATCH(CB$4&amp;CB$5, LS_current!$D$2:$AY$2&amp;LS_current!$D$3:$AY$3, 0)),SUM(VLOOKUP($A95, LS_current!$B$4:$AY$138, LS_current!G$148, FALSE), VLOOKUP($A95, LS_current!$B$4:$AY$138,LS_current!AE$148, FALSE))/2)</f>
        <v>0</v>
      </c>
      <c r="CC95" s="180">
        <f t="array" ref="CC95">IF($BT95=0, INDEX(LS_current!$D$4:$AY$138, MATCH('Staging Table'!$A95, LS_current!$B$4:$B$138, 0), MATCH(CC$4&amp;CC$5, LS_current!$D$2:$AY$2&amp;LS_current!$D$3:$AY$3, 0)),SUM(VLOOKUP($A95, LS_current!$B$4:$AY$138, LS_current!H$148, FALSE), VLOOKUP($A95, LS_current!$B$4:$AY$138,LS_current!AF$148, FALSE))/2)</f>
        <v>0</v>
      </c>
      <c r="CD95" s="180">
        <f t="array" ref="CD95">IF($BT95=0, INDEX(LS_current!$D$4:$AY$138, MATCH('Staging Table'!$A95, LS_current!$B$4:$B$138, 0), MATCH(CD$4&amp;CD$5, LS_current!$D$2:$AY$2&amp;LS_current!$D$3:$AY$3, 0)),SUM(VLOOKUP($A95, LS_current!$B$4:$AY$138, LS_current!I$148, FALSE), VLOOKUP($A95, LS_current!$B$4:$AY$138,LS_current!AG$148, FALSE))/2)</f>
        <v>0</v>
      </c>
      <c r="CE95" s="180">
        <f t="array" ref="CE95">IF($BT95=0, INDEX(LS_current!$D$4:$AY$138, MATCH('Staging Table'!$A95, LS_current!$B$4:$B$138, 0), MATCH(CE$4&amp;CE$5, LS_current!$D$2:$AY$2&amp;LS_current!$D$3:$AY$3, 0)),SUM(VLOOKUP($A95, LS_current!$B$4:$AY$138, LS_current!J$148, FALSE), VLOOKUP($A95, LS_current!$B$4:$AY$138,LS_current!AH$148, FALSE))/2)</f>
        <v>0</v>
      </c>
      <c r="CF95" s="180">
        <f t="array" ref="CF95">IF($BT95=0, INDEX(LS_current!$D$4:$AY$138, MATCH('Staging Table'!$A95, LS_current!$B$4:$B$138, 0), MATCH(CF$4&amp;CF$5, LS_current!$D$2:$AY$2&amp;LS_current!$D$3:$AY$3, 0)),SUM(VLOOKUP($A95, LS_current!$B$4:$AY$138, LS_current!K$148, FALSE), VLOOKUP($A95, LS_current!$B$4:$AY$138,LS_current!AI$148, FALSE))/2)</f>
        <v>0</v>
      </c>
      <c r="CG95" s="180">
        <f t="array" ref="CG95">IF($BT95=0, INDEX(LS_current!$D$4:$AY$138, MATCH('Staging Table'!$A95, LS_current!$B$4:$B$138, 0), MATCH(CG$4&amp;CG$5, LS_current!$D$2:$AY$2&amp;LS_current!$D$3:$AY$3, 0)),SUM(VLOOKUP($A95, LS_current!$B$4:$AY$138, LS_current!L$148, FALSE), VLOOKUP($A95, LS_current!$B$4:$AY$138,LS_current!AJ$148, FALSE))/2)</f>
        <v>0</v>
      </c>
      <c r="CH95" s="180">
        <f t="array" ref="CH95">IF($BT95=0, INDEX(LS_current!$D$4:$AY$138, MATCH('Staging Table'!$A95, LS_current!$B$4:$B$138, 0), MATCH(CH$4&amp;CH$5, LS_current!$D$2:$AY$2&amp;LS_current!$D$3:$AY$3, 0)),SUM(VLOOKUP($A95, LS_current!$B$4:$AY$138, LS_current!M$148, FALSE), VLOOKUP($A95, LS_current!$B$4:$AY$138,LS_current!AK$148, FALSE))/2)</f>
        <v>0</v>
      </c>
      <c r="CI95" s="180">
        <f t="array" ref="CI95">IF($BT95=0, INDEX(LS_current!$D$4:$AY$138, MATCH('Staging Table'!$A95, LS_current!$B$4:$B$138, 0), MATCH(CI$4&amp;CI$5, LS_current!$D$2:$AY$2&amp;LS_current!$D$3:$AY$3, 0)),SUM(VLOOKUP($A95, LS_current!$B$4:$AY$138, LS_current!N$148, FALSE), VLOOKUP($A95, LS_current!$B$4:$AY$138,LS_current!AL$148, FALSE))/2)</f>
        <v>0</v>
      </c>
      <c r="CJ95" s="180">
        <f t="array" ref="CJ95">IF($BT95=0, INDEX(LS_current!$D$4:$AY$138, MATCH('Staging Table'!$A95, LS_current!$B$4:$B$138, 0), MATCH(CJ$4&amp;CJ$5, LS_current!$D$2:$AY$2&amp;LS_current!$D$3:$AY$3, 0)),SUM(VLOOKUP($A95, LS_current!$B$4:$AY$138, LS_current!O$148, FALSE), VLOOKUP($A95, LS_current!$B$4:$AY$138,LS_current!AM$148, FALSE))/2)</f>
        <v>0</v>
      </c>
      <c r="CK95" s="180">
        <f t="array" ref="CK95">IF($BT95=0, INDEX(LS_current!$D$4:$AY$138, MATCH('Staging Table'!$A95, LS_current!$B$4:$B$138, 0), MATCH(CK$4&amp;CK$5, LS_current!$D$2:$AY$2&amp;LS_current!$D$3:$AY$3, 0)),SUM(VLOOKUP($A95, LS_current!$B$4:$AY$138, LS_current!P$148, FALSE), VLOOKUP($A95, LS_current!$B$4:$AY$138,LS_current!AN$148, FALSE))/2)</f>
        <v>0</v>
      </c>
      <c r="CL95" s="180">
        <f t="array" ref="CL95">IF($BT95=0, INDEX(LS_current!$D$4:$AY$138, MATCH('Staging Table'!$A95, LS_current!$B$4:$B$138, 0), MATCH(CL$4&amp;CL$5, LS_current!$D$2:$AY$2&amp;LS_current!$D$3:$AY$3, 0)),SUM(VLOOKUP($A95, LS_current!$B$4:$AY$138, LS_current!Q$148, FALSE), VLOOKUP($A95, LS_current!$B$4:$AY$138,LS_current!AO$148, FALSE))/2)</f>
        <v>0</v>
      </c>
      <c r="CM95" s="180">
        <f t="array" ref="CM95">IF($BT95=0, INDEX(LS_current!$D$4:$AY$138, MATCH('Staging Table'!$A95, LS_current!$B$4:$B$138, 0), MATCH(CM$4&amp;CM$5, LS_current!$D$2:$AY$2&amp;LS_current!$D$3:$AY$3, 0)),SUM(VLOOKUP($A95, LS_current!$B$4:$AY$138, LS_current!R$148, FALSE), VLOOKUP($A95, LS_current!$B$4:$AY$138,LS_current!AP$148, FALSE))/2)</f>
        <v>0</v>
      </c>
      <c r="CN95" s="180">
        <f t="array" ref="CN95">IF($BT95=0, INDEX(LS_current!$D$4:$AY$138, MATCH('Staging Table'!$A95, LS_current!$B$4:$B$138, 0), MATCH(CN$4&amp;CN$5, LS_current!$D$2:$AY$2&amp;LS_current!$D$3:$AY$3, 0)),SUM(VLOOKUP($A95, LS_current!$B$4:$AY$138, LS_current!S$148, FALSE), VLOOKUP($A95, LS_current!$B$4:$AY$138,LS_current!AQ$148, FALSE))/2)</f>
        <v>0</v>
      </c>
      <c r="CO95" s="180">
        <f t="array" ref="CO95">IF($BT95=0, INDEX(LS_current!$D$4:$AY$138, MATCH('Staging Table'!$A95, LS_current!$B$4:$B$138, 0), MATCH(CO$4&amp;CO$5, LS_current!$D$2:$AY$2&amp;LS_current!$D$3:$AY$3, 0)),SUM(VLOOKUP($A95, LS_current!$B$4:$AY$138, LS_current!T$148, FALSE), VLOOKUP($A95, LS_current!$B$4:$AY$138,LS_current!AR$148, FALSE))/2)</f>
        <v>0</v>
      </c>
      <c r="CP95" s="180">
        <f t="array" ref="CP95">IF($BT95=0, INDEX(LS_current!$D$4:$AY$138, MATCH('Staging Table'!$A95, LS_current!$B$4:$B$138, 0), MATCH(CP$4&amp;CP$5, LS_current!$D$2:$AY$2&amp;LS_current!$D$3:$AY$3, 0)),SUM(VLOOKUP($A95, LS_current!$B$4:$AY$138, LS_current!U$148, FALSE), VLOOKUP($A95, LS_current!$B$4:$AY$138,LS_current!AS$148, FALSE))/2)</f>
        <v>0</v>
      </c>
      <c r="CQ95" s="180">
        <f t="array" ref="CQ95">IF($BT95=0, INDEX(LS_current!$D$4:$AY$138, MATCH('Staging Table'!$A95, LS_current!$B$4:$B$138, 0), MATCH(CQ$4&amp;CQ$5, LS_current!$D$2:$AY$2&amp;LS_current!$D$3:$AY$3, 0)),SUM(VLOOKUP($A95, LS_current!$B$4:$AY$138, LS_current!V$148, FALSE), VLOOKUP($A95, LS_current!$B$4:$AY$138,LS_current!AT$148, FALSE))/2)</f>
        <v>0</v>
      </c>
      <c r="CR95" s="180">
        <f t="array" ref="CR95">IF($BT95=0, INDEX(LS_current!$D$4:$AY$138, MATCH('Staging Table'!$A95, LS_current!$B$4:$B$138, 0), MATCH(CR$4&amp;CR$5, LS_current!$D$2:$AY$2&amp;LS_current!$D$3:$AY$3, 0)),SUM(VLOOKUP($A95, LS_current!$B$4:$AY$138, LS_current!W$148, FALSE), VLOOKUP($A95, LS_current!$B$4:$AY$138,LS_current!AU$148, FALSE))/2)</f>
        <v>0</v>
      </c>
      <c r="CS95" s="180">
        <f t="array" ref="CS95">IF($BT95=0, INDEX(LS_current!$D$4:$AY$138, MATCH('Staging Table'!$A95, LS_current!$B$4:$B$138, 0), MATCH(CS$4&amp;CS$5, LS_current!$D$2:$AY$2&amp;LS_current!$D$3:$AY$3, 0)),SUM(VLOOKUP($A95, LS_current!$B$4:$AY$138, LS_current!X$148, FALSE), VLOOKUP($A95, LS_current!$B$4:$AY$138,LS_current!AV$148, FALSE))/2)</f>
        <v>0</v>
      </c>
      <c r="CT95" s="180">
        <f t="array" ref="CT95">IF($BT95=0, INDEX(LS_current!$D$4:$AY$138, MATCH('Staging Table'!$A95, LS_current!$B$4:$B$138, 0), MATCH(CT$4&amp;CT$5, LS_current!$D$2:$AY$2&amp;LS_current!$D$3:$AY$3, 0)),SUM(VLOOKUP($A95, LS_current!$B$4:$AY$138, LS_current!Y$148, FALSE), VLOOKUP($A95, LS_current!$B$4:$AY$138,LS_current!AW$148, FALSE))/2)</f>
        <v>0</v>
      </c>
      <c r="CU95" s="180">
        <f t="array" ref="CU95">IF($BT95=0, INDEX(LS_current!$D$4:$AY$138, MATCH('Staging Table'!$A95, LS_current!$B$4:$B$138, 0), MATCH(CU$4&amp;CU$5, LS_current!$D$2:$AY$2&amp;LS_current!$D$3:$AY$3, 0)),SUM(VLOOKUP($A95, LS_current!$B$4:$AY$138, LS_current!Z$148, FALSE), VLOOKUP($A95, LS_current!$B$4:$AY$138,LS_current!AX$148, FALSE))/2)</f>
        <v>0</v>
      </c>
      <c r="CV95" s="180">
        <f t="array" ref="CV95">IF($BT95=0, INDEX(LS_current!$D$4:$AY$138, MATCH('Staging Table'!$A95, LS_current!$B$4:$B$138, 0), MATCH(CV$4&amp;CV$5, LS_current!$D$2:$AY$2&amp;LS_current!$D$3:$AY$3, 0)),SUM(VLOOKUP($A95, LS_current!$B$4:$AY$138, LS_current!AA$148, FALSE), VLOOKUP($A95, LS_current!$B$4:$AY$138,LS_current!AY$148, FALSE))/2)</f>
        <v>0</v>
      </c>
      <c r="CW95" s="182">
        <f t="array" ref="CW95">INDEX(Demand_current!$D$4:$AY$138, MATCH($A95, Demand_current!$B$4:$B$138, 0), MATCH(CW$4&amp;CW$5,Demand_current!$D$2:$AY$2&amp;Demand_current!$D$3:$AY$3, 0))/1000</f>
        <v>0</v>
      </c>
      <c r="CX95" s="182">
        <f t="array" ref="CX95">INDEX(Demand_current!$D$4:$AY$138, MATCH($A95, Demand_current!$B$4:$B$138, 0), MATCH(CX$4&amp;CX$5,Demand_current!$D$2:$AY$2&amp;Demand_current!$D$3:$AY$3, 0))/1000</f>
        <v>0</v>
      </c>
      <c r="CY95" s="182">
        <f t="array" ref="CY95">INDEX(Demand_current!$D$4:$AY$138, MATCH($A95, Demand_current!$B$4:$B$138, 0), MATCH(CY$4&amp;CY$5,Demand_current!$D$2:$AY$2&amp;Demand_current!$D$3:$AY$3, 0))/1000</f>
        <v>0</v>
      </c>
      <c r="CZ95" s="182">
        <f t="array" ref="CZ95">INDEX(Demand_current!$D$4:$AY$138, MATCH($A95, Demand_current!$B$4:$B$138, 0), MATCH(CZ$4&amp;CZ$5,Demand_current!$D$2:$AY$2&amp;Demand_current!$D$3:$AY$3, 0))/1000</f>
        <v>0</v>
      </c>
      <c r="DA95" s="182">
        <f t="array" ref="DA95">INDEX(Demand_current!$D$4:$AY$138, MATCH($A95, Demand_current!$B$4:$B$138, 0), MATCH(DA$4&amp;DA$5,Demand_current!$D$2:$AY$2&amp;Demand_current!$D$3:$AY$3, 0))/1000</f>
        <v>0</v>
      </c>
      <c r="DB95" s="182">
        <f t="array" ref="DB95">INDEX(Demand_current!$D$4:$AY$138, MATCH($A95, Demand_current!$B$4:$B$138, 0), MATCH(DB$4&amp;DB$5,Demand_current!$D$2:$AY$2&amp;Demand_current!$D$3:$AY$3, 0))/1000</f>
        <v>0</v>
      </c>
      <c r="DC95" s="182">
        <f t="array" ref="DC95">INDEX(Demand_current!$D$4:$AY$138, MATCH($A95, Demand_current!$B$4:$B$138, 0), MATCH(DC$4&amp;DC$5,Demand_current!$D$2:$AY$2&amp;Demand_current!$D$3:$AY$3, 0))/1000</f>
        <v>0</v>
      </c>
      <c r="DD95" s="182">
        <f t="array" ref="DD95">INDEX(Demand_current!$D$4:$AY$138, MATCH($A95, Demand_current!$B$4:$B$138, 0), MATCH(DD$4&amp;DD$5,Demand_current!$D$2:$AY$2&amp;Demand_current!$D$3:$AY$3, 0))/1000</f>
        <v>0</v>
      </c>
      <c r="DE95" s="182">
        <f t="array" ref="DE95">INDEX(Demand_current!$D$4:$AY$138, MATCH($A95, Demand_current!$B$4:$B$138, 0), MATCH(DE$4&amp;DE$5,Demand_current!$D$2:$AY$2&amp;Demand_current!$D$3:$AY$3, 0))/1000</f>
        <v>0</v>
      </c>
      <c r="DF95" s="182">
        <f t="array" ref="DF95">INDEX(Demand_current!$D$4:$AY$138, MATCH($A95, Demand_current!$B$4:$B$138, 0), MATCH(DF$4&amp;DF$5,Demand_current!$D$2:$AY$2&amp;Demand_current!$D$3:$AY$3, 0))/1000</f>
        <v>0</v>
      </c>
      <c r="DG95" s="182">
        <f t="array" ref="DG95">INDEX(Demand_current!$D$4:$AY$138, MATCH($A95, Demand_current!$B$4:$B$138, 0), MATCH(DG$4&amp;DG$5,Demand_current!$D$2:$AY$2&amp;Demand_current!$D$3:$AY$3, 0))/1000</f>
        <v>0</v>
      </c>
      <c r="DH95" s="182">
        <f t="array" ref="DH95">INDEX(Demand_current!$D$4:$AY$138, MATCH($A95, Demand_current!$B$4:$B$138, 0), MATCH(DH$4&amp;DH$5,Demand_current!$D$2:$AY$2&amp;Demand_current!$D$3:$AY$3, 0))/1000</f>
        <v>0</v>
      </c>
      <c r="DI95" s="180">
        <f>$BS95*(VLOOKUP(DI$4, Rates_current!$G$6:$Q$29, 10, FALSE)+VLOOKUP(DI$4, Rates_current!$G$6:$Q$29, 11, FALSE))</f>
        <v>3899.4403167544497</v>
      </c>
      <c r="DJ95" s="180">
        <f>$BS95*(VLOOKUP(DJ$4, Rates_current!$G$6:$Q$29, 10, FALSE)+VLOOKUP(DJ$4, Rates_current!$G$6:$Q$29, 11, FALSE))</f>
        <v>4973.0722559037004</v>
      </c>
      <c r="DK95" s="180">
        <f>$BS95*(VLOOKUP(DK$4, Rates_current!$G$6:$Q$29, 10, FALSE)+VLOOKUP(DK$4, Rates_current!$G$6:$Q$29, 11, FALSE))</f>
        <v>5366.9289417705004</v>
      </c>
      <c r="DL95" s="180">
        <f>$BS95*(VLOOKUP(DL$4, Rates_current!$G$6:$Q$29, 10, FALSE)+VLOOKUP(DL$4, Rates_current!$G$6:$Q$29, 11, FALSE))</f>
        <v>5577.0688323792001</v>
      </c>
      <c r="DM95" s="180">
        <f>$BS95*(VLOOKUP(DM$4, Rates_current!$G$6:$Q$29, 10, FALSE)+VLOOKUP(DM$4, Rates_current!$G$6:$Q$29, 11, FALSE))</f>
        <v>4797.0225716633995</v>
      </c>
      <c r="DN95" s="180">
        <f>$BS95*(VLOOKUP(DN$4, Rates_current!$G$6:$Q$29, 10, FALSE)+VLOOKUP(DN$4, Rates_current!$G$6:$Q$29, 11, FALSE))</f>
        <v>5237.3988855512998</v>
      </c>
      <c r="DO95" s="180">
        <f>$BS95*(VLOOKUP(DO$4, Rates_current!$G$6:$Q$29, 10, FALSE)+VLOOKUP(DO$4, Rates_current!$G$6:$Q$29, 11, FALSE))</f>
        <v>4134.0438114387744</v>
      </c>
      <c r="DP95" s="180">
        <f>$BS95*(VLOOKUP(DP$4, Rates_current!$G$6:$Q$29, 10, FALSE)+VLOOKUP(DP$4, Rates_current!$G$6:$Q$29, 11, FALSE))</f>
        <v>5128.8353358079503</v>
      </c>
      <c r="DQ95" s="180">
        <f>$BS95*(VLOOKUP(DQ$4, Rates_current!$G$6:$Q$29, 10, FALSE)+VLOOKUP(DQ$4, Rates_current!$G$6:$Q$29, 11, FALSE))</f>
        <v>5240.1182588761494</v>
      </c>
      <c r="DR95" s="180">
        <f>$BS95*(VLOOKUP(DR$4, Rates_current!$G$6:$Q$29, 10, FALSE)+VLOOKUP(DR$4, Rates_current!$G$6:$Q$29, 11, FALSE))</f>
        <v>4549.17758406345</v>
      </c>
      <c r="DS95" s="180">
        <f>$BS95*(VLOOKUP(DS$4, Rates_current!$G$6:$Q$29, 10, FALSE)+VLOOKUP(DS$4, Rates_current!$G$6:$Q$29, 11, FALSE))</f>
        <v>4397.8455127228053</v>
      </c>
      <c r="DT95" s="180">
        <f>$BS95*(VLOOKUP(DT$4, Rates_current!$G$6:$Q$29, 10, FALSE)+VLOOKUP(DT$4, Rates_current!$G$6:$Q$29, 11, FALSE))</f>
        <v>4046.8695094854002</v>
      </c>
      <c r="DU95" s="402">
        <f>IF(D95=0,IF(C95=0,MAX(0,DW95 - (VLOOKUP($A95,TOCA_current!$A$2:$AI$137,MATCH("RHWM 2024",TOCA_current!$A$2:$AI$2,0),FALSE)*$BS$2)), 0),0)</f>
        <v>0</v>
      </c>
      <c r="DV95" s="403">
        <f>MIN(VLOOKUP($A95,TOCA_current!$A$2:$AI$137,MATCH("TRL - NLSL - Existing Resource "&amp;$BS$1,TOCA_current!$A$2:$AI$2,0),FALSE)*$BS$2, VLOOKUP($A95,TOCA_current!$A$2:$AI$137,MATCH("RHWM 2024",TOCA_current!$A$2:$AI$2,0),FALSE)*$BS$2)</f>
        <v>57350.735999999997</v>
      </c>
      <c r="DW95" s="403">
        <f>SUM(BY95:CV95)+(BS95*RT1SC!$C$4*$BS$2)</f>
        <v>57347.822079287995</v>
      </c>
      <c r="DX95" s="403">
        <f>VLOOKUP($A95,TOCA_current!$A$2:$AI$137,MATCH("Above RHWM Not Served with LS "&amp;$BS$1,TOCA_current!$A$2:$AI$2,0),FALSE)*$BS$2</f>
        <v>11015.136000000004</v>
      </c>
      <c r="DY95" s="403">
        <f t="shared" si="32"/>
        <v>-2.9139207120024366</v>
      </c>
      <c r="DZ95" s="403">
        <f>(VLOOKUP($A95,TOCA_current!$A$2:$AI$137,MATCH("RHWM 2024",TOCA_current!$A$2:$AI$2,0),FALSE)*$BS$2) - $DV95</f>
        <v>0</v>
      </c>
      <c r="EA95" s="403">
        <f t="shared" si="33"/>
        <v>0</v>
      </c>
      <c r="EB95" s="403">
        <f t="shared" si="34"/>
        <v>0</v>
      </c>
      <c r="EC95" s="403">
        <f t="shared" si="35"/>
        <v>0</v>
      </c>
      <c r="ED95" s="403">
        <f t="shared" si="36"/>
        <v>0</v>
      </c>
    </row>
    <row r="96" spans="1:134">
      <c r="A96" s="123">
        <v>10286</v>
      </c>
      <c r="B96" s="124" t="s">
        <v>97</v>
      </c>
      <c r="C96" s="232">
        <f>VLOOKUP(A96, TOCA_current!$A$3:$D$137, 4, FALSE)</f>
        <v>0</v>
      </c>
      <c r="D96" s="191">
        <v>1</v>
      </c>
      <c r="E96" s="107">
        <f>VLOOKUP($A96,TOCA_previous!$A$2:$AI$137,MATCH(E$4,TOCA_previous!$A$2:$AI$2,0),FALSE)</f>
        <v>6.5012999999999998E-3</v>
      </c>
      <c r="F96" s="108">
        <f>VLOOKUP($A96,TOCA_previous!$A$2:$AI$137,MATCH(F$4,TOCA_previous!$A$2:$AI$2,0),FALSE)</f>
        <v>6.5012999999999998E-3</v>
      </c>
      <c r="G96" s="108">
        <f t="shared" si="24"/>
        <v>0</v>
      </c>
      <c r="H96" s="108">
        <f>VLOOKUP($A96,TOCA_previous!$A$2:$AI$137,MATCH(H$4,TOCA_previous!$A$2:$AI$2,0),FALSE)</f>
        <v>0</v>
      </c>
      <c r="I96" s="108">
        <f t="shared" si="25"/>
        <v>0</v>
      </c>
      <c r="J96" s="108">
        <f t="shared" si="26"/>
        <v>0</v>
      </c>
      <c r="K96" s="179">
        <f>VLOOKUP(A96, IRD!$A$5:$C$139, 3, FALSE)</f>
        <v>55408.151000000005</v>
      </c>
      <c r="L96" s="180">
        <f t="array" ref="L96">IF($G96=0, INDEX(LS_previous!$D$4:$AY$138, MATCH('Staging Table'!$A96, LS_previous!$B$4:$B$138, 0), MATCH(L$4&amp;L$5, LS_previous!$D$2:$AY$2&amp;LS_previous!$D$3:$AY$3, 0)),SUM(VLOOKUP($A96, LS_previous!$B$4:$AY$138, LS_previous!D$149, FALSE), VLOOKUP('Staging Table'!$A96, LS_previous!$B$4:$AY$138,LS_previous!AB$149, FALSE))/2)</f>
        <v>-1264.571706824634</v>
      </c>
      <c r="M96" s="180">
        <f t="array" ref="M96">IF($G96=0, INDEX(LS_previous!$D$4:$AY$138, MATCH('Staging Table'!$A96, LS_previous!$B$4:$B$138, 0), MATCH(M$4&amp;M$5, LS_previous!$D$2:$AY$2&amp;LS_previous!$D$3:$AY$3, 0)),SUM(VLOOKUP($A96, LS_previous!$B$4:$AY$138, LS_previous!E$149, FALSE), VLOOKUP('Staging Table'!$A96, LS_previous!$B$4:$AY$138,LS_previous!AC$149, FALSE))/2)</f>
        <v>1198.7462701181612</v>
      </c>
      <c r="N96" s="180">
        <f t="array" ref="N96">IF($G96=0, INDEX(LS_previous!$D$4:$AY$138, MATCH('Staging Table'!$A96, LS_previous!$B$4:$B$138, 0), MATCH(N$4&amp;N$5, LS_previous!$D$2:$AY$2&amp;LS_previous!$D$3:$AY$3, 0)),SUM(VLOOKUP($A96, LS_previous!$B$4:$AY$138, LS_previous!F$149, FALSE), VLOOKUP('Staging Table'!$A96, LS_previous!$B$4:$AY$138,LS_previous!AD$149, FALSE))/2)</f>
        <v>-3205.2022173324731</v>
      </c>
      <c r="O96" s="180">
        <f t="array" ref="O96">IF($G96=0, INDEX(LS_previous!$D$4:$AY$138, MATCH('Staging Table'!$A96, LS_previous!$B$4:$B$138, 0), MATCH(O$4&amp;O$5, LS_previous!$D$2:$AY$2&amp;LS_previous!$D$3:$AY$3, 0)),SUM(VLOOKUP($A96, LS_previous!$B$4:$AY$138, LS_previous!G$149, FALSE), VLOOKUP('Staging Table'!$A96, LS_previous!$B$4:$AY$138,LS_previous!AE$149, FALSE))/2)</f>
        <v>-1284.2099811817425</v>
      </c>
      <c r="P96" s="180">
        <f t="array" ref="P96">IF($G96=0, INDEX(LS_previous!$D$4:$AY$138, MATCH('Staging Table'!$A96, LS_previous!$B$4:$B$138, 0), MATCH(P$4&amp;P$5, LS_previous!$D$2:$AY$2&amp;LS_previous!$D$3:$AY$3, 0)),SUM(VLOOKUP($A96, LS_previous!$B$4:$AY$138, LS_previous!H$149, FALSE), VLOOKUP('Staging Table'!$A96, LS_previous!$B$4:$AY$138,LS_previous!AF$149, FALSE))/2)</f>
        <v>6432.8320635333839</v>
      </c>
      <c r="Q96" s="180">
        <f t="array" ref="Q96">IF($G96=0, INDEX(LS_previous!$D$4:$AY$138, MATCH('Staging Table'!$A96, LS_previous!$B$4:$B$138, 0), MATCH(Q$4&amp;Q$5, LS_previous!$D$2:$AY$2&amp;LS_previous!$D$3:$AY$3, 0)),SUM(VLOOKUP($A96, LS_previous!$B$4:$AY$138, LS_previous!I$149, FALSE), VLOOKUP('Staging Table'!$A96, LS_previous!$B$4:$AY$138,LS_previous!AG$149, FALSE))/2)</f>
        <v>2532.6418563185962</v>
      </c>
      <c r="R96" s="180">
        <f t="array" ref="R96">IF($G96=0, INDEX(LS_previous!$D$4:$AY$138, MATCH('Staging Table'!$A96, LS_previous!$B$4:$B$138, 0), MATCH(R$4&amp;R$5, LS_previous!$D$2:$AY$2&amp;LS_previous!$D$3:$AY$3, 0)),SUM(VLOOKUP($A96, LS_previous!$B$4:$AY$138, LS_previous!J$149, FALSE), VLOOKUP('Staging Table'!$A96, LS_previous!$B$4:$AY$138,LS_previous!AH$149, FALSE))/2)</f>
        <v>12915.718852540991</v>
      </c>
      <c r="S96" s="180">
        <f t="array" ref="S96">IF($G96=0, INDEX(LS_previous!$D$4:$AY$138, MATCH('Staging Table'!$A96, LS_previous!$B$4:$B$138, 0), MATCH(S$4&amp;S$5, LS_previous!$D$2:$AY$2&amp;LS_previous!$D$3:$AY$3, 0)),SUM(VLOOKUP($A96, LS_previous!$B$4:$AY$138, LS_previous!K$149, FALSE), VLOOKUP('Staging Table'!$A96, LS_previous!$B$4:$AY$138,LS_previous!AI$149, FALSE))/2)</f>
        <v>7038.7899697608573</v>
      </c>
      <c r="T96" s="180">
        <f t="array" ref="T96">IF($G96=0, INDEX(LS_previous!$D$4:$AY$138, MATCH('Staging Table'!$A96, LS_previous!$B$4:$B$138, 0), MATCH(T$4&amp;T$5, LS_previous!$D$2:$AY$2&amp;LS_previous!$D$3:$AY$3, 0)),SUM(VLOOKUP($A96, LS_previous!$B$4:$AY$138, LS_previous!L$149, FALSE), VLOOKUP('Staging Table'!$A96, LS_previous!$B$4:$AY$138,LS_previous!AJ$149, FALSE))/2)</f>
        <v>9603.6076720323417</v>
      </c>
      <c r="U96" s="180">
        <f t="array" ref="U96">IF($G96=0, INDEX(LS_previous!$D$4:$AY$138, MATCH('Staging Table'!$A96, LS_previous!$B$4:$B$138, 0), MATCH(U$4&amp;U$5, LS_previous!$D$2:$AY$2&amp;LS_previous!$D$3:$AY$3, 0)),SUM(VLOOKUP($A96, LS_previous!$B$4:$AY$138, LS_previous!M$149, FALSE), VLOOKUP('Staging Table'!$A96, LS_previous!$B$4:$AY$138,LS_previous!AK$149, FALSE))/2)</f>
        <v>5565.7944869915045</v>
      </c>
      <c r="V96" s="180">
        <f t="array" ref="V96">IF($G96=0, INDEX(LS_previous!$D$4:$AY$138, MATCH('Staging Table'!$A96, LS_previous!$B$4:$B$138, 0), MATCH(V$4&amp;V$5, LS_previous!$D$2:$AY$2&amp;LS_previous!$D$3:$AY$3, 0)),SUM(VLOOKUP($A96, LS_previous!$B$4:$AY$138, LS_previous!N$149, FALSE), VLOOKUP('Staging Table'!$A96, LS_previous!$B$4:$AY$138,LS_previous!AL$149, FALSE))/2)</f>
        <v>5374.1521154485345</v>
      </c>
      <c r="W96" s="180">
        <f t="array" ref="W96">IF($G96=0, INDEX(LS_previous!$D$4:$AY$138, MATCH('Staging Table'!$A96, LS_previous!$B$4:$B$138, 0), MATCH(W$4&amp;W$5, LS_previous!$D$2:$AY$2&amp;LS_previous!$D$3:$AY$3, 0)),SUM(VLOOKUP($A96, LS_previous!$B$4:$AY$138, LS_previous!O$149, FALSE), VLOOKUP('Staging Table'!$A96, LS_previous!$B$4:$AY$138,LS_previous!AM$149, FALSE))/2)</f>
        <v>4321.6603510278946</v>
      </c>
      <c r="X96" s="180">
        <f t="array" ref="X96">IF($G96=0, INDEX(LS_previous!$D$4:$AY$138, MATCH('Staging Table'!$A96, LS_previous!$B$4:$B$138, 0), MATCH(X$4&amp;X$5, LS_previous!$D$2:$AY$2&amp;LS_previous!$D$3:$AY$3, 0)),SUM(VLOOKUP($A96, LS_previous!$B$4:$AY$138, LS_previous!P$149, FALSE), VLOOKUP('Staging Table'!$A96, LS_previous!$B$4:$AY$138,LS_previous!AN$149, FALSE))/2)</f>
        <v>1342.7048009529935</v>
      </c>
      <c r="Y96" s="180">
        <f t="array" ref="Y96">IF($G96=0, INDEX(LS_previous!$D$4:$AY$138, MATCH('Staging Table'!$A96, LS_previous!$B$4:$B$138, 0), MATCH(Y$4&amp;Y$5, LS_previous!$D$2:$AY$2&amp;LS_previous!$D$3:$AY$3, 0)),SUM(VLOOKUP($A96, LS_previous!$B$4:$AY$138, LS_previous!Q$149, FALSE), VLOOKUP('Staging Table'!$A96, LS_previous!$B$4:$AY$138,LS_previous!AO$149, FALSE))/2)</f>
        <v>1553.7357392445119</v>
      </c>
      <c r="Z96" s="180">
        <f t="array" ref="Z96">IF($G96=0, INDEX(LS_previous!$D$4:$AY$138, MATCH('Staging Table'!$A96, LS_previous!$B$4:$B$138, 0), MATCH(Z$4&amp;Z$5, LS_previous!$D$2:$AY$2&amp;LS_previous!$D$3:$AY$3, 0)),SUM(VLOOKUP($A96, LS_previous!$B$4:$AY$138, LS_previous!R$149, FALSE), VLOOKUP('Staging Table'!$A96, LS_previous!$B$4:$AY$138,LS_previous!AP$149, FALSE))/2)</f>
        <v>-10066.398704418116</v>
      </c>
      <c r="AA96" s="180">
        <f t="array" ref="AA96">IF($G96=0, INDEX(LS_previous!$D$4:$AY$138, MATCH('Staging Table'!$A96, LS_previous!$B$4:$B$138, 0), MATCH(AA$4&amp;AA$5, LS_previous!$D$2:$AY$2&amp;LS_previous!$D$3:$AY$3, 0)),SUM(VLOOKUP($A96, LS_previous!$B$4:$AY$138, LS_previous!S$149, FALSE), VLOOKUP('Staging Table'!$A96, LS_previous!$B$4:$AY$138,LS_previous!AQ$149, FALSE))/2)</f>
        <v>-2559.6028378202955</v>
      </c>
      <c r="AB96" s="180">
        <f t="array" ref="AB96">IF($G96=0, INDEX(LS_previous!$D$4:$AY$138, MATCH('Staging Table'!$A96, LS_previous!$B$4:$B$138, 0), MATCH(AB$4&amp;AB$5, LS_previous!$D$2:$AY$2&amp;LS_previous!$D$3:$AY$3, 0)),SUM(VLOOKUP($A96, LS_previous!$B$4:$AY$138, LS_previous!T$149, FALSE), VLOOKUP('Staging Table'!$A96, LS_previous!$B$4:$AY$138,LS_previous!AR$149, FALSE))/2)</f>
        <v>-16952.114986773286</v>
      </c>
      <c r="AC96" s="180">
        <f t="array" ref="AC96">IF($G96=0, INDEX(LS_previous!$D$4:$AY$138, MATCH('Staging Table'!$A96, LS_previous!$B$4:$B$138, 0), MATCH(AC$4&amp;AC$5, LS_previous!$D$2:$AY$2&amp;LS_previous!$D$3:$AY$3, 0)),SUM(VLOOKUP($A96, LS_previous!$B$4:$AY$138, LS_previous!U$149, FALSE), VLOOKUP('Staging Table'!$A96, LS_previous!$B$4:$AY$138,LS_previous!AS$149, FALSE))/2)</f>
        <v>-4506.8047874815693</v>
      </c>
      <c r="AD96" s="180">
        <f t="array" ref="AD96">IF($G96=0, INDEX(LS_previous!$D$4:$AY$138, MATCH('Staging Table'!$A96, LS_previous!$B$4:$B$138, 0), MATCH(AD$4&amp;AD$5, LS_previous!$D$2:$AY$2&amp;LS_previous!$D$3:$AY$3, 0)),SUM(VLOOKUP($A96, LS_previous!$B$4:$AY$138, LS_previous!V$149, FALSE), VLOOKUP('Staging Table'!$A96, LS_previous!$B$4:$AY$138,LS_previous!AT$149, FALSE))/2)</f>
        <v>-4374.3408566393591</v>
      </c>
      <c r="AE96" s="180">
        <f t="array" ref="AE96">IF($G96=0, INDEX(LS_previous!$D$4:$AY$138, MATCH('Staging Table'!$A96, LS_previous!$B$4:$B$138, 0), MATCH(AE$4&amp;AE$5, LS_previous!$D$2:$AY$2&amp;LS_previous!$D$3:$AY$3, 0)),SUM(VLOOKUP($A96, LS_previous!$B$4:$AY$138, LS_previous!W$149, FALSE), VLOOKUP('Staging Table'!$A96, LS_previous!$B$4:$AY$138,LS_previous!AU$149, FALSE))/2)</f>
        <v>849.99798184211795</v>
      </c>
      <c r="AF96" s="180">
        <f t="array" ref="AF96">IF($G96=0, INDEX(LS_previous!$D$4:$AY$138, MATCH('Staging Table'!$A96, LS_previous!$B$4:$B$138, 0), MATCH(AF$4&amp;AF$5, LS_previous!$D$2:$AY$2&amp;LS_previous!$D$3:$AY$3, 0)),SUM(VLOOKUP($A96, LS_previous!$B$4:$AY$138, LS_previous!X$149, FALSE), VLOOKUP('Staging Table'!$A96, LS_previous!$B$4:$AY$138,LS_previous!AV$149, FALSE))/2)</f>
        <v>-8227.2596159140339</v>
      </c>
      <c r="AG96" s="180">
        <f t="array" ref="AG96">IF($G96=0, INDEX(LS_previous!$D$4:$AY$138, MATCH('Staging Table'!$A96, LS_previous!$B$4:$B$138, 0), MATCH(AG$4&amp;AG$5, LS_previous!$D$2:$AY$2&amp;LS_previous!$D$3:$AY$3, 0)),SUM(VLOOKUP($A96, LS_previous!$B$4:$AY$138, LS_previous!Y$149, FALSE), VLOOKUP('Staging Table'!$A96, LS_previous!$B$4:$AY$138,LS_previous!AW$149, FALSE))/2)</f>
        <v>-1437.4514988613555</v>
      </c>
      <c r="AH96" s="180">
        <f t="array" ref="AH96">IF($G96=0, INDEX(LS_previous!$D$4:$AY$138, MATCH('Staging Table'!$A96, LS_previous!$B$4:$B$138, 0), MATCH(AH$4&amp;AH$5, LS_previous!$D$2:$AY$2&amp;LS_previous!$D$3:$AY$3, 0)),SUM(VLOOKUP($A96, LS_previous!$B$4:$AY$138, LS_previous!Z$149, FALSE), VLOOKUP('Staging Table'!$A96, LS_previous!$B$4:$AY$138,LS_previous!AX$149, FALSE))/2)</f>
        <v>-4079.355210065165</v>
      </c>
      <c r="AI96" s="180">
        <f t="array" ref="AI96">IF($G96=0, INDEX(LS_previous!$D$4:$AY$138, MATCH('Staging Table'!$A96, LS_previous!$B$4:$B$138, 0), MATCH(AI$4&amp;AI$5, LS_previous!$D$2:$AY$2&amp;LS_previous!$D$3:$AY$3, 0)),SUM(VLOOKUP($A96, LS_previous!$B$4:$AY$138, LS_previous!AA$149, FALSE), VLOOKUP('Staging Table'!$A96, LS_previous!$B$4:$AY$138,LS_previous!AY$149, FALSE))/2)</f>
        <v>-773.84524769132076</v>
      </c>
      <c r="AJ96" s="298">
        <f t="array" ref="AJ96">INDEX(Demand_previous!$D$4:$AY$138, MATCH('Staging Table'!$A96, Demand_previous!$B$4:$B$138, 0), MATCH(AJ$4&amp;AJ$5,Demand_previous!$D$2:$AY$2&amp;Demand_previous!$D$3:$AY$3, 0))/1000</f>
        <v>0</v>
      </c>
      <c r="AK96" s="298">
        <f t="array" ref="AK96">INDEX(Demand_previous!$D$4:$AY$138, MATCH('Staging Table'!$A96, Demand_previous!$B$4:$B$138, 0), MATCH(AK$4&amp;AK$5,Demand_previous!$D$2:$AY$2&amp;Demand_previous!$D$3:$AY$3, 0))/1000</f>
        <v>0</v>
      </c>
      <c r="AL96" s="298">
        <f t="array" ref="AL96">INDEX(Demand_previous!$D$4:$AY$138, MATCH('Staging Table'!$A96, Demand_previous!$B$4:$B$138, 0), MATCH(AL$4&amp;AL$5,Demand_previous!$D$2:$AY$2&amp;Demand_previous!$D$3:$AY$3, 0))/1000</f>
        <v>0</v>
      </c>
      <c r="AM96" s="298">
        <f t="array" ref="AM96">INDEX(Demand_previous!$D$4:$AY$138, MATCH('Staging Table'!$A96, Demand_previous!$B$4:$B$138, 0), MATCH(AM$4&amp;AM$5,Demand_previous!$D$2:$AY$2&amp;Demand_previous!$D$3:$AY$3, 0))/1000</f>
        <v>0</v>
      </c>
      <c r="AN96" s="298">
        <f t="array" ref="AN96">INDEX(Demand_previous!$D$4:$AY$138, MATCH('Staging Table'!$A96, Demand_previous!$B$4:$B$138, 0), MATCH(AN$4&amp;AN$5,Demand_previous!$D$2:$AY$2&amp;Demand_previous!$D$3:$AY$3, 0))/1000</f>
        <v>0</v>
      </c>
      <c r="AO96" s="298">
        <f t="array" ref="AO96">INDEX(Demand_previous!$D$4:$AY$138, MATCH('Staging Table'!$A96, Demand_previous!$B$4:$B$138, 0), MATCH(AO$4&amp;AO$5,Demand_previous!$D$2:$AY$2&amp;Demand_previous!$D$3:$AY$3, 0))/1000</f>
        <v>0</v>
      </c>
      <c r="AP96" s="298">
        <f t="array" ref="AP96">INDEX(Demand_previous!$D$4:$AY$138, MATCH('Staging Table'!$A96, Demand_previous!$B$4:$B$138, 0), MATCH(AP$4&amp;AP$5,Demand_previous!$D$2:$AY$2&amp;Demand_previous!$D$3:$AY$3, 0))/1000</f>
        <v>0</v>
      </c>
      <c r="AQ96" s="298">
        <f t="array" ref="AQ96">INDEX(Demand_previous!$D$4:$AY$138, MATCH('Staging Table'!$A96, Demand_previous!$B$4:$B$138, 0), MATCH(AQ$4&amp;AQ$5,Demand_previous!$D$2:$AY$2&amp;Demand_previous!$D$3:$AY$3, 0))/1000</f>
        <v>0</v>
      </c>
      <c r="AR96" s="298">
        <f t="array" ref="AR96">INDEX(Demand_previous!$D$4:$AY$138, MATCH('Staging Table'!$A96, Demand_previous!$B$4:$B$138, 0), MATCH(AR$4&amp;AR$5,Demand_previous!$D$2:$AY$2&amp;Demand_previous!$D$3:$AY$3, 0))/1000</f>
        <v>0</v>
      </c>
      <c r="AS96" s="298">
        <f t="array" ref="AS96">INDEX(Demand_previous!$D$4:$AY$138, MATCH('Staging Table'!$A96, Demand_previous!$B$4:$B$138, 0), MATCH(AS$4&amp;AS$5,Demand_previous!$D$2:$AY$2&amp;Demand_previous!$D$3:$AY$3, 0))/1000</f>
        <v>0</v>
      </c>
      <c r="AT96" s="298">
        <f t="array" ref="AT96">INDEX(Demand_previous!$D$4:$AY$138, MATCH('Staging Table'!$A96, Demand_previous!$B$4:$B$138, 0), MATCH(AT$4&amp;AT$5,Demand_previous!$D$2:$AY$2&amp;Demand_previous!$D$3:$AY$3, 0))/1000</f>
        <v>0</v>
      </c>
      <c r="AU96" s="298">
        <f t="array" ref="AU96">INDEX(Demand_previous!$D$4:$AY$138, MATCH('Staging Table'!$A96, Demand_previous!$B$4:$B$138, 0), MATCH(AU$4&amp;AU$5,Demand_previous!$D$2:$AY$2&amp;Demand_previous!$D$3:$AY$3, 0))/1000</f>
        <v>0</v>
      </c>
      <c r="AV96" s="180">
        <f>$F96*(VLOOKUP(AV$4, Rates_previous!$G$6:$Q$29, 10, FALSE)+VLOOKUP(AV$4, Rates_previous!$G$6:$Q$29, 11, FALSE))</f>
        <v>29606.428836706491</v>
      </c>
      <c r="AW96" s="180">
        <f>$F96*(VLOOKUP(AW$4, Rates_previous!$G$6:$Q$29, 10, FALSE)+VLOOKUP(AW$4, Rates_previous!$G$6:$Q$29, 11, FALSE))</f>
        <v>37482.813398514219</v>
      </c>
      <c r="AX96" s="180">
        <f>$F96*(VLOOKUP(AX$4, Rates_previous!$G$6:$Q$29, 10, FALSE)+VLOOKUP(AX$4, Rates_previous!$G$6:$Q$29, 11, FALSE))</f>
        <v>36688.185880148041</v>
      </c>
      <c r="AY96" s="180">
        <f>$F96*(VLOOKUP(AY$4, Rates_previous!$G$6:$Q$29, 10, FALSE)+VLOOKUP(AY$4, Rates_previous!$G$6:$Q$29, 11, FALSE))</f>
        <v>30302.881377698159</v>
      </c>
      <c r="AZ96" s="180">
        <f>$F96*(VLOOKUP(AZ$4, Rates_previous!$G$6:$Q$29, 10, FALSE)+VLOOKUP(AZ$4, Rates_previous!$G$6:$Q$29, 11, FALSE))</f>
        <v>26264.171440976155</v>
      </c>
      <c r="BA96" s="180">
        <f>$F96*(VLOOKUP(BA$4, Rates_previous!$G$6:$Q$29, 10, FALSE)+VLOOKUP(BA$4, Rates_previous!$G$6:$Q$29, 11, FALSE))</f>
        <v>31354.116933523561</v>
      </c>
      <c r="BB96" s="180">
        <f>$F96*(VLOOKUP(BB$4, Rates_previous!$G$6:$Q$29, 10, FALSE)+VLOOKUP(BB$4, Rates_previous!$G$6:$Q$29, 11, FALSE))</f>
        <v>24342.297659802502</v>
      </c>
      <c r="BC96" s="180">
        <f>$F96*(VLOOKUP(BC$4, Rates_previous!$G$6:$Q$29, 10, FALSE)+VLOOKUP(BC$4, Rates_previous!$G$6:$Q$29, 11, FALSE))</f>
        <v>33726.432542238399</v>
      </c>
      <c r="BD96" s="180">
        <f>$F96*(VLOOKUP(BD$4, Rates_previous!$G$6:$Q$29, 10, FALSE)+VLOOKUP(BD$4, Rates_previous!$G$6:$Q$29, 11, FALSE))</f>
        <v>36037.399374254863</v>
      </c>
      <c r="BE96" s="180">
        <f>$F96*(VLOOKUP(BE$4, Rates_previous!$G$6:$Q$29, 10, FALSE)+VLOOKUP(BE$4, Rates_previous!$G$6:$Q$29, 11, FALSE))</f>
        <v>34215.878874797228</v>
      </c>
      <c r="BF96" s="180">
        <f>$F96*(VLOOKUP(BF$4, Rates_previous!$G$6:$Q$29, 10, FALSE)+VLOOKUP(BF$4, Rates_previous!$G$6:$Q$29, 11, FALSE))</f>
        <v>33067.007314775394</v>
      </c>
      <c r="BG96" s="180">
        <f>$F96*(VLOOKUP(BG$4, Rates_previous!$G$6:$Q$29, 10, FALSE)+VLOOKUP(BG$4, Rates_previous!$G$6:$Q$29, 11, FALSE))</f>
        <v>30557.361857756485</v>
      </c>
      <c r="BH96" s="298">
        <f>IF($D96=0,IF(C96=0, MAX(BJ96 - (VLOOKUP($A96,TOCA_previous!$A$2:$AI$137,MATCH("RHWM 2022",TOCA_previous!$A$2:$AI$2,0),FALSE)*$F$2*TOCA_previous!C93),0),0), 0)</f>
        <v>0</v>
      </c>
      <c r="BI96" s="192">
        <f>MIN(VLOOKUP($A96,TOCA_previous!$A$2:$AI$137,MATCH("TRL - NLSL - Existing Resource "&amp;$F$1,TOCA_previous!$A$2:$AI$2,0),FALSE)*$F$2,(VLOOKUP($A96,TOCA_previous!$A$2:$AI$137,MATCH("RHWM 2022",TOCA_previous!$A$2:$AI$2,0),FALSE)*$F$2))</f>
        <v>383644.2</v>
      </c>
      <c r="BJ96" s="402">
        <f>SUM(L96:AI96)+(F96*RT1SC!$C$3*$F$2)</f>
        <v>383644.21962510049</v>
      </c>
      <c r="BK96" s="401">
        <f>VLOOKUP($A96,TOCA_previous!$A$2:$AI$137,MATCH("Above RHWM Not Served with LS "&amp;$F$1,TOCA_previous!$A$2:$AI$2,0),FALSE)*$F$2</f>
        <v>40769.040000000001</v>
      </c>
      <c r="BL96" s="402">
        <f t="shared" si="27"/>
        <v>1.9625100481789559E-2</v>
      </c>
      <c r="BM96" s="401">
        <f>(VLOOKUP($A96,TOCA_previous!$A$2:$AI$137,MATCH("RHWM 2022",TOCA_previous!$A$2:$AI$2,0),FALSE)*$F$2) - $BI96</f>
        <v>0</v>
      </c>
      <c r="BN96" s="402">
        <f t="shared" si="28"/>
        <v>0</v>
      </c>
      <c r="BO96" s="401">
        <f t="shared" si="29"/>
        <v>0</v>
      </c>
      <c r="BP96" s="402">
        <f t="shared" si="30"/>
        <v>0</v>
      </c>
      <c r="BQ96" s="401">
        <f t="shared" si="21"/>
        <v>0</v>
      </c>
      <c r="BR96" s="108">
        <f>VLOOKUP($A96,TOCA_current!$A$2:$AI$137,MATCH(BR$4,TOCA_current!$A$2:$AI$2,0),FALSE)</f>
        <v>6.4999000000000003E-3</v>
      </c>
      <c r="BS96" s="108">
        <f>VLOOKUP($A96,TOCA_current!$A$2:$AI$137,MATCH(BS$4,TOCA_current!$A$2:$AI$2,0),FALSE)</f>
        <v>6.4999000000000003E-3</v>
      </c>
      <c r="BT96" s="189">
        <f t="shared" si="31"/>
        <v>0</v>
      </c>
      <c r="BU96" s="108">
        <f>VLOOKUP($A96,TOCA_current!A92:BG227,MATCH(BU$4,TOCA_current!$A$2:$BG$2,0),FALSE)</f>
        <v>0</v>
      </c>
      <c r="BV96" s="108">
        <f t="shared" si="22"/>
        <v>0</v>
      </c>
      <c r="BW96" s="108">
        <f t="shared" si="23"/>
        <v>0</v>
      </c>
      <c r="BX96" s="179">
        <f>VLOOKUP($A96,IRD!$A$4:$G$139, 7, FALSE)</f>
        <v>55408.151000000005</v>
      </c>
      <c r="BY96" s="180">
        <f t="array" ref="BY96">IF($BT96=0, INDEX(LS_current!$D$4:$AY$138, MATCH('Staging Table'!$A96, LS_current!$B$4:$B$138, 0), MATCH(BY$4&amp;BY$5, LS_current!$D$2:$AY$2&amp;LS_current!$D$3:$AY$3, 0)),SUM(VLOOKUP($A96, LS_current!$B$4:$AY$138, LS_current!D$148, FALSE), VLOOKUP($A96, LS_current!$B$4:$AY$138,LS_current!AB$148, FALSE))/2)</f>
        <v>2041.0077592035777</v>
      </c>
      <c r="BZ96" s="180">
        <f t="array" ref="BZ96">IF($BT96=0, INDEX(LS_current!$D$4:$AY$138, MATCH('Staging Table'!$A96, LS_current!$B$4:$B$138, 0), MATCH(BZ$4&amp;BZ$5, LS_current!$D$2:$AY$2&amp;LS_current!$D$3:$AY$3, 0)),SUM(VLOOKUP($A96, LS_current!$B$4:$AY$138, LS_current!E$148, FALSE), VLOOKUP($A96, LS_current!$B$4:$AY$138,LS_current!AC$148, FALSE))/2)</f>
        <v>1589.9209194225532</v>
      </c>
      <c r="CA96" s="180">
        <f t="array" ref="CA96">IF($BT96=0, INDEX(LS_current!$D$4:$AY$138, MATCH('Staging Table'!$A96, LS_current!$B$4:$B$138, 0), MATCH(CA$4&amp;CA$5, LS_current!$D$2:$AY$2&amp;LS_current!$D$3:$AY$3, 0)),SUM(VLOOKUP($A96, LS_current!$B$4:$AY$138, LS_current!F$148, FALSE), VLOOKUP($A96, LS_current!$B$4:$AY$138,LS_current!AD$148, FALSE))/2)</f>
        <v>-409.47842486720401</v>
      </c>
      <c r="CB96" s="180">
        <f t="array" ref="CB96">IF($BT96=0, INDEX(LS_current!$D$4:$AY$138, MATCH('Staging Table'!$A96, LS_current!$B$4:$B$138, 0), MATCH(CB$4&amp;CB$5, LS_current!$D$2:$AY$2&amp;LS_current!$D$3:$AY$3, 0)),SUM(VLOOKUP($A96, LS_current!$B$4:$AY$138, LS_current!G$148, FALSE), VLOOKUP($A96, LS_current!$B$4:$AY$138,LS_current!AE$148, FALSE))/2)</f>
        <v>119.90899196311148</v>
      </c>
      <c r="CC96" s="180">
        <f t="array" ref="CC96">IF($BT96=0, INDEX(LS_current!$D$4:$AY$138, MATCH('Staging Table'!$A96, LS_current!$B$4:$B$138, 0), MATCH(CC$4&amp;CC$5, LS_current!$D$2:$AY$2&amp;LS_current!$D$3:$AY$3, 0)),SUM(VLOOKUP($A96, LS_current!$B$4:$AY$138, LS_current!H$148, FALSE), VLOOKUP($A96, LS_current!$B$4:$AY$138,LS_current!AF$148, FALSE))/2)</f>
        <v>5911.5455386738977</v>
      </c>
      <c r="CD96" s="180">
        <f t="array" ref="CD96">IF($BT96=0, INDEX(LS_current!$D$4:$AY$138, MATCH('Staging Table'!$A96, LS_current!$B$4:$B$138, 0), MATCH(CD$4&amp;CD$5, LS_current!$D$2:$AY$2&amp;LS_current!$D$3:$AY$3, 0)),SUM(VLOOKUP($A96, LS_current!$B$4:$AY$138, LS_current!I$148, FALSE), VLOOKUP($A96, LS_current!$B$4:$AY$138,LS_current!AG$148, FALSE))/2)</f>
        <v>4337.5034377696029</v>
      </c>
      <c r="CE96" s="180">
        <f t="array" ref="CE96">IF($BT96=0, INDEX(LS_current!$D$4:$AY$138, MATCH('Staging Table'!$A96, LS_current!$B$4:$B$138, 0), MATCH(CE$4&amp;CE$5, LS_current!$D$2:$AY$2&amp;LS_current!$D$3:$AY$3, 0)),SUM(VLOOKUP($A96, LS_current!$B$4:$AY$138, LS_current!J$148, FALSE), VLOOKUP($A96, LS_current!$B$4:$AY$138,LS_current!AH$148, FALSE))/2)</f>
        <v>7416.3602280715168</v>
      </c>
      <c r="CF96" s="180">
        <f t="array" ref="CF96">IF($BT96=0, INDEX(LS_current!$D$4:$AY$138, MATCH('Staging Table'!$A96, LS_current!$B$4:$B$138, 0), MATCH(CF$4&amp;CF$5, LS_current!$D$2:$AY$2&amp;LS_current!$D$3:$AY$3, 0)),SUM(VLOOKUP($A96, LS_current!$B$4:$AY$138, LS_current!K$148, FALSE), VLOOKUP($A96, LS_current!$B$4:$AY$138,LS_current!AI$148, FALSE))/2)</f>
        <v>6194.3211629028938</v>
      </c>
      <c r="CG96" s="180">
        <f t="array" ref="CG96">IF($BT96=0, INDEX(LS_current!$D$4:$AY$138, MATCH('Staging Table'!$A96, LS_current!$B$4:$B$138, 0), MATCH(CG$4&amp;CG$5, LS_current!$D$2:$AY$2&amp;LS_current!$D$3:$AY$3, 0)),SUM(VLOOKUP($A96, LS_current!$B$4:$AY$138, LS_current!L$148, FALSE), VLOOKUP($A96, LS_current!$B$4:$AY$138,LS_current!AJ$148, FALSE))/2)</f>
        <v>4683.0449012878998</v>
      </c>
      <c r="CH96" s="180">
        <f t="array" ref="CH96">IF($BT96=0, INDEX(LS_current!$D$4:$AY$138, MATCH('Staging Table'!$A96, LS_current!$B$4:$B$138, 0), MATCH(CH$4&amp;CH$5, LS_current!$D$2:$AY$2&amp;LS_current!$D$3:$AY$3, 0)),SUM(VLOOKUP($A96, LS_current!$B$4:$AY$138, LS_current!M$148, FALSE), VLOOKUP($A96, LS_current!$B$4:$AY$138,LS_current!AK$148, FALSE))/2)</f>
        <v>5137.6183334959096</v>
      </c>
      <c r="CI96" s="180">
        <f t="array" ref="CI96">IF($BT96=0, INDEX(LS_current!$D$4:$AY$138, MATCH('Staging Table'!$A96, LS_current!$B$4:$B$138, 0), MATCH(CI$4&amp;CI$5, LS_current!$D$2:$AY$2&amp;LS_current!$D$3:$AY$3, 0)),SUM(VLOOKUP($A96, LS_current!$B$4:$AY$138, LS_current!N$148, FALSE), VLOOKUP($A96, LS_current!$B$4:$AY$138,LS_current!AL$148, FALSE))/2)</f>
        <v>3466.5895382113158</v>
      </c>
      <c r="CJ96" s="180">
        <f t="array" ref="CJ96">IF($BT96=0, INDEX(LS_current!$D$4:$AY$138, MATCH('Staging Table'!$A96, LS_current!$B$4:$B$138, 0), MATCH(CJ$4&amp;CJ$5, LS_current!$D$2:$AY$2&amp;LS_current!$D$3:$AY$3, 0)),SUM(VLOOKUP($A96, LS_current!$B$4:$AY$138, LS_current!O$148, FALSE), VLOOKUP($A96, LS_current!$B$4:$AY$138,LS_current!AM$148, FALSE))/2)</f>
        <v>2853.9592723778169</v>
      </c>
      <c r="CK96" s="180">
        <f t="array" ref="CK96">IF($BT96=0, INDEX(LS_current!$D$4:$AY$138, MATCH('Staging Table'!$A96, LS_current!$B$4:$B$138, 0), MATCH(CK$4&amp;CK$5, LS_current!$D$2:$AY$2&amp;LS_current!$D$3:$AY$3, 0)),SUM(VLOOKUP($A96, LS_current!$B$4:$AY$138, LS_current!P$148, FALSE), VLOOKUP($A96, LS_current!$B$4:$AY$138,LS_current!AN$148, FALSE))/2)</f>
        <v>-515.55557057226179</v>
      </c>
      <c r="CL96" s="180">
        <f t="array" ref="CL96">IF($BT96=0, INDEX(LS_current!$D$4:$AY$138, MATCH('Staging Table'!$A96, LS_current!$B$4:$B$138, 0), MATCH(CL$4&amp;CL$5, LS_current!$D$2:$AY$2&amp;LS_current!$D$3:$AY$3, 0)),SUM(VLOOKUP($A96, LS_current!$B$4:$AY$138, LS_current!Q$148, FALSE), VLOOKUP($A96, LS_current!$B$4:$AY$138,LS_current!AO$148, FALSE))/2)</f>
        <v>77.002681571173525</v>
      </c>
      <c r="CM96" s="180">
        <f t="array" ref="CM96">IF($BT96=0, INDEX(LS_current!$D$4:$AY$138, MATCH('Staging Table'!$A96, LS_current!$B$4:$B$138, 0), MATCH(CM$4&amp;CM$5, LS_current!$D$2:$AY$2&amp;LS_current!$D$3:$AY$3, 0)),SUM(VLOOKUP($A96, LS_current!$B$4:$AY$138, LS_current!R$148, FALSE), VLOOKUP($A96, LS_current!$B$4:$AY$138,LS_current!AP$148, FALSE))/2)</f>
        <v>-8608.1589383151877</v>
      </c>
      <c r="CN96" s="180">
        <f t="array" ref="CN96">IF($BT96=0, INDEX(LS_current!$D$4:$AY$138, MATCH('Staging Table'!$A96, LS_current!$B$4:$B$138, 0), MATCH(CN$4&amp;CN$5, LS_current!$D$2:$AY$2&amp;LS_current!$D$3:$AY$3, 0)),SUM(VLOOKUP($A96, LS_current!$B$4:$AY$138, LS_current!S$148, FALSE), VLOOKUP($A96, LS_current!$B$4:$AY$138,LS_current!AQ$148, FALSE))/2)</f>
        <v>-5278.5228953341611</v>
      </c>
      <c r="CO96" s="180">
        <f t="array" ref="CO96">IF($BT96=0, INDEX(LS_current!$D$4:$AY$138, MATCH('Staging Table'!$A96, LS_current!$B$4:$B$138, 0), MATCH(CO$4&amp;CO$5, LS_current!$D$2:$AY$2&amp;LS_current!$D$3:$AY$3, 0)),SUM(VLOOKUP($A96, LS_current!$B$4:$AY$138, LS_current!T$148, FALSE), VLOOKUP($A96, LS_current!$B$4:$AY$138,LS_current!AR$148, FALSE))/2)</f>
        <v>-13944.860811007402</v>
      </c>
      <c r="CP96" s="180">
        <f t="array" ref="CP96">IF($BT96=0, INDEX(LS_current!$D$4:$AY$138, MATCH('Staging Table'!$A96, LS_current!$B$4:$B$138, 0), MATCH(CP$4&amp;CP$5, LS_current!$D$2:$AY$2&amp;LS_current!$D$3:$AY$3, 0)),SUM(VLOOKUP($A96, LS_current!$B$4:$AY$138, LS_current!U$148, FALSE), VLOOKUP($A96, LS_current!$B$4:$AY$138,LS_current!AS$148, FALSE))/2)</f>
        <v>-7580.1871219445502</v>
      </c>
      <c r="CQ96" s="180">
        <f t="array" ref="CQ96">IF($BT96=0, INDEX(LS_current!$D$4:$AY$138, MATCH('Staging Table'!$A96, LS_current!$B$4:$B$138, 0), MATCH(CQ$4&amp;CQ$5, LS_current!$D$2:$AY$2&amp;LS_current!$D$3:$AY$3, 0)),SUM(VLOOKUP($A96, LS_current!$B$4:$AY$138, LS_current!V$148, FALSE), VLOOKUP($A96, LS_current!$B$4:$AY$138,LS_current!AT$148, FALSE))/2)</f>
        <v>-577.85301082360456</v>
      </c>
      <c r="CR96" s="180">
        <f t="array" ref="CR96">IF($BT96=0, INDEX(LS_current!$D$4:$AY$138, MATCH('Staging Table'!$A96, LS_current!$B$4:$B$138, 0), MATCH(CR$4&amp;CR$5, LS_current!$D$2:$AY$2&amp;LS_current!$D$3:$AY$3, 0)),SUM(VLOOKUP($A96, LS_current!$B$4:$AY$138, LS_current!W$148, FALSE), VLOOKUP($A96, LS_current!$B$4:$AY$138,LS_current!AU$148, FALSE))/2)</f>
        <v>849.51956151275044</v>
      </c>
      <c r="CS96" s="180">
        <f t="array" ref="CS96">IF($BT96=0, INDEX(LS_current!$D$4:$AY$138, MATCH('Staging Table'!$A96, LS_current!$B$4:$B$138, 0), MATCH(CS$4&amp;CS$5, LS_current!$D$2:$AY$2&amp;LS_current!$D$3:$AY$3, 0)),SUM(VLOOKUP($A96, LS_current!$B$4:$AY$138, LS_current!X$148, FALSE), VLOOKUP($A96, LS_current!$B$4:$AY$138,LS_current!AV$148, FALSE))/2)</f>
        <v>-4858.4548873328549</v>
      </c>
      <c r="CT96" s="180">
        <f t="array" ref="CT96">IF($BT96=0, INDEX(LS_current!$D$4:$AY$138, MATCH('Staging Table'!$A96, LS_current!$B$4:$B$138, 0), MATCH(CT$4&amp;CT$5, LS_current!$D$2:$AY$2&amp;LS_current!$D$3:$AY$3, 0)),SUM(VLOOKUP($A96, LS_current!$B$4:$AY$138, LS_current!Y$148, FALSE), VLOOKUP($A96, LS_current!$B$4:$AY$138,LS_current!AW$148, FALSE))/2)</f>
        <v>-1468.037279617025</v>
      </c>
      <c r="CU96" s="180">
        <f t="array" ref="CU96">IF($BT96=0, INDEX(LS_current!$D$4:$AY$138, MATCH('Staging Table'!$A96, LS_current!$B$4:$B$138, 0), MATCH(CU$4&amp;CU$5, LS_current!$D$2:$AY$2&amp;LS_current!$D$3:$AY$3, 0)),SUM(VLOOKUP($A96, LS_current!$B$4:$AY$138, LS_current!Z$148, FALSE), VLOOKUP($A96, LS_current!$B$4:$AY$138,LS_current!AX$148, FALSE))/2)</f>
        <v>-784.89188237260169</v>
      </c>
      <c r="CV96" s="180">
        <f t="array" ref="CV96">IF($BT96=0, INDEX(LS_current!$D$4:$AY$138, MATCH('Staging Table'!$A96, LS_current!$B$4:$B$138, 0), MATCH(CV$4&amp;CV$5, LS_current!$D$2:$AY$2&amp;LS_current!$D$3:$AY$3, 0)),SUM(VLOOKUP($A96, LS_current!$B$4:$AY$138, LS_current!AA$148, FALSE), VLOOKUP($A96, LS_current!$B$4:$AY$138,LS_current!AY$148, FALSE))/2)</f>
        <v>-653.75923588958176</v>
      </c>
      <c r="CW96" s="182">
        <f t="array" ref="CW96">INDEX(Demand_current!$D$4:$AY$138, MATCH($A96, Demand_current!$B$4:$B$138, 0), MATCH(CW$4&amp;CW$5,Demand_current!$D$2:$AY$2&amp;Demand_current!$D$3:$AY$3, 0))/1000</f>
        <v>0</v>
      </c>
      <c r="CX96" s="182">
        <f t="array" ref="CX96">INDEX(Demand_current!$D$4:$AY$138, MATCH($A96, Demand_current!$B$4:$B$138, 0), MATCH(CX$4&amp;CX$5,Demand_current!$D$2:$AY$2&amp;Demand_current!$D$3:$AY$3, 0))/1000</f>
        <v>0</v>
      </c>
      <c r="CY96" s="182">
        <f t="array" ref="CY96">INDEX(Demand_current!$D$4:$AY$138, MATCH($A96, Demand_current!$B$4:$B$138, 0), MATCH(CY$4&amp;CY$5,Demand_current!$D$2:$AY$2&amp;Demand_current!$D$3:$AY$3, 0))/1000</f>
        <v>0</v>
      </c>
      <c r="CZ96" s="182">
        <f t="array" ref="CZ96">INDEX(Demand_current!$D$4:$AY$138, MATCH($A96, Demand_current!$B$4:$B$138, 0), MATCH(CZ$4&amp;CZ$5,Demand_current!$D$2:$AY$2&amp;Demand_current!$D$3:$AY$3, 0))/1000</f>
        <v>0</v>
      </c>
      <c r="DA96" s="182">
        <f t="array" ref="DA96">INDEX(Demand_current!$D$4:$AY$138, MATCH($A96, Demand_current!$B$4:$B$138, 0), MATCH(DA$4&amp;DA$5,Demand_current!$D$2:$AY$2&amp;Demand_current!$D$3:$AY$3, 0))/1000</f>
        <v>0</v>
      </c>
      <c r="DB96" s="182">
        <f t="array" ref="DB96">INDEX(Demand_current!$D$4:$AY$138, MATCH($A96, Demand_current!$B$4:$B$138, 0), MATCH(DB$4&amp;DB$5,Demand_current!$D$2:$AY$2&amp;Demand_current!$D$3:$AY$3, 0))/1000</f>
        <v>0</v>
      </c>
      <c r="DC96" s="182">
        <f t="array" ref="DC96">INDEX(Demand_current!$D$4:$AY$138, MATCH($A96, Demand_current!$B$4:$B$138, 0), MATCH(DC$4&amp;DC$5,Demand_current!$D$2:$AY$2&amp;Demand_current!$D$3:$AY$3, 0))/1000</f>
        <v>0</v>
      </c>
      <c r="DD96" s="182">
        <f t="array" ref="DD96">INDEX(Demand_current!$D$4:$AY$138, MATCH($A96, Demand_current!$B$4:$B$138, 0), MATCH(DD$4&amp;DD$5,Demand_current!$D$2:$AY$2&amp;Demand_current!$D$3:$AY$3, 0))/1000</f>
        <v>0</v>
      </c>
      <c r="DE96" s="182">
        <f t="array" ref="DE96">INDEX(Demand_current!$D$4:$AY$138, MATCH($A96, Demand_current!$B$4:$B$138, 0), MATCH(DE$4&amp;DE$5,Demand_current!$D$2:$AY$2&amp;Demand_current!$D$3:$AY$3, 0))/1000</f>
        <v>0</v>
      </c>
      <c r="DF96" s="182">
        <f t="array" ref="DF96">INDEX(Demand_current!$D$4:$AY$138, MATCH($A96, Demand_current!$B$4:$B$138, 0), MATCH(DF$4&amp;DF$5,Demand_current!$D$2:$AY$2&amp;Demand_current!$D$3:$AY$3, 0))/1000</f>
        <v>0</v>
      </c>
      <c r="DG96" s="182">
        <f t="array" ref="DG96">INDEX(Demand_current!$D$4:$AY$138, MATCH($A96, Demand_current!$B$4:$B$138, 0), MATCH(DG$4&amp;DG$5,Demand_current!$D$2:$AY$2&amp;Demand_current!$D$3:$AY$3, 0))/1000</f>
        <v>0</v>
      </c>
      <c r="DH96" s="182">
        <f t="array" ref="DH96">INDEX(Demand_current!$D$4:$AY$138, MATCH($A96, Demand_current!$B$4:$B$138, 0), MATCH(DH$4&amp;DH$5,Demand_current!$D$2:$AY$2&amp;Demand_current!$D$3:$AY$3, 0))/1000</f>
        <v>0</v>
      </c>
      <c r="DI96" s="180">
        <f>$BS96*(VLOOKUP(DI$4, Rates_current!$G$6:$Q$29, 10, FALSE)+VLOOKUP(DI$4, Rates_current!$G$6:$Q$29, 11, FALSE))</f>
        <v>27421.802569373853</v>
      </c>
      <c r="DJ96" s="180">
        <f>$BS96*(VLOOKUP(DJ$4, Rates_current!$G$6:$Q$29, 10, FALSE)+VLOOKUP(DJ$4, Rates_current!$G$6:$Q$29, 11, FALSE))</f>
        <v>34971.84069690411</v>
      </c>
      <c r="DK96" s="180">
        <f>$BS96*(VLOOKUP(DK$4, Rates_current!$G$6:$Q$29, 10, FALSE)+VLOOKUP(DK$4, Rates_current!$G$6:$Q$29, 11, FALSE))</f>
        <v>37741.535679556502</v>
      </c>
      <c r="DL96" s="180">
        <f>$BS96*(VLOOKUP(DL$4, Rates_current!$G$6:$Q$29, 10, FALSE)+VLOOKUP(DL$4, Rates_current!$G$6:$Q$29, 11, FALSE))</f>
        <v>39219.289953025604</v>
      </c>
      <c r="DM96" s="180">
        <f>$BS96*(VLOOKUP(DM$4, Rates_current!$G$6:$Q$29, 10, FALSE)+VLOOKUP(DM$4, Rates_current!$G$6:$Q$29, 11, FALSE))</f>
        <v>33733.816957216201</v>
      </c>
      <c r="DN96" s="180">
        <f>$BS96*(VLOOKUP(DN$4, Rates_current!$G$6:$Q$29, 10, FALSE)+VLOOKUP(DN$4, Rates_current!$G$6:$Q$29, 11, FALSE))</f>
        <v>36830.649157410902</v>
      </c>
      <c r="DO96" s="180">
        <f>$BS96*(VLOOKUP(DO$4, Rates_current!$G$6:$Q$29, 10, FALSE)+VLOOKUP(DO$4, Rates_current!$G$6:$Q$29, 11, FALSE))</f>
        <v>29071.590793001073</v>
      </c>
      <c r="DP96" s="180">
        <f>$BS96*(VLOOKUP(DP$4, Rates_current!$G$6:$Q$29, 10, FALSE)+VLOOKUP(DP$4, Rates_current!$G$6:$Q$29, 11, FALSE))</f>
        <v>36067.204153649349</v>
      </c>
      <c r="DQ96" s="180">
        <f>$BS96*(VLOOKUP(DQ$4, Rates_current!$G$6:$Q$29, 10, FALSE)+VLOOKUP(DQ$4, Rates_current!$G$6:$Q$29, 11, FALSE))</f>
        <v>36849.772444951952</v>
      </c>
      <c r="DR96" s="180">
        <f>$BS96*(VLOOKUP(DR$4, Rates_current!$G$6:$Q$29, 10, FALSE)+VLOOKUP(DR$4, Rates_current!$G$6:$Q$29, 11, FALSE))</f>
        <v>31990.911369310852</v>
      </c>
      <c r="DS96" s="180">
        <f>$BS96*(VLOOKUP(DS$4, Rates_current!$G$6:$Q$29, 10, FALSE)+VLOOKUP(DS$4, Rates_current!$G$6:$Q$29, 11, FALSE))</f>
        <v>30926.707830949868</v>
      </c>
      <c r="DT96" s="180">
        <f>$BS96*(VLOOKUP(DT$4, Rates_current!$G$6:$Q$29, 10, FALSE)+VLOOKUP(DT$4, Rates_current!$G$6:$Q$29, 11, FALSE))</f>
        <v>28458.560126262204</v>
      </c>
      <c r="DU96" s="402">
        <f>IF(D96=0,IF(C96=0,MAX(0,DW96 - (VLOOKUP($A96,TOCA_current!$A$2:$AI$137,MATCH("RHWM 2024",TOCA_current!$A$2:$AI$2,0),FALSE)*$BS$2)), 0),0)</f>
        <v>0</v>
      </c>
      <c r="DV96" s="403">
        <f>MIN(VLOOKUP($A96,TOCA_current!$A$2:$AI$137,MATCH("TRL - NLSL - Existing Resource "&amp;$BS$1,TOCA_current!$A$2:$AI$2,0),FALSE)*$BS$2, VLOOKUP($A96,TOCA_current!$A$2:$AI$137,MATCH("RHWM 2024",TOCA_current!$A$2:$AI$2,0),FALSE)*$BS$2)</f>
        <v>403282.22399999999</v>
      </c>
      <c r="DW96" s="403">
        <f>SUM(BY96:CV96)+(BS96*RT1SC!$C$4*$BS$2)</f>
        <v>403282.22584857157</v>
      </c>
      <c r="DX96" s="403">
        <f>VLOOKUP($A96,TOCA_current!$A$2:$AI$137,MATCH("Above RHWM Not Served with LS "&amp;$BS$1,TOCA_current!$A$2:$AI$2,0),FALSE)*$BS$2</f>
        <v>37050.911999999997</v>
      </c>
      <c r="DY96" s="403">
        <f t="shared" si="32"/>
        <v>1.8485715845599771E-3</v>
      </c>
      <c r="DZ96" s="403">
        <f>(VLOOKUP($A96,TOCA_current!$A$2:$AI$137,MATCH("RHWM 2024",TOCA_current!$A$2:$AI$2,0),FALSE)*$BS$2) - $DV96</f>
        <v>0</v>
      </c>
      <c r="EA96" s="403">
        <f t="shared" si="33"/>
        <v>0</v>
      </c>
      <c r="EB96" s="403">
        <f t="shared" si="34"/>
        <v>0</v>
      </c>
      <c r="EC96" s="403">
        <f t="shared" si="35"/>
        <v>0</v>
      </c>
      <c r="ED96" s="403">
        <f t="shared" si="36"/>
        <v>0</v>
      </c>
    </row>
    <row r="97" spans="1:134">
      <c r="A97" s="123">
        <v>10288</v>
      </c>
      <c r="B97" s="124" t="s">
        <v>98</v>
      </c>
      <c r="C97" s="232">
        <f>VLOOKUP(A97, TOCA_current!$A$3:$D$137, 4, FALSE)</f>
        <v>1</v>
      </c>
      <c r="D97" s="191">
        <v>0</v>
      </c>
      <c r="E97" s="107">
        <f>VLOOKUP($A97,TOCA_previous!$A$2:$AI$137,MATCH(E$4,TOCA_previous!$A$2:$AI$2,0),FALSE)</f>
        <v>3.5025E-3</v>
      </c>
      <c r="F97" s="108">
        <f>VLOOKUP($A97,TOCA_previous!$A$2:$AI$137,MATCH(F$4,TOCA_previous!$A$2:$AI$2,0),FALSE)</f>
        <v>3.5025E-3</v>
      </c>
      <c r="G97" s="108">
        <f t="shared" si="24"/>
        <v>0</v>
      </c>
      <c r="H97" s="108">
        <f>VLOOKUP($A97,TOCA_previous!$A$2:$AI$137,MATCH(H$4,TOCA_previous!$A$2:$AI$2,0),FALSE)</f>
        <v>5.8319999999999997E-2</v>
      </c>
      <c r="I97" s="108">
        <f t="shared" si="25"/>
        <v>5.8319999999999997E-2</v>
      </c>
      <c r="J97" s="108">
        <f t="shared" si="26"/>
        <v>3.5025E-3</v>
      </c>
      <c r="K97" s="179">
        <f>VLOOKUP(A97, IRD!$A$5:$C$139, 3, FALSE)</f>
        <v>0</v>
      </c>
      <c r="L97" s="180">
        <f t="array" ref="L97">IF($G97=0, INDEX(LS_previous!$D$4:$AY$138, MATCH('Staging Table'!$A97, LS_previous!$B$4:$B$138, 0), MATCH(L$4&amp;L$5, LS_previous!$D$2:$AY$2&amp;LS_previous!$D$3:$AY$3, 0)),SUM(VLOOKUP($A97, LS_previous!$B$4:$AY$138, LS_previous!D$149, FALSE), VLOOKUP('Staging Table'!$A97, LS_previous!$B$4:$AY$138,LS_previous!AB$149, FALSE))/2)</f>
        <v>0</v>
      </c>
      <c r="M97" s="180">
        <f t="array" ref="M97">IF($G97=0, INDEX(LS_previous!$D$4:$AY$138, MATCH('Staging Table'!$A97, LS_previous!$B$4:$B$138, 0), MATCH(M$4&amp;M$5, LS_previous!$D$2:$AY$2&amp;LS_previous!$D$3:$AY$3, 0)),SUM(VLOOKUP($A97, LS_previous!$B$4:$AY$138, LS_previous!E$149, FALSE), VLOOKUP('Staging Table'!$A97, LS_previous!$B$4:$AY$138,LS_previous!AC$149, FALSE))/2)</f>
        <v>0</v>
      </c>
      <c r="N97" s="180">
        <f t="array" ref="N97">IF($G97=0, INDEX(LS_previous!$D$4:$AY$138, MATCH('Staging Table'!$A97, LS_previous!$B$4:$B$138, 0), MATCH(N$4&amp;N$5, LS_previous!$D$2:$AY$2&amp;LS_previous!$D$3:$AY$3, 0)),SUM(VLOOKUP($A97, LS_previous!$B$4:$AY$138, LS_previous!F$149, FALSE), VLOOKUP('Staging Table'!$A97, LS_previous!$B$4:$AY$138,LS_previous!AD$149, FALSE))/2)</f>
        <v>0</v>
      </c>
      <c r="O97" s="180">
        <f t="array" ref="O97">IF($G97=0, INDEX(LS_previous!$D$4:$AY$138, MATCH('Staging Table'!$A97, LS_previous!$B$4:$B$138, 0), MATCH(O$4&amp;O$5, LS_previous!$D$2:$AY$2&amp;LS_previous!$D$3:$AY$3, 0)),SUM(VLOOKUP($A97, LS_previous!$B$4:$AY$138, LS_previous!G$149, FALSE), VLOOKUP('Staging Table'!$A97, LS_previous!$B$4:$AY$138,LS_previous!AE$149, FALSE))/2)</f>
        <v>0</v>
      </c>
      <c r="P97" s="180">
        <f t="array" ref="P97">IF($G97=0, INDEX(LS_previous!$D$4:$AY$138, MATCH('Staging Table'!$A97, LS_previous!$B$4:$B$138, 0), MATCH(P$4&amp;P$5, LS_previous!$D$2:$AY$2&amp;LS_previous!$D$3:$AY$3, 0)),SUM(VLOOKUP($A97, LS_previous!$B$4:$AY$138, LS_previous!H$149, FALSE), VLOOKUP('Staging Table'!$A97, LS_previous!$B$4:$AY$138,LS_previous!AF$149, FALSE))/2)</f>
        <v>0</v>
      </c>
      <c r="Q97" s="180">
        <f t="array" ref="Q97">IF($G97=0, INDEX(LS_previous!$D$4:$AY$138, MATCH('Staging Table'!$A97, LS_previous!$B$4:$B$138, 0), MATCH(Q$4&amp;Q$5, LS_previous!$D$2:$AY$2&amp;LS_previous!$D$3:$AY$3, 0)),SUM(VLOOKUP($A97, LS_previous!$B$4:$AY$138, LS_previous!I$149, FALSE), VLOOKUP('Staging Table'!$A97, LS_previous!$B$4:$AY$138,LS_previous!AG$149, FALSE))/2)</f>
        <v>0</v>
      </c>
      <c r="R97" s="180">
        <f t="array" ref="R97">IF($G97=0, INDEX(LS_previous!$D$4:$AY$138, MATCH('Staging Table'!$A97, LS_previous!$B$4:$B$138, 0), MATCH(R$4&amp;R$5, LS_previous!$D$2:$AY$2&amp;LS_previous!$D$3:$AY$3, 0)),SUM(VLOOKUP($A97, LS_previous!$B$4:$AY$138, LS_previous!J$149, FALSE), VLOOKUP('Staging Table'!$A97, LS_previous!$B$4:$AY$138,LS_previous!AH$149, FALSE))/2)</f>
        <v>0</v>
      </c>
      <c r="S97" s="180">
        <f t="array" ref="S97">IF($G97=0, INDEX(LS_previous!$D$4:$AY$138, MATCH('Staging Table'!$A97, LS_previous!$B$4:$B$138, 0), MATCH(S$4&amp;S$5, LS_previous!$D$2:$AY$2&amp;LS_previous!$D$3:$AY$3, 0)),SUM(VLOOKUP($A97, LS_previous!$B$4:$AY$138, LS_previous!K$149, FALSE), VLOOKUP('Staging Table'!$A97, LS_previous!$B$4:$AY$138,LS_previous!AI$149, FALSE))/2)</f>
        <v>0</v>
      </c>
      <c r="T97" s="180">
        <f t="array" ref="T97">IF($G97=0, INDEX(LS_previous!$D$4:$AY$138, MATCH('Staging Table'!$A97, LS_previous!$B$4:$B$138, 0), MATCH(T$4&amp;T$5, LS_previous!$D$2:$AY$2&amp;LS_previous!$D$3:$AY$3, 0)),SUM(VLOOKUP($A97, LS_previous!$B$4:$AY$138, LS_previous!L$149, FALSE), VLOOKUP('Staging Table'!$A97, LS_previous!$B$4:$AY$138,LS_previous!AJ$149, FALSE))/2)</f>
        <v>0</v>
      </c>
      <c r="U97" s="180">
        <f t="array" ref="U97">IF($G97=0, INDEX(LS_previous!$D$4:$AY$138, MATCH('Staging Table'!$A97, LS_previous!$B$4:$B$138, 0), MATCH(U$4&amp;U$5, LS_previous!$D$2:$AY$2&amp;LS_previous!$D$3:$AY$3, 0)),SUM(VLOOKUP($A97, LS_previous!$B$4:$AY$138, LS_previous!M$149, FALSE), VLOOKUP('Staging Table'!$A97, LS_previous!$B$4:$AY$138,LS_previous!AK$149, FALSE))/2)</f>
        <v>0</v>
      </c>
      <c r="V97" s="180">
        <f t="array" ref="V97">IF($G97=0, INDEX(LS_previous!$D$4:$AY$138, MATCH('Staging Table'!$A97, LS_previous!$B$4:$B$138, 0), MATCH(V$4&amp;V$5, LS_previous!$D$2:$AY$2&amp;LS_previous!$D$3:$AY$3, 0)),SUM(VLOOKUP($A97, LS_previous!$B$4:$AY$138, LS_previous!N$149, FALSE), VLOOKUP('Staging Table'!$A97, LS_previous!$B$4:$AY$138,LS_previous!AL$149, FALSE))/2)</f>
        <v>0</v>
      </c>
      <c r="W97" s="180">
        <f t="array" ref="W97">IF($G97=0, INDEX(LS_previous!$D$4:$AY$138, MATCH('Staging Table'!$A97, LS_previous!$B$4:$B$138, 0), MATCH(W$4&amp;W$5, LS_previous!$D$2:$AY$2&amp;LS_previous!$D$3:$AY$3, 0)),SUM(VLOOKUP($A97, LS_previous!$B$4:$AY$138, LS_previous!O$149, FALSE), VLOOKUP('Staging Table'!$A97, LS_previous!$B$4:$AY$138,LS_previous!AM$149, FALSE))/2)</f>
        <v>0</v>
      </c>
      <c r="X97" s="180">
        <f t="array" ref="X97">IF($G97=0, INDEX(LS_previous!$D$4:$AY$138, MATCH('Staging Table'!$A97, LS_previous!$B$4:$B$138, 0), MATCH(X$4&amp;X$5, LS_previous!$D$2:$AY$2&amp;LS_previous!$D$3:$AY$3, 0)),SUM(VLOOKUP($A97, LS_previous!$B$4:$AY$138, LS_previous!P$149, FALSE), VLOOKUP('Staging Table'!$A97, LS_previous!$B$4:$AY$138,LS_previous!AN$149, FALSE))/2)</f>
        <v>0</v>
      </c>
      <c r="Y97" s="180">
        <f t="array" ref="Y97">IF($G97=0, INDEX(LS_previous!$D$4:$AY$138, MATCH('Staging Table'!$A97, LS_previous!$B$4:$B$138, 0), MATCH(Y$4&amp;Y$5, LS_previous!$D$2:$AY$2&amp;LS_previous!$D$3:$AY$3, 0)),SUM(VLOOKUP($A97, LS_previous!$B$4:$AY$138, LS_previous!Q$149, FALSE), VLOOKUP('Staging Table'!$A97, LS_previous!$B$4:$AY$138,LS_previous!AO$149, FALSE))/2)</f>
        <v>0</v>
      </c>
      <c r="Z97" s="180">
        <f t="array" ref="Z97">IF($G97=0, INDEX(LS_previous!$D$4:$AY$138, MATCH('Staging Table'!$A97, LS_previous!$B$4:$B$138, 0), MATCH(Z$4&amp;Z$5, LS_previous!$D$2:$AY$2&amp;LS_previous!$D$3:$AY$3, 0)),SUM(VLOOKUP($A97, LS_previous!$B$4:$AY$138, LS_previous!R$149, FALSE), VLOOKUP('Staging Table'!$A97, LS_previous!$B$4:$AY$138,LS_previous!AP$149, FALSE))/2)</f>
        <v>0</v>
      </c>
      <c r="AA97" s="180">
        <f t="array" ref="AA97">IF($G97=0, INDEX(LS_previous!$D$4:$AY$138, MATCH('Staging Table'!$A97, LS_previous!$B$4:$B$138, 0), MATCH(AA$4&amp;AA$5, LS_previous!$D$2:$AY$2&amp;LS_previous!$D$3:$AY$3, 0)),SUM(VLOOKUP($A97, LS_previous!$B$4:$AY$138, LS_previous!S$149, FALSE), VLOOKUP('Staging Table'!$A97, LS_previous!$B$4:$AY$138,LS_previous!AQ$149, FALSE))/2)</f>
        <v>0</v>
      </c>
      <c r="AB97" s="180">
        <f t="array" ref="AB97">IF($G97=0, INDEX(LS_previous!$D$4:$AY$138, MATCH('Staging Table'!$A97, LS_previous!$B$4:$B$138, 0), MATCH(AB$4&amp;AB$5, LS_previous!$D$2:$AY$2&amp;LS_previous!$D$3:$AY$3, 0)),SUM(VLOOKUP($A97, LS_previous!$B$4:$AY$138, LS_previous!T$149, FALSE), VLOOKUP('Staging Table'!$A97, LS_previous!$B$4:$AY$138,LS_previous!AR$149, FALSE))/2)</f>
        <v>0</v>
      </c>
      <c r="AC97" s="180">
        <f t="array" ref="AC97">IF($G97=0, INDEX(LS_previous!$D$4:$AY$138, MATCH('Staging Table'!$A97, LS_previous!$B$4:$B$138, 0), MATCH(AC$4&amp;AC$5, LS_previous!$D$2:$AY$2&amp;LS_previous!$D$3:$AY$3, 0)),SUM(VLOOKUP($A97, LS_previous!$B$4:$AY$138, LS_previous!U$149, FALSE), VLOOKUP('Staging Table'!$A97, LS_previous!$B$4:$AY$138,LS_previous!AS$149, FALSE))/2)</f>
        <v>0</v>
      </c>
      <c r="AD97" s="180">
        <f t="array" ref="AD97">IF($G97=0, INDEX(LS_previous!$D$4:$AY$138, MATCH('Staging Table'!$A97, LS_previous!$B$4:$B$138, 0), MATCH(AD$4&amp;AD$5, LS_previous!$D$2:$AY$2&amp;LS_previous!$D$3:$AY$3, 0)),SUM(VLOOKUP($A97, LS_previous!$B$4:$AY$138, LS_previous!V$149, FALSE), VLOOKUP('Staging Table'!$A97, LS_previous!$B$4:$AY$138,LS_previous!AT$149, FALSE))/2)</f>
        <v>0</v>
      </c>
      <c r="AE97" s="180">
        <f t="array" ref="AE97">IF($G97=0, INDEX(LS_previous!$D$4:$AY$138, MATCH('Staging Table'!$A97, LS_previous!$B$4:$B$138, 0), MATCH(AE$4&amp;AE$5, LS_previous!$D$2:$AY$2&amp;LS_previous!$D$3:$AY$3, 0)),SUM(VLOOKUP($A97, LS_previous!$B$4:$AY$138, LS_previous!W$149, FALSE), VLOOKUP('Staging Table'!$A97, LS_previous!$B$4:$AY$138,LS_previous!AU$149, FALSE))/2)</f>
        <v>0</v>
      </c>
      <c r="AF97" s="180">
        <f t="array" ref="AF97">IF($G97=0, INDEX(LS_previous!$D$4:$AY$138, MATCH('Staging Table'!$A97, LS_previous!$B$4:$B$138, 0), MATCH(AF$4&amp;AF$5, LS_previous!$D$2:$AY$2&amp;LS_previous!$D$3:$AY$3, 0)),SUM(VLOOKUP($A97, LS_previous!$B$4:$AY$138, LS_previous!X$149, FALSE), VLOOKUP('Staging Table'!$A97, LS_previous!$B$4:$AY$138,LS_previous!AV$149, FALSE))/2)</f>
        <v>0</v>
      </c>
      <c r="AG97" s="180">
        <f t="array" ref="AG97">IF($G97=0, INDEX(LS_previous!$D$4:$AY$138, MATCH('Staging Table'!$A97, LS_previous!$B$4:$B$138, 0), MATCH(AG$4&amp;AG$5, LS_previous!$D$2:$AY$2&amp;LS_previous!$D$3:$AY$3, 0)),SUM(VLOOKUP($A97, LS_previous!$B$4:$AY$138, LS_previous!Y$149, FALSE), VLOOKUP('Staging Table'!$A97, LS_previous!$B$4:$AY$138,LS_previous!AW$149, FALSE))/2)</f>
        <v>0</v>
      </c>
      <c r="AH97" s="180">
        <f t="array" ref="AH97">IF($G97=0, INDEX(LS_previous!$D$4:$AY$138, MATCH('Staging Table'!$A97, LS_previous!$B$4:$B$138, 0), MATCH(AH$4&amp;AH$5, LS_previous!$D$2:$AY$2&amp;LS_previous!$D$3:$AY$3, 0)),SUM(VLOOKUP($A97, LS_previous!$B$4:$AY$138, LS_previous!Z$149, FALSE), VLOOKUP('Staging Table'!$A97, LS_previous!$B$4:$AY$138,LS_previous!AX$149, FALSE))/2)</f>
        <v>0</v>
      </c>
      <c r="AI97" s="180">
        <f t="array" ref="AI97">IF($G97=0, INDEX(LS_previous!$D$4:$AY$138, MATCH('Staging Table'!$A97, LS_previous!$B$4:$B$138, 0), MATCH(AI$4&amp;AI$5, LS_previous!$D$2:$AY$2&amp;LS_previous!$D$3:$AY$3, 0)),SUM(VLOOKUP($A97, LS_previous!$B$4:$AY$138, LS_previous!AA$149, FALSE), VLOOKUP('Staging Table'!$A97, LS_previous!$B$4:$AY$138,LS_previous!AY$149, FALSE))/2)</f>
        <v>0</v>
      </c>
      <c r="AJ97" s="298">
        <f t="array" ref="AJ97">INDEX(Demand_previous!$D$4:$AY$138, MATCH('Staging Table'!$A97, Demand_previous!$B$4:$B$138, 0), MATCH(AJ$4&amp;AJ$5,Demand_previous!$D$2:$AY$2&amp;Demand_previous!$D$3:$AY$3, 0))/1000</f>
        <v>0</v>
      </c>
      <c r="AK97" s="298">
        <f t="array" ref="AK97">INDEX(Demand_previous!$D$4:$AY$138, MATCH('Staging Table'!$A97, Demand_previous!$B$4:$B$138, 0), MATCH(AK$4&amp;AK$5,Demand_previous!$D$2:$AY$2&amp;Demand_previous!$D$3:$AY$3, 0))/1000</f>
        <v>0</v>
      </c>
      <c r="AL97" s="298">
        <f t="array" ref="AL97">INDEX(Demand_previous!$D$4:$AY$138, MATCH('Staging Table'!$A97, Demand_previous!$B$4:$B$138, 0), MATCH(AL$4&amp;AL$5,Demand_previous!$D$2:$AY$2&amp;Demand_previous!$D$3:$AY$3, 0))/1000</f>
        <v>0</v>
      </c>
      <c r="AM97" s="298">
        <f t="array" ref="AM97">INDEX(Demand_previous!$D$4:$AY$138, MATCH('Staging Table'!$A97, Demand_previous!$B$4:$B$138, 0), MATCH(AM$4&amp;AM$5,Demand_previous!$D$2:$AY$2&amp;Demand_previous!$D$3:$AY$3, 0))/1000</f>
        <v>0</v>
      </c>
      <c r="AN97" s="298">
        <f t="array" ref="AN97">INDEX(Demand_previous!$D$4:$AY$138, MATCH('Staging Table'!$A97, Demand_previous!$B$4:$B$138, 0), MATCH(AN$4&amp;AN$5,Demand_previous!$D$2:$AY$2&amp;Demand_previous!$D$3:$AY$3, 0))/1000</f>
        <v>0</v>
      </c>
      <c r="AO97" s="298">
        <f t="array" ref="AO97">INDEX(Demand_previous!$D$4:$AY$138, MATCH('Staging Table'!$A97, Demand_previous!$B$4:$B$138, 0), MATCH(AO$4&amp;AO$5,Demand_previous!$D$2:$AY$2&amp;Demand_previous!$D$3:$AY$3, 0))/1000</f>
        <v>0</v>
      </c>
      <c r="AP97" s="298">
        <f t="array" ref="AP97">INDEX(Demand_previous!$D$4:$AY$138, MATCH('Staging Table'!$A97, Demand_previous!$B$4:$B$138, 0), MATCH(AP$4&amp;AP$5,Demand_previous!$D$2:$AY$2&amp;Demand_previous!$D$3:$AY$3, 0))/1000</f>
        <v>0</v>
      </c>
      <c r="AQ97" s="298">
        <f t="array" ref="AQ97">INDEX(Demand_previous!$D$4:$AY$138, MATCH('Staging Table'!$A97, Demand_previous!$B$4:$B$138, 0), MATCH(AQ$4&amp;AQ$5,Demand_previous!$D$2:$AY$2&amp;Demand_previous!$D$3:$AY$3, 0))/1000</f>
        <v>0</v>
      </c>
      <c r="AR97" s="298">
        <f t="array" ref="AR97">INDEX(Demand_previous!$D$4:$AY$138, MATCH('Staging Table'!$A97, Demand_previous!$B$4:$B$138, 0), MATCH(AR$4&amp;AR$5,Demand_previous!$D$2:$AY$2&amp;Demand_previous!$D$3:$AY$3, 0))/1000</f>
        <v>0</v>
      </c>
      <c r="AS97" s="298">
        <f t="array" ref="AS97">INDEX(Demand_previous!$D$4:$AY$138, MATCH('Staging Table'!$A97, Demand_previous!$B$4:$B$138, 0), MATCH(AS$4&amp;AS$5,Demand_previous!$D$2:$AY$2&amp;Demand_previous!$D$3:$AY$3, 0))/1000</f>
        <v>0</v>
      </c>
      <c r="AT97" s="298">
        <f t="array" ref="AT97">INDEX(Demand_previous!$D$4:$AY$138, MATCH('Staging Table'!$A97, Demand_previous!$B$4:$B$138, 0), MATCH(AT$4&amp;AT$5,Demand_previous!$D$2:$AY$2&amp;Demand_previous!$D$3:$AY$3, 0))/1000</f>
        <v>0</v>
      </c>
      <c r="AU97" s="298">
        <f t="array" ref="AU97">INDEX(Demand_previous!$D$4:$AY$138, MATCH('Staging Table'!$A97, Demand_previous!$B$4:$B$138, 0), MATCH(AU$4&amp;AU$5,Demand_previous!$D$2:$AY$2&amp;Demand_previous!$D$3:$AY$3, 0))/1000</f>
        <v>0</v>
      </c>
      <c r="AV97" s="180">
        <f>$F97*(VLOOKUP(AV$4, Rates_previous!$G$6:$Q$29, 10, FALSE)+VLOOKUP(AV$4, Rates_previous!$G$6:$Q$29, 11, FALSE))</f>
        <v>15950.120283722406</v>
      </c>
      <c r="AW97" s="180">
        <f>$F97*(VLOOKUP(AW$4, Rates_previous!$G$6:$Q$29, 10, FALSE)+VLOOKUP(AW$4, Rates_previous!$G$6:$Q$29, 11, FALSE))</f>
        <v>20193.431148892694</v>
      </c>
      <c r="AX97" s="180">
        <f>$F97*(VLOOKUP(AX$4, Rates_previous!$G$6:$Q$29, 10, FALSE)+VLOOKUP(AX$4, Rates_previous!$G$6:$Q$29, 11, FALSE))</f>
        <v>19765.334786153311</v>
      </c>
      <c r="AY97" s="180">
        <f>$F97*(VLOOKUP(AY$4, Rates_previous!$G$6:$Q$29, 10, FALSE)+VLOOKUP(AY$4, Rates_previous!$G$6:$Q$29, 11, FALSE))</f>
        <v>16325.326015625767</v>
      </c>
      <c r="AZ97" s="180">
        <f>$F97*(VLOOKUP(AZ$4, Rates_previous!$G$6:$Q$29, 10, FALSE)+VLOOKUP(AZ$4, Rates_previous!$G$6:$Q$29, 11, FALSE))</f>
        <v>14149.517861353728</v>
      </c>
      <c r="BA97" s="180">
        <f>$F97*(VLOOKUP(BA$4, Rates_previous!$G$6:$Q$29, 10, FALSE)+VLOOKUP(BA$4, Rates_previous!$G$6:$Q$29, 11, FALSE))</f>
        <v>16891.666983475039</v>
      </c>
      <c r="BB97" s="180">
        <f>$F97*(VLOOKUP(BB$4, Rates_previous!$G$6:$Q$29, 10, FALSE)+VLOOKUP(BB$4, Rates_previous!$G$6:$Q$29, 11, FALSE))</f>
        <v>13114.130643634084</v>
      </c>
      <c r="BC97" s="180">
        <f>$F97*(VLOOKUP(BC$4, Rates_previous!$G$6:$Q$29, 10, FALSE)+VLOOKUP(BC$4, Rates_previous!$G$6:$Q$29, 11, FALSE))</f>
        <v>18169.724513434237</v>
      </c>
      <c r="BD97" s="180">
        <f>$F97*(VLOOKUP(BD$4, Rates_previous!$G$6:$Q$29, 10, FALSE)+VLOOKUP(BD$4, Rates_previous!$G$6:$Q$29, 11, FALSE))</f>
        <v>19414.731101214784</v>
      </c>
      <c r="BE97" s="180">
        <f>$F97*(VLOOKUP(BE$4, Rates_previous!$G$6:$Q$29, 10, FALSE)+VLOOKUP(BE$4, Rates_previous!$G$6:$Q$29, 11, FALSE))</f>
        <v>18433.408050540245</v>
      </c>
      <c r="BF97" s="180">
        <f>$F97*(VLOOKUP(BF$4, Rates_previous!$G$6:$Q$29, 10, FALSE)+VLOOKUP(BF$4, Rates_previous!$G$6:$Q$29, 11, FALSE))</f>
        <v>17814.466817405875</v>
      </c>
      <c r="BG97" s="180">
        <f>$F97*(VLOOKUP(BG$4, Rates_previous!$G$6:$Q$29, 10, FALSE)+VLOOKUP(BG$4, Rates_previous!$G$6:$Q$29, 11, FALSE))</f>
        <v>16462.424423852473</v>
      </c>
      <c r="BH97" s="298">
        <f>IF($D97=0,IF(C97=0, MAX(BJ97 - (VLOOKUP($A97,TOCA_previous!$A$2:$AI$137,MATCH("RHWM 2022",TOCA_previous!$A$2:$AI$2,0),FALSE)*$F$2*TOCA_previous!C94),0),0), 0)</f>
        <v>0</v>
      </c>
      <c r="BI97" s="192">
        <f>MIN(VLOOKUP($A97,TOCA_previous!$A$2:$AI$137,MATCH("TRL - NLSL - Existing Resource "&amp;$F$1,TOCA_previous!$A$2:$AI$2,0),FALSE)*$F$2,(VLOOKUP($A97,TOCA_previous!$A$2:$AI$137,MATCH("RHWM 2022",TOCA_previous!$A$2:$AI$2,0),FALSE)*$F$2))</f>
        <v>206683.44</v>
      </c>
      <c r="BJ97" s="402">
        <f>SUM(L97:AI97)+(F97*RT1SC!$C$3*$F$2)</f>
        <v>206684.2932021</v>
      </c>
      <c r="BK97" s="401">
        <f>VLOOKUP($A97,TOCA_previous!$A$2:$AI$137,MATCH("Above RHWM Not Served with LS "&amp;$F$1,TOCA_previous!$A$2:$AI$2,0),FALSE)*$F$2</f>
        <v>12491.76</v>
      </c>
      <c r="BL97" s="402">
        <f t="shared" si="27"/>
        <v>0.85320209999918006</v>
      </c>
      <c r="BM97" s="401">
        <f>(VLOOKUP($A97,TOCA_previous!$A$2:$AI$137,MATCH("RHWM 2022",TOCA_previous!$A$2:$AI$2,0),FALSE)*$F$2) - $BI97</f>
        <v>0</v>
      </c>
      <c r="BN97" s="402">
        <f t="shared" si="28"/>
        <v>0</v>
      </c>
      <c r="BO97" s="401">
        <f t="shared" si="29"/>
        <v>0</v>
      </c>
      <c r="BP97" s="402">
        <f t="shared" si="30"/>
        <v>0</v>
      </c>
      <c r="BQ97" s="401">
        <f t="shared" si="21"/>
        <v>0</v>
      </c>
      <c r="BR97" s="108">
        <f>VLOOKUP($A97,TOCA_current!$A$2:$AI$137,MATCH(BR$4,TOCA_current!$A$2:$AI$2,0),FALSE)</f>
        <v>3.4845000000000002E-3</v>
      </c>
      <c r="BS97" s="108">
        <f>VLOOKUP($A97,TOCA_current!$A$2:$AI$137,MATCH(BS$4,TOCA_current!$A$2:$AI$2,0),FALSE)</f>
        <v>3.4845000000000002E-3</v>
      </c>
      <c r="BT97" s="189">
        <f t="shared" si="31"/>
        <v>0</v>
      </c>
      <c r="BU97" s="108">
        <f>VLOOKUP($A97,TOCA_current!A93:BG228,MATCH(BU$4,TOCA_current!$A$2:$BG$2,0),FALSE)</f>
        <v>0.06</v>
      </c>
      <c r="BV97" s="108">
        <f t="shared" si="22"/>
        <v>0.06</v>
      </c>
      <c r="BW97" s="108">
        <f t="shared" si="23"/>
        <v>3.4845000000000002E-3</v>
      </c>
      <c r="BX97" s="179">
        <f>VLOOKUP($A97,IRD!$A$4:$G$139, 7, FALSE)</f>
        <v>0</v>
      </c>
      <c r="BY97" s="180">
        <f t="array" ref="BY97">IF($BT97=0, INDEX(LS_current!$D$4:$AY$138, MATCH('Staging Table'!$A97, LS_current!$B$4:$B$138, 0), MATCH(BY$4&amp;BY$5, LS_current!$D$2:$AY$2&amp;LS_current!$D$3:$AY$3, 0)),SUM(VLOOKUP($A97, LS_current!$B$4:$AY$138, LS_current!D$148, FALSE), VLOOKUP($A97, LS_current!$B$4:$AY$138,LS_current!AB$148, FALSE))/2)</f>
        <v>0</v>
      </c>
      <c r="BZ97" s="180">
        <f t="array" ref="BZ97">IF($BT97=0, INDEX(LS_current!$D$4:$AY$138, MATCH('Staging Table'!$A97, LS_current!$B$4:$B$138, 0), MATCH(BZ$4&amp;BZ$5, LS_current!$D$2:$AY$2&amp;LS_current!$D$3:$AY$3, 0)),SUM(VLOOKUP($A97, LS_current!$B$4:$AY$138, LS_current!E$148, FALSE), VLOOKUP($A97, LS_current!$B$4:$AY$138,LS_current!AC$148, FALSE))/2)</f>
        <v>0</v>
      </c>
      <c r="CA97" s="180">
        <f t="array" ref="CA97">IF($BT97=0, INDEX(LS_current!$D$4:$AY$138, MATCH('Staging Table'!$A97, LS_current!$B$4:$B$138, 0), MATCH(CA$4&amp;CA$5, LS_current!$D$2:$AY$2&amp;LS_current!$D$3:$AY$3, 0)),SUM(VLOOKUP($A97, LS_current!$B$4:$AY$138, LS_current!F$148, FALSE), VLOOKUP($A97, LS_current!$B$4:$AY$138,LS_current!AD$148, FALSE))/2)</f>
        <v>0</v>
      </c>
      <c r="CB97" s="180">
        <f t="array" ref="CB97">IF($BT97=0, INDEX(LS_current!$D$4:$AY$138, MATCH('Staging Table'!$A97, LS_current!$B$4:$B$138, 0), MATCH(CB$4&amp;CB$5, LS_current!$D$2:$AY$2&amp;LS_current!$D$3:$AY$3, 0)),SUM(VLOOKUP($A97, LS_current!$B$4:$AY$138, LS_current!G$148, FALSE), VLOOKUP($A97, LS_current!$B$4:$AY$138,LS_current!AE$148, FALSE))/2)</f>
        <v>0</v>
      </c>
      <c r="CC97" s="180">
        <f t="array" ref="CC97">IF($BT97=0, INDEX(LS_current!$D$4:$AY$138, MATCH('Staging Table'!$A97, LS_current!$B$4:$B$138, 0), MATCH(CC$4&amp;CC$5, LS_current!$D$2:$AY$2&amp;LS_current!$D$3:$AY$3, 0)),SUM(VLOOKUP($A97, LS_current!$B$4:$AY$138, LS_current!H$148, FALSE), VLOOKUP($A97, LS_current!$B$4:$AY$138,LS_current!AF$148, FALSE))/2)</f>
        <v>0</v>
      </c>
      <c r="CD97" s="180">
        <f t="array" ref="CD97">IF($BT97=0, INDEX(LS_current!$D$4:$AY$138, MATCH('Staging Table'!$A97, LS_current!$B$4:$B$138, 0), MATCH(CD$4&amp;CD$5, LS_current!$D$2:$AY$2&amp;LS_current!$D$3:$AY$3, 0)),SUM(VLOOKUP($A97, LS_current!$B$4:$AY$138, LS_current!I$148, FALSE), VLOOKUP($A97, LS_current!$B$4:$AY$138,LS_current!AG$148, FALSE))/2)</f>
        <v>0</v>
      </c>
      <c r="CE97" s="180">
        <f t="array" ref="CE97">IF($BT97=0, INDEX(LS_current!$D$4:$AY$138, MATCH('Staging Table'!$A97, LS_current!$B$4:$B$138, 0), MATCH(CE$4&amp;CE$5, LS_current!$D$2:$AY$2&amp;LS_current!$D$3:$AY$3, 0)),SUM(VLOOKUP($A97, LS_current!$B$4:$AY$138, LS_current!J$148, FALSE), VLOOKUP($A97, LS_current!$B$4:$AY$138,LS_current!AH$148, FALSE))/2)</f>
        <v>0</v>
      </c>
      <c r="CF97" s="180">
        <f t="array" ref="CF97">IF($BT97=0, INDEX(LS_current!$D$4:$AY$138, MATCH('Staging Table'!$A97, LS_current!$B$4:$B$138, 0), MATCH(CF$4&amp;CF$5, LS_current!$D$2:$AY$2&amp;LS_current!$D$3:$AY$3, 0)),SUM(VLOOKUP($A97, LS_current!$B$4:$AY$138, LS_current!K$148, FALSE), VLOOKUP($A97, LS_current!$B$4:$AY$138,LS_current!AI$148, FALSE))/2)</f>
        <v>0</v>
      </c>
      <c r="CG97" s="180">
        <f t="array" ref="CG97">IF($BT97=0, INDEX(LS_current!$D$4:$AY$138, MATCH('Staging Table'!$A97, LS_current!$B$4:$B$138, 0), MATCH(CG$4&amp;CG$5, LS_current!$D$2:$AY$2&amp;LS_current!$D$3:$AY$3, 0)),SUM(VLOOKUP($A97, LS_current!$B$4:$AY$138, LS_current!L$148, FALSE), VLOOKUP($A97, LS_current!$B$4:$AY$138,LS_current!AJ$148, FALSE))/2)</f>
        <v>0</v>
      </c>
      <c r="CH97" s="180">
        <f t="array" ref="CH97">IF($BT97=0, INDEX(LS_current!$D$4:$AY$138, MATCH('Staging Table'!$A97, LS_current!$B$4:$B$138, 0), MATCH(CH$4&amp;CH$5, LS_current!$D$2:$AY$2&amp;LS_current!$D$3:$AY$3, 0)),SUM(VLOOKUP($A97, LS_current!$B$4:$AY$138, LS_current!M$148, FALSE), VLOOKUP($A97, LS_current!$B$4:$AY$138,LS_current!AK$148, FALSE))/2)</f>
        <v>0</v>
      </c>
      <c r="CI97" s="180">
        <f t="array" ref="CI97">IF($BT97=0, INDEX(LS_current!$D$4:$AY$138, MATCH('Staging Table'!$A97, LS_current!$B$4:$B$138, 0), MATCH(CI$4&amp;CI$5, LS_current!$D$2:$AY$2&amp;LS_current!$D$3:$AY$3, 0)),SUM(VLOOKUP($A97, LS_current!$B$4:$AY$138, LS_current!N$148, FALSE), VLOOKUP($A97, LS_current!$B$4:$AY$138,LS_current!AL$148, FALSE))/2)</f>
        <v>0</v>
      </c>
      <c r="CJ97" s="180">
        <f t="array" ref="CJ97">IF($BT97=0, INDEX(LS_current!$D$4:$AY$138, MATCH('Staging Table'!$A97, LS_current!$B$4:$B$138, 0), MATCH(CJ$4&amp;CJ$5, LS_current!$D$2:$AY$2&amp;LS_current!$D$3:$AY$3, 0)),SUM(VLOOKUP($A97, LS_current!$B$4:$AY$138, LS_current!O$148, FALSE), VLOOKUP($A97, LS_current!$B$4:$AY$138,LS_current!AM$148, FALSE))/2)</f>
        <v>0</v>
      </c>
      <c r="CK97" s="180">
        <f t="array" ref="CK97">IF($BT97=0, INDEX(LS_current!$D$4:$AY$138, MATCH('Staging Table'!$A97, LS_current!$B$4:$B$138, 0), MATCH(CK$4&amp;CK$5, LS_current!$D$2:$AY$2&amp;LS_current!$D$3:$AY$3, 0)),SUM(VLOOKUP($A97, LS_current!$B$4:$AY$138, LS_current!P$148, FALSE), VLOOKUP($A97, LS_current!$B$4:$AY$138,LS_current!AN$148, FALSE))/2)</f>
        <v>0</v>
      </c>
      <c r="CL97" s="180">
        <f t="array" ref="CL97">IF($BT97=0, INDEX(LS_current!$D$4:$AY$138, MATCH('Staging Table'!$A97, LS_current!$B$4:$B$138, 0), MATCH(CL$4&amp;CL$5, LS_current!$D$2:$AY$2&amp;LS_current!$D$3:$AY$3, 0)),SUM(VLOOKUP($A97, LS_current!$B$4:$AY$138, LS_current!Q$148, FALSE), VLOOKUP($A97, LS_current!$B$4:$AY$138,LS_current!AO$148, FALSE))/2)</f>
        <v>0</v>
      </c>
      <c r="CM97" s="180">
        <f t="array" ref="CM97">IF($BT97=0, INDEX(LS_current!$D$4:$AY$138, MATCH('Staging Table'!$A97, LS_current!$B$4:$B$138, 0), MATCH(CM$4&amp;CM$5, LS_current!$D$2:$AY$2&amp;LS_current!$D$3:$AY$3, 0)),SUM(VLOOKUP($A97, LS_current!$B$4:$AY$138, LS_current!R$148, FALSE), VLOOKUP($A97, LS_current!$B$4:$AY$138,LS_current!AP$148, FALSE))/2)</f>
        <v>0</v>
      </c>
      <c r="CN97" s="180">
        <f t="array" ref="CN97">IF($BT97=0, INDEX(LS_current!$D$4:$AY$138, MATCH('Staging Table'!$A97, LS_current!$B$4:$B$138, 0), MATCH(CN$4&amp;CN$5, LS_current!$D$2:$AY$2&amp;LS_current!$D$3:$AY$3, 0)),SUM(VLOOKUP($A97, LS_current!$B$4:$AY$138, LS_current!S$148, FALSE), VLOOKUP($A97, LS_current!$B$4:$AY$138,LS_current!AQ$148, FALSE))/2)</f>
        <v>0</v>
      </c>
      <c r="CO97" s="180">
        <f t="array" ref="CO97">IF($BT97=0, INDEX(LS_current!$D$4:$AY$138, MATCH('Staging Table'!$A97, LS_current!$B$4:$B$138, 0), MATCH(CO$4&amp;CO$5, LS_current!$D$2:$AY$2&amp;LS_current!$D$3:$AY$3, 0)),SUM(VLOOKUP($A97, LS_current!$B$4:$AY$138, LS_current!T$148, FALSE), VLOOKUP($A97, LS_current!$B$4:$AY$138,LS_current!AR$148, FALSE))/2)</f>
        <v>0</v>
      </c>
      <c r="CP97" s="180">
        <f t="array" ref="CP97">IF($BT97=0, INDEX(LS_current!$D$4:$AY$138, MATCH('Staging Table'!$A97, LS_current!$B$4:$B$138, 0), MATCH(CP$4&amp;CP$5, LS_current!$D$2:$AY$2&amp;LS_current!$D$3:$AY$3, 0)),SUM(VLOOKUP($A97, LS_current!$B$4:$AY$138, LS_current!U$148, FALSE), VLOOKUP($A97, LS_current!$B$4:$AY$138,LS_current!AS$148, FALSE))/2)</f>
        <v>0</v>
      </c>
      <c r="CQ97" s="180">
        <f t="array" ref="CQ97">IF($BT97=0, INDEX(LS_current!$D$4:$AY$138, MATCH('Staging Table'!$A97, LS_current!$B$4:$B$138, 0), MATCH(CQ$4&amp;CQ$5, LS_current!$D$2:$AY$2&amp;LS_current!$D$3:$AY$3, 0)),SUM(VLOOKUP($A97, LS_current!$B$4:$AY$138, LS_current!V$148, FALSE), VLOOKUP($A97, LS_current!$B$4:$AY$138,LS_current!AT$148, FALSE))/2)</f>
        <v>0</v>
      </c>
      <c r="CR97" s="180">
        <f t="array" ref="CR97">IF($BT97=0, INDEX(LS_current!$D$4:$AY$138, MATCH('Staging Table'!$A97, LS_current!$B$4:$B$138, 0), MATCH(CR$4&amp;CR$5, LS_current!$D$2:$AY$2&amp;LS_current!$D$3:$AY$3, 0)),SUM(VLOOKUP($A97, LS_current!$B$4:$AY$138, LS_current!W$148, FALSE), VLOOKUP($A97, LS_current!$B$4:$AY$138,LS_current!AU$148, FALSE))/2)</f>
        <v>0</v>
      </c>
      <c r="CS97" s="180">
        <f t="array" ref="CS97">IF($BT97=0, INDEX(LS_current!$D$4:$AY$138, MATCH('Staging Table'!$A97, LS_current!$B$4:$B$138, 0), MATCH(CS$4&amp;CS$5, LS_current!$D$2:$AY$2&amp;LS_current!$D$3:$AY$3, 0)),SUM(VLOOKUP($A97, LS_current!$B$4:$AY$138, LS_current!X$148, FALSE), VLOOKUP($A97, LS_current!$B$4:$AY$138,LS_current!AV$148, FALSE))/2)</f>
        <v>0</v>
      </c>
      <c r="CT97" s="180">
        <f t="array" ref="CT97">IF($BT97=0, INDEX(LS_current!$D$4:$AY$138, MATCH('Staging Table'!$A97, LS_current!$B$4:$B$138, 0), MATCH(CT$4&amp;CT$5, LS_current!$D$2:$AY$2&amp;LS_current!$D$3:$AY$3, 0)),SUM(VLOOKUP($A97, LS_current!$B$4:$AY$138, LS_current!Y$148, FALSE), VLOOKUP($A97, LS_current!$B$4:$AY$138,LS_current!AW$148, FALSE))/2)</f>
        <v>0</v>
      </c>
      <c r="CU97" s="180">
        <f t="array" ref="CU97">IF($BT97=0, INDEX(LS_current!$D$4:$AY$138, MATCH('Staging Table'!$A97, LS_current!$B$4:$B$138, 0), MATCH(CU$4&amp;CU$5, LS_current!$D$2:$AY$2&amp;LS_current!$D$3:$AY$3, 0)),SUM(VLOOKUP($A97, LS_current!$B$4:$AY$138, LS_current!Z$148, FALSE), VLOOKUP($A97, LS_current!$B$4:$AY$138,LS_current!AX$148, FALSE))/2)</f>
        <v>0</v>
      </c>
      <c r="CV97" s="180">
        <f t="array" ref="CV97">IF($BT97=0, INDEX(LS_current!$D$4:$AY$138, MATCH('Staging Table'!$A97, LS_current!$B$4:$B$138, 0), MATCH(CV$4&amp;CV$5, LS_current!$D$2:$AY$2&amp;LS_current!$D$3:$AY$3, 0)),SUM(VLOOKUP($A97, LS_current!$B$4:$AY$138, LS_current!AA$148, FALSE), VLOOKUP($A97, LS_current!$B$4:$AY$138,LS_current!AY$148, FALSE))/2)</f>
        <v>0</v>
      </c>
      <c r="CW97" s="182">
        <f t="array" ref="CW97">INDEX(Demand_current!$D$4:$AY$138, MATCH($A97, Demand_current!$B$4:$B$138, 0), MATCH(CW$4&amp;CW$5,Demand_current!$D$2:$AY$2&amp;Demand_current!$D$3:$AY$3, 0))/1000</f>
        <v>0</v>
      </c>
      <c r="CX97" s="182">
        <f t="array" ref="CX97">INDEX(Demand_current!$D$4:$AY$138, MATCH($A97, Demand_current!$B$4:$B$138, 0), MATCH(CX$4&amp;CX$5,Demand_current!$D$2:$AY$2&amp;Demand_current!$D$3:$AY$3, 0))/1000</f>
        <v>0</v>
      </c>
      <c r="CY97" s="182">
        <f t="array" ref="CY97">INDEX(Demand_current!$D$4:$AY$138, MATCH($A97, Demand_current!$B$4:$B$138, 0), MATCH(CY$4&amp;CY$5,Demand_current!$D$2:$AY$2&amp;Demand_current!$D$3:$AY$3, 0))/1000</f>
        <v>0</v>
      </c>
      <c r="CZ97" s="182">
        <f t="array" ref="CZ97">INDEX(Demand_current!$D$4:$AY$138, MATCH($A97, Demand_current!$B$4:$B$138, 0), MATCH(CZ$4&amp;CZ$5,Demand_current!$D$2:$AY$2&amp;Demand_current!$D$3:$AY$3, 0))/1000</f>
        <v>0</v>
      </c>
      <c r="DA97" s="182">
        <f t="array" ref="DA97">INDEX(Demand_current!$D$4:$AY$138, MATCH($A97, Demand_current!$B$4:$B$138, 0), MATCH(DA$4&amp;DA$5,Demand_current!$D$2:$AY$2&amp;Demand_current!$D$3:$AY$3, 0))/1000</f>
        <v>0</v>
      </c>
      <c r="DB97" s="182">
        <f t="array" ref="DB97">INDEX(Demand_current!$D$4:$AY$138, MATCH($A97, Demand_current!$B$4:$B$138, 0), MATCH(DB$4&amp;DB$5,Demand_current!$D$2:$AY$2&amp;Demand_current!$D$3:$AY$3, 0))/1000</f>
        <v>0</v>
      </c>
      <c r="DC97" s="182">
        <f t="array" ref="DC97">INDEX(Demand_current!$D$4:$AY$138, MATCH($A97, Demand_current!$B$4:$B$138, 0), MATCH(DC$4&amp;DC$5,Demand_current!$D$2:$AY$2&amp;Demand_current!$D$3:$AY$3, 0))/1000</f>
        <v>0</v>
      </c>
      <c r="DD97" s="182">
        <f t="array" ref="DD97">INDEX(Demand_current!$D$4:$AY$138, MATCH($A97, Demand_current!$B$4:$B$138, 0), MATCH(DD$4&amp;DD$5,Demand_current!$D$2:$AY$2&amp;Demand_current!$D$3:$AY$3, 0))/1000</f>
        <v>0</v>
      </c>
      <c r="DE97" s="182">
        <f t="array" ref="DE97">INDEX(Demand_current!$D$4:$AY$138, MATCH($A97, Demand_current!$B$4:$B$138, 0), MATCH(DE$4&amp;DE$5,Demand_current!$D$2:$AY$2&amp;Demand_current!$D$3:$AY$3, 0))/1000</f>
        <v>0</v>
      </c>
      <c r="DF97" s="182">
        <f t="array" ref="DF97">INDEX(Demand_current!$D$4:$AY$138, MATCH($A97, Demand_current!$B$4:$B$138, 0), MATCH(DF$4&amp;DF$5,Demand_current!$D$2:$AY$2&amp;Demand_current!$D$3:$AY$3, 0))/1000</f>
        <v>0</v>
      </c>
      <c r="DG97" s="182">
        <f t="array" ref="DG97">INDEX(Demand_current!$D$4:$AY$138, MATCH($A97, Demand_current!$B$4:$B$138, 0), MATCH(DG$4&amp;DG$5,Demand_current!$D$2:$AY$2&amp;Demand_current!$D$3:$AY$3, 0))/1000</f>
        <v>0</v>
      </c>
      <c r="DH97" s="182">
        <f t="array" ref="DH97">INDEX(Demand_current!$D$4:$AY$138, MATCH($A97, Demand_current!$B$4:$B$138, 0), MATCH(DH$4&amp;DH$5,Demand_current!$D$2:$AY$2&amp;Demand_current!$D$3:$AY$3, 0))/1000</f>
        <v>0</v>
      </c>
      <c r="DI97" s="180">
        <f>$BS97*(VLOOKUP(DI$4, Rates_current!$G$6:$Q$29, 10, FALSE)+VLOOKUP(DI$4, Rates_current!$G$6:$Q$29, 11, FALSE))</f>
        <v>14700.42170694675</v>
      </c>
      <c r="DJ97" s="180">
        <f>$BS97*(VLOOKUP(DJ$4, Rates_current!$G$6:$Q$29, 10, FALSE)+VLOOKUP(DJ$4, Rates_current!$G$6:$Q$29, 11, FALSE))</f>
        <v>18747.885184135503</v>
      </c>
      <c r="DK97" s="180">
        <f>$BS97*(VLOOKUP(DK$4, Rates_current!$G$6:$Q$29, 10, FALSE)+VLOOKUP(DK$4, Rates_current!$G$6:$Q$29, 11, FALSE))</f>
        <v>20232.677591257503</v>
      </c>
      <c r="DL97" s="180">
        <f>$BS97*(VLOOKUP(DL$4, Rates_current!$G$6:$Q$29, 10, FALSE)+VLOOKUP(DL$4, Rates_current!$G$6:$Q$29, 11, FALSE))</f>
        <v>21024.879742968002</v>
      </c>
      <c r="DM97" s="180">
        <f>$BS97*(VLOOKUP(DM$4, Rates_current!$G$6:$Q$29, 10, FALSE)+VLOOKUP(DM$4, Rates_current!$G$6:$Q$29, 11, FALSE))</f>
        <v>18084.199016511</v>
      </c>
      <c r="DN97" s="180">
        <f>$BS97*(VLOOKUP(DN$4, Rates_current!$G$6:$Q$29, 10, FALSE)+VLOOKUP(DN$4, Rates_current!$G$6:$Q$29, 11, FALSE))</f>
        <v>19744.364834689499</v>
      </c>
      <c r="DO97" s="180">
        <f>$BS97*(VLOOKUP(DO$4, Rates_current!$G$6:$Q$29, 10, FALSE)+VLOOKUP(DO$4, Rates_current!$G$6:$Q$29, 11, FALSE))</f>
        <v>15584.848708166624</v>
      </c>
      <c r="DP97" s="180">
        <f>$BS97*(VLOOKUP(DP$4, Rates_current!$G$6:$Q$29, 10, FALSE)+VLOOKUP(DP$4, Rates_current!$G$6:$Q$29, 11, FALSE))</f>
        <v>19335.093289649252</v>
      </c>
      <c r="DQ97" s="180">
        <f>$BS97*(VLOOKUP(DQ$4, Rates_current!$G$6:$Q$29, 10, FALSE)+VLOOKUP(DQ$4, Rates_current!$G$6:$Q$29, 11, FALSE))</f>
        <v>19754.61654555225</v>
      </c>
      <c r="DR97" s="180">
        <f>$BS97*(VLOOKUP(DR$4, Rates_current!$G$6:$Q$29, 10, FALSE)+VLOOKUP(DR$4, Rates_current!$G$6:$Q$29, 11, FALSE))</f>
        <v>17149.853177181751</v>
      </c>
      <c r="DS97" s="180">
        <f>$BS97*(VLOOKUP(DS$4, Rates_current!$G$6:$Q$29, 10, FALSE)+VLOOKUP(DS$4, Rates_current!$G$6:$Q$29, 11, FALSE))</f>
        <v>16579.349441829079</v>
      </c>
      <c r="DT97" s="180">
        <f>$BS97*(VLOOKUP(DT$4, Rates_current!$G$6:$Q$29, 10, FALSE)+VLOOKUP(DT$4, Rates_current!$G$6:$Q$29, 11, FALSE))</f>
        <v>15256.212058641002</v>
      </c>
      <c r="DU97" s="402">
        <f>IF(D97=0,IF(C97=0,MAX(0,DW97 - (VLOOKUP($A97,TOCA_current!$A$2:$AI$137,MATCH("RHWM 2024",TOCA_current!$A$2:$AI$2,0),FALSE)*$BS$2)), 0),0)</f>
        <v>0</v>
      </c>
      <c r="DV97" s="403">
        <f>MIN(VLOOKUP($A97,TOCA_current!$A$2:$AI$137,MATCH("TRL - NLSL - Existing Resource "&amp;$BS$1,TOCA_current!$A$2:$AI$2,0),FALSE)*$BS$2, VLOOKUP($A97,TOCA_current!$A$2:$AI$137,MATCH("RHWM 2024",TOCA_current!$A$2:$AI$2,0),FALSE)*$BS$2)</f>
        <v>216191.80799999999</v>
      </c>
      <c r="DW97" s="403">
        <f>SUM(BY97:CV97)+(BS97*RT1SC!$C$4*$BS$2)</f>
        <v>216194.40228852001</v>
      </c>
      <c r="DX97" s="403">
        <f>VLOOKUP($A97,TOCA_current!$A$2:$AI$137,MATCH("Above RHWM Not Served with LS "&amp;$BS$1,TOCA_current!$A$2:$AI$2,0),FALSE)*$BS$2</f>
        <v>0</v>
      </c>
      <c r="DY97" s="403">
        <f t="shared" si="32"/>
        <v>2.5942885200201999</v>
      </c>
      <c r="DZ97" s="403">
        <f>(VLOOKUP($A97,TOCA_current!$A$2:$AI$137,MATCH("RHWM 2024",TOCA_current!$A$2:$AI$2,0),FALSE)*$BS$2) - $DV97</f>
        <v>1071.6480000000156</v>
      </c>
      <c r="EA97" s="403">
        <f t="shared" si="33"/>
        <v>-2.5942885200201999</v>
      </c>
      <c r="EB97" s="403">
        <f t="shared" si="34"/>
        <v>0</v>
      </c>
      <c r="EC97" s="403">
        <f t="shared" si="35"/>
        <v>0</v>
      </c>
      <c r="ED97" s="403">
        <f t="shared" si="36"/>
        <v>-2.5942885200201999</v>
      </c>
    </row>
    <row r="98" spans="1:134">
      <c r="A98" s="123">
        <v>10291</v>
      </c>
      <c r="B98" s="124" t="s">
        <v>99</v>
      </c>
      <c r="C98" s="232">
        <f>VLOOKUP(A98, TOCA_current!$A$3:$D$137, 4, FALSE)</f>
        <v>0</v>
      </c>
      <c r="D98" s="191">
        <v>0</v>
      </c>
      <c r="E98" s="107">
        <f>VLOOKUP($A98,TOCA_previous!$A$2:$AI$137,MATCH(E$4,TOCA_previous!$A$2:$AI$2,0),FALSE)</f>
        <v>1.12126E-2</v>
      </c>
      <c r="F98" s="108">
        <f>VLOOKUP($A98,TOCA_previous!$A$2:$AI$137,MATCH(F$4,TOCA_previous!$A$2:$AI$2,0),FALSE)</f>
        <v>1.12126E-2</v>
      </c>
      <c r="G98" s="108">
        <f t="shared" si="24"/>
        <v>0</v>
      </c>
      <c r="H98" s="108">
        <f>VLOOKUP($A98,TOCA_previous!$A$2:$AI$137,MATCH(H$4,TOCA_previous!$A$2:$AI$2,0),FALSE)</f>
        <v>5.3159999999999999E-2</v>
      </c>
      <c r="I98" s="108">
        <f t="shared" si="25"/>
        <v>0</v>
      </c>
      <c r="J98" s="108">
        <f t="shared" si="26"/>
        <v>0</v>
      </c>
      <c r="K98" s="179">
        <f>VLOOKUP(A98, IRD!$A$5:$C$139, 3, FALSE)</f>
        <v>36260.600999999995</v>
      </c>
      <c r="L98" s="180">
        <f t="array" ref="L98">IF($G98=0, INDEX(LS_previous!$D$4:$AY$138, MATCH('Staging Table'!$A98, LS_previous!$B$4:$B$138, 0), MATCH(L$4&amp;L$5, LS_previous!$D$2:$AY$2&amp;LS_previous!$D$3:$AY$3, 0)),SUM(VLOOKUP($A98, LS_previous!$B$4:$AY$138, LS_previous!D$149, FALSE), VLOOKUP('Staging Table'!$A98, LS_previous!$B$4:$AY$138,LS_previous!AB$149, FALSE))/2)</f>
        <v>-3722.7599201307421</v>
      </c>
      <c r="M98" s="180">
        <f t="array" ref="M98">IF($G98=0, INDEX(LS_previous!$D$4:$AY$138, MATCH('Staging Table'!$A98, LS_previous!$B$4:$B$138, 0), MATCH(M$4&amp;M$5, LS_previous!$D$2:$AY$2&amp;LS_previous!$D$3:$AY$3, 0)),SUM(VLOOKUP($A98, LS_previous!$B$4:$AY$138, LS_previous!E$149, FALSE), VLOOKUP('Staging Table'!$A98, LS_previous!$B$4:$AY$138,LS_previous!AC$149, FALSE))/2)</f>
        <v>-85.204040116470424</v>
      </c>
      <c r="N98" s="180">
        <f t="array" ref="N98">IF($G98=0, INDEX(LS_previous!$D$4:$AY$138, MATCH('Staging Table'!$A98, LS_previous!$B$4:$B$138, 0), MATCH(N$4&amp;N$5, LS_previous!$D$2:$AY$2&amp;LS_previous!$D$3:$AY$3, 0)),SUM(VLOOKUP($A98, LS_previous!$B$4:$AY$138, LS_previous!F$149, FALSE), VLOOKUP('Staging Table'!$A98, LS_previous!$B$4:$AY$138,LS_previous!AD$149, FALSE))/2)</f>
        <v>-8597.4590193705953</v>
      </c>
      <c r="O98" s="180">
        <f t="array" ref="O98">IF($G98=0, INDEX(LS_previous!$D$4:$AY$138, MATCH('Staging Table'!$A98, LS_previous!$B$4:$B$138, 0), MATCH(O$4&amp;O$5, LS_previous!$D$2:$AY$2&amp;LS_previous!$D$3:$AY$3, 0)),SUM(VLOOKUP($A98, LS_previous!$B$4:$AY$138, LS_previous!G$149, FALSE), VLOOKUP('Staging Table'!$A98, LS_previous!$B$4:$AY$138,LS_previous!AE$149, FALSE))/2)</f>
        <v>-4655.3136515999031</v>
      </c>
      <c r="P98" s="180">
        <f t="array" ref="P98">IF($G98=0, INDEX(LS_previous!$D$4:$AY$138, MATCH('Staging Table'!$A98, LS_previous!$B$4:$B$138, 0), MATCH(P$4&amp;P$5, LS_previous!$D$2:$AY$2&amp;LS_previous!$D$3:$AY$3, 0)),SUM(VLOOKUP($A98, LS_previous!$B$4:$AY$138, LS_previous!H$149, FALSE), VLOOKUP('Staging Table'!$A98, LS_previous!$B$4:$AY$138,LS_previous!AF$149, FALSE))/2)</f>
        <v>1792.9595639312538</v>
      </c>
      <c r="Q98" s="180">
        <f t="array" ref="Q98">IF($G98=0, INDEX(LS_previous!$D$4:$AY$138, MATCH('Staging Table'!$A98, LS_previous!$B$4:$B$138, 0), MATCH(Q$4&amp;Q$5, LS_previous!$D$2:$AY$2&amp;LS_previous!$D$3:$AY$3, 0)),SUM(VLOOKUP($A98, LS_previous!$B$4:$AY$138, LS_previous!I$149, FALSE), VLOOKUP('Staging Table'!$A98, LS_previous!$B$4:$AY$138,LS_previous!AG$149, FALSE))/2)</f>
        <v>422.60936519862662</v>
      </c>
      <c r="R98" s="180">
        <f t="array" ref="R98">IF($G98=0, INDEX(LS_previous!$D$4:$AY$138, MATCH('Staging Table'!$A98, LS_previous!$B$4:$B$138, 0), MATCH(R$4&amp;R$5, LS_previous!$D$2:$AY$2&amp;LS_previous!$D$3:$AY$3, 0)),SUM(VLOOKUP($A98, LS_previous!$B$4:$AY$138, LS_previous!J$149, FALSE), VLOOKUP('Staging Table'!$A98, LS_previous!$B$4:$AY$138,LS_previous!AH$149, FALSE))/2)</f>
        <v>9746.4361731944482</v>
      </c>
      <c r="S98" s="180">
        <f t="array" ref="S98">IF($G98=0, INDEX(LS_previous!$D$4:$AY$138, MATCH('Staging Table'!$A98, LS_previous!$B$4:$B$138, 0), MATCH(S$4&amp;S$5, LS_previous!$D$2:$AY$2&amp;LS_previous!$D$3:$AY$3, 0)),SUM(VLOOKUP($A98, LS_previous!$B$4:$AY$138, LS_previous!K$149, FALSE), VLOOKUP('Staging Table'!$A98, LS_previous!$B$4:$AY$138,LS_previous!AI$149, FALSE))/2)</f>
        <v>3257.5827489167641</v>
      </c>
      <c r="T98" s="180">
        <f t="array" ref="T98">IF($G98=0, INDEX(LS_previous!$D$4:$AY$138, MATCH('Staging Table'!$A98, LS_previous!$B$4:$B$138, 0), MATCH(T$4&amp;T$5, LS_previous!$D$2:$AY$2&amp;LS_previous!$D$3:$AY$3, 0)),SUM(VLOOKUP($A98, LS_previous!$B$4:$AY$138, LS_previous!L$149, FALSE), VLOOKUP('Staging Table'!$A98, LS_previous!$B$4:$AY$138,LS_previous!AJ$149, FALSE))/2)</f>
        <v>7707.6443418414528</v>
      </c>
      <c r="U98" s="180">
        <f t="array" ref="U98">IF($G98=0, INDEX(LS_previous!$D$4:$AY$138, MATCH('Staging Table'!$A98, LS_previous!$B$4:$B$138, 0), MATCH(U$4&amp;U$5, LS_previous!$D$2:$AY$2&amp;LS_previous!$D$3:$AY$3, 0)),SUM(VLOOKUP($A98, LS_previous!$B$4:$AY$138, LS_previous!M$149, FALSE), VLOOKUP('Staging Table'!$A98, LS_previous!$B$4:$AY$138,LS_previous!AK$149, FALSE))/2)</f>
        <v>1991.4072663770239</v>
      </c>
      <c r="V98" s="180">
        <f t="array" ref="V98">IF($G98=0, INDEX(LS_previous!$D$4:$AY$138, MATCH('Staging Table'!$A98, LS_previous!$B$4:$B$138, 0), MATCH(V$4&amp;V$5, LS_previous!$D$2:$AY$2&amp;LS_previous!$D$3:$AY$3, 0)),SUM(VLOOKUP($A98, LS_previous!$B$4:$AY$138, LS_previous!N$149, FALSE), VLOOKUP('Staging Table'!$A98, LS_previous!$B$4:$AY$138,LS_previous!AL$149, FALSE))/2)</f>
        <v>-1434.7697892553151</v>
      </c>
      <c r="W98" s="180">
        <f t="array" ref="W98">IF($G98=0, INDEX(LS_previous!$D$4:$AY$138, MATCH('Staging Table'!$A98, LS_previous!$B$4:$B$138, 0), MATCH(W$4&amp;W$5, LS_previous!$D$2:$AY$2&amp;LS_previous!$D$3:$AY$3, 0)),SUM(VLOOKUP($A98, LS_previous!$B$4:$AY$138, LS_previous!O$149, FALSE), VLOOKUP('Staging Table'!$A98, LS_previous!$B$4:$AY$138,LS_previous!AM$149, FALSE))/2)</f>
        <v>138.72281169295093</v>
      </c>
      <c r="X98" s="180">
        <f t="array" ref="X98">IF($G98=0, INDEX(LS_previous!$D$4:$AY$138, MATCH('Staging Table'!$A98, LS_previous!$B$4:$B$138, 0), MATCH(X$4&amp;X$5, LS_previous!$D$2:$AY$2&amp;LS_previous!$D$3:$AY$3, 0)),SUM(VLOOKUP($A98, LS_previous!$B$4:$AY$138, LS_previous!P$149, FALSE), VLOOKUP('Staging Table'!$A98, LS_previous!$B$4:$AY$138,LS_previous!AN$149, FALSE))/2)</f>
        <v>4743.8811641015564</v>
      </c>
      <c r="Y98" s="180">
        <f t="array" ref="Y98">IF($G98=0, INDEX(LS_previous!$D$4:$AY$138, MATCH('Staging Table'!$A98, LS_previous!$B$4:$B$138, 0), MATCH(Y$4&amp;Y$5, LS_previous!$D$2:$AY$2&amp;LS_previous!$D$3:$AY$3, 0)),SUM(VLOOKUP($A98, LS_previous!$B$4:$AY$138, LS_previous!Q$149, FALSE), VLOOKUP('Staging Table'!$A98, LS_previous!$B$4:$AY$138,LS_previous!AO$149, FALSE))/2)</f>
        <v>2107.3323641464031</v>
      </c>
      <c r="Z98" s="180">
        <f t="array" ref="Z98">IF($G98=0, INDEX(LS_previous!$D$4:$AY$138, MATCH('Staging Table'!$A98, LS_previous!$B$4:$B$138, 0), MATCH(Z$4&amp;Z$5, LS_previous!$D$2:$AY$2&amp;LS_previous!$D$3:$AY$3, 0)),SUM(VLOOKUP($A98, LS_previous!$B$4:$AY$138, LS_previous!R$149, FALSE), VLOOKUP('Staging Table'!$A98, LS_previous!$B$4:$AY$138,LS_previous!AP$149, FALSE))/2)</f>
        <v>-8389.1662921444295</v>
      </c>
      <c r="AA98" s="180">
        <f t="array" ref="AA98">IF($G98=0, INDEX(LS_previous!$D$4:$AY$138, MATCH('Staging Table'!$A98, LS_previous!$B$4:$B$138, 0), MATCH(AA$4&amp;AA$5, LS_previous!$D$2:$AY$2&amp;LS_previous!$D$3:$AY$3, 0)),SUM(VLOOKUP($A98, LS_previous!$B$4:$AY$138, LS_previous!S$149, FALSE), VLOOKUP('Staging Table'!$A98, LS_previous!$B$4:$AY$138,LS_previous!AQ$149, FALSE))/2)</f>
        <v>34.951684911677148</v>
      </c>
      <c r="AB98" s="180">
        <f t="array" ref="AB98">IF($G98=0, INDEX(LS_previous!$D$4:$AY$138, MATCH('Staging Table'!$A98, LS_previous!$B$4:$B$138, 0), MATCH(AB$4&amp;AB$5, LS_previous!$D$2:$AY$2&amp;LS_previous!$D$3:$AY$3, 0)),SUM(VLOOKUP($A98, LS_previous!$B$4:$AY$138, LS_previous!T$149, FALSE), VLOOKUP('Staging Table'!$A98, LS_previous!$B$4:$AY$138,LS_previous!AR$149, FALSE))/2)</f>
        <v>-12584.17657941801</v>
      </c>
      <c r="AC98" s="180">
        <f t="array" ref="AC98">IF($G98=0, INDEX(LS_previous!$D$4:$AY$138, MATCH('Staging Table'!$A98, LS_previous!$B$4:$B$138, 0), MATCH(AC$4&amp;AC$5, LS_previous!$D$2:$AY$2&amp;LS_previous!$D$3:$AY$3, 0)),SUM(VLOOKUP($A98, LS_previous!$B$4:$AY$138, LS_previous!U$149, FALSE), VLOOKUP('Staging Table'!$A98, LS_previous!$B$4:$AY$138,LS_previous!AS$149, FALSE))/2)</f>
        <v>2059.1087648624343</v>
      </c>
      <c r="AD98" s="180">
        <f t="array" ref="AD98">IF($G98=0, INDEX(LS_previous!$D$4:$AY$138, MATCH('Staging Table'!$A98, LS_previous!$B$4:$B$138, 0), MATCH(AD$4&amp;AD$5, LS_previous!$D$2:$AY$2&amp;LS_previous!$D$3:$AY$3, 0)),SUM(VLOOKUP($A98, LS_previous!$B$4:$AY$138, LS_previous!V$149, FALSE), VLOOKUP('Staging Table'!$A98, LS_previous!$B$4:$AY$138,LS_previous!AT$149, FALSE))/2)</f>
        <v>-3544.9475482310372</v>
      </c>
      <c r="AE98" s="180">
        <f t="array" ref="AE98">IF($G98=0, INDEX(LS_previous!$D$4:$AY$138, MATCH('Staging Table'!$A98, LS_previous!$B$4:$B$138, 0), MATCH(AE$4&amp;AE$5, LS_previous!$D$2:$AY$2&amp;LS_previous!$D$3:$AY$3, 0)),SUM(VLOOKUP($A98, LS_previous!$B$4:$AY$138, LS_previous!W$149, FALSE), VLOOKUP('Staging Table'!$A98, LS_previous!$B$4:$AY$138,LS_previous!AU$149, FALSE))/2)</f>
        <v>1551.6333141161158</v>
      </c>
      <c r="AF98" s="180">
        <f t="array" ref="AF98">IF($G98=0, INDEX(LS_previous!$D$4:$AY$138, MATCH('Staging Table'!$A98, LS_previous!$B$4:$B$138, 0), MATCH(AF$4&amp;AF$5, LS_previous!$D$2:$AY$2&amp;LS_previous!$D$3:$AY$3, 0)),SUM(VLOOKUP($A98, LS_previous!$B$4:$AY$138, LS_previous!X$149, FALSE), VLOOKUP('Staging Table'!$A98, LS_previous!$B$4:$AY$138,LS_previous!AV$149, FALSE))/2)</f>
        <v>-2063.7947867149487</v>
      </c>
      <c r="AG98" s="180">
        <f t="array" ref="AG98">IF($G98=0, INDEX(LS_previous!$D$4:$AY$138, MATCH('Staging Table'!$A98, LS_previous!$B$4:$B$138, 0), MATCH(AG$4&amp;AG$5, LS_previous!$D$2:$AY$2&amp;LS_previous!$D$3:$AY$3, 0)),SUM(VLOOKUP($A98, LS_previous!$B$4:$AY$138, LS_previous!Y$149, FALSE), VLOOKUP('Staging Table'!$A98, LS_previous!$B$4:$AY$138,LS_previous!AW$149, FALSE))/2)</f>
        <v>1109.5953836185581</v>
      </c>
      <c r="AH98" s="180">
        <f t="array" ref="AH98">IF($G98=0, INDEX(LS_previous!$D$4:$AY$138, MATCH('Staging Table'!$A98, LS_previous!$B$4:$B$138, 0), MATCH(AH$4&amp;AH$5, LS_previous!$D$2:$AY$2&amp;LS_previous!$D$3:$AY$3, 0)),SUM(VLOOKUP($A98, LS_previous!$B$4:$AY$138, LS_previous!Z$149, FALSE), VLOOKUP('Staging Table'!$A98, LS_previous!$B$4:$AY$138,LS_previous!AX$149, FALSE))/2)</f>
        <v>-7307.644961263235</v>
      </c>
      <c r="AI98" s="180">
        <f t="array" ref="AI98">IF($G98=0, INDEX(LS_previous!$D$4:$AY$138, MATCH('Staging Table'!$A98, LS_previous!$B$4:$B$138, 0), MATCH(AI$4&amp;AI$5, LS_previous!$D$2:$AY$2&amp;LS_previous!$D$3:$AY$3, 0)),SUM(VLOOKUP($A98, LS_previous!$B$4:$AY$138, LS_previous!AA$149, FALSE), VLOOKUP('Staging Table'!$A98, LS_previous!$B$4:$AY$138,LS_previous!AY$149, FALSE))/2)</f>
        <v>-1003.3320808176395</v>
      </c>
      <c r="AJ98" s="298">
        <f t="array" ref="AJ98">INDEX(Demand_previous!$D$4:$AY$138, MATCH('Staging Table'!$A98, Demand_previous!$B$4:$B$138, 0), MATCH(AJ$4&amp;AJ$5,Demand_previous!$D$2:$AY$2&amp;Demand_previous!$D$3:$AY$3, 0))/1000</f>
        <v>11.12381490384616</v>
      </c>
      <c r="AK98" s="298">
        <f t="array" ref="AK98">INDEX(Demand_previous!$D$4:$AY$138, MATCH('Staging Table'!$A98, Demand_previous!$B$4:$B$138, 0), MATCH(AK$4&amp;AK$5,Demand_previous!$D$2:$AY$2&amp;Demand_previous!$D$3:$AY$3, 0))/1000</f>
        <v>5.036737500000001</v>
      </c>
      <c r="AL98" s="298">
        <f t="array" ref="AL98">INDEX(Demand_previous!$D$4:$AY$138, MATCH('Staging Table'!$A98, Demand_previous!$B$4:$B$138, 0), MATCH(AL$4&amp;AL$5,Demand_previous!$D$2:$AY$2&amp;Demand_previous!$D$3:$AY$3, 0))/1000</f>
        <v>19.273781250000013</v>
      </c>
      <c r="AM98" s="298">
        <f t="array" ref="AM98">INDEX(Demand_previous!$D$4:$AY$138, MATCH('Staging Table'!$A98, Demand_previous!$B$4:$B$138, 0), MATCH(AM$4&amp;AM$5,Demand_previous!$D$2:$AY$2&amp;Demand_previous!$D$3:$AY$3, 0))/1000</f>
        <v>11.545152500000011</v>
      </c>
      <c r="AN98" s="298">
        <f t="array" ref="AN98">INDEX(Demand_previous!$D$4:$AY$138, MATCH('Staging Table'!$A98, Demand_previous!$B$4:$B$138, 0), MATCH(AN$4&amp;AN$5,Demand_previous!$D$2:$AY$2&amp;Demand_previous!$D$3:$AY$3, 0))/1000</f>
        <v>4.4398802083333422</v>
      </c>
      <c r="AO98" s="298">
        <f t="array" ref="AO98">INDEX(Demand_previous!$D$4:$AY$138, MATCH('Staging Table'!$A98, Demand_previous!$B$4:$B$138, 0), MATCH(AO$4&amp;AO$5,Demand_previous!$D$2:$AY$2&amp;Demand_previous!$D$3:$AY$3, 0))/1000</f>
        <v>16.668414351851851</v>
      </c>
      <c r="AP98" s="298">
        <f t="array" ref="AP98">INDEX(Demand_previous!$D$4:$AY$138, MATCH('Staging Table'!$A98, Demand_previous!$B$4:$B$138, 0), MATCH(AP$4&amp;AP$5,Demand_previous!$D$2:$AY$2&amp;Demand_previous!$D$3:$AY$3, 0))/1000</f>
        <v>13.573572115384611</v>
      </c>
      <c r="AQ98" s="298">
        <f t="array" ref="AQ98">INDEX(Demand_previous!$D$4:$AY$138, MATCH('Staging Table'!$A98, Demand_previous!$B$4:$B$138, 0), MATCH(AQ$4&amp;AQ$5,Demand_previous!$D$2:$AY$2&amp;Demand_previous!$D$3:$AY$3, 0))/1000</f>
        <v>3.9749299999999845</v>
      </c>
      <c r="AR98" s="298">
        <f t="array" ref="AR98">INDEX(Demand_previous!$D$4:$AY$138, MATCH('Staging Table'!$A98, Demand_previous!$B$4:$B$138, 0), MATCH(AR$4&amp;AR$5,Demand_previous!$D$2:$AY$2&amp;Demand_previous!$D$3:$AY$3, 0))/1000</f>
        <v>16.240579326923083</v>
      </c>
      <c r="AS98" s="298">
        <f t="array" ref="AS98">INDEX(Demand_previous!$D$4:$AY$138, MATCH('Staging Table'!$A98, Demand_previous!$B$4:$B$138, 0), MATCH(AS$4&amp;AS$5,Demand_previous!$D$2:$AY$2&amp;Demand_previous!$D$3:$AY$3, 0))/1000</f>
        <v>15.588450000000014</v>
      </c>
      <c r="AT98" s="298">
        <f t="array" ref="AT98">INDEX(Demand_previous!$D$4:$AY$138, MATCH('Staging Table'!$A98, Demand_previous!$B$4:$B$138, 0), MATCH(AT$4&amp;AT$5,Demand_previous!$D$2:$AY$2&amp;Demand_previous!$D$3:$AY$3, 0))/1000</f>
        <v>21.067384259259271</v>
      </c>
      <c r="AU98" s="298">
        <f t="array" ref="AU98">INDEX(Demand_previous!$D$4:$AY$138, MATCH('Staging Table'!$A98, Demand_previous!$B$4:$B$138, 0), MATCH(AU$4&amp;AU$5,Demand_previous!$D$2:$AY$2&amp;Demand_previous!$D$3:$AY$3, 0))/1000</f>
        <v>14.458442500000011</v>
      </c>
      <c r="AV98" s="180">
        <f>$F98*(VLOOKUP(AV$4, Rates_previous!$G$6:$Q$29, 10, FALSE)+VLOOKUP(AV$4, Rates_previous!$G$6:$Q$29, 11, FALSE))</f>
        <v>51061.332960247208</v>
      </c>
      <c r="AW98" s="180">
        <f>$F98*(VLOOKUP(AW$4, Rates_previous!$G$6:$Q$29, 10, FALSE)+VLOOKUP(AW$4, Rates_previous!$G$6:$Q$29, 11, FALSE))</f>
        <v>64645.500670970512</v>
      </c>
      <c r="AX98" s="180">
        <f>$F98*(VLOOKUP(AX$4, Rates_previous!$G$6:$Q$29, 10, FALSE)+VLOOKUP(AX$4, Rates_previous!$G$6:$Q$29, 11, FALSE))</f>
        <v>63275.030070870125</v>
      </c>
      <c r="AY98" s="180">
        <f>$F98*(VLOOKUP(AY$4, Rates_previous!$G$6:$Q$29, 10, FALSE)+VLOOKUP(AY$4, Rates_previous!$G$6:$Q$29, 11, FALSE))</f>
        <v>52262.484077888788</v>
      </c>
      <c r="AZ98" s="180">
        <f>$F98*(VLOOKUP(AZ$4, Rates_previous!$G$6:$Q$29, 10, FALSE)+VLOOKUP(AZ$4, Rates_previous!$G$6:$Q$29, 11, FALSE))</f>
        <v>45297.040391781527</v>
      </c>
      <c r="BA98" s="180">
        <f>$F98*(VLOOKUP(BA$4, Rates_previous!$G$6:$Q$29, 10, FALSE)+VLOOKUP(BA$4, Rates_previous!$G$6:$Q$29, 11, FALSE))</f>
        <v>54075.518977562373</v>
      </c>
      <c r="BB98" s="180">
        <f>$F98*(VLOOKUP(BB$4, Rates_previous!$G$6:$Q$29, 10, FALSE)+VLOOKUP(BB$4, Rates_previous!$G$6:$Q$29, 11, FALSE))</f>
        <v>41982.441471752041</v>
      </c>
      <c r="BC98" s="180">
        <f>$F98*(VLOOKUP(BC$4, Rates_previous!$G$6:$Q$29, 10, FALSE)+VLOOKUP(BC$4, Rates_previous!$G$6:$Q$29, 11, FALSE))</f>
        <v>58166.981607232752</v>
      </c>
      <c r="BD98" s="180">
        <f>$F98*(VLOOKUP(BD$4, Rates_previous!$G$6:$Q$29, 10, FALSE)+VLOOKUP(BD$4, Rates_previous!$G$6:$Q$29, 11, FALSE))</f>
        <v>62152.637814555565</v>
      </c>
      <c r="BE98" s="180">
        <f>$F98*(VLOOKUP(BE$4, Rates_previous!$G$6:$Q$29, 10, FALSE)+VLOOKUP(BE$4, Rates_previous!$G$6:$Q$29, 11, FALSE))</f>
        <v>59011.115234114928</v>
      </c>
      <c r="BF98" s="180">
        <f>$F98*(VLOOKUP(BF$4, Rates_previous!$G$6:$Q$29, 10, FALSE)+VLOOKUP(BF$4, Rates_previous!$G$6:$Q$29, 11, FALSE))</f>
        <v>57029.690403096392</v>
      </c>
      <c r="BG98" s="180">
        <f>$F98*(VLOOKUP(BG$4, Rates_previous!$G$6:$Q$29, 10, FALSE)+VLOOKUP(BG$4, Rates_previous!$G$6:$Q$29, 11, FALSE))</f>
        <v>52701.379042080873</v>
      </c>
      <c r="BH98" s="298">
        <f>IF($D98=0,IF(C98=0, MAX(BJ98 - (VLOOKUP($A98,TOCA_previous!$A$2:$AI$137,MATCH("RHWM 2022",TOCA_previous!$A$2:$AI$2,0),FALSE)*$F$2*TOCA_previous!C95),0),0), 0)</f>
        <v>0</v>
      </c>
      <c r="BI98" s="192">
        <f>MIN(VLOOKUP($A98,TOCA_previous!$A$2:$AI$137,MATCH("TRL - NLSL - Existing Resource "&amp;$F$1,TOCA_previous!$A$2:$AI$2,0),FALSE)*$F$2,(VLOOKUP($A98,TOCA_previous!$A$2:$AI$137,MATCH("RHWM 2022",TOCA_previous!$A$2:$AI$2,0),FALSE)*$F$2))</f>
        <v>661660.31999999995</v>
      </c>
      <c r="BJ98" s="402">
        <f>SUM(L98:AI98)+(F98*RT1SC!$C$3*$F$2)</f>
        <v>644936.48284683086</v>
      </c>
      <c r="BK98" s="401">
        <f>VLOOKUP($A98,TOCA_previous!$A$2:$AI$137,MATCH("Above RHWM Not Served with LS "&amp;$F$1,TOCA_previous!$A$2:$AI$2,0),FALSE)*$F$2</f>
        <v>41829</v>
      </c>
      <c r="BL98" s="402">
        <f t="shared" si="27"/>
        <v>-16723.837153169094</v>
      </c>
      <c r="BM98" s="401">
        <f>(VLOOKUP($A98,TOCA_previous!$A$2:$AI$137,MATCH("RHWM 2022",TOCA_previous!$A$2:$AI$2,0),FALSE)*$F$2) - $BI98</f>
        <v>0</v>
      </c>
      <c r="BN98" s="402">
        <f t="shared" si="28"/>
        <v>0</v>
      </c>
      <c r="BO98" s="401">
        <f t="shared" si="29"/>
        <v>0</v>
      </c>
      <c r="BP98" s="402">
        <f t="shared" si="30"/>
        <v>0</v>
      </c>
      <c r="BQ98" s="401">
        <f t="shared" si="21"/>
        <v>0</v>
      </c>
      <c r="BR98" s="108">
        <f>VLOOKUP($A98,TOCA_current!$A$2:$AI$137,MATCH(BR$4,TOCA_current!$A$2:$AI$2,0),FALSE)</f>
        <v>1.10689E-2</v>
      </c>
      <c r="BS98" s="108">
        <f>VLOOKUP($A98,TOCA_current!$A$2:$AI$137,MATCH(BS$4,TOCA_current!$A$2:$AI$2,0),FALSE)</f>
        <v>1.10689E-2</v>
      </c>
      <c r="BT98" s="189">
        <f t="shared" si="31"/>
        <v>0</v>
      </c>
      <c r="BU98" s="108">
        <f>VLOOKUP($A98,TOCA_current!A94:BG229,MATCH(BU$4,TOCA_current!$A$2:$BG$2,0),FALSE)</f>
        <v>0.05</v>
      </c>
      <c r="BV98" s="108">
        <f t="shared" si="22"/>
        <v>0</v>
      </c>
      <c r="BW98" s="108">
        <f t="shared" si="23"/>
        <v>0</v>
      </c>
      <c r="BX98" s="179">
        <f>VLOOKUP($A98,IRD!$A$4:$G$139, 7, FALSE)</f>
        <v>36260.600999999995</v>
      </c>
      <c r="BY98" s="180">
        <f t="array" ref="BY98">IF($BT98=0, INDEX(LS_current!$D$4:$AY$138, MATCH('Staging Table'!$A98, LS_current!$B$4:$B$138, 0), MATCH(BY$4&amp;BY$5, LS_current!$D$2:$AY$2&amp;LS_current!$D$3:$AY$3, 0)),SUM(VLOOKUP($A98, LS_current!$B$4:$AY$138, LS_current!D$148, FALSE), VLOOKUP($A98, LS_current!$B$4:$AY$138,LS_current!AB$148, FALSE))/2)</f>
        <v>2760.5452099196009</v>
      </c>
      <c r="BZ98" s="180">
        <f t="array" ref="BZ98">IF($BT98=0, INDEX(LS_current!$D$4:$AY$138, MATCH('Staging Table'!$A98, LS_current!$B$4:$B$138, 0), MATCH(BZ$4&amp;BZ$5, LS_current!$D$2:$AY$2&amp;LS_current!$D$3:$AY$3, 0)),SUM(VLOOKUP($A98, LS_current!$B$4:$AY$138, LS_current!E$148, FALSE), VLOOKUP($A98, LS_current!$B$4:$AY$138,LS_current!AC$148, FALSE))/2)</f>
        <v>1347.9068344130501</v>
      </c>
      <c r="CA98" s="180">
        <f t="array" ref="CA98">IF($BT98=0, INDEX(LS_current!$D$4:$AY$138, MATCH('Staging Table'!$A98, LS_current!$B$4:$B$138, 0), MATCH(CA$4&amp;CA$5, LS_current!$D$2:$AY$2&amp;LS_current!$D$3:$AY$3, 0)),SUM(VLOOKUP($A98, LS_current!$B$4:$AY$138, LS_current!F$148, FALSE), VLOOKUP($A98, LS_current!$B$4:$AY$138,LS_current!AD$148, FALSE))/2)</f>
        <v>-3152.1787848991953</v>
      </c>
      <c r="CB98" s="180">
        <f t="array" ref="CB98">IF($BT98=0, INDEX(LS_current!$D$4:$AY$138, MATCH('Staging Table'!$A98, LS_current!$B$4:$B$138, 0), MATCH(CB$4&amp;CB$5, LS_current!$D$2:$AY$2&amp;LS_current!$D$3:$AY$3, 0)),SUM(VLOOKUP($A98, LS_current!$B$4:$AY$138, LS_current!G$148, FALSE), VLOOKUP($A98, LS_current!$B$4:$AY$138,LS_current!AE$148, FALSE))/2)</f>
        <v>-1567.0509786758994</v>
      </c>
      <c r="CC98" s="180">
        <f t="array" ref="CC98">IF($BT98=0, INDEX(LS_current!$D$4:$AY$138, MATCH('Staging Table'!$A98, LS_current!$B$4:$B$138, 0), MATCH(CC$4&amp;CC$5, LS_current!$D$2:$AY$2&amp;LS_current!$D$3:$AY$3, 0)),SUM(VLOOKUP($A98, LS_current!$B$4:$AY$138, LS_current!H$148, FALSE), VLOOKUP($A98, LS_current!$B$4:$AY$138,LS_current!AF$148, FALSE))/2)</f>
        <v>959.45040358290134</v>
      </c>
      <c r="CD98" s="180">
        <f t="array" ref="CD98">IF($BT98=0, INDEX(LS_current!$D$4:$AY$138, MATCH('Staging Table'!$A98, LS_current!$B$4:$B$138, 0), MATCH(CD$4&amp;CD$5, LS_current!$D$2:$AY$2&amp;LS_current!$D$3:$AY$3, 0)),SUM(VLOOKUP($A98, LS_current!$B$4:$AY$138, LS_current!I$148, FALSE), VLOOKUP($A98, LS_current!$B$4:$AY$138,LS_current!AG$148, FALSE))/2)</f>
        <v>3812.4083783456008</v>
      </c>
      <c r="CE98" s="180">
        <f t="array" ref="CE98">IF($BT98=0, INDEX(LS_current!$D$4:$AY$138, MATCH('Staging Table'!$A98, LS_current!$B$4:$B$138, 0), MATCH(CE$4&amp;CE$5, LS_current!$D$2:$AY$2&amp;LS_current!$D$3:$AY$3, 0)),SUM(VLOOKUP($A98, LS_current!$B$4:$AY$138, LS_current!J$148, FALSE), VLOOKUP($A98, LS_current!$B$4:$AY$138,LS_current!AH$148, FALSE))/2)</f>
        <v>37.540975836498546</v>
      </c>
      <c r="CF98" s="180">
        <f t="array" ref="CF98">IF($BT98=0, INDEX(LS_current!$D$4:$AY$138, MATCH('Staging Table'!$A98, LS_current!$B$4:$B$138, 0), MATCH(CF$4&amp;CF$5, LS_current!$D$2:$AY$2&amp;LS_current!$D$3:$AY$3, 0)),SUM(VLOOKUP($A98, LS_current!$B$4:$AY$138, LS_current!K$148, FALSE), VLOOKUP($A98, LS_current!$B$4:$AY$138,LS_current!AI$148, FALSE))/2)</f>
        <v>1993.7039708019001</v>
      </c>
      <c r="CG98" s="180">
        <f t="array" ref="CG98">IF($BT98=0, INDEX(LS_current!$D$4:$AY$138, MATCH('Staging Table'!$A98, LS_current!$B$4:$B$138, 0), MATCH(CG$4&amp;CG$5, LS_current!$D$2:$AY$2&amp;LS_current!$D$3:$AY$3, 0)),SUM(VLOOKUP($A98, LS_current!$B$4:$AY$138, LS_current!L$148, FALSE), VLOOKUP($A98, LS_current!$B$4:$AY$138,LS_current!AJ$148, FALSE))/2)</f>
        <v>-673.58238506309863</v>
      </c>
      <c r="CH98" s="180">
        <f t="array" ref="CH98">IF($BT98=0, INDEX(LS_current!$D$4:$AY$138, MATCH('Staging Table'!$A98, LS_current!$B$4:$B$138, 0), MATCH(CH$4&amp;CH$5, LS_current!$D$2:$AY$2&amp;LS_current!$D$3:$AY$3, 0)),SUM(VLOOKUP($A98, LS_current!$B$4:$AY$138, LS_current!M$148, FALSE), VLOOKUP($A98, LS_current!$B$4:$AY$138,LS_current!AK$148, FALSE))/2)</f>
        <v>1432.0142060249018</v>
      </c>
      <c r="CI98" s="180">
        <f t="array" ref="CI98">IF($BT98=0, INDEX(LS_current!$D$4:$AY$138, MATCH('Staging Table'!$A98, LS_current!$B$4:$B$138, 0), MATCH(CI$4&amp;CI$5, LS_current!$D$2:$AY$2&amp;LS_current!$D$3:$AY$3, 0)),SUM(VLOOKUP($A98, LS_current!$B$4:$AY$138, LS_current!N$148, FALSE), VLOOKUP($A98, LS_current!$B$4:$AY$138,LS_current!AL$148, FALSE))/2)</f>
        <v>-4348.8606698856966</v>
      </c>
      <c r="CJ98" s="180">
        <f t="array" ref="CJ98">IF($BT98=0, INDEX(LS_current!$D$4:$AY$138, MATCH('Staging Table'!$A98, LS_current!$B$4:$B$138, 0), MATCH(CJ$4&amp;CJ$5, LS_current!$D$2:$AY$2&amp;LS_current!$D$3:$AY$3, 0)),SUM(VLOOKUP($A98, LS_current!$B$4:$AY$138, LS_current!O$148, FALSE), VLOOKUP($A98, LS_current!$B$4:$AY$138,LS_current!AM$148, FALSE))/2)</f>
        <v>-2044.0030185041978</v>
      </c>
      <c r="CK98" s="180">
        <f t="array" ref="CK98">IF($BT98=0, INDEX(LS_current!$D$4:$AY$138, MATCH('Staging Table'!$A98, LS_current!$B$4:$B$138, 0), MATCH(CK$4&amp;CK$5, LS_current!$D$2:$AY$2&amp;LS_current!$D$3:$AY$3, 0)),SUM(VLOOKUP($A98, LS_current!$B$4:$AY$138, LS_current!P$148, FALSE), VLOOKUP($A98, LS_current!$B$4:$AY$138,LS_current!AN$148, FALSE))/2)</f>
        <v>2467.2065516302537</v>
      </c>
      <c r="CL98" s="180">
        <f t="array" ref="CL98">IF($BT98=0, INDEX(LS_current!$D$4:$AY$138, MATCH('Staging Table'!$A98, LS_current!$B$4:$B$138, 0), MATCH(CL$4&amp;CL$5, LS_current!$D$2:$AY$2&amp;LS_current!$D$3:$AY$3, 0)),SUM(VLOOKUP($A98, LS_current!$B$4:$AY$138, LS_current!Q$148, FALSE), VLOOKUP($A98, LS_current!$B$4:$AY$138,LS_current!AO$148, FALSE))/2)</f>
        <v>297.45121323542844</v>
      </c>
      <c r="CM98" s="180">
        <f t="array" ref="CM98">IF($BT98=0, INDEX(LS_current!$D$4:$AY$138, MATCH('Staging Table'!$A98, LS_current!$B$4:$B$138, 0), MATCH(CM$4&amp;CM$5, LS_current!$D$2:$AY$2&amp;LS_current!$D$3:$AY$3, 0)),SUM(VLOOKUP($A98, LS_current!$B$4:$AY$138, LS_current!R$148, FALSE), VLOOKUP($A98, LS_current!$B$4:$AY$138,LS_current!AP$148, FALSE))/2)</f>
        <v>-4605.4755088271995</v>
      </c>
      <c r="CN98" s="180">
        <f t="array" ref="CN98">IF($BT98=0, INDEX(LS_current!$D$4:$AY$138, MATCH('Staging Table'!$A98, LS_current!$B$4:$B$138, 0), MATCH(CN$4&amp;CN$5, LS_current!$D$2:$AY$2&amp;LS_current!$D$3:$AY$3, 0)),SUM(VLOOKUP($A98, LS_current!$B$4:$AY$138, LS_current!S$148, FALSE), VLOOKUP($A98, LS_current!$B$4:$AY$138,LS_current!AQ$148, FALSE))/2)</f>
        <v>-3449.2218085206478</v>
      </c>
      <c r="CO98" s="180">
        <f t="array" ref="CO98">IF($BT98=0, INDEX(LS_current!$D$4:$AY$138, MATCH('Staging Table'!$A98, LS_current!$B$4:$B$138, 0), MATCH(CO$4&amp;CO$5, LS_current!$D$2:$AY$2&amp;LS_current!$D$3:$AY$3, 0)),SUM(VLOOKUP($A98, LS_current!$B$4:$AY$138, LS_current!T$148, FALSE), VLOOKUP($A98, LS_current!$B$4:$AY$138,LS_current!AR$148, FALSE))/2)</f>
        <v>-5680.4927321013965</v>
      </c>
      <c r="CP98" s="180">
        <f t="array" ref="CP98">IF($BT98=0, INDEX(LS_current!$D$4:$AY$138, MATCH('Staging Table'!$A98, LS_current!$B$4:$B$138, 0), MATCH(CP$4&amp;CP$5, LS_current!$D$2:$AY$2&amp;LS_current!$D$3:$AY$3, 0)),SUM(VLOOKUP($A98, LS_current!$B$4:$AY$138, LS_current!U$148, FALSE), VLOOKUP($A98, LS_current!$B$4:$AY$138,LS_current!AS$148, FALSE))/2)</f>
        <v>-2006.6636507550502</v>
      </c>
      <c r="CQ98" s="180">
        <f t="array" ref="CQ98">IF($BT98=0, INDEX(LS_current!$D$4:$AY$138, MATCH('Staging Table'!$A98, LS_current!$B$4:$B$138, 0), MATCH(CQ$4&amp;CQ$5, LS_current!$D$2:$AY$2&amp;LS_current!$D$3:$AY$3, 0)),SUM(VLOOKUP($A98, LS_current!$B$4:$AY$138, LS_current!V$148, FALSE), VLOOKUP($A98, LS_current!$B$4:$AY$138,LS_current!AT$148, FALSE))/2)</f>
        <v>3720.3521074603996</v>
      </c>
      <c r="CR98" s="180">
        <f t="array" ref="CR98">IF($BT98=0, INDEX(LS_current!$D$4:$AY$138, MATCH('Staging Table'!$A98, LS_current!$B$4:$B$138, 0), MATCH(CR$4&amp;CR$5, LS_current!$D$2:$AY$2&amp;LS_current!$D$3:$AY$3, 0)),SUM(VLOOKUP($A98, LS_current!$B$4:$AY$138, LS_current!W$148, FALSE), VLOOKUP($A98, LS_current!$B$4:$AY$138,LS_current!AU$148, FALSE))/2)</f>
        <v>2371.641708465253</v>
      </c>
      <c r="CS98" s="180">
        <f t="array" ref="CS98">IF($BT98=0, INDEX(LS_current!$D$4:$AY$138, MATCH('Staging Table'!$A98, LS_current!$B$4:$B$138, 0), MATCH(CS$4&amp;CS$5, LS_current!$D$2:$AY$2&amp;LS_current!$D$3:$AY$3, 0)),SUM(VLOOKUP($A98, LS_current!$B$4:$AY$138, LS_current!X$148, FALSE), VLOOKUP($A98, LS_current!$B$4:$AY$138,LS_current!AV$148, FALSE))/2)</f>
        <v>4995.913920683648</v>
      </c>
      <c r="CT98" s="180">
        <f t="array" ref="CT98">IF($BT98=0, INDEX(LS_current!$D$4:$AY$138, MATCH('Staging Table'!$A98, LS_current!$B$4:$B$138, 0), MATCH(CT$4&amp;CT$5, LS_current!$D$2:$AY$2&amp;LS_current!$D$3:$AY$3, 0)),SUM(VLOOKUP($A98, LS_current!$B$4:$AY$138, LS_current!Y$148, FALSE), VLOOKUP($A98, LS_current!$B$4:$AY$138,LS_current!AW$148, FALSE))/2)</f>
        <v>1966.0381679483398</v>
      </c>
      <c r="CU98" s="180">
        <f t="array" ref="CU98">IF($BT98=0, INDEX(LS_current!$D$4:$AY$138, MATCH('Staging Table'!$A98, LS_current!$B$4:$B$138, 0), MATCH(CU$4&amp;CU$5, LS_current!$D$2:$AY$2&amp;LS_current!$D$3:$AY$3, 0)),SUM(VLOOKUP($A98, LS_current!$B$4:$AY$138, LS_current!Z$148, FALSE), VLOOKUP($A98, LS_current!$B$4:$AY$138,LS_current!AX$148, FALSE))/2)</f>
        <v>-707.86726107860159</v>
      </c>
      <c r="CV98" s="180">
        <f t="array" ref="CV98">IF($BT98=0, INDEX(LS_current!$D$4:$AY$138, MATCH('Staging Table'!$A98, LS_current!$B$4:$B$138, 0), MATCH(CV$4&amp;CV$5, LS_current!$D$2:$AY$2&amp;LS_current!$D$3:$AY$3, 0)),SUM(VLOOKUP($A98, LS_current!$B$4:$AY$138, LS_current!AA$148, FALSE), VLOOKUP($A98, LS_current!$B$4:$AY$138,LS_current!AY$148, FALSE))/2)</f>
        <v>73.222724734398071</v>
      </c>
      <c r="CW98" s="182">
        <f t="array" ref="CW98">INDEX(Demand_current!$D$4:$AY$138, MATCH($A98, Demand_current!$B$4:$B$138, 0), MATCH(CW$4&amp;CW$5,Demand_current!$D$2:$AY$2&amp;Demand_current!$D$3:$AY$3, 0))/1000</f>
        <v>11.12381490384616</v>
      </c>
      <c r="CX98" s="182">
        <f t="array" ref="CX98">INDEX(Demand_current!$D$4:$AY$138, MATCH($A98, Demand_current!$B$4:$B$138, 0), MATCH(CX$4&amp;CX$5,Demand_current!$D$2:$AY$2&amp;Demand_current!$D$3:$AY$3, 0))/1000</f>
        <v>5.036737500000001</v>
      </c>
      <c r="CY98" s="182">
        <f t="array" ref="CY98">INDEX(Demand_current!$D$4:$AY$138, MATCH($A98, Demand_current!$B$4:$B$138, 0), MATCH(CY$4&amp;CY$5,Demand_current!$D$2:$AY$2&amp;Demand_current!$D$3:$AY$3, 0))/1000</f>
        <v>15.4346125</v>
      </c>
      <c r="CZ98" s="182">
        <f t="array" ref="CZ98">INDEX(Demand_current!$D$4:$AY$138, MATCH($A98, Demand_current!$B$4:$B$138, 0), MATCH(CZ$4&amp;CZ$5,Demand_current!$D$2:$AY$2&amp;Demand_current!$D$3:$AY$3, 0))/1000</f>
        <v>15.524723557692322</v>
      </c>
      <c r="DA98" s="182">
        <f t="array" ref="DA98">INDEX(Demand_current!$D$4:$AY$138, MATCH($A98, Demand_current!$B$4:$B$138, 0), MATCH(DA$4&amp;DA$5,Demand_current!$D$2:$AY$2&amp;Demand_current!$D$3:$AY$3, 0))/1000</f>
        <v>8.1746450000000053</v>
      </c>
      <c r="DB98" s="182">
        <f t="array" ref="DB98">INDEX(Demand_current!$D$4:$AY$138, MATCH($A98, Demand_current!$B$4:$B$138, 0), MATCH(DB$4&amp;DB$5,Demand_current!$D$2:$AY$2&amp;Demand_current!$D$3:$AY$3, 0))/1000</f>
        <v>13.655776442307697</v>
      </c>
      <c r="DC98" s="182">
        <f t="array" ref="DC98">INDEX(Demand_current!$D$4:$AY$138, MATCH($A98, Demand_current!$B$4:$B$138, 0), MATCH(DC$4&amp;DC$5,Demand_current!$D$2:$AY$2&amp;Demand_current!$D$3:$AY$3, 0))/1000</f>
        <v>13.573572115384611</v>
      </c>
      <c r="DD98" s="182">
        <f t="array" ref="DD98">INDEX(Demand_current!$D$4:$AY$138, MATCH($A98, Demand_current!$B$4:$B$138, 0), MATCH(DD$4&amp;DD$5,Demand_current!$D$2:$AY$2&amp;Demand_current!$D$3:$AY$3, 0))/1000</f>
        <v>7.1207788461538382</v>
      </c>
      <c r="DE98" s="182">
        <f t="array" ref="DE98">INDEX(Demand_current!$D$4:$AY$138, MATCH($A98, Demand_current!$B$4:$B$138, 0), MATCH(DE$4&amp;DE$5,Demand_current!$D$2:$AY$2&amp;Demand_current!$D$3:$AY$3, 0))/1000</f>
        <v>12.997802500000004</v>
      </c>
      <c r="DF98" s="182">
        <f t="array" ref="DF98">INDEX(Demand_current!$D$4:$AY$138, MATCH($A98, Demand_current!$B$4:$B$138, 0), MATCH(DF$4&amp;DF$5,Demand_current!$D$2:$AY$2&amp;Demand_current!$D$3:$AY$3, 0))/1000</f>
        <v>19.210471153846164</v>
      </c>
      <c r="DG98" s="182">
        <f t="array" ref="DG98">INDEX(Demand_current!$D$4:$AY$138, MATCH($A98, Demand_current!$B$4:$B$138, 0), MATCH(DG$4&amp;DG$5,Demand_current!$D$2:$AY$2&amp;Demand_current!$D$3:$AY$3, 0))/1000</f>
        <v>21.067384259259271</v>
      </c>
      <c r="DH98" s="182">
        <f t="array" ref="DH98">INDEX(Demand_current!$D$4:$AY$138, MATCH($A98, Demand_current!$B$4:$B$138, 0), MATCH(DH$4&amp;DH$5,Demand_current!$D$2:$AY$2&amp;Demand_current!$D$3:$AY$3, 0))/1000</f>
        <v>11.517127604166667</v>
      </c>
      <c r="DI98" s="180">
        <f>$BS98*(VLOOKUP(DI$4, Rates_current!$G$6:$Q$29, 10, FALSE)+VLOOKUP(DI$4, Rates_current!$G$6:$Q$29, 11, FALSE))</f>
        <v>46697.51695566735</v>
      </c>
      <c r="DJ98" s="180">
        <f>$BS98*(VLOOKUP(DJ$4, Rates_current!$G$6:$Q$29, 10, FALSE)+VLOOKUP(DJ$4, Rates_current!$G$6:$Q$29, 11, FALSE))</f>
        <v>59554.732763575106</v>
      </c>
      <c r="DK98" s="180">
        <f>$BS98*(VLOOKUP(DK$4, Rates_current!$G$6:$Q$29, 10, FALSE)+VLOOKUP(DK$4, Rates_current!$G$6:$Q$29, 11, FALSE))</f>
        <v>64271.340218071506</v>
      </c>
      <c r="DL98" s="180">
        <f>$BS98*(VLOOKUP(DL$4, Rates_current!$G$6:$Q$29, 10, FALSE)+VLOOKUP(DL$4, Rates_current!$G$6:$Q$29, 11, FALSE))</f>
        <v>66787.858053361604</v>
      </c>
      <c r="DM98" s="180">
        <f>$BS98*(VLOOKUP(DM$4, Rates_current!$G$6:$Q$29, 10, FALSE)+VLOOKUP(DM$4, Rates_current!$G$6:$Q$29, 11, FALSE))</f>
        <v>57446.460179038193</v>
      </c>
      <c r="DN98" s="180">
        <f>$BS98*(VLOOKUP(DN$4, Rates_current!$G$6:$Q$29, 10, FALSE)+VLOOKUP(DN$4, Rates_current!$G$6:$Q$29, 11, FALSE))</f>
        <v>62720.160688389893</v>
      </c>
      <c r="DO98" s="180">
        <f>$BS98*(VLOOKUP(DO$4, Rates_current!$G$6:$Q$29, 10, FALSE)+VLOOKUP(DO$4, Rates_current!$G$6:$Q$29, 11, FALSE))</f>
        <v>49506.997235134317</v>
      </c>
      <c r="DP98" s="180">
        <f>$BS98*(VLOOKUP(DP$4, Rates_current!$G$6:$Q$29, 10, FALSE)+VLOOKUP(DP$4, Rates_current!$G$6:$Q$29, 11, FALSE))</f>
        <v>61420.064317347846</v>
      </c>
      <c r="DQ98" s="180">
        <f>$BS98*(VLOOKUP(DQ$4, Rates_current!$G$6:$Q$29, 10, FALSE)+VLOOKUP(DQ$4, Rates_current!$G$6:$Q$29, 11, FALSE))</f>
        <v>62752.726382856446</v>
      </c>
      <c r="DR98" s="180">
        <f>$BS98*(VLOOKUP(DR$4, Rates_current!$G$6:$Q$29, 10, FALSE)+VLOOKUP(DR$4, Rates_current!$G$6:$Q$29, 11, FALSE))</f>
        <v>54478.407184074349</v>
      </c>
      <c r="DS98" s="180">
        <f>$BS98*(VLOOKUP(DS$4, Rates_current!$G$6:$Q$29, 10, FALSE)+VLOOKUP(DS$4, Rates_current!$G$6:$Q$29, 11, FALSE))</f>
        <v>52666.13891136802</v>
      </c>
      <c r="DT98" s="180">
        <f>$BS98*(VLOOKUP(DT$4, Rates_current!$G$6:$Q$29, 10, FALSE)+VLOOKUP(DT$4, Rates_current!$G$6:$Q$29, 11, FALSE))</f>
        <v>48463.046536344205</v>
      </c>
      <c r="DU98" s="402">
        <f>IF(D98=0,IF(C98=0,MAX(0,DW98 - (VLOOKUP($A98,TOCA_current!$A$2:$AI$137,MATCH("RHWM 2024",TOCA_current!$A$2:$AI$2,0),FALSE)*$BS$2)), 0),0)</f>
        <v>0</v>
      </c>
      <c r="DV98" s="403">
        <f>MIN(VLOOKUP($A98,TOCA_current!$A$2:$AI$137,MATCH("TRL - NLSL - Existing Resource "&amp;$BS$1,TOCA_current!$A$2:$AI$2,0),FALSE)*$BS$2, VLOOKUP($A98,TOCA_current!$A$2:$AI$137,MATCH("RHWM 2024",TOCA_current!$A$2:$AI$2,0),FALSE)*$BS$2)</f>
        <v>686768.25599999994</v>
      </c>
      <c r="DW98" s="403">
        <f>SUM(BY98:CV98)+(BS98*RT1SC!$C$4*$BS$2)</f>
        <v>686765.45214799501</v>
      </c>
      <c r="DX98" s="403">
        <f>VLOOKUP($A98,TOCA_current!$A$2:$AI$137,MATCH("Above RHWM Not Served with LS "&amp;$BS$1,TOCA_current!$A$2:$AI$2,0),FALSE)*$BS$2</f>
        <v>0</v>
      </c>
      <c r="DY98" s="403">
        <f t="shared" si="32"/>
        <v>-2.803852004930377</v>
      </c>
      <c r="DZ98" s="403">
        <f>(VLOOKUP($A98,TOCA_current!$A$2:$AI$137,MATCH("RHWM 2024",TOCA_current!$A$2:$AI$2,0),FALSE)*$BS$2) - $DV98</f>
        <v>8766.4320000000298</v>
      </c>
      <c r="EA98" s="403">
        <f t="shared" si="33"/>
        <v>0</v>
      </c>
      <c r="EB98" s="403">
        <f t="shared" si="34"/>
        <v>2.803852004930377</v>
      </c>
      <c r="EC98" s="403">
        <f t="shared" si="35"/>
        <v>0</v>
      </c>
      <c r="ED98" s="403">
        <f t="shared" si="36"/>
        <v>2.803852004930377</v>
      </c>
    </row>
    <row r="99" spans="1:134">
      <c r="A99" s="123">
        <v>10294</v>
      </c>
      <c r="B99" s="124" t="s">
        <v>100</v>
      </c>
      <c r="C99" s="232">
        <f>VLOOKUP(A99, TOCA_current!$A$3:$D$137, 4, FALSE)</f>
        <v>0</v>
      </c>
      <c r="D99" s="191">
        <v>0</v>
      </c>
      <c r="E99" s="107">
        <f>VLOOKUP($A99,TOCA_previous!$A$2:$AI$137,MATCH(E$4,TOCA_previous!$A$2:$AI$2,0),FALSE)</f>
        <v>5.1440000000000001E-3</v>
      </c>
      <c r="F99" s="108">
        <f>VLOOKUP($A99,TOCA_previous!$A$2:$AI$137,MATCH(F$4,TOCA_previous!$A$2:$AI$2,0),FALSE)</f>
        <v>5.1440000000000001E-3</v>
      </c>
      <c r="G99" s="108">
        <f t="shared" si="24"/>
        <v>0</v>
      </c>
      <c r="H99" s="108">
        <f>VLOOKUP($A99,TOCA_previous!$A$2:$AI$137,MATCH(H$4,TOCA_previous!$A$2:$AI$2,0),FALSE)</f>
        <v>0</v>
      </c>
      <c r="I99" s="108">
        <f t="shared" si="25"/>
        <v>0</v>
      </c>
      <c r="J99" s="108">
        <f t="shared" si="26"/>
        <v>0</v>
      </c>
      <c r="K99" s="179">
        <f>VLOOKUP(A99, IRD!$A$5:$C$139, 3, FALSE)</f>
        <v>0</v>
      </c>
      <c r="L99" s="180">
        <f t="array" ref="L99">IF($G99=0, INDEX(LS_previous!$D$4:$AY$138, MATCH('Staging Table'!$A99, LS_previous!$B$4:$B$138, 0), MATCH(L$4&amp;L$5, LS_previous!$D$2:$AY$2&amp;LS_previous!$D$3:$AY$3, 0)),SUM(VLOOKUP($A99, LS_previous!$B$4:$AY$138, LS_previous!D$149, FALSE), VLOOKUP('Staging Table'!$A99, LS_previous!$B$4:$AY$138,LS_previous!AB$149, FALSE))/2)</f>
        <v>-744.71412077061177</v>
      </c>
      <c r="M99" s="180">
        <f t="array" ref="M99">IF($G99=0, INDEX(LS_previous!$D$4:$AY$138, MATCH('Staging Table'!$A99, LS_previous!$B$4:$B$138, 0), MATCH(M$4&amp;M$5, LS_previous!$D$2:$AY$2&amp;LS_previous!$D$3:$AY$3, 0)),SUM(VLOOKUP($A99, LS_previous!$B$4:$AY$138, LS_previous!E$149, FALSE), VLOOKUP('Staging Table'!$A99, LS_previous!$B$4:$AY$138,LS_previous!AC$149, FALSE))/2)</f>
        <v>815.37790036573824</v>
      </c>
      <c r="N99" s="180">
        <f t="array" ref="N99">IF($G99=0, INDEX(LS_previous!$D$4:$AY$138, MATCH('Staging Table'!$A99, LS_previous!$B$4:$B$138, 0), MATCH(N$4&amp;N$5, LS_previous!$D$2:$AY$2&amp;LS_previous!$D$3:$AY$3, 0)),SUM(VLOOKUP($A99, LS_previous!$B$4:$AY$138, LS_previous!F$149, FALSE), VLOOKUP('Staging Table'!$A99, LS_previous!$B$4:$AY$138,LS_previous!AD$149, FALSE))/2)</f>
        <v>-1357.6559573374943</v>
      </c>
      <c r="O99" s="180">
        <f t="array" ref="O99">IF($G99=0, INDEX(LS_previous!$D$4:$AY$138, MATCH('Staging Table'!$A99, LS_previous!$B$4:$B$138, 0), MATCH(O$4&amp;O$5, LS_previous!$D$2:$AY$2&amp;LS_previous!$D$3:$AY$3, 0)),SUM(VLOOKUP($A99, LS_previous!$B$4:$AY$138, LS_previous!G$149, FALSE), VLOOKUP('Staging Table'!$A99, LS_previous!$B$4:$AY$138,LS_previous!AE$149, FALSE))/2)</f>
        <v>-147.95142950162335</v>
      </c>
      <c r="P99" s="180">
        <f t="array" ref="P99">IF($G99=0, INDEX(LS_previous!$D$4:$AY$138, MATCH('Staging Table'!$A99, LS_previous!$B$4:$B$138, 0), MATCH(P$4&amp;P$5, LS_previous!$D$2:$AY$2&amp;LS_previous!$D$3:$AY$3, 0)),SUM(VLOOKUP($A99, LS_previous!$B$4:$AY$138, LS_previous!H$149, FALSE), VLOOKUP('Staging Table'!$A99, LS_previous!$B$4:$AY$138,LS_previous!AF$149, FALSE))/2)</f>
        <v>3851.9026476697945</v>
      </c>
      <c r="Q99" s="180">
        <f t="array" ref="Q99">IF($G99=0, INDEX(LS_previous!$D$4:$AY$138, MATCH('Staging Table'!$A99, LS_previous!$B$4:$B$138, 0), MATCH(Q$4&amp;Q$5, LS_previous!$D$2:$AY$2&amp;LS_previous!$D$3:$AY$3, 0)),SUM(VLOOKUP($A99, LS_previous!$B$4:$AY$138, LS_previous!I$149, FALSE), VLOOKUP('Staging Table'!$A99, LS_previous!$B$4:$AY$138,LS_previous!AG$149, FALSE))/2)</f>
        <v>2642.1642124379468</v>
      </c>
      <c r="R99" s="180">
        <f t="array" ref="R99">IF($G99=0, INDEX(LS_previous!$D$4:$AY$138, MATCH('Staging Table'!$A99, LS_previous!$B$4:$B$138, 0), MATCH(R$4&amp;R$5, LS_previous!$D$2:$AY$2&amp;LS_previous!$D$3:$AY$3, 0)),SUM(VLOOKUP($A99, LS_previous!$B$4:$AY$138, LS_previous!J$149, FALSE), VLOOKUP('Staging Table'!$A99, LS_previous!$B$4:$AY$138,LS_previous!AH$149, FALSE))/2)</f>
        <v>7913.8898935583384</v>
      </c>
      <c r="S99" s="180">
        <f t="array" ref="S99">IF($G99=0, INDEX(LS_previous!$D$4:$AY$138, MATCH('Staging Table'!$A99, LS_previous!$B$4:$B$138, 0), MATCH(S$4&amp;S$5, LS_previous!$D$2:$AY$2&amp;LS_previous!$D$3:$AY$3, 0)),SUM(VLOOKUP($A99, LS_previous!$B$4:$AY$138, LS_previous!K$149, FALSE), VLOOKUP('Staging Table'!$A99, LS_previous!$B$4:$AY$138,LS_previous!AI$149, FALSE))/2)</f>
        <v>4374.9972700736507</v>
      </c>
      <c r="T99" s="180">
        <f t="array" ref="T99">IF($G99=0, INDEX(LS_previous!$D$4:$AY$138, MATCH('Staging Table'!$A99, LS_previous!$B$4:$B$138, 0), MATCH(T$4&amp;T$5, LS_previous!$D$2:$AY$2&amp;LS_previous!$D$3:$AY$3, 0)),SUM(VLOOKUP($A99, LS_previous!$B$4:$AY$138, LS_previous!L$149, FALSE), VLOOKUP('Staging Table'!$A99, LS_previous!$B$4:$AY$138,LS_previous!AJ$149, FALSE))/2)</f>
        <v>7752.4470141655293</v>
      </c>
      <c r="U99" s="180">
        <f t="array" ref="U99">IF($G99=0, INDEX(LS_previous!$D$4:$AY$138, MATCH('Staging Table'!$A99, LS_previous!$B$4:$B$138, 0), MATCH(U$4&amp;U$5, LS_previous!$D$2:$AY$2&amp;LS_previous!$D$3:$AY$3, 0)),SUM(VLOOKUP($A99, LS_previous!$B$4:$AY$138, LS_previous!M$149, FALSE), VLOOKUP('Staging Table'!$A99, LS_previous!$B$4:$AY$138,LS_previous!AK$149, FALSE))/2)</f>
        <v>3931.9159526285966</v>
      </c>
      <c r="V99" s="180">
        <f t="array" ref="V99">IF($G99=0, INDEX(LS_previous!$D$4:$AY$138, MATCH('Staging Table'!$A99, LS_previous!$B$4:$B$138, 0), MATCH(V$4&amp;V$5, LS_previous!$D$2:$AY$2&amp;LS_previous!$D$3:$AY$3, 0)),SUM(VLOOKUP($A99, LS_previous!$B$4:$AY$138, LS_previous!N$149, FALSE), VLOOKUP('Staging Table'!$A99, LS_previous!$B$4:$AY$138,LS_previous!AL$149, FALSE))/2)</f>
        <v>2330.4458912536429</v>
      </c>
      <c r="W99" s="180">
        <f t="array" ref="W99">IF($G99=0, INDEX(LS_previous!$D$4:$AY$138, MATCH('Staging Table'!$A99, LS_previous!$B$4:$B$138, 0), MATCH(W$4&amp;W$5, LS_previous!$D$2:$AY$2&amp;LS_previous!$D$3:$AY$3, 0)),SUM(VLOOKUP($A99, LS_previous!$B$4:$AY$138, LS_previous!O$149, FALSE), VLOOKUP('Staging Table'!$A99, LS_previous!$B$4:$AY$138,LS_previous!AM$149, FALSE))/2)</f>
        <v>2480.1499794114243</v>
      </c>
      <c r="X99" s="180">
        <f t="array" ref="X99">IF($G99=0, INDEX(LS_previous!$D$4:$AY$138, MATCH('Staging Table'!$A99, LS_previous!$B$4:$B$138, 0), MATCH(X$4&amp;X$5, LS_previous!$D$2:$AY$2&amp;LS_previous!$D$3:$AY$3, 0)),SUM(VLOOKUP($A99, LS_previous!$B$4:$AY$138, LS_previous!P$149, FALSE), VLOOKUP('Staging Table'!$A99, LS_previous!$B$4:$AY$138,LS_previous!AN$149, FALSE))/2)</f>
        <v>3331.7126743608442</v>
      </c>
      <c r="Y99" s="180">
        <f t="array" ref="Y99">IF($G99=0, INDEX(LS_previous!$D$4:$AY$138, MATCH('Staging Table'!$A99, LS_previous!$B$4:$B$138, 0), MATCH(Y$4&amp;Y$5, LS_previous!$D$2:$AY$2&amp;LS_previous!$D$3:$AY$3, 0)),SUM(VLOOKUP($A99, LS_previous!$B$4:$AY$138, LS_previous!Q$149, FALSE), VLOOKUP('Staging Table'!$A99, LS_previous!$B$4:$AY$138,LS_previous!AO$149, FALSE))/2)</f>
        <v>2325.5785081220311</v>
      </c>
      <c r="Z99" s="180">
        <f t="array" ref="Z99">IF($G99=0, INDEX(LS_previous!$D$4:$AY$138, MATCH('Staging Table'!$A99, LS_previous!$B$4:$B$138, 0), MATCH(Z$4&amp;Z$5, LS_previous!$D$2:$AY$2&amp;LS_previous!$D$3:$AY$3, 0)),SUM(VLOOKUP($A99, LS_previous!$B$4:$AY$138, LS_previous!R$149, FALSE), VLOOKUP('Staging Table'!$A99, LS_previous!$B$4:$AY$138,LS_previous!AP$149, FALSE))/2)</f>
        <v>-5606.5975637221472</v>
      </c>
      <c r="AA99" s="180">
        <f t="array" ref="AA99">IF($G99=0, INDEX(LS_previous!$D$4:$AY$138, MATCH('Staging Table'!$A99, LS_previous!$B$4:$B$138, 0), MATCH(AA$4&amp;AA$5, LS_previous!$D$2:$AY$2&amp;LS_previous!$D$3:$AY$3, 0)),SUM(VLOOKUP($A99, LS_previous!$B$4:$AY$138, LS_previous!S$149, FALSE), VLOOKUP('Staging Table'!$A99, LS_previous!$B$4:$AY$138,LS_previous!AQ$149, FALSE))/2)</f>
        <v>-857.55023345293284</v>
      </c>
      <c r="AB99" s="180">
        <f t="array" ref="AB99">IF($G99=0, INDEX(LS_previous!$D$4:$AY$138, MATCH('Staging Table'!$A99, LS_previous!$B$4:$B$138, 0), MATCH(AB$4&amp;AB$5, LS_previous!$D$2:$AY$2&amp;LS_previous!$D$3:$AY$3, 0)),SUM(VLOOKUP($A99, LS_previous!$B$4:$AY$138, LS_previous!T$149, FALSE), VLOOKUP('Staging Table'!$A99, LS_previous!$B$4:$AY$138,LS_previous!AR$149, FALSE))/2)</f>
        <v>-9547.8739040656237</v>
      </c>
      <c r="AC99" s="180">
        <f t="array" ref="AC99">IF($G99=0, INDEX(LS_previous!$D$4:$AY$138, MATCH('Staging Table'!$A99, LS_previous!$B$4:$B$138, 0), MATCH(AC$4&amp;AC$5, LS_previous!$D$2:$AY$2&amp;LS_previous!$D$3:$AY$3, 0)),SUM(VLOOKUP($A99, LS_previous!$B$4:$AY$138, LS_previous!U$149, FALSE), VLOOKUP('Staging Table'!$A99, LS_previous!$B$4:$AY$138,LS_previous!AS$149, FALSE))/2)</f>
        <v>-1098.0617910518204</v>
      </c>
      <c r="AD99" s="180">
        <f t="array" ref="AD99">IF($G99=0, INDEX(LS_previous!$D$4:$AY$138, MATCH('Staging Table'!$A99, LS_previous!$B$4:$B$138, 0), MATCH(AD$4&amp;AD$5, LS_previous!$D$2:$AY$2&amp;LS_previous!$D$3:$AY$3, 0)),SUM(VLOOKUP($A99, LS_previous!$B$4:$AY$138, LS_previous!V$149, FALSE), VLOOKUP('Staging Table'!$A99, LS_previous!$B$4:$AY$138,LS_previous!AT$149, FALSE))/2)</f>
        <v>-7114.9994110643784</v>
      </c>
      <c r="AE99" s="180">
        <f t="array" ref="AE99">IF($G99=0, INDEX(LS_previous!$D$4:$AY$138, MATCH('Staging Table'!$A99, LS_previous!$B$4:$B$138, 0), MATCH(AE$4&amp;AE$5, LS_previous!$D$2:$AY$2&amp;LS_previous!$D$3:$AY$3, 0)),SUM(VLOOKUP($A99, LS_previous!$B$4:$AY$138, LS_previous!W$149, FALSE), VLOOKUP('Staging Table'!$A99, LS_previous!$B$4:$AY$138,LS_previous!AU$149, FALSE))/2)</f>
        <v>-2375.395231185159</v>
      </c>
      <c r="AF99" s="180">
        <f t="array" ref="AF99">IF($G99=0, INDEX(LS_previous!$D$4:$AY$138, MATCH('Staging Table'!$A99, LS_previous!$B$4:$B$138, 0), MATCH(AF$4&amp;AF$5, LS_previous!$D$2:$AY$2&amp;LS_previous!$D$3:$AY$3, 0)),SUM(VLOOKUP($A99, LS_previous!$B$4:$AY$138, LS_previous!X$149, FALSE), VLOOKUP('Staging Table'!$A99, LS_previous!$B$4:$AY$138,LS_previous!AV$149, FALSE))/2)</f>
        <v>-6138.6120866045076</v>
      </c>
      <c r="AG99" s="180">
        <f t="array" ref="AG99">IF($G99=0, INDEX(LS_previous!$D$4:$AY$138, MATCH('Staging Table'!$A99, LS_previous!$B$4:$B$138, 0), MATCH(AG$4&amp;AG$5, LS_previous!$D$2:$AY$2&amp;LS_previous!$D$3:$AY$3, 0)),SUM(VLOOKUP($A99, LS_previous!$B$4:$AY$138, LS_previous!Y$149, FALSE), VLOOKUP('Staging Table'!$A99, LS_previous!$B$4:$AY$138,LS_previous!AW$149, FALSE))/2)</f>
        <v>-2252.3350814856631</v>
      </c>
      <c r="AH99" s="180">
        <f t="array" ref="AH99">IF($G99=0, INDEX(LS_previous!$D$4:$AY$138, MATCH('Staging Table'!$A99, LS_previous!$B$4:$B$138, 0), MATCH(AH$4&amp;AH$5, LS_previous!$D$2:$AY$2&amp;LS_previous!$D$3:$AY$3, 0)),SUM(VLOOKUP($A99, LS_previous!$B$4:$AY$138, LS_previous!Z$149, FALSE), VLOOKUP('Staging Table'!$A99, LS_previous!$B$4:$AY$138,LS_previous!AX$149, FALSE))/2)</f>
        <v>-5046.614608006892</v>
      </c>
      <c r="AI99" s="180">
        <f t="array" ref="AI99">IF($G99=0, INDEX(LS_previous!$D$4:$AY$138, MATCH('Staging Table'!$A99, LS_previous!$B$4:$B$138, 0), MATCH(AI$4&amp;AI$5, LS_previous!$D$2:$AY$2&amp;LS_previous!$D$3:$AY$3, 0)),SUM(VLOOKUP($A99, LS_previous!$B$4:$AY$138, LS_previous!AA$149, FALSE), VLOOKUP('Staging Table'!$A99, LS_previous!$B$4:$AY$138,LS_previous!AY$149, FALSE))/2)</f>
        <v>-1561.6748948616669</v>
      </c>
      <c r="AJ99" s="298">
        <f t="array" ref="AJ99">INDEX(Demand_previous!$D$4:$AY$138, MATCH('Staging Table'!$A99, Demand_previous!$B$4:$B$138, 0), MATCH(AJ$4&amp;AJ$5,Demand_previous!$D$2:$AY$2&amp;Demand_previous!$D$3:$AY$3, 0))/1000</f>
        <v>4.5644831730769226</v>
      </c>
      <c r="AK99" s="298">
        <f t="array" ref="AK99">INDEX(Demand_previous!$D$4:$AY$138, MATCH('Staging Table'!$A99, Demand_previous!$B$4:$B$138, 0), MATCH(AK$4&amp;AK$5,Demand_previous!$D$2:$AY$2&amp;Demand_previous!$D$3:$AY$3, 0))/1000</f>
        <v>1.3941650000000045</v>
      </c>
      <c r="AL99" s="298">
        <f t="array" ref="AL99">INDEX(Demand_previous!$D$4:$AY$138, MATCH('Staging Table'!$A99, Demand_previous!$B$4:$B$138, 0), MATCH(AL$4&amp;AL$5,Demand_previous!$D$2:$AY$2&amp;Demand_previous!$D$3:$AY$3, 0))/1000</f>
        <v>11.620192307692307</v>
      </c>
      <c r="AM99" s="298">
        <f t="array" ref="AM99">INDEX(Demand_previous!$D$4:$AY$138, MATCH('Staging Table'!$A99, Demand_previous!$B$4:$B$138, 0), MATCH(AM$4&amp;AM$5,Demand_previous!$D$2:$AY$2&amp;Demand_previous!$D$3:$AY$3, 0))/1000</f>
        <v>10.098960000000009</v>
      </c>
      <c r="AN99" s="298">
        <f t="array" ref="AN99">INDEX(Demand_previous!$D$4:$AY$138, MATCH('Staging Table'!$A99, Demand_previous!$B$4:$B$138, 0), MATCH(AN$4&amp;AN$5,Demand_previous!$D$2:$AY$2&amp;Demand_previous!$D$3:$AY$3, 0))/1000</f>
        <v>6.1214661458333417</v>
      </c>
      <c r="AO99" s="298">
        <f t="array" ref="AO99">INDEX(Demand_previous!$D$4:$AY$138, MATCH('Staging Table'!$A99, Demand_previous!$B$4:$B$138, 0), MATCH(AO$4&amp;AO$5,Demand_previous!$D$2:$AY$2&amp;Demand_previous!$D$3:$AY$3, 0))/1000</f>
        <v>16.167622685185194</v>
      </c>
      <c r="AP99" s="298">
        <f t="array" ref="AP99">INDEX(Demand_previous!$D$4:$AY$138, MATCH('Staging Table'!$A99, Demand_previous!$B$4:$B$138, 0), MATCH(AP$4&amp;AP$5,Demand_previous!$D$2:$AY$2&amp;Demand_previous!$D$3:$AY$3, 0))/1000</f>
        <v>8.8502548076923073</v>
      </c>
      <c r="AQ99" s="298">
        <f t="array" ref="AQ99">INDEX(Demand_previous!$D$4:$AY$138, MATCH('Staging Table'!$A99, Demand_previous!$B$4:$B$138, 0), MATCH(AQ$4&amp;AQ$5,Demand_previous!$D$2:$AY$2&amp;Demand_previous!$D$3:$AY$3, 0))/1000</f>
        <v>5.0476675000000011</v>
      </c>
      <c r="AR99" s="298">
        <f t="array" ref="AR99">INDEX(Demand_previous!$D$4:$AY$138, MATCH('Staging Table'!$A99, Demand_previous!$B$4:$B$138, 0), MATCH(AR$4&amp;AR$5,Demand_previous!$D$2:$AY$2&amp;Demand_previous!$D$3:$AY$3, 0))/1000</f>
        <v>5.0480841346153884</v>
      </c>
      <c r="AS99" s="298">
        <f t="array" ref="AS99">INDEX(Demand_previous!$D$4:$AY$138, MATCH('Staging Table'!$A99, Demand_previous!$B$4:$B$138, 0), MATCH(AS$4&amp;AS$5,Demand_previous!$D$2:$AY$2&amp;Demand_previous!$D$3:$AY$3, 0))/1000</f>
        <v>0.93483499999999875</v>
      </c>
      <c r="AT99" s="298">
        <f t="array" ref="AT99">INDEX(Demand_previous!$D$4:$AY$138, MATCH('Staging Table'!$A99, Demand_previous!$B$4:$B$138, 0), MATCH(AT$4&amp;AT$5,Demand_previous!$D$2:$AY$2&amp;Demand_previous!$D$3:$AY$3, 0))/1000</f>
        <v>1.8707939814814796</v>
      </c>
      <c r="AU99" s="298">
        <f t="array" ref="AU99">INDEX(Demand_previous!$D$4:$AY$138, MATCH('Staging Table'!$A99, Demand_previous!$B$4:$B$138, 0), MATCH(AU$4&amp;AU$5,Demand_previous!$D$2:$AY$2&amp;Demand_previous!$D$3:$AY$3, 0))/1000</f>
        <v>4.4055875000000011</v>
      </c>
      <c r="AV99" s="180">
        <f>$F99*(VLOOKUP(AV$4, Rates_previous!$G$6:$Q$29, 10, FALSE)+VLOOKUP(AV$4, Rates_previous!$G$6:$Q$29, 11, FALSE))</f>
        <v>23425.387220404871</v>
      </c>
      <c r="AW99" s="180">
        <f>$F99*(VLOOKUP(AW$4, Rates_previous!$G$6:$Q$29, 10, FALSE)+VLOOKUP(AW$4, Rates_previous!$G$6:$Q$29, 11, FALSE))</f>
        <v>29657.390386839121</v>
      </c>
      <c r="AX99" s="180">
        <f>$F99*(VLOOKUP(AX$4, Rates_previous!$G$6:$Q$29, 10, FALSE)+VLOOKUP(AX$4, Rates_previous!$G$6:$Q$29, 11, FALSE))</f>
        <v>29028.660139892261</v>
      </c>
      <c r="AY99" s="180">
        <f>$F99*(VLOOKUP(AY$4, Rates_previous!$G$6:$Q$29, 10, FALSE)+VLOOKUP(AY$4, Rates_previous!$G$6:$Q$29, 11, FALSE))</f>
        <v>23976.438836368008</v>
      </c>
      <c r="AZ99" s="180">
        <f>$F99*(VLOOKUP(AZ$4, Rates_previous!$G$6:$Q$29, 10, FALSE)+VLOOKUP(AZ$4, Rates_previous!$G$6:$Q$29, 11, FALSE))</f>
        <v>20780.905033205876</v>
      </c>
      <c r="BA99" s="180">
        <f>$F99*(VLOOKUP(BA$4, Rates_previous!$G$6:$Q$29, 10, FALSE)+VLOOKUP(BA$4, Rates_previous!$G$6:$Q$29, 11, FALSE))</f>
        <v>24808.204129334932</v>
      </c>
      <c r="BB99" s="180">
        <f>$F99*(VLOOKUP(BB$4, Rates_previous!$G$6:$Q$29, 10, FALSE)+VLOOKUP(BB$4, Rates_previous!$G$6:$Q$29, 11, FALSE))</f>
        <v>19260.267817517124</v>
      </c>
      <c r="BC99" s="180">
        <f>$F99*(VLOOKUP(BC$4, Rates_previous!$G$6:$Q$29, 10, FALSE)+VLOOKUP(BC$4, Rates_previous!$G$6:$Q$29, 11, FALSE))</f>
        <v>26685.24279717508</v>
      </c>
      <c r="BD99" s="180">
        <f>$F99*(VLOOKUP(BD$4, Rates_previous!$G$6:$Q$29, 10, FALSE)+VLOOKUP(BD$4, Rates_previous!$G$6:$Q$29, 11, FALSE))</f>
        <v>28513.740695117445</v>
      </c>
      <c r="BE99" s="180">
        <f>$F99*(VLOOKUP(BE$4, Rates_previous!$G$6:$Q$29, 10, FALSE)+VLOOKUP(BE$4, Rates_previous!$G$6:$Q$29, 11, FALSE))</f>
        <v>27072.505642249544</v>
      </c>
      <c r="BF99" s="180">
        <f>$F99*(VLOOKUP(BF$4, Rates_previous!$G$6:$Q$29, 10, FALSE)+VLOOKUP(BF$4, Rates_previous!$G$6:$Q$29, 11, FALSE))</f>
        <v>26163.488168090171</v>
      </c>
      <c r="BG99" s="180">
        <f>$F99*(VLOOKUP(BG$4, Rates_previous!$G$6:$Q$29, 10, FALSE)+VLOOKUP(BG$4, Rates_previous!$G$6:$Q$29, 11, FALSE))</f>
        <v>24177.79050286856</v>
      </c>
      <c r="BH99" s="298">
        <f>IF($D99=0,IF(C99=0, MAX(BJ99 - (VLOOKUP($A99,TOCA_previous!$A$2:$AI$137,MATCH("RHWM 2022",TOCA_previous!$A$2:$AI$2,0),FALSE)*$F$2*TOCA_previous!C96),0),0), 0)</f>
        <v>0</v>
      </c>
      <c r="BI99" s="192">
        <f>MIN(VLOOKUP($A99,TOCA_previous!$A$2:$AI$137,MATCH("TRL - NLSL - Existing Resource "&amp;$F$1,TOCA_previous!$A$2:$AI$2,0),FALSE)*$F$2,(VLOOKUP($A99,TOCA_previous!$A$2:$AI$137,MATCH("RHWM 2022",TOCA_previous!$A$2:$AI$2,0),FALSE)*$F$2))</f>
        <v>303551.52</v>
      </c>
      <c r="BJ99" s="402">
        <f>SUM(L99:AI99)+(F99*RT1SC!$C$3*$F$2)</f>
        <v>301450.58252789709</v>
      </c>
      <c r="BK99" s="401">
        <f>VLOOKUP($A99,TOCA_previous!$A$2:$AI$137,MATCH("Above RHWM Not Served with LS "&amp;$F$1,TOCA_previous!$A$2:$AI$2,0),FALSE)*$F$2</f>
        <v>21689.759999999998</v>
      </c>
      <c r="BL99" s="402">
        <f t="shared" si="27"/>
        <v>-2100.9374721029308</v>
      </c>
      <c r="BM99" s="401">
        <f>(VLOOKUP($A99,TOCA_previous!$A$2:$AI$137,MATCH("RHWM 2022",TOCA_previous!$A$2:$AI$2,0),FALSE)*$F$2) - $BI99</f>
        <v>0</v>
      </c>
      <c r="BN99" s="402">
        <f t="shared" si="28"/>
        <v>0</v>
      </c>
      <c r="BO99" s="401">
        <f t="shared" si="29"/>
        <v>0</v>
      </c>
      <c r="BP99" s="402">
        <f t="shared" si="30"/>
        <v>0</v>
      </c>
      <c r="BQ99" s="401">
        <f t="shared" si="21"/>
        <v>0</v>
      </c>
      <c r="BR99" s="108">
        <f>VLOOKUP($A99,TOCA_current!$A$2:$AI$137,MATCH(BR$4,TOCA_current!$A$2:$AI$2,0),FALSE)</f>
        <v>5.143E-3</v>
      </c>
      <c r="BS99" s="108">
        <f>VLOOKUP($A99,TOCA_current!$A$2:$AI$137,MATCH(BS$4,TOCA_current!$A$2:$AI$2,0),FALSE)</f>
        <v>5.143E-3</v>
      </c>
      <c r="BT99" s="189">
        <f t="shared" si="31"/>
        <v>0</v>
      </c>
      <c r="BU99" s="108">
        <f>VLOOKUP($A99,TOCA_current!A95:BG230,MATCH(BU$4,TOCA_current!$A$2:$BG$2,0),FALSE)</f>
        <v>0</v>
      </c>
      <c r="BV99" s="108">
        <f t="shared" si="22"/>
        <v>0</v>
      </c>
      <c r="BW99" s="108">
        <f t="shared" si="23"/>
        <v>0</v>
      </c>
      <c r="BX99" s="179">
        <f>VLOOKUP($A99,IRD!$A$4:$G$139, 7, FALSE)</f>
        <v>0</v>
      </c>
      <c r="BY99" s="180">
        <f t="array" ref="BY99">IF($BT99=0, INDEX(LS_current!$D$4:$AY$138, MATCH('Staging Table'!$A99, LS_current!$B$4:$B$138, 0), MATCH(BY$4&amp;BY$5, LS_current!$D$2:$AY$2&amp;LS_current!$D$3:$AY$3, 0)),SUM(VLOOKUP($A99, LS_current!$B$4:$AY$138, LS_current!D$148, FALSE), VLOOKUP($A99, LS_current!$B$4:$AY$138,LS_current!AB$148, FALSE))/2)</f>
        <v>2182.6273228519985</v>
      </c>
      <c r="BZ99" s="180">
        <f t="array" ref="BZ99">IF($BT99=0, INDEX(LS_current!$D$4:$AY$138, MATCH('Staging Table'!$A99, LS_current!$B$4:$B$138, 0), MATCH(BZ$4&amp;BZ$5, LS_current!$D$2:$AY$2&amp;LS_current!$D$3:$AY$3, 0)),SUM(VLOOKUP($A99, LS_current!$B$4:$AY$138, LS_current!E$148, FALSE), VLOOKUP($A99, LS_current!$B$4:$AY$138,LS_current!AC$148, FALSE))/2)</f>
        <v>1458.2599317535005</v>
      </c>
      <c r="CA99" s="180">
        <f t="array" ref="CA99">IF($BT99=0, INDEX(LS_current!$D$4:$AY$138, MATCH('Staging Table'!$A99, LS_current!$B$4:$B$138, 0), MATCH(CA$4&amp;CA$5, LS_current!$D$2:$AY$2&amp;LS_current!$D$3:$AY$3, 0)),SUM(VLOOKUP($A99, LS_current!$B$4:$AY$138, LS_current!F$148, FALSE), VLOOKUP($A99, LS_current!$B$4:$AY$138,LS_current!AD$148, FALSE))/2)</f>
        <v>1042.6756720960002</v>
      </c>
      <c r="CB99" s="180">
        <f t="array" ref="CB99">IF($BT99=0, INDEX(LS_current!$D$4:$AY$138, MATCH('Staging Table'!$A99, LS_current!$B$4:$B$138, 0), MATCH(CB$4&amp;CB$5, LS_current!$D$2:$AY$2&amp;LS_current!$D$3:$AY$3, 0)),SUM(VLOOKUP($A99, LS_current!$B$4:$AY$138, LS_current!G$148, FALSE), VLOOKUP($A99, LS_current!$B$4:$AY$138,LS_current!AE$148, FALSE))/2)</f>
        <v>1223.0812007669992</v>
      </c>
      <c r="CC99" s="180">
        <f t="array" ref="CC99">IF($BT99=0, INDEX(LS_current!$D$4:$AY$138, MATCH('Staging Table'!$A99, LS_current!$B$4:$B$138, 0), MATCH(CC$4&amp;CC$5, LS_current!$D$2:$AY$2&amp;LS_current!$D$3:$AY$3, 0)),SUM(VLOOKUP($A99, LS_current!$B$4:$AY$138, LS_current!H$148, FALSE), VLOOKUP($A99, LS_current!$B$4:$AY$138,LS_current!AF$148, FALSE))/2)</f>
        <v>3359.661844323</v>
      </c>
      <c r="CD99" s="180">
        <f t="array" ref="CD99">IF($BT99=0, INDEX(LS_current!$D$4:$AY$138, MATCH('Staging Table'!$A99, LS_current!$B$4:$B$138, 0), MATCH(CD$4&amp;CD$5, LS_current!$D$2:$AY$2&amp;LS_current!$D$3:$AY$3, 0)),SUM(VLOOKUP($A99, LS_current!$B$4:$AY$138, LS_current!I$148, FALSE), VLOOKUP($A99, LS_current!$B$4:$AY$138,LS_current!AG$148, FALSE))/2)</f>
        <v>4142.4854214719999</v>
      </c>
      <c r="CE99" s="180">
        <f t="array" ref="CE99">IF($BT99=0, INDEX(LS_current!$D$4:$AY$138, MATCH('Staging Table'!$A99, LS_current!$B$4:$B$138, 0), MATCH(CE$4&amp;CE$5, LS_current!$D$2:$AY$2&amp;LS_current!$D$3:$AY$3, 0)),SUM(VLOOKUP($A99, LS_current!$B$4:$AY$138, LS_current!J$148, FALSE), VLOOKUP($A99, LS_current!$B$4:$AY$138,LS_current!AH$148, FALSE))/2)</f>
        <v>3331.3535097550011</v>
      </c>
      <c r="CF99" s="180">
        <f t="array" ref="CF99">IF($BT99=0, INDEX(LS_current!$D$4:$AY$138, MATCH('Staging Table'!$A99, LS_current!$B$4:$B$138, 0), MATCH(CF$4&amp;CF$5, LS_current!$D$2:$AY$2&amp;LS_current!$D$3:$AY$3, 0)),SUM(VLOOKUP($A99, LS_current!$B$4:$AY$138, LS_current!K$148, FALSE), VLOOKUP($A99, LS_current!$B$4:$AY$138,LS_current!AI$148, FALSE))/2)</f>
        <v>3744.130116852999</v>
      </c>
      <c r="CG99" s="180">
        <f t="array" ref="CG99">IF($BT99=0, INDEX(LS_current!$D$4:$AY$138, MATCH('Staging Table'!$A99, LS_current!$B$4:$B$138, 0), MATCH(CG$4&amp;CG$5, LS_current!$D$2:$AY$2&amp;LS_current!$D$3:$AY$3, 0)),SUM(VLOOKUP($A99, LS_current!$B$4:$AY$138, LS_current!L$148, FALSE), VLOOKUP($A99, LS_current!$B$4:$AY$138,LS_current!AJ$148, FALSE))/2)</f>
        <v>3802.7261943030026</v>
      </c>
      <c r="CH99" s="180">
        <f t="array" ref="CH99">IF($BT99=0, INDEX(LS_current!$D$4:$AY$138, MATCH('Staging Table'!$A99, LS_current!$B$4:$B$138, 0), MATCH(CH$4&amp;CH$5, LS_current!$D$2:$AY$2&amp;LS_current!$D$3:$AY$3, 0)),SUM(VLOOKUP($A99, LS_current!$B$4:$AY$138, LS_current!M$148, FALSE), VLOOKUP($A99, LS_current!$B$4:$AY$138,LS_current!AK$148, FALSE))/2)</f>
        <v>3634.7692248629992</v>
      </c>
      <c r="CI99" s="180">
        <f t="array" ref="CI99">IF($BT99=0, INDEX(LS_current!$D$4:$AY$138, MATCH('Staging Table'!$A99, LS_current!$B$4:$B$138, 0), MATCH(CI$4&amp;CI$5, LS_current!$D$2:$AY$2&amp;LS_current!$D$3:$AY$3, 0)),SUM(VLOOKUP($A99, LS_current!$B$4:$AY$138, LS_current!N$148, FALSE), VLOOKUP($A99, LS_current!$B$4:$AY$138,LS_current!AL$148, FALSE))/2)</f>
        <v>892.84500184100034</v>
      </c>
      <c r="CJ99" s="180">
        <f t="array" ref="CJ99">IF($BT99=0, INDEX(LS_current!$D$4:$AY$138, MATCH('Staging Table'!$A99, LS_current!$B$4:$B$138, 0), MATCH(CJ$4&amp;CJ$5, LS_current!$D$2:$AY$2&amp;LS_current!$D$3:$AY$3, 0)),SUM(VLOOKUP($A99, LS_current!$B$4:$AY$138, LS_current!O$148, FALSE), VLOOKUP($A99, LS_current!$B$4:$AY$138,LS_current!AM$148, FALSE))/2)</f>
        <v>1423.6317957460014</v>
      </c>
      <c r="CK99" s="180">
        <f t="array" ref="CK99">IF($BT99=0, INDEX(LS_current!$D$4:$AY$138, MATCH('Staging Table'!$A99, LS_current!$B$4:$B$138, 0), MATCH(CK$4&amp;CK$5, LS_current!$D$2:$AY$2&amp;LS_current!$D$3:$AY$3, 0)),SUM(VLOOKUP($A99, LS_current!$B$4:$AY$138, LS_current!P$148, FALSE), VLOOKUP($A99, LS_current!$B$4:$AY$138,LS_current!AN$148, FALSE))/2)</f>
        <v>2229.2068003175009</v>
      </c>
      <c r="CL99" s="180">
        <f t="array" ref="CL99">IF($BT99=0, INDEX(LS_current!$D$4:$AY$138, MATCH('Staging Table'!$A99, LS_current!$B$4:$B$138, 0), MATCH(CL$4&amp;CL$5, LS_current!$D$2:$AY$2&amp;LS_current!$D$3:$AY$3, 0)),SUM(VLOOKUP($A99, LS_current!$B$4:$AY$138, LS_current!Q$148, FALSE), VLOOKUP($A99, LS_current!$B$4:$AY$138,LS_current!AO$148, FALSE))/2)</f>
        <v>1468.3811662197513</v>
      </c>
      <c r="CM99" s="180">
        <f t="array" ref="CM99">IF($BT99=0, INDEX(LS_current!$D$4:$AY$138, MATCH('Staging Table'!$A99, LS_current!$B$4:$B$138, 0), MATCH(CM$4&amp;CM$5, LS_current!$D$2:$AY$2&amp;LS_current!$D$3:$AY$3, 0)),SUM(VLOOKUP($A99, LS_current!$B$4:$AY$138, LS_current!R$148, FALSE), VLOOKUP($A99, LS_current!$B$4:$AY$138,LS_current!AP$148, FALSE))/2)</f>
        <v>-3975.5210492639999</v>
      </c>
      <c r="CN99" s="180">
        <f t="array" ref="CN99">IF($BT99=0, INDEX(LS_current!$D$4:$AY$138, MATCH('Staging Table'!$A99, LS_current!$B$4:$B$138, 0), MATCH(CN$4&amp;CN$5, LS_current!$D$2:$AY$2&amp;LS_current!$D$3:$AY$3, 0)),SUM(VLOOKUP($A99, LS_current!$B$4:$AY$138, LS_current!S$148, FALSE), VLOOKUP($A99, LS_current!$B$4:$AY$138,LS_current!AQ$148, FALSE))/2)</f>
        <v>-2499.1606821655005</v>
      </c>
      <c r="CO99" s="180">
        <f t="array" ref="CO99">IF($BT99=0, INDEX(LS_current!$D$4:$AY$138, MATCH('Staging Table'!$A99, LS_current!$B$4:$B$138, 0), MATCH(CO$4&amp;CO$5, LS_current!$D$2:$AY$2&amp;LS_current!$D$3:$AY$3, 0)),SUM(VLOOKUP($A99, LS_current!$B$4:$AY$138, LS_current!T$148, FALSE), VLOOKUP($A99, LS_current!$B$4:$AY$138,LS_current!AR$148, FALSE))/2)</f>
        <v>-6493.0917634179987</v>
      </c>
      <c r="CP99" s="180">
        <f t="array" ref="CP99">IF($BT99=0, INDEX(LS_current!$D$4:$AY$138, MATCH('Staging Table'!$A99, LS_current!$B$4:$B$138, 0), MATCH(CP$4&amp;CP$5, LS_current!$D$2:$AY$2&amp;LS_current!$D$3:$AY$3, 0)),SUM(VLOOKUP($A99, LS_current!$B$4:$AY$138, LS_current!U$148, FALSE), VLOOKUP($A99, LS_current!$B$4:$AY$138,LS_current!AS$148, FALSE))/2)</f>
        <v>-3013.5056052935006</v>
      </c>
      <c r="CQ99" s="180">
        <f t="array" ref="CQ99">IF($BT99=0, INDEX(LS_current!$D$4:$AY$138, MATCH('Staging Table'!$A99, LS_current!$B$4:$B$138, 0), MATCH(CQ$4&amp;CQ$5, LS_current!$D$2:$AY$2&amp;LS_current!$D$3:$AY$3, 0)),SUM(VLOOKUP($A99, LS_current!$B$4:$AY$138, LS_current!V$148, FALSE), VLOOKUP($A99, LS_current!$B$4:$AY$138,LS_current!AT$148, FALSE))/2)</f>
        <v>-3866.8783622520004</v>
      </c>
      <c r="CR99" s="180">
        <f t="array" ref="CR99">IF($BT99=0, INDEX(LS_current!$D$4:$AY$138, MATCH('Staging Table'!$A99, LS_current!$B$4:$B$138, 0), MATCH(CR$4&amp;CR$5, LS_current!$D$2:$AY$2&amp;LS_current!$D$3:$AY$3, 0)),SUM(VLOOKUP($A99, LS_current!$B$4:$AY$138, LS_current!W$148, FALSE), VLOOKUP($A99, LS_current!$B$4:$AY$138,LS_current!AU$148, FALSE))/2)</f>
        <v>-2021.4494732324993</v>
      </c>
      <c r="CS99" s="180">
        <f t="array" ref="CS99">IF($BT99=0, INDEX(LS_current!$D$4:$AY$138, MATCH('Staging Table'!$A99, LS_current!$B$4:$B$138, 0), MATCH(CS$4&amp;CS$5, LS_current!$D$2:$AY$2&amp;LS_current!$D$3:$AY$3, 0)),SUM(VLOOKUP($A99, LS_current!$B$4:$AY$138, LS_current!X$148, FALSE), VLOOKUP($A99, LS_current!$B$4:$AY$138,LS_current!AV$148, FALSE))/2)</f>
        <v>-2972.5133520245017</v>
      </c>
      <c r="CT99" s="180">
        <f t="array" ref="CT99">IF($BT99=0, INDEX(LS_current!$D$4:$AY$138, MATCH('Staging Table'!$A99, LS_current!$B$4:$B$138, 0), MATCH(CT$4&amp;CT$5, LS_current!$D$2:$AY$2&amp;LS_current!$D$3:$AY$3, 0)),SUM(VLOOKUP($A99, LS_current!$B$4:$AY$138, LS_current!Y$148, FALSE), VLOOKUP($A99, LS_current!$B$4:$AY$138,LS_current!AW$148, FALSE))/2)</f>
        <v>-1883.3409446685491</v>
      </c>
      <c r="CU99" s="180">
        <f t="array" ref="CU99">IF($BT99=0, INDEX(LS_current!$D$4:$AY$138, MATCH('Staging Table'!$A99, LS_current!$B$4:$B$138, 0), MATCH(CU$4&amp;CU$5, LS_current!$D$2:$AY$2&amp;LS_current!$D$3:$AY$3, 0)),SUM(VLOOKUP($A99, LS_current!$B$4:$AY$138, LS_current!Z$148, FALSE), VLOOKUP($A99, LS_current!$B$4:$AY$138,LS_current!AX$148, FALSE))/2)</f>
        <v>-2074.4625431820004</v>
      </c>
      <c r="CV99" s="180">
        <f t="array" ref="CV99">IF($BT99=0, INDEX(LS_current!$D$4:$AY$138, MATCH('Staging Table'!$A99, LS_current!$B$4:$B$138, 0), MATCH(CV$4&amp;CV$5, LS_current!$D$2:$AY$2&amp;LS_current!$D$3:$AY$3, 0)),SUM(VLOOKUP($A99, LS_current!$B$4:$AY$138, LS_current!AA$148, FALSE), VLOOKUP($A99, LS_current!$B$4:$AY$138,LS_current!AY$148, FALSE))/2)</f>
        <v>-1090.9513018719999</v>
      </c>
      <c r="CW99" s="182">
        <f t="array" ref="CW99">INDEX(Demand_current!$D$4:$AY$138, MATCH($A99, Demand_current!$B$4:$B$138, 0), MATCH(CW$4&amp;CW$5,Demand_current!$D$2:$AY$2&amp;Demand_current!$D$3:$AY$3, 0))/1000</f>
        <v>4.5644831730769226</v>
      </c>
      <c r="CX99" s="182">
        <f t="array" ref="CX99">INDEX(Demand_current!$D$4:$AY$138, MATCH($A99, Demand_current!$B$4:$B$138, 0), MATCH(CX$4&amp;CX$5,Demand_current!$D$2:$AY$2&amp;Demand_current!$D$3:$AY$3, 0))/1000</f>
        <v>1.3941650000000045</v>
      </c>
      <c r="CY99" s="182">
        <f t="array" ref="CY99">INDEX(Demand_current!$D$4:$AY$138, MATCH($A99, Demand_current!$B$4:$B$138, 0), MATCH(CY$4&amp;CY$5,Demand_current!$D$2:$AY$2&amp;Demand_current!$D$3:$AY$3, 0))/1000</f>
        <v>9.5561999999999969</v>
      </c>
      <c r="CZ99" s="182">
        <f t="array" ref="CZ99">INDEX(Demand_current!$D$4:$AY$138, MATCH($A99, Demand_current!$B$4:$B$138, 0), MATCH(CZ$4&amp;CZ$5,Demand_current!$D$2:$AY$2&amp;Demand_current!$D$3:$AY$3, 0))/1000</f>
        <v>12.266653846153854</v>
      </c>
      <c r="DA99" s="182">
        <f t="array" ref="DA99">INDEX(Demand_current!$D$4:$AY$138, MATCH($A99, Demand_current!$B$4:$B$138, 0), MATCH(DA$4&amp;DA$5,Demand_current!$D$2:$AY$2&amp;Demand_current!$D$3:$AY$3, 0))/1000</f>
        <v>8.2854875000000057</v>
      </c>
      <c r="DB99" s="182">
        <f t="array" ref="DB99">INDEX(Demand_current!$D$4:$AY$138, MATCH($A99, Demand_current!$B$4:$B$138, 0), MATCH(DB$4&amp;DB$5,Demand_current!$D$2:$AY$2&amp;Demand_current!$D$3:$AY$3, 0))/1000</f>
        <v>14.508454326923088</v>
      </c>
      <c r="DC99" s="182">
        <f t="array" ref="DC99">INDEX(Demand_current!$D$4:$AY$138, MATCH($A99, Demand_current!$B$4:$B$138, 0), MATCH(DC$4&amp;DC$5,Demand_current!$D$2:$AY$2&amp;Demand_current!$D$3:$AY$3, 0))/1000</f>
        <v>8.8502548076923073</v>
      </c>
      <c r="DD99" s="182">
        <f t="array" ref="DD99">INDEX(Demand_current!$D$4:$AY$138, MATCH($A99, Demand_current!$B$4:$B$138, 0), MATCH(DD$4&amp;DD$5,Demand_current!$D$2:$AY$2&amp;Demand_current!$D$3:$AY$3, 0))/1000</f>
        <v>6.3328341346153874</v>
      </c>
      <c r="DE99" s="182">
        <f t="array" ref="DE99">INDEX(Demand_current!$D$4:$AY$138, MATCH($A99, Demand_current!$B$4:$B$138, 0), MATCH(DE$4&amp;DE$5,Demand_current!$D$2:$AY$2&amp;Demand_current!$D$3:$AY$3, 0))/1000</f>
        <v>3.9119275000000027</v>
      </c>
      <c r="DF99" s="182">
        <f t="array" ref="DF99">INDEX(Demand_current!$D$4:$AY$138, MATCH($A99, Demand_current!$B$4:$B$138, 0), MATCH(DF$4&amp;DF$5,Demand_current!$D$2:$AY$2&amp;Demand_current!$D$3:$AY$3, 0))/1000</f>
        <v>2.0797259615384602</v>
      </c>
      <c r="DG99" s="182">
        <f t="array" ref="DG99">INDEX(Demand_current!$D$4:$AY$138, MATCH($A99, Demand_current!$B$4:$B$138, 0), MATCH(DG$4&amp;DG$5,Demand_current!$D$2:$AY$2&amp;Demand_current!$D$3:$AY$3, 0))/1000</f>
        <v>1.8707939814814796</v>
      </c>
      <c r="DH99" s="182">
        <f t="array" ref="DH99">INDEX(Demand_current!$D$4:$AY$138, MATCH($A99, Demand_current!$B$4:$B$138, 0), MATCH(DH$4&amp;DH$5,Demand_current!$D$2:$AY$2&amp;Demand_current!$D$3:$AY$3, 0))/1000</f>
        <v>3.2207786458333327</v>
      </c>
      <c r="DI99" s="180">
        <f>$BS99*(VLOOKUP(DI$4, Rates_current!$G$6:$Q$29, 10, FALSE)+VLOOKUP(DI$4, Rates_current!$G$6:$Q$29, 11, FALSE))</f>
        <v>21697.307745394501</v>
      </c>
      <c r="DJ99" s="180">
        <f>$BS99*(VLOOKUP(DJ$4, Rates_current!$G$6:$Q$29, 10, FALSE)+VLOOKUP(DJ$4, Rates_current!$G$6:$Q$29, 11, FALSE))</f>
        <v>27671.222127137004</v>
      </c>
      <c r="DK99" s="180">
        <f>$BS99*(VLOOKUP(DK$4, Rates_current!$G$6:$Q$29, 10, FALSE)+VLOOKUP(DK$4, Rates_current!$G$6:$Q$29, 11, FALSE))</f>
        <v>29862.723734205003</v>
      </c>
      <c r="DL99" s="180">
        <f>$BS99*(VLOOKUP(DL$4, Rates_current!$G$6:$Q$29, 10, FALSE)+VLOOKUP(DL$4, Rates_current!$G$6:$Q$29, 11, FALSE))</f>
        <v>31031.986373391999</v>
      </c>
      <c r="DM99" s="180">
        <f>$BS99*(VLOOKUP(DM$4, Rates_current!$G$6:$Q$29, 10, FALSE)+VLOOKUP(DM$4, Rates_current!$G$6:$Q$29, 11, FALSE))</f>
        <v>26691.644580833996</v>
      </c>
      <c r="DN99" s="180">
        <f>$BS99*(VLOOKUP(DN$4, Rates_current!$G$6:$Q$29, 10, FALSE)+VLOOKUP(DN$4, Rates_current!$G$6:$Q$29, 11, FALSE))</f>
        <v>29141.991202412999</v>
      </c>
      <c r="DO99" s="180">
        <f>$BS99*(VLOOKUP(DO$4, Rates_current!$G$6:$Q$29, 10, FALSE)+VLOOKUP(DO$4, Rates_current!$G$6:$Q$29, 11, FALSE))</f>
        <v>23002.691033462746</v>
      </c>
      <c r="DP99" s="180">
        <f>$BS99*(VLOOKUP(DP$4, Rates_current!$G$6:$Q$29, 10, FALSE)+VLOOKUP(DP$4, Rates_current!$G$6:$Q$29, 11, FALSE))</f>
        <v>28537.920731429502</v>
      </c>
      <c r="DQ99" s="180">
        <f>$BS99*(VLOOKUP(DQ$4, Rates_current!$G$6:$Q$29, 10, FALSE)+VLOOKUP(DQ$4, Rates_current!$G$6:$Q$29, 11, FALSE))</f>
        <v>29157.122368711498</v>
      </c>
      <c r="DR99" s="180">
        <f>$BS99*(VLOOKUP(DR$4, Rates_current!$G$6:$Q$29, 10, FALSE)+VLOOKUP(DR$4, Rates_current!$G$6:$Q$29, 11, FALSE))</f>
        <v>25312.5828354845</v>
      </c>
      <c r="DS99" s="180">
        <f>$BS99*(VLOOKUP(DS$4, Rates_current!$G$6:$Q$29, 10, FALSE)+VLOOKUP(DS$4, Rates_current!$G$6:$Q$29, 11, FALSE))</f>
        <v>24470.539296693052</v>
      </c>
      <c r="DT99" s="180">
        <f>$BS99*(VLOOKUP(DT$4, Rates_current!$G$6:$Q$29, 10, FALSE)+VLOOKUP(DT$4, Rates_current!$G$6:$Q$29, 11, FALSE))</f>
        <v>22517.634845054003</v>
      </c>
      <c r="DU99" s="402">
        <f>IF(D99=0,IF(C99=0,MAX(0,DW99 - (VLOOKUP($A99,TOCA_current!$A$2:$AI$137,MATCH("RHWM 2024",TOCA_current!$A$2:$AI$2,0),FALSE)*$BS$2)), 0),0)</f>
        <v>4043.9604626692599</v>
      </c>
      <c r="DV99" s="403">
        <f>MIN(VLOOKUP($A99,TOCA_current!$A$2:$AI$137,MATCH("TRL - NLSL - Existing Resource "&amp;$BS$1,TOCA_current!$A$2:$AI$2,0),FALSE)*$BS$2, VLOOKUP($A99,TOCA_current!$A$2:$AI$137,MATCH("RHWM 2024",TOCA_current!$A$2:$AI$2,0),FALSE)*$BS$2)</f>
        <v>319096.36799999996</v>
      </c>
      <c r="DW99" s="403">
        <f>SUM(BY99:CV99)+(BS99*RT1SC!$C$4*$BS$2)</f>
        <v>323140.32846266922</v>
      </c>
      <c r="DX99" s="403">
        <f>VLOOKUP($A99,TOCA_current!$A$2:$AI$137,MATCH("Above RHWM Not Served with LS "&amp;$BS$1,TOCA_current!$A$2:$AI$2,0),FALSE)*$BS$2</f>
        <v>0</v>
      </c>
      <c r="DY99" s="403">
        <f t="shared" si="32"/>
        <v>4043.9604626692599</v>
      </c>
      <c r="DZ99" s="403">
        <f>(VLOOKUP($A99,TOCA_current!$A$2:$AI$137,MATCH("RHWM 2024",TOCA_current!$A$2:$AI$2,0),FALSE)*$BS$2) - $DV99</f>
        <v>0</v>
      </c>
      <c r="EA99" s="403">
        <f t="shared" si="33"/>
        <v>0</v>
      </c>
      <c r="EB99" s="403">
        <f t="shared" si="34"/>
        <v>0</v>
      </c>
      <c r="EC99" s="403">
        <f t="shared" si="35"/>
        <v>0</v>
      </c>
      <c r="ED99" s="403">
        <f t="shared" si="36"/>
        <v>0</v>
      </c>
    </row>
    <row r="100" spans="1:134">
      <c r="A100" s="123">
        <v>10304</v>
      </c>
      <c r="B100" s="124" t="s">
        <v>101</v>
      </c>
      <c r="C100" s="232">
        <f>VLOOKUP(A100, TOCA_current!$A$3:$D$137, 4, FALSE)</f>
        <v>0</v>
      </c>
      <c r="D100" s="191">
        <v>0</v>
      </c>
      <c r="E100" s="107">
        <f>VLOOKUP($A100,TOCA_previous!$A$2:$AI$137,MATCH(E$4,TOCA_previous!$A$2:$AI$2,0),FALSE)</f>
        <v>1.9870999999999999E-3</v>
      </c>
      <c r="F100" s="108">
        <f>VLOOKUP($A100,TOCA_previous!$A$2:$AI$137,MATCH(F$4,TOCA_previous!$A$2:$AI$2,0),FALSE)</f>
        <v>1.9870999999999999E-3</v>
      </c>
      <c r="G100" s="108">
        <f t="shared" si="24"/>
        <v>0</v>
      </c>
      <c r="H100" s="108">
        <f>VLOOKUP($A100,TOCA_previous!$A$2:$AI$137,MATCH(H$4,TOCA_previous!$A$2:$AI$2,0),FALSE)</f>
        <v>0</v>
      </c>
      <c r="I100" s="108">
        <f t="shared" si="25"/>
        <v>0</v>
      </c>
      <c r="J100" s="108">
        <f t="shared" si="26"/>
        <v>0</v>
      </c>
      <c r="K100" s="179">
        <f>VLOOKUP(A100, IRD!$A$5:$C$139, 3, FALSE)</f>
        <v>0</v>
      </c>
      <c r="L100" s="180">
        <f t="array" ref="L100">IF($G100=0, INDEX(LS_previous!$D$4:$AY$138, MATCH('Staging Table'!$A100, LS_previous!$B$4:$B$138, 0), MATCH(L$4&amp;L$5, LS_previous!$D$2:$AY$2&amp;LS_previous!$D$3:$AY$3, 0)),SUM(VLOOKUP($A100, LS_previous!$B$4:$AY$138, LS_previous!D$149, FALSE), VLOOKUP('Staging Table'!$A100, LS_previous!$B$4:$AY$138,LS_previous!AB$149, FALSE))/2)</f>
        <v>-22.143334658490858</v>
      </c>
      <c r="M100" s="180">
        <f t="array" ref="M100">IF($G100=0, INDEX(LS_previous!$D$4:$AY$138, MATCH('Staging Table'!$A100, LS_previous!$B$4:$B$138, 0), MATCH(M$4&amp;M$5, LS_previous!$D$2:$AY$2&amp;LS_previous!$D$3:$AY$3, 0)),SUM(VLOOKUP($A100, LS_previous!$B$4:$AY$138, LS_previous!E$149, FALSE), VLOOKUP('Staging Table'!$A100, LS_previous!$B$4:$AY$138,LS_previous!AC$149, FALSE))/2)</f>
        <v>315.33611816033454</v>
      </c>
      <c r="N100" s="180">
        <f t="array" ref="N100">IF($G100=0, INDEX(LS_previous!$D$4:$AY$138, MATCH('Staging Table'!$A100, LS_previous!$B$4:$B$138, 0), MATCH(N$4&amp;N$5, LS_previous!$D$2:$AY$2&amp;LS_previous!$D$3:$AY$3, 0)),SUM(VLOOKUP($A100, LS_previous!$B$4:$AY$138, LS_previous!F$149, FALSE), VLOOKUP('Staging Table'!$A100, LS_previous!$B$4:$AY$138,LS_previous!AD$149, FALSE))/2)</f>
        <v>-198.438848410834</v>
      </c>
      <c r="O100" s="180">
        <f t="array" ref="O100">IF($G100=0, INDEX(LS_previous!$D$4:$AY$138, MATCH('Staging Table'!$A100, LS_previous!$B$4:$B$138, 0), MATCH(O$4&amp;O$5, LS_previous!$D$2:$AY$2&amp;LS_previous!$D$3:$AY$3, 0)),SUM(VLOOKUP($A100, LS_previous!$B$4:$AY$138, LS_previous!G$149, FALSE), VLOOKUP('Staging Table'!$A100, LS_previous!$B$4:$AY$138,LS_previous!AE$149, FALSE))/2)</f>
        <v>238.51676176853107</v>
      </c>
      <c r="P100" s="180">
        <f t="array" ref="P100">IF($G100=0, INDEX(LS_previous!$D$4:$AY$138, MATCH('Staging Table'!$A100, LS_previous!$B$4:$B$138, 0), MATCH(P$4&amp;P$5, LS_previous!$D$2:$AY$2&amp;LS_previous!$D$3:$AY$3, 0)),SUM(VLOOKUP($A100, LS_previous!$B$4:$AY$138, LS_previous!H$149, FALSE), VLOOKUP('Staging Table'!$A100, LS_previous!$B$4:$AY$138,LS_previous!AF$149, FALSE))/2)</f>
        <v>1327.7524869332528</v>
      </c>
      <c r="Q100" s="180">
        <f t="array" ref="Q100">IF($G100=0, INDEX(LS_previous!$D$4:$AY$138, MATCH('Staging Table'!$A100, LS_previous!$B$4:$B$138, 0), MATCH(Q$4&amp;Q$5, LS_previous!$D$2:$AY$2&amp;LS_previous!$D$3:$AY$3, 0)),SUM(VLOOKUP($A100, LS_previous!$B$4:$AY$138, LS_previous!I$149, FALSE), VLOOKUP('Staging Table'!$A100, LS_previous!$B$4:$AY$138,LS_previous!AG$149, FALSE))/2)</f>
        <v>598.63259627438674</v>
      </c>
      <c r="R100" s="180">
        <f t="array" ref="R100">IF($G100=0, INDEX(LS_previous!$D$4:$AY$138, MATCH('Staging Table'!$A100, LS_previous!$B$4:$B$138, 0), MATCH(R$4&amp;R$5, LS_previous!$D$2:$AY$2&amp;LS_previous!$D$3:$AY$3, 0)),SUM(VLOOKUP($A100, LS_previous!$B$4:$AY$138, LS_previous!J$149, FALSE), VLOOKUP('Staging Table'!$A100, LS_previous!$B$4:$AY$138,LS_previous!AH$149, FALSE))/2)</f>
        <v>2733.2359280501123</v>
      </c>
      <c r="S100" s="180">
        <f t="array" ref="S100">IF($G100=0, INDEX(LS_previous!$D$4:$AY$138, MATCH('Staging Table'!$A100, LS_previous!$B$4:$B$138, 0), MATCH(S$4&amp;S$5, LS_previous!$D$2:$AY$2&amp;LS_previous!$D$3:$AY$3, 0)),SUM(VLOOKUP($A100, LS_previous!$B$4:$AY$138, LS_previous!K$149, FALSE), VLOOKUP('Staging Table'!$A100, LS_previous!$B$4:$AY$138,LS_previous!AI$149, FALSE))/2)</f>
        <v>1479.3985300084282</v>
      </c>
      <c r="T100" s="180">
        <f t="array" ref="T100">IF($G100=0, INDEX(LS_previous!$D$4:$AY$138, MATCH('Staging Table'!$A100, LS_previous!$B$4:$B$138, 0), MATCH(T$4&amp;T$5, LS_previous!$D$2:$AY$2&amp;LS_previous!$D$3:$AY$3, 0)),SUM(VLOOKUP($A100, LS_previous!$B$4:$AY$138, LS_previous!L$149, FALSE), VLOOKUP('Staging Table'!$A100, LS_previous!$B$4:$AY$138,LS_previous!AJ$149, FALSE))/2)</f>
        <v>2547.7200592434547</v>
      </c>
      <c r="U100" s="180">
        <f t="array" ref="U100">IF($G100=0, INDEX(LS_previous!$D$4:$AY$138, MATCH('Staging Table'!$A100, LS_previous!$B$4:$B$138, 0), MATCH(U$4&amp;U$5, LS_previous!$D$2:$AY$2&amp;LS_previous!$D$3:$AY$3, 0)),SUM(VLOOKUP($A100, LS_previous!$B$4:$AY$138, LS_previous!M$149, FALSE), VLOOKUP('Staging Table'!$A100, LS_previous!$B$4:$AY$138,LS_previous!AK$149, FALSE))/2)</f>
        <v>1377.3312099082982</v>
      </c>
      <c r="V100" s="180">
        <f t="array" ref="V100">IF($G100=0, INDEX(LS_previous!$D$4:$AY$138, MATCH('Staging Table'!$A100, LS_previous!$B$4:$B$138, 0), MATCH(V$4&amp;V$5, LS_previous!$D$2:$AY$2&amp;LS_previous!$D$3:$AY$3, 0)),SUM(VLOOKUP($A100, LS_previous!$B$4:$AY$138, LS_previous!N$149, FALSE), VLOOKUP('Staging Table'!$A100, LS_previous!$B$4:$AY$138,LS_previous!AL$149, FALSE))/2)</f>
        <v>1039.4262237189196</v>
      </c>
      <c r="W100" s="180">
        <f t="array" ref="W100">IF($G100=0, INDEX(LS_previous!$D$4:$AY$138, MATCH('Staging Table'!$A100, LS_previous!$B$4:$B$138, 0), MATCH(W$4&amp;W$5, LS_previous!$D$2:$AY$2&amp;LS_previous!$D$3:$AY$3, 0)),SUM(VLOOKUP($A100, LS_previous!$B$4:$AY$138, LS_previous!O$149, FALSE), VLOOKUP('Staging Table'!$A100, LS_previous!$B$4:$AY$138,LS_previous!AM$149, FALSE))/2)</f>
        <v>661.19169980335164</v>
      </c>
      <c r="X100" s="180">
        <f t="array" ref="X100">IF($G100=0, INDEX(LS_previous!$D$4:$AY$138, MATCH('Staging Table'!$A100, LS_previous!$B$4:$B$138, 0), MATCH(X$4&amp;X$5, LS_previous!$D$2:$AY$2&amp;LS_previous!$D$3:$AY$3, 0)),SUM(VLOOKUP($A100, LS_previous!$B$4:$AY$138, LS_previous!P$149, FALSE), VLOOKUP('Staging Table'!$A100, LS_previous!$B$4:$AY$138,LS_previous!AN$149, FALSE))/2)</f>
        <v>1147.5000808363993</v>
      </c>
      <c r="Y100" s="180">
        <f t="array" ref="Y100">IF($G100=0, INDEX(LS_previous!$D$4:$AY$138, MATCH('Staging Table'!$A100, LS_previous!$B$4:$B$138, 0), MATCH(Y$4&amp;Y$5, LS_previous!$D$2:$AY$2&amp;LS_previous!$D$3:$AY$3, 0)),SUM(VLOOKUP($A100, LS_previous!$B$4:$AY$138, LS_previous!Q$149, FALSE), VLOOKUP('Staging Table'!$A100, LS_previous!$B$4:$AY$138,LS_previous!AO$149, FALSE))/2)</f>
        <v>807.72430404146371</v>
      </c>
      <c r="Z100" s="180">
        <f t="array" ref="Z100">IF($G100=0, INDEX(LS_previous!$D$4:$AY$138, MATCH('Staging Table'!$A100, LS_previous!$B$4:$B$138, 0), MATCH(Z$4&amp;Z$5, LS_previous!$D$2:$AY$2&amp;LS_previous!$D$3:$AY$3, 0)),SUM(VLOOKUP($A100, LS_previous!$B$4:$AY$138, LS_previous!R$149, FALSE), VLOOKUP('Staging Table'!$A100, LS_previous!$B$4:$AY$138,LS_previous!AP$149, FALSE))/2)</f>
        <v>-2245.5026934627294</v>
      </c>
      <c r="AA100" s="180">
        <f t="array" ref="AA100">IF($G100=0, INDEX(LS_previous!$D$4:$AY$138, MATCH('Staging Table'!$A100, LS_previous!$B$4:$B$138, 0), MATCH(AA$4&amp;AA$5, LS_previous!$D$2:$AY$2&amp;LS_previous!$D$3:$AY$3, 0)),SUM(VLOOKUP($A100, LS_previous!$B$4:$AY$138, LS_previous!S$149, FALSE), VLOOKUP('Staging Table'!$A100, LS_previous!$B$4:$AY$138,LS_previous!AQ$149, FALSE))/2)</f>
        <v>-219.26349515830452</v>
      </c>
      <c r="AB100" s="180">
        <f t="array" ref="AB100">IF($G100=0, INDEX(LS_previous!$D$4:$AY$138, MATCH('Staging Table'!$A100, LS_previous!$B$4:$B$138, 0), MATCH(AB$4&amp;AB$5, LS_previous!$D$2:$AY$2&amp;LS_previous!$D$3:$AY$3, 0)),SUM(VLOOKUP($A100, LS_previous!$B$4:$AY$138, LS_previous!T$149, FALSE), VLOOKUP('Staging Table'!$A100, LS_previous!$B$4:$AY$138,LS_previous!AR$149, FALSE))/2)</f>
        <v>-3264.7269912653192</v>
      </c>
      <c r="AC100" s="180">
        <f t="array" ref="AC100">IF($G100=0, INDEX(LS_previous!$D$4:$AY$138, MATCH('Staging Table'!$A100, LS_previous!$B$4:$B$138, 0), MATCH(AC$4&amp;AC$5, LS_previous!$D$2:$AY$2&amp;LS_previous!$D$3:$AY$3, 0)),SUM(VLOOKUP($A100, LS_previous!$B$4:$AY$138, LS_previous!U$149, FALSE), VLOOKUP('Staging Table'!$A100, LS_previous!$B$4:$AY$138,LS_previous!AS$149, FALSE))/2)</f>
        <v>-367.47426675720681</v>
      </c>
      <c r="AD100" s="180">
        <f t="array" ref="AD100">IF($G100=0, INDEX(LS_previous!$D$4:$AY$138, MATCH('Staging Table'!$A100, LS_previous!$B$4:$B$138, 0), MATCH(AD$4&amp;AD$5, LS_previous!$D$2:$AY$2&amp;LS_previous!$D$3:$AY$3, 0)),SUM(VLOOKUP($A100, LS_previous!$B$4:$AY$138, LS_previous!V$149, FALSE), VLOOKUP('Staging Table'!$A100, LS_previous!$B$4:$AY$138,LS_previous!AT$149, FALSE))/2)</f>
        <v>-2528.7477430649351</v>
      </c>
      <c r="AE100" s="180">
        <f t="array" ref="AE100">IF($G100=0, INDEX(LS_previous!$D$4:$AY$138, MATCH('Staging Table'!$A100, LS_previous!$B$4:$B$138, 0), MATCH(AE$4&amp;AE$5, LS_previous!$D$2:$AY$2&amp;LS_previous!$D$3:$AY$3, 0)),SUM(VLOOKUP($A100, LS_previous!$B$4:$AY$138, LS_previous!W$149, FALSE), VLOOKUP('Staging Table'!$A100, LS_previous!$B$4:$AY$138,LS_previous!AU$149, FALSE))/2)</f>
        <v>-495.0130348732564</v>
      </c>
      <c r="AF100" s="180">
        <f t="array" ref="AF100">IF($G100=0, INDEX(LS_previous!$D$4:$AY$138, MATCH('Staging Table'!$A100, LS_previous!$B$4:$B$138, 0), MATCH(AF$4&amp;AF$5, LS_previous!$D$2:$AY$2&amp;LS_previous!$D$3:$AY$3, 0)),SUM(VLOOKUP($A100, LS_previous!$B$4:$AY$138, LS_previous!X$149, FALSE), VLOOKUP('Staging Table'!$A100, LS_previous!$B$4:$AY$138,LS_previous!AV$149, FALSE))/2)</f>
        <v>-2162.9574643063397</v>
      </c>
      <c r="AG100" s="180">
        <f t="array" ref="AG100">IF($G100=0, INDEX(LS_previous!$D$4:$AY$138, MATCH('Staging Table'!$A100, LS_previous!$B$4:$B$138, 0), MATCH(AG$4&amp;AG$5, LS_previous!$D$2:$AY$2&amp;LS_previous!$D$3:$AY$3, 0)),SUM(VLOOKUP($A100, LS_previous!$B$4:$AY$138, LS_previous!Y$149, FALSE), VLOOKUP('Staging Table'!$A100, LS_previous!$B$4:$AY$138,LS_previous!AW$149, FALSE))/2)</f>
        <v>-491.82966998836673</v>
      </c>
      <c r="AH100" s="180">
        <f t="array" ref="AH100">IF($G100=0, INDEX(LS_previous!$D$4:$AY$138, MATCH('Staging Table'!$A100, LS_previous!$B$4:$B$138, 0), MATCH(AH$4&amp;AH$5, LS_previous!$D$2:$AY$2&amp;LS_previous!$D$3:$AY$3, 0)),SUM(VLOOKUP($A100, LS_previous!$B$4:$AY$138, LS_previous!Z$149, FALSE), VLOOKUP('Staging Table'!$A100, LS_previous!$B$4:$AY$138,LS_previous!AX$149, FALSE))/2)</f>
        <v>-1337.5240511412321</v>
      </c>
      <c r="AI100" s="180">
        <f t="array" ref="AI100">IF($G100=0, INDEX(LS_previous!$D$4:$AY$138, MATCH('Staging Table'!$A100, LS_previous!$B$4:$B$138, 0), MATCH(AI$4&amp;AI$5, LS_previous!$D$2:$AY$2&amp;LS_previous!$D$3:$AY$3, 0)),SUM(VLOOKUP($A100, LS_previous!$B$4:$AY$138, LS_previous!AA$149, FALSE), VLOOKUP('Staging Table'!$A100, LS_previous!$B$4:$AY$138,LS_previous!AY$149, FALSE))/2)</f>
        <v>-371.08257487939682</v>
      </c>
      <c r="AJ100" s="298">
        <f t="array" ref="AJ100">INDEX(Demand_previous!$D$4:$AY$138, MATCH('Staging Table'!$A100, Demand_previous!$B$4:$B$138, 0), MATCH(AJ$4&amp;AJ$5,Demand_previous!$D$2:$AY$2&amp;Demand_previous!$D$3:$AY$3, 0))/1000</f>
        <v>0</v>
      </c>
      <c r="AK100" s="298">
        <f t="array" ref="AK100">INDEX(Demand_previous!$D$4:$AY$138, MATCH('Staging Table'!$A100, Demand_previous!$B$4:$B$138, 0), MATCH(AK$4&amp;AK$5,Demand_previous!$D$2:$AY$2&amp;Demand_previous!$D$3:$AY$3, 0))/1000</f>
        <v>0.34747000000000039</v>
      </c>
      <c r="AL100" s="298">
        <f t="array" ref="AL100">INDEX(Demand_previous!$D$4:$AY$138, MATCH('Staging Table'!$A100, Demand_previous!$B$4:$B$138, 0), MATCH(AL$4&amp;AL$5,Demand_previous!$D$2:$AY$2&amp;Demand_previous!$D$3:$AY$3, 0))/1000</f>
        <v>4.220870192307693</v>
      </c>
      <c r="AM100" s="298">
        <f t="array" ref="AM100">INDEX(Demand_previous!$D$4:$AY$138, MATCH('Staging Table'!$A100, Demand_previous!$B$4:$B$138, 0), MATCH(AM$4&amp;AM$5,Demand_previous!$D$2:$AY$2&amp;Demand_previous!$D$3:$AY$3, 0))/1000</f>
        <v>2.4125249999999983</v>
      </c>
      <c r="AN100" s="298">
        <f t="array" ref="AN100">INDEX(Demand_previous!$D$4:$AY$138, MATCH('Staging Table'!$A100, Demand_previous!$B$4:$B$138, 0), MATCH(AN$4&amp;AN$5,Demand_previous!$D$2:$AY$2&amp;Demand_previous!$D$3:$AY$3, 0))/1000</f>
        <v>1.3848020833333337</v>
      </c>
      <c r="AO100" s="298">
        <f t="array" ref="AO100">INDEX(Demand_previous!$D$4:$AY$138, MATCH('Staging Table'!$A100, Demand_previous!$B$4:$B$138, 0), MATCH(AO$4&amp;AO$5,Demand_previous!$D$2:$AY$2&amp;Demand_previous!$D$3:$AY$3, 0))/1000</f>
        <v>0.12014583333333206</v>
      </c>
      <c r="AP100" s="298">
        <f t="array" ref="AP100">INDEX(Demand_previous!$D$4:$AY$138, MATCH('Staging Table'!$A100, Demand_previous!$B$4:$B$138, 0), MATCH(AP$4&amp;AP$5,Demand_previous!$D$2:$AY$2&amp;Demand_previous!$D$3:$AY$3, 0))/1000</f>
        <v>1.001281249999999</v>
      </c>
      <c r="AQ100" s="298">
        <f t="array" ref="AQ100">INDEX(Demand_previous!$D$4:$AY$138, MATCH('Staging Table'!$A100, Demand_previous!$B$4:$B$138, 0), MATCH(AQ$4&amp;AQ$5,Demand_previous!$D$2:$AY$2&amp;Demand_previous!$D$3:$AY$3, 0))/1000</f>
        <v>1.7549449999999998</v>
      </c>
      <c r="AR100" s="298">
        <f t="array" ref="AR100">INDEX(Demand_previous!$D$4:$AY$138, MATCH('Staging Table'!$A100, Demand_previous!$B$4:$B$138, 0), MATCH(AR$4&amp;AR$5,Demand_previous!$D$2:$AY$2&amp;Demand_previous!$D$3:$AY$3, 0))/1000</f>
        <v>2.2719951923076929</v>
      </c>
      <c r="AS100" s="298">
        <f t="array" ref="AS100">INDEX(Demand_previous!$D$4:$AY$138, MATCH('Staging Table'!$A100, Demand_previous!$B$4:$B$138, 0), MATCH(AS$4&amp;AS$5,Demand_previous!$D$2:$AY$2&amp;Demand_previous!$D$3:$AY$3, 0))/1000</f>
        <v>1.1052199999999985</v>
      </c>
      <c r="AT100" s="298">
        <f t="array" ref="AT100">INDEX(Demand_previous!$D$4:$AY$138, MATCH('Staging Table'!$A100, Demand_previous!$B$4:$B$138, 0), MATCH(AT$4&amp;AT$5,Demand_previous!$D$2:$AY$2&amp;Demand_previous!$D$3:$AY$3, 0))/1000</f>
        <v>1.9434467592592604</v>
      </c>
      <c r="AU100" s="298">
        <f t="array" ref="AU100">INDEX(Demand_previous!$D$4:$AY$138, MATCH('Staging Table'!$A100, Demand_previous!$B$4:$B$138, 0), MATCH(AU$4&amp;AU$5,Demand_previous!$D$2:$AY$2&amp;Demand_previous!$D$3:$AY$3, 0))/1000</f>
        <v>2.7361250000000004</v>
      </c>
      <c r="AV100" s="180">
        <f>$F100*(VLOOKUP(AV$4, Rates_previous!$G$6:$Q$29, 10, FALSE)+VLOOKUP(AV$4, Rates_previous!$G$6:$Q$29, 11, FALSE))</f>
        <v>9049.1032164981571</v>
      </c>
      <c r="AW100" s="180">
        <f>$F100*(VLOOKUP(AW$4, Rates_previous!$G$6:$Q$29, 10, FALSE)+VLOOKUP(AW$4, Rates_previous!$G$6:$Q$29, 11, FALSE))</f>
        <v>11456.493086642304</v>
      </c>
      <c r="AX100" s="180">
        <f>$F100*(VLOOKUP(AX$4, Rates_previous!$G$6:$Q$29, 10, FALSE)+VLOOKUP(AX$4, Rates_previous!$G$6:$Q$29, 11, FALSE))</f>
        <v>11213.617916792362</v>
      </c>
      <c r="AY100" s="180">
        <f>$F100*(VLOOKUP(AY$4, Rates_previous!$G$6:$Q$29, 10, FALSE)+VLOOKUP(AY$4, Rates_previous!$G$6:$Q$29, 11, FALSE))</f>
        <v>9261.9715419414588</v>
      </c>
      <c r="AZ100" s="180">
        <f>$F100*(VLOOKUP(AZ$4, Rates_previous!$G$6:$Q$29, 10, FALSE)+VLOOKUP(AZ$4, Rates_previous!$G$6:$Q$29, 11, FALSE))</f>
        <v>8027.553730848249</v>
      </c>
      <c r="BA100" s="180">
        <f>$F100*(VLOOKUP(BA$4, Rates_previous!$G$6:$Q$29, 10, FALSE)+VLOOKUP(BA$4, Rates_previous!$G$6:$Q$29, 11, FALSE))</f>
        <v>9583.278076477729</v>
      </c>
      <c r="BB100" s="180">
        <f>$F100*(VLOOKUP(BB$4, Rates_previous!$G$6:$Q$29, 10, FALSE)+VLOOKUP(BB$4, Rates_previous!$G$6:$Q$29, 11, FALSE))</f>
        <v>7440.139615122137</v>
      </c>
      <c r="BC100" s="180">
        <f>$F100*(VLOOKUP(BC$4, Rates_previous!$G$6:$Q$29, 10, FALSE)+VLOOKUP(BC$4, Rates_previous!$G$6:$Q$29, 11, FALSE))</f>
        <v>10308.368188621034</v>
      </c>
      <c r="BD100" s="180">
        <f>$F100*(VLOOKUP(BD$4, Rates_previous!$G$6:$Q$29, 10, FALSE)+VLOOKUP(BD$4, Rates_previous!$G$6:$Q$29, 11, FALSE))</f>
        <v>11014.707258022525</v>
      </c>
      <c r="BE100" s="180">
        <f>$F100*(VLOOKUP(BE$4, Rates_previous!$G$6:$Q$29, 10, FALSE)+VLOOKUP(BE$4, Rates_previous!$G$6:$Q$29, 11, FALSE))</f>
        <v>10457.965777938192</v>
      </c>
      <c r="BF100" s="180">
        <f>$F100*(VLOOKUP(BF$4, Rates_previous!$G$6:$Q$29, 10, FALSE)+VLOOKUP(BF$4, Rates_previous!$G$6:$Q$29, 11, FALSE))</f>
        <v>10106.817134294708</v>
      </c>
      <c r="BG100" s="180">
        <f>$F100*(VLOOKUP(BG$4, Rates_previous!$G$6:$Q$29, 10, FALSE)+VLOOKUP(BG$4, Rates_previous!$G$6:$Q$29, 11, FALSE))</f>
        <v>9339.7526260206287</v>
      </c>
      <c r="BH100" s="298">
        <f>IF($D100=0,IF(C100=0, MAX(BJ100 - (VLOOKUP($A100,TOCA_previous!$A$2:$AI$137,MATCH("RHWM 2022",TOCA_previous!$A$2:$AI$2,0),FALSE)*$F$2*TOCA_previous!C97),0),0), 0)</f>
        <v>269.63599834452907</v>
      </c>
      <c r="BI100" s="192">
        <f>MIN(VLOOKUP($A100,TOCA_previous!$A$2:$AI$137,MATCH("TRL - NLSL - Existing Resource "&amp;$F$1,TOCA_previous!$A$2:$AI$2,0),FALSE)*$F$2,(VLOOKUP($A100,TOCA_previous!$A$2:$AI$137,MATCH("RHWM 2022",TOCA_previous!$A$2:$AI$2,0),FALSE)*$F$2))</f>
        <v>117261.35999999999</v>
      </c>
      <c r="BJ100" s="402">
        <f>SUM(L100:AI100)+(F100*RT1SC!$C$3*$F$2)</f>
        <v>117828.83599834453</v>
      </c>
      <c r="BK100" s="401">
        <f>VLOOKUP($A100,TOCA_previous!$A$2:$AI$137,MATCH("Above RHWM Not Served with LS "&amp;$F$1,TOCA_previous!$A$2:$AI$2,0),FALSE)*$F$2</f>
        <v>0</v>
      </c>
      <c r="BL100" s="402">
        <f t="shared" si="27"/>
        <v>567.47599834454013</v>
      </c>
      <c r="BM100" s="401">
        <f>(VLOOKUP($A100,TOCA_previous!$A$2:$AI$137,MATCH("RHWM 2022",TOCA_previous!$A$2:$AI$2,0),FALSE)*$F$2) - $BI100</f>
        <v>297.84000000001106</v>
      </c>
      <c r="BN100" s="402">
        <f t="shared" si="28"/>
        <v>-297.84000000001106</v>
      </c>
      <c r="BO100" s="401">
        <f t="shared" si="29"/>
        <v>0</v>
      </c>
      <c r="BP100" s="402">
        <f t="shared" si="30"/>
        <v>0</v>
      </c>
      <c r="BQ100" s="401">
        <f t="shared" si="21"/>
        <v>-297.84000000001106</v>
      </c>
      <c r="BR100" s="108">
        <f>VLOOKUP($A100,TOCA_current!$A$2:$AI$137,MATCH(BR$4,TOCA_current!$A$2:$AI$2,0),FALSE)</f>
        <v>1.8990999999999999E-3</v>
      </c>
      <c r="BS100" s="108">
        <f>VLOOKUP($A100,TOCA_current!$A$2:$AI$137,MATCH(BS$4,TOCA_current!$A$2:$AI$2,0),FALSE)</f>
        <v>1.8990999999999999E-3</v>
      </c>
      <c r="BT100" s="189">
        <f t="shared" si="31"/>
        <v>0</v>
      </c>
      <c r="BU100" s="108">
        <f>VLOOKUP($A100,TOCA_current!A96:BG231,MATCH(BU$4,TOCA_current!$A$2:$BG$2,0),FALSE)</f>
        <v>0</v>
      </c>
      <c r="BV100" s="108">
        <f t="shared" si="22"/>
        <v>0</v>
      </c>
      <c r="BW100" s="108">
        <f t="shared" si="23"/>
        <v>0</v>
      </c>
      <c r="BX100" s="179">
        <f>VLOOKUP($A100,IRD!$A$4:$G$139, 7, FALSE)</f>
        <v>0</v>
      </c>
      <c r="BY100" s="180">
        <f t="array" ref="BY100">IF($BT100=0, INDEX(LS_current!$D$4:$AY$138, MATCH('Staging Table'!$A100, LS_current!$B$4:$B$138, 0), MATCH(BY$4&amp;BY$5, LS_current!$D$2:$AY$2&amp;LS_current!$D$3:$AY$3, 0)),SUM(VLOOKUP($A100, LS_current!$B$4:$AY$138, LS_current!D$148, FALSE), VLOOKUP($A100, LS_current!$B$4:$AY$138,LS_current!AB$148, FALSE))/2)</f>
        <v>934.41253123239949</v>
      </c>
      <c r="BZ100" s="180">
        <f t="array" ref="BZ100">IF($BT100=0, INDEX(LS_current!$D$4:$AY$138, MATCH('Staging Table'!$A100, LS_current!$B$4:$B$138, 0), MATCH(BZ$4&amp;BZ$5, LS_current!$D$2:$AY$2&amp;LS_current!$D$3:$AY$3, 0)),SUM(VLOOKUP($A100, LS_current!$B$4:$AY$138, LS_current!E$148, FALSE), VLOOKUP($A100, LS_current!$B$4:$AY$138,LS_current!AC$148, FALSE))/2)</f>
        <v>395.95324530295011</v>
      </c>
      <c r="CA100" s="180">
        <f t="array" ref="CA100">IF($BT100=0, INDEX(LS_current!$D$4:$AY$138, MATCH('Staging Table'!$A100, LS_current!$B$4:$B$138, 0), MATCH(CA$4&amp;CA$5, LS_current!$D$2:$AY$2&amp;LS_current!$D$3:$AY$3, 0)),SUM(VLOOKUP($A100, LS_current!$B$4:$AY$138, LS_current!F$148, FALSE), VLOOKUP($A100, LS_current!$B$4:$AY$138,LS_current!AD$148, FALSE))/2)</f>
        <v>632.22411539519999</v>
      </c>
      <c r="CB100" s="180">
        <f t="array" ref="CB100">IF($BT100=0, INDEX(LS_current!$D$4:$AY$138, MATCH('Staging Table'!$A100, LS_current!$B$4:$B$138, 0), MATCH(CB$4&amp;CB$5, LS_current!$D$2:$AY$2&amp;LS_current!$D$3:$AY$3, 0)),SUM(VLOOKUP($A100, LS_current!$B$4:$AY$138, LS_current!G$148, FALSE), VLOOKUP($A100, LS_current!$B$4:$AY$138,LS_current!AE$148, FALSE))/2)</f>
        <v>646.49389186789995</v>
      </c>
      <c r="CC100" s="180">
        <f t="array" ref="CC100">IF($BT100=0, INDEX(LS_current!$D$4:$AY$138, MATCH('Staging Table'!$A100, LS_current!$B$4:$B$138, 0), MATCH(CC$4&amp;CC$5, LS_current!$D$2:$AY$2&amp;LS_current!$D$3:$AY$3, 0)),SUM(VLOOKUP($A100, LS_current!$B$4:$AY$138, LS_current!H$148, FALSE), VLOOKUP($A100, LS_current!$B$4:$AY$138,LS_current!AF$148, FALSE))/2)</f>
        <v>1048.1555330650999</v>
      </c>
      <c r="CD100" s="180">
        <f t="array" ref="CD100">IF($BT100=0, INDEX(LS_current!$D$4:$AY$138, MATCH('Staging Table'!$A100, LS_current!$B$4:$B$138, 0), MATCH(CD$4&amp;CD$5, LS_current!$D$2:$AY$2&amp;LS_current!$D$3:$AY$3, 0)),SUM(VLOOKUP($A100, LS_current!$B$4:$AY$138, LS_current!I$148, FALSE), VLOOKUP($A100, LS_current!$B$4:$AY$138,LS_current!AG$148, FALSE))/2)</f>
        <v>1064.7623719264002</v>
      </c>
      <c r="CE100" s="180">
        <f t="array" ref="CE100">IF($BT100=0, INDEX(LS_current!$D$4:$AY$138, MATCH('Staging Table'!$A100, LS_current!$B$4:$B$138, 0), MATCH(CE$4&amp;CE$5, LS_current!$D$2:$AY$2&amp;LS_current!$D$3:$AY$3, 0)),SUM(VLOOKUP($A100, LS_current!$B$4:$AY$138, LS_current!J$148, FALSE), VLOOKUP($A100, LS_current!$B$4:$AY$138,LS_current!AH$148, FALSE))/2)</f>
        <v>907.73786404349994</v>
      </c>
      <c r="CF100" s="180">
        <f t="array" ref="CF100">IF($BT100=0, INDEX(LS_current!$D$4:$AY$138, MATCH('Staging Table'!$A100, LS_current!$B$4:$B$138, 0), MATCH(CF$4&amp;CF$5, LS_current!$D$2:$AY$2&amp;LS_current!$D$3:$AY$3, 0)),SUM(VLOOKUP($A100, LS_current!$B$4:$AY$138, LS_current!K$148, FALSE), VLOOKUP($A100, LS_current!$B$4:$AY$138,LS_current!AI$148, FALSE))/2)</f>
        <v>1108.0220691261002</v>
      </c>
      <c r="CG100" s="180">
        <f t="array" ref="CG100">IF($BT100=0, INDEX(LS_current!$D$4:$AY$138, MATCH('Staging Table'!$A100, LS_current!$B$4:$B$138, 0), MATCH(CG$4&amp;CG$5, LS_current!$D$2:$AY$2&amp;LS_current!$D$3:$AY$3, 0)),SUM(VLOOKUP($A100, LS_current!$B$4:$AY$138, LS_current!L$148, FALSE), VLOOKUP($A100, LS_current!$B$4:$AY$138,LS_current!AJ$148, FALSE))/2)</f>
        <v>943.805826191101</v>
      </c>
      <c r="CH100" s="180">
        <f t="array" ref="CH100">IF($BT100=0, INDEX(LS_current!$D$4:$AY$138, MATCH('Staging Table'!$A100, LS_current!$B$4:$B$138, 0), MATCH(CH$4&amp;CH$5, LS_current!$D$2:$AY$2&amp;LS_current!$D$3:$AY$3, 0)),SUM(VLOOKUP($A100, LS_current!$B$4:$AY$138, LS_current!M$148, FALSE), VLOOKUP($A100, LS_current!$B$4:$AY$138,LS_current!AK$148, FALSE))/2)</f>
        <v>1152.6641896630999</v>
      </c>
      <c r="CI100" s="180">
        <f t="array" ref="CI100">IF($BT100=0, INDEX(LS_current!$D$4:$AY$138, MATCH('Staging Table'!$A100, LS_current!$B$4:$B$138, 0), MATCH(CI$4&amp;CI$5, LS_current!$D$2:$AY$2&amp;LS_current!$D$3:$AY$3, 0)),SUM(VLOOKUP($A100, LS_current!$B$4:$AY$138, LS_current!N$148, FALSE), VLOOKUP($A100, LS_current!$B$4:$AY$138,LS_current!AL$148, FALSE))/2)</f>
        <v>373.15561250170049</v>
      </c>
      <c r="CJ100" s="180">
        <f t="array" ref="CJ100">IF($BT100=0, INDEX(LS_current!$D$4:$AY$138, MATCH('Staging Table'!$A100, LS_current!$B$4:$B$138, 0), MATCH(CJ$4&amp;CJ$5, LS_current!$D$2:$AY$2&amp;LS_current!$D$3:$AY$3, 0)),SUM(VLOOKUP($A100, LS_current!$B$4:$AY$138, LS_current!O$148, FALSE), VLOOKUP($A100, LS_current!$B$4:$AY$138,LS_current!AM$148, FALSE))/2)</f>
        <v>149.79240140020011</v>
      </c>
      <c r="CK100" s="180">
        <f t="array" ref="CK100">IF($BT100=0, INDEX(LS_current!$D$4:$AY$138, MATCH('Staging Table'!$A100, LS_current!$B$4:$B$138, 0), MATCH(CK$4&amp;CK$5, LS_current!$D$2:$AY$2&amp;LS_current!$D$3:$AY$3, 0)),SUM(VLOOKUP($A100, LS_current!$B$4:$AY$138, LS_current!P$148, FALSE), VLOOKUP($A100, LS_current!$B$4:$AY$138,LS_current!AN$148, FALSE))/2)</f>
        <v>562.23838974975115</v>
      </c>
      <c r="CL100" s="180">
        <f t="array" ref="CL100">IF($BT100=0, INDEX(LS_current!$D$4:$AY$138, MATCH('Staging Table'!$A100, LS_current!$B$4:$B$138, 0), MATCH(CL$4&amp;CL$5, LS_current!$D$2:$AY$2&amp;LS_current!$D$3:$AY$3, 0)),SUM(VLOOKUP($A100, LS_current!$B$4:$AY$138, LS_current!Q$148, FALSE), VLOOKUP($A100, LS_current!$B$4:$AY$138,LS_current!AO$148, FALSE))/2)</f>
        <v>339.17061479057566</v>
      </c>
      <c r="CM100" s="180">
        <f t="array" ref="CM100">IF($BT100=0, INDEX(LS_current!$D$4:$AY$138, MATCH('Staging Table'!$A100, LS_current!$B$4:$B$138, 0), MATCH(CM$4&amp;CM$5, LS_current!$D$2:$AY$2&amp;LS_current!$D$3:$AY$3, 0)),SUM(VLOOKUP($A100, LS_current!$B$4:$AY$138, LS_current!R$148, FALSE), VLOOKUP($A100, LS_current!$B$4:$AY$138,LS_current!AP$148, FALSE))/2)</f>
        <v>-1702.5953760368002</v>
      </c>
      <c r="CN100" s="180">
        <f t="array" ref="CN100">IF($BT100=0, INDEX(LS_current!$D$4:$AY$138, MATCH('Staging Table'!$A100, LS_current!$B$4:$B$138, 0), MATCH(CN$4&amp;CN$5, LS_current!$D$2:$AY$2&amp;LS_current!$D$3:$AY$3, 0)),SUM(VLOOKUP($A100, LS_current!$B$4:$AY$138, LS_current!S$148, FALSE), VLOOKUP($A100, LS_current!$B$4:$AY$138,LS_current!AQ$148, FALSE))/2)</f>
        <v>-991.6920389073498</v>
      </c>
      <c r="CO100" s="180">
        <f t="array" ref="CO100">IF($BT100=0, INDEX(LS_current!$D$4:$AY$138, MATCH('Staging Table'!$A100, LS_current!$B$4:$B$138, 0), MATCH(CO$4&amp;CO$5, LS_current!$D$2:$AY$2&amp;LS_current!$D$3:$AY$3, 0)),SUM(VLOOKUP($A100, LS_current!$B$4:$AY$138, LS_current!T$148, FALSE), VLOOKUP($A100, LS_current!$B$4:$AY$138,LS_current!AR$148, FALSE))/2)</f>
        <v>-2170.6650522665996</v>
      </c>
      <c r="CP100" s="180">
        <f t="array" ref="CP100">IF($BT100=0, INDEX(LS_current!$D$4:$AY$138, MATCH('Staging Table'!$A100, LS_current!$B$4:$B$138, 0), MATCH(CP$4&amp;CP$5, LS_current!$D$2:$AY$2&amp;LS_current!$D$3:$AY$3, 0)),SUM(VLOOKUP($A100, LS_current!$B$4:$AY$138, LS_current!U$148, FALSE), VLOOKUP($A100, LS_current!$B$4:$AY$138,LS_current!AS$148, FALSE))/2)</f>
        <v>-1213.3642560009498</v>
      </c>
      <c r="CQ100" s="180">
        <f t="array" ref="CQ100">IF($BT100=0, INDEX(LS_current!$D$4:$AY$138, MATCH('Staging Table'!$A100, LS_current!$B$4:$B$138, 0), MATCH(CQ$4&amp;CQ$5, LS_current!$D$2:$AY$2&amp;LS_current!$D$3:$AY$3, 0)),SUM(VLOOKUP($A100, LS_current!$B$4:$AY$138, LS_current!V$148, FALSE), VLOOKUP($A100, LS_current!$B$4:$AY$138,LS_current!AT$148, FALSE))/2)</f>
        <v>-1387.8880230123996</v>
      </c>
      <c r="CR100" s="180">
        <f t="array" ref="CR100">IF($BT100=0, INDEX(LS_current!$D$4:$AY$138, MATCH('Staging Table'!$A100, LS_current!$B$4:$B$138, 0), MATCH(CR$4&amp;CR$5, LS_current!$D$2:$AY$2&amp;LS_current!$D$3:$AY$3, 0)),SUM(VLOOKUP($A100, LS_current!$B$4:$AY$138, LS_current!W$148, FALSE), VLOOKUP($A100, LS_current!$B$4:$AY$138,LS_current!AU$148, FALSE))/2)</f>
        <v>-524.81074188524963</v>
      </c>
      <c r="CS100" s="180">
        <f t="array" ref="CS100">IF($BT100=0, INDEX(LS_current!$D$4:$AY$138, MATCH('Staging Table'!$A100, LS_current!$B$4:$B$138, 0), MATCH(CS$4&amp;CS$5, LS_current!$D$2:$AY$2&amp;LS_current!$D$3:$AY$3, 0)),SUM(VLOOKUP($A100, LS_current!$B$4:$AY$138, LS_current!X$148, FALSE), VLOOKUP($A100, LS_current!$B$4:$AY$138,LS_current!AV$148, FALSE))/2)</f>
        <v>-1088.65986469565</v>
      </c>
      <c r="CT100" s="180">
        <f t="array" ref="CT100">IF($BT100=0, INDEX(LS_current!$D$4:$AY$138, MATCH('Staging Table'!$A100, LS_current!$B$4:$B$138, 0), MATCH(CT$4&amp;CT$5, LS_current!$D$2:$AY$2&amp;LS_current!$D$3:$AY$3, 0)),SUM(VLOOKUP($A100, LS_current!$B$4:$AY$138, LS_current!Y$148, FALSE), VLOOKUP($A100, LS_current!$B$4:$AY$138,LS_current!AW$148, FALSE))/2)</f>
        <v>-495.28158744313441</v>
      </c>
      <c r="CU100" s="180">
        <f t="array" ref="CU100">IF($BT100=0, INDEX(LS_current!$D$4:$AY$138, MATCH('Staging Table'!$A100, LS_current!$B$4:$B$138, 0), MATCH(CU$4&amp;CU$5, LS_current!$D$2:$AY$2&amp;LS_current!$D$3:$AY$3, 0)),SUM(VLOOKUP($A100, LS_current!$B$4:$AY$138, LS_current!Z$148, FALSE), VLOOKUP($A100, LS_current!$B$4:$AY$138,LS_current!AX$148, FALSE))/2)</f>
        <v>-342.8792761534005</v>
      </c>
      <c r="CV100" s="180">
        <f t="array" ref="CV100">IF($BT100=0, INDEX(LS_current!$D$4:$AY$138, MATCH('Staging Table'!$A100, LS_current!$B$4:$B$138, 0), MATCH(CV$4&amp;CV$5, LS_current!$D$2:$AY$2&amp;LS_current!$D$3:$AY$3, 0)),SUM(VLOOKUP($A100, LS_current!$B$4:$AY$138, LS_current!AA$148, FALSE), VLOOKUP($A100, LS_current!$B$4:$AY$138,LS_current!AY$148, FALSE))/2)</f>
        <v>-340.81826540639986</v>
      </c>
      <c r="CW100" s="182">
        <f t="array" ref="CW100">INDEX(Demand_current!$D$4:$AY$138, MATCH($A100, Demand_current!$B$4:$B$138, 0), MATCH(CW$4&amp;CW$5,Demand_current!$D$2:$AY$2&amp;Demand_current!$D$3:$AY$3, 0))/1000</f>
        <v>0</v>
      </c>
      <c r="CX100" s="182">
        <f t="array" ref="CX100">INDEX(Demand_current!$D$4:$AY$138, MATCH($A100, Demand_current!$B$4:$B$138, 0), MATCH(CX$4&amp;CX$5,Demand_current!$D$2:$AY$2&amp;Demand_current!$D$3:$AY$3, 0))/1000</f>
        <v>0.34747000000000039</v>
      </c>
      <c r="CY100" s="182">
        <f t="array" ref="CY100">INDEX(Demand_current!$D$4:$AY$138, MATCH($A100, Demand_current!$B$4:$B$138, 0), MATCH(CY$4&amp;CY$5,Demand_current!$D$2:$AY$2&amp;Demand_current!$D$3:$AY$3, 0))/1000</f>
        <v>3.4772250000000007</v>
      </c>
      <c r="CZ100" s="182">
        <f t="array" ref="CZ100">INDEX(Demand_current!$D$4:$AY$138, MATCH($A100, Demand_current!$B$4:$B$138, 0), MATCH(CZ$4&amp;CZ$5,Demand_current!$D$2:$AY$2&amp;Demand_current!$D$3:$AY$3, 0))/1000</f>
        <v>3.1819663461538457</v>
      </c>
      <c r="DA100" s="182">
        <f t="array" ref="DA100">INDEX(Demand_current!$D$4:$AY$138, MATCH($A100, Demand_current!$B$4:$B$138, 0), MATCH(DA$4&amp;DA$5,Demand_current!$D$2:$AY$2&amp;Demand_current!$D$3:$AY$3, 0))/1000</f>
        <v>2.1359299999999983</v>
      </c>
      <c r="DB100" s="182">
        <f t="array" ref="DB100">INDEX(Demand_current!$D$4:$AY$138, MATCH($A100, Demand_current!$B$4:$B$138, 0), MATCH(DB$4&amp;DB$5,Demand_current!$D$2:$AY$2&amp;Demand_current!$D$3:$AY$3, 0))/1000</f>
        <v>0</v>
      </c>
      <c r="DC100" s="182">
        <f t="array" ref="DC100">INDEX(Demand_current!$D$4:$AY$138, MATCH($A100, Demand_current!$B$4:$B$138, 0), MATCH(DC$4&amp;DC$5,Demand_current!$D$2:$AY$2&amp;Demand_current!$D$3:$AY$3, 0))/1000</f>
        <v>1.001281249999999</v>
      </c>
      <c r="DD100" s="182">
        <f t="array" ref="DD100">INDEX(Demand_current!$D$4:$AY$138, MATCH($A100, Demand_current!$B$4:$B$138, 0), MATCH(DD$4&amp;DD$5,Demand_current!$D$2:$AY$2&amp;Demand_current!$D$3:$AY$3, 0))/1000</f>
        <v>2.2069471153846156</v>
      </c>
      <c r="DE100" s="182">
        <f t="array" ref="DE100">INDEX(Demand_current!$D$4:$AY$138, MATCH($A100, Demand_current!$B$4:$B$138, 0), MATCH(DE$4&amp;DE$5,Demand_current!$D$2:$AY$2&amp;Demand_current!$D$3:$AY$3, 0))/1000</f>
        <v>1.8306349999999998</v>
      </c>
      <c r="DF100" s="182">
        <f t="array" ref="DF100">INDEX(Demand_current!$D$4:$AY$138, MATCH($A100, Demand_current!$B$4:$B$138, 0), MATCH(DF$4&amp;DF$5,Demand_current!$D$2:$AY$2&amp;Demand_current!$D$3:$AY$3, 0))/1000</f>
        <v>1.5318269230769215</v>
      </c>
      <c r="DG100" s="182">
        <f t="array" ref="DG100">INDEX(Demand_current!$D$4:$AY$138, MATCH($A100, Demand_current!$B$4:$B$138, 0), MATCH(DG$4&amp;DG$5,Demand_current!$D$2:$AY$2&amp;Demand_current!$D$3:$AY$3, 0))/1000</f>
        <v>1.9434467592592604</v>
      </c>
      <c r="DH100" s="182">
        <f t="array" ref="DH100">INDEX(Demand_current!$D$4:$AY$138, MATCH($A100, Demand_current!$B$4:$B$138, 0), MATCH(DH$4&amp;DH$5,Demand_current!$D$2:$AY$2&amp;Demand_current!$D$3:$AY$3, 0))/1000</f>
        <v>2.254546875</v>
      </c>
      <c r="DI100" s="180">
        <f>$BS100*(VLOOKUP(DI$4, Rates_current!$G$6:$Q$29, 10, FALSE)+VLOOKUP(DI$4, Rates_current!$G$6:$Q$29, 11, FALSE))</f>
        <v>8011.9302234646493</v>
      </c>
      <c r="DJ100" s="180">
        <f>$BS100*(VLOOKUP(DJ$4, Rates_current!$G$6:$Q$29, 10, FALSE)+VLOOKUP(DJ$4, Rates_current!$G$6:$Q$29, 11, FALSE))</f>
        <v>10217.852992736902</v>
      </c>
      <c r="DK100" s="180">
        <f>$BS100*(VLOOKUP(DK$4, Rates_current!$G$6:$Q$29, 10, FALSE)+VLOOKUP(DK$4, Rates_current!$G$6:$Q$29, 11, FALSE))</f>
        <v>11027.085095008501</v>
      </c>
      <c r="DL100" s="180">
        <f>$BS100*(VLOOKUP(DL$4, Rates_current!$G$6:$Q$29, 10, FALSE)+VLOOKUP(DL$4, Rates_current!$G$6:$Q$29, 11, FALSE))</f>
        <v>11458.8460668304</v>
      </c>
      <c r="DM100" s="180">
        <f>$BS100*(VLOOKUP(DM$4, Rates_current!$G$6:$Q$29, 10, FALSE)+VLOOKUP(DM$4, Rates_current!$G$6:$Q$29, 11, FALSE))</f>
        <v>9856.1349841457995</v>
      </c>
      <c r="DN100" s="180">
        <f>$BS100*(VLOOKUP(DN$4, Rates_current!$G$6:$Q$29, 10, FALSE)+VLOOKUP(DN$4, Rates_current!$G$6:$Q$29, 11, FALSE))</f>
        <v>10760.947986098099</v>
      </c>
      <c r="DO100" s="180">
        <f>$BS100*(VLOOKUP(DO$4, Rates_current!$G$6:$Q$29, 10, FALSE)+VLOOKUP(DO$4, Rates_current!$G$6:$Q$29, 11, FALSE))</f>
        <v>8493.9549954596732</v>
      </c>
      <c r="DP100" s="180">
        <f>$BS100*(VLOOKUP(DP$4, Rates_current!$G$6:$Q$29, 10, FALSE)+VLOOKUP(DP$4, Rates_current!$G$6:$Q$29, 11, FALSE))</f>
        <v>10537.889414944149</v>
      </c>
      <c r="DQ100" s="180">
        <f>$BS100*(VLOOKUP(DQ$4, Rates_current!$G$6:$Q$29, 10, FALSE)+VLOOKUP(DQ$4, Rates_current!$G$6:$Q$29, 11, FALSE))</f>
        <v>10766.535308267548</v>
      </c>
      <c r="DR100" s="180">
        <f>$BS100*(VLOOKUP(DR$4, Rates_current!$G$6:$Q$29, 10, FALSE)+VLOOKUP(DR$4, Rates_current!$G$6:$Q$29, 11, FALSE))</f>
        <v>9346.90376489765</v>
      </c>
      <c r="DS100" s="180">
        <f>$BS100*(VLOOKUP(DS$4, Rates_current!$G$6:$Q$29, 10, FALSE)+VLOOKUP(DS$4, Rates_current!$G$6:$Q$29, 11, FALSE))</f>
        <v>9035.971452138785</v>
      </c>
      <c r="DT100" s="180">
        <f>$BS100*(VLOOKUP(DT$4, Rates_current!$G$6:$Q$29, 10, FALSE)+VLOOKUP(DT$4, Rates_current!$G$6:$Q$29, 11, FALSE))</f>
        <v>8314.8435415598015</v>
      </c>
      <c r="DU100" s="402">
        <f>IF(D100=0,IF(C100=0,MAX(0,DW100 - (VLOOKUP($A100,TOCA_current!$A$2:$AI$137,MATCH("RHWM 2024",TOCA_current!$A$2:$AI$2,0),FALSE)*$BS$2)), 0),0)</f>
        <v>0</v>
      </c>
      <c r="DV100" s="403">
        <f>MIN(VLOOKUP($A100,TOCA_current!$A$2:$AI$137,MATCH("TRL - NLSL - Existing Resource "&amp;$BS$1,TOCA_current!$A$2:$AI$2,0),FALSE)*$BS$2, VLOOKUP($A100,TOCA_current!$A$2:$AI$137,MATCH("RHWM 2024",TOCA_current!$A$2:$AI$2,0),FALSE)*$BS$2)</f>
        <v>117828.576</v>
      </c>
      <c r="DW100" s="403">
        <f>SUM(BY100:CV100)+(BS100*RT1SC!$C$4*$BS$2)</f>
        <v>117828.83054010404</v>
      </c>
      <c r="DX100" s="403">
        <f>VLOOKUP($A100,TOCA_current!$A$2:$AI$137,MATCH("Above RHWM Not Served with LS "&amp;$BS$1,TOCA_current!$A$2:$AI$2,0),FALSE)*$BS$2</f>
        <v>0</v>
      </c>
      <c r="DY100" s="403">
        <f t="shared" si="32"/>
        <v>0.2545401040406432</v>
      </c>
      <c r="DZ100" s="403">
        <f>(VLOOKUP($A100,TOCA_current!$A$2:$AI$137,MATCH("RHWM 2024",TOCA_current!$A$2:$AI$2,0),FALSE)*$BS$2) - $DV100</f>
        <v>5744.7359999999899</v>
      </c>
      <c r="EA100" s="403">
        <f t="shared" si="33"/>
        <v>-0.2545401040406432</v>
      </c>
      <c r="EB100" s="403">
        <f t="shared" si="34"/>
        <v>0</v>
      </c>
      <c r="EC100" s="403">
        <f t="shared" si="35"/>
        <v>0</v>
      </c>
      <c r="ED100" s="403">
        <f t="shared" si="36"/>
        <v>-0.2545401040406432</v>
      </c>
    </row>
    <row r="101" spans="1:134">
      <c r="A101" s="123">
        <v>10306</v>
      </c>
      <c r="B101" s="124" t="s">
        <v>102</v>
      </c>
      <c r="C101" s="232">
        <f>VLOOKUP(A101, TOCA_current!$A$3:$D$137, 4, FALSE)</f>
        <v>0</v>
      </c>
      <c r="D101" s="191">
        <v>1</v>
      </c>
      <c r="E101" s="107">
        <f>VLOOKUP($A101,TOCA_previous!$A$2:$AI$137,MATCH(E$4,TOCA_previous!$A$2:$AI$2,0),FALSE)</f>
        <v>3.6489999999999999E-3</v>
      </c>
      <c r="F101" s="108">
        <f>VLOOKUP($A101,TOCA_previous!$A$2:$AI$137,MATCH(F$4,TOCA_previous!$A$2:$AI$2,0),FALSE)</f>
        <v>3.6489999999999999E-3</v>
      </c>
      <c r="G101" s="108">
        <f t="shared" si="24"/>
        <v>0</v>
      </c>
      <c r="H101" s="108">
        <f>VLOOKUP($A101,TOCA_previous!$A$2:$AI$137,MATCH(H$4,TOCA_previous!$A$2:$AI$2,0),FALSE)</f>
        <v>0</v>
      </c>
      <c r="I101" s="108">
        <f t="shared" si="25"/>
        <v>0</v>
      </c>
      <c r="J101" s="108">
        <f t="shared" si="26"/>
        <v>0</v>
      </c>
      <c r="K101" s="179">
        <f>VLOOKUP(A101, IRD!$A$5:$C$139, 3, FALSE)</f>
        <v>0</v>
      </c>
      <c r="L101" s="180">
        <f t="array" ref="L101">IF($G101=0, INDEX(LS_previous!$D$4:$AY$138, MATCH('Staging Table'!$A101, LS_previous!$B$4:$B$138, 0), MATCH(L$4&amp;L$5, LS_previous!$D$2:$AY$2&amp;LS_previous!$D$3:$AY$3, 0)),SUM(VLOOKUP($A101, LS_previous!$B$4:$AY$138, LS_previous!D$149, FALSE), VLOOKUP('Staging Table'!$A101, LS_previous!$B$4:$AY$138,LS_previous!AB$149, FALSE))/2)</f>
        <v>-6564.3866636771354</v>
      </c>
      <c r="M101" s="180">
        <f t="array" ref="M101">IF($G101=0, INDEX(LS_previous!$D$4:$AY$138, MATCH('Staging Table'!$A101, LS_previous!$B$4:$B$138, 0), MATCH(M$4&amp;M$5, LS_previous!$D$2:$AY$2&amp;LS_previous!$D$3:$AY$3, 0)),SUM(VLOOKUP($A101, LS_previous!$B$4:$AY$138, LS_previous!E$149, FALSE), VLOOKUP('Staging Table'!$A101, LS_previous!$B$4:$AY$138,LS_previous!AC$149, FALSE))/2)</f>
        <v>-2731.6785076870515</v>
      </c>
      <c r="N101" s="180">
        <f t="array" ref="N101">IF($G101=0, INDEX(LS_previous!$D$4:$AY$138, MATCH('Staging Table'!$A101, LS_previous!$B$4:$B$138, 0), MATCH(N$4&amp;N$5, LS_previous!$D$2:$AY$2&amp;LS_previous!$D$3:$AY$3, 0)),SUM(VLOOKUP($A101, LS_previous!$B$4:$AY$138, LS_previous!F$149, FALSE), VLOOKUP('Staging Table'!$A101, LS_previous!$B$4:$AY$138,LS_previous!AD$149, FALSE))/2)</f>
        <v>4889.818621880142</v>
      </c>
      <c r="O101" s="180">
        <f t="array" ref="O101">IF($G101=0, INDEX(LS_previous!$D$4:$AY$138, MATCH('Staging Table'!$A101, LS_previous!$B$4:$B$138, 0), MATCH(O$4&amp;O$5, LS_previous!$D$2:$AY$2&amp;LS_previous!$D$3:$AY$3, 0)),SUM(VLOOKUP($A101, LS_previous!$B$4:$AY$138, LS_previous!G$149, FALSE), VLOOKUP('Staging Table'!$A101, LS_previous!$B$4:$AY$138,LS_previous!AE$149, FALSE))/2)</f>
        <v>6156.2186482955931</v>
      </c>
      <c r="P101" s="180">
        <f t="array" ref="P101">IF($G101=0, INDEX(LS_previous!$D$4:$AY$138, MATCH('Staging Table'!$A101, LS_previous!$B$4:$B$138, 0), MATCH(P$4&amp;P$5, LS_previous!$D$2:$AY$2&amp;LS_previous!$D$3:$AY$3, 0)),SUM(VLOOKUP($A101, LS_previous!$B$4:$AY$138, LS_previous!H$149, FALSE), VLOOKUP('Staging Table'!$A101, LS_previous!$B$4:$AY$138,LS_previous!AF$149, FALSE))/2)</f>
        <v>4489.9971100897837</v>
      </c>
      <c r="Q101" s="180">
        <f t="array" ref="Q101">IF($G101=0, INDEX(LS_previous!$D$4:$AY$138, MATCH('Staging Table'!$A101, LS_previous!$B$4:$B$138, 0), MATCH(Q$4&amp;Q$5, LS_previous!$D$2:$AY$2&amp;LS_previous!$D$3:$AY$3, 0)),SUM(VLOOKUP($A101, LS_previous!$B$4:$AY$138, LS_previous!I$149, FALSE), VLOOKUP('Staging Table'!$A101, LS_previous!$B$4:$AY$138,LS_previous!AG$149, FALSE))/2)</f>
        <v>3987.4287833653125</v>
      </c>
      <c r="R101" s="180">
        <f t="array" ref="R101">IF($G101=0, INDEX(LS_previous!$D$4:$AY$138, MATCH('Staging Table'!$A101, LS_previous!$B$4:$B$138, 0), MATCH(R$4&amp;R$5, LS_previous!$D$2:$AY$2&amp;LS_previous!$D$3:$AY$3, 0)),SUM(VLOOKUP($A101, LS_previous!$B$4:$AY$138, LS_previous!J$149, FALSE), VLOOKUP('Staging Table'!$A101, LS_previous!$B$4:$AY$138,LS_previous!AH$149, FALSE))/2)</f>
        <v>12320.415905316717</v>
      </c>
      <c r="S101" s="180">
        <f t="array" ref="S101">IF($G101=0, INDEX(LS_previous!$D$4:$AY$138, MATCH('Staging Table'!$A101, LS_previous!$B$4:$B$138, 0), MATCH(S$4&amp;S$5, LS_previous!$D$2:$AY$2&amp;LS_previous!$D$3:$AY$3, 0)),SUM(VLOOKUP($A101, LS_previous!$B$4:$AY$138, LS_previous!K$149, FALSE), VLOOKUP('Staging Table'!$A101, LS_previous!$B$4:$AY$138,LS_previous!AI$149, FALSE))/2)</f>
        <v>11584.03072137323</v>
      </c>
      <c r="T101" s="180">
        <f t="array" ref="T101">IF($G101=0, INDEX(LS_previous!$D$4:$AY$138, MATCH('Staging Table'!$A101, LS_previous!$B$4:$B$138, 0), MATCH(T$4&amp;T$5, LS_previous!$D$2:$AY$2&amp;LS_previous!$D$3:$AY$3, 0)),SUM(VLOOKUP($A101, LS_previous!$B$4:$AY$138, LS_previous!L$149, FALSE), VLOOKUP('Staging Table'!$A101, LS_previous!$B$4:$AY$138,LS_previous!AJ$149, FALSE))/2)</f>
        <v>12108.565506051713</v>
      </c>
      <c r="U101" s="180">
        <f t="array" ref="U101">IF($G101=0, INDEX(LS_previous!$D$4:$AY$138, MATCH('Staging Table'!$A101, LS_previous!$B$4:$B$138, 0), MATCH(U$4&amp;U$5, LS_previous!$D$2:$AY$2&amp;LS_previous!$D$3:$AY$3, 0)),SUM(VLOOKUP($A101, LS_previous!$B$4:$AY$138, LS_previous!M$149, FALSE), VLOOKUP('Staging Table'!$A101, LS_previous!$B$4:$AY$138,LS_previous!AK$149, FALSE))/2)</f>
        <v>9325.447061862702</v>
      </c>
      <c r="V101" s="180">
        <f t="array" ref="V101">IF($G101=0, INDEX(LS_previous!$D$4:$AY$138, MATCH('Staging Table'!$A101, LS_previous!$B$4:$B$138, 0), MATCH(V$4&amp;V$5, LS_previous!$D$2:$AY$2&amp;LS_previous!$D$3:$AY$3, 0)),SUM(VLOOKUP($A101, LS_previous!$B$4:$AY$138, LS_previous!N$149, FALSE), VLOOKUP('Staging Table'!$A101, LS_previous!$B$4:$AY$138,LS_previous!AL$149, FALSE))/2)</f>
        <v>9098.785338155456</v>
      </c>
      <c r="W101" s="180">
        <f t="array" ref="W101">IF($G101=0, INDEX(LS_previous!$D$4:$AY$138, MATCH('Staging Table'!$A101, LS_previous!$B$4:$B$138, 0), MATCH(W$4&amp;W$5, LS_previous!$D$2:$AY$2&amp;LS_previous!$D$3:$AY$3, 0)),SUM(VLOOKUP($A101, LS_previous!$B$4:$AY$138, LS_previous!O$149, FALSE), VLOOKUP('Staging Table'!$A101, LS_previous!$B$4:$AY$138,LS_previous!AM$149, FALSE))/2)</f>
        <v>7540.4154662412875</v>
      </c>
      <c r="X101" s="180">
        <f t="array" ref="X101">IF($G101=0, INDEX(LS_previous!$D$4:$AY$138, MATCH('Staging Table'!$A101, LS_previous!$B$4:$B$138, 0), MATCH(X$4&amp;X$5, LS_previous!$D$2:$AY$2&amp;LS_previous!$D$3:$AY$3, 0)),SUM(VLOOKUP($A101, LS_previous!$B$4:$AY$138, LS_previous!P$149, FALSE), VLOOKUP('Staging Table'!$A101, LS_previous!$B$4:$AY$138,LS_previous!AN$149, FALSE))/2)</f>
        <v>-7175.2610983677978</v>
      </c>
      <c r="Y101" s="180">
        <f t="array" ref="Y101">IF($G101=0, INDEX(LS_previous!$D$4:$AY$138, MATCH('Staging Table'!$A101, LS_previous!$B$4:$B$138, 0), MATCH(Y$4&amp;Y$5, LS_previous!$D$2:$AY$2&amp;LS_previous!$D$3:$AY$3, 0)),SUM(VLOOKUP($A101, LS_previous!$B$4:$AY$138, LS_previous!Q$149, FALSE), VLOOKUP('Staging Table'!$A101, LS_previous!$B$4:$AY$138,LS_previous!AO$149, FALSE))/2)</f>
        <v>-4334.1021791827461</v>
      </c>
      <c r="Z101" s="180">
        <f t="array" ref="Z101">IF($G101=0, INDEX(LS_previous!$D$4:$AY$138, MATCH('Staging Table'!$A101, LS_previous!$B$4:$B$138, 0), MATCH(Z$4&amp;Z$5, LS_previous!$D$2:$AY$2&amp;LS_previous!$D$3:$AY$3, 0)),SUM(VLOOKUP($A101, LS_previous!$B$4:$AY$138, LS_previous!R$149, FALSE), VLOOKUP('Staging Table'!$A101, LS_previous!$B$4:$AY$138,LS_previous!AP$149, FALSE))/2)</f>
        <v>-12755.844600898545</v>
      </c>
      <c r="AA101" s="180">
        <f t="array" ref="AA101">IF($G101=0, INDEX(LS_previous!$D$4:$AY$138, MATCH('Staging Table'!$A101, LS_previous!$B$4:$B$138, 0), MATCH(AA$4&amp;AA$5, LS_previous!$D$2:$AY$2&amp;LS_previous!$D$3:$AY$3, 0)),SUM(VLOOKUP($A101, LS_previous!$B$4:$AY$138, LS_previous!S$149, FALSE), VLOOKUP('Staging Table'!$A101, LS_previous!$B$4:$AY$138,LS_previous!AQ$149, FALSE))/2)</f>
        <v>-6173.8698172375098</v>
      </c>
      <c r="AB101" s="180">
        <f t="array" ref="AB101">IF($G101=0, INDEX(LS_previous!$D$4:$AY$138, MATCH('Staging Table'!$A101, LS_previous!$B$4:$B$138, 0), MATCH(AB$4&amp;AB$5, LS_previous!$D$2:$AY$2&amp;LS_previous!$D$3:$AY$3, 0)),SUM(VLOOKUP($A101, LS_previous!$B$4:$AY$138, LS_previous!T$149, FALSE), VLOOKUP('Staging Table'!$A101, LS_previous!$B$4:$AY$138,LS_previous!AR$149, FALSE))/2)</f>
        <v>-14424.252199248729</v>
      </c>
      <c r="AC101" s="180">
        <f t="array" ref="AC101">IF($G101=0, INDEX(LS_previous!$D$4:$AY$138, MATCH('Staging Table'!$A101, LS_previous!$B$4:$B$138, 0), MATCH(AC$4&amp;AC$5, LS_previous!$D$2:$AY$2&amp;LS_previous!$D$3:$AY$3, 0)),SUM(VLOOKUP($A101, LS_previous!$B$4:$AY$138, LS_previous!U$149, FALSE), VLOOKUP('Staging Table'!$A101, LS_previous!$B$4:$AY$138,LS_previous!AS$149, FALSE))/2)</f>
        <v>-5802.5440286835328</v>
      </c>
      <c r="AD101" s="180">
        <f t="array" ref="AD101">IF($G101=0, INDEX(LS_previous!$D$4:$AY$138, MATCH('Staging Table'!$A101, LS_previous!$B$4:$B$138, 0), MATCH(AD$4&amp;AD$5, LS_previous!$D$2:$AY$2&amp;LS_previous!$D$3:$AY$3, 0)),SUM(VLOOKUP($A101, LS_previous!$B$4:$AY$138, LS_previous!V$149, FALSE), VLOOKUP('Staging Table'!$A101, LS_previous!$B$4:$AY$138,LS_previous!AT$149, FALSE))/2)</f>
        <v>-8391.7770779749208</v>
      </c>
      <c r="AE101" s="180">
        <f t="array" ref="AE101">IF($G101=0, INDEX(LS_previous!$D$4:$AY$138, MATCH('Staging Table'!$A101, LS_previous!$B$4:$B$138, 0), MATCH(AE$4&amp;AE$5, LS_previous!$D$2:$AY$2&amp;LS_previous!$D$3:$AY$3, 0)),SUM(VLOOKUP($A101, LS_previous!$B$4:$AY$138, LS_previous!W$149, FALSE), VLOOKUP('Staging Table'!$A101, LS_previous!$B$4:$AY$138,LS_previous!AU$149, FALSE))/2)</f>
        <v>-2630.1267587763709</v>
      </c>
      <c r="AF101" s="180">
        <f t="array" ref="AF101">IF($G101=0, INDEX(LS_previous!$D$4:$AY$138, MATCH('Staging Table'!$A101, LS_previous!$B$4:$B$138, 0), MATCH(AF$4&amp;AF$5, LS_previous!$D$2:$AY$2&amp;LS_previous!$D$3:$AY$3, 0)),SUM(VLOOKUP($A101, LS_previous!$B$4:$AY$138, LS_previous!X$149, FALSE), VLOOKUP('Staging Table'!$A101, LS_previous!$B$4:$AY$138,LS_previous!AV$149, FALSE))/2)</f>
        <v>-7622.5980350570471</v>
      </c>
      <c r="AG101" s="180">
        <f t="array" ref="AG101">IF($G101=0, INDEX(LS_previous!$D$4:$AY$138, MATCH('Staging Table'!$A101, LS_previous!$B$4:$B$138, 0), MATCH(AG$4&amp;AG$5, LS_previous!$D$2:$AY$2&amp;LS_previous!$D$3:$AY$3, 0)),SUM(VLOOKUP($A101, LS_previous!$B$4:$AY$138, LS_previous!Y$149, FALSE), VLOOKUP('Staging Table'!$A101, LS_previous!$B$4:$AY$138,LS_previous!AW$149, FALSE))/2)</f>
        <v>-2539.1463888156445</v>
      </c>
      <c r="AH101" s="180">
        <f t="array" ref="AH101">IF($G101=0, INDEX(LS_previous!$D$4:$AY$138, MATCH('Staging Table'!$A101, LS_previous!$B$4:$B$138, 0), MATCH(AH$4&amp;AH$5, LS_previous!$D$2:$AY$2&amp;LS_previous!$D$3:$AY$3, 0)),SUM(VLOOKUP($A101, LS_previous!$B$4:$AY$138, LS_previous!Z$149, FALSE), VLOOKUP('Staging Table'!$A101, LS_previous!$B$4:$AY$138,LS_previous!AX$149, FALSE))/2)</f>
        <v>-1614.9029423050451</v>
      </c>
      <c r="AI101" s="180">
        <f t="array" ref="AI101">IF($G101=0, INDEX(LS_previous!$D$4:$AY$138, MATCH('Staging Table'!$A101, LS_previous!$B$4:$B$138, 0), MATCH(AI$4&amp;AI$5, LS_previous!$D$2:$AY$2&amp;LS_previous!$D$3:$AY$3, 0)),SUM(VLOOKUP($A101, LS_previous!$B$4:$AY$138, LS_previous!AA$149, FALSE), VLOOKUP('Staging Table'!$A101, LS_previous!$B$4:$AY$138,LS_previous!AY$149, FALSE))/2)</f>
        <v>1259.6059891465356</v>
      </c>
      <c r="AJ101" s="298">
        <f t="array" ref="AJ101">INDEX(Demand_previous!$D$4:$AY$138, MATCH('Staging Table'!$A101, Demand_previous!$B$4:$B$138, 0), MATCH(AJ$4&amp;AJ$5,Demand_previous!$D$2:$AY$2&amp;Demand_previous!$D$3:$AY$3, 0))/1000</f>
        <v>0</v>
      </c>
      <c r="AK101" s="298">
        <f t="array" ref="AK101">INDEX(Demand_previous!$D$4:$AY$138, MATCH('Staging Table'!$A101, Demand_previous!$B$4:$B$138, 0), MATCH(AK$4&amp;AK$5,Demand_previous!$D$2:$AY$2&amp;Demand_previous!$D$3:$AY$3, 0))/1000</f>
        <v>0</v>
      </c>
      <c r="AL101" s="298">
        <f t="array" ref="AL101">INDEX(Demand_previous!$D$4:$AY$138, MATCH('Staging Table'!$A101, Demand_previous!$B$4:$B$138, 0), MATCH(AL$4&amp;AL$5,Demand_previous!$D$2:$AY$2&amp;Demand_previous!$D$3:$AY$3, 0))/1000</f>
        <v>0</v>
      </c>
      <c r="AM101" s="298">
        <f t="array" ref="AM101">INDEX(Demand_previous!$D$4:$AY$138, MATCH('Staging Table'!$A101, Demand_previous!$B$4:$B$138, 0), MATCH(AM$4&amp;AM$5,Demand_previous!$D$2:$AY$2&amp;Demand_previous!$D$3:$AY$3, 0))/1000</f>
        <v>0</v>
      </c>
      <c r="AN101" s="298">
        <f t="array" ref="AN101">INDEX(Demand_previous!$D$4:$AY$138, MATCH('Staging Table'!$A101, Demand_previous!$B$4:$B$138, 0), MATCH(AN$4&amp;AN$5,Demand_previous!$D$2:$AY$2&amp;Demand_previous!$D$3:$AY$3, 0))/1000</f>
        <v>0</v>
      </c>
      <c r="AO101" s="298">
        <f t="array" ref="AO101">INDEX(Demand_previous!$D$4:$AY$138, MATCH('Staging Table'!$A101, Demand_previous!$B$4:$B$138, 0), MATCH(AO$4&amp;AO$5,Demand_previous!$D$2:$AY$2&amp;Demand_previous!$D$3:$AY$3, 0))/1000</f>
        <v>0</v>
      </c>
      <c r="AP101" s="298">
        <f t="array" ref="AP101">INDEX(Demand_previous!$D$4:$AY$138, MATCH('Staging Table'!$A101, Demand_previous!$B$4:$B$138, 0), MATCH(AP$4&amp;AP$5,Demand_previous!$D$2:$AY$2&amp;Demand_previous!$D$3:$AY$3, 0))/1000</f>
        <v>0</v>
      </c>
      <c r="AQ101" s="298">
        <f t="array" ref="AQ101">INDEX(Demand_previous!$D$4:$AY$138, MATCH('Staging Table'!$A101, Demand_previous!$B$4:$B$138, 0), MATCH(AQ$4&amp;AQ$5,Demand_previous!$D$2:$AY$2&amp;Demand_previous!$D$3:$AY$3, 0))/1000</f>
        <v>0</v>
      </c>
      <c r="AR101" s="298">
        <f t="array" ref="AR101">INDEX(Demand_previous!$D$4:$AY$138, MATCH('Staging Table'!$A101, Demand_previous!$B$4:$B$138, 0), MATCH(AR$4&amp;AR$5,Demand_previous!$D$2:$AY$2&amp;Demand_previous!$D$3:$AY$3, 0))/1000</f>
        <v>0</v>
      </c>
      <c r="AS101" s="298">
        <f t="array" ref="AS101">INDEX(Demand_previous!$D$4:$AY$138, MATCH('Staging Table'!$A101, Demand_previous!$B$4:$B$138, 0), MATCH(AS$4&amp;AS$5,Demand_previous!$D$2:$AY$2&amp;Demand_previous!$D$3:$AY$3, 0))/1000</f>
        <v>0</v>
      </c>
      <c r="AT101" s="298">
        <f t="array" ref="AT101">INDEX(Demand_previous!$D$4:$AY$138, MATCH('Staging Table'!$A101, Demand_previous!$B$4:$B$138, 0), MATCH(AT$4&amp;AT$5,Demand_previous!$D$2:$AY$2&amp;Demand_previous!$D$3:$AY$3, 0))/1000</f>
        <v>0</v>
      </c>
      <c r="AU101" s="298">
        <f t="array" ref="AU101">INDEX(Demand_previous!$D$4:$AY$138, MATCH('Staging Table'!$A101, Demand_previous!$B$4:$B$138, 0), MATCH(AU$4&amp;AU$5,Demand_previous!$D$2:$AY$2&amp;Demand_previous!$D$3:$AY$3, 0))/1000</f>
        <v>0</v>
      </c>
      <c r="AV101" s="180">
        <f>$F101*(VLOOKUP(AV$4, Rates_previous!$G$6:$Q$29, 10, FALSE)+VLOOKUP(AV$4, Rates_previous!$G$6:$Q$29, 11, FALSE))</f>
        <v>16617.270211364186</v>
      </c>
      <c r="AW101" s="180">
        <f>$F101*(VLOOKUP(AW$4, Rates_previous!$G$6:$Q$29, 10, FALSE)+VLOOKUP(AW$4, Rates_previous!$G$6:$Q$29, 11, FALSE))</f>
        <v>21038.067169824251</v>
      </c>
      <c r="AX101" s="180">
        <f>$F101*(VLOOKUP(AX$4, Rates_previous!$G$6:$Q$29, 10, FALSE)+VLOOKUP(AX$4, Rates_previous!$G$6:$Q$29, 11, FALSE))</f>
        <v>20592.064706544879</v>
      </c>
      <c r="AY101" s="180">
        <f>$F101*(VLOOKUP(AY$4, Rates_previous!$G$6:$Q$29, 10, FALSE)+VLOOKUP(AY$4, Rates_previous!$G$6:$Q$29, 11, FALSE))</f>
        <v>17008.169773310041</v>
      </c>
      <c r="AZ101" s="180">
        <f>$F101*(VLOOKUP(AZ$4, Rates_previous!$G$6:$Q$29, 10, FALSE)+VLOOKUP(AZ$4, Rates_previous!$G$6:$Q$29, 11, FALSE))</f>
        <v>14741.353512085581</v>
      </c>
      <c r="BA101" s="180">
        <f>$F101*(VLOOKUP(BA$4, Rates_previous!$G$6:$Q$29, 10, FALSE)+VLOOKUP(BA$4, Rates_previous!$G$6:$Q$29, 11, FALSE))</f>
        <v>17598.199235603261</v>
      </c>
      <c r="BB101" s="180">
        <f>$F101*(VLOOKUP(BB$4, Rates_previous!$G$6:$Q$29, 10, FALSE)+VLOOKUP(BB$4, Rates_previous!$G$6:$Q$29, 11, FALSE))</f>
        <v>13662.658877550541</v>
      </c>
      <c r="BC101" s="180">
        <f>$F101*(VLOOKUP(BC$4, Rates_previous!$G$6:$Q$29, 10, FALSE)+VLOOKUP(BC$4, Rates_previous!$G$6:$Q$29, 11, FALSE))</f>
        <v>18929.714418136053</v>
      </c>
      <c r="BD101" s="180">
        <f>$F101*(VLOOKUP(BD$4, Rates_previous!$G$6:$Q$29, 10, FALSE)+VLOOKUP(BD$4, Rates_previous!$G$6:$Q$29, 11, FALSE))</f>
        <v>20226.79622793226</v>
      </c>
      <c r="BE101" s="180">
        <f>$F101*(VLOOKUP(BE$4, Rates_previous!$G$6:$Q$29, 10, FALSE)+VLOOKUP(BE$4, Rates_previous!$G$6:$Q$29, 11, FALSE))</f>
        <v>19204.427116751278</v>
      </c>
      <c r="BF101" s="180">
        <f>$F101*(VLOOKUP(BF$4, Rates_previous!$G$6:$Q$29, 10, FALSE)+VLOOKUP(BF$4, Rates_previous!$G$6:$Q$29, 11, FALSE))</f>
        <v>18559.597263872671</v>
      </c>
      <c r="BG101" s="180">
        <f>$F101*(VLOOKUP(BG$4, Rates_previous!$G$6:$Q$29, 10, FALSE)+VLOOKUP(BG$4, Rates_previous!$G$6:$Q$29, 11, FALSE))</f>
        <v>17151.00263315851</v>
      </c>
      <c r="BH101" s="298">
        <f>IF($D101=0,IF(C101=0, MAX(BJ101 - (VLOOKUP($A101,TOCA_previous!$A$2:$AI$137,MATCH("RHWM 2022",TOCA_previous!$A$2:$AI$2,0),FALSE)*$F$2*TOCA_previous!C98),0),0), 0)</f>
        <v>0</v>
      </c>
      <c r="BI101" s="192">
        <f>MIN(VLOOKUP($A101,TOCA_previous!$A$2:$AI$137,MATCH("TRL - NLSL - Existing Resource "&amp;$F$1,TOCA_previous!$A$2:$AI$2,0),FALSE)*$F$2,(VLOOKUP($A101,TOCA_previous!$A$2:$AI$137,MATCH("RHWM 2022",TOCA_previous!$A$2:$AI$2,0),FALSE)*$F$2))</f>
        <v>215329.56</v>
      </c>
      <c r="BJ101" s="402">
        <f>SUM(L101:AI101)+(F101*RT1SC!$C$3*$F$2)</f>
        <v>215329.57101502642</v>
      </c>
      <c r="BK101" s="401">
        <f>VLOOKUP($A101,TOCA_previous!$A$2:$AI$137,MATCH("Above RHWM Not Served with LS "&amp;$F$1,TOCA_previous!$A$2:$AI$2,0),FALSE)*$F$2</f>
        <v>0</v>
      </c>
      <c r="BL101" s="402">
        <f t="shared" si="27"/>
        <v>1.101502642268315E-2</v>
      </c>
      <c r="BM101" s="401">
        <f>(VLOOKUP($A101,TOCA_previous!$A$2:$AI$137,MATCH("RHWM 2022",TOCA_previous!$A$2:$AI$2,0),FALSE)*$F$2) - $BI101</f>
        <v>0</v>
      </c>
      <c r="BN101" s="402">
        <f t="shared" si="28"/>
        <v>0</v>
      </c>
      <c r="BO101" s="401">
        <f t="shared" si="29"/>
        <v>0</v>
      </c>
      <c r="BP101" s="402">
        <f t="shared" si="30"/>
        <v>0</v>
      </c>
      <c r="BQ101" s="401">
        <f t="shared" si="21"/>
        <v>0</v>
      </c>
      <c r="BR101" s="108">
        <f>VLOOKUP($A101,TOCA_current!$A$2:$AI$137,MATCH(BR$4,TOCA_current!$A$2:$AI$2,0),FALSE)</f>
        <v>3.6483000000000002E-3</v>
      </c>
      <c r="BS101" s="108">
        <f>VLOOKUP($A101,TOCA_current!$A$2:$AI$137,MATCH(BS$4,TOCA_current!$A$2:$AI$2,0),FALSE)</f>
        <v>3.6483000000000002E-3</v>
      </c>
      <c r="BT101" s="189">
        <f t="shared" si="31"/>
        <v>0</v>
      </c>
      <c r="BU101" s="108">
        <f>VLOOKUP($A101,TOCA_current!A97:BG232,MATCH(BU$4,TOCA_current!$A$2:$BG$2,0),FALSE)</f>
        <v>0</v>
      </c>
      <c r="BV101" s="108">
        <f t="shared" si="22"/>
        <v>0</v>
      </c>
      <c r="BW101" s="108">
        <f t="shared" si="23"/>
        <v>0</v>
      </c>
      <c r="BX101" s="179">
        <f>VLOOKUP($A101,IRD!$A$4:$G$139, 7, FALSE)</f>
        <v>0</v>
      </c>
      <c r="BY101" s="180">
        <f t="array" ref="BY101">IF($BT101=0, INDEX(LS_current!$D$4:$AY$138, MATCH('Staging Table'!$A101, LS_current!$B$4:$B$138, 0), MATCH(BY$4&amp;BY$5, LS_current!$D$2:$AY$2&amp;LS_current!$D$3:$AY$3, 0)),SUM(VLOOKUP($A101, LS_current!$B$4:$AY$138, LS_current!D$148, FALSE), VLOOKUP($A101, LS_current!$B$4:$AY$138,LS_current!AB$148, FALSE))/2)</f>
        <v>-5008.9046289259022</v>
      </c>
      <c r="BZ101" s="180">
        <f t="array" ref="BZ101">IF($BT101=0, INDEX(LS_current!$D$4:$AY$138, MATCH('Staging Table'!$A101, LS_current!$B$4:$B$138, 0), MATCH(BZ$4&amp;BZ$5, LS_current!$D$2:$AY$2&amp;LS_current!$D$3:$AY$3, 0)),SUM(VLOOKUP($A101, LS_current!$B$4:$AY$138, LS_current!E$148, FALSE), VLOOKUP($A101, LS_current!$B$4:$AY$138,LS_current!AC$148, FALSE))/2)</f>
        <v>-2686.490670154556</v>
      </c>
      <c r="CA101" s="180">
        <f t="array" ref="CA101">IF($BT101=0, INDEX(LS_current!$D$4:$AY$138, MATCH('Staging Table'!$A101, LS_current!$B$4:$B$138, 0), MATCH(CA$4&amp;CA$5, LS_current!$D$2:$AY$2&amp;LS_current!$D$3:$AY$3, 0)),SUM(VLOOKUP($A101, LS_current!$B$4:$AY$138, LS_current!F$148, FALSE), VLOOKUP($A101, LS_current!$B$4:$AY$138,LS_current!AD$148, FALSE))/2)</f>
        <v>6801.3384285530392</v>
      </c>
      <c r="CB101" s="180">
        <f t="array" ref="CB101">IF($BT101=0, INDEX(LS_current!$D$4:$AY$138, MATCH('Staging Table'!$A101, LS_current!$B$4:$B$138, 0), MATCH(CB$4&amp;CB$5, LS_current!$D$2:$AY$2&amp;LS_current!$D$3:$AY$3, 0)),SUM(VLOOKUP($A101, LS_current!$B$4:$AY$138, LS_current!G$148, FALSE), VLOOKUP($A101, LS_current!$B$4:$AY$138,LS_current!AE$148, FALSE))/2)</f>
        <v>7296.3519472272901</v>
      </c>
      <c r="CC101" s="180">
        <f t="array" ref="CC101">IF($BT101=0, INDEX(LS_current!$D$4:$AY$138, MATCH('Staging Table'!$A101, LS_current!$B$4:$B$138, 0), MATCH(CC$4&amp;CC$5, LS_current!$D$2:$AY$2&amp;LS_current!$D$3:$AY$3, 0)),SUM(VLOOKUP($A101, LS_current!$B$4:$AY$138, LS_current!H$148, FALSE), VLOOKUP($A101, LS_current!$B$4:$AY$138,LS_current!AF$148, FALSE))/2)</f>
        <v>3585.1962655030584</v>
      </c>
      <c r="CD101" s="180">
        <f t="array" ref="CD101">IF($BT101=0, INDEX(LS_current!$D$4:$AY$138, MATCH('Staging Table'!$A101, LS_current!$B$4:$B$138, 0), MATCH(CD$4&amp;CD$5, LS_current!$D$2:$AY$2&amp;LS_current!$D$3:$AY$3, 0)),SUM(VLOOKUP($A101, LS_current!$B$4:$AY$138, LS_current!I$148, FALSE), VLOOKUP($A101, LS_current!$B$4:$AY$138,LS_current!AG$148, FALSE))/2)</f>
        <v>5788.9357717864114</v>
      </c>
      <c r="CE101" s="180">
        <f t="array" ref="CE101">IF($BT101=0, INDEX(LS_current!$D$4:$AY$138, MATCH('Staging Table'!$A101, LS_current!$B$4:$B$138, 0), MATCH(CE$4&amp;CE$5, LS_current!$D$2:$AY$2&amp;LS_current!$D$3:$AY$3, 0)),SUM(VLOOKUP($A101, LS_current!$B$4:$AY$138, LS_current!J$148, FALSE), VLOOKUP($A101, LS_current!$B$4:$AY$138,LS_current!AH$148, FALSE))/2)</f>
        <v>10418.241211649365</v>
      </c>
      <c r="CF101" s="180">
        <f t="array" ref="CF101">IF($BT101=0, INDEX(LS_current!$D$4:$AY$138, MATCH('Staging Table'!$A101, LS_current!$B$4:$B$138, 0), MATCH(CF$4&amp;CF$5, LS_current!$D$2:$AY$2&amp;LS_current!$D$3:$AY$3, 0)),SUM(VLOOKUP($A101, LS_current!$B$4:$AY$138, LS_current!K$148, FALSE), VLOOKUP($A101, LS_current!$B$4:$AY$138,LS_current!AI$148, FALSE))/2)</f>
        <v>10575.967973315424</v>
      </c>
      <c r="CG101" s="180">
        <f t="array" ref="CG101">IF($BT101=0, INDEX(LS_current!$D$4:$AY$138, MATCH('Staging Table'!$A101, LS_current!$B$4:$B$138, 0), MATCH(CG$4&amp;CG$5, LS_current!$D$2:$AY$2&amp;LS_current!$D$3:$AY$3, 0)),SUM(VLOOKUP($A101, LS_current!$B$4:$AY$138, LS_current!L$148, FALSE), VLOOKUP($A101, LS_current!$B$4:$AY$138,LS_current!AJ$148, FALSE))/2)</f>
        <v>9815.580510506381</v>
      </c>
      <c r="CH101" s="180">
        <f t="array" ref="CH101">IF($BT101=0, INDEX(LS_current!$D$4:$AY$138, MATCH('Staging Table'!$A101, LS_current!$B$4:$B$138, 0), MATCH(CH$4&amp;CH$5, LS_current!$D$2:$AY$2&amp;LS_current!$D$3:$AY$3, 0)),SUM(VLOOKUP($A101, LS_current!$B$4:$AY$138, LS_current!M$148, FALSE), VLOOKUP($A101, LS_current!$B$4:$AY$138,LS_current!AK$148, FALSE))/2)</f>
        <v>9277.7377351182367</v>
      </c>
      <c r="CI101" s="180">
        <f t="array" ref="CI101">IF($BT101=0, INDEX(LS_current!$D$4:$AY$138, MATCH('Staging Table'!$A101, LS_current!$B$4:$B$138, 0), MATCH(CI$4&amp;CI$5, LS_current!$D$2:$AY$2&amp;LS_current!$D$3:$AY$3, 0)),SUM(VLOOKUP($A101, LS_current!$B$4:$AY$138, LS_current!N$148, FALSE), VLOOKUP($A101, LS_current!$B$4:$AY$138,LS_current!AL$148, FALSE))/2)</f>
        <v>7564.4248928065426</v>
      </c>
      <c r="CJ101" s="180">
        <f t="array" ref="CJ101">IF($BT101=0, INDEX(LS_current!$D$4:$AY$138, MATCH('Staging Table'!$A101, LS_current!$B$4:$B$138, 0), MATCH(CJ$4&amp;CJ$5, LS_current!$D$2:$AY$2&amp;LS_current!$D$3:$AY$3, 0)),SUM(VLOOKUP($A101, LS_current!$B$4:$AY$138, LS_current!O$148, FALSE), VLOOKUP($A101, LS_current!$B$4:$AY$138,LS_current!AM$148, FALSE))/2)</f>
        <v>7753.4920985581448</v>
      </c>
      <c r="CK101" s="180">
        <f t="array" ref="CK101">IF($BT101=0, INDEX(LS_current!$D$4:$AY$138, MATCH('Staging Table'!$A101, LS_current!$B$4:$B$138, 0), MATCH(CK$4&amp;CK$5, LS_current!$D$2:$AY$2&amp;LS_current!$D$3:$AY$3, 0)),SUM(VLOOKUP($A101, LS_current!$B$4:$AY$138, LS_current!P$148, FALSE), VLOOKUP($A101, LS_current!$B$4:$AY$138,LS_current!AN$148, FALSE))/2)</f>
        <v>-8624.3320066532488</v>
      </c>
      <c r="CL101" s="180">
        <f t="array" ref="CL101">IF($BT101=0, INDEX(LS_current!$D$4:$AY$138, MATCH('Staging Table'!$A101, LS_current!$B$4:$B$138, 0), MATCH(CL$4&amp;CL$5, LS_current!$D$2:$AY$2&amp;LS_current!$D$3:$AY$3, 0)),SUM(VLOOKUP($A101, LS_current!$B$4:$AY$138, LS_current!Q$148, FALSE), VLOOKUP($A101, LS_current!$B$4:$AY$138,LS_current!AO$148, FALSE))/2)</f>
        <v>-5429.5831005025238</v>
      </c>
      <c r="CM101" s="180">
        <f t="array" ref="CM101">IF($BT101=0, INDEX(LS_current!$D$4:$AY$138, MATCH('Staging Table'!$A101, LS_current!$B$4:$B$138, 0), MATCH(CM$4&amp;CM$5, LS_current!$D$2:$AY$2&amp;LS_current!$D$3:$AY$3, 0)),SUM(VLOOKUP($A101, LS_current!$B$4:$AY$138, LS_current!R$148, FALSE), VLOOKUP($A101, LS_current!$B$4:$AY$138,LS_current!AP$148, FALSE))/2)</f>
        <v>-12301.399406558401</v>
      </c>
      <c r="CN101" s="180">
        <f t="array" ref="CN101">IF($BT101=0, INDEX(LS_current!$D$4:$AY$138, MATCH('Staging Table'!$A101, LS_current!$B$4:$B$138, 0), MATCH(CN$4&amp;CN$5, LS_current!$D$2:$AY$2&amp;LS_current!$D$3:$AY$3, 0)),SUM(VLOOKUP($A101, LS_current!$B$4:$AY$138, LS_current!S$148, FALSE), VLOOKUP($A101, LS_current!$B$4:$AY$138,LS_current!AQ$148, FALSE))/2)</f>
        <v>-7942.6014109555499</v>
      </c>
      <c r="CO101" s="180">
        <f t="array" ref="CO101">IF($BT101=0, INDEX(LS_current!$D$4:$AY$138, MATCH('Staging Table'!$A101, LS_current!$B$4:$B$138, 0), MATCH(CO$4&amp;CO$5, LS_current!$D$2:$AY$2&amp;LS_current!$D$3:$AY$3, 0)),SUM(VLOOKUP($A101, LS_current!$B$4:$AY$138, LS_current!T$148, FALSE), VLOOKUP($A101, LS_current!$B$4:$AY$138,LS_current!AR$148, FALSE))/2)</f>
        <v>-12987.9769164258</v>
      </c>
      <c r="CP101" s="180">
        <f t="array" ref="CP101">IF($BT101=0, INDEX(LS_current!$D$4:$AY$138, MATCH('Staging Table'!$A101, LS_current!$B$4:$B$138, 0), MATCH(CP$4&amp;CP$5, LS_current!$D$2:$AY$2&amp;LS_current!$D$3:$AY$3, 0)),SUM(VLOOKUP($A101, LS_current!$B$4:$AY$138, LS_current!U$148, FALSE), VLOOKUP($A101, LS_current!$B$4:$AY$138,LS_current!AS$148, FALSE))/2)</f>
        <v>-7695.2681813323507</v>
      </c>
      <c r="CQ101" s="180">
        <f t="array" ref="CQ101">IF($BT101=0, INDEX(LS_current!$D$4:$AY$138, MATCH('Staging Table'!$A101, LS_current!$B$4:$B$138, 0), MATCH(CQ$4&amp;CQ$5, LS_current!$D$2:$AY$2&amp;LS_current!$D$3:$AY$3, 0)),SUM(VLOOKUP($A101, LS_current!$B$4:$AY$138, LS_current!V$148, FALSE), VLOOKUP($A101, LS_current!$B$4:$AY$138,LS_current!AT$148, FALSE))/2)</f>
        <v>-6380.0189255044361</v>
      </c>
      <c r="CR101" s="180">
        <f t="array" ref="CR101">IF($BT101=0, INDEX(LS_current!$D$4:$AY$138, MATCH('Staging Table'!$A101, LS_current!$B$4:$B$138, 0), MATCH(CR$4&amp;CR$5, LS_current!$D$2:$AY$2&amp;LS_current!$D$3:$AY$3, 0)),SUM(VLOOKUP($A101, LS_current!$B$4:$AY$138, LS_current!W$148, FALSE), VLOOKUP($A101, LS_current!$B$4:$AY$138,LS_current!AU$148, FALSE))/2)</f>
        <v>-2974.5315730050315</v>
      </c>
      <c r="CS101" s="180">
        <f t="array" ref="CS101">IF($BT101=0, INDEX(LS_current!$D$4:$AY$138, MATCH('Staging Table'!$A101, LS_current!$B$4:$B$138, 0), MATCH(CS$4&amp;CS$5, LS_current!$D$2:$AY$2&amp;LS_current!$D$3:$AY$3, 0)),SUM(VLOOKUP($A101, LS_current!$B$4:$AY$138, LS_current!X$148, FALSE), VLOOKUP($A101, LS_current!$B$4:$AY$138,LS_current!AV$148, FALSE))/2)</f>
        <v>-5885.7849039092689</v>
      </c>
      <c r="CT101" s="180">
        <f t="array" ref="CT101">IF($BT101=0, INDEX(LS_current!$D$4:$AY$138, MATCH('Staging Table'!$A101, LS_current!$B$4:$B$138, 0), MATCH(CT$4&amp;CT$5, LS_current!$D$2:$AY$2&amp;LS_current!$D$3:$AY$3, 0)),SUM(VLOOKUP($A101, LS_current!$B$4:$AY$138, LS_current!Y$148, FALSE), VLOOKUP($A101, LS_current!$B$4:$AY$138,LS_current!AW$148, FALSE))/2)</f>
        <v>-2645.0886214909565</v>
      </c>
      <c r="CU101" s="180">
        <f t="array" ref="CU101">IF($BT101=0, INDEX(LS_current!$D$4:$AY$138, MATCH('Staging Table'!$A101, LS_current!$B$4:$B$138, 0), MATCH(CU$4&amp;CU$5, LS_current!$D$2:$AY$2&amp;LS_current!$D$3:$AY$3, 0)),SUM(VLOOKUP($A101, LS_current!$B$4:$AY$138, LS_current!Z$148, FALSE), VLOOKUP($A101, LS_current!$B$4:$AY$138,LS_current!AX$148, FALSE))/2)</f>
        <v>-123.71563143420099</v>
      </c>
      <c r="CV101" s="180">
        <f t="array" ref="CV101">IF($BT101=0, INDEX(LS_current!$D$4:$AY$138, MATCH('Staging Table'!$A101, LS_current!$B$4:$B$138, 0), MATCH(CV$4&amp;CV$5, LS_current!$D$2:$AY$2&amp;LS_current!$D$3:$AY$3, 0)),SUM(VLOOKUP($A101, LS_current!$B$4:$AY$138, LS_current!AA$148, FALSE), VLOOKUP($A101, LS_current!$B$4:$AY$138,LS_current!AY$148, FALSE))/2)</f>
        <v>1806.0187122767993</v>
      </c>
      <c r="CW101" s="182">
        <f t="array" ref="CW101">INDEX(Demand_current!$D$4:$AY$138, MATCH($A101, Demand_current!$B$4:$B$138, 0), MATCH(CW$4&amp;CW$5,Demand_current!$D$2:$AY$2&amp;Demand_current!$D$3:$AY$3, 0))/1000</f>
        <v>0</v>
      </c>
      <c r="CX101" s="182">
        <f t="array" ref="CX101">INDEX(Demand_current!$D$4:$AY$138, MATCH($A101, Demand_current!$B$4:$B$138, 0), MATCH(CX$4&amp;CX$5,Demand_current!$D$2:$AY$2&amp;Demand_current!$D$3:$AY$3, 0))/1000</f>
        <v>0</v>
      </c>
      <c r="CY101" s="182">
        <f t="array" ref="CY101">INDEX(Demand_current!$D$4:$AY$138, MATCH($A101, Demand_current!$B$4:$B$138, 0), MATCH(CY$4&amp;CY$5,Demand_current!$D$2:$AY$2&amp;Demand_current!$D$3:$AY$3, 0))/1000</f>
        <v>0</v>
      </c>
      <c r="CZ101" s="182">
        <f t="array" ref="CZ101">INDEX(Demand_current!$D$4:$AY$138, MATCH($A101, Demand_current!$B$4:$B$138, 0), MATCH(CZ$4&amp;CZ$5,Demand_current!$D$2:$AY$2&amp;Demand_current!$D$3:$AY$3, 0))/1000</f>
        <v>0</v>
      </c>
      <c r="DA101" s="182">
        <f t="array" ref="DA101">INDEX(Demand_current!$D$4:$AY$138, MATCH($A101, Demand_current!$B$4:$B$138, 0), MATCH(DA$4&amp;DA$5,Demand_current!$D$2:$AY$2&amp;Demand_current!$D$3:$AY$3, 0))/1000</f>
        <v>0</v>
      </c>
      <c r="DB101" s="182">
        <f t="array" ref="DB101">INDEX(Demand_current!$D$4:$AY$138, MATCH($A101, Demand_current!$B$4:$B$138, 0), MATCH(DB$4&amp;DB$5,Demand_current!$D$2:$AY$2&amp;Demand_current!$D$3:$AY$3, 0))/1000</f>
        <v>0</v>
      </c>
      <c r="DC101" s="182">
        <f t="array" ref="DC101">INDEX(Demand_current!$D$4:$AY$138, MATCH($A101, Demand_current!$B$4:$B$138, 0), MATCH(DC$4&amp;DC$5,Demand_current!$D$2:$AY$2&amp;Demand_current!$D$3:$AY$3, 0))/1000</f>
        <v>0</v>
      </c>
      <c r="DD101" s="182">
        <f t="array" ref="DD101">INDEX(Demand_current!$D$4:$AY$138, MATCH($A101, Demand_current!$B$4:$B$138, 0), MATCH(DD$4&amp;DD$5,Demand_current!$D$2:$AY$2&amp;Demand_current!$D$3:$AY$3, 0))/1000</f>
        <v>0</v>
      </c>
      <c r="DE101" s="182">
        <f t="array" ref="DE101">INDEX(Demand_current!$D$4:$AY$138, MATCH($A101, Demand_current!$B$4:$B$138, 0), MATCH(DE$4&amp;DE$5,Demand_current!$D$2:$AY$2&amp;Demand_current!$D$3:$AY$3, 0))/1000</f>
        <v>0</v>
      </c>
      <c r="DF101" s="182">
        <f t="array" ref="DF101">INDEX(Demand_current!$D$4:$AY$138, MATCH($A101, Demand_current!$B$4:$B$138, 0), MATCH(DF$4&amp;DF$5,Demand_current!$D$2:$AY$2&amp;Demand_current!$D$3:$AY$3, 0))/1000</f>
        <v>0</v>
      </c>
      <c r="DG101" s="182">
        <f t="array" ref="DG101">INDEX(Demand_current!$D$4:$AY$138, MATCH($A101, Demand_current!$B$4:$B$138, 0), MATCH(DG$4&amp;DG$5,Demand_current!$D$2:$AY$2&amp;Demand_current!$D$3:$AY$3, 0))/1000</f>
        <v>0</v>
      </c>
      <c r="DH101" s="182">
        <f t="array" ref="DH101">INDEX(Demand_current!$D$4:$AY$138, MATCH($A101, Demand_current!$B$4:$B$138, 0), MATCH(DH$4&amp;DH$5,Demand_current!$D$2:$AY$2&amp;Demand_current!$D$3:$AY$3, 0))/1000</f>
        <v>0</v>
      </c>
      <c r="DI101" s="180">
        <f>$BS101*(VLOOKUP(DI$4, Rates_current!$G$6:$Q$29, 10, FALSE)+VLOOKUP(DI$4, Rates_current!$G$6:$Q$29, 11, FALSE))</f>
        <v>15391.461763080451</v>
      </c>
      <c r="DJ101" s="180">
        <f>$BS101*(VLOOKUP(DJ$4, Rates_current!$G$6:$Q$29, 10, FALSE)+VLOOKUP(DJ$4, Rates_current!$G$6:$Q$29, 11, FALSE))</f>
        <v>19629.189128219703</v>
      </c>
      <c r="DK101" s="180">
        <f>$BS101*(VLOOKUP(DK$4, Rates_current!$G$6:$Q$29, 10, FALSE)+VLOOKUP(DK$4, Rates_current!$G$6:$Q$29, 11, FALSE))</f>
        <v>21183.778922710502</v>
      </c>
      <c r="DL101" s="180">
        <f>$BS101*(VLOOKUP(DL$4, Rates_current!$G$6:$Q$29, 10, FALSE)+VLOOKUP(DL$4, Rates_current!$G$6:$Q$29, 11, FALSE))</f>
        <v>22013.221055035199</v>
      </c>
      <c r="DM101" s="180">
        <f>$BS101*(VLOOKUP(DM$4, Rates_current!$G$6:$Q$29, 10, FALSE)+VLOOKUP(DM$4, Rates_current!$G$6:$Q$29, 11, FALSE))</f>
        <v>18934.3042823754</v>
      </c>
      <c r="DN101" s="180">
        <f>$BS101*(VLOOKUP(DN$4, Rates_current!$G$6:$Q$29, 10, FALSE)+VLOOKUP(DN$4, Rates_current!$G$6:$Q$29, 11, FALSE))</f>
        <v>20672.511472635299</v>
      </c>
      <c r="DO101" s="180">
        <f>$BS101*(VLOOKUP(DO$4, Rates_current!$G$6:$Q$29, 10, FALSE)+VLOOKUP(DO$4, Rates_current!$G$6:$Q$29, 11, FALSE))</f>
        <v>16317.464067155774</v>
      </c>
      <c r="DP101" s="180">
        <f>$BS101*(VLOOKUP(DP$4, Rates_current!$G$6:$Q$29, 10, FALSE)+VLOOKUP(DP$4, Rates_current!$G$6:$Q$29, 11, FALSE))</f>
        <v>20244.000817513952</v>
      </c>
      <c r="DQ101" s="180">
        <f>$BS101*(VLOOKUP(DQ$4, Rates_current!$G$6:$Q$29, 10, FALSE)+VLOOKUP(DQ$4, Rates_current!$G$6:$Q$29, 11, FALSE))</f>
        <v>20683.24509775815</v>
      </c>
      <c r="DR101" s="180">
        <f>$BS101*(VLOOKUP(DR$4, Rates_current!$G$6:$Q$29, 10, FALSE)+VLOOKUP(DR$4, Rates_current!$G$6:$Q$29, 11, FALSE))</f>
        <v>17956.036546509451</v>
      </c>
      <c r="DS101" s="180">
        <f>$BS101*(VLOOKUP(DS$4, Rates_current!$G$6:$Q$29, 10, FALSE)+VLOOKUP(DS$4, Rates_current!$G$6:$Q$29, 11, FALSE))</f>
        <v>17358.714469400209</v>
      </c>
      <c r="DT101" s="180">
        <f>$BS101*(VLOOKUP(DT$4, Rates_current!$G$6:$Q$29, 10, FALSE)+VLOOKUP(DT$4, Rates_current!$G$6:$Q$29, 11, FALSE))</f>
        <v>15973.378807157402</v>
      </c>
      <c r="DU101" s="402">
        <f>IF(D101=0,IF(C101=0,MAX(0,DW101 - (VLOOKUP($A101,TOCA_current!$A$2:$AI$137,MATCH("RHWM 2024",TOCA_current!$A$2:$AI$2,0),FALSE)*$BS$2)), 0),0)</f>
        <v>0</v>
      </c>
      <c r="DV101" s="403">
        <f>MIN(VLOOKUP($A101,TOCA_current!$A$2:$AI$137,MATCH("TRL - NLSL - Existing Resource "&amp;$BS$1,TOCA_current!$A$2:$AI$2,0),FALSE)*$BS$2, VLOOKUP($A101,TOCA_current!$A$2:$AI$137,MATCH("RHWM 2024",TOCA_current!$A$2:$AI$2,0),FALSE)*$BS$2)</f>
        <v>226354.89599999998</v>
      </c>
      <c r="DW101" s="403">
        <f>SUM(BY101:CV101)+(BS101*RT1SC!$C$4*$BS$2)</f>
        <v>226354.89703757645</v>
      </c>
      <c r="DX101" s="403">
        <f>VLOOKUP($A101,TOCA_current!$A$2:$AI$137,MATCH("Above RHWM Not Served with LS "&amp;$BS$1,TOCA_current!$A$2:$AI$2,0),FALSE)*$BS$2</f>
        <v>0</v>
      </c>
      <c r="DY101" s="403">
        <f t="shared" si="32"/>
        <v>1.0375764686614275E-3</v>
      </c>
      <c r="DZ101" s="403">
        <f>(VLOOKUP($A101,TOCA_current!$A$2:$AI$137,MATCH("RHWM 2024",TOCA_current!$A$2:$AI$2,0),FALSE)*$BS$2) - $DV101</f>
        <v>0</v>
      </c>
      <c r="EA101" s="403">
        <f t="shared" si="33"/>
        <v>0</v>
      </c>
      <c r="EB101" s="403">
        <f t="shared" si="34"/>
        <v>0</v>
      </c>
      <c r="EC101" s="403">
        <f t="shared" si="35"/>
        <v>0</v>
      </c>
      <c r="ED101" s="403">
        <f t="shared" si="36"/>
        <v>0</v>
      </c>
    </row>
    <row r="102" spans="1:134">
      <c r="A102" s="123">
        <v>10307</v>
      </c>
      <c r="B102" s="124" t="s">
        <v>103</v>
      </c>
      <c r="C102" s="232">
        <f>VLOOKUP(A102, TOCA_current!$A$3:$D$137, 4, FALSE)</f>
        <v>0</v>
      </c>
      <c r="D102" s="191">
        <v>0</v>
      </c>
      <c r="E102" s="107">
        <f>VLOOKUP($A102,TOCA_previous!$A$2:$AI$137,MATCH(E$4,TOCA_previous!$A$2:$AI$2,0),FALSE)</f>
        <v>1.01139E-2</v>
      </c>
      <c r="F102" s="108">
        <f>VLOOKUP($A102,TOCA_previous!$A$2:$AI$137,MATCH(F$4,TOCA_previous!$A$2:$AI$2,0),FALSE)</f>
        <v>1.01139E-2</v>
      </c>
      <c r="G102" s="108">
        <f t="shared" si="24"/>
        <v>0</v>
      </c>
      <c r="H102" s="108">
        <f>VLOOKUP($A102,TOCA_previous!$A$2:$AI$137,MATCH(H$4,TOCA_previous!$A$2:$AI$2,0),FALSE)</f>
        <v>0</v>
      </c>
      <c r="I102" s="108">
        <f t="shared" si="25"/>
        <v>0</v>
      </c>
      <c r="J102" s="108">
        <f t="shared" si="26"/>
        <v>0</v>
      </c>
      <c r="K102" s="179">
        <f>VLOOKUP(A102, IRD!$A$5:$C$139, 3, FALSE)</f>
        <v>0</v>
      </c>
      <c r="L102" s="180">
        <f t="array" ref="L102">IF($G102=0, INDEX(LS_previous!$D$4:$AY$138, MATCH('Staging Table'!$A102, LS_previous!$B$4:$B$138, 0), MATCH(L$4&amp;L$5, LS_previous!$D$2:$AY$2&amp;LS_previous!$D$3:$AY$3, 0)),SUM(VLOOKUP($A102, LS_previous!$B$4:$AY$138, LS_previous!D$149, FALSE), VLOOKUP('Staging Table'!$A102, LS_previous!$B$4:$AY$138,LS_previous!AB$149, FALSE))/2)</f>
        <v>76.036343514406326</v>
      </c>
      <c r="M102" s="180">
        <f t="array" ref="M102">IF($G102=0, INDEX(LS_previous!$D$4:$AY$138, MATCH('Staging Table'!$A102, LS_previous!$B$4:$B$138, 0), MATCH(M$4&amp;M$5, LS_previous!$D$2:$AY$2&amp;LS_previous!$D$3:$AY$3, 0)),SUM(VLOOKUP($A102, LS_previous!$B$4:$AY$138, LS_previous!E$149, FALSE), VLOOKUP('Staging Table'!$A102, LS_previous!$B$4:$AY$138,LS_previous!AC$149, FALSE))/2)</f>
        <v>1600.3494573306889</v>
      </c>
      <c r="N102" s="180">
        <f t="array" ref="N102">IF($G102=0, INDEX(LS_previous!$D$4:$AY$138, MATCH('Staging Table'!$A102, LS_previous!$B$4:$B$138, 0), MATCH(N$4&amp;N$5, LS_previous!$D$2:$AY$2&amp;LS_previous!$D$3:$AY$3, 0)),SUM(VLOOKUP($A102, LS_previous!$B$4:$AY$138, LS_previous!F$149, FALSE), VLOOKUP('Staging Table'!$A102, LS_previous!$B$4:$AY$138,LS_previous!AD$149, FALSE))/2)</f>
        <v>-5.5916604812737205</v>
      </c>
      <c r="O102" s="180">
        <f t="array" ref="O102">IF($G102=0, INDEX(LS_previous!$D$4:$AY$138, MATCH('Staging Table'!$A102, LS_previous!$B$4:$B$138, 0), MATCH(O$4&amp;O$5, LS_previous!$D$2:$AY$2&amp;LS_previous!$D$3:$AY$3, 0)),SUM(VLOOKUP($A102, LS_previous!$B$4:$AY$138, LS_previous!G$149, FALSE), VLOOKUP('Staging Table'!$A102, LS_previous!$B$4:$AY$138,LS_previous!AE$149, FALSE))/2)</f>
        <v>299.5088748179478</v>
      </c>
      <c r="P102" s="180">
        <f t="array" ref="P102">IF($G102=0, INDEX(LS_previous!$D$4:$AY$138, MATCH('Staging Table'!$A102, LS_previous!$B$4:$B$138, 0), MATCH(P$4&amp;P$5, LS_previous!$D$2:$AY$2&amp;LS_previous!$D$3:$AY$3, 0)),SUM(VLOOKUP($A102, LS_previous!$B$4:$AY$138, LS_previous!H$149, FALSE), VLOOKUP('Staging Table'!$A102, LS_previous!$B$4:$AY$138,LS_previous!AF$149, FALSE))/2)</f>
        <v>7853.0345386212211</v>
      </c>
      <c r="Q102" s="180">
        <f t="array" ref="Q102">IF($G102=0, INDEX(LS_previous!$D$4:$AY$138, MATCH('Staging Table'!$A102, LS_previous!$B$4:$B$138, 0), MATCH(Q$4&amp;Q$5, LS_previous!$D$2:$AY$2&amp;LS_previous!$D$3:$AY$3, 0)),SUM(VLOOKUP($A102, LS_previous!$B$4:$AY$138, LS_previous!I$149, FALSE), VLOOKUP('Staging Table'!$A102, LS_previous!$B$4:$AY$138,LS_previous!AG$149, FALSE))/2)</f>
        <v>3443.6936330630124</v>
      </c>
      <c r="R102" s="180">
        <f t="array" ref="R102">IF($G102=0, INDEX(LS_previous!$D$4:$AY$138, MATCH('Staging Table'!$A102, LS_previous!$B$4:$B$138, 0), MATCH(R$4&amp;R$5, LS_previous!$D$2:$AY$2&amp;LS_previous!$D$3:$AY$3, 0)),SUM(VLOOKUP($A102, LS_previous!$B$4:$AY$138, LS_previous!J$149, FALSE), VLOOKUP('Staging Table'!$A102, LS_previous!$B$4:$AY$138,LS_previous!AH$149, FALSE))/2)</f>
        <v>15328.031817274434</v>
      </c>
      <c r="S102" s="180">
        <f t="array" ref="S102">IF($G102=0, INDEX(LS_previous!$D$4:$AY$138, MATCH('Staging Table'!$A102, LS_previous!$B$4:$B$138, 0), MATCH(S$4&amp;S$5, LS_previous!$D$2:$AY$2&amp;LS_previous!$D$3:$AY$3, 0)),SUM(VLOOKUP($A102, LS_previous!$B$4:$AY$138, LS_previous!K$149, FALSE), VLOOKUP('Staging Table'!$A102, LS_previous!$B$4:$AY$138,LS_previous!AI$149, FALSE))/2)</f>
        <v>6349.7262349918165</v>
      </c>
      <c r="T102" s="180">
        <f t="array" ref="T102">IF($G102=0, INDEX(LS_previous!$D$4:$AY$138, MATCH('Staging Table'!$A102, LS_previous!$B$4:$B$138, 0), MATCH(T$4&amp;T$5, LS_previous!$D$2:$AY$2&amp;LS_previous!$D$3:$AY$3, 0)),SUM(VLOOKUP($A102, LS_previous!$B$4:$AY$138, LS_previous!L$149, FALSE), VLOOKUP('Staging Table'!$A102, LS_previous!$B$4:$AY$138,LS_previous!AJ$149, FALSE))/2)</f>
        <v>15253.501778512589</v>
      </c>
      <c r="U102" s="180">
        <f t="array" ref="U102">IF($G102=0, INDEX(LS_previous!$D$4:$AY$138, MATCH('Staging Table'!$A102, LS_previous!$B$4:$B$138, 0), MATCH(U$4&amp;U$5, LS_previous!$D$2:$AY$2&amp;LS_previous!$D$3:$AY$3, 0)),SUM(VLOOKUP($A102, LS_previous!$B$4:$AY$138, LS_previous!M$149, FALSE), VLOOKUP('Staging Table'!$A102, LS_previous!$B$4:$AY$138,LS_previous!AK$149, FALSE))/2)</f>
        <v>6091.1462185051241</v>
      </c>
      <c r="V102" s="180">
        <f t="array" ref="V102">IF($G102=0, INDEX(LS_previous!$D$4:$AY$138, MATCH('Staging Table'!$A102, LS_previous!$B$4:$B$138, 0), MATCH(V$4&amp;V$5, LS_previous!$D$2:$AY$2&amp;LS_previous!$D$3:$AY$3, 0)),SUM(VLOOKUP($A102, LS_previous!$B$4:$AY$138, LS_previous!N$149, FALSE), VLOOKUP('Staging Table'!$A102, LS_previous!$B$4:$AY$138,LS_previous!AL$149, FALSE))/2)</f>
        <v>3453.8949961606268</v>
      </c>
      <c r="W102" s="180">
        <f t="array" ref="W102">IF($G102=0, INDEX(LS_previous!$D$4:$AY$138, MATCH('Staging Table'!$A102, LS_previous!$B$4:$B$138, 0), MATCH(W$4&amp;W$5, LS_previous!$D$2:$AY$2&amp;LS_previous!$D$3:$AY$3, 0)),SUM(VLOOKUP($A102, LS_previous!$B$4:$AY$138, LS_previous!O$149, FALSE), VLOOKUP('Staging Table'!$A102, LS_previous!$B$4:$AY$138,LS_previous!AM$149, FALSE))/2)</f>
        <v>2758.0757799512467</v>
      </c>
      <c r="X102" s="180">
        <f t="array" ref="X102">IF($G102=0, INDEX(LS_previous!$D$4:$AY$138, MATCH('Staging Table'!$A102, LS_previous!$B$4:$B$138, 0), MATCH(X$4&amp;X$5, LS_previous!$D$2:$AY$2&amp;LS_previous!$D$3:$AY$3, 0)),SUM(VLOOKUP($A102, LS_previous!$B$4:$AY$138, LS_previous!P$149, FALSE), VLOOKUP('Staging Table'!$A102, LS_previous!$B$4:$AY$138,LS_previous!AN$149, FALSE))/2)</f>
        <v>6021.2186521419426</v>
      </c>
      <c r="Y102" s="180">
        <f t="array" ref="Y102">IF($G102=0, INDEX(LS_previous!$D$4:$AY$138, MATCH('Staging Table'!$A102, LS_previous!$B$4:$B$138, 0), MATCH(Y$4&amp;Y$5, LS_previous!$D$2:$AY$2&amp;LS_previous!$D$3:$AY$3, 0)),SUM(VLOOKUP($A102, LS_previous!$B$4:$AY$138, LS_previous!Q$149, FALSE), VLOOKUP('Staging Table'!$A102, LS_previous!$B$4:$AY$138,LS_previous!AO$149, FALSE))/2)</f>
        <v>2856.504419478113</v>
      </c>
      <c r="Z102" s="180">
        <f t="array" ref="Z102">IF($G102=0, INDEX(LS_previous!$D$4:$AY$138, MATCH('Staging Table'!$A102, LS_previous!$B$4:$B$138, 0), MATCH(Z$4&amp;Z$5, LS_previous!$D$2:$AY$2&amp;LS_previous!$D$3:$AY$3, 0)),SUM(VLOOKUP($A102, LS_previous!$B$4:$AY$138, LS_previous!R$149, FALSE), VLOOKUP('Staging Table'!$A102, LS_previous!$B$4:$AY$138,LS_previous!AP$149, FALSE))/2)</f>
        <v>-11518.492073178353</v>
      </c>
      <c r="AA102" s="180">
        <f t="array" ref="AA102">IF($G102=0, INDEX(LS_previous!$D$4:$AY$138, MATCH('Staging Table'!$A102, LS_previous!$B$4:$B$138, 0), MATCH(AA$4&amp;AA$5, LS_previous!$D$2:$AY$2&amp;LS_previous!$D$3:$AY$3, 0)),SUM(VLOOKUP($A102, LS_previous!$B$4:$AY$138, LS_previous!S$149, FALSE), VLOOKUP('Staging Table'!$A102, LS_previous!$B$4:$AY$138,LS_previous!AQ$149, FALSE))/2)</f>
        <v>-2088.8346310108118</v>
      </c>
      <c r="AB102" s="180">
        <f t="array" ref="AB102">IF($G102=0, INDEX(LS_previous!$D$4:$AY$138, MATCH('Staging Table'!$A102, LS_previous!$B$4:$B$138, 0), MATCH(AB$4&amp;AB$5, LS_previous!$D$2:$AY$2&amp;LS_previous!$D$3:$AY$3, 0)),SUM(VLOOKUP($A102, LS_previous!$B$4:$AY$138, LS_previous!T$149, FALSE), VLOOKUP('Staging Table'!$A102, LS_previous!$B$4:$AY$138,LS_previous!AR$149, FALSE))/2)</f>
        <v>-17085.259187991702</v>
      </c>
      <c r="AC102" s="180">
        <f t="array" ref="AC102">IF($G102=0, INDEX(LS_previous!$D$4:$AY$138, MATCH('Staging Table'!$A102, LS_previous!$B$4:$B$138, 0), MATCH(AC$4&amp;AC$5, LS_previous!$D$2:$AY$2&amp;LS_previous!$D$3:$AY$3, 0)),SUM(VLOOKUP($A102, LS_previous!$B$4:$AY$138, LS_previous!U$149, FALSE), VLOOKUP('Staging Table'!$A102, LS_previous!$B$4:$AY$138,LS_previous!AS$149, FALSE))/2)</f>
        <v>-1484.8493315161377</v>
      </c>
      <c r="AD102" s="180">
        <f t="array" ref="AD102">IF($G102=0, INDEX(LS_previous!$D$4:$AY$138, MATCH('Staging Table'!$A102, LS_previous!$B$4:$B$138, 0), MATCH(AD$4&amp;AD$5, LS_previous!$D$2:$AY$2&amp;LS_previous!$D$3:$AY$3, 0)),SUM(VLOOKUP($A102, LS_previous!$B$4:$AY$138, LS_previous!V$149, FALSE), VLOOKUP('Staging Table'!$A102, LS_previous!$B$4:$AY$138,LS_previous!AT$149, FALSE))/2)</f>
        <v>-10692.731248243399</v>
      </c>
      <c r="AE102" s="180">
        <f t="array" ref="AE102">IF($G102=0, INDEX(LS_previous!$D$4:$AY$138, MATCH('Staging Table'!$A102, LS_previous!$B$4:$B$138, 0), MATCH(AE$4&amp;AE$5, LS_previous!$D$2:$AY$2&amp;LS_previous!$D$3:$AY$3, 0)),SUM(VLOOKUP($A102, LS_previous!$B$4:$AY$138, LS_previous!W$149, FALSE), VLOOKUP('Staging Table'!$A102, LS_previous!$B$4:$AY$138,LS_previous!AU$149, FALSE))/2)</f>
        <v>-2209.3001357277608</v>
      </c>
      <c r="AF102" s="180">
        <f t="array" ref="AF102">IF($G102=0, INDEX(LS_previous!$D$4:$AY$138, MATCH('Staging Table'!$A102, LS_previous!$B$4:$B$138, 0), MATCH(AF$4&amp;AF$5, LS_previous!$D$2:$AY$2&amp;LS_previous!$D$3:$AY$3, 0)),SUM(VLOOKUP($A102, LS_previous!$B$4:$AY$138, LS_previous!X$149, FALSE), VLOOKUP('Staging Table'!$A102, LS_previous!$B$4:$AY$138,LS_previous!AV$149, FALSE))/2)</f>
        <v>-8379.8205545508063</v>
      </c>
      <c r="AG102" s="180">
        <f t="array" ref="AG102">IF($G102=0, INDEX(LS_previous!$D$4:$AY$138, MATCH('Staging Table'!$A102, LS_previous!$B$4:$B$138, 0), MATCH(AG$4&amp;AG$5, LS_previous!$D$2:$AY$2&amp;LS_previous!$D$3:$AY$3, 0)),SUM(VLOOKUP($A102, LS_previous!$B$4:$AY$138, LS_previous!Y$149, FALSE), VLOOKUP('Staging Table'!$A102, LS_previous!$B$4:$AY$138,LS_previous!AW$149, FALSE))/2)</f>
        <v>-1994.262810777187</v>
      </c>
      <c r="AH102" s="180">
        <f t="array" ref="AH102">IF($G102=0, INDEX(LS_previous!$D$4:$AY$138, MATCH('Staging Table'!$A102, LS_previous!$B$4:$B$138, 0), MATCH(AH$4&amp;AH$5, LS_previous!$D$2:$AY$2&amp;LS_previous!$D$3:$AY$3, 0)),SUM(VLOOKUP($A102, LS_previous!$B$4:$AY$138, LS_previous!Z$149, FALSE), VLOOKUP('Staging Table'!$A102, LS_previous!$B$4:$AY$138,LS_previous!AX$149, FALSE))/2)</f>
        <v>-7785.8580585966047</v>
      </c>
      <c r="AI102" s="180">
        <f t="array" ref="AI102">IF($G102=0, INDEX(LS_previous!$D$4:$AY$138, MATCH('Staging Table'!$A102, LS_previous!$B$4:$B$138, 0), MATCH(AI$4&amp;AI$5, LS_previous!$D$2:$AY$2&amp;LS_previous!$D$3:$AY$3, 0)),SUM(VLOOKUP($A102, LS_previous!$B$4:$AY$138, LS_previous!AA$149, FALSE), VLOOKUP('Staging Table'!$A102, LS_previous!$B$4:$AY$138,LS_previous!AY$149, FALSE))/2)</f>
        <v>-1813.8944233167585</v>
      </c>
      <c r="AJ102" s="298">
        <f t="array" ref="AJ102">INDEX(Demand_previous!$D$4:$AY$138, MATCH('Staging Table'!$A102, Demand_previous!$B$4:$B$138, 0), MATCH(AJ$4&amp;AJ$5,Demand_previous!$D$2:$AY$2&amp;Demand_previous!$D$3:$AY$3, 0))/1000</f>
        <v>0.54220913461539411</v>
      </c>
      <c r="AK102" s="298">
        <f t="array" ref="AK102">INDEX(Demand_previous!$D$4:$AY$138, MATCH('Staging Table'!$A102, Demand_previous!$B$4:$B$138, 0), MATCH(AK$4&amp;AK$5,Demand_previous!$D$2:$AY$2&amp;Demand_previous!$D$3:$AY$3, 0))/1000</f>
        <v>3.5729200000000034</v>
      </c>
      <c r="AL102" s="298">
        <f t="array" ref="AL102">INDEX(Demand_previous!$D$4:$AY$138, MATCH('Staging Table'!$A102, Demand_previous!$B$4:$B$138, 0), MATCH(AL$4&amp;AL$5,Demand_previous!$D$2:$AY$2&amp;Demand_previous!$D$3:$AY$3, 0))/1000</f>
        <v>25.416882211538447</v>
      </c>
      <c r="AM102" s="298">
        <f t="array" ref="AM102">INDEX(Demand_previous!$D$4:$AY$138, MATCH('Staging Table'!$A102, Demand_previous!$B$4:$B$138, 0), MATCH(AM$4&amp;AM$5,Demand_previous!$D$2:$AY$2&amp;Demand_previous!$D$3:$AY$3, 0))/1000</f>
        <v>13.793389999999995</v>
      </c>
      <c r="AN102" s="298">
        <f t="array" ref="AN102">INDEX(Demand_previous!$D$4:$AY$138, MATCH('Staging Table'!$A102, Demand_previous!$B$4:$B$138, 0), MATCH(AN$4&amp;AN$5,Demand_previous!$D$2:$AY$2&amp;Demand_previous!$D$3:$AY$3, 0))/1000</f>
        <v>5.4335546875000098</v>
      </c>
      <c r="AO102" s="298">
        <f t="array" ref="AO102">INDEX(Demand_previous!$D$4:$AY$138, MATCH('Staging Table'!$A102, Demand_previous!$B$4:$B$138, 0), MATCH(AO$4&amp;AO$5,Demand_previous!$D$2:$AY$2&amp;Demand_previous!$D$3:$AY$3, 0))/1000</f>
        <v>15.33486805555555</v>
      </c>
      <c r="AP102" s="298">
        <f t="array" ref="AP102">INDEX(Demand_previous!$D$4:$AY$138, MATCH('Staging Table'!$A102, Demand_previous!$B$4:$B$138, 0), MATCH(AP$4&amp;AP$5,Demand_previous!$D$2:$AY$2&amp;Demand_previous!$D$3:$AY$3, 0))/1000</f>
        <v>11.135908653846158</v>
      </c>
      <c r="AQ102" s="298">
        <f t="array" ref="AQ102">INDEX(Demand_previous!$D$4:$AY$138, MATCH('Staging Table'!$A102, Demand_previous!$B$4:$B$138, 0), MATCH(AQ$4&amp;AQ$5,Demand_previous!$D$2:$AY$2&amp;Demand_previous!$D$3:$AY$3, 0))/1000</f>
        <v>13.687085</v>
      </c>
      <c r="AR102" s="298">
        <f t="array" ref="AR102">INDEX(Demand_previous!$D$4:$AY$138, MATCH('Staging Table'!$A102, Demand_previous!$B$4:$B$138, 0), MATCH(AR$4&amp;AR$5,Demand_previous!$D$2:$AY$2&amp;Demand_previous!$D$3:$AY$3, 0))/1000</f>
        <v>20.385603365384611</v>
      </c>
      <c r="AS102" s="298">
        <f t="array" ref="AS102">INDEX(Demand_previous!$D$4:$AY$138, MATCH('Staging Table'!$A102, Demand_previous!$B$4:$B$138, 0), MATCH(AS$4&amp;AS$5,Demand_previous!$D$2:$AY$2&amp;Demand_previous!$D$3:$AY$3, 0))/1000</f>
        <v>14.613199999999996</v>
      </c>
      <c r="AT102" s="298">
        <f t="array" ref="AT102">INDEX(Demand_previous!$D$4:$AY$138, MATCH('Staging Table'!$A102, Demand_previous!$B$4:$B$138, 0), MATCH(AT$4&amp;AT$5,Demand_previous!$D$2:$AY$2&amp;Demand_previous!$D$3:$AY$3, 0))/1000</f>
        <v>19.337231481481481</v>
      </c>
      <c r="AU102" s="298">
        <f t="array" ref="AU102">INDEX(Demand_previous!$D$4:$AY$138, MATCH('Staging Table'!$A102, Demand_previous!$B$4:$B$138, 0), MATCH(AU$4&amp;AU$5,Demand_previous!$D$2:$AY$2&amp;Demand_previous!$D$3:$AY$3, 0))/1000</f>
        <v>14.040360000000009</v>
      </c>
      <c r="AV102" s="180">
        <f>$F102*(VLOOKUP(AV$4, Rates_previous!$G$6:$Q$29, 10, FALSE)+VLOOKUP(AV$4, Rates_previous!$G$6:$Q$29, 11, FALSE))</f>
        <v>46057.936199154909</v>
      </c>
      <c r="AW102" s="180">
        <f>$F102*(VLOOKUP(AW$4, Rates_previous!$G$6:$Q$29, 10, FALSE)+VLOOKUP(AW$4, Rates_previous!$G$6:$Q$29, 11, FALSE))</f>
        <v>58311.018785663335</v>
      </c>
      <c r="AX102" s="180">
        <f>$F102*(VLOOKUP(AX$4, Rates_previous!$G$6:$Q$29, 10, FALSE)+VLOOKUP(AX$4, Rates_previous!$G$6:$Q$29, 11, FALSE))</f>
        <v>57074.837828315773</v>
      </c>
      <c r="AY102" s="180">
        <f>$F102*(VLOOKUP(AY$4, Rates_previous!$G$6:$Q$29, 10, FALSE)+VLOOKUP(AY$4, Rates_previous!$G$6:$Q$29, 11, FALSE))</f>
        <v>47141.388947733751</v>
      </c>
      <c r="AZ102" s="180">
        <f>$F102*(VLOOKUP(AZ$4, Rates_previous!$G$6:$Q$29, 10, FALSE)+VLOOKUP(AZ$4, Rates_previous!$G$6:$Q$29, 11, FALSE))</f>
        <v>40858.47500298229</v>
      </c>
      <c r="BA102" s="180">
        <f>$F102*(VLOOKUP(BA$4, Rates_previous!$G$6:$Q$29, 10, FALSE)+VLOOKUP(BA$4, Rates_previous!$G$6:$Q$29, 11, FALSE))</f>
        <v>48776.768223888139</v>
      </c>
      <c r="BB102" s="180">
        <f>$F102*(VLOOKUP(BB$4, Rates_previous!$G$6:$Q$29, 10, FALSE)+VLOOKUP(BB$4, Rates_previous!$G$6:$Q$29, 11, FALSE))</f>
        <v>37868.666928379949</v>
      </c>
      <c r="BC102" s="180">
        <f>$F102*(VLOOKUP(BC$4, Rates_previous!$G$6:$Q$29, 10, FALSE)+VLOOKUP(BC$4, Rates_previous!$G$6:$Q$29, 11, FALSE))</f>
        <v>52467.316704189157</v>
      </c>
      <c r="BD102" s="180">
        <f>$F102*(VLOOKUP(BD$4, Rates_previous!$G$6:$Q$29, 10, FALSE)+VLOOKUP(BD$4, Rates_previous!$G$6:$Q$29, 11, FALSE))</f>
        <v>56062.426519507841</v>
      </c>
      <c r="BE102" s="180">
        <f>$F102*(VLOOKUP(BE$4, Rates_previous!$G$6:$Q$29, 10, FALSE)+VLOOKUP(BE$4, Rates_previous!$G$6:$Q$29, 11, FALSE))</f>
        <v>53228.735383971158</v>
      </c>
      <c r="BF102" s="180">
        <f>$F102*(VLOOKUP(BF$4, Rates_previous!$G$6:$Q$29, 10, FALSE)+VLOOKUP(BF$4, Rates_previous!$G$6:$Q$29, 11, FALSE))</f>
        <v>51441.466365327986</v>
      </c>
      <c r="BG102" s="180">
        <f>$F102*(VLOOKUP(BG$4, Rates_previous!$G$6:$Q$29, 10, FALSE)+VLOOKUP(BG$4, Rates_previous!$G$6:$Q$29, 11, FALSE))</f>
        <v>47537.277481913363</v>
      </c>
      <c r="BH102" s="298">
        <f>IF($D102=0,IF(C102=0, MAX(BJ102 - (VLOOKUP($A102,TOCA_previous!$A$2:$AI$137,MATCH("RHWM 2022",TOCA_previous!$A$2:$AI$2,0),FALSE)*$F$2*TOCA_previous!C99),0),0), 0)</f>
        <v>1629.2535302484175</v>
      </c>
      <c r="BI102" s="192">
        <f>MIN(VLOOKUP($A102,TOCA_previous!$A$2:$AI$137,MATCH("TRL - NLSL - Existing Resource "&amp;$F$1,TOCA_previous!$A$2:$AI$2,0),FALSE)*$F$2,(VLOOKUP($A102,TOCA_previous!$A$2:$AI$137,MATCH("RHWM 2022",TOCA_previous!$A$2:$AI$2,0),FALSE)*$F$2))</f>
        <v>596827.56000000006</v>
      </c>
      <c r="BJ102" s="402">
        <f>SUM(L102:AI102)+(F102*RT1SC!$C$3*$F$2)</f>
        <v>603152.17353024846</v>
      </c>
      <c r="BK102" s="401">
        <f>VLOOKUP($A102,TOCA_previous!$A$2:$AI$137,MATCH("Above RHWM Not Served with LS "&amp;$F$1,TOCA_previous!$A$2:$AI$2,0),FALSE)*$F$2</f>
        <v>0</v>
      </c>
      <c r="BL102" s="402">
        <f t="shared" si="27"/>
        <v>6324.6135302484035</v>
      </c>
      <c r="BM102" s="401">
        <f>(VLOOKUP($A102,TOCA_previous!$A$2:$AI$137,MATCH("RHWM 2022",TOCA_previous!$A$2:$AI$2,0),FALSE)*$F$2) - $BI102</f>
        <v>4695.359999999986</v>
      </c>
      <c r="BN102" s="402">
        <f t="shared" si="28"/>
        <v>-4695.359999999986</v>
      </c>
      <c r="BO102" s="401">
        <f t="shared" si="29"/>
        <v>0</v>
      </c>
      <c r="BP102" s="402">
        <f t="shared" si="30"/>
        <v>0</v>
      </c>
      <c r="BQ102" s="401">
        <f t="shared" ref="BQ102:BQ133" si="37">IF($D102=0,SUM($BN102:$BP102),0)</f>
        <v>-4695.359999999986</v>
      </c>
      <c r="BR102" s="108">
        <f>VLOOKUP($A102,TOCA_current!$A$2:$AI$137,MATCH(BR$4,TOCA_current!$A$2:$AI$2,0),FALSE)</f>
        <v>9.7213000000000004E-3</v>
      </c>
      <c r="BS102" s="108">
        <f>VLOOKUP($A102,TOCA_current!$A$2:$AI$137,MATCH(BS$4,TOCA_current!$A$2:$AI$2,0),FALSE)</f>
        <v>9.7213000000000004E-3</v>
      </c>
      <c r="BT102" s="189">
        <f t="shared" si="31"/>
        <v>0</v>
      </c>
      <c r="BU102" s="108">
        <f>VLOOKUP($A102,TOCA_current!A98:BG233,MATCH(BU$4,TOCA_current!$A$2:$BG$2,0),FALSE)</f>
        <v>0</v>
      </c>
      <c r="BV102" s="108">
        <f t="shared" ref="BV102:BV133" si="38">IF(C102=0,0,BU102)</f>
        <v>0</v>
      </c>
      <c r="BW102" s="108">
        <f t="shared" ref="BW102:BW133" si="39">IF(C102=0,0,BR102)</f>
        <v>0</v>
      </c>
      <c r="BX102" s="179">
        <f>VLOOKUP($A102,IRD!$A$4:$G$139, 7, FALSE)</f>
        <v>0</v>
      </c>
      <c r="BY102" s="180">
        <f t="array" ref="BY102">IF($BT102=0, INDEX(LS_current!$D$4:$AY$138, MATCH('Staging Table'!$A102, LS_current!$B$4:$B$138, 0), MATCH(BY$4&amp;BY$5, LS_current!$D$2:$AY$2&amp;LS_current!$D$3:$AY$3, 0)),SUM(VLOOKUP($A102, LS_current!$B$4:$AY$138, LS_current!D$148, FALSE), VLOOKUP($A102, LS_current!$B$4:$AY$138,LS_current!AB$148, FALSE))/2)</f>
        <v>4803.5427928331956</v>
      </c>
      <c r="BZ102" s="180">
        <f t="array" ref="BZ102">IF($BT102=0, INDEX(LS_current!$D$4:$AY$138, MATCH('Staging Table'!$A102, LS_current!$B$4:$B$138, 0), MATCH(BZ$4&amp;BZ$5, LS_current!$D$2:$AY$2&amp;LS_current!$D$3:$AY$3, 0)),SUM(VLOOKUP($A102, LS_current!$B$4:$AY$138, LS_current!E$148, FALSE), VLOOKUP($A102, LS_current!$B$4:$AY$138,LS_current!AC$148, FALSE))/2)</f>
        <v>1918.5222004968509</v>
      </c>
      <c r="CA102" s="180">
        <f t="array" ref="CA102">IF($BT102=0, INDEX(LS_current!$D$4:$AY$138, MATCH('Staging Table'!$A102, LS_current!$B$4:$B$138, 0), MATCH(CA$4&amp;CA$5, LS_current!$D$2:$AY$2&amp;LS_current!$D$3:$AY$3, 0)),SUM(VLOOKUP($A102, LS_current!$B$4:$AY$138, LS_current!F$148, FALSE), VLOOKUP($A102, LS_current!$B$4:$AY$138,LS_current!AD$148, FALSE))/2)</f>
        <v>4041.7713383135997</v>
      </c>
      <c r="CB102" s="180">
        <f t="array" ref="CB102">IF($BT102=0, INDEX(LS_current!$D$4:$AY$138, MATCH('Staging Table'!$A102, LS_current!$B$4:$B$138, 0), MATCH(CB$4&amp;CB$5, LS_current!$D$2:$AY$2&amp;LS_current!$D$3:$AY$3, 0)),SUM(VLOOKUP($A102, LS_current!$B$4:$AY$138, LS_current!G$148, FALSE), VLOOKUP($A102, LS_current!$B$4:$AY$138,LS_current!AE$148, FALSE))/2)</f>
        <v>2259.0130644596975</v>
      </c>
      <c r="CC102" s="180">
        <f t="array" ref="CC102">IF($BT102=0, INDEX(LS_current!$D$4:$AY$138, MATCH('Staging Table'!$A102, LS_current!$B$4:$B$138, 0), MATCH(CC$4&amp;CC$5, LS_current!$D$2:$AY$2&amp;LS_current!$D$3:$AY$3, 0)),SUM(VLOOKUP($A102, LS_current!$B$4:$AY$138, LS_current!H$148, FALSE), VLOOKUP($A102, LS_current!$B$4:$AY$138,LS_current!AF$148, FALSE))/2)</f>
        <v>6235.2629854593033</v>
      </c>
      <c r="CD102" s="180">
        <f t="array" ref="CD102">IF($BT102=0, INDEX(LS_current!$D$4:$AY$138, MATCH('Staging Table'!$A102, LS_current!$B$4:$B$138, 0), MATCH(CD$4&amp;CD$5, LS_current!$D$2:$AY$2&amp;LS_current!$D$3:$AY$3, 0)),SUM(VLOOKUP($A102, LS_current!$B$4:$AY$138, LS_current!I$148, FALSE), VLOOKUP($A102, LS_current!$B$4:$AY$138,LS_current!AG$148, FALSE))/2)</f>
        <v>5689.7744830751981</v>
      </c>
      <c r="CE102" s="180">
        <f t="array" ref="CE102">IF($BT102=0, INDEX(LS_current!$D$4:$AY$138, MATCH('Staging Table'!$A102, LS_current!$B$4:$B$138, 0), MATCH(CE$4&amp;CE$5, LS_current!$D$2:$AY$2&amp;LS_current!$D$3:$AY$3, 0)),SUM(VLOOKUP($A102, LS_current!$B$4:$AY$138, LS_current!J$148, FALSE), VLOOKUP($A102, LS_current!$B$4:$AY$138,LS_current!AH$148, FALSE))/2)</f>
        <v>5830.0641309704952</v>
      </c>
      <c r="CF102" s="180">
        <f t="array" ref="CF102">IF($BT102=0, INDEX(LS_current!$D$4:$AY$138, MATCH('Staging Table'!$A102, LS_current!$B$4:$B$138, 0), MATCH(CF$4&amp;CF$5, LS_current!$D$2:$AY$2&amp;LS_current!$D$3:$AY$3, 0)),SUM(VLOOKUP($A102, LS_current!$B$4:$AY$138, LS_current!K$148, FALSE), VLOOKUP($A102, LS_current!$B$4:$AY$138,LS_current!AI$148, FALSE))/2)</f>
        <v>4332.4137786822976</v>
      </c>
      <c r="CG102" s="180">
        <f t="array" ref="CG102">IF($BT102=0, INDEX(LS_current!$D$4:$AY$138, MATCH('Staging Table'!$A102, LS_current!$B$4:$B$138, 0), MATCH(CG$4&amp;CG$5, LS_current!$D$2:$AY$2&amp;LS_current!$D$3:$AY$3, 0)),SUM(VLOOKUP($A102, LS_current!$B$4:$AY$138, LS_current!L$148, FALSE), VLOOKUP($A102, LS_current!$B$4:$AY$138,LS_current!AJ$148, FALSE))/2)</f>
        <v>6907.4410614773005</v>
      </c>
      <c r="CH102" s="180">
        <f t="array" ref="CH102">IF($BT102=0, INDEX(LS_current!$D$4:$AY$138, MATCH('Staging Table'!$A102, LS_current!$B$4:$B$138, 0), MATCH(CH$4&amp;CH$5, LS_current!$D$2:$AY$2&amp;LS_current!$D$3:$AY$3, 0)),SUM(VLOOKUP($A102, LS_current!$B$4:$AY$138, LS_current!M$148, FALSE), VLOOKUP($A102, LS_current!$B$4:$AY$138,LS_current!AK$148, FALSE))/2)</f>
        <v>4843.1280859732979</v>
      </c>
      <c r="CI102" s="180">
        <f t="array" ref="CI102">IF($BT102=0, INDEX(LS_current!$D$4:$AY$138, MATCH('Staging Table'!$A102, LS_current!$B$4:$B$138, 0), MATCH(CI$4&amp;CI$5, LS_current!$D$2:$AY$2&amp;LS_current!$D$3:$AY$3, 0)),SUM(VLOOKUP($A102, LS_current!$B$4:$AY$138, LS_current!N$148, FALSE), VLOOKUP($A102, LS_current!$B$4:$AY$138,LS_current!AL$148, FALSE))/2)</f>
        <v>-128.05767320689483</v>
      </c>
      <c r="CJ102" s="180">
        <f t="array" ref="CJ102">IF($BT102=0, INDEX(LS_current!$D$4:$AY$138, MATCH('Staging Table'!$A102, LS_current!$B$4:$B$138, 0), MATCH(CJ$4&amp;CJ$5, LS_current!$D$2:$AY$2&amp;LS_current!$D$3:$AY$3, 0)),SUM(VLOOKUP($A102, LS_current!$B$4:$AY$138, LS_current!O$148, FALSE), VLOOKUP($A102, LS_current!$B$4:$AY$138,LS_current!AM$148, FALSE))/2)</f>
        <v>32.596969528600312</v>
      </c>
      <c r="CK102" s="180">
        <f t="array" ref="CK102">IF($BT102=0, INDEX(LS_current!$D$4:$AY$138, MATCH('Staging Table'!$A102, LS_current!$B$4:$B$138, 0), MATCH(CK$4&amp;CK$5, LS_current!$D$2:$AY$2&amp;LS_current!$D$3:$AY$3, 0)),SUM(VLOOKUP($A102, LS_current!$B$4:$AY$138, LS_current!P$148, FALSE), VLOOKUP($A102, LS_current!$B$4:$AY$138,LS_current!AN$148, FALSE))/2)</f>
        <v>2891.8152725892505</v>
      </c>
      <c r="CL102" s="180">
        <f t="array" ref="CL102">IF($BT102=0, INDEX(LS_current!$D$4:$AY$138, MATCH('Staging Table'!$A102, LS_current!$B$4:$B$138, 0), MATCH(CL$4&amp;CL$5, LS_current!$D$2:$AY$2&amp;LS_current!$D$3:$AY$3, 0)),SUM(VLOOKUP($A102, LS_current!$B$4:$AY$138, LS_current!Q$148, FALSE), VLOOKUP($A102, LS_current!$B$4:$AY$138,LS_current!AO$148, FALSE))/2)</f>
        <v>374.88187428972742</v>
      </c>
      <c r="CM102" s="180">
        <f t="array" ref="CM102">IF($BT102=0, INDEX(LS_current!$D$4:$AY$138, MATCH('Staging Table'!$A102, LS_current!$B$4:$B$138, 0), MATCH(CM$4&amp;CM$5, LS_current!$D$2:$AY$2&amp;LS_current!$D$3:$AY$3, 0)),SUM(VLOOKUP($A102, LS_current!$B$4:$AY$138, LS_current!R$148, FALSE), VLOOKUP($A102, LS_current!$B$4:$AY$138,LS_current!AP$148, FALSE))/2)</f>
        <v>-8941.6771244624069</v>
      </c>
      <c r="CN102" s="180">
        <f t="array" ref="CN102">IF($BT102=0, INDEX(LS_current!$D$4:$AY$138, MATCH('Staging Table'!$A102, LS_current!$B$4:$B$138, 0), MATCH(CN$4&amp;CN$5, LS_current!$D$2:$AY$2&amp;LS_current!$D$3:$AY$3, 0)),SUM(VLOOKUP($A102, LS_current!$B$4:$AY$138, LS_current!S$148, FALSE), VLOOKUP($A102, LS_current!$B$4:$AY$138,LS_current!AQ$148, FALSE))/2)</f>
        <v>-6140.7184105260512</v>
      </c>
      <c r="CO102" s="180">
        <f t="array" ref="CO102">IF($BT102=0, INDEX(LS_current!$D$4:$AY$138, MATCH('Staging Table'!$A102, LS_current!$B$4:$B$138, 0), MATCH(CO$4&amp;CO$5, LS_current!$D$2:$AY$2&amp;LS_current!$D$3:$AY$3, 0)),SUM(VLOOKUP($A102, LS_current!$B$4:$AY$138, LS_current!T$148, FALSE), VLOOKUP($A102, LS_current!$B$4:$AY$138,LS_current!AR$148, FALSE))/2)</f>
        <v>-11713.5960510238</v>
      </c>
      <c r="CP102" s="180">
        <f t="array" ref="CP102">IF($BT102=0, INDEX(LS_current!$D$4:$AY$138, MATCH('Staging Table'!$A102, LS_current!$B$4:$B$138, 0), MATCH(CP$4&amp;CP$5, LS_current!$D$2:$AY$2&amp;LS_current!$D$3:$AY$3, 0)),SUM(VLOOKUP($A102, LS_current!$B$4:$AY$138, LS_current!U$148, FALSE), VLOOKUP($A102, LS_current!$B$4:$AY$138,LS_current!AS$148, FALSE))/2)</f>
        <v>-5906.8865873108534</v>
      </c>
      <c r="CQ102" s="180">
        <f t="array" ref="CQ102">IF($BT102=0, INDEX(LS_current!$D$4:$AY$138, MATCH('Staging Table'!$A102, LS_current!$B$4:$B$138, 0), MATCH(CQ$4&amp;CQ$5, LS_current!$D$2:$AY$2&amp;LS_current!$D$3:$AY$3, 0)),SUM(VLOOKUP($A102, LS_current!$B$4:$AY$138, LS_current!V$148, FALSE), VLOOKUP($A102, LS_current!$B$4:$AY$138,LS_current!AT$148, FALSE))/2)</f>
        <v>-5055.615887373202</v>
      </c>
      <c r="CR102" s="180">
        <f t="array" ref="CR102">IF($BT102=0, INDEX(LS_current!$D$4:$AY$138, MATCH('Staging Table'!$A102, LS_current!$B$4:$B$138, 0), MATCH(CR$4&amp;CR$5, LS_current!$D$2:$AY$2&amp;LS_current!$D$3:$AY$3, 0)),SUM(VLOOKUP($A102, LS_current!$B$4:$AY$138, LS_current!W$148, FALSE), VLOOKUP($A102, LS_current!$B$4:$AY$138,LS_current!AU$148, FALSE))/2)</f>
        <v>-2463.5310787157505</v>
      </c>
      <c r="CS102" s="180">
        <f t="array" ref="CS102">IF($BT102=0, INDEX(LS_current!$D$4:$AY$138, MATCH('Staging Table'!$A102, LS_current!$B$4:$B$138, 0), MATCH(CS$4&amp;CS$5, LS_current!$D$2:$AY$2&amp;LS_current!$D$3:$AY$3, 0)),SUM(VLOOKUP($A102, LS_current!$B$4:$AY$138, LS_current!X$148, FALSE), VLOOKUP($A102, LS_current!$B$4:$AY$138,LS_current!AV$148, FALSE))/2)</f>
        <v>-3078.7962442029529</v>
      </c>
      <c r="CT102" s="180">
        <f t="array" ref="CT102">IF($BT102=0, INDEX(LS_current!$D$4:$AY$138, MATCH('Staging Table'!$A102, LS_current!$B$4:$B$138, 0), MATCH(CT$4&amp;CT$5, LS_current!$D$2:$AY$2&amp;LS_current!$D$3:$AY$3, 0)),SUM(VLOOKUP($A102, LS_current!$B$4:$AY$138, LS_current!Y$148, FALSE), VLOOKUP($A102, LS_current!$B$4:$AY$138,LS_current!AW$148, FALSE))/2)</f>
        <v>-2108.0407956458057</v>
      </c>
      <c r="CU102" s="180">
        <f t="array" ref="CU102">IF($BT102=0, INDEX(LS_current!$D$4:$AY$138, MATCH('Staging Table'!$A102, LS_current!$B$4:$B$138, 0), MATCH(CU$4&amp;CU$5, LS_current!$D$2:$AY$2&amp;LS_current!$D$3:$AY$3, 0)),SUM(VLOOKUP($A102, LS_current!$B$4:$AY$138, LS_current!Z$148, FALSE), VLOOKUP($A102, LS_current!$B$4:$AY$138,LS_current!AX$148, FALSE))/2)</f>
        <v>-2867.9434430362053</v>
      </c>
      <c r="CV102" s="180">
        <f t="array" ref="CV102">IF($BT102=0, INDEX(LS_current!$D$4:$AY$138, MATCH('Staging Table'!$A102, LS_current!$B$4:$B$138, 0), MATCH(CV$4&amp;CV$5, LS_current!$D$2:$AY$2&amp;LS_current!$D$3:$AY$3, 0)),SUM(VLOOKUP($A102, LS_current!$B$4:$AY$138, LS_current!AA$148, FALSE), VLOOKUP($A102, LS_current!$B$4:$AY$138,LS_current!AY$148, FALSE))/2)</f>
        <v>-1757.3710707152004</v>
      </c>
      <c r="CW102" s="182">
        <f t="array" ref="CW102">INDEX(Demand_current!$D$4:$AY$138, MATCH($A102, Demand_current!$B$4:$B$138, 0), MATCH(CW$4&amp;CW$5,Demand_current!$D$2:$AY$2&amp;Demand_current!$D$3:$AY$3, 0))/1000</f>
        <v>0.54220913461539411</v>
      </c>
      <c r="CX102" s="182">
        <f t="array" ref="CX102">INDEX(Demand_current!$D$4:$AY$138, MATCH($A102, Demand_current!$B$4:$B$138, 0), MATCH(CX$4&amp;CX$5,Demand_current!$D$2:$AY$2&amp;Demand_current!$D$3:$AY$3, 0))/1000</f>
        <v>3.5729200000000034</v>
      </c>
      <c r="CY102" s="182">
        <f t="array" ref="CY102">INDEX(Demand_current!$D$4:$AY$138, MATCH($A102, Demand_current!$B$4:$B$138, 0), MATCH(CY$4&amp;CY$5,Demand_current!$D$2:$AY$2&amp;Demand_current!$D$3:$AY$3, 0))/1000</f>
        <v>21.526597499999976</v>
      </c>
      <c r="CZ102" s="182">
        <f t="array" ref="CZ102">INDEX(Demand_current!$D$4:$AY$138, MATCH($A102, Demand_current!$B$4:$B$138, 0), MATCH(CZ$4&amp;CZ$5,Demand_current!$D$2:$AY$2&amp;Demand_current!$D$3:$AY$3, 0))/1000</f>
        <v>17.845874999999999</v>
      </c>
      <c r="DA102" s="182">
        <f t="array" ref="DA102">INDEX(Demand_current!$D$4:$AY$138, MATCH($A102, Demand_current!$B$4:$B$138, 0), MATCH(DA$4&amp;DA$5,Demand_current!$D$2:$AY$2&amp;Demand_current!$D$3:$AY$3, 0))/1000</f>
        <v>9.4947724999999998</v>
      </c>
      <c r="DB102" s="182">
        <f t="array" ref="DB102">INDEX(Demand_current!$D$4:$AY$138, MATCH($A102, Demand_current!$B$4:$B$138, 0), MATCH(DB$4&amp;DB$5,Demand_current!$D$2:$AY$2&amp;Demand_current!$D$3:$AY$3, 0))/1000</f>
        <v>12.360362980769228</v>
      </c>
      <c r="DC102" s="182">
        <f t="array" ref="DC102">INDEX(Demand_current!$D$4:$AY$138, MATCH($A102, Demand_current!$B$4:$B$138, 0), MATCH(DC$4&amp;DC$5,Demand_current!$D$2:$AY$2&amp;Demand_current!$D$3:$AY$3, 0))/1000</f>
        <v>11.135908653846158</v>
      </c>
      <c r="DD102" s="182">
        <f t="array" ref="DD102">INDEX(Demand_current!$D$4:$AY$138, MATCH($A102, Demand_current!$B$4:$B$138, 0), MATCH(DD$4&amp;DD$5,Demand_current!$D$2:$AY$2&amp;Demand_current!$D$3:$AY$3, 0))/1000</f>
        <v>15.979081730769234</v>
      </c>
      <c r="DE102" s="182">
        <f t="array" ref="DE102">INDEX(Demand_current!$D$4:$AY$138, MATCH($A102, Demand_current!$B$4:$B$138, 0), MATCH(DE$4&amp;DE$5,Demand_current!$D$2:$AY$2&amp;Demand_current!$D$3:$AY$3, 0))/1000</f>
        <v>18.184227499999999</v>
      </c>
      <c r="DF102" s="182">
        <f t="array" ref="DF102">INDEX(Demand_current!$D$4:$AY$138, MATCH($A102, Demand_current!$B$4:$B$138, 0), MATCH(DF$4&amp;DF$5,Demand_current!$D$2:$AY$2&amp;Demand_current!$D$3:$AY$3, 0))/1000</f>
        <v>16.993961538461541</v>
      </c>
      <c r="DG102" s="182">
        <f t="array" ref="DG102">INDEX(Demand_current!$D$4:$AY$138, MATCH($A102, Demand_current!$B$4:$B$138, 0), MATCH(DG$4&amp;DG$5,Demand_current!$D$2:$AY$2&amp;Demand_current!$D$3:$AY$3, 0))/1000</f>
        <v>19.337231481481481</v>
      </c>
      <c r="DH102" s="182">
        <f t="array" ref="DH102">INDEX(Demand_current!$D$4:$AY$138, MATCH($A102, Demand_current!$B$4:$B$138, 0), MATCH(DH$4&amp;DH$5,Demand_current!$D$2:$AY$2&amp;Demand_current!$D$3:$AY$3, 0))/1000</f>
        <v>11.691125000000008</v>
      </c>
      <c r="DI102" s="180">
        <f>$BS102*(VLOOKUP(DI$4, Rates_current!$G$6:$Q$29, 10, FALSE)+VLOOKUP(DI$4, Rates_current!$G$6:$Q$29, 11, FALSE))</f>
        <v>41012.257006669955</v>
      </c>
      <c r="DJ102" s="180">
        <f>$BS102*(VLOOKUP(DJ$4, Rates_current!$G$6:$Q$29, 10, FALSE)+VLOOKUP(DJ$4, Rates_current!$G$6:$Q$29, 11, FALSE))</f>
        <v>52304.151597226708</v>
      </c>
      <c r="DK102" s="180">
        <f>$BS102*(VLOOKUP(DK$4, Rates_current!$G$6:$Q$29, 10, FALSE)+VLOOKUP(DK$4, Rates_current!$G$6:$Q$29, 11, FALSE))</f>
        <v>56446.528531465505</v>
      </c>
      <c r="DL102" s="180">
        <f>$BS102*(VLOOKUP(DL$4, Rates_current!$G$6:$Q$29, 10, FALSE)+VLOOKUP(DL$4, Rates_current!$G$6:$Q$29, 11, FALSE))</f>
        <v>58656.669090347204</v>
      </c>
      <c r="DM102" s="180">
        <f>$BS102*(VLOOKUP(DM$4, Rates_current!$G$6:$Q$29, 10, FALSE)+VLOOKUP(DM$4, Rates_current!$G$6:$Q$29, 11, FALSE))</f>
        <v>50452.553852549398</v>
      </c>
      <c r="DN102" s="180">
        <f>$BS102*(VLOOKUP(DN$4, Rates_current!$G$6:$Q$29, 10, FALSE)+VLOOKUP(DN$4, Rates_current!$G$6:$Q$29, 11, FALSE))</f>
        <v>55084.1997036783</v>
      </c>
      <c r="DO102" s="180">
        <f>$BS102*(VLOOKUP(DO$4, Rates_current!$G$6:$Q$29, 10, FALSE)+VLOOKUP(DO$4, Rates_current!$G$6:$Q$29, 11, FALSE))</f>
        <v>43479.692853121021</v>
      </c>
      <c r="DP102" s="180">
        <f>$BS102*(VLOOKUP(DP$4, Rates_current!$G$6:$Q$29, 10, FALSE)+VLOOKUP(DP$4, Rates_current!$G$6:$Q$29, 11, FALSE))</f>
        <v>53942.385534988454</v>
      </c>
      <c r="DQ102" s="180">
        <f>$BS102*(VLOOKUP(DQ$4, Rates_current!$G$6:$Q$29, 10, FALSE)+VLOOKUP(DQ$4, Rates_current!$G$6:$Q$29, 11, FALSE))</f>
        <v>55112.800638334651</v>
      </c>
      <c r="DR102" s="180">
        <f>$BS102*(VLOOKUP(DR$4, Rates_current!$G$6:$Q$29, 10, FALSE)+VLOOKUP(DR$4, Rates_current!$G$6:$Q$29, 11, FALSE))</f>
        <v>47845.850966088954</v>
      </c>
      <c r="DS102" s="180">
        <f>$BS102*(VLOOKUP(DS$4, Rates_current!$G$6:$Q$29, 10, FALSE)+VLOOKUP(DS$4, Rates_current!$G$6:$Q$29, 11, FALSE))</f>
        <v>46254.220039848762</v>
      </c>
      <c r="DT102" s="180">
        <f>$BS102*(VLOOKUP(DT$4, Rates_current!$G$6:$Q$29, 10, FALSE)+VLOOKUP(DT$4, Rates_current!$G$6:$Q$29, 11, FALSE))</f>
        <v>42562.839513751409</v>
      </c>
      <c r="DU102" s="402">
        <f>IF(D102=0,IF(C102=0,MAX(0,DW102 - (VLOOKUP($A102,TOCA_current!$A$2:$AI$137,MATCH("RHWM 2024",TOCA_current!$A$2:$AI$2,0),FALSE)*$BS$2)), 0),0)</f>
        <v>0</v>
      </c>
      <c r="DV102" s="403">
        <f>MIN(VLOOKUP($A102,TOCA_current!$A$2:$AI$137,MATCH("TRL - NLSL - Existing Resource "&amp;$BS$1,TOCA_current!$A$2:$AI$2,0),FALSE)*$BS$2, VLOOKUP($A102,TOCA_current!$A$2:$AI$137,MATCH("RHWM 2024",TOCA_current!$A$2:$AI$2,0),FALSE)*$BS$2)</f>
        <v>603153.3600000001</v>
      </c>
      <c r="DW102" s="403">
        <f>SUM(BY102:CV102)+(BS102*RT1SC!$C$4*$BS$2)</f>
        <v>603152.14576473762</v>
      </c>
      <c r="DX102" s="403">
        <f>VLOOKUP($A102,TOCA_current!$A$2:$AI$137,MATCH("Above RHWM Not Served with LS "&amp;$BS$1,TOCA_current!$A$2:$AI$2,0),FALSE)*$BS$2</f>
        <v>0</v>
      </c>
      <c r="DY102" s="403">
        <f t="shared" si="32"/>
        <v>-1.2142352624796331</v>
      </c>
      <c r="DZ102" s="403">
        <f>(VLOOKUP($A102,TOCA_current!$A$2:$AI$137,MATCH("RHWM 2024",TOCA_current!$A$2:$AI$2,0),FALSE)*$BS$2) - $DV102</f>
        <v>29162.879999999888</v>
      </c>
      <c r="EA102" s="403">
        <f t="shared" si="33"/>
        <v>0</v>
      </c>
      <c r="EB102" s="403">
        <f t="shared" si="34"/>
        <v>1.2142352624796331</v>
      </c>
      <c r="EC102" s="403">
        <f t="shared" si="35"/>
        <v>0</v>
      </c>
      <c r="ED102" s="403">
        <f t="shared" si="36"/>
        <v>1.2142352624796331</v>
      </c>
    </row>
    <row r="103" spans="1:134">
      <c r="A103" s="123">
        <v>10326</v>
      </c>
      <c r="B103" s="124" t="s">
        <v>104</v>
      </c>
      <c r="C103" s="232">
        <f>VLOOKUP(A103, TOCA_current!$A$3:$D$137, 4, FALSE)</f>
        <v>0</v>
      </c>
      <c r="D103" s="191">
        <v>0</v>
      </c>
      <c r="E103" s="107">
        <f>VLOOKUP($A103,TOCA_previous!$A$2:$AI$137,MATCH(E$4,TOCA_previous!$A$2:$AI$2,0),FALSE)</f>
        <v>4.3131999999999997E-3</v>
      </c>
      <c r="F103" s="108">
        <f>VLOOKUP($A103,TOCA_previous!$A$2:$AI$137,MATCH(F$4,TOCA_previous!$A$2:$AI$2,0),FALSE)</f>
        <v>4.3131999999999997E-3</v>
      </c>
      <c r="G103" s="108">
        <f t="shared" si="24"/>
        <v>0</v>
      </c>
      <c r="H103" s="108">
        <f>VLOOKUP($A103,TOCA_previous!$A$2:$AI$137,MATCH(H$4,TOCA_previous!$A$2:$AI$2,0),FALSE)</f>
        <v>0</v>
      </c>
      <c r="I103" s="108">
        <f t="shared" si="25"/>
        <v>0</v>
      </c>
      <c r="J103" s="108">
        <f t="shared" si="26"/>
        <v>0</v>
      </c>
      <c r="K103" s="179">
        <f>VLOOKUP(A103, IRD!$A$5:$C$139, 3, FALSE)</f>
        <v>0</v>
      </c>
      <c r="L103" s="180">
        <f t="array" ref="L103">IF($G103=0, INDEX(LS_previous!$D$4:$AY$138, MATCH('Staging Table'!$A103, LS_previous!$B$4:$B$138, 0), MATCH(L$4&amp;L$5, LS_previous!$D$2:$AY$2&amp;LS_previous!$D$3:$AY$3, 0)),SUM(VLOOKUP($A103, LS_previous!$B$4:$AY$138, LS_previous!D$149, FALSE), VLOOKUP('Staging Table'!$A103, LS_previous!$B$4:$AY$138,LS_previous!AB$149, FALSE))/2)</f>
        <v>247.60143100548339</v>
      </c>
      <c r="M103" s="180">
        <f t="array" ref="M103">IF($G103=0, INDEX(LS_previous!$D$4:$AY$138, MATCH('Staging Table'!$A103, LS_previous!$B$4:$B$138, 0), MATCH(M$4&amp;M$5, LS_previous!$D$2:$AY$2&amp;LS_previous!$D$3:$AY$3, 0)),SUM(VLOOKUP($A103, LS_previous!$B$4:$AY$138, LS_previous!E$149, FALSE), VLOOKUP('Staging Table'!$A103, LS_previous!$B$4:$AY$138,LS_previous!AC$149, FALSE))/2)</f>
        <v>2214.0407573595476</v>
      </c>
      <c r="N103" s="180">
        <f t="array" ref="N103">IF($G103=0, INDEX(LS_previous!$D$4:$AY$138, MATCH('Staging Table'!$A103, LS_previous!$B$4:$B$138, 0), MATCH(N$4&amp;N$5, LS_previous!$D$2:$AY$2&amp;LS_previous!$D$3:$AY$3, 0)),SUM(VLOOKUP($A103, LS_previous!$B$4:$AY$138, LS_previous!F$149, FALSE), VLOOKUP('Staging Table'!$A103, LS_previous!$B$4:$AY$138,LS_previous!AD$149, FALSE))/2)</f>
        <v>-2716.0731096399813</v>
      </c>
      <c r="O103" s="180">
        <f t="array" ref="O103">IF($G103=0, INDEX(LS_previous!$D$4:$AY$138, MATCH('Staging Table'!$A103, LS_previous!$B$4:$B$138, 0), MATCH(O$4&amp;O$5, LS_previous!$D$2:$AY$2&amp;LS_previous!$D$3:$AY$3, 0)),SUM(VLOOKUP($A103, LS_previous!$B$4:$AY$138, LS_previous!G$149, FALSE), VLOOKUP('Staging Table'!$A103, LS_previous!$B$4:$AY$138,LS_previous!AE$149, FALSE))/2)</f>
        <v>-651.32605064665586</v>
      </c>
      <c r="P103" s="180">
        <f t="array" ref="P103">IF($G103=0, INDEX(LS_previous!$D$4:$AY$138, MATCH('Staging Table'!$A103, LS_previous!$B$4:$B$138, 0), MATCH(P$4&amp;P$5, LS_previous!$D$2:$AY$2&amp;LS_previous!$D$3:$AY$3, 0)),SUM(VLOOKUP($A103, LS_previous!$B$4:$AY$138, LS_previous!H$149, FALSE), VLOOKUP('Staging Table'!$A103, LS_previous!$B$4:$AY$138,LS_previous!AF$149, FALSE))/2)</f>
        <v>-577.39888352850357</v>
      </c>
      <c r="Q103" s="180">
        <f t="array" ref="Q103">IF($G103=0, INDEX(LS_previous!$D$4:$AY$138, MATCH('Staging Table'!$A103, LS_previous!$B$4:$B$138, 0), MATCH(Q$4&amp;Q$5, LS_previous!$D$2:$AY$2&amp;LS_previous!$D$3:$AY$3, 0)),SUM(VLOOKUP($A103, LS_previous!$B$4:$AY$138, LS_previous!I$149, FALSE), VLOOKUP('Staging Table'!$A103, LS_previous!$B$4:$AY$138,LS_previous!AG$149, FALSE))/2)</f>
        <v>25.512657365348787</v>
      </c>
      <c r="R103" s="180">
        <f t="array" ref="R103">IF($G103=0, INDEX(LS_previous!$D$4:$AY$138, MATCH('Staging Table'!$A103, LS_previous!$B$4:$B$138, 0), MATCH(R$4&amp;R$5, LS_previous!$D$2:$AY$2&amp;LS_previous!$D$3:$AY$3, 0)),SUM(VLOOKUP($A103, LS_previous!$B$4:$AY$138, LS_previous!J$149, FALSE), VLOOKUP('Staging Table'!$A103, LS_previous!$B$4:$AY$138,LS_previous!AH$149, FALSE))/2)</f>
        <v>2745.3853292565782</v>
      </c>
      <c r="S103" s="180">
        <f t="array" ref="S103">IF($G103=0, INDEX(LS_previous!$D$4:$AY$138, MATCH('Staging Table'!$A103, LS_previous!$B$4:$B$138, 0), MATCH(S$4&amp;S$5, LS_previous!$D$2:$AY$2&amp;LS_previous!$D$3:$AY$3, 0)),SUM(VLOOKUP($A103, LS_previous!$B$4:$AY$138, LS_previous!K$149, FALSE), VLOOKUP('Staging Table'!$A103, LS_previous!$B$4:$AY$138,LS_previous!AI$149, FALSE))/2)</f>
        <v>1333.4427926286317</v>
      </c>
      <c r="T103" s="180">
        <f t="array" ref="T103">IF($G103=0, INDEX(LS_previous!$D$4:$AY$138, MATCH('Staging Table'!$A103, LS_previous!$B$4:$B$138, 0), MATCH(T$4&amp;T$5, LS_previous!$D$2:$AY$2&amp;LS_previous!$D$3:$AY$3, 0)),SUM(VLOOKUP($A103, LS_previous!$B$4:$AY$138, LS_previous!L$149, FALSE), VLOOKUP('Staging Table'!$A103, LS_previous!$B$4:$AY$138,LS_previous!AJ$149, FALSE))/2)</f>
        <v>3209.4581672431523</v>
      </c>
      <c r="U103" s="180">
        <f t="array" ref="U103">IF($G103=0, INDEX(LS_previous!$D$4:$AY$138, MATCH('Staging Table'!$A103, LS_previous!$B$4:$B$138, 0), MATCH(U$4&amp;U$5, LS_previous!$D$2:$AY$2&amp;LS_previous!$D$3:$AY$3, 0)),SUM(VLOOKUP($A103, LS_previous!$B$4:$AY$138, LS_previous!M$149, FALSE), VLOOKUP('Staging Table'!$A103, LS_previous!$B$4:$AY$138,LS_previous!AK$149, FALSE))/2)</f>
        <v>1664.1337151006328</v>
      </c>
      <c r="V103" s="180">
        <f t="array" ref="V103">IF($G103=0, INDEX(LS_previous!$D$4:$AY$138, MATCH('Staging Table'!$A103, LS_previous!$B$4:$B$138, 0), MATCH(V$4&amp;V$5, LS_previous!$D$2:$AY$2&amp;LS_previous!$D$3:$AY$3, 0)),SUM(VLOOKUP($A103, LS_previous!$B$4:$AY$138, LS_previous!N$149, FALSE), VLOOKUP('Staging Table'!$A103, LS_previous!$B$4:$AY$138,LS_previous!AL$149, FALSE))/2)</f>
        <v>1032.9529412432421</v>
      </c>
      <c r="W103" s="180">
        <f t="array" ref="W103">IF($G103=0, INDEX(LS_previous!$D$4:$AY$138, MATCH('Staging Table'!$A103, LS_previous!$B$4:$B$138, 0), MATCH(W$4&amp;W$5, LS_previous!$D$2:$AY$2&amp;LS_previous!$D$3:$AY$3, 0)),SUM(VLOOKUP($A103, LS_previous!$B$4:$AY$138, LS_previous!O$149, FALSE), VLOOKUP('Staging Table'!$A103, LS_previous!$B$4:$AY$138,LS_previous!AM$149, FALSE))/2)</f>
        <v>1986.1130971223483</v>
      </c>
      <c r="X103" s="180">
        <f t="array" ref="X103">IF($G103=0, INDEX(LS_previous!$D$4:$AY$138, MATCH('Staging Table'!$A103, LS_previous!$B$4:$B$138, 0), MATCH(X$4&amp;X$5, LS_previous!$D$2:$AY$2&amp;LS_previous!$D$3:$AY$3, 0)),SUM(VLOOKUP($A103, LS_previous!$B$4:$AY$138, LS_previous!P$149, FALSE), VLOOKUP('Staging Table'!$A103, LS_previous!$B$4:$AY$138,LS_previous!AN$149, FALSE))/2)</f>
        <v>3384.5238402514005</v>
      </c>
      <c r="Y103" s="180">
        <f t="array" ref="Y103">IF($G103=0, INDEX(LS_previous!$D$4:$AY$138, MATCH('Staging Table'!$A103, LS_previous!$B$4:$B$138, 0), MATCH(Y$4&amp;Y$5, LS_previous!$D$2:$AY$2&amp;LS_previous!$D$3:$AY$3, 0)),SUM(VLOOKUP($A103, LS_previous!$B$4:$AY$138, LS_previous!Q$149, FALSE), VLOOKUP('Staging Table'!$A103, LS_previous!$B$4:$AY$138,LS_previous!AO$149, FALSE))/2)</f>
        <v>2663.4773404416692</v>
      </c>
      <c r="Z103" s="180">
        <f t="array" ref="Z103">IF($G103=0, INDEX(LS_previous!$D$4:$AY$138, MATCH('Staging Table'!$A103, LS_previous!$B$4:$B$138, 0), MATCH(Z$4&amp;Z$5, LS_previous!$D$2:$AY$2&amp;LS_previous!$D$3:$AY$3, 0)),SUM(VLOOKUP($A103, LS_previous!$B$4:$AY$138, LS_previous!R$149, FALSE), VLOOKUP('Staging Table'!$A103, LS_previous!$B$4:$AY$138,LS_previous!AP$149, FALSE))/2)</f>
        <v>-1827.2249664553565</v>
      </c>
      <c r="AA103" s="180">
        <f t="array" ref="AA103">IF($G103=0, INDEX(LS_previous!$D$4:$AY$138, MATCH('Staging Table'!$A103, LS_previous!$B$4:$B$138, 0), MATCH(AA$4&amp;AA$5, LS_previous!$D$2:$AY$2&amp;LS_previous!$D$3:$AY$3, 0)),SUM(VLOOKUP($A103, LS_previous!$B$4:$AY$138, LS_previous!S$149, FALSE), VLOOKUP('Staging Table'!$A103, LS_previous!$B$4:$AY$138,LS_previous!AQ$149, FALSE))/2)</f>
        <v>2049.5381373776863</v>
      </c>
      <c r="AB103" s="180">
        <f t="array" ref="AB103">IF($G103=0, INDEX(LS_previous!$D$4:$AY$138, MATCH('Staging Table'!$A103, LS_previous!$B$4:$B$138, 0), MATCH(AB$4&amp;AB$5, LS_previous!$D$2:$AY$2&amp;LS_previous!$D$3:$AY$3, 0)),SUM(VLOOKUP($A103, LS_previous!$B$4:$AY$138, LS_previous!T$149, FALSE), VLOOKUP('Staging Table'!$A103, LS_previous!$B$4:$AY$138,LS_previous!AR$149, FALSE))/2)</f>
        <v>-4081.3542400108563</v>
      </c>
      <c r="AC103" s="180">
        <f t="array" ref="AC103">IF($G103=0, INDEX(LS_previous!$D$4:$AY$138, MATCH('Staging Table'!$A103, LS_previous!$B$4:$B$138, 0), MATCH(AC$4&amp;AC$5, LS_previous!$D$2:$AY$2&amp;LS_previous!$D$3:$AY$3, 0)),SUM(VLOOKUP($A103, LS_previous!$B$4:$AY$138, LS_previous!U$149, FALSE), VLOOKUP('Staging Table'!$A103, LS_previous!$B$4:$AY$138,LS_previous!AS$149, FALSE))/2)</f>
        <v>2304.1375638482295</v>
      </c>
      <c r="AD103" s="180">
        <f t="array" ref="AD103">IF($G103=0, INDEX(LS_previous!$D$4:$AY$138, MATCH('Staging Table'!$A103, LS_previous!$B$4:$B$138, 0), MATCH(AD$4&amp;AD$5, LS_previous!$D$2:$AY$2&amp;LS_previous!$D$3:$AY$3, 0)),SUM(VLOOKUP($A103, LS_previous!$B$4:$AY$138, LS_previous!V$149, FALSE), VLOOKUP('Staging Table'!$A103, LS_previous!$B$4:$AY$138,LS_previous!AT$149, FALSE))/2)</f>
        <v>-1205.5905122478362</v>
      </c>
      <c r="AE103" s="180">
        <f t="array" ref="AE103">IF($G103=0, INDEX(LS_previous!$D$4:$AY$138, MATCH('Staging Table'!$A103, LS_previous!$B$4:$B$138, 0), MATCH(AE$4&amp;AE$5, LS_previous!$D$2:$AY$2&amp;LS_previous!$D$3:$AY$3, 0)),SUM(VLOOKUP($A103, LS_previous!$B$4:$AY$138, LS_previous!W$149, FALSE), VLOOKUP('Staging Table'!$A103, LS_previous!$B$4:$AY$138,LS_previous!AU$149, FALSE))/2)</f>
        <v>1982.6421000879036</v>
      </c>
      <c r="AF103" s="180">
        <f t="array" ref="AF103">IF($G103=0, INDEX(LS_previous!$D$4:$AY$138, MATCH('Staging Table'!$A103, LS_previous!$B$4:$B$138, 0), MATCH(AF$4&amp;AF$5, LS_previous!$D$2:$AY$2&amp;LS_previous!$D$3:$AY$3, 0)),SUM(VLOOKUP($A103, LS_previous!$B$4:$AY$138, LS_previous!X$149, FALSE), VLOOKUP('Staging Table'!$A103, LS_previous!$B$4:$AY$138,LS_previous!AV$149, FALSE))/2)</f>
        <v>-583.91578171511537</v>
      </c>
      <c r="AG103" s="180">
        <f t="array" ref="AG103">IF($G103=0, INDEX(LS_previous!$D$4:$AY$138, MATCH('Staging Table'!$A103, LS_previous!$B$4:$B$138, 0), MATCH(AG$4&amp;AG$5, LS_previous!$D$2:$AY$2&amp;LS_previous!$D$3:$AY$3, 0)),SUM(VLOOKUP($A103, LS_previous!$B$4:$AY$138, LS_previous!Y$149, FALSE), VLOOKUP('Staging Table'!$A103, LS_previous!$B$4:$AY$138,LS_previous!AW$149, FALSE))/2)</f>
        <v>1931.4747462161822</v>
      </c>
      <c r="AH103" s="180">
        <f t="array" ref="AH103">IF($G103=0, INDEX(LS_previous!$D$4:$AY$138, MATCH('Staging Table'!$A103, LS_previous!$B$4:$B$138, 0), MATCH(AH$4&amp;AH$5, LS_previous!$D$2:$AY$2&amp;LS_previous!$D$3:$AY$3, 0)),SUM(VLOOKUP($A103, LS_previous!$B$4:$AY$138, LS_previous!Z$149, FALSE), VLOOKUP('Staging Table'!$A103, LS_previous!$B$4:$AY$138,LS_previous!AX$149, FALSE))/2)</f>
        <v>-119.14931517405239</v>
      </c>
      <c r="AI103" s="180">
        <f t="array" ref="AI103">IF($G103=0, INDEX(LS_previous!$D$4:$AY$138, MATCH('Staging Table'!$A103, LS_previous!$B$4:$B$138, 0), MATCH(AI$4&amp;AI$5, LS_previous!$D$2:$AY$2&amp;LS_previous!$D$3:$AY$3, 0)),SUM(VLOOKUP($A103, LS_previous!$B$4:$AY$138, LS_previous!AA$149, FALSE), VLOOKUP('Staging Table'!$A103, LS_previous!$B$4:$AY$138,LS_previous!AY$149, FALSE))/2)</f>
        <v>2777.0877869911865</v>
      </c>
      <c r="AJ103" s="298">
        <f t="array" ref="AJ103">INDEX(Demand_previous!$D$4:$AY$138, MATCH('Staging Table'!$A103, Demand_previous!$B$4:$B$138, 0), MATCH(AJ$4&amp;AJ$5,Demand_previous!$D$2:$AY$2&amp;Demand_previous!$D$3:$AY$3, 0))/1000</f>
        <v>2.2932644230769288</v>
      </c>
      <c r="AK103" s="298">
        <f t="array" ref="AK103">INDEX(Demand_previous!$D$4:$AY$138, MATCH('Staging Table'!$A103, Demand_previous!$B$4:$B$138, 0), MATCH(AK$4&amp;AK$5,Demand_previous!$D$2:$AY$2&amp;Demand_previous!$D$3:$AY$3, 0))/1000</f>
        <v>0</v>
      </c>
      <c r="AL103" s="298">
        <f t="array" ref="AL103">INDEX(Demand_previous!$D$4:$AY$138, MATCH('Staging Table'!$A103, Demand_previous!$B$4:$B$138, 0), MATCH(AL$4&amp;AL$5,Demand_previous!$D$2:$AY$2&amp;Demand_previous!$D$3:$AY$3, 0))/1000</f>
        <v>6.4049975961538479</v>
      </c>
      <c r="AM103" s="298">
        <f t="array" ref="AM103">INDEX(Demand_previous!$D$4:$AY$138, MATCH('Staging Table'!$A103, Demand_previous!$B$4:$B$138, 0), MATCH(AM$4&amp;AM$5,Demand_previous!$D$2:$AY$2&amp;Demand_previous!$D$3:$AY$3, 0))/1000</f>
        <v>0</v>
      </c>
      <c r="AN103" s="298">
        <f t="array" ref="AN103">INDEX(Demand_previous!$D$4:$AY$138, MATCH('Staging Table'!$A103, Demand_previous!$B$4:$B$138, 0), MATCH(AN$4&amp;AN$5,Demand_previous!$D$2:$AY$2&amp;Demand_previous!$D$3:$AY$3, 0))/1000</f>
        <v>1.938328124999992</v>
      </c>
      <c r="AO103" s="298">
        <f t="array" ref="AO103">INDEX(Demand_previous!$D$4:$AY$138, MATCH('Staging Table'!$A103, Demand_previous!$B$4:$B$138, 0), MATCH(AO$4&amp;AO$5,Demand_previous!$D$2:$AY$2&amp;Demand_previous!$D$3:$AY$3, 0))/1000</f>
        <v>5.9691342592592562</v>
      </c>
      <c r="AP103" s="298">
        <f t="array" ref="AP103">INDEX(Demand_previous!$D$4:$AY$138, MATCH('Staging Table'!$A103, Demand_previous!$B$4:$B$138, 0), MATCH(AP$4&amp;AP$5,Demand_previous!$D$2:$AY$2&amp;Demand_previous!$D$3:$AY$3, 0))/1000</f>
        <v>0.4852764423076969</v>
      </c>
      <c r="AQ103" s="298">
        <f t="array" ref="AQ103">INDEX(Demand_previous!$D$4:$AY$138, MATCH('Staging Table'!$A103, Demand_previous!$B$4:$B$138, 0), MATCH(AQ$4&amp;AQ$5,Demand_previous!$D$2:$AY$2&amp;Demand_previous!$D$3:$AY$3, 0))/1000</f>
        <v>0</v>
      </c>
      <c r="AR103" s="298">
        <f t="array" ref="AR103">INDEX(Demand_previous!$D$4:$AY$138, MATCH('Staging Table'!$A103, Demand_previous!$B$4:$B$138, 0), MATCH(AR$4&amp;AR$5,Demand_previous!$D$2:$AY$2&amp;Demand_previous!$D$3:$AY$3, 0))/1000</f>
        <v>4.2228750000000037</v>
      </c>
      <c r="AS103" s="298">
        <f t="array" ref="AS103">INDEX(Demand_previous!$D$4:$AY$138, MATCH('Staging Table'!$A103, Demand_previous!$B$4:$B$138, 0), MATCH(AS$4&amp;AS$5,Demand_previous!$D$2:$AY$2&amp;Demand_previous!$D$3:$AY$3, 0))/1000</f>
        <v>3.0409024999999943</v>
      </c>
      <c r="AT103" s="298">
        <f t="array" ref="AT103">INDEX(Demand_previous!$D$4:$AY$138, MATCH('Staging Table'!$A103, Demand_previous!$B$4:$B$138, 0), MATCH(AT$4&amp;AT$5,Demand_previous!$D$2:$AY$2&amp;Demand_previous!$D$3:$AY$3, 0))/1000</f>
        <v>3.5319814814814769</v>
      </c>
      <c r="AU103" s="298">
        <f t="array" ref="AU103">INDEX(Demand_previous!$D$4:$AY$138, MATCH('Staging Table'!$A103, Demand_previous!$B$4:$B$138, 0), MATCH(AU$4&amp;AU$5,Demand_previous!$D$2:$AY$2&amp;Demand_previous!$D$3:$AY$3, 0))/1000</f>
        <v>6.4992700000000019</v>
      </c>
      <c r="AV103" s="180">
        <f>$F103*(VLOOKUP(AV$4, Rates_previous!$G$6:$Q$29, 10, FALSE)+VLOOKUP(AV$4, Rates_previous!$G$6:$Q$29, 11, FALSE))</f>
        <v>19641.986811634968</v>
      </c>
      <c r="AW103" s="180">
        <f>$F103*(VLOOKUP(AW$4, Rates_previous!$G$6:$Q$29, 10, FALSE)+VLOOKUP(AW$4, Rates_previous!$G$6:$Q$29, 11, FALSE))</f>
        <v>24867.46816028664</v>
      </c>
      <c r="AX103" s="180">
        <f>$F103*(VLOOKUP(AX$4, Rates_previous!$G$6:$Q$29, 10, FALSE)+VLOOKUP(AX$4, Rates_previous!$G$6:$Q$29, 11, FALSE))</f>
        <v>24340.283226163159</v>
      </c>
      <c r="AY103" s="180">
        <f>$F103*(VLOOKUP(AY$4, Rates_previous!$G$6:$Q$29, 10, FALSE)+VLOOKUP(AY$4, Rates_previous!$G$6:$Q$29, 11, FALSE))</f>
        <v>20104.038878114792</v>
      </c>
      <c r="AZ103" s="180">
        <f>$F103*(VLOOKUP(AZ$4, Rates_previous!$G$6:$Q$29, 10, FALSE)+VLOOKUP(AZ$4, Rates_previous!$G$6:$Q$29, 11, FALSE))</f>
        <v>17424.611117656215</v>
      </c>
      <c r="BA103" s="180">
        <f>$F103*(VLOOKUP(BA$4, Rates_previous!$G$6:$Q$29, 10, FALSE)+VLOOKUP(BA$4, Rates_previous!$G$6:$Q$29, 11, FALSE))</f>
        <v>20801.466961634414</v>
      </c>
      <c r="BB103" s="180">
        <f>$F103*(VLOOKUP(BB$4, Rates_previous!$G$6:$Q$29, 10, FALSE)+VLOOKUP(BB$4, Rates_previous!$G$6:$Q$29, 11, FALSE))</f>
        <v>16149.569819306931</v>
      </c>
      <c r="BC103" s="180">
        <f>$F103*(VLOOKUP(BC$4, Rates_previous!$G$6:$Q$29, 10, FALSE)+VLOOKUP(BC$4, Rates_previous!$G$6:$Q$29, 11, FALSE))</f>
        <v>22375.347829077673</v>
      </c>
      <c r="BD103" s="180">
        <f>$F103*(VLOOKUP(BD$4, Rates_previous!$G$6:$Q$29, 10, FALSE)+VLOOKUP(BD$4, Rates_previous!$G$6:$Q$29, 11, FALSE))</f>
        <v>23908.527676162626</v>
      </c>
      <c r="BE103" s="180">
        <f>$F103*(VLOOKUP(BE$4, Rates_previous!$G$6:$Q$29, 10, FALSE)+VLOOKUP(BE$4, Rates_previous!$G$6:$Q$29, 11, FALSE))</f>
        <v>22700.064412159936</v>
      </c>
      <c r="BF103" s="180">
        <f>$F103*(VLOOKUP(BF$4, Rates_previous!$G$6:$Q$29, 10, FALSE)+VLOOKUP(BF$4, Rates_previous!$G$6:$Q$29, 11, FALSE))</f>
        <v>21937.861035498932</v>
      </c>
      <c r="BG103" s="180">
        <f>$F103*(VLOOKUP(BG$4, Rates_previous!$G$6:$Q$29, 10, FALSE)+VLOOKUP(BG$4, Rates_previous!$G$6:$Q$29, 11, FALSE))</f>
        <v>20272.870528182866</v>
      </c>
      <c r="BH103" s="298">
        <f>IF($D103=0,IF(C103=0, MAX(BJ103 - (VLOOKUP($A103,TOCA_previous!$A$2:$AI$137,MATCH("RHWM 2022",TOCA_previous!$A$2:$AI$2,0),FALSE)*$F$2*TOCA_previous!C100),0),0), 0)</f>
        <v>19791.799020008883</v>
      </c>
      <c r="BI103" s="192">
        <f>MIN(VLOOKUP($A103,TOCA_previous!$A$2:$AI$137,MATCH("TRL - NLSL - Existing Resource "&amp;$F$1,TOCA_previous!$A$2:$AI$2,0),FALSE)*$F$2,(VLOOKUP($A103,TOCA_previous!$A$2:$AI$137,MATCH("RHWM 2022",TOCA_previous!$A$2:$AI$2,0),FALSE)*$F$2))</f>
        <v>254521.8</v>
      </c>
      <c r="BJ103" s="402">
        <f>SUM(L103:AI103)+(F103*RT1SC!$C$3*$F$2)</f>
        <v>274313.59902000887</v>
      </c>
      <c r="BK103" s="401">
        <f>VLOOKUP($A103,TOCA_previous!$A$2:$AI$137,MATCH("Above RHWM Not Served with LS "&amp;$F$1,TOCA_previous!$A$2:$AI$2,0),FALSE)*$F$2</f>
        <v>26910.720000000001</v>
      </c>
      <c r="BL103" s="402">
        <f t="shared" si="27"/>
        <v>19791.799020008883</v>
      </c>
      <c r="BM103" s="401">
        <f>(VLOOKUP($A103,TOCA_previous!$A$2:$AI$137,MATCH("RHWM 2022",TOCA_previous!$A$2:$AI$2,0),FALSE)*$F$2) - $BI103</f>
        <v>0</v>
      </c>
      <c r="BN103" s="402">
        <f t="shared" si="28"/>
        <v>0</v>
      </c>
      <c r="BO103" s="401">
        <f t="shared" si="29"/>
        <v>0</v>
      </c>
      <c r="BP103" s="402">
        <f t="shared" si="30"/>
        <v>0</v>
      </c>
      <c r="BQ103" s="401">
        <f t="shared" si="37"/>
        <v>0</v>
      </c>
      <c r="BR103" s="108">
        <f>VLOOKUP($A103,TOCA_current!$A$2:$AI$137,MATCH(BR$4,TOCA_current!$A$2:$AI$2,0),FALSE)</f>
        <v>4.3124000000000001E-3</v>
      </c>
      <c r="BS103" s="108">
        <f>VLOOKUP($A103,TOCA_current!$A$2:$AI$137,MATCH(BS$4,TOCA_current!$A$2:$AI$2,0),FALSE)</f>
        <v>4.3124000000000001E-3</v>
      </c>
      <c r="BT103" s="189">
        <f t="shared" si="31"/>
        <v>0</v>
      </c>
      <c r="BU103" s="108">
        <f>VLOOKUP($A103,TOCA_current!A99:BG234,MATCH(BU$4,TOCA_current!$A$2:$BG$2,0),FALSE)</f>
        <v>0</v>
      </c>
      <c r="BV103" s="108">
        <f t="shared" si="38"/>
        <v>0</v>
      </c>
      <c r="BW103" s="108">
        <f t="shared" si="39"/>
        <v>0</v>
      </c>
      <c r="BX103" s="179">
        <f>VLOOKUP($A103,IRD!$A$4:$G$139, 7, FALSE)</f>
        <v>0</v>
      </c>
      <c r="BY103" s="180">
        <f t="array" ref="BY103">IF($BT103=0, INDEX(LS_current!$D$4:$AY$138, MATCH('Staging Table'!$A103, LS_current!$B$4:$B$138, 0), MATCH(BY$4&amp;BY$5, LS_current!$D$2:$AY$2&amp;LS_current!$D$3:$AY$3, 0)),SUM(VLOOKUP($A103, LS_current!$B$4:$AY$138, LS_current!D$148, FALSE), VLOOKUP($A103, LS_current!$B$4:$AY$138,LS_current!AB$148, FALSE))/2)</f>
        <v>1522.2343391535978</v>
      </c>
      <c r="BZ103" s="180">
        <f t="array" ref="BZ103">IF($BT103=0, INDEX(LS_current!$D$4:$AY$138, MATCH('Staging Table'!$A103, LS_current!$B$4:$B$138, 0), MATCH(BZ$4&amp;BZ$5, LS_current!$D$2:$AY$2&amp;LS_current!$D$3:$AY$3, 0)),SUM(VLOOKUP($A103, LS_current!$B$4:$AY$138, LS_current!E$148, FALSE), VLOOKUP($A103, LS_current!$B$4:$AY$138,LS_current!AC$148, FALSE))/2)</f>
        <v>1822.7853197537997</v>
      </c>
      <c r="CA103" s="180">
        <f t="array" ref="CA103">IF($BT103=0, INDEX(LS_current!$D$4:$AY$138, MATCH('Staging Table'!$A103, LS_current!$B$4:$B$138, 0), MATCH(CA$4&amp;CA$5, LS_current!$D$2:$AY$2&amp;LS_current!$D$3:$AY$3, 0)),SUM(VLOOKUP($A103, LS_current!$B$4:$AY$138, LS_current!F$148, FALSE), VLOOKUP($A103, LS_current!$B$4:$AY$138,LS_current!AD$148, FALSE))/2)</f>
        <v>-1837.9831532671997</v>
      </c>
      <c r="CB103" s="180">
        <f t="array" ref="CB103">IF($BT103=0, INDEX(LS_current!$D$4:$AY$138, MATCH('Staging Table'!$A103, LS_current!$B$4:$B$138, 0), MATCH(CB$4&amp;CB$5, LS_current!$D$2:$AY$2&amp;LS_current!$D$3:$AY$3, 0)),SUM(VLOOKUP($A103, LS_current!$B$4:$AY$138, LS_current!G$148, FALSE), VLOOKUP($A103, LS_current!$B$4:$AY$138,LS_current!AE$148, FALSE))/2)</f>
        <v>-412.1980083244016</v>
      </c>
      <c r="CC103" s="180">
        <f t="array" ref="CC103">IF($BT103=0, INDEX(LS_current!$D$4:$AY$138, MATCH('Staging Table'!$A103, LS_current!$B$4:$B$138, 0), MATCH(CC$4&amp;CC$5, LS_current!$D$2:$AY$2&amp;LS_current!$D$3:$AY$3, 0)),SUM(VLOOKUP($A103, LS_current!$B$4:$AY$138, LS_current!H$148, FALSE), VLOOKUP($A103, LS_current!$B$4:$AY$138,LS_current!AF$148, FALSE))/2)</f>
        <v>-2108.7817008635993</v>
      </c>
      <c r="CD103" s="180">
        <f t="array" ref="CD103">IF($BT103=0, INDEX(LS_current!$D$4:$AY$138, MATCH('Staging Table'!$A103, LS_current!$B$4:$B$138, 0), MATCH(CD$4&amp;CD$5, LS_current!$D$2:$AY$2&amp;LS_current!$D$3:$AY$3, 0)),SUM(VLOOKUP($A103, LS_current!$B$4:$AY$138, LS_current!I$148, FALSE), VLOOKUP($A103, LS_current!$B$4:$AY$138,LS_current!AG$148, FALSE))/2)</f>
        <v>291.87678536959902</v>
      </c>
      <c r="CE103" s="180">
        <f t="array" ref="CE103">IF($BT103=0, INDEX(LS_current!$D$4:$AY$138, MATCH('Staging Table'!$A103, LS_current!$B$4:$B$138, 0), MATCH(CE$4&amp;CE$5, LS_current!$D$2:$AY$2&amp;LS_current!$D$3:$AY$3, 0)),SUM(VLOOKUP($A103, LS_current!$B$4:$AY$138, LS_current!J$148, FALSE), VLOOKUP($A103, LS_current!$B$4:$AY$138,LS_current!AH$148, FALSE))/2)</f>
        <v>-2292.9299517660002</v>
      </c>
      <c r="CF103" s="180">
        <f t="array" ref="CF103">IF($BT103=0, INDEX(LS_current!$D$4:$AY$138, MATCH('Staging Table'!$A103, LS_current!$B$4:$B$138, 0), MATCH(CF$4&amp;CF$5, LS_current!$D$2:$AY$2&amp;LS_current!$D$3:$AY$3, 0)),SUM(VLOOKUP($A103, LS_current!$B$4:$AY$138, LS_current!K$148, FALSE), VLOOKUP($A103, LS_current!$B$4:$AY$138,LS_current!AI$148, FALSE))/2)</f>
        <v>-109.93043625960127</v>
      </c>
      <c r="CG103" s="180">
        <f t="array" ref="CG103">IF($BT103=0, INDEX(LS_current!$D$4:$AY$138, MATCH('Staging Table'!$A103, LS_current!$B$4:$B$138, 0), MATCH(CG$4&amp;CG$5, LS_current!$D$2:$AY$2&amp;LS_current!$D$3:$AY$3, 0)),SUM(VLOOKUP($A103, LS_current!$B$4:$AY$138, LS_current!L$148, FALSE), VLOOKUP($A103, LS_current!$B$4:$AY$138,LS_current!AJ$148, FALSE))/2)</f>
        <v>-1252.8522285995987</v>
      </c>
      <c r="CH103" s="180">
        <f t="array" ref="CH103">IF($BT103=0, INDEX(LS_current!$D$4:$AY$138, MATCH('Staging Table'!$A103, LS_current!$B$4:$B$138, 0), MATCH(CH$4&amp;CH$5, LS_current!$D$2:$AY$2&amp;LS_current!$D$3:$AY$3, 0)),SUM(VLOOKUP($A103, LS_current!$B$4:$AY$138, LS_current!M$148, FALSE), VLOOKUP($A103, LS_current!$B$4:$AY$138,LS_current!AK$148, FALSE))/2)</f>
        <v>567.45179200839993</v>
      </c>
      <c r="CI103" s="180">
        <f t="array" ref="CI103">IF($BT103=0, INDEX(LS_current!$D$4:$AY$138, MATCH('Staging Table'!$A103, LS_current!$B$4:$B$138, 0), MATCH(CI$4&amp;CI$5, LS_current!$D$2:$AY$2&amp;LS_current!$D$3:$AY$3, 0)),SUM(VLOOKUP($A103, LS_current!$B$4:$AY$138, LS_current!N$148, FALSE), VLOOKUP($A103, LS_current!$B$4:$AY$138,LS_current!AL$148, FALSE))/2)</f>
        <v>-1336.4811829011996</v>
      </c>
      <c r="CJ103" s="180">
        <f t="array" ref="CJ103">IF($BT103=0, INDEX(LS_current!$D$4:$AY$138, MATCH('Staging Table'!$A103, LS_current!$B$4:$B$138, 0), MATCH(CJ$4&amp;CJ$5, LS_current!$D$2:$AY$2&amp;LS_current!$D$3:$AY$3, 0)),SUM(VLOOKUP($A103, LS_current!$B$4:$AY$138, LS_current!O$148, FALSE), VLOOKUP($A103, LS_current!$B$4:$AY$138,LS_current!AM$148, FALSE))/2)</f>
        <v>156.8057245527998</v>
      </c>
      <c r="CK103" s="180">
        <f t="array" ref="CK103">IF($BT103=0, INDEX(LS_current!$D$4:$AY$138, MATCH('Staging Table'!$A103, LS_current!$B$4:$B$138, 0), MATCH(CK$4&amp;CK$5, LS_current!$D$2:$AY$2&amp;LS_current!$D$3:$AY$3, 0)),SUM(VLOOKUP($A103, LS_current!$B$4:$AY$138, LS_current!P$148, FALSE), VLOOKUP($A103, LS_current!$B$4:$AY$138,LS_current!AN$148, FALSE))/2)</f>
        <v>1280.1577003090006</v>
      </c>
      <c r="CL103" s="180">
        <f t="array" ref="CL103">IF($BT103=0, INDEX(LS_current!$D$4:$AY$138, MATCH('Staging Table'!$A103, LS_current!$B$4:$B$138, 0), MATCH(CL$4&amp;CL$5, LS_current!$D$2:$AY$2&amp;LS_current!$D$3:$AY$3, 0)),SUM(VLOOKUP($A103, LS_current!$B$4:$AY$138, LS_current!Q$148, FALSE), VLOOKUP($A103, LS_current!$B$4:$AY$138,LS_current!AO$148, FALSE))/2)</f>
        <v>1082.4814675493017</v>
      </c>
      <c r="CM103" s="180">
        <f t="array" ref="CM103">IF($BT103=0, INDEX(LS_current!$D$4:$AY$138, MATCH('Staging Table'!$A103, LS_current!$B$4:$B$138, 0), MATCH(CM$4&amp;CM$5, LS_current!$D$2:$AY$2&amp;LS_current!$D$3:$AY$3, 0)),SUM(VLOOKUP($A103, LS_current!$B$4:$AY$138, LS_current!R$148, FALSE), VLOOKUP($A103, LS_current!$B$4:$AY$138,LS_current!AP$148, FALSE))/2)</f>
        <v>-1655.4649753152007</v>
      </c>
      <c r="CN103" s="180">
        <f t="array" ref="CN103">IF($BT103=0, INDEX(LS_current!$D$4:$AY$138, MATCH('Staging Table'!$A103, LS_current!$B$4:$B$138, 0), MATCH(CN$4&amp;CN$5, LS_current!$D$2:$AY$2&amp;LS_current!$D$3:$AY$3, 0)),SUM(VLOOKUP($A103, LS_current!$B$4:$AY$138, LS_current!S$148, FALSE), VLOOKUP($A103, LS_current!$B$4:$AY$138,LS_current!AQ$148, FALSE))/2)</f>
        <v>-241.3300391153989</v>
      </c>
      <c r="CO103" s="180">
        <f t="array" ref="CO103">IF($BT103=0, INDEX(LS_current!$D$4:$AY$138, MATCH('Staging Table'!$A103, LS_current!$B$4:$B$138, 0), MATCH(CO$4&amp;CO$5, LS_current!$D$2:$AY$2&amp;LS_current!$D$3:$AY$3, 0)),SUM(VLOOKUP($A103, LS_current!$B$4:$AY$138, LS_current!T$148, FALSE), VLOOKUP($A103, LS_current!$B$4:$AY$138,LS_current!AR$148, FALSE))/2)</f>
        <v>-2638.5901800823995</v>
      </c>
      <c r="CP103" s="180">
        <f t="array" ref="CP103">IF($BT103=0, INDEX(LS_current!$D$4:$AY$138, MATCH('Staging Table'!$A103, LS_current!$B$4:$B$138, 0), MATCH(CP$4&amp;CP$5, LS_current!$D$2:$AY$2&amp;LS_current!$D$3:$AY$3, 0)),SUM(VLOOKUP($A103, LS_current!$B$4:$AY$138, LS_current!U$148, FALSE), VLOOKUP($A103, LS_current!$B$4:$AY$138,LS_current!AS$148, FALSE))/2)</f>
        <v>-225.51474502579913</v>
      </c>
      <c r="CQ103" s="180">
        <f t="array" ref="CQ103">IF($BT103=0, INDEX(LS_current!$D$4:$AY$138, MATCH('Staging Table'!$A103, LS_current!$B$4:$B$138, 0), MATCH(CQ$4&amp;CQ$5, LS_current!$D$2:$AY$2&amp;LS_current!$D$3:$AY$3, 0)),SUM(VLOOKUP($A103, LS_current!$B$4:$AY$138, LS_current!V$148, FALSE), VLOOKUP($A103, LS_current!$B$4:$AY$138,LS_current!AT$148, FALSE))/2)</f>
        <v>322.05922092640139</v>
      </c>
      <c r="CR103" s="180">
        <f t="array" ref="CR103">IF($BT103=0, INDEX(LS_current!$D$4:$AY$138, MATCH('Staging Table'!$A103, LS_current!$B$4:$B$138, 0), MATCH(CR$4&amp;CR$5, LS_current!$D$2:$AY$2&amp;LS_current!$D$3:$AY$3, 0)),SUM(VLOOKUP($A103, LS_current!$B$4:$AY$138, LS_current!W$148, FALSE), VLOOKUP($A103, LS_current!$B$4:$AY$138,LS_current!AU$148, FALSE))/2)</f>
        <v>1365.0431411690006</v>
      </c>
      <c r="CS103" s="180">
        <f t="array" ref="CS103">IF($BT103=0, INDEX(LS_current!$D$4:$AY$138, MATCH('Staging Table'!$A103, LS_current!$B$4:$B$138, 0), MATCH(CS$4&amp;CS$5, LS_current!$D$2:$AY$2&amp;LS_current!$D$3:$AY$3, 0)),SUM(VLOOKUP($A103, LS_current!$B$4:$AY$138, LS_current!X$148, FALSE), VLOOKUP($A103, LS_current!$B$4:$AY$138,LS_current!AV$148, FALSE))/2)</f>
        <v>845.51746442339936</v>
      </c>
      <c r="CT103" s="180">
        <f t="array" ref="CT103">IF($BT103=0, INDEX(LS_current!$D$4:$AY$138, MATCH('Staging Table'!$A103, LS_current!$B$4:$B$138, 0), MATCH(CT$4&amp;CT$5, LS_current!$D$2:$AY$2&amp;LS_current!$D$3:$AY$3, 0)),SUM(VLOOKUP($A103, LS_current!$B$4:$AY$138, LS_current!Y$148, FALSE), VLOOKUP($A103, LS_current!$B$4:$AY$138,LS_current!AW$148, FALSE))/2)</f>
        <v>1355.9415044548596</v>
      </c>
      <c r="CU103" s="180">
        <f t="array" ref="CU103">IF($BT103=0, INDEX(LS_current!$D$4:$AY$138, MATCH('Staging Table'!$A103, LS_current!$B$4:$B$138, 0), MATCH(CU$4&amp;CU$5, LS_current!$D$2:$AY$2&amp;LS_current!$D$3:$AY$3, 0)),SUM(VLOOKUP($A103, LS_current!$B$4:$AY$138, LS_current!Z$148, FALSE), VLOOKUP($A103, LS_current!$B$4:$AY$138,LS_current!AX$148, FALSE))/2)</f>
        <v>1299.7441872023992</v>
      </c>
      <c r="CV103" s="180">
        <f t="array" ref="CV103">IF($BT103=0, INDEX(LS_current!$D$4:$AY$138, MATCH('Staging Table'!$A103, LS_current!$B$4:$B$138, 0), MATCH(CV$4&amp;CV$5, LS_current!$D$2:$AY$2&amp;LS_current!$D$3:$AY$3, 0)),SUM(VLOOKUP($A103, LS_current!$B$4:$AY$138, LS_current!AA$148, FALSE), VLOOKUP($A103, LS_current!$B$4:$AY$138,LS_current!AY$148, FALSE))/2)</f>
        <v>2202.8520759103994</v>
      </c>
      <c r="CW103" s="182">
        <f t="array" ref="CW103">INDEX(Demand_current!$D$4:$AY$138, MATCH($A103, Demand_current!$B$4:$B$138, 0), MATCH(CW$4&amp;CW$5,Demand_current!$D$2:$AY$2&amp;Demand_current!$D$3:$AY$3, 0))/1000</f>
        <v>2.2932644230769288</v>
      </c>
      <c r="CX103" s="182">
        <f t="array" ref="CX103">INDEX(Demand_current!$D$4:$AY$138, MATCH($A103, Demand_current!$B$4:$B$138, 0), MATCH(CX$4&amp;CX$5,Demand_current!$D$2:$AY$2&amp;Demand_current!$D$3:$AY$3, 0))/1000</f>
        <v>0</v>
      </c>
      <c r="CY103" s="182">
        <f t="array" ref="CY103">INDEX(Demand_current!$D$4:$AY$138, MATCH($A103, Demand_current!$B$4:$B$138, 0), MATCH(CY$4&amp;CY$5,Demand_current!$D$2:$AY$2&amp;Demand_current!$D$3:$AY$3, 0))/1000</f>
        <v>5.0005974999999978</v>
      </c>
      <c r="CZ103" s="182">
        <f t="array" ref="CZ103">INDEX(Demand_current!$D$4:$AY$138, MATCH($A103, Demand_current!$B$4:$B$138, 0), MATCH(CZ$4&amp;CZ$5,Demand_current!$D$2:$AY$2&amp;Demand_current!$D$3:$AY$3, 0))/1000</f>
        <v>1.4543774038461519</v>
      </c>
      <c r="DA103" s="182">
        <f t="array" ref="DA103">INDEX(Demand_current!$D$4:$AY$138, MATCH($A103, Demand_current!$B$4:$B$138, 0), MATCH(DA$4&amp;DA$5,Demand_current!$D$2:$AY$2&amp;Demand_current!$D$3:$AY$3, 0))/1000</f>
        <v>3.4498749999999996</v>
      </c>
      <c r="DB103" s="182">
        <f t="array" ref="DB103">INDEX(Demand_current!$D$4:$AY$138, MATCH($A103, Demand_current!$B$4:$B$138, 0), MATCH(DB$4&amp;DB$5,Demand_current!$D$2:$AY$2&amp;Demand_current!$D$3:$AY$3, 0))/1000</f>
        <v>4.6216394230769211</v>
      </c>
      <c r="DC103" s="182">
        <f t="array" ref="DC103">INDEX(Demand_current!$D$4:$AY$138, MATCH($A103, Demand_current!$B$4:$B$138, 0), MATCH(DC$4&amp;DC$5,Demand_current!$D$2:$AY$2&amp;Demand_current!$D$3:$AY$3, 0))/1000</f>
        <v>0.4852764423076969</v>
      </c>
      <c r="DD103" s="182">
        <f t="array" ref="DD103">INDEX(Demand_current!$D$4:$AY$138, MATCH($A103, Demand_current!$B$4:$B$138, 0), MATCH(DD$4&amp;DD$5,Demand_current!$D$2:$AY$2&amp;Demand_current!$D$3:$AY$3, 0))/1000</f>
        <v>0.81106250000000024</v>
      </c>
      <c r="DE103" s="182">
        <f t="array" ref="DE103">INDEX(Demand_current!$D$4:$AY$138, MATCH($A103, Demand_current!$B$4:$B$138, 0), MATCH(DE$4&amp;DE$5,Demand_current!$D$2:$AY$2&amp;Demand_current!$D$3:$AY$3, 0))/1000</f>
        <v>2.8530299999999986</v>
      </c>
      <c r="DF103" s="182">
        <f t="array" ref="DF103">INDEX(Demand_current!$D$4:$AY$138, MATCH($A103, Demand_current!$B$4:$B$138, 0), MATCH(DF$4&amp;DF$5,Demand_current!$D$2:$AY$2&amp;Demand_current!$D$3:$AY$3, 0))/1000</f>
        <v>4.4969062499999941</v>
      </c>
      <c r="DG103" s="182">
        <f t="array" ref="DG103">INDEX(Demand_current!$D$4:$AY$138, MATCH($A103, Demand_current!$B$4:$B$138, 0), MATCH(DG$4&amp;DG$5,Demand_current!$D$2:$AY$2&amp;Demand_current!$D$3:$AY$3, 0))/1000</f>
        <v>3.5319814814814769</v>
      </c>
      <c r="DH103" s="182">
        <f t="array" ref="DH103">INDEX(Demand_current!$D$4:$AY$138, MATCH($A103, Demand_current!$B$4:$B$138, 0), MATCH(DH$4&amp;DH$5,Demand_current!$D$2:$AY$2&amp;Demand_current!$D$3:$AY$3, 0))/1000</f>
        <v>5.0359479166666636</v>
      </c>
      <c r="DI103" s="180">
        <f>$BS103*(VLOOKUP(DI$4, Rates_current!$G$6:$Q$29, 10, FALSE)+VLOOKUP(DI$4, Rates_current!$G$6:$Q$29, 11, FALSE))</f>
        <v>18193.169341092602</v>
      </c>
      <c r="DJ103" s="180">
        <f>$BS103*(VLOOKUP(DJ$4, Rates_current!$G$6:$Q$29, 10, FALSE)+VLOOKUP(DJ$4, Rates_current!$G$6:$Q$29, 11, FALSE))</f>
        <v>23202.290161591605</v>
      </c>
      <c r="DK103" s="180">
        <f>$BS103*(VLOOKUP(DK$4, Rates_current!$G$6:$Q$29, 10, FALSE)+VLOOKUP(DK$4, Rates_current!$G$6:$Q$29, 11, FALSE))</f>
        <v>25039.861915494002</v>
      </c>
      <c r="DL103" s="180">
        <f>$BS103*(VLOOKUP(DL$4, Rates_current!$G$6:$Q$29, 10, FALSE)+VLOOKUP(DL$4, Rates_current!$G$6:$Q$29, 11, FALSE))</f>
        <v>26020.287388025601</v>
      </c>
      <c r="DM103" s="180">
        <f>$BS103*(VLOOKUP(DM$4, Rates_current!$G$6:$Q$29, 10, FALSE)+VLOOKUP(DM$4, Rates_current!$G$6:$Q$29, 11, FALSE))</f>
        <v>22380.9154365912</v>
      </c>
      <c r="DN103" s="180">
        <f>$BS103*(VLOOKUP(DN$4, Rates_current!$G$6:$Q$29, 10, FALSE)+VLOOKUP(DN$4, Rates_current!$G$6:$Q$29, 11, FALSE))</f>
        <v>24435.528458348399</v>
      </c>
      <c r="DO103" s="180">
        <f>$BS103*(VLOOKUP(DO$4, Rates_current!$G$6:$Q$29, 10, FALSE)+VLOOKUP(DO$4, Rates_current!$G$6:$Q$29, 11, FALSE))</f>
        <v>19287.731832141701</v>
      </c>
      <c r="DP103" s="180">
        <f>$BS103*(VLOOKUP(DP$4, Rates_current!$G$6:$Q$29, 10, FALSE)+VLOOKUP(DP$4, Rates_current!$G$6:$Q$29, 11, FALSE))</f>
        <v>23929.016014430603</v>
      </c>
      <c r="DQ103" s="180">
        <f>$BS103*(VLOOKUP(DQ$4, Rates_current!$G$6:$Q$29, 10, FALSE)+VLOOKUP(DQ$4, Rates_current!$G$6:$Q$29, 11, FALSE))</f>
        <v>24448.215925108198</v>
      </c>
      <c r="DR103" s="180">
        <f>$BS103*(VLOOKUP(DR$4, Rates_current!$G$6:$Q$29, 10, FALSE)+VLOOKUP(DR$4, Rates_current!$G$6:$Q$29, 11, FALSE))</f>
        <v>21224.573637904599</v>
      </c>
      <c r="DS103" s="180">
        <f>$BS103*(VLOOKUP(DS$4, Rates_current!$G$6:$Q$29, 10, FALSE)+VLOOKUP(DS$4, Rates_current!$G$6:$Q$29, 11, FALSE))</f>
        <v>20518.521031121742</v>
      </c>
      <c r="DT103" s="180">
        <f>$BS103*(VLOOKUP(DT$4, Rates_current!$G$6:$Q$29, 10, FALSE)+VLOOKUP(DT$4, Rates_current!$G$6:$Q$29, 11, FALSE))</f>
        <v>18881.012736887202</v>
      </c>
      <c r="DU103" s="402">
        <f>IF(D103=0,IF(C103=0,MAX(0,DW103 - (VLOOKUP($A103,TOCA_current!$A$2:$AI$137,MATCH("RHWM 2024",TOCA_current!$A$2:$AI$2,0),FALSE)*$BS$2)), 0),0)</f>
        <v>3.3792264465009794</v>
      </c>
      <c r="DV103" s="403">
        <f>MIN(VLOOKUP($A103,TOCA_current!$A$2:$AI$137,MATCH("TRL - NLSL - Existing Resource "&amp;$BS$1,TOCA_current!$A$2:$AI$2,0),FALSE)*$BS$2, VLOOKUP($A103,TOCA_current!$A$2:$AI$137,MATCH("RHWM 2024",TOCA_current!$A$2:$AI$2,0),FALSE)*$BS$2)</f>
        <v>267560.64</v>
      </c>
      <c r="DW103" s="403">
        <f>SUM(BY103:CV103)+(BS103*RT1SC!$C$4*$BS$2)</f>
        <v>267564.01922644651</v>
      </c>
      <c r="DX103" s="403">
        <f>VLOOKUP($A103,TOCA_current!$A$2:$AI$137,MATCH("Above RHWM Not Served with LS "&amp;$BS$1,TOCA_current!$A$2:$AI$2,0),FALSE)*$BS$2</f>
        <v>33660.288</v>
      </c>
      <c r="DY103" s="403">
        <f t="shared" si="32"/>
        <v>3.3792264465009794</v>
      </c>
      <c r="DZ103" s="403">
        <f>(VLOOKUP($A103,TOCA_current!$A$2:$AI$137,MATCH("RHWM 2024",TOCA_current!$A$2:$AI$2,0),FALSE)*$BS$2) - $DV103</f>
        <v>0</v>
      </c>
      <c r="EA103" s="403">
        <f t="shared" si="33"/>
        <v>0</v>
      </c>
      <c r="EB103" s="403">
        <f t="shared" si="34"/>
        <v>0</v>
      </c>
      <c r="EC103" s="403">
        <f t="shared" si="35"/>
        <v>0</v>
      </c>
      <c r="ED103" s="403">
        <f t="shared" si="36"/>
        <v>0</v>
      </c>
    </row>
    <row r="104" spans="1:134">
      <c r="A104" s="123">
        <v>10331</v>
      </c>
      <c r="B104" s="124" t="s">
        <v>105</v>
      </c>
      <c r="C104" s="232">
        <f>VLOOKUP(A104, TOCA_current!$A$3:$D$137, 4, FALSE)</f>
        <v>1</v>
      </c>
      <c r="D104" s="191">
        <v>0</v>
      </c>
      <c r="E104" s="107">
        <f>VLOOKUP($A104,TOCA_previous!$A$2:$AI$137,MATCH(E$4,TOCA_previous!$A$2:$AI$2,0),FALSE)</f>
        <v>5.1831000000000004E-3</v>
      </c>
      <c r="F104" s="108">
        <f>VLOOKUP($A104,TOCA_previous!$A$2:$AI$137,MATCH(F$4,TOCA_previous!$A$2:$AI$2,0),FALSE)</f>
        <v>5.1831000000000004E-3</v>
      </c>
      <c r="G104" s="108">
        <f t="shared" si="24"/>
        <v>0</v>
      </c>
      <c r="H104" s="108">
        <f>VLOOKUP($A104,TOCA_previous!$A$2:$AI$137,MATCH(H$4,TOCA_previous!$A$2:$AI$2,0),FALSE)</f>
        <v>7.0989999999999998E-2</v>
      </c>
      <c r="I104" s="108">
        <f t="shared" si="25"/>
        <v>7.0989999999999998E-2</v>
      </c>
      <c r="J104" s="108">
        <f t="shared" si="26"/>
        <v>5.1831000000000004E-3</v>
      </c>
      <c r="K104" s="179">
        <f>VLOOKUP(A104, IRD!$A$5:$C$139, 3, FALSE)</f>
        <v>133086.85800000001</v>
      </c>
      <c r="L104" s="180">
        <f t="array" ref="L104">IF($G104=0, INDEX(LS_previous!$D$4:$AY$138, MATCH('Staging Table'!$A104, LS_previous!$B$4:$B$138, 0), MATCH(L$4&amp;L$5, LS_previous!$D$2:$AY$2&amp;LS_previous!$D$3:$AY$3, 0)),SUM(VLOOKUP($A104, LS_previous!$B$4:$AY$138, LS_previous!D$149, FALSE), VLOOKUP('Staging Table'!$A104, LS_previous!$B$4:$AY$138,LS_previous!AB$149, FALSE))/2)</f>
        <v>0</v>
      </c>
      <c r="M104" s="180">
        <f t="array" ref="M104">IF($G104=0, INDEX(LS_previous!$D$4:$AY$138, MATCH('Staging Table'!$A104, LS_previous!$B$4:$B$138, 0), MATCH(M$4&amp;M$5, LS_previous!$D$2:$AY$2&amp;LS_previous!$D$3:$AY$3, 0)),SUM(VLOOKUP($A104, LS_previous!$B$4:$AY$138, LS_previous!E$149, FALSE), VLOOKUP('Staging Table'!$A104, LS_previous!$B$4:$AY$138,LS_previous!AC$149, FALSE))/2)</f>
        <v>0</v>
      </c>
      <c r="N104" s="180">
        <f t="array" ref="N104">IF($G104=0, INDEX(LS_previous!$D$4:$AY$138, MATCH('Staging Table'!$A104, LS_previous!$B$4:$B$138, 0), MATCH(N$4&amp;N$5, LS_previous!$D$2:$AY$2&amp;LS_previous!$D$3:$AY$3, 0)),SUM(VLOOKUP($A104, LS_previous!$B$4:$AY$138, LS_previous!F$149, FALSE), VLOOKUP('Staging Table'!$A104, LS_previous!$B$4:$AY$138,LS_previous!AD$149, FALSE))/2)</f>
        <v>0</v>
      </c>
      <c r="O104" s="180">
        <f t="array" ref="O104">IF($G104=0, INDEX(LS_previous!$D$4:$AY$138, MATCH('Staging Table'!$A104, LS_previous!$B$4:$B$138, 0), MATCH(O$4&amp;O$5, LS_previous!$D$2:$AY$2&amp;LS_previous!$D$3:$AY$3, 0)),SUM(VLOOKUP($A104, LS_previous!$B$4:$AY$138, LS_previous!G$149, FALSE), VLOOKUP('Staging Table'!$A104, LS_previous!$B$4:$AY$138,LS_previous!AE$149, FALSE))/2)</f>
        <v>0</v>
      </c>
      <c r="P104" s="180">
        <f t="array" ref="P104">IF($G104=0, INDEX(LS_previous!$D$4:$AY$138, MATCH('Staging Table'!$A104, LS_previous!$B$4:$B$138, 0), MATCH(P$4&amp;P$5, LS_previous!$D$2:$AY$2&amp;LS_previous!$D$3:$AY$3, 0)),SUM(VLOOKUP($A104, LS_previous!$B$4:$AY$138, LS_previous!H$149, FALSE), VLOOKUP('Staging Table'!$A104, LS_previous!$B$4:$AY$138,LS_previous!AF$149, FALSE))/2)</f>
        <v>0</v>
      </c>
      <c r="Q104" s="180">
        <f t="array" ref="Q104">IF($G104=0, INDEX(LS_previous!$D$4:$AY$138, MATCH('Staging Table'!$A104, LS_previous!$B$4:$B$138, 0), MATCH(Q$4&amp;Q$5, LS_previous!$D$2:$AY$2&amp;LS_previous!$D$3:$AY$3, 0)),SUM(VLOOKUP($A104, LS_previous!$B$4:$AY$138, LS_previous!I$149, FALSE), VLOOKUP('Staging Table'!$A104, LS_previous!$B$4:$AY$138,LS_previous!AG$149, FALSE))/2)</f>
        <v>0</v>
      </c>
      <c r="R104" s="180">
        <f t="array" ref="R104">IF($G104=0, INDEX(LS_previous!$D$4:$AY$138, MATCH('Staging Table'!$A104, LS_previous!$B$4:$B$138, 0), MATCH(R$4&amp;R$5, LS_previous!$D$2:$AY$2&amp;LS_previous!$D$3:$AY$3, 0)),SUM(VLOOKUP($A104, LS_previous!$B$4:$AY$138, LS_previous!J$149, FALSE), VLOOKUP('Staging Table'!$A104, LS_previous!$B$4:$AY$138,LS_previous!AH$149, FALSE))/2)</f>
        <v>0</v>
      </c>
      <c r="S104" s="180">
        <f t="array" ref="S104">IF($G104=0, INDEX(LS_previous!$D$4:$AY$138, MATCH('Staging Table'!$A104, LS_previous!$B$4:$B$138, 0), MATCH(S$4&amp;S$5, LS_previous!$D$2:$AY$2&amp;LS_previous!$D$3:$AY$3, 0)),SUM(VLOOKUP($A104, LS_previous!$B$4:$AY$138, LS_previous!K$149, FALSE), VLOOKUP('Staging Table'!$A104, LS_previous!$B$4:$AY$138,LS_previous!AI$149, FALSE))/2)</f>
        <v>0</v>
      </c>
      <c r="T104" s="180">
        <f t="array" ref="T104">IF($G104=0, INDEX(LS_previous!$D$4:$AY$138, MATCH('Staging Table'!$A104, LS_previous!$B$4:$B$138, 0), MATCH(T$4&amp;T$5, LS_previous!$D$2:$AY$2&amp;LS_previous!$D$3:$AY$3, 0)),SUM(VLOOKUP($A104, LS_previous!$B$4:$AY$138, LS_previous!L$149, FALSE), VLOOKUP('Staging Table'!$A104, LS_previous!$B$4:$AY$138,LS_previous!AJ$149, FALSE))/2)</f>
        <v>0</v>
      </c>
      <c r="U104" s="180">
        <f t="array" ref="U104">IF($G104=0, INDEX(LS_previous!$D$4:$AY$138, MATCH('Staging Table'!$A104, LS_previous!$B$4:$B$138, 0), MATCH(U$4&amp;U$5, LS_previous!$D$2:$AY$2&amp;LS_previous!$D$3:$AY$3, 0)),SUM(VLOOKUP($A104, LS_previous!$B$4:$AY$138, LS_previous!M$149, FALSE), VLOOKUP('Staging Table'!$A104, LS_previous!$B$4:$AY$138,LS_previous!AK$149, FALSE))/2)</f>
        <v>0</v>
      </c>
      <c r="V104" s="180">
        <f t="array" ref="V104">IF($G104=0, INDEX(LS_previous!$D$4:$AY$138, MATCH('Staging Table'!$A104, LS_previous!$B$4:$B$138, 0), MATCH(V$4&amp;V$5, LS_previous!$D$2:$AY$2&amp;LS_previous!$D$3:$AY$3, 0)),SUM(VLOOKUP($A104, LS_previous!$B$4:$AY$138, LS_previous!N$149, FALSE), VLOOKUP('Staging Table'!$A104, LS_previous!$B$4:$AY$138,LS_previous!AL$149, FALSE))/2)</f>
        <v>0</v>
      </c>
      <c r="W104" s="180">
        <f t="array" ref="W104">IF($G104=0, INDEX(LS_previous!$D$4:$AY$138, MATCH('Staging Table'!$A104, LS_previous!$B$4:$B$138, 0), MATCH(W$4&amp;W$5, LS_previous!$D$2:$AY$2&amp;LS_previous!$D$3:$AY$3, 0)),SUM(VLOOKUP($A104, LS_previous!$B$4:$AY$138, LS_previous!O$149, FALSE), VLOOKUP('Staging Table'!$A104, LS_previous!$B$4:$AY$138,LS_previous!AM$149, FALSE))/2)</f>
        <v>0</v>
      </c>
      <c r="X104" s="180">
        <f t="array" ref="X104">IF($G104=0, INDEX(LS_previous!$D$4:$AY$138, MATCH('Staging Table'!$A104, LS_previous!$B$4:$B$138, 0), MATCH(X$4&amp;X$5, LS_previous!$D$2:$AY$2&amp;LS_previous!$D$3:$AY$3, 0)),SUM(VLOOKUP($A104, LS_previous!$B$4:$AY$138, LS_previous!P$149, FALSE), VLOOKUP('Staging Table'!$A104, LS_previous!$B$4:$AY$138,LS_previous!AN$149, FALSE))/2)</f>
        <v>0</v>
      </c>
      <c r="Y104" s="180">
        <f t="array" ref="Y104">IF($G104=0, INDEX(LS_previous!$D$4:$AY$138, MATCH('Staging Table'!$A104, LS_previous!$B$4:$B$138, 0), MATCH(Y$4&amp;Y$5, LS_previous!$D$2:$AY$2&amp;LS_previous!$D$3:$AY$3, 0)),SUM(VLOOKUP($A104, LS_previous!$B$4:$AY$138, LS_previous!Q$149, FALSE), VLOOKUP('Staging Table'!$A104, LS_previous!$B$4:$AY$138,LS_previous!AO$149, FALSE))/2)</f>
        <v>0</v>
      </c>
      <c r="Z104" s="180">
        <f t="array" ref="Z104">IF($G104=0, INDEX(LS_previous!$D$4:$AY$138, MATCH('Staging Table'!$A104, LS_previous!$B$4:$B$138, 0), MATCH(Z$4&amp;Z$5, LS_previous!$D$2:$AY$2&amp;LS_previous!$D$3:$AY$3, 0)),SUM(VLOOKUP($A104, LS_previous!$B$4:$AY$138, LS_previous!R$149, FALSE), VLOOKUP('Staging Table'!$A104, LS_previous!$B$4:$AY$138,LS_previous!AP$149, FALSE))/2)</f>
        <v>0</v>
      </c>
      <c r="AA104" s="180">
        <f t="array" ref="AA104">IF($G104=0, INDEX(LS_previous!$D$4:$AY$138, MATCH('Staging Table'!$A104, LS_previous!$B$4:$B$138, 0), MATCH(AA$4&amp;AA$5, LS_previous!$D$2:$AY$2&amp;LS_previous!$D$3:$AY$3, 0)),SUM(VLOOKUP($A104, LS_previous!$B$4:$AY$138, LS_previous!S$149, FALSE), VLOOKUP('Staging Table'!$A104, LS_previous!$B$4:$AY$138,LS_previous!AQ$149, FALSE))/2)</f>
        <v>0</v>
      </c>
      <c r="AB104" s="180">
        <f t="array" ref="AB104">IF($G104=0, INDEX(LS_previous!$D$4:$AY$138, MATCH('Staging Table'!$A104, LS_previous!$B$4:$B$138, 0), MATCH(AB$4&amp;AB$5, LS_previous!$D$2:$AY$2&amp;LS_previous!$D$3:$AY$3, 0)),SUM(VLOOKUP($A104, LS_previous!$B$4:$AY$138, LS_previous!T$149, FALSE), VLOOKUP('Staging Table'!$A104, LS_previous!$B$4:$AY$138,LS_previous!AR$149, FALSE))/2)</f>
        <v>0</v>
      </c>
      <c r="AC104" s="180">
        <f t="array" ref="AC104">IF($G104=0, INDEX(LS_previous!$D$4:$AY$138, MATCH('Staging Table'!$A104, LS_previous!$B$4:$B$138, 0), MATCH(AC$4&amp;AC$5, LS_previous!$D$2:$AY$2&amp;LS_previous!$D$3:$AY$3, 0)),SUM(VLOOKUP($A104, LS_previous!$B$4:$AY$138, LS_previous!U$149, FALSE), VLOOKUP('Staging Table'!$A104, LS_previous!$B$4:$AY$138,LS_previous!AS$149, FALSE))/2)</f>
        <v>0</v>
      </c>
      <c r="AD104" s="180">
        <f t="array" ref="AD104">IF($G104=0, INDEX(LS_previous!$D$4:$AY$138, MATCH('Staging Table'!$A104, LS_previous!$B$4:$B$138, 0), MATCH(AD$4&amp;AD$5, LS_previous!$D$2:$AY$2&amp;LS_previous!$D$3:$AY$3, 0)),SUM(VLOOKUP($A104, LS_previous!$B$4:$AY$138, LS_previous!V$149, FALSE), VLOOKUP('Staging Table'!$A104, LS_previous!$B$4:$AY$138,LS_previous!AT$149, FALSE))/2)</f>
        <v>0</v>
      </c>
      <c r="AE104" s="180">
        <f t="array" ref="AE104">IF($G104=0, INDEX(LS_previous!$D$4:$AY$138, MATCH('Staging Table'!$A104, LS_previous!$B$4:$B$138, 0), MATCH(AE$4&amp;AE$5, LS_previous!$D$2:$AY$2&amp;LS_previous!$D$3:$AY$3, 0)),SUM(VLOOKUP($A104, LS_previous!$B$4:$AY$138, LS_previous!W$149, FALSE), VLOOKUP('Staging Table'!$A104, LS_previous!$B$4:$AY$138,LS_previous!AU$149, FALSE))/2)</f>
        <v>0</v>
      </c>
      <c r="AF104" s="180">
        <f t="array" ref="AF104">IF($G104=0, INDEX(LS_previous!$D$4:$AY$138, MATCH('Staging Table'!$A104, LS_previous!$B$4:$B$138, 0), MATCH(AF$4&amp;AF$5, LS_previous!$D$2:$AY$2&amp;LS_previous!$D$3:$AY$3, 0)),SUM(VLOOKUP($A104, LS_previous!$B$4:$AY$138, LS_previous!X$149, FALSE), VLOOKUP('Staging Table'!$A104, LS_previous!$B$4:$AY$138,LS_previous!AV$149, FALSE))/2)</f>
        <v>0</v>
      </c>
      <c r="AG104" s="180">
        <f t="array" ref="AG104">IF($G104=0, INDEX(LS_previous!$D$4:$AY$138, MATCH('Staging Table'!$A104, LS_previous!$B$4:$B$138, 0), MATCH(AG$4&amp;AG$5, LS_previous!$D$2:$AY$2&amp;LS_previous!$D$3:$AY$3, 0)),SUM(VLOOKUP($A104, LS_previous!$B$4:$AY$138, LS_previous!Y$149, FALSE), VLOOKUP('Staging Table'!$A104, LS_previous!$B$4:$AY$138,LS_previous!AW$149, FALSE))/2)</f>
        <v>0</v>
      </c>
      <c r="AH104" s="180">
        <f t="array" ref="AH104">IF($G104=0, INDEX(LS_previous!$D$4:$AY$138, MATCH('Staging Table'!$A104, LS_previous!$B$4:$B$138, 0), MATCH(AH$4&amp;AH$5, LS_previous!$D$2:$AY$2&amp;LS_previous!$D$3:$AY$3, 0)),SUM(VLOOKUP($A104, LS_previous!$B$4:$AY$138, LS_previous!Z$149, FALSE), VLOOKUP('Staging Table'!$A104, LS_previous!$B$4:$AY$138,LS_previous!AX$149, FALSE))/2)</f>
        <v>0</v>
      </c>
      <c r="AI104" s="180">
        <f t="array" ref="AI104">IF($G104=0, INDEX(LS_previous!$D$4:$AY$138, MATCH('Staging Table'!$A104, LS_previous!$B$4:$B$138, 0), MATCH(AI$4&amp;AI$5, LS_previous!$D$2:$AY$2&amp;LS_previous!$D$3:$AY$3, 0)),SUM(VLOOKUP($A104, LS_previous!$B$4:$AY$138, LS_previous!AA$149, FALSE), VLOOKUP('Staging Table'!$A104, LS_previous!$B$4:$AY$138,LS_previous!AY$149, FALSE))/2)</f>
        <v>0</v>
      </c>
      <c r="AJ104" s="298">
        <f t="array" ref="AJ104">INDEX(Demand_previous!$D$4:$AY$138, MATCH('Staging Table'!$A104, Demand_previous!$B$4:$B$138, 0), MATCH(AJ$4&amp;AJ$5,Demand_previous!$D$2:$AY$2&amp;Demand_previous!$D$3:$AY$3, 0))/1000</f>
        <v>0</v>
      </c>
      <c r="AK104" s="298">
        <f t="array" ref="AK104">INDEX(Demand_previous!$D$4:$AY$138, MATCH('Staging Table'!$A104, Demand_previous!$B$4:$B$138, 0), MATCH(AK$4&amp;AK$5,Demand_previous!$D$2:$AY$2&amp;Demand_previous!$D$3:$AY$3, 0))/1000</f>
        <v>0</v>
      </c>
      <c r="AL104" s="298">
        <f t="array" ref="AL104">INDEX(Demand_previous!$D$4:$AY$138, MATCH('Staging Table'!$A104, Demand_previous!$B$4:$B$138, 0), MATCH(AL$4&amp;AL$5,Demand_previous!$D$2:$AY$2&amp;Demand_previous!$D$3:$AY$3, 0))/1000</f>
        <v>0</v>
      </c>
      <c r="AM104" s="298">
        <f t="array" ref="AM104">INDEX(Demand_previous!$D$4:$AY$138, MATCH('Staging Table'!$A104, Demand_previous!$B$4:$B$138, 0), MATCH(AM$4&amp;AM$5,Demand_previous!$D$2:$AY$2&amp;Demand_previous!$D$3:$AY$3, 0))/1000</f>
        <v>0</v>
      </c>
      <c r="AN104" s="298">
        <f t="array" ref="AN104">INDEX(Demand_previous!$D$4:$AY$138, MATCH('Staging Table'!$A104, Demand_previous!$B$4:$B$138, 0), MATCH(AN$4&amp;AN$5,Demand_previous!$D$2:$AY$2&amp;Demand_previous!$D$3:$AY$3, 0))/1000</f>
        <v>0</v>
      </c>
      <c r="AO104" s="298">
        <f t="array" ref="AO104">INDEX(Demand_previous!$D$4:$AY$138, MATCH('Staging Table'!$A104, Demand_previous!$B$4:$B$138, 0), MATCH(AO$4&amp;AO$5,Demand_previous!$D$2:$AY$2&amp;Demand_previous!$D$3:$AY$3, 0))/1000</f>
        <v>0</v>
      </c>
      <c r="AP104" s="298">
        <f t="array" ref="AP104">INDEX(Demand_previous!$D$4:$AY$138, MATCH('Staging Table'!$A104, Demand_previous!$B$4:$B$138, 0), MATCH(AP$4&amp;AP$5,Demand_previous!$D$2:$AY$2&amp;Demand_previous!$D$3:$AY$3, 0))/1000</f>
        <v>0</v>
      </c>
      <c r="AQ104" s="298">
        <f t="array" ref="AQ104">INDEX(Demand_previous!$D$4:$AY$138, MATCH('Staging Table'!$A104, Demand_previous!$B$4:$B$138, 0), MATCH(AQ$4&amp;AQ$5,Demand_previous!$D$2:$AY$2&amp;Demand_previous!$D$3:$AY$3, 0))/1000</f>
        <v>0</v>
      </c>
      <c r="AR104" s="298">
        <f t="array" ref="AR104">INDEX(Demand_previous!$D$4:$AY$138, MATCH('Staging Table'!$A104, Demand_previous!$B$4:$B$138, 0), MATCH(AR$4&amp;AR$5,Demand_previous!$D$2:$AY$2&amp;Demand_previous!$D$3:$AY$3, 0))/1000</f>
        <v>0</v>
      </c>
      <c r="AS104" s="298">
        <f t="array" ref="AS104">INDEX(Demand_previous!$D$4:$AY$138, MATCH('Staging Table'!$A104, Demand_previous!$B$4:$B$138, 0), MATCH(AS$4&amp;AS$5,Demand_previous!$D$2:$AY$2&amp;Demand_previous!$D$3:$AY$3, 0))/1000</f>
        <v>0</v>
      </c>
      <c r="AT104" s="298">
        <f t="array" ref="AT104">INDEX(Demand_previous!$D$4:$AY$138, MATCH('Staging Table'!$A104, Demand_previous!$B$4:$B$138, 0), MATCH(AT$4&amp;AT$5,Demand_previous!$D$2:$AY$2&amp;Demand_previous!$D$3:$AY$3, 0))/1000</f>
        <v>0</v>
      </c>
      <c r="AU104" s="298">
        <f t="array" ref="AU104">INDEX(Demand_previous!$D$4:$AY$138, MATCH('Staging Table'!$A104, Demand_previous!$B$4:$B$138, 0), MATCH(AU$4&amp;AU$5,Demand_previous!$D$2:$AY$2&amp;Demand_previous!$D$3:$AY$3, 0))/1000</f>
        <v>0</v>
      </c>
      <c r="AV104" s="180">
        <f>$F104*(VLOOKUP(AV$4, Rates_previous!$G$6:$Q$29, 10, FALSE)+VLOOKUP(AV$4, Rates_previous!$G$6:$Q$29, 11, FALSE))</f>
        <v>23603.445665256706</v>
      </c>
      <c r="AW104" s="180">
        <f>$F104*(VLOOKUP(AW$4, Rates_previous!$G$6:$Q$29, 10, FALSE)+VLOOKUP(AW$4, Rates_previous!$G$6:$Q$29, 11, FALSE))</f>
        <v>29882.818840207205</v>
      </c>
      <c r="AX104" s="180">
        <f>$F104*(VLOOKUP(AX$4, Rates_previous!$G$6:$Q$29, 10, FALSE)+VLOOKUP(AX$4, Rates_previous!$G$6:$Q$29, 11, FALSE))</f>
        <v>29249.30955891827</v>
      </c>
      <c r="AY104" s="180">
        <f>$F104*(VLOOKUP(AY$4, Rates_previous!$G$6:$Q$29, 10, FALSE)+VLOOKUP(AY$4, Rates_previous!$G$6:$Q$29, 11, FALSE))</f>
        <v>24158.685873401831</v>
      </c>
      <c r="AZ104" s="180">
        <f>$F104*(VLOOKUP(AZ$4, Rates_previous!$G$6:$Q$29, 10, FALSE)+VLOOKUP(AZ$4, Rates_previous!$G$6:$Q$29, 11, FALSE))</f>
        <v>20938.862534527485</v>
      </c>
      <c r="BA104" s="180">
        <f>$F104*(VLOOKUP(BA$4, Rates_previous!$G$6:$Q$29, 10, FALSE)+VLOOKUP(BA$4, Rates_previous!$G$6:$Q$29, 11, FALSE))</f>
        <v>24996.77348809407</v>
      </c>
      <c r="BB104" s="180">
        <f>$F104*(VLOOKUP(BB$4, Rates_previous!$G$6:$Q$29, 10, FALSE)+VLOOKUP(BB$4, Rates_previous!$G$6:$Q$29, 11, FALSE))</f>
        <v>19406.666820562405</v>
      </c>
      <c r="BC104" s="180">
        <f>$F104*(VLOOKUP(BC$4, Rates_previous!$G$6:$Q$29, 10, FALSE)+VLOOKUP(BC$4, Rates_previous!$G$6:$Q$29, 11, FALSE))</f>
        <v>26888.079693242256</v>
      </c>
      <c r="BD104" s="180">
        <f>$F104*(VLOOKUP(BD$4, Rates_previous!$G$6:$Q$29, 10, FALSE)+VLOOKUP(BD$4, Rates_previous!$G$6:$Q$29, 11, FALSE))</f>
        <v>28730.476165797674</v>
      </c>
      <c r="BE104" s="180">
        <f>$F104*(VLOOKUP(BE$4, Rates_previous!$G$6:$Q$29, 10, FALSE)+VLOOKUP(BE$4, Rates_previous!$G$6:$Q$29, 11, FALSE))</f>
        <v>27278.286157531806</v>
      </c>
      <c r="BF104" s="180">
        <f>$F104*(VLOOKUP(BF$4, Rates_previous!$G$6:$Q$29, 10, FALSE)+VLOOKUP(BF$4, Rates_previous!$G$6:$Q$29, 11, FALSE))</f>
        <v>26362.359160969707</v>
      </c>
      <c r="BG104" s="180">
        <f>$F104*(VLOOKUP(BG$4, Rates_previous!$G$6:$Q$29, 10, FALSE)+VLOOKUP(BG$4, Rates_previous!$G$6:$Q$29, 11, FALSE))</f>
        <v>24361.568031768671</v>
      </c>
      <c r="BH104" s="298">
        <f>IF($D104=0,IF(C104=0, MAX(BJ104 - (VLOOKUP($A104,TOCA_previous!$A$2:$AI$137,MATCH("RHWM 2022",TOCA_previous!$A$2:$AI$2,0),FALSE)*$F$2*TOCA_previous!C101),0),0), 0)</f>
        <v>0</v>
      </c>
      <c r="BI104" s="192">
        <f>MIN(VLOOKUP($A104,TOCA_previous!$A$2:$AI$137,MATCH("TRL - NLSL - Existing Resource "&amp;$F$1,TOCA_previous!$A$2:$AI$2,0),FALSE)*$F$2,(VLOOKUP($A104,TOCA_previous!$A$2:$AI$137,MATCH("RHWM 2022",TOCA_previous!$A$2:$AI$2,0),FALSE)*$F$2))</f>
        <v>305855.39999999997</v>
      </c>
      <c r="BJ104" s="402">
        <f>SUM(L104:AI104)+(F104*RT1SC!$C$3*$F$2)</f>
        <v>305857.3476362041</v>
      </c>
      <c r="BK104" s="401">
        <f>VLOOKUP($A104,TOCA_previous!$A$2:$AI$137,MATCH("Above RHWM Not Served with LS "&amp;$F$1,TOCA_previous!$A$2:$AI$2,0),FALSE)*$F$2</f>
        <v>4318.68</v>
      </c>
      <c r="BL104" s="402">
        <f t="shared" si="27"/>
        <v>1.9476362041314133</v>
      </c>
      <c r="BM104" s="401">
        <f>(VLOOKUP($A104,TOCA_previous!$A$2:$AI$137,MATCH("RHWM 2022",TOCA_previous!$A$2:$AI$2,0),FALSE)*$F$2) - $BI104</f>
        <v>0</v>
      </c>
      <c r="BN104" s="402">
        <f t="shared" si="28"/>
        <v>0</v>
      </c>
      <c r="BO104" s="401">
        <f t="shared" si="29"/>
        <v>0</v>
      </c>
      <c r="BP104" s="402">
        <f t="shared" si="30"/>
        <v>0</v>
      </c>
      <c r="BQ104" s="401">
        <f t="shared" si="37"/>
        <v>0</v>
      </c>
      <c r="BR104" s="108">
        <f>VLOOKUP($A104,TOCA_current!$A$2:$AI$137,MATCH(BR$4,TOCA_current!$A$2:$AI$2,0),FALSE)</f>
        <v>5.0061000000000003E-3</v>
      </c>
      <c r="BS104" s="108">
        <f>VLOOKUP($A104,TOCA_current!$A$2:$AI$137,MATCH(BS$4,TOCA_current!$A$2:$AI$2,0),FALSE)</f>
        <v>5.0061000000000003E-3</v>
      </c>
      <c r="BT104" s="189">
        <f t="shared" si="31"/>
        <v>0</v>
      </c>
      <c r="BU104" s="108">
        <f>VLOOKUP($A104,TOCA_current!A100:BG235,MATCH(BU$4,TOCA_current!$A$2:$BG$2,0),FALSE)</f>
        <v>7.0000000000000007E-2</v>
      </c>
      <c r="BV104" s="108">
        <f t="shared" si="38"/>
        <v>7.0000000000000007E-2</v>
      </c>
      <c r="BW104" s="108">
        <f t="shared" si="39"/>
        <v>5.0061000000000003E-3</v>
      </c>
      <c r="BX104" s="179">
        <f>VLOOKUP($A104,IRD!$A$4:$G$139, 7, FALSE)</f>
        <v>133086.85800000001</v>
      </c>
      <c r="BY104" s="180">
        <f t="array" ref="BY104">IF($BT104=0, INDEX(LS_current!$D$4:$AY$138, MATCH('Staging Table'!$A104, LS_current!$B$4:$B$138, 0), MATCH(BY$4&amp;BY$5, LS_current!$D$2:$AY$2&amp;LS_current!$D$3:$AY$3, 0)),SUM(VLOOKUP($A104, LS_current!$B$4:$AY$138, LS_current!D$148, FALSE), VLOOKUP($A104, LS_current!$B$4:$AY$138,LS_current!AB$148, FALSE))/2)</f>
        <v>0</v>
      </c>
      <c r="BZ104" s="180">
        <f t="array" ref="BZ104">IF($BT104=0, INDEX(LS_current!$D$4:$AY$138, MATCH('Staging Table'!$A104, LS_current!$B$4:$B$138, 0), MATCH(BZ$4&amp;BZ$5, LS_current!$D$2:$AY$2&amp;LS_current!$D$3:$AY$3, 0)),SUM(VLOOKUP($A104, LS_current!$B$4:$AY$138, LS_current!E$148, FALSE), VLOOKUP($A104, LS_current!$B$4:$AY$138,LS_current!AC$148, FALSE))/2)</f>
        <v>0</v>
      </c>
      <c r="CA104" s="180">
        <f t="array" ref="CA104">IF($BT104=0, INDEX(LS_current!$D$4:$AY$138, MATCH('Staging Table'!$A104, LS_current!$B$4:$B$138, 0), MATCH(CA$4&amp;CA$5, LS_current!$D$2:$AY$2&amp;LS_current!$D$3:$AY$3, 0)),SUM(VLOOKUP($A104, LS_current!$B$4:$AY$138, LS_current!F$148, FALSE), VLOOKUP($A104, LS_current!$B$4:$AY$138,LS_current!AD$148, FALSE))/2)</f>
        <v>0</v>
      </c>
      <c r="CB104" s="180">
        <f t="array" ref="CB104">IF($BT104=0, INDEX(LS_current!$D$4:$AY$138, MATCH('Staging Table'!$A104, LS_current!$B$4:$B$138, 0), MATCH(CB$4&amp;CB$5, LS_current!$D$2:$AY$2&amp;LS_current!$D$3:$AY$3, 0)),SUM(VLOOKUP($A104, LS_current!$B$4:$AY$138, LS_current!G$148, FALSE), VLOOKUP($A104, LS_current!$B$4:$AY$138,LS_current!AE$148, FALSE))/2)</f>
        <v>0</v>
      </c>
      <c r="CC104" s="180">
        <f t="array" ref="CC104">IF($BT104=0, INDEX(LS_current!$D$4:$AY$138, MATCH('Staging Table'!$A104, LS_current!$B$4:$B$138, 0), MATCH(CC$4&amp;CC$5, LS_current!$D$2:$AY$2&amp;LS_current!$D$3:$AY$3, 0)),SUM(VLOOKUP($A104, LS_current!$B$4:$AY$138, LS_current!H$148, FALSE), VLOOKUP($A104, LS_current!$B$4:$AY$138,LS_current!AF$148, FALSE))/2)</f>
        <v>0</v>
      </c>
      <c r="CD104" s="180">
        <f t="array" ref="CD104">IF($BT104=0, INDEX(LS_current!$D$4:$AY$138, MATCH('Staging Table'!$A104, LS_current!$B$4:$B$138, 0), MATCH(CD$4&amp;CD$5, LS_current!$D$2:$AY$2&amp;LS_current!$D$3:$AY$3, 0)),SUM(VLOOKUP($A104, LS_current!$B$4:$AY$138, LS_current!I$148, FALSE), VLOOKUP($A104, LS_current!$B$4:$AY$138,LS_current!AG$148, FALSE))/2)</f>
        <v>0</v>
      </c>
      <c r="CE104" s="180">
        <f t="array" ref="CE104">IF($BT104=0, INDEX(LS_current!$D$4:$AY$138, MATCH('Staging Table'!$A104, LS_current!$B$4:$B$138, 0), MATCH(CE$4&amp;CE$5, LS_current!$D$2:$AY$2&amp;LS_current!$D$3:$AY$3, 0)),SUM(VLOOKUP($A104, LS_current!$B$4:$AY$138, LS_current!J$148, FALSE), VLOOKUP($A104, LS_current!$B$4:$AY$138,LS_current!AH$148, FALSE))/2)</f>
        <v>0</v>
      </c>
      <c r="CF104" s="180">
        <f t="array" ref="CF104">IF($BT104=0, INDEX(LS_current!$D$4:$AY$138, MATCH('Staging Table'!$A104, LS_current!$B$4:$B$138, 0), MATCH(CF$4&amp;CF$5, LS_current!$D$2:$AY$2&amp;LS_current!$D$3:$AY$3, 0)),SUM(VLOOKUP($A104, LS_current!$B$4:$AY$138, LS_current!K$148, FALSE), VLOOKUP($A104, LS_current!$B$4:$AY$138,LS_current!AI$148, FALSE))/2)</f>
        <v>0</v>
      </c>
      <c r="CG104" s="180">
        <f t="array" ref="CG104">IF($BT104=0, INDEX(LS_current!$D$4:$AY$138, MATCH('Staging Table'!$A104, LS_current!$B$4:$B$138, 0), MATCH(CG$4&amp;CG$5, LS_current!$D$2:$AY$2&amp;LS_current!$D$3:$AY$3, 0)),SUM(VLOOKUP($A104, LS_current!$B$4:$AY$138, LS_current!L$148, FALSE), VLOOKUP($A104, LS_current!$B$4:$AY$138,LS_current!AJ$148, FALSE))/2)</f>
        <v>0</v>
      </c>
      <c r="CH104" s="180">
        <f t="array" ref="CH104">IF($BT104=0, INDEX(LS_current!$D$4:$AY$138, MATCH('Staging Table'!$A104, LS_current!$B$4:$B$138, 0), MATCH(CH$4&amp;CH$5, LS_current!$D$2:$AY$2&amp;LS_current!$D$3:$AY$3, 0)),SUM(VLOOKUP($A104, LS_current!$B$4:$AY$138, LS_current!M$148, FALSE), VLOOKUP($A104, LS_current!$B$4:$AY$138,LS_current!AK$148, FALSE))/2)</f>
        <v>0</v>
      </c>
      <c r="CI104" s="180">
        <f t="array" ref="CI104">IF($BT104=0, INDEX(LS_current!$D$4:$AY$138, MATCH('Staging Table'!$A104, LS_current!$B$4:$B$138, 0), MATCH(CI$4&amp;CI$5, LS_current!$D$2:$AY$2&amp;LS_current!$D$3:$AY$3, 0)),SUM(VLOOKUP($A104, LS_current!$B$4:$AY$138, LS_current!N$148, FALSE), VLOOKUP($A104, LS_current!$B$4:$AY$138,LS_current!AL$148, FALSE))/2)</f>
        <v>0</v>
      </c>
      <c r="CJ104" s="180">
        <f t="array" ref="CJ104">IF($BT104=0, INDEX(LS_current!$D$4:$AY$138, MATCH('Staging Table'!$A104, LS_current!$B$4:$B$138, 0), MATCH(CJ$4&amp;CJ$5, LS_current!$D$2:$AY$2&amp;LS_current!$D$3:$AY$3, 0)),SUM(VLOOKUP($A104, LS_current!$B$4:$AY$138, LS_current!O$148, FALSE), VLOOKUP($A104, LS_current!$B$4:$AY$138,LS_current!AM$148, FALSE))/2)</f>
        <v>0</v>
      </c>
      <c r="CK104" s="180">
        <f t="array" ref="CK104">IF($BT104=0, INDEX(LS_current!$D$4:$AY$138, MATCH('Staging Table'!$A104, LS_current!$B$4:$B$138, 0), MATCH(CK$4&amp;CK$5, LS_current!$D$2:$AY$2&amp;LS_current!$D$3:$AY$3, 0)),SUM(VLOOKUP($A104, LS_current!$B$4:$AY$138, LS_current!P$148, FALSE), VLOOKUP($A104, LS_current!$B$4:$AY$138,LS_current!AN$148, FALSE))/2)</f>
        <v>0</v>
      </c>
      <c r="CL104" s="180">
        <f t="array" ref="CL104">IF($BT104=0, INDEX(LS_current!$D$4:$AY$138, MATCH('Staging Table'!$A104, LS_current!$B$4:$B$138, 0), MATCH(CL$4&amp;CL$5, LS_current!$D$2:$AY$2&amp;LS_current!$D$3:$AY$3, 0)),SUM(VLOOKUP($A104, LS_current!$B$4:$AY$138, LS_current!Q$148, FALSE), VLOOKUP($A104, LS_current!$B$4:$AY$138,LS_current!AO$148, FALSE))/2)</f>
        <v>0</v>
      </c>
      <c r="CM104" s="180">
        <f t="array" ref="CM104">IF($BT104=0, INDEX(LS_current!$D$4:$AY$138, MATCH('Staging Table'!$A104, LS_current!$B$4:$B$138, 0), MATCH(CM$4&amp;CM$5, LS_current!$D$2:$AY$2&amp;LS_current!$D$3:$AY$3, 0)),SUM(VLOOKUP($A104, LS_current!$B$4:$AY$138, LS_current!R$148, FALSE), VLOOKUP($A104, LS_current!$B$4:$AY$138,LS_current!AP$148, FALSE))/2)</f>
        <v>0</v>
      </c>
      <c r="CN104" s="180">
        <f t="array" ref="CN104">IF($BT104=0, INDEX(LS_current!$D$4:$AY$138, MATCH('Staging Table'!$A104, LS_current!$B$4:$B$138, 0), MATCH(CN$4&amp;CN$5, LS_current!$D$2:$AY$2&amp;LS_current!$D$3:$AY$3, 0)),SUM(VLOOKUP($A104, LS_current!$B$4:$AY$138, LS_current!S$148, FALSE), VLOOKUP($A104, LS_current!$B$4:$AY$138,LS_current!AQ$148, FALSE))/2)</f>
        <v>0</v>
      </c>
      <c r="CO104" s="180">
        <f t="array" ref="CO104">IF($BT104=0, INDEX(LS_current!$D$4:$AY$138, MATCH('Staging Table'!$A104, LS_current!$B$4:$B$138, 0), MATCH(CO$4&amp;CO$5, LS_current!$D$2:$AY$2&amp;LS_current!$D$3:$AY$3, 0)),SUM(VLOOKUP($A104, LS_current!$B$4:$AY$138, LS_current!T$148, FALSE), VLOOKUP($A104, LS_current!$B$4:$AY$138,LS_current!AR$148, FALSE))/2)</f>
        <v>0</v>
      </c>
      <c r="CP104" s="180">
        <f t="array" ref="CP104">IF($BT104=0, INDEX(LS_current!$D$4:$AY$138, MATCH('Staging Table'!$A104, LS_current!$B$4:$B$138, 0), MATCH(CP$4&amp;CP$5, LS_current!$D$2:$AY$2&amp;LS_current!$D$3:$AY$3, 0)),SUM(VLOOKUP($A104, LS_current!$B$4:$AY$138, LS_current!U$148, FALSE), VLOOKUP($A104, LS_current!$B$4:$AY$138,LS_current!AS$148, FALSE))/2)</f>
        <v>0</v>
      </c>
      <c r="CQ104" s="180">
        <f t="array" ref="CQ104">IF($BT104=0, INDEX(LS_current!$D$4:$AY$138, MATCH('Staging Table'!$A104, LS_current!$B$4:$B$138, 0), MATCH(CQ$4&amp;CQ$5, LS_current!$D$2:$AY$2&amp;LS_current!$D$3:$AY$3, 0)),SUM(VLOOKUP($A104, LS_current!$B$4:$AY$138, LS_current!V$148, FALSE), VLOOKUP($A104, LS_current!$B$4:$AY$138,LS_current!AT$148, FALSE))/2)</f>
        <v>0</v>
      </c>
      <c r="CR104" s="180">
        <f t="array" ref="CR104">IF($BT104=0, INDEX(LS_current!$D$4:$AY$138, MATCH('Staging Table'!$A104, LS_current!$B$4:$B$138, 0), MATCH(CR$4&amp;CR$5, LS_current!$D$2:$AY$2&amp;LS_current!$D$3:$AY$3, 0)),SUM(VLOOKUP($A104, LS_current!$B$4:$AY$138, LS_current!W$148, FALSE), VLOOKUP($A104, LS_current!$B$4:$AY$138,LS_current!AU$148, FALSE))/2)</f>
        <v>0</v>
      </c>
      <c r="CS104" s="180">
        <f t="array" ref="CS104">IF($BT104=0, INDEX(LS_current!$D$4:$AY$138, MATCH('Staging Table'!$A104, LS_current!$B$4:$B$138, 0), MATCH(CS$4&amp;CS$5, LS_current!$D$2:$AY$2&amp;LS_current!$D$3:$AY$3, 0)),SUM(VLOOKUP($A104, LS_current!$B$4:$AY$138, LS_current!X$148, FALSE), VLOOKUP($A104, LS_current!$B$4:$AY$138,LS_current!AV$148, FALSE))/2)</f>
        <v>0</v>
      </c>
      <c r="CT104" s="180">
        <f t="array" ref="CT104">IF($BT104=0, INDEX(LS_current!$D$4:$AY$138, MATCH('Staging Table'!$A104, LS_current!$B$4:$B$138, 0), MATCH(CT$4&amp;CT$5, LS_current!$D$2:$AY$2&amp;LS_current!$D$3:$AY$3, 0)),SUM(VLOOKUP($A104, LS_current!$B$4:$AY$138, LS_current!Y$148, FALSE), VLOOKUP($A104, LS_current!$B$4:$AY$138,LS_current!AW$148, FALSE))/2)</f>
        <v>0</v>
      </c>
      <c r="CU104" s="180">
        <f t="array" ref="CU104">IF($BT104=0, INDEX(LS_current!$D$4:$AY$138, MATCH('Staging Table'!$A104, LS_current!$B$4:$B$138, 0), MATCH(CU$4&amp;CU$5, LS_current!$D$2:$AY$2&amp;LS_current!$D$3:$AY$3, 0)),SUM(VLOOKUP($A104, LS_current!$B$4:$AY$138, LS_current!Z$148, FALSE), VLOOKUP($A104, LS_current!$B$4:$AY$138,LS_current!AX$148, FALSE))/2)</f>
        <v>0</v>
      </c>
      <c r="CV104" s="180">
        <f t="array" ref="CV104">IF($BT104=0, INDEX(LS_current!$D$4:$AY$138, MATCH('Staging Table'!$A104, LS_current!$B$4:$B$138, 0), MATCH(CV$4&amp;CV$5, LS_current!$D$2:$AY$2&amp;LS_current!$D$3:$AY$3, 0)),SUM(VLOOKUP($A104, LS_current!$B$4:$AY$138, LS_current!AA$148, FALSE), VLOOKUP($A104, LS_current!$B$4:$AY$138,LS_current!AY$148, FALSE))/2)</f>
        <v>0</v>
      </c>
      <c r="CW104" s="182">
        <f t="array" ref="CW104">INDEX(Demand_current!$D$4:$AY$138, MATCH($A104, Demand_current!$B$4:$B$138, 0), MATCH(CW$4&amp;CW$5,Demand_current!$D$2:$AY$2&amp;Demand_current!$D$3:$AY$3, 0))/1000</f>
        <v>0</v>
      </c>
      <c r="CX104" s="182">
        <f t="array" ref="CX104">INDEX(Demand_current!$D$4:$AY$138, MATCH($A104, Demand_current!$B$4:$B$138, 0), MATCH(CX$4&amp;CX$5,Demand_current!$D$2:$AY$2&amp;Demand_current!$D$3:$AY$3, 0))/1000</f>
        <v>0</v>
      </c>
      <c r="CY104" s="182">
        <f t="array" ref="CY104">INDEX(Demand_current!$D$4:$AY$138, MATCH($A104, Demand_current!$B$4:$B$138, 0), MATCH(CY$4&amp;CY$5,Demand_current!$D$2:$AY$2&amp;Demand_current!$D$3:$AY$3, 0))/1000</f>
        <v>0</v>
      </c>
      <c r="CZ104" s="182">
        <f t="array" ref="CZ104">INDEX(Demand_current!$D$4:$AY$138, MATCH($A104, Demand_current!$B$4:$B$138, 0), MATCH(CZ$4&amp;CZ$5,Demand_current!$D$2:$AY$2&amp;Demand_current!$D$3:$AY$3, 0))/1000</f>
        <v>0</v>
      </c>
      <c r="DA104" s="182">
        <f t="array" ref="DA104">INDEX(Demand_current!$D$4:$AY$138, MATCH($A104, Demand_current!$B$4:$B$138, 0), MATCH(DA$4&amp;DA$5,Demand_current!$D$2:$AY$2&amp;Demand_current!$D$3:$AY$3, 0))/1000</f>
        <v>0</v>
      </c>
      <c r="DB104" s="182">
        <f t="array" ref="DB104">INDEX(Demand_current!$D$4:$AY$138, MATCH($A104, Demand_current!$B$4:$B$138, 0), MATCH(DB$4&amp;DB$5,Demand_current!$D$2:$AY$2&amp;Demand_current!$D$3:$AY$3, 0))/1000</f>
        <v>0</v>
      </c>
      <c r="DC104" s="182">
        <f t="array" ref="DC104">INDEX(Demand_current!$D$4:$AY$138, MATCH($A104, Demand_current!$B$4:$B$138, 0), MATCH(DC$4&amp;DC$5,Demand_current!$D$2:$AY$2&amp;Demand_current!$D$3:$AY$3, 0))/1000</f>
        <v>0</v>
      </c>
      <c r="DD104" s="182">
        <f t="array" ref="DD104">INDEX(Demand_current!$D$4:$AY$138, MATCH($A104, Demand_current!$B$4:$B$138, 0), MATCH(DD$4&amp;DD$5,Demand_current!$D$2:$AY$2&amp;Demand_current!$D$3:$AY$3, 0))/1000</f>
        <v>0</v>
      </c>
      <c r="DE104" s="182">
        <f t="array" ref="DE104">INDEX(Demand_current!$D$4:$AY$138, MATCH($A104, Demand_current!$B$4:$B$138, 0), MATCH(DE$4&amp;DE$5,Demand_current!$D$2:$AY$2&amp;Demand_current!$D$3:$AY$3, 0))/1000</f>
        <v>0</v>
      </c>
      <c r="DF104" s="182">
        <f t="array" ref="DF104">INDEX(Demand_current!$D$4:$AY$138, MATCH($A104, Demand_current!$B$4:$B$138, 0), MATCH(DF$4&amp;DF$5,Demand_current!$D$2:$AY$2&amp;Demand_current!$D$3:$AY$3, 0))/1000</f>
        <v>0</v>
      </c>
      <c r="DG104" s="182">
        <f t="array" ref="DG104">INDEX(Demand_current!$D$4:$AY$138, MATCH($A104, Demand_current!$B$4:$B$138, 0), MATCH(DG$4&amp;DG$5,Demand_current!$D$2:$AY$2&amp;Demand_current!$D$3:$AY$3, 0))/1000</f>
        <v>0</v>
      </c>
      <c r="DH104" s="182">
        <f t="array" ref="DH104">INDEX(Demand_current!$D$4:$AY$138, MATCH($A104, Demand_current!$B$4:$B$138, 0), MATCH(DH$4&amp;DH$5,Demand_current!$D$2:$AY$2&amp;Demand_current!$D$3:$AY$3, 0))/1000</f>
        <v>0</v>
      </c>
      <c r="DI104" s="180">
        <f>$BS104*(VLOOKUP(DI$4, Rates_current!$G$6:$Q$29, 10, FALSE)+VLOOKUP(DI$4, Rates_current!$G$6:$Q$29, 11, FALSE))</f>
        <v>21119.753510445153</v>
      </c>
      <c r="DJ104" s="180">
        <f>$BS104*(VLOOKUP(DJ$4, Rates_current!$G$6:$Q$29, 10, FALSE)+VLOOKUP(DJ$4, Rates_current!$G$6:$Q$29, 11, FALSE))</f>
        <v>26934.650027349904</v>
      </c>
      <c r="DK104" s="180">
        <f>$BS104*(VLOOKUP(DK$4, Rates_current!$G$6:$Q$29, 10, FALSE)+VLOOKUP(DK$4, Rates_current!$G$6:$Q$29, 11, FALSE))</f>
        <v>29067.816699553503</v>
      </c>
      <c r="DL104" s="180">
        <f>$BS104*(VLOOKUP(DL$4, Rates_current!$G$6:$Q$29, 10, FALSE)+VLOOKUP(DL$4, Rates_current!$G$6:$Q$29, 11, FALSE))</f>
        <v>30205.955081438402</v>
      </c>
      <c r="DM104" s="180">
        <f>$BS104*(VLOOKUP(DM$4, Rates_current!$G$6:$Q$29, 10, FALSE)+VLOOKUP(DM$4, Rates_current!$G$6:$Q$29, 11, FALSE))</f>
        <v>25981.1475668118</v>
      </c>
      <c r="DN104" s="180">
        <f>$BS104*(VLOOKUP(DN$4, Rates_current!$G$6:$Q$29, 10, FALSE)+VLOOKUP(DN$4, Rates_current!$G$6:$Q$29, 11, FALSE))</f>
        <v>28366.269134435101</v>
      </c>
      <c r="DO104" s="180">
        <f>$BS104*(VLOOKUP(DO$4, Rates_current!$G$6:$Q$29, 10, FALSE)+VLOOKUP(DO$4, Rates_current!$G$6:$Q$29, 11, FALSE))</f>
        <v>22390.389185809425</v>
      </c>
      <c r="DP104" s="180">
        <f>$BS104*(VLOOKUP(DP$4, Rates_current!$G$6:$Q$29, 10, FALSE)+VLOOKUP(DP$4, Rates_current!$G$6:$Q$29, 11, FALSE))</f>
        <v>27778.278237139653</v>
      </c>
      <c r="DQ104" s="180">
        <f>$BS104*(VLOOKUP(DQ$4, Rates_current!$G$6:$Q$29, 10, FALSE)+VLOOKUP(DQ$4, Rates_current!$G$6:$Q$29, 11, FALSE))</f>
        <v>28380.997528681051</v>
      </c>
      <c r="DR104" s="180">
        <f>$BS104*(VLOOKUP(DR$4, Rates_current!$G$6:$Q$29, 10, FALSE)+VLOOKUP(DR$4, Rates_current!$G$6:$Q$29, 11, FALSE))</f>
        <v>24638.794659288153</v>
      </c>
      <c r="DS104" s="180">
        <f>$BS104*(VLOOKUP(DS$4, Rates_current!$G$6:$Q$29, 10, FALSE)+VLOOKUP(DS$4, Rates_current!$G$6:$Q$29, 11, FALSE))</f>
        <v>23819.165229083239</v>
      </c>
      <c r="DT104" s="180">
        <f>$BS104*(VLOOKUP(DT$4, Rates_current!$G$6:$Q$29, 10, FALSE)+VLOOKUP(DT$4, Rates_current!$G$6:$Q$29, 11, FALSE))</f>
        <v>21918.244565005803</v>
      </c>
      <c r="DU104" s="402">
        <f>IF(D104=0,IF(C104=0,MAX(0,DW104 - (VLOOKUP($A104,TOCA_current!$A$2:$AI$137,MATCH("RHWM 2024",TOCA_current!$A$2:$AI$2,0),FALSE)*$BS$2)), 0),0)</f>
        <v>0</v>
      </c>
      <c r="DV104" s="403">
        <f>MIN(VLOOKUP($A104,TOCA_current!$A$2:$AI$137,MATCH("TRL - NLSL - Existing Resource "&amp;$BS$1,TOCA_current!$A$2:$AI$2,0),FALSE)*$BS$2, VLOOKUP($A104,TOCA_current!$A$2:$AI$137,MATCH("RHWM 2024",TOCA_current!$A$2:$AI$2,0),FALSE)*$BS$2)</f>
        <v>310602.23999999999</v>
      </c>
      <c r="DW104" s="403">
        <f>SUM(BY104:CV104)+(BS104*RT1SC!$C$4*$BS$2)</f>
        <v>310601.46284877602</v>
      </c>
      <c r="DX104" s="403">
        <f>VLOOKUP($A104,TOCA_current!$A$2:$AI$137,MATCH("Above RHWM Not Served with LS "&amp;$BS$1,TOCA_current!$A$2:$AI$2,0),FALSE)*$BS$2</f>
        <v>0</v>
      </c>
      <c r="DY104" s="403">
        <f t="shared" si="32"/>
        <v>-0.77715122397057712</v>
      </c>
      <c r="DZ104" s="403">
        <f>(VLOOKUP($A104,TOCA_current!$A$2:$AI$137,MATCH("RHWM 2024",TOCA_current!$A$2:$AI$2,0),FALSE)*$BS$2) - $DV104</f>
        <v>10909.728000000003</v>
      </c>
      <c r="EA104" s="403">
        <f t="shared" si="33"/>
        <v>0</v>
      </c>
      <c r="EB104" s="403">
        <f t="shared" si="34"/>
        <v>0.77715122397057712</v>
      </c>
      <c r="EC104" s="403">
        <f t="shared" si="35"/>
        <v>0</v>
      </c>
      <c r="ED104" s="403">
        <f t="shared" si="36"/>
        <v>0.77715122397057712</v>
      </c>
    </row>
    <row r="105" spans="1:134">
      <c r="A105" s="123">
        <v>10333</v>
      </c>
      <c r="B105" s="124" t="s">
        <v>106</v>
      </c>
      <c r="C105" s="232">
        <f>VLOOKUP(A105, TOCA_current!$A$3:$D$137, 4, FALSE)</f>
        <v>1</v>
      </c>
      <c r="D105" s="191">
        <v>0</v>
      </c>
      <c r="E105" s="107">
        <f>VLOOKUP($A105,TOCA_previous!$A$2:$AI$137,MATCH(E$4,TOCA_previous!$A$2:$AI$2,0),FALSE)</f>
        <v>2.6216999999999998E-3</v>
      </c>
      <c r="F105" s="108">
        <f>VLOOKUP($A105,TOCA_previous!$A$2:$AI$137,MATCH(F$4,TOCA_previous!$A$2:$AI$2,0),FALSE)</f>
        <v>2.6216999999999998E-3</v>
      </c>
      <c r="G105" s="108">
        <f t="shared" si="24"/>
        <v>0</v>
      </c>
      <c r="H105" s="108">
        <f>VLOOKUP($A105,TOCA_previous!$A$2:$AI$137,MATCH(H$4,TOCA_previous!$A$2:$AI$2,0),FALSE)</f>
        <v>6.3789999999999999E-2</v>
      </c>
      <c r="I105" s="108">
        <f t="shared" si="25"/>
        <v>6.3789999999999999E-2</v>
      </c>
      <c r="J105" s="108">
        <f t="shared" si="26"/>
        <v>2.6216999999999998E-3</v>
      </c>
      <c r="K105" s="179">
        <f>VLOOKUP(A105, IRD!$A$5:$C$139, 3, FALSE)</f>
        <v>0</v>
      </c>
      <c r="L105" s="180">
        <f t="array" ref="L105">IF($G105=0, INDEX(LS_previous!$D$4:$AY$138, MATCH('Staging Table'!$A105, LS_previous!$B$4:$B$138, 0), MATCH(L$4&amp;L$5, LS_previous!$D$2:$AY$2&amp;LS_previous!$D$3:$AY$3, 0)),SUM(VLOOKUP($A105, LS_previous!$B$4:$AY$138, LS_previous!D$149, FALSE), VLOOKUP('Staging Table'!$A105, LS_previous!$B$4:$AY$138,LS_previous!AB$149, FALSE))/2)</f>
        <v>0</v>
      </c>
      <c r="M105" s="180">
        <f t="array" ref="M105">IF($G105=0, INDEX(LS_previous!$D$4:$AY$138, MATCH('Staging Table'!$A105, LS_previous!$B$4:$B$138, 0), MATCH(M$4&amp;M$5, LS_previous!$D$2:$AY$2&amp;LS_previous!$D$3:$AY$3, 0)),SUM(VLOOKUP($A105, LS_previous!$B$4:$AY$138, LS_previous!E$149, FALSE), VLOOKUP('Staging Table'!$A105, LS_previous!$B$4:$AY$138,LS_previous!AC$149, FALSE))/2)</f>
        <v>0</v>
      </c>
      <c r="N105" s="180">
        <f t="array" ref="N105">IF($G105=0, INDEX(LS_previous!$D$4:$AY$138, MATCH('Staging Table'!$A105, LS_previous!$B$4:$B$138, 0), MATCH(N$4&amp;N$5, LS_previous!$D$2:$AY$2&amp;LS_previous!$D$3:$AY$3, 0)),SUM(VLOOKUP($A105, LS_previous!$B$4:$AY$138, LS_previous!F$149, FALSE), VLOOKUP('Staging Table'!$A105, LS_previous!$B$4:$AY$138,LS_previous!AD$149, FALSE))/2)</f>
        <v>0</v>
      </c>
      <c r="O105" s="180">
        <f t="array" ref="O105">IF($G105=0, INDEX(LS_previous!$D$4:$AY$138, MATCH('Staging Table'!$A105, LS_previous!$B$4:$B$138, 0), MATCH(O$4&amp;O$5, LS_previous!$D$2:$AY$2&amp;LS_previous!$D$3:$AY$3, 0)),SUM(VLOOKUP($A105, LS_previous!$B$4:$AY$138, LS_previous!G$149, FALSE), VLOOKUP('Staging Table'!$A105, LS_previous!$B$4:$AY$138,LS_previous!AE$149, FALSE))/2)</f>
        <v>0</v>
      </c>
      <c r="P105" s="180">
        <f t="array" ref="P105">IF($G105=0, INDEX(LS_previous!$D$4:$AY$138, MATCH('Staging Table'!$A105, LS_previous!$B$4:$B$138, 0), MATCH(P$4&amp;P$5, LS_previous!$D$2:$AY$2&amp;LS_previous!$D$3:$AY$3, 0)),SUM(VLOOKUP($A105, LS_previous!$B$4:$AY$138, LS_previous!H$149, FALSE), VLOOKUP('Staging Table'!$A105, LS_previous!$B$4:$AY$138,LS_previous!AF$149, FALSE))/2)</f>
        <v>0</v>
      </c>
      <c r="Q105" s="180">
        <f t="array" ref="Q105">IF($G105=0, INDEX(LS_previous!$D$4:$AY$138, MATCH('Staging Table'!$A105, LS_previous!$B$4:$B$138, 0), MATCH(Q$4&amp;Q$5, LS_previous!$D$2:$AY$2&amp;LS_previous!$D$3:$AY$3, 0)),SUM(VLOOKUP($A105, LS_previous!$B$4:$AY$138, LS_previous!I$149, FALSE), VLOOKUP('Staging Table'!$A105, LS_previous!$B$4:$AY$138,LS_previous!AG$149, FALSE))/2)</f>
        <v>0</v>
      </c>
      <c r="R105" s="180">
        <f t="array" ref="R105">IF($G105=0, INDEX(LS_previous!$D$4:$AY$138, MATCH('Staging Table'!$A105, LS_previous!$B$4:$B$138, 0), MATCH(R$4&amp;R$5, LS_previous!$D$2:$AY$2&amp;LS_previous!$D$3:$AY$3, 0)),SUM(VLOOKUP($A105, LS_previous!$B$4:$AY$138, LS_previous!J$149, FALSE), VLOOKUP('Staging Table'!$A105, LS_previous!$B$4:$AY$138,LS_previous!AH$149, FALSE))/2)</f>
        <v>0</v>
      </c>
      <c r="S105" s="180">
        <f t="array" ref="S105">IF($G105=0, INDEX(LS_previous!$D$4:$AY$138, MATCH('Staging Table'!$A105, LS_previous!$B$4:$B$138, 0), MATCH(S$4&amp;S$5, LS_previous!$D$2:$AY$2&amp;LS_previous!$D$3:$AY$3, 0)),SUM(VLOOKUP($A105, LS_previous!$B$4:$AY$138, LS_previous!K$149, FALSE), VLOOKUP('Staging Table'!$A105, LS_previous!$B$4:$AY$138,LS_previous!AI$149, FALSE))/2)</f>
        <v>0</v>
      </c>
      <c r="T105" s="180">
        <f t="array" ref="T105">IF($G105=0, INDEX(LS_previous!$D$4:$AY$138, MATCH('Staging Table'!$A105, LS_previous!$B$4:$B$138, 0), MATCH(T$4&amp;T$5, LS_previous!$D$2:$AY$2&amp;LS_previous!$D$3:$AY$3, 0)),SUM(VLOOKUP($A105, LS_previous!$B$4:$AY$138, LS_previous!L$149, FALSE), VLOOKUP('Staging Table'!$A105, LS_previous!$B$4:$AY$138,LS_previous!AJ$149, FALSE))/2)</f>
        <v>0</v>
      </c>
      <c r="U105" s="180">
        <f t="array" ref="U105">IF($G105=0, INDEX(LS_previous!$D$4:$AY$138, MATCH('Staging Table'!$A105, LS_previous!$B$4:$B$138, 0), MATCH(U$4&amp;U$5, LS_previous!$D$2:$AY$2&amp;LS_previous!$D$3:$AY$3, 0)),SUM(VLOOKUP($A105, LS_previous!$B$4:$AY$138, LS_previous!M$149, FALSE), VLOOKUP('Staging Table'!$A105, LS_previous!$B$4:$AY$138,LS_previous!AK$149, FALSE))/2)</f>
        <v>0</v>
      </c>
      <c r="V105" s="180">
        <f t="array" ref="V105">IF($G105=0, INDEX(LS_previous!$D$4:$AY$138, MATCH('Staging Table'!$A105, LS_previous!$B$4:$B$138, 0), MATCH(V$4&amp;V$5, LS_previous!$D$2:$AY$2&amp;LS_previous!$D$3:$AY$3, 0)),SUM(VLOOKUP($A105, LS_previous!$B$4:$AY$138, LS_previous!N$149, FALSE), VLOOKUP('Staging Table'!$A105, LS_previous!$B$4:$AY$138,LS_previous!AL$149, FALSE))/2)</f>
        <v>0</v>
      </c>
      <c r="W105" s="180">
        <f t="array" ref="W105">IF($G105=0, INDEX(LS_previous!$D$4:$AY$138, MATCH('Staging Table'!$A105, LS_previous!$B$4:$B$138, 0), MATCH(W$4&amp;W$5, LS_previous!$D$2:$AY$2&amp;LS_previous!$D$3:$AY$3, 0)),SUM(VLOOKUP($A105, LS_previous!$B$4:$AY$138, LS_previous!O$149, FALSE), VLOOKUP('Staging Table'!$A105, LS_previous!$B$4:$AY$138,LS_previous!AM$149, FALSE))/2)</f>
        <v>0</v>
      </c>
      <c r="X105" s="180">
        <f t="array" ref="X105">IF($G105=0, INDEX(LS_previous!$D$4:$AY$138, MATCH('Staging Table'!$A105, LS_previous!$B$4:$B$138, 0), MATCH(X$4&amp;X$5, LS_previous!$D$2:$AY$2&amp;LS_previous!$D$3:$AY$3, 0)),SUM(VLOOKUP($A105, LS_previous!$B$4:$AY$138, LS_previous!P$149, FALSE), VLOOKUP('Staging Table'!$A105, LS_previous!$B$4:$AY$138,LS_previous!AN$149, FALSE))/2)</f>
        <v>0</v>
      </c>
      <c r="Y105" s="180">
        <f t="array" ref="Y105">IF($G105=0, INDEX(LS_previous!$D$4:$AY$138, MATCH('Staging Table'!$A105, LS_previous!$B$4:$B$138, 0), MATCH(Y$4&amp;Y$5, LS_previous!$D$2:$AY$2&amp;LS_previous!$D$3:$AY$3, 0)),SUM(VLOOKUP($A105, LS_previous!$B$4:$AY$138, LS_previous!Q$149, FALSE), VLOOKUP('Staging Table'!$A105, LS_previous!$B$4:$AY$138,LS_previous!AO$149, FALSE))/2)</f>
        <v>0</v>
      </c>
      <c r="Z105" s="180">
        <f t="array" ref="Z105">IF($G105=0, INDEX(LS_previous!$D$4:$AY$138, MATCH('Staging Table'!$A105, LS_previous!$B$4:$B$138, 0), MATCH(Z$4&amp;Z$5, LS_previous!$D$2:$AY$2&amp;LS_previous!$D$3:$AY$3, 0)),SUM(VLOOKUP($A105, LS_previous!$B$4:$AY$138, LS_previous!R$149, FALSE), VLOOKUP('Staging Table'!$A105, LS_previous!$B$4:$AY$138,LS_previous!AP$149, FALSE))/2)</f>
        <v>0</v>
      </c>
      <c r="AA105" s="180">
        <f t="array" ref="AA105">IF($G105=0, INDEX(LS_previous!$D$4:$AY$138, MATCH('Staging Table'!$A105, LS_previous!$B$4:$B$138, 0), MATCH(AA$4&amp;AA$5, LS_previous!$D$2:$AY$2&amp;LS_previous!$D$3:$AY$3, 0)),SUM(VLOOKUP($A105, LS_previous!$B$4:$AY$138, LS_previous!S$149, FALSE), VLOOKUP('Staging Table'!$A105, LS_previous!$B$4:$AY$138,LS_previous!AQ$149, FALSE))/2)</f>
        <v>0</v>
      </c>
      <c r="AB105" s="180">
        <f t="array" ref="AB105">IF($G105=0, INDEX(LS_previous!$D$4:$AY$138, MATCH('Staging Table'!$A105, LS_previous!$B$4:$B$138, 0), MATCH(AB$4&amp;AB$5, LS_previous!$D$2:$AY$2&amp;LS_previous!$D$3:$AY$3, 0)),SUM(VLOOKUP($A105, LS_previous!$B$4:$AY$138, LS_previous!T$149, FALSE), VLOOKUP('Staging Table'!$A105, LS_previous!$B$4:$AY$138,LS_previous!AR$149, FALSE))/2)</f>
        <v>0</v>
      </c>
      <c r="AC105" s="180">
        <f t="array" ref="AC105">IF($G105=0, INDEX(LS_previous!$D$4:$AY$138, MATCH('Staging Table'!$A105, LS_previous!$B$4:$B$138, 0), MATCH(AC$4&amp;AC$5, LS_previous!$D$2:$AY$2&amp;LS_previous!$D$3:$AY$3, 0)),SUM(VLOOKUP($A105, LS_previous!$B$4:$AY$138, LS_previous!U$149, FALSE), VLOOKUP('Staging Table'!$A105, LS_previous!$B$4:$AY$138,LS_previous!AS$149, FALSE))/2)</f>
        <v>0</v>
      </c>
      <c r="AD105" s="180">
        <f t="array" ref="AD105">IF($G105=0, INDEX(LS_previous!$D$4:$AY$138, MATCH('Staging Table'!$A105, LS_previous!$B$4:$B$138, 0), MATCH(AD$4&amp;AD$5, LS_previous!$D$2:$AY$2&amp;LS_previous!$D$3:$AY$3, 0)),SUM(VLOOKUP($A105, LS_previous!$B$4:$AY$138, LS_previous!V$149, FALSE), VLOOKUP('Staging Table'!$A105, LS_previous!$B$4:$AY$138,LS_previous!AT$149, FALSE))/2)</f>
        <v>0</v>
      </c>
      <c r="AE105" s="180">
        <f t="array" ref="AE105">IF($G105=0, INDEX(LS_previous!$D$4:$AY$138, MATCH('Staging Table'!$A105, LS_previous!$B$4:$B$138, 0), MATCH(AE$4&amp;AE$5, LS_previous!$D$2:$AY$2&amp;LS_previous!$D$3:$AY$3, 0)),SUM(VLOOKUP($A105, LS_previous!$B$4:$AY$138, LS_previous!W$149, FALSE), VLOOKUP('Staging Table'!$A105, LS_previous!$B$4:$AY$138,LS_previous!AU$149, FALSE))/2)</f>
        <v>0</v>
      </c>
      <c r="AF105" s="180">
        <f t="array" ref="AF105">IF($G105=0, INDEX(LS_previous!$D$4:$AY$138, MATCH('Staging Table'!$A105, LS_previous!$B$4:$B$138, 0), MATCH(AF$4&amp;AF$5, LS_previous!$D$2:$AY$2&amp;LS_previous!$D$3:$AY$3, 0)),SUM(VLOOKUP($A105, LS_previous!$B$4:$AY$138, LS_previous!X$149, FALSE), VLOOKUP('Staging Table'!$A105, LS_previous!$B$4:$AY$138,LS_previous!AV$149, FALSE))/2)</f>
        <v>0</v>
      </c>
      <c r="AG105" s="180">
        <f t="array" ref="AG105">IF($G105=0, INDEX(LS_previous!$D$4:$AY$138, MATCH('Staging Table'!$A105, LS_previous!$B$4:$B$138, 0), MATCH(AG$4&amp;AG$5, LS_previous!$D$2:$AY$2&amp;LS_previous!$D$3:$AY$3, 0)),SUM(VLOOKUP($A105, LS_previous!$B$4:$AY$138, LS_previous!Y$149, FALSE), VLOOKUP('Staging Table'!$A105, LS_previous!$B$4:$AY$138,LS_previous!AW$149, FALSE))/2)</f>
        <v>0</v>
      </c>
      <c r="AH105" s="180">
        <f t="array" ref="AH105">IF($G105=0, INDEX(LS_previous!$D$4:$AY$138, MATCH('Staging Table'!$A105, LS_previous!$B$4:$B$138, 0), MATCH(AH$4&amp;AH$5, LS_previous!$D$2:$AY$2&amp;LS_previous!$D$3:$AY$3, 0)),SUM(VLOOKUP($A105, LS_previous!$B$4:$AY$138, LS_previous!Z$149, FALSE), VLOOKUP('Staging Table'!$A105, LS_previous!$B$4:$AY$138,LS_previous!AX$149, FALSE))/2)</f>
        <v>0</v>
      </c>
      <c r="AI105" s="180">
        <f t="array" ref="AI105">IF($G105=0, INDEX(LS_previous!$D$4:$AY$138, MATCH('Staging Table'!$A105, LS_previous!$B$4:$B$138, 0), MATCH(AI$4&amp;AI$5, LS_previous!$D$2:$AY$2&amp;LS_previous!$D$3:$AY$3, 0)),SUM(VLOOKUP($A105, LS_previous!$B$4:$AY$138, LS_previous!AA$149, FALSE), VLOOKUP('Staging Table'!$A105, LS_previous!$B$4:$AY$138,LS_previous!AY$149, FALSE))/2)</f>
        <v>0</v>
      </c>
      <c r="AJ105" s="298">
        <f t="array" ref="AJ105">INDEX(Demand_previous!$D$4:$AY$138, MATCH('Staging Table'!$A105, Demand_previous!$B$4:$B$138, 0), MATCH(AJ$4&amp;AJ$5,Demand_previous!$D$2:$AY$2&amp;Demand_previous!$D$3:$AY$3, 0))/1000</f>
        <v>0</v>
      </c>
      <c r="AK105" s="298">
        <f t="array" ref="AK105">INDEX(Demand_previous!$D$4:$AY$138, MATCH('Staging Table'!$A105, Demand_previous!$B$4:$B$138, 0), MATCH(AK$4&amp;AK$5,Demand_previous!$D$2:$AY$2&amp;Demand_previous!$D$3:$AY$3, 0))/1000</f>
        <v>0</v>
      </c>
      <c r="AL105" s="298">
        <f t="array" ref="AL105">INDEX(Demand_previous!$D$4:$AY$138, MATCH('Staging Table'!$A105, Demand_previous!$B$4:$B$138, 0), MATCH(AL$4&amp;AL$5,Demand_previous!$D$2:$AY$2&amp;Demand_previous!$D$3:$AY$3, 0))/1000</f>
        <v>0</v>
      </c>
      <c r="AM105" s="298">
        <f t="array" ref="AM105">INDEX(Demand_previous!$D$4:$AY$138, MATCH('Staging Table'!$A105, Demand_previous!$B$4:$B$138, 0), MATCH(AM$4&amp;AM$5,Demand_previous!$D$2:$AY$2&amp;Demand_previous!$D$3:$AY$3, 0))/1000</f>
        <v>0</v>
      </c>
      <c r="AN105" s="298">
        <f t="array" ref="AN105">INDEX(Demand_previous!$D$4:$AY$138, MATCH('Staging Table'!$A105, Demand_previous!$B$4:$B$138, 0), MATCH(AN$4&amp;AN$5,Demand_previous!$D$2:$AY$2&amp;Demand_previous!$D$3:$AY$3, 0))/1000</f>
        <v>0</v>
      </c>
      <c r="AO105" s="298">
        <f t="array" ref="AO105">INDEX(Demand_previous!$D$4:$AY$138, MATCH('Staging Table'!$A105, Demand_previous!$B$4:$B$138, 0), MATCH(AO$4&amp;AO$5,Demand_previous!$D$2:$AY$2&amp;Demand_previous!$D$3:$AY$3, 0))/1000</f>
        <v>0</v>
      </c>
      <c r="AP105" s="298">
        <f t="array" ref="AP105">INDEX(Demand_previous!$D$4:$AY$138, MATCH('Staging Table'!$A105, Demand_previous!$B$4:$B$138, 0), MATCH(AP$4&amp;AP$5,Demand_previous!$D$2:$AY$2&amp;Demand_previous!$D$3:$AY$3, 0))/1000</f>
        <v>0</v>
      </c>
      <c r="AQ105" s="298">
        <f t="array" ref="AQ105">INDEX(Demand_previous!$D$4:$AY$138, MATCH('Staging Table'!$A105, Demand_previous!$B$4:$B$138, 0), MATCH(AQ$4&amp;AQ$5,Demand_previous!$D$2:$AY$2&amp;Demand_previous!$D$3:$AY$3, 0))/1000</f>
        <v>0</v>
      </c>
      <c r="AR105" s="298">
        <f t="array" ref="AR105">INDEX(Demand_previous!$D$4:$AY$138, MATCH('Staging Table'!$A105, Demand_previous!$B$4:$B$138, 0), MATCH(AR$4&amp;AR$5,Demand_previous!$D$2:$AY$2&amp;Demand_previous!$D$3:$AY$3, 0))/1000</f>
        <v>0</v>
      </c>
      <c r="AS105" s="298">
        <f t="array" ref="AS105">INDEX(Demand_previous!$D$4:$AY$138, MATCH('Staging Table'!$A105, Demand_previous!$B$4:$B$138, 0), MATCH(AS$4&amp;AS$5,Demand_previous!$D$2:$AY$2&amp;Demand_previous!$D$3:$AY$3, 0))/1000</f>
        <v>0</v>
      </c>
      <c r="AT105" s="298">
        <f t="array" ref="AT105">INDEX(Demand_previous!$D$4:$AY$138, MATCH('Staging Table'!$A105, Demand_previous!$B$4:$B$138, 0), MATCH(AT$4&amp;AT$5,Demand_previous!$D$2:$AY$2&amp;Demand_previous!$D$3:$AY$3, 0))/1000</f>
        <v>0</v>
      </c>
      <c r="AU105" s="298">
        <f t="array" ref="AU105">INDEX(Demand_previous!$D$4:$AY$138, MATCH('Staging Table'!$A105, Demand_previous!$B$4:$B$138, 0), MATCH(AU$4&amp;AU$5,Demand_previous!$D$2:$AY$2&amp;Demand_previous!$D$3:$AY$3, 0))/1000</f>
        <v>0</v>
      </c>
      <c r="AV105" s="180">
        <f>$F105*(VLOOKUP(AV$4, Rates_previous!$G$6:$Q$29, 10, FALSE)+VLOOKUP(AV$4, Rates_previous!$G$6:$Q$29, 11, FALSE))</f>
        <v>11939.023653914355</v>
      </c>
      <c r="AW105" s="180">
        <f>$F105*(VLOOKUP(AW$4, Rates_previous!$G$6:$Q$29, 10, FALSE)+VLOOKUP(AW$4, Rates_previous!$G$6:$Q$29, 11, FALSE))</f>
        <v>15115.237242841391</v>
      </c>
      <c r="AX105" s="180">
        <f>$F105*(VLOOKUP(AX$4, Rates_previous!$G$6:$Q$29, 10, FALSE)+VLOOKUP(AX$4, Rates_previous!$G$6:$Q$29, 11, FALSE))</f>
        <v>14794.797490038012</v>
      </c>
      <c r="AY105" s="180">
        <f>$F105*(VLOOKUP(AY$4, Rates_previous!$G$6:$Q$29, 10, FALSE)+VLOOKUP(AY$4, Rates_previous!$G$6:$Q$29, 11, FALSE))</f>
        <v>12219.873580347201</v>
      </c>
      <c r="AZ105" s="180">
        <f>$F105*(VLOOKUP(AZ$4, Rates_previous!$G$6:$Q$29, 10, FALSE)+VLOOKUP(AZ$4, Rates_previous!$G$6:$Q$29, 11, FALSE))</f>
        <v>10591.232256134494</v>
      </c>
      <c r="BA105" s="180">
        <f>$F105*(VLOOKUP(BA$4, Rates_previous!$G$6:$Q$29, 10, FALSE)+VLOOKUP(BA$4, Rates_previous!$G$6:$Q$29, 11, FALSE))</f>
        <v>12643.792528358746</v>
      </c>
      <c r="BB105" s="180">
        <f>$F105*(VLOOKUP(BB$4, Rates_previous!$G$6:$Q$29, 10, FALSE)+VLOOKUP(BB$4, Rates_previous!$G$6:$Q$29, 11, FALSE))</f>
        <v>9816.2216440872162</v>
      </c>
      <c r="BC105" s="180">
        <f>$F105*(VLOOKUP(BC$4, Rates_previous!$G$6:$Q$29, 10, FALSE)+VLOOKUP(BC$4, Rates_previous!$G$6:$Q$29, 11, FALSE))</f>
        <v>13600.447325302081</v>
      </c>
      <c r="BD105" s="180">
        <f>$F105*(VLOOKUP(BD$4, Rates_previous!$G$6:$Q$29, 10, FALSE)+VLOOKUP(BD$4, Rates_previous!$G$6:$Q$29, 11, FALSE))</f>
        <v>14532.362748909292</v>
      </c>
      <c r="BE105" s="180">
        <f>$F105*(VLOOKUP(BE$4, Rates_previous!$G$6:$Q$29, 10, FALSE)+VLOOKUP(BE$4, Rates_previous!$G$6:$Q$29, 11, FALSE))</f>
        <v>13797.820381470765</v>
      </c>
      <c r="BF105" s="180">
        <f>$F105*(VLOOKUP(BF$4, Rates_previous!$G$6:$Q$29, 10, FALSE)+VLOOKUP(BF$4, Rates_previous!$G$6:$Q$29, 11, FALSE))</f>
        <v>13334.528952232115</v>
      </c>
      <c r="BG105" s="180">
        <f>$F105*(VLOOKUP(BG$4, Rates_previous!$G$6:$Q$29, 10, FALSE)+VLOOKUP(BG$4, Rates_previous!$G$6:$Q$29, 11, FALSE))</f>
        <v>12322.494821417282</v>
      </c>
      <c r="BH105" s="298">
        <f>IF($D105=0,IF(C105=0, MAX(BJ105 - (VLOOKUP($A105,TOCA_previous!$A$2:$AI$137,MATCH("RHWM 2022",TOCA_previous!$A$2:$AI$2,0),FALSE)*$F$2*TOCA_previous!C102),0),0), 0)</f>
        <v>0</v>
      </c>
      <c r="BI105" s="192">
        <f>MIN(VLOOKUP($A105,TOCA_previous!$A$2:$AI$137,MATCH("TRL - NLSL - Existing Resource "&amp;$F$1,TOCA_previous!$A$2:$AI$2,0),FALSE)*$F$2,(VLOOKUP($A105,TOCA_previous!$A$2:$AI$137,MATCH("RHWM 2022",TOCA_previous!$A$2:$AI$2,0),FALSE)*$F$2))</f>
        <v>154710.36000000002</v>
      </c>
      <c r="BJ105" s="402">
        <f>SUM(L105:AI105)+(F105*RT1SC!$C$3*$F$2)</f>
        <v>154707.84053902799</v>
      </c>
      <c r="BK105" s="401">
        <f>VLOOKUP($A105,TOCA_previous!$A$2:$AI$137,MATCH("Above RHWM Not Served with LS "&amp;$F$1,TOCA_previous!$A$2:$AI$2,0),FALSE)*$F$2</f>
        <v>9784.92</v>
      </c>
      <c r="BL105" s="402">
        <f t="shared" si="27"/>
        <v>-2.5194609720201697</v>
      </c>
      <c r="BM105" s="401">
        <f>(VLOOKUP($A105,TOCA_previous!$A$2:$AI$137,MATCH("RHWM 2022",TOCA_previous!$A$2:$AI$2,0),FALSE)*$F$2) - $BI105</f>
        <v>0</v>
      </c>
      <c r="BN105" s="402">
        <f t="shared" si="28"/>
        <v>0</v>
      </c>
      <c r="BO105" s="401">
        <f t="shared" si="29"/>
        <v>0</v>
      </c>
      <c r="BP105" s="402">
        <f t="shared" si="30"/>
        <v>0</v>
      </c>
      <c r="BQ105" s="401">
        <f t="shared" si="37"/>
        <v>0</v>
      </c>
      <c r="BR105" s="108">
        <f>VLOOKUP($A105,TOCA_current!$A$2:$AI$137,MATCH(BR$4,TOCA_current!$A$2:$AI$2,0),FALSE)</f>
        <v>2.6213E-3</v>
      </c>
      <c r="BS105" s="108">
        <f>VLOOKUP($A105,TOCA_current!$A$2:$AI$137,MATCH(BS$4,TOCA_current!$A$2:$AI$2,0),FALSE)</f>
        <v>2.6213E-3</v>
      </c>
      <c r="BT105" s="189">
        <f t="shared" si="31"/>
        <v>0</v>
      </c>
      <c r="BU105" s="108">
        <f>VLOOKUP($A105,TOCA_current!A101:BG236,MATCH(BU$4,TOCA_current!$A$2:$BG$2,0),FALSE)</f>
        <v>7.064542263029977E-2</v>
      </c>
      <c r="BV105" s="108">
        <f t="shared" si="38"/>
        <v>7.064542263029977E-2</v>
      </c>
      <c r="BW105" s="108">
        <f t="shared" si="39"/>
        <v>2.6213E-3</v>
      </c>
      <c r="BX105" s="179">
        <f>VLOOKUP($A105,IRD!$A$4:$G$139, 7, FALSE)</f>
        <v>0</v>
      </c>
      <c r="BY105" s="180">
        <f t="array" ref="BY105">IF($BT105=0, INDEX(LS_current!$D$4:$AY$138, MATCH('Staging Table'!$A105, LS_current!$B$4:$B$138, 0), MATCH(BY$4&amp;BY$5, LS_current!$D$2:$AY$2&amp;LS_current!$D$3:$AY$3, 0)),SUM(VLOOKUP($A105, LS_current!$B$4:$AY$138, LS_current!D$148, FALSE), VLOOKUP($A105, LS_current!$B$4:$AY$138,LS_current!AB$148, FALSE))/2)</f>
        <v>0</v>
      </c>
      <c r="BZ105" s="180">
        <f t="array" ref="BZ105">IF($BT105=0, INDEX(LS_current!$D$4:$AY$138, MATCH('Staging Table'!$A105, LS_current!$B$4:$B$138, 0), MATCH(BZ$4&amp;BZ$5, LS_current!$D$2:$AY$2&amp;LS_current!$D$3:$AY$3, 0)),SUM(VLOOKUP($A105, LS_current!$B$4:$AY$138, LS_current!E$148, FALSE), VLOOKUP($A105, LS_current!$B$4:$AY$138,LS_current!AC$148, FALSE))/2)</f>
        <v>0</v>
      </c>
      <c r="CA105" s="180">
        <f t="array" ref="CA105">IF($BT105=0, INDEX(LS_current!$D$4:$AY$138, MATCH('Staging Table'!$A105, LS_current!$B$4:$B$138, 0), MATCH(CA$4&amp;CA$5, LS_current!$D$2:$AY$2&amp;LS_current!$D$3:$AY$3, 0)),SUM(VLOOKUP($A105, LS_current!$B$4:$AY$138, LS_current!F$148, FALSE), VLOOKUP($A105, LS_current!$B$4:$AY$138,LS_current!AD$148, FALSE))/2)</f>
        <v>0</v>
      </c>
      <c r="CB105" s="180">
        <f t="array" ref="CB105">IF($BT105=0, INDEX(LS_current!$D$4:$AY$138, MATCH('Staging Table'!$A105, LS_current!$B$4:$B$138, 0), MATCH(CB$4&amp;CB$5, LS_current!$D$2:$AY$2&amp;LS_current!$D$3:$AY$3, 0)),SUM(VLOOKUP($A105, LS_current!$B$4:$AY$138, LS_current!G$148, FALSE), VLOOKUP($A105, LS_current!$B$4:$AY$138,LS_current!AE$148, FALSE))/2)</f>
        <v>0</v>
      </c>
      <c r="CC105" s="180">
        <f t="array" ref="CC105">IF($BT105=0, INDEX(LS_current!$D$4:$AY$138, MATCH('Staging Table'!$A105, LS_current!$B$4:$B$138, 0), MATCH(CC$4&amp;CC$5, LS_current!$D$2:$AY$2&amp;LS_current!$D$3:$AY$3, 0)),SUM(VLOOKUP($A105, LS_current!$B$4:$AY$138, LS_current!H$148, FALSE), VLOOKUP($A105, LS_current!$B$4:$AY$138,LS_current!AF$148, FALSE))/2)</f>
        <v>0</v>
      </c>
      <c r="CD105" s="180">
        <f t="array" ref="CD105">IF($BT105=0, INDEX(LS_current!$D$4:$AY$138, MATCH('Staging Table'!$A105, LS_current!$B$4:$B$138, 0), MATCH(CD$4&amp;CD$5, LS_current!$D$2:$AY$2&amp;LS_current!$D$3:$AY$3, 0)),SUM(VLOOKUP($A105, LS_current!$B$4:$AY$138, LS_current!I$148, FALSE), VLOOKUP($A105, LS_current!$B$4:$AY$138,LS_current!AG$148, FALSE))/2)</f>
        <v>0</v>
      </c>
      <c r="CE105" s="180">
        <f t="array" ref="CE105">IF($BT105=0, INDEX(LS_current!$D$4:$AY$138, MATCH('Staging Table'!$A105, LS_current!$B$4:$B$138, 0), MATCH(CE$4&amp;CE$5, LS_current!$D$2:$AY$2&amp;LS_current!$D$3:$AY$3, 0)),SUM(VLOOKUP($A105, LS_current!$B$4:$AY$138, LS_current!J$148, FALSE), VLOOKUP($A105, LS_current!$B$4:$AY$138,LS_current!AH$148, FALSE))/2)</f>
        <v>0</v>
      </c>
      <c r="CF105" s="180">
        <f t="array" ref="CF105">IF($BT105=0, INDEX(LS_current!$D$4:$AY$138, MATCH('Staging Table'!$A105, LS_current!$B$4:$B$138, 0), MATCH(CF$4&amp;CF$5, LS_current!$D$2:$AY$2&amp;LS_current!$D$3:$AY$3, 0)),SUM(VLOOKUP($A105, LS_current!$B$4:$AY$138, LS_current!K$148, FALSE), VLOOKUP($A105, LS_current!$B$4:$AY$138,LS_current!AI$148, FALSE))/2)</f>
        <v>0</v>
      </c>
      <c r="CG105" s="180">
        <f t="array" ref="CG105">IF($BT105=0, INDEX(LS_current!$D$4:$AY$138, MATCH('Staging Table'!$A105, LS_current!$B$4:$B$138, 0), MATCH(CG$4&amp;CG$5, LS_current!$D$2:$AY$2&amp;LS_current!$D$3:$AY$3, 0)),SUM(VLOOKUP($A105, LS_current!$B$4:$AY$138, LS_current!L$148, FALSE), VLOOKUP($A105, LS_current!$B$4:$AY$138,LS_current!AJ$148, FALSE))/2)</f>
        <v>0</v>
      </c>
      <c r="CH105" s="180">
        <f t="array" ref="CH105">IF($BT105=0, INDEX(LS_current!$D$4:$AY$138, MATCH('Staging Table'!$A105, LS_current!$B$4:$B$138, 0), MATCH(CH$4&amp;CH$5, LS_current!$D$2:$AY$2&amp;LS_current!$D$3:$AY$3, 0)),SUM(VLOOKUP($A105, LS_current!$B$4:$AY$138, LS_current!M$148, FALSE), VLOOKUP($A105, LS_current!$B$4:$AY$138,LS_current!AK$148, FALSE))/2)</f>
        <v>0</v>
      </c>
      <c r="CI105" s="180">
        <f t="array" ref="CI105">IF($BT105=0, INDEX(LS_current!$D$4:$AY$138, MATCH('Staging Table'!$A105, LS_current!$B$4:$B$138, 0), MATCH(CI$4&amp;CI$5, LS_current!$D$2:$AY$2&amp;LS_current!$D$3:$AY$3, 0)),SUM(VLOOKUP($A105, LS_current!$B$4:$AY$138, LS_current!N$148, FALSE), VLOOKUP($A105, LS_current!$B$4:$AY$138,LS_current!AL$148, FALSE))/2)</f>
        <v>0</v>
      </c>
      <c r="CJ105" s="180">
        <f t="array" ref="CJ105">IF($BT105=0, INDEX(LS_current!$D$4:$AY$138, MATCH('Staging Table'!$A105, LS_current!$B$4:$B$138, 0), MATCH(CJ$4&amp;CJ$5, LS_current!$D$2:$AY$2&amp;LS_current!$D$3:$AY$3, 0)),SUM(VLOOKUP($A105, LS_current!$B$4:$AY$138, LS_current!O$148, FALSE), VLOOKUP($A105, LS_current!$B$4:$AY$138,LS_current!AM$148, FALSE))/2)</f>
        <v>0</v>
      </c>
      <c r="CK105" s="180">
        <f t="array" ref="CK105">IF($BT105=0, INDEX(LS_current!$D$4:$AY$138, MATCH('Staging Table'!$A105, LS_current!$B$4:$B$138, 0), MATCH(CK$4&amp;CK$5, LS_current!$D$2:$AY$2&amp;LS_current!$D$3:$AY$3, 0)),SUM(VLOOKUP($A105, LS_current!$B$4:$AY$138, LS_current!P$148, FALSE), VLOOKUP($A105, LS_current!$B$4:$AY$138,LS_current!AN$148, FALSE))/2)</f>
        <v>0</v>
      </c>
      <c r="CL105" s="180">
        <f t="array" ref="CL105">IF($BT105=0, INDEX(LS_current!$D$4:$AY$138, MATCH('Staging Table'!$A105, LS_current!$B$4:$B$138, 0), MATCH(CL$4&amp;CL$5, LS_current!$D$2:$AY$2&amp;LS_current!$D$3:$AY$3, 0)),SUM(VLOOKUP($A105, LS_current!$B$4:$AY$138, LS_current!Q$148, FALSE), VLOOKUP($A105, LS_current!$B$4:$AY$138,LS_current!AO$148, FALSE))/2)</f>
        <v>0</v>
      </c>
      <c r="CM105" s="180">
        <f t="array" ref="CM105">IF($BT105=0, INDEX(LS_current!$D$4:$AY$138, MATCH('Staging Table'!$A105, LS_current!$B$4:$B$138, 0), MATCH(CM$4&amp;CM$5, LS_current!$D$2:$AY$2&amp;LS_current!$D$3:$AY$3, 0)),SUM(VLOOKUP($A105, LS_current!$B$4:$AY$138, LS_current!R$148, FALSE), VLOOKUP($A105, LS_current!$B$4:$AY$138,LS_current!AP$148, FALSE))/2)</f>
        <v>0</v>
      </c>
      <c r="CN105" s="180">
        <f t="array" ref="CN105">IF($BT105=0, INDEX(LS_current!$D$4:$AY$138, MATCH('Staging Table'!$A105, LS_current!$B$4:$B$138, 0), MATCH(CN$4&amp;CN$5, LS_current!$D$2:$AY$2&amp;LS_current!$D$3:$AY$3, 0)),SUM(VLOOKUP($A105, LS_current!$B$4:$AY$138, LS_current!S$148, FALSE), VLOOKUP($A105, LS_current!$B$4:$AY$138,LS_current!AQ$148, FALSE))/2)</f>
        <v>0</v>
      </c>
      <c r="CO105" s="180">
        <f t="array" ref="CO105">IF($BT105=0, INDEX(LS_current!$D$4:$AY$138, MATCH('Staging Table'!$A105, LS_current!$B$4:$B$138, 0), MATCH(CO$4&amp;CO$5, LS_current!$D$2:$AY$2&amp;LS_current!$D$3:$AY$3, 0)),SUM(VLOOKUP($A105, LS_current!$B$4:$AY$138, LS_current!T$148, FALSE), VLOOKUP($A105, LS_current!$B$4:$AY$138,LS_current!AR$148, FALSE))/2)</f>
        <v>0</v>
      </c>
      <c r="CP105" s="180">
        <f t="array" ref="CP105">IF($BT105=0, INDEX(LS_current!$D$4:$AY$138, MATCH('Staging Table'!$A105, LS_current!$B$4:$B$138, 0), MATCH(CP$4&amp;CP$5, LS_current!$D$2:$AY$2&amp;LS_current!$D$3:$AY$3, 0)),SUM(VLOOKUP($A105, LS_current!$B$4:$AY$138, LS_current!U$148, FALSE), VLOOKUP($A105, LS_current!$B$4:$AY$138,LS_current!AS$148, FALSE))/2)</f>
        <v>0</v>
      </c>
      <c r="CQ105" s="180">
        <f t="array" ref="CQ105">IF($BT105=0, INDEX(LS_current!$D$4:$AY$138, MATCH('Staging Table'!$A105, LS_current!$B$4:$B$138, 0), MATCH(CQ$4&amp;CQ$5, LS_current!$D$2:$AY$2&amp;LS_current!$D$3:$AY$3, 0)),SUM(VLOOKUP($A105, LS_current!$B$4:$AY$138, LS_current!V$148, FALSE), VLOOKUP($A105, LS_current!$B$4:$AY$138,LS_current!AT$148, FALSE))/2)</f>
        <v>0</v>
      </c>
      <c r="CR105" s="180">
        <f t="array" ref="CR105">IF($BT105=0, INDEX(LS_current!$D$4:$AY$138, MATCH('Staging Table'!$A105, LS_current!$B$4:$B$138, 0), MATCH(CR$4&amp;CR$5, LS_current!$D$2:$AY$2&amp;LS_current!$D$3:$AY$3, 0)),SUM(VLOOKUP($A105, LS_current!$B$4:$AY$138, LS_current!W$148, FALSE), VLOOKUP($A105, LS_current!$B$4:$AY$138,LS_current!AU$148, FALSE))/2)</f>
        <v>0</v>
      </c>
      <c r="CS105" s="180">
        <f t="array" ref="CS105">IF($BT105=0, INDEX(LS_current!$D$4:$AY$138, MATCH('Staging Table'!$A105, LS_current!$B$4:$B$138, 0), MATCH(CS$4&amp;CS$5, LS_current!$D$2:$AY$2&amp;LS_current!$D$3:$AY$3, 0)),SUM(VLOOKUP($A105, LS_current!$B$4:$AY$138, LS_current!X$148, FALSE), VLOOKUP($A105, LS_current!$B$4:$AY$138,LS_current!AV$148, FALSE))/2)</f>
        <v>0</v>
      </c>
      <c r="CT105" s="180">
        <f t="array" ref="CT105">IF($BT105=0, INDEX(LS_current!$D$4:$AY$138, MATCH('Staging Table'!$A105, LS_current!$B$4:$B$138, 0), MATCH(CT$4&amp;CT$5, LS_current!$D$2:$AY$2&amp;LS_current!$D$3:$AY$3, 0)),SUM(VLOOKUP($A105, LS_current!$B$4:$AY$138, LS_current!Y$148, FALSE), VLOOKUP($A105, LS_current!$B$4:$AY$138,LS_current!AW$148, FALSE))/2)</f>
        <v>0</v>
      </c>
      <c r="CU105" s="180">
        <f t="array" ref="CU105">IF($BT105=0, INDEX(LS_current!$D$4:$AY$138, MATCH('Staging Table'!$A105, LS_current!$B$4:$B$138, 0), MATCH(CU$4&amp;CU$5, LS_current!$D$2:$AY$2&amp;LS_current!$D$3:$AY$3, 0)),SUM(VLOOKUP($A105, LS_current!$B$4:$AY$138, LS_current!Z$148, FALSE), VLOOKUP($A105, LS_current!$B$4:$AY$138,LS_current!AX$148, FALSE))/2)</f>
        <v>0</v>
      </c>
      <c r="CV105" s="180">
        <f t="array" ref="CV105">IF($BT105=0, INDEX(LS_current!$D$4:$AY$138, MATCH('Staging Table'!$A105, LS_current!$B$4:$B$138, 0), MATCH(CV$4&amp;CV$5, LS_current!$D$2:$AY$2&amp;LS_current!$D$3:$AY$3, 0)),SUM(VLOOKUP($A105, LS_current!$B$4:$AY$138, LS_current!AA$148, FALSE), VLOOKUP($A105, LS_current!$B$4:$AY$138,LS_current!AY$148, FALSE))/2)</f>
        <v>0</v>
      </c>
      <c r="CW105" s="182">
        <f t="array" ref="CW105">INDEX(Demand_current!$D$4:$AY$138, MATCH($A105, Demand_current!$B$4:$B$138, 0), MATCH(CW$4&amp;CW$5,Demand_current!$D$2:$AY$2&amp;Demand_current!$D$3:$AY$3, 0))/1000</f>
        <v>0</v>
      </c>
      <c r="CX105" s="182">
        <f t="array" ref="CX105">INDEX(Demand_current!$D$4:$AY$138, MATCH($A105, Demand_current!$B$4:$B$138, 0), MATCH(CX$4&amp;CX$5,Demand_current!$D$2:$AY$2&amp;Demand_current!$D$3:$AY$3, 0))/1000</f>
        <v>0</v>
      </c>
      <c r="CY105" s="182">
        <f t="array" ref="CY105">INDEX(Demand_current!$D$4:$AY$138, MATCH($A105, Demand_current!$B$4:$B$138, 0), MATCH(CY$4&amp;CY$5,Demand_current!$D$2:$AY$2&amp;Demand_current!$D$3:$AY$3, 0))/1000</f>
        <v>0</v>
      </c>
      <c r="CZ105" s="182">
        <f t="array" ref="CZ105">INDEX(Demand_current!$D$4:$AY$138, MATCH($A105, Demand_current!$B$4:$B$138, 0), MATCH(CZ$4&amp;CZ$5,Demand_current!$D$2:$AY$2&amp;Demand_current!$D$3:$AY$3, 0))/1000</f>
        <v>0</v>
      </c>
      <c r="DA105" s="182">
        <f t="array" ref="DA105">INDEX(Demand_current!$D$4:$AY$138, MATCH($A105, Demand_current!$B$4:$B$138, 0), MATCH(DA$4&amp;DA$5,Demand_current!$D$2:$AY$2&amp;Demand_current!$D$3:$AY$3, 0))/1000</f>
        <v>0</v>
      </c>
      <c r="DB105" s="182">
        <f t="array" ref="DB105">INDEX(Demand_current!$D$4:$AY$138, MATCH($A105, Demand_current!$B$4:$B$138, 0), MATCH(DB$4&amp;DB$5,Demand_current!$D$2:$AY$2&amp;Demand_current!$D$3:$AY$3, 0))/1000</f>
        <v>0</v>
      </c>
      <c r="DC105" s="182">
        <f t="array" ref="DC105">INDEX(Demand_current!$D$4:$AY$138, MATCH($A105, Demand_current!$B$4:$B$138, 0), MATCH(DC$4&amp;DC$5,Demand_current!$D$2:$AY$2&amp;Demand_current!$D$3:$AY$3, 0))/1000</f>
        <v>0</v>
      </c>
      <c r="DD105" s="182">
        <f t="array" ref="DD105">INDEX(Demand_current!$D$4:$AY$138, MATCH($A105, Demand_current!$B$4:$B$138, 0), MATCH(DD$4&amp;DD$5,Demand_current!$D$2:$AY$2&amp;Demand_current!$D$3:$AY$3, 0))/1000</f>
        <v>0</v>
      </c>
      <c r="DE105" s="182">
        <f t="array" ref="DE105">INDEX(Demand_current!$D$4:$AY$138, MATCH($A105, Demand_current!$B$4:$B$138, 0), MATCH(DE$4&amp;DE$5,Demand_current!$D$2:$AY$2&amp;Demand_current!$D$3:$AY$3, 0))/1000</f>
        <v>0</v>
      </c>
      <c r="DF105" s="182">
        <f t="array" ref="DF105">INDEX(Demand_current!$D$4:$AY$138, MATCH($A105, Demand_current!$B$4:$B$138, 0), MATCH(DF$4&amp;DF$5,Demand_current!$D$2:$AY$2&amp;Demand_current!$D$3:$AY$3, 0))/1000</f>
        <v>0</v>
      </c>
      <c r="DG105" s="182">
        <f t="array" ref="DG105">INDEX(Demand_current!$D$4:$AY$138, MATCH($A105, Demand_current!$B$4:$B$138, 0), MATCH(DG$4&amp;DG$5,Demand_current!$D$2:$AY$2&amp;Demand_current!$D$3:$AY$3, 0))/1000</f>
        <v>0</v>
      </c>
      <c r="DH105" s="182">
        <f t="array" ref="DH105">INDEX(Demand_current!$D$4:$AY$138, MATCH($A105, Demand_current!$B$4:$B$138, 0), MATCH(DH$4&amp;DH$5,Demand_current!$D$2:$AY$2&amp;Demand_current!$D$3:$AY$3, 0))/1000</f>
        <v>0</v>
      </c>
      <c r="DI105" s="180">
        <f>$BS105*(VLOOKUP(DI$4, Rates_current!$G$6:$Q$29, 10, FALSE)+VLOOKUP(DI$4, Rates_current!$G$6:$Q$29, 11, FALSE))</f>
        <v>11058.75030001995</v>
      </c>
      <c r="DJ105" s="180">
        <f>$BS105*(VLOOKUP(DJ$4, Rates_current!$G$6:$Q$29, 10, FALSE)+VLOOKUP(DJ$4, Rates_current!$G$6:$Q$29, 11, FALSE))</f>
        <v>14103.553288326702</v>
      </c>
      <c r="DK105" s="180">
        <f>$BS105*(VLOOKUP(DK$4, Rates_current!$G$6:$Q$29, 10, FALSE)+VLOOKUP(DK$4, Rates_current!$G$6:$Q$29, 11, FALSE))</f>
        <v>15220.524542965501</v>
      </c>
      <c r="DL105" s="180">
        <f>$BS105*(VLOOKUP(DL$4, Rates_current!$G$6:$Q$29, 10, FALSE)+VLOOKUP(DL$4, Rates_current!$G$6:$Q$29, 11, FALSE))</f>
        <v>15816.477907947199</v>
      </c>
      <c r="DM105" s="180">
        <f>$BS105*(VLOOKUP(DM$4, Rates_current!$G$6:$Q$29, 10, FALSE)+VLOOKUP(DM$4, Rates_current!$G$6:$Q$29, 11, FALSE))</f>
        <v>13604.2792027494</v>
      </c>
      <c r="DN105" s="180">
        <f>$BS105*(VLOOKUP(DN$4, Rates_current!$G$6:$Q$29, 10, FALSE)+VLOOKUP(DN$4, Rates_current!$G$6:$Q$29, 11, FALSE))</f>
        <v>14853.179377578299</v>
      </c>
      <c r="DO105" s="180">
        <f>$BS105*(VLOOKUP(DO$4, Rates_current!$G$6:$Q$29, 10, FALSE)+VLOOKUP(DO$4, Rates_current!$G$6:$Q$29, 11, FALSE))</f>
        <v>11724.082054446024</v>
      </c>
      <c r="DP105" s="180">
        <f>$BS105*(VLOOKUP(DP$4, Rates_current!$G$6:$Q$29, 10, FALSE)+VLOOKUP(DP$4, Rates_current!$G$6:$Q$29, 11, FALSE))</f>
        <v>14545.294888838451</v>
      </c>
      <c r="DQ105" s="180">
        <f>$BS105*(VLOOKUP(DQ$4, Rates_current!$G$6:$Q$29, 10, FALSE)+VLOOKUP(DQ$4, Rates_current!$G$6:$Q$29, 11, FALSE))</f>
        <v>14860.891476784649</v>
      </c>
      <c r="DR105" s="180">
        <f>$BS105*(VLOOKUP(DR$4, Rates_current!$G$6:$Q$29, 10, FALSE)+VLOOKUP(DR$4, Rates_current!$G$6:$Q$29, 11, FALSE))</f>
        <v>12901.39478643895</v>
      </c>
      <c r="DS105" s="180">
        <f>$BS105*(VLOOKUP(DS$4, Rates_current!$G$6:$Q$29, 10, FALSE)+VLOOKUP(DS$4, Rates_current!$G$6:$Q$29, 11, FALSE))</f>
        <v>12472.219455263756</v>
      </c>
      <c r="DT105" s="180">
        <f>$BS105*(VLOOKUP(DT$4, Rates_current!$G$6:$Q$29, 10, FALSE)+VLOOKUP(DT$4, Rates_current!$G$6:$Q$29, 11, FALSE))</f>
        <v>11476.857129951401</v>
      </c>
      <c r="DU105" s="402">
        <f>IF(D105=0,IF(C105=0,MAX(0,DW105 - (VLOOKUP($A105,TOCA_current!$A$2:$AI$137,MATCH("RHWM 2024",TOCA_current!$A$2:$AI$2,0),FALSE)*$BS$2)), 0),0)</f>
        <v>0</v>
      </c>
      <c r="DV105" s="403">
        <f>MIN(VLOOKUP($A105,TOCA_current!$A$2:$AI$137,MATCH("TRL - NLSL - Existing Resource "&amp;$BS$1,TOCA_current!$A$2:$AI$2,0),FALSE)*$BS$2, VLOOKUP($A105,TOCA_current!$A$2:$AI$137,MATCH("RHWM 2024",TOCA_current!$A$2:$AI$2,0),FALSE)*$BS$2)</f>
        <v>162635.76</v>
      </c>
      <c r="DW105" s="403">
        <f>SUM(BY105:CV105)+(BS105*RT1SC!$C$4*$BS$2)</f>
        <v>162637.50515680798</v>
      </c>
      <c r="DX105" s="403">
        <f>VLOOKUP($A105,TOCA_current!$A$2:$AI$137,MATCH("Above RHWM Not Served with LS "&amp;$BS$1,TOCA_current!$A$2:$AI$2,0),FALSE)*$BS$2</f>
        <v>28855.440000000002</v>
      </c>
      <c r="DY105" s="403">
        <f t="shared" si="32"/>
        <v>1.7451568079704884</v>
      </c>
      <c r="DZ105" s="403">
        <f>(VLOOKUP($A105,TOCA_current!$A$2:$AI$137,MATCH("RHWM 2024",TOCA_current!$A$2:$AI$2,0),FALSE)*$BS$2) - $DV105</f>
        <v>0</v>
      </c>
      <c r="EA105" s="403">
        <f t="shared" si="33"/>
        <v>0</v>
      </c>
      <c r="EB105" s="403">
        <f t="shared" si="34"/>
        <v>0</v>
      </c>
      <c r="EC105" s="403">
        <f t="shared" si="35"/>
        <v>0</v>
      </c>
      <c r="ED105" s="403">
        <f t="shared" si="36"/>
        <v>0</v>
      </c>
    </row>
    <row r="106" spans="1:134">
      <c r="A106" s="123">
        <v>10338</v>
      </c>
      <c r="B106" s="124" t="s">
        <v>107</v>
      </c>
      <c r="C106" s="232">
        <f>VLOOKUP(A106, TOCA_current!$A$3:$D$137, 4, FALSE)</f>
        <v>0</v>
      </c>
      <c r="D106" s="191">
        <v>0</v>
      </c>
      <c r="E106" s="107">
        <f>VLOOKUP($A106,TOCA_previous!$A$2:$AI$137,MATCH(E$4,TOCA_previous!$A$2:$AI$2,0),FALSE)</f>
        <v>3.3589999999999998E-4</v>
      </c>
      <c r="F106" s="108">
        <f>VLOOKUP($A106,TOCA_previous!$A$2:$AI$137,MATCH(F$4,TOCA_previous!$A$2:$AI$2,0),FALSE)</f>
        <v>3.3589999999999998E-4</v>
      </c>
      <c r="G106" s="108">
        <f t="shared" si="24"/>
        <v>0</v>
      </c>
      <c r="H106" s="108">
        <f>VLOOKUP($A106,TOCA_previous!$A$2:$AI$137,MATCH(H$4,TOCA_previous!$A$2:$AI$2,0),FALSE)</f>
        <v>3.9320000000000001E-2</v>
      </c>
      <c r="I106" s="108">
        <f t="shared" si="25"/>
        <v>0</v>
      </c>
      <c r="J106" s="108">
        <f t="shared" si="26"/>
        <v>0</v>
      </c>
      <c r="K106" s="179">
        <f>VLOOKUP(A106, IRD!$A$5:$C$139, 3, FALSE)</f>
        <v>4155.21</v>
      </c>
      <c r="L106" s="180">
        <f t="array" ref="L106">IF($G106=0, INDEX(LS_previous!$D$4:$AY$138, MATCH('Staging Table'!$A106, LS_previous!$B$4:$B$138, 0), MATCH(L$4&amp;L$5, LS_previous!$D$2:$AY$2&amp;LS_previous!$D$3:$AY$3, 0)),SUM(VLOOKUP($A106, LS_previous!$B$4:$AY$138, LS_previous!D$149, FALSE), VLOOKUP('Staging Table'!$A106, LS_previous!$B$4:$AY$138,LS_previous!AB$149, FALSE))/2)</f>
        <v>-171.20044985747427</v>
      </c>
      <c r="M106" s="180">
        <f t="array" ref="M106">IF($G106=0, INDEX(LS_previous!$D$4:$AY$138, MATCH('Staging Table'!$A106, LS_previous!$B$4:$B$138, 0), MATCH(M$4&amp;M$5, LS_previous!$D$2:$AY$2&amp;LS_previous!$D$3:$AY$3, 0)),SUM(VLOOKUP($A106, LS_previous!$B$4:$AY$138, LS_previous!E$149, FALSE), VLOOKUP('Staging Table'!$A106, LS_previous!$B$4:$AY$138,LS_previous!AC$149, FALSE))/2)</f>
        <v>36.167236923182713</v>
      </c>
      <c r="N106" s="180">
        <f t="array" ref="N106">IF($G106=0, INDEX(LS_previous!$D$4:$AY$138, MATCH('Staging Table'!$A106, LS_previous!$B$4:$B$138, 0), MATCH(N$4&amp;N$5, LS_previous!$D$2:$AY$2&amp;LS_previous!$D$3:$AY$3, 0)),SUM(VLOOKUP($A106, LS_previous!$B$4:$AY$138, LS_previous!F$149, FALSE), VLOOKUP('Staging Table'!$A106, LS_previous!$B$4:$AY$138,LS_previous!AD$149, FALSE))/2)</f>
        <v>-348.91878278959246</v>
      </c>
      <c r="O106" s="180">
        <f t="array" ref="O106">IF($G106=0, INDEX(LS_previous!$D$4:$AY$138, MATCH('Staging Table'!$A106, LS_previous!$B$4:$B$138, 0), MATCH(O$4&amp;O$5, LS_previous!$D$2:$AY$2&amp;LS_previous!$D$3:$AY$3, 0)),SUM(VLOOKUP($A106, LS_previous!$B$4:$AY$138, LS_previous!G$149, FALSE), VLOOKUP('Staging Table'!$A106, LS_previous!$B$4:$AY$138,LS_previous!AE$149, FALSE))/2)</f>
        <v>-99.350360083513806</v>
      </c>
      <c r="P106" s="180">
        <f t="array" ref="P106">IF($G106=0, INDEX(LS_previous!$D$4:$AY$138, MATCH('Staging Table'!$A106, LS_previous!$B$4:$B$138, 0), MATCH(P$4&amp;P$5, LS_previous!$D$2:$AY$2&amp;LS_previous!$D$3:$AY$3, 0)),SUM(VLOOKUP($A106, LS_previous!$B$4:$AY$138, LS_previous!H$149, FALSE), VLOOKUP('Staging Table'!$A106, LS_previous!$B$4:$AY$138,LS_previous!AF$149, FALSE))/2)</f>
        <v>159.86614808559193</v>
      </c>
      <c r="Q106" s="180">
        <f t="array" ref="Q106">IF($G106=0, INDEX(LS_previous!$D$4:$AY$138, MATCH('Staging Table'!$A106, LS_previous!$B$4:$B$138, 0), MATCH(Q$4&amp;Q$5, LS_previous!$D$2:$AY$2&amp;LS_previous!$D$3:$AY$3, 0)),SUM(VLOOKUP($A106, LS_previous!$B$4:$AY$138, LS_previous!I$149, FALSE), VLOOKUP('Staging Table'!$A106, LS_previous!$B$4:$AY$138,LS_previous!AG$149, FALSE))/2)</f>
        <v>223.36140304391665</v>
      </c>
      <c r="R106" s="180">
        <f t="array" ref="R106">IF($G106=0, INDEX(LS_previous!$D$4:$AY$138, MATCH('Staging Table'!$A106, LS_previous!$B$4:$B$138, 0), MATCH(R$4&amp;R$5, LS_previous!$D$2:$AY$2&amp;LS_previous!$D$3:$AY$3, 0)),SUM(VLOOKUP($A106, LS_previous!$B$4:$AY$138, LS_previous!J$149, FALSE), VLOOKUP('Staging Table'!$A106, LS_previous!$B$4:$AY$138,LS_previous!AH$149, FALSE))/2)</f>
        <v>397.76437030448039</v>
      </c>
      <c r="S106" s="180">
        <f t="array" ref="S106">IF($G106=0, INDEX(LS_previous!$D$4:$AY$138, MATCH('Staging Table'!$A106, LS_previous!$B$4:$B$138, 0), MATCH(S$4&amp;S$5, LS_previous!$D$2:$AY$2&amp;LS_previous!$D$3:$AY$3, 0)),SUM(VLOOKUP($A106, LS_previous!$B$4:$AY$138, LS_previous!K$149, FALSE), VLOOKUP('Staging Table'!$A106, LS_previous!$B$4:$AY$138,LS_previous!AI$149, FALSE))/2)</f>
        <v>334.00908903921845</v>
      </c>
      <c r="T106" s="180">
        <f t="array" ref="T106">IF($G106=0, INDEX(LS_previous!$D$4:$AY$138, MATCH('Staging Table'!$A106, LS_previous!$B$4:$B$138, 0), MATCH(T$4&amp;T$5, LS_previous!$D$2:$AY$2&amp;LS_previous!$D$3:$AY$3, 0)),SUM(VLOOKUP($A106, LS_previous!$B$4:$AY$138, LS_previous!L$149, FALSE), VLOOKUP('Staging Table'!$A106, LS_previous!$B$4:$AY$138,LS_previous!AJ$149, FALSE))/2)</f>
        <v>266.21578813339852</v>
      </c>
      <c r="U106" s="180">
        <f t="array" ref="U106">IF($G106=0, INDEX(LS_previous!$D$4:$AY$138, MATCH('Staging Table'!$A106, LS_previous!$B$4:$B$138, 0), MATCH(U$4&amp;U$5, LS_previous!$D$2:$AY$2&amp;LS_previous!$D$3:$AY$3, 0)),SUM(VLOOKUP($A106, LS_previous!$B$4:$AY$138, LS_previous!M$149, FALSE), VLOOKUP('Staging Table'!$A106, LS_previous!$B$4:$AY$138,LS_previous!AK$149, FALSE))/2)</f>
        <v>196.89204066639695</v>
      </c>
      <c r="V106" s="180">
        <f t="array" ref="V106">IF($G106=0, INDEX(LS_previous!$D$4:$AY$138, MATCH('Staging Table'!$A106, LS_previous!$B$4:$B$138, 0), MATCH(V$4&amp;V$5, LS_previous!$D$2:$AY$2&amp;LS_previous!$D$3:$AY$3, 0)),SUM(VLOOKUP($A106, LS_previous!$B$4:$AY$138, LS_previous!N$149, FALSE), VLOOKUP('Staging Table'!$A106, LS_previous!$B$4:$AY$138,LS_previous!AL$149, FALSE))/2)</f>
        <v>-100.84480451553259</v>
      </c>
      <c r="W106" s="180">
        <f t="array" ref="W106">IF($G106=0, INDEX(LS_previous!$D$4:$AY$138, MATCH('Staging Table'!$A106, LS_previous!$B$4:$B$138, 0), MATCH(W$4&amp;W$5, LS_previous!$D$2:$AY$2&amp;LS_previous!$D$3:$AY$3, 0)),SUM(VLOOKUP($A106, LS_previous!$B$4:$AY$138, LS_previous!O$149, FALSE), VLOOKUP('Staging Table'!$A106, LS_previous!$B$4:$AY$138,LS_previous!AM$149, FALSE))/2)</f>
        <v>69.843507656356451</v>
      </c>
      <c r="X106" s="180">
        <f t="array" ref="X106">IF($G106=0, INDEX(LS_previous!$D$4:$AY$138, MATCH('Staging Table'!$A106, LS_previous!$B$4:$B$138, 0), MATCH(X$4&amp;X$5, LS_previous!$D$2:$AY$2&amp;LS_previous!$D$3:$AY$3, 0)),SUM(VLOOKUP($A106, LS_previous!$B$4:$AY$138, LS_previous!P$149, FALSE), VLOOKUP('Staging Table'!$A106, LS_previous!$B$4:$AY$138,LS_previous!AN$149, FALSE))/2)</f>
        <v>245.41535083938732</v>
      </c>
      <c r="Y106" s="180">
        <f t="array" ref="Y106">IF($G106=0, INDEX(LS_previous!$D$4:$AY$138, MATCH('Staging Table'!$A106, LS_previous!$B$4:$B$138, 0), MATCH(Y$4&amp;Y$5, LS_previous!$D$2:$AY$2&amp;LS_previous!$D$3:$AY$3, 0)),SUM(VLOOKUP($A106, LS_previous!$B$4:$AY$138, LS_previous!Q$149, FALSE), VLOOKUP('Staging Table'!$A106, LS_previous!$B$4:$AY$138,LS_previous!AO$149, FALSE))/2)</f>
        <v>209.81914218083017</v>
      </c>
      <c r="Z106" s="180">
        <f t="array" ref="Z106">IF($G106=0, INDEX(LS_previous!$D$4:$AY$138, MATCH('Staging Table'!$A106, LS_previous!$B$4:$B$138, 0), MATCH(Z$4&amp;Z$5, LS_previous!$D$2:$AY$2&amp;LS_previous!$D$3:$AY$3, 0)),SUM(VLOOKUP($A106, LS_previous!$B$4:$AY$138, LS_previous!R$149, FALSE), VLOOKUP('Staging Table'!$A106, LS_previous!$B$4:$AY$138,LS_previous!AP$149, FALSE))/2)</f>
        <v>127.44812045990102</v>
      </c>
      <c r="AA106" s="180">
        <f t="array" ref="AA106">IF($G106=0, INDEX(LS_previous!$D$4:$AY$138, MATCH('Staging Table'!$A106, LS_previous!$B$4:$B$138, 0), MATCH(AA$4&amp;AA$5, LS_previous!$D$2:$AY$2&amp;LS_previous!$D$3:$AY$3, 0)),SUM(VLOOKUP($A106, LS_previous!$B$4:$AY$138, LS_previous!S$149, FALSE), VLOOKUP('Staging Table'!$A106, LS_previous!$B$4:$AY$138,LS_previous!AQ$149, FALSE))/2)</f>
        <v>316.44412534664855</v>
      </c>
      <c r="AB106" s="180">
        <f t="array" ref="AB106">IF($G106=0, INDEX(LS_previous!$D$4:$AY$138, MATCH('Staging Table'!$A106, LS_previous!$B$4:$B$138, 0), MATCH(AB$4&amp;AB$5, LS_previous!$D$2:$AY$2&amp;LS_previous!$D$3:$AY$3, 0)),SUM(VLOOKUP($A106, LS_previous!$B$4:$AY$138, LS_previous!T$149, FALSE), VLOOKUP('Staging Table'!$A106, LS_previous!$B$4:$AY$138,LS_previous!AR$149, FALSE))/2)</f>
        <v>241.36483454983613</v>
      </c>
      <c r="AC106" s="180">
        <f t="array" ref="AC106">IF($G106=0, INDEX(LS_previous!$D$4:$AY$138, MATCH('Staging Table'!$A106, LS_previous!$B$4:$B$138, 0), MATCH(AC$4&amp;AC$5, LS_previous!$D$2:$AY$2&amp;LS_previous!$D$3:$AY$3, 0)),SUM(VLOOKUP($A106, LS_previous!$B$4:$AY$138, LS_previous!U$149, FALSE), VLOOKUP('Staging Table'!$A106, LS_previous!$B$4:$AY$138,LS_previous!AS$149, FALSE))/2)</f>
        <v>518.22263600032932</v>
      </c>
      <c r="AD106" s="180">
        <f t="array" ref="AD106">IF($G106=0, INDEX(LS_previous!$D$4:$AY$138, MATCH('Staging Table'!$A106, LS_previous!$B$4:$B$138, 0), MATCH(AD$4&amp;AD$5, LS_previous!$D$2:$AY$2&amp;LS_previous!$D$3:$AY$3, 0)),SUM(VLOOKUP($A106, LS_previous!$B$4:$AY$138, LS_previous!V$149, FALSE), VLOOKUP('Staging Table'!$A106, LS_previous!$B$4:$AY$138,LS_previous!AT$149, FALSE))/2)</f>
        <v>455.44352574328832</v>
      </c>
      <c r="AE106" s="180">
        <f t="array" ref="AE106">IF($G106=0, INDEX(LS_previous!$D$4:$AY$138, MATCH('Staging Table'!$A106, LS_previous!$B$4:$B$138, 0), MATCH(AE$4&amp;AE$5, LS_previous!$D$2:$AY$2&amp;LS_previous!$D$3:$AY$3, 0)),SUM(VLOOKUP($A106, LS_previous!$B$4:$AY$138, LS_previous!W$149, FALSE), VLOOKUP('Staging Table'!$A106, LS_previous!$B$4:$AY$138,LS_previous!AU$149, FALSE))/2)</f>
        <v>492.12569718991153</v>
      </c>
      <c r="AF106" s="180">
        <f t="array" ref="AF106">IF($G106=0, INDEX(LS_previous!$D$4:$AY$138, MATCH('Staging Table'!$A106, LS_previous!$B$4:$B$138, 0), MATCH(AF$4&amp;AF$5, LS_previous!$D$2:$AY$2&amp;LS_previous!$D$3:$AY$3, 0)),SUM(VLOOKUP($A106, LS_previous!$B$4:$AY$138, LS_previous!X$149, FALSE), VLOOKUP('Staging Table'!$A106, LS_previous!$B$4:$AY$138,LS_previous!AV$149, FALSE))/2)</f>
        <v>400.02645027401741</v>
      </c>
      <c r="AG106" s="180">
        <f t="array" ref="AG106">IF($G106=0, INDEX(LS_previous!$D$4:$AY$138, MATCH('Staging Table'!$A106, LS_previous!$B$4:$B$138, 0), MATCH(AG$4&amp;AG$5, LS_previous!$D$2:$AY$2&amp;LS_previous!$D$3:$AY$3, 0)),SUM(VLOOKUP($A106, LS_previous!$B$4:$AY$138, LS_previous!Y$149, FALSE), VLOOKUP('Staging Table'!$A106, LS_previous!$B$4:$AY$138,LS_previous!AW$149, FALSE))/2)</f>
        <v>358.2880482365797</v>
      </c>
      <c r="AH106" s="180">
        <f t="array" ref="AH106">IF($G106=0, INDEX(LS_previous!$D$4:$AY$138, MATCH('Staging Table'!$A106, LS_previous!$B$4:$B$138, 0), MATCH(AH$4&amp;AH$5, LS_previous!$D$2:$AY$2&amp;LS_previous!$D$3:$AY$3, 0)),SUM(VLOOKUP($A106, LS_previous!$B$4:$AY$138, LS_previous!Z$149, FALSE), VLOOKUP('Staging Table'!$A106, LS_previous!$B$4:$AY$138,LS_previous!AX$149, FALSE))/2)</f>
        <v>-79.923189410869895</v>
      </c>
      <c r="AI106" s="180">
        <f t="array" ref="AI106">IF($G106=0, INDEX(LS_previous!$D$4:$AY$138, MATCH('Staging Table'!$A106, LS_previous!$B$4:$B$138, 0), MATCH(AI$4&amp;AI$5, LS_previous!$D$2:$AY$2&amp;LS_previous!$D$3:$AY$3, 0)),SUM(VLOOKUP($A106, LS_previous!$B$4:$AY$138, LS_previous!AA$149, FALSE), VLOOKUP('Staging Table'!$A106, LS_previous!$B$4:$AY$138,LS_previous!AY$149, FALSE))/2)</f>
        <v>128.59051018972912</v>
      </c>
      <c r="AJ106" s="298">
        <f t="array" ref="AJ106">INDEX(Demand_previous!$D$4:$AY$138, MATCH('Staging Table'!$A106, Demand_previous!$B$4:$B$138, 0), MATCH(AJ$4&amp;AJ$5,Demand_previous!$D$2:$AY$2&amp;Demand_previous!$D$3:$AY$3, 0))/1000</f>
        <v>0</v>
      </c>
      <c r="AK106" s="298">
        <f t="array" ref="AK106">INDEX(Demand_previous!$D$4:$AY$138, MATCH('Staging Table'!$A106, Demand_previous!$B$4:$B$138, 0), MATCH(AK$4&amp;AK$5,Demand_previous!$D$2:$AY$2&amp;Demand_previous!$D$3:$AY$3, 0))/1000</f>
        <v>0</v>
      </c>
      <c r="AL106" s="298">
        <f t="array" ref="AL106">INDEX(Demand_previous!$D$4:$AY$138, MATCH('Staging Table'!$A106, Demand_previous!$B$4:$B$138, 0), MATCH(AL$4&amp;AL$5,Demand_previous!$D$2:$AY$2&amp;Demand_previous!$D$3:$AY$3, 0))/1000</f>
        <v>0.5335841346153849</v>
      </c>
      <c r="AM106" s="298">
        <f t="array" ref="AM106">INDEX(Demand_previous!$D$4:$AY$138, MATCH('Staging Table'!$A106, Demand_previous!$B$4:$B$138, 0), MATCH(AM$4&amp;AM$5,Demand_previous!$D$2:$AY$2&amp;Demand_previous!$D$3:$AY$3, 0))/1000</f>
        <v>0.30492499999999945</v>
      </c>
      <c r="AN106" s="298">
        <f t="array" ref="AN106">INDEX(Demand_previous!$D$4:$AY$138, MATCH('Staging Table'!$A106, Demand_previous!$B$4:$B$138, 0), MATCH(AN$4&amp;AN$5,Demand_previous!$D$2:$AY$2&amp;Demand_previous!$D$3:$AY$3, 0))/1000</f>
        <v>3.2986979166666375E-2</v>
      </c>
      <c r="AO106" s="298">
        <f t="array" ref="AO106">INDEX(Demand_previous!$D$4:$AY$138, MATCH('Staging Table'!$A106, Demand_previous!$B$4:$B$138, 0), MATCH(AO$4&amp;AO$5,Demand_previous!$D$2:$AY$2&amp;Demand_previous!$D$3:$AY$3, 0))/1000</f>
        <v>0.33146990740740745</v>
      </c>
      <c r="AP106" s="298">
        <f t="array" ref="AP106">INDEX(Demand_previous!$D$4:$AY$138, MATCH('Staging Table'!$A106, Demand_previous!$B$4:$B$138, 0), MATCH(AP$4&amp;AP$5,Demand_previous!$D$2:$AY$2&amp;Demand_previous!$D$3:$AY$3, 0))/1000</f>
        <v>0.19301442307692307</v>
      </c>
      <c r="AQ106" s="298">
        <f t="array" ref="AQ106">INDEX(Demand_previous!$D$4:$AY$138, MATCH('Staging Table'!$A106, Demand_previous!$B$4:$B$138, 0), MATCH(AQ$4&amp;AQ$5,Demand_previous!$D$2:$AY$2&amp;Demand_previous!$D$3:$AY$3, 0))/1000</f>
        <v>0.62985749999999963</v>
      </c>
      <c r="AR106" s="298">
        <f t="array" ref="AR106">INDEX(Demand_previous!$D$4:$AY$138, MATCH('Staging Table'!$A106, Demand_previous!$B$4:$B$138, 0), MATCH(AR$4&amp;AR$5,Demand_previous!$D$2:$AY$2&amp;Demand_previous!$D$3:$AY$3, 0))/1000</f>
        <v>0.53399278846153897</v>
      </c>
      <c r="AS106" s="298">
        <f t="array" ref="AS106">INDEX(Demand_previous!$D$4:$AY$138, MATCH('Staging Table'!$A106, Demand_previous!$B$4:$B$138, 0), MATCH(AS$4&amp;AS$5,Demand_previous!$D$2:$AY$2&amp;Demand_previous!$D$3:$AY$3, 0))/1000</f>
        <v>0.41578250000000005</v>
      </c>
      <c r="AT106" s="298">
        <f t="array" ref="AT106">INDEX(Demand_previous!$D$4:$AY$138, MATCH('Staging Table'!$A106, Demand_previous!$B$4:$B$138, 0), MATCH(AT$4&amp;AT$5,Demand_previous!$D$2:$AY$2&amp;Demand_previous!$D$3:$AY$3, 0))/1000</f>
        <v>0.48571527777777745</v>
      </c>
      <c r="AU106" s="298">
        <f t="array" ref="AU106">INDEX(Demand_previous!$D$4:$AY$138, MATCH('Staging Table'!$A106, Demand_previous!$B$4:$B$138, 0), MATCH(AU$4&amp;AU$5,Demand_previous!$D$2:$AY$2&amp;Demand_previous!$D$3:$AY$3, 0))/1000</f>
        <v>0.37982249999999973</v>
      </c>
      <c r="AV106" s="180">
        <f>$F106*(VLOOKUP(AV$4, Rates_previous!$G$6:$Q$29, 10, FALSE)+VLOOKUP(AV$4, Rates_previous!$G$6:$Q$29, 11, FALSE))</f>
        <v>1529.6632129342916</v>
      </c>
      <c r="AW106" s="180">
        <f>$F106*(VLOOKUP(AW$4, Rates_previous!$G$6:$Q$29, 10, FALSE)+VLOOKUP(AW$4, Rates_previous!$G$6:$Q$29, 11, FALSE))</f>
        <v>1936.6091428731065</v>
      </c>
      <c r="AX106" s="180">
        <f>$F106*(VLOOKUP(AX$4, Rates_previous!$G$6:$Q$29, 10, FALSE)+VLOOKUP(AX$4, Rates_previous!$G$6:$Q$29, 11, FALSE))</f>
        <v>1895.5534488704918</v>
      </c>
      <c r="AY106" s="180">
        <f>$F106*(VLOOKUP(AY$4, Rates_previous!$G$6:$Q$29, 10, FALSE)+VLOOKUP(AY$4, Rates_previous!$G$6:$Q$29, 11, FALSE))</f>
        <v>1565.6465406563011</v>
      </c>
      <c r="AZ106" s="180">
        <f>$F106*(VLOOKUP(AZ$4, Rates_previous!$G$6:$Q$29, 10, FALSE)+VLOOKUP(AZ$4, Rates_previous!$G$6:$Q$29, 11, FALSE))</f>
        <v>1356.9801712002047</v>
      </c>
      <c r="BA106" s="180">
        <f>$F106*(VLOOKUP(BA$4, Rates_previous!$G$6:$Q$29, 10, FALSE)+VLOOKUP(BA$4, Rates_previous!$G$6:$Q$29, 11, FALSE))</f>
        <v>1619.9602968591764</v>
      </c>
      <c r="BB106" s="180">
        <f>$F106*(VLOOKUP(BB$4, Rates_previous!$G$6:$Q$29, 10, FALSE)+VLOOKUP(BB$4, Rates_previous!$G$6:$Q$29, 11, FALSE))</f>
        <v>1257.6835069797826</v>
      </c>
      <c r="BC106" s="180">
        <f>$F106*(VLOOKUP(BC$4, Rates_previous!$G$6:$Q$29, 10, FALSE)+VLOOKUP(BC$4, Rates_previous!$G$6:$Q$29, 11, FALSE))</f>
        <v>1742.5297541934503</v>
      </c>
      <c r="BD106" s="180">
        <f>$F106*(VLOOKUP(BD$4, Rates_previous!$G$6:$Q$29, 10, FALSE)+VLOOKUP(BD$4, Rates_previous!$G$6:$Q$29, 11, FALSE))</f>
        <v>1861.9295294498345</v>
      </c>
      <c r="BE106" s="180">
        <f>$F106*(VLOOKUP(BE$4, Rates_previous!$G$6:$Q$29, 10, FALSE)+VLOOKUP(BE$4, Rates_previous!$G$6:$Q$29, 11, FALSE))</f>
        <v>1767.8177770668003</v>
      </c>
      <c r="BF106" s="180">
        <f>$F106*(VLOOKUP(BF$4, Rates_previous!$G$6:$Q$29, 10, FALSE)+VLOOKUP(BF$4, Rates_previous!$G$6:$Q$29, 11, FALSE))</f>
        <v>1708.4595014894028</v>
      </c>
      <c r="BG106" s="180">
        <f>$F106*(VLOOKUP(BG$4, Rates_previous!$G$6:$Q$29, 10, FALSE)+VLOOKUP(BG$4, Rates_previous!$G$6:$Q$29, 11, FALSE))</f>
        <v>1578.794679221141</v>
      </c>
      <c r="BH106" s="298">
        <f>IF($D106=0,IF(C106=0, MAX(BJ106 - (VLOOKUP($A106,TOCA_previous!$A$2:$AI$137,MATCH("RHWM 2022",TOCA_previous!$A$2:$AI$2,0),FALSE)*$F$2*TOCA_previous!C103),0),0), 0)</f>
        <v>4374.8190139620201</v>
      </c>
      <c r="BI106" s="192">
        <f>MIN(VLOOKUP($A106,TOCA_previous!$A$2:$AI$137,MATCH("TRL - NLSL - Existing Resource "&amp;$F$1,TOCA_previous!$A$2:$AI$2,0),FALSE)*$F$2,(VLOOKUP($A106,TOCA_previous!$A$2:$AI$137,MATCH("RHWM 2022",TOCA_previous!$A$2:$AI$2,0),FALSE)*$F$2))</f>
        <v>19823.879999999997</v>
      </c>
      <c r="BJ106" s="402">
        <f>SUM(L106:AI106)+(F106*RT1SC!$C$3*$F$2)</f>
        <v>24198.699013962017</v>
      </c>
      <c r="BK106" s="401">
        <f>VLOOKUP($A106,TOCA_previous!$A$2:$AI$137,MATCH("Above RHWM Not Served with LS "&amp;$F$1,TOCA_previous!$A$2:$AI$2,0),FALSE)*$F$2</f>
        <v>0</v>
      </c>
      <c r="BL106" s="402">
        <f t="shared" si="27"/>
        <v>4374.8190139620201</v>
      </c>
      <c r="BM106" s="401">
        <f>(VLOOKUP($A106,TOCA_previous!$A$2:$AI$137,MATCH("RHWM 2022",TOCA_previous!$A$2:$AI$2,0),FALSE)*$F$2) - $BI106</f>
        <v>0</v>
      </c>
      <c r="BN106" s="402">
        <f t="shared" si="28"/>
        <v>0</v>
      </c>
      <c r="BO106" s="401">
        <f t="shared" si="29"/>
        <v>0</v>
      </c>
      <c r="BP106" s="402">
        <f t="shared" si="30"/>
        <v>0</v>
      </c>
      <c r="BQ106" s="401">
        <f t="shared" si="37"/>
        <v>0</v>
      </c>
      <c r="BR106" s="108">
        <f>VLOOKUP($A106,TOCA_current!$A$2:$AI$137,MATCH(BR$4,TOCA_current!$A$2:$AI$2,0),FALSE)</f>
        <v>3.3599999999999998E-4</v>
      </c>
      <c r="BS106" s="108">
        <f>VLOOKUP($A106,TOCA_current!$A$2:$AI$137,MATCH(BS$4,TOCA_current!$A$2:$AI$2,0),FALSE)</f>
        <v>3.3599999999999998E-4</v>
      </c>
      <c r="BT106" s="189">
        <f t="shared" si="31"/>
        <v>0</v>
      </c>
      <c r="BU106" s="108">
        <f>VLOOKUP($A106,TOCA_current!A102:BG237,MATCH(BU$4,TOCA_current!$A$2:$BG$2,0),FALSE)</f>
        <v>3.4829329962073323E-2</v>
      </c>
      <c r="BV106" s="108">
        <f t="shared" si="38"/>
        <v>0</v>
      </c>
      <c r="BW106" s="108">
        <f t="shared" si="39"/>
        <v>0</v>
      </c>
      <c r="BX106" s="179">
        <f>VLOOKUP($A106,IRD!$A$4:$G$139, 7, FALSE)</f>
        <v>4155.21</v>
      </c>
      <c r="BY106" s="180">
        <f t="array" ref="BY106">IF($BT106=0, INDEX(LS_current!$D$4:$AY$138, MATCH('Staging Table'!$A106, LS_current!$B$4:$B$138, 0), MATCH(BY$4&amp;BY$5, LS_current!$D$2:$AY$2&amp;LS_current!$D$3:$AY$3, 0)),SUM(VLOOKUP($A106, LS_current!$B$4:$AY$138, LS_current!D$148, FALSE), VLOOKUP($A106, LS_current!$B$4:$AY$138,LS_current!AB$148, FALSE))/2)</f>
        <v>-47.728196096000033</v>
      </c>
      <c r="BZ106" s="180">
        <f t="array" ref="BZ106">IF($BT106=0, INDEX(LS_current!$D$4:$AY$138, MATCH('Staging Table'!$A106, LS_current!$B$4:$B$138, 0), MATCH(BZ$4&amp;BZ$5, LS_current!$D$2:$AY$2&amp;LS_current!$D$3:$AY$3, 0)),SUM(VLOOKUP($A106, LS_current!$B$4:$AY$138, LS_current!E$148, FALSE), VLOOKUP($A106, LS_current!$B$4:$AY$138,LS_current!AC$148, FALSE))/2)</f>
        <v>24.840132231999974</v>
      </c>
      <c r="CA106" s="180">
        <f t="array" ref="CA106">IF($BT106=0, INDEX(LS_current!$D$4:$AY$138, MATCH('Staging Table'!$A106, LS_current!$B$4:$B$138, 0), MATCH(CA$4&amp;CA$5, LS_current!$D$2:$AY$2&amp;LS_current!$D$3:$AY$3, 0)),SUM(VLOOKUP($A106, LS_current!$B$4:$AY$138, LS_current!F$148, FALSE), VLOOKUP($A106, LS_current!$B$4:$AY$138,LS_current!AD$148, FALSE))/2)</f>
        <v>-257.39074220800001</v>
      </c>
      <c r="CB106" s="180">
        <f t="array" ref="CB106">IF($BT106=0, INDEX(LS_current!$D$4:$AY$138, MATCH('Staging Table'!$A106, LS_current!$B$4:$B$138, 0), MATCH(CB$4&amp;CB$5, LS_current!$D$2:$AY$2&amp;LS_current!$D$3:$AY$3, 0)),SUM(VLOOKUP($A106, LS_current!$B$4:$AY$138, LS_current!G$148, FALSE), VLOOKUP($A106, LS_current!$B$4:$AY$138,LS_current!AE$148, FALSE))/2)</f>
        <v>-62.07222001599996</v>
      </c>
      <c r="CC106" s="180">
        <f t="array" ref="CC106">IF($BT106=0, INDEX(LS_current!$D$4:$AY$138, MATCH('Staging Table'!$A106, LS_current!$B$4:$B$138, 0), MATCH(CC$4&amp;CC$5, LS_current!$D$2:$AY$2&amp;LS_current!$D$3:$AY$3, 0)),SUM(VLOOKUP($A106, LS_current!$B$4:$AY$138, LS_current!H$148, FALSE), VLOOKUP($A106, LS_current!$B$4:$AY$138,LS_current!AF$148, FALSE))/2)</f>
        <v>59.881791696000164</v>
      </c>
      <c r="CD106" s="180">
        <f t="array" ref="CD106">IF($BT106=0, INDEX(LS_current!$D$4:$AY$138, MATCH('Staging Table'!$A106, LS_current!$B$4:$B$138, 0), MATCH(CD$4&amp;CD$5, LS_current!$D$2:$AY$2&amp;LS_current!$D$3:$AY$3, 0)),SUM(VLOOKUP($A106, LS_current!$B$4:$AY$138, LS_current!I$148, FALSE), VLOOKUP($A106, LS_current!$B$4:$AY$138,LS_current!AG$148, FALSE))/2)</f>
        <v>267.92211814400014</v>
      </c>
      <c r="CE106" s="180">
        <f t="array" ref="CE106">IF($BT106=0, INDEX(LS_current!$D$4:$AY$138, MATCH('Staging Table'!$A106, LS_current!$B$4:$B$138, 0), MATCH(CE$4&amp;CE$5, LS_current!$D$2:$AY$2&amp;LS_current!$D$3:$AY$3, 0)),SUM(VLOOKUP($A106, LS_current!$B$4:$AY$138, LS_current!J$148, FALSE), VLOOKUP($A106, LS_current!$B$4:$AY$138,LS_current!AH$148, FALSE))/2)</f>
        <v>33.237583760000234</v>
      </c>
      <c r="CF106" s="180">
        <f t="array" ref="CF106">IF($BT106=0, INDEX(LS_current!$D$4:$AY$138, MATCH('Staging Table'!$A106, LS_current!$B$4:$B$138, 0), MATCH(CF$4&amp;CF$5, LS_current!$D$2:$AY$2&amp;LS_current!$D$3:$AY$3, 0)),SUM(VLOOKUP($A106, LS_current!$B$4:$AY$138, LS_current!K$148, FALSE), VLOOKUP($A106, LS_current!$B$4:$AY$138,LS_current!AI$148, FALSE))/2)</f>
        <v>236.81562225599998</v>
      </c>
      <c r="CG106" s="180">
        <f t="array" ref="CG106">IF($BT106=0, INDEX(LS_current!$D$4:$AY$138, MATCH('Staging Table'!$A106, LS_current!$B$4:$B$138, 0), MATCH(CG$4&amp;CG$5, LS_current!$D$2:$AY$2&amp;LS_current!$D$3:$AY$3, 0)),SUM(VLOOKUP($A106, LS_current!$B$4:$AY$138, LS_current!L$148, FALSE), VLOOKUP($A106, LS_current!$B$4:$AY$138,LS_current!AJ$148, FALSE))/2)</f>
        <v>-54.329615343999876</v>
      </c>
      <c r="CH106" s="180">
        <f t="array" ref="CH106">IF($BT106=0, INDEX(LS_current!$D$4:$AY$138, MATCH('Staging Table'!$A106, LS_current!$B$4:$B$138, 0), MATCH(CH$4&amp;CH$5, LS_current!$D$2:$AY$2&amp;LS_current!$D$3:$AY$3, 0)),SUM(VLOOKUP($A106, LS_current!$B$4:$AY$138, LS_current!M$148, FALSE), VLOOKUP($A106, LS_current!$B$4:$AY$138,LS_current!AK$148, FALSE))/2)</f>
        <v>130.61194177600009</v>
      </c>
      <c r="CI106" s="180">
        <f t="array" ref="CI106">IF($BT106=0, INDEX(LS_current!$D$4:$AY$138, MATCH('Staging Table'!$A106, LS_current!$B$4:$B$138, 0), MATCH(CI$4&amp;CI$5, LS_current!$D$2:$AY$2&amp;LS_current!$D$3:$AY$3, 0)),SUM(VLOOKUP($A106, LS_current!$B$4:$AY$138, LS_current!N$148, FALSE), VLOOKUP($A106, LS_current!$B$4:$AY$138,LS_current!AL$148, FALSE))/2)</f>
        <v>-265.13582196799985</v>
      </c>
      <c r="CJ106" s="180">
        <f t="array" ref="CJ106">IF($BT106=0, INDEX(LS_current!$D$4:$AY$138, MATCH('Staging Table'!$A106, LS_current!$B$4:$B$138, 0), MATCH(CJ$4&amp;CJ$5, LS_current!$D$2:$AY$2&amp;LS_current!$D$3:$AY$3, 0)),SUM(VLOOKUP($A106, LS_current!$B$4:$AY$138, LS_current!O$148, FALSE), VLOOKUP($A106, LS_current!$B$4:$AY$138,LS_current!AM$148, FALSE))/2)</f>
        <v>-49.795717407999859</v>
      </c>
      <c r="CK106" s="180">
        <f t="array" ref="CK106">IF($BT106=0, INDEX(LS_current!$D$4:$AY$138, MATCH('Staging Table'!$A106, LS_current!$B$4:$B$138, 0), MATCH(CK$4&amp;CK$5, LS_current!$D$2:$AY$2&amp;LS_current!$D$3:$AY$3, 0)),SUM(VLOOKUP($A106, LS_current!$B$4:$AY$138, LS_current!P$148, FALSE), VLOOKUP($A106, LS_current!$B$4:$AY$138,LS_current!AN$148, FALSE))/2)</f>
        <v>105.71298676000015</v>
      </c>
      <c r="CL106" s="180">
        <f t="array" ref="CL106">IF($BT106=0, INDEX(LS_current!$D$4:$AY$138, MATCH('Staging Table'!$A106, LS_current!$B$4:$B$138, 0), MATCH(CL$4&amp;CL$5, LS_current!$D$2:$AY$2&amp;LS_current!$D$3:$AY$3, 0)),SUM(VLOOKUP($A106, LS_current!$B$4:$AY$138, LS_current!Q$148, FALSE), VLOOKUP($A106, LS_current!$B$4:$AY$138,LS_current!AO$148, FALSE))/2)</f>
        <v>104.40427685200007</v>
      </c>
      <c r="CM106" s="180">
        <f t="array" ref="CM106">IF($BT106=0, INDEX(LS_current!$D$4:$AY$138, MATCH('Staging Table'!$A106, LS_current!$B$4:$B$138, 0), MATCH(CM$4&amp;CM$5, LS_current!$D$2:$AY$2&amp;LS_current!$D$3:$AY$3, 0)),SUM(VLOOKUP($A106, LS_current!$B$4:$AY$138, LS_current!R$148, FALSE), VLOOKUP($A106, LS_current!$B$4:$AY$138,LS_current!AP$148, FALSE))/2)</f>
        <v>168.72653907199992</v>
      </c>
      <c r="CN106" s="180">
        <f t="array" ref="CN106">IF($BT106=0, INDEX(LS_current!$D$4:$AY$138, MATCH('Staging Table'!$A106, LS_current!$B$4:$B$138, 0), MATCH(CN$4&amp;CN$5, LS_current!$D$2:$AY$2&amp;LS_current!$D$3:$AY$3, 0)),SUM(VLOOKUP($A106, LS_current!$B$4:$AY$138, LS_current!S$148, FALSE), VLOOKUP($A106, LS_current!$B$4:$AY$138,LS_current!AQ$148, FALSE))/2)</f>
        <v>153.2697627440001</v>
      </c>
      <c r="CO106" s="180">
        <f t="array" ref="CO106">IF($BT106=0, INDEX(LS_current!$D$4:$AY$138, MATCH('Staging Table'!$A106, LS_current!$B$4:$B$138, 0), MATCH(CO$4&amp;CO$5, LS_current!$D$2:$AY$2&amp;LS_current!$D$3:$AY$3, 0)),SUM(VLOOKUP($A106, LS_current!$B$4:$AY$138, LS_current!T$148, FALSE), VLOOKUP($A106, LS_current!$B$4:$AY$138,LS_current!AR$148, FALSE))/2)</f>
        <v>372.99233686399998</v>
      </c>
      <c r="CP106" s="180">
        <f t="array" ref="CP106">IF($BT106=0, INDEX(LS_current!$D$4:$AY$138, MATCH('Staging Table'!$A106, LS_current!$B$4:$B$138, 0), MATCH(CP$4&amp;CP$5, LS_current!$D$2:$AY$2&amp;LS_current!$D$3:$AY$3, 0)),SUM(VLOOKUP($A106, LS_current!$B$4:$AY$138, LS_current!U$148, FALSE), VLOOKUP($A106, LS_current!$B$4:$AY$138,LS_current!AS$148, FALSE))/2)</f>
        <v>343.64558168800011</v>
      </c>
      <c r="CQ106" s="180">
        <f t="array" ref="CQ106">IF($BT106=0, INDEX(LS_current!$D$4:$AY$138, MATCH('Staging Table'!$A106, LS_current!$B$4:$B$138, 0), MATCH(CQ$4&amp;CQ$5, LS_current!$D$2:$AY$2&amp;LS_current!$D$3:$AY$3, 0)),SUM(VLOOKUP($A106, LS_current!$B$4:$AY$138, LS_current!V$148, FALSE), VLOOKUP($A106, LS_current!$B$4:$AY$138,LS_current!AT$148, FALSE))/2)</f>
        <v>602.36432729600006</v>
      </c>
      <c r="CR106" s="180">
        <f t="array" ref="CR106">IF($BT106=0, INDEX(LS_current!$D$4:$AY$138, MATCH('Staging Table'!$A106, LS_current!$B$4:$B$138, 0), MATCH(CR$4&amp;CR$5, LS_current!$D$2:$AY$2&amp;LS_current!$D$3:$AY$3, 0)),SUM(VLOOKUP($A106, LS_current!$B$4:$AY$138, LS_current!W$148, FALSE), VLOOKUP($A106, LS_current!$B$4:$AY$138,LS_current!AU$148, FALSE))/2)</f>
        <v>459.31319716000007</v>
      </c>
      <c r="CS106" s="180">
        <f t="array" ref="CS106">IF($BT106=0, INDEX(LS_current!$D$4:$AY$138, MATCH('Staging Table'!$A106, LS_current!$B$4:$B$138, 0), MATCH(CS$4&amp;CS$5, LS_current!$D$2:$AY$2&amp;LS_current!$D$3:$AY$3, 0)),SUM(VLOOKUP($A106, LS_current!$B$4:$AY$138, LS_current!X$148, FALSE), VLOOKUP($A106, LS_current!$B$4:$AY$138,LS_current!AV$148, FALSE))/2)</f>
        <v>536.42550237599994</v>
      </c>
      <c r="CT106" s="180">
        <f t="array" ref="CT106">IF($BT106=0, INDEX(LS_current!$D$4:$AY$138, MATCH('Staging Table'!$A106, LS_current!$B$4:$B$138, 0), MATCH(CT$4&amp;CT$5, LS_current!$D$2:$AY$2&amp;LS_current!$D$3:$AY$3, 0)),SUM(VLOOKUP($A106, LS_current!$B$4:$AY$138, LS_current!Y$148, FALSE), VLOOKUP($A106, LS_current!$B$4:$AY$138,LS_current!AW$148, FALSE))/2)</f>
        <v>331.65100517040003</v>
      </c>
      <c r="CU106" s="180">
        <f t="array" ref="CU106">IF($BT106=0, INDEX(LS_current!$D$4:$AY$138, MATCH('Staging Table'!$A106, LS_current!$B$4:$B$138, 0), MATCH(CU$4&amp;CU$5, LS_current!$D$2:$AY$2&amp;LS_current!$D$3:$AY$3, 0)),SUM(VLOOKUP($A106, LS_current!$B$4:$AY$138, LS_current!Z$148, FALSE), VLOOKUP($A106, LS_current!$B$4:$AY$138,LS_current!AX$148, FALSE))/2)</f>
        <v>49.05173993599999</v>
      </c>
      <c r="CV106" s="180">
        <f t="array" ref="CV106">IF($BT106=0, INDEX(LS_current!$D$4:$AY$138, MATCH('Staging Table'!$A106, LS_current!$B$4:$B$138, 0), MATCH(CV$4&amp;CV$5, LS_current!$D$2:$AY$2&amp;LS_current!$D$3:$AY$3, 0)),SUM(VLOOKUP($A106, LS_current!$B$4:$AY$138, LS_current!AA$148, FALSE), VLOOKUP($A106, LS_current!$B$4:$AY$138,LS_current!AY$148, FALSE))/2)</f>
        <v>107.29898105600012</v>
      </c>
      <c r="CW106" s="182">
        <f t="array" ref="CW106">INDEX(Demand_current!$D$4:$AY$138, MATCH($A106, Demand_current!$B$4:$B$138, 0), MATCH(CW$4&amp;CW$5,Demand_current!$D$2:$AY$2&amp;Demand_current!$D$3:$AY$3, 0))/1000</f>
        <v>0</v>
      </c>
      <c r="CX106" s="182">
        <f t="array" ref="CX106">INDEX(Demand_current!$D$4:$AY$138, MATCH($A106, Demand_current!$B$4:$B$138, 0), MATCH(CX$4&amp;CX$5,Demand_current!$D$2:$AY$2&amp;Demand_current!$D$3:$AY$3, 0))/1000</f>
        <v>0</v>
      </c>
      <c r="CY106" s="182">
        <f t="array" ref="CY106">INDEX(Demand_current!$D$4:$AY$138, MATCH($A106, Demand_current!$B$4:$B$138, 0), MATCH(CY$4&amp;CY$5,Demand_current!$D$2:$AY$2&amp;Demand_current!$D$3:$AY$3, 0))/1000</f>
        <v>0.41408749999999994</v>
      </c>
      <c r="CZ106" s="182">
        <f t="array" ref="CZ106">INDEX(Demand_current!$D$4:$AY$138, MATCH($A106, Demand_current!$B$4:$B$138, 0), MATCH(CZ$4&amp;CZ$5,Demand_current!$D$2:$AY$2&amp;Demand_current!$D$3:$AY$3, 0))/1000</f>
        <v>0.42881249999999982</v>
      </c>
      <c r="DA106" s="182">
        <f t="array" ref="DA106">INDEX(Demand_current!$D$4:$AY$138, MATCH($A106, Demand_current!$B$4:$B$138, 0), MATCH(DA$4&amp;DA$5,Demand_current!$D$2:$AY$2&amp;Demand_current!$D$3:$AY$3, 0))/1000</f>
        <v>0.14282749999999944</v>
      </c>
      <c r="DB106" s="182">
        <f t="array" ref="DB106">INDEX(Demand_current!$D$4:$AY$138, MATCH($A106, Demand_current!$B$4:$B$138, 0), MATCH(DB$4&amp;DB$5,Demand_current!$D$2:$AY$2&amp;Demand_current!$D$3:$AY$3, 0))/1000</f>
        <v>0.25187259615384616</v>
      </c>
      <c r="DC106" s="182">
        <f t="array" ref="DC106">INDEX(Demand_current!$D$4:$AY$138, MATCH($A106, Demand_current!$B$4:$B$138, 0), MATCH(DC$4&amp;DC$5,Demand_current!$D$2:$AY$2&amp;Demand_current!$D$3:$AY$3, 0))/1000</f>
        <v>0.19301442307692307</v>
      </c>
      <c r="DD106" s="182">
        <f t="array" ref="DD106">INDEX(Demand_current!$D$4:$AY$138, MATCH($A106, Demand_current!$B$4:$B$138, 0), MATCH(DD$4&amp;DD$5,Demand_current!$D$2:$AY$2&amp;Demand_current!$D$3:$AY$3, 0))/1000</f>
        <v>0.7550168269230767</v>
      </c>
      <c r="DE106" s="182">
        <f t="array" ref="DE106">INDEX(Demand_current!$D$4:$AY$138, MATCH($A106, Demand_current!$B$4:$B$138, 0), MATCH(DE$4&amp;DE$5,Demand_current!$D$2:$AY$2&amp;Demand_current!$D$3:$AY$3, 0))/1000</f>
        <v>0.38311250000000041</v>
      </c>
      <c r="DF106" s="182">
        <f t="array" ref="DF106">INDEX(Demand_current!$D$4:$AY$138, MATCH($A106, Demand_current!$B$4:$B$138, 0), MATCH(DF$4&amp;DF$5,Demand_current!$D$2:$AY$2&amp;Demand_current!$D$3:$AY$3, 0))/1000</f>
        <v>0.57279086538461532</v>
      </c>
      <c r="DG106" s="182">
        <f t="array" ref="DG106">INDEX(Demand_current!$D$4:$AY$138, MATCH($A106, Demand_current!$B$4:$B$138, 0), MATCH(DG$4&amp;DG$5,Demand_current!$D$2:$AY$2&amp;Demand_current!$D$3:$AY$3, 0))/1000</f>
        <v>0.48571527777777745</v>
      </c>
      <c r="DH106" s="182">
        <f t="array" ref="DH106">INDEX(Demand_current!$D$4:$AY$138, MATCH($A106, Demand_current!$B$4:$B$138, 0), MATCH(DH$4&amp;DH$5,Demand_current!$D$2:$AY$2&amp;Demand_current!$D$3:$AY$3, 0))/1000</f>
        <v>0.28319010416666646</v>
      </c>
      <c r="DI106" s="180">
        <f>$BS106*(VLOOKUP(DI$4, Rates_current!$G$6:$Q$29, 10, FALSE)+VLOOKUP(DI$4, Rates_current!$G$6:$Q$29, 11, FALSE))</f>
        <v>1417.5180638639999</v>
      </c>
      <c r="DJ106" s="180">
        <f>$BS106*(VLOOKUP(DJ$4, Rates_current!$G$6:$Q$29, 10, FALSE)+VLOOKUP(DJ$4, Rates_current!$G$6:$Q$29, 11, FALSE))</f>
        <v>1807.8029622240001</v>
      </c>
      <c r="DK106" s="180">
        <f>$BS106*(VLOOKUP(DK$4, Rates_current!$G$6:$Q$29, 10, FALSE)+VLOOKUP(DK$4, Rates_current!$G$6:$Q$29, 11, FALSE))</f>
        <v>1950.97709016</v>
      </c>
      <c r="DL106" s="180">
        <f>$BS106*(VLOOKUP(DL$4, Rates_current!$G$6:$Q$29, 10, FALSE)+VLOOKUP(DL$4, Rates_current!$G$6:$Q$29, 11, FALSE))</f>
        <v>2027.366793984</v>
      </c>
      <c r="DM106" s="180">
        <f>$BS106*(VLOOKUP(DM$4, Rates_current!$G$6:$Q$29, 10, FALSE)+VLOOKUP(DM$4, Rates_current!$G$6:$Q$29, 11, FALSE))</f>
        <v>1743.8056735679997</v>
      </c>
      <c r="DN106" s="180">
        <f>$BS106*(VLOOKUP(DN$4, Rates_current!$G$6:$Q$29, 10, FALSE)+VLOOKUP(DN$4, Rates_current!$G$6:$Q$29, 11, FALSE))</f>
        <v>1903.8905393759999</v>
      </c>
      <c r="DO106" s="180">
        <f>$BS106*(VLOOKUP(DO$4, Rates_current!$G$6:$Q$29, 10, FALSE)+VLOOKUP(DO$4, Rates_current!$G$6:$Q$29, 11, FALSE))</f>
        <v>1502.8007363879999</v>
      </c>
      <c r="DP106" s="180">
        <f>$BS106*(VLOOKUP(DP$4, Rates_current!$G$6:$Q$29, 10, FALSE)+VLOOKUP(DP$4, Rates_current!$G$6:$Q$29, 11, FALSE))</f>
        <v>1864.4256981839999</v>
      </c>
      <c r="DQ106" s="180">
        <f>$BS106*(VLOOKUP(DQ$4, Rates_current!$G$6:$Q$29, 10, FALSE)+VLOOKUP(DQ$4, Rates_current!$G$6:$Q$29, 11, FALSE))</f>
        <v>1904.8790814479999</v>
      </c>
      <c r="DR106" s="180">
        <f>$BS106*(VLOOKUP(DR$4, Rates_current!$G$6:$Q$29, 10, FALSE)+VLOOKUP(DR$4, Rates_current!$G$6:$Q$29, 11, FALSE))</f>
        <v>1653.7094755439998</v>
      </c>
      <c r="DS106" s="180">
        <f>$BS106*(VLOOKUP(DS$4, Rates_current!$G$6:$Q$29, 10, FALSE)+VLOOKUP(DS$4, Rates_current!$G$6:$Q$29, 11, FALSE))</f>
        <v>1598.6974924536</v>
      </c>
      <c r="DT106" s="180">
        <f>$BS106*(VLOOKUP(DT$4, Rates_current!$G$6:$Q$29, 10, FALSE)+VLOOKUP(DT$4, Rates_current!$G$6:$Q$29, 11, FALSE))</f>
        <v>1471.1112790080001</v>
      </c>
      <c r="DU106" s="402">
        <f>IF(D106=0,IF(C106=0,MAX(0,DW106 - (VLOOKUP($A106,TOCA_current!$A$2:$AI$137,MATCH("RHWM 2024",TOCA_current!$A$2:$AI$2,0),FALSE)*$BS$2)), 0),0)</f>
        <v>3354.2660955583997</v>
      </c>
      <c r="DV106" s="403">
        <f>MIN(VLOOKUP($A106,TOCA_current!$A$2:$AI$137,MATCH("TRL - NLSL - Existing Resource "&amp;$BS$1,TOCA_current!$A$2:$AI$2,0),FALSE)*$BS$2, VLOOKUP($A106,TOCA_current!$A$2:$AI$137,MATCH("RHWM 2024",TOCA_current!$A$2:$AI$2,0),FALSE)*$BS$2)</f>
        <v>20844.432000000001</v>
      </c>
      <c r="DW106" s="403">
        <f>SUM(BY106:CV106)+(BS106*RT1SC!$C$4*$BS$2)</f>
        <v>24198.6980955584</v>
      </c>
      <c r="DX106" s="403">
        <f>VLOOKUP($A106,TOCA_current!$A$2:$AI$137,MATCH("Above RHWM Not Served with LS "&amp;$BS$1,TOCA_current!$A$2:$AI$2,0),FALSE)*$BS$2</f>
        <v>0</v>
      </c>
      <c r="DY106" s="403">
        <f t="shared" si="32"/>
        <v>3354.2660955583997</v>
      </c>
      <c r="DZ106" s="403">
        <f>(VLOOKUP($A106,TOCA_current!$A$2:$AI$137,MATCH("RHWM 2024",TOCA_current!$A$2:$AI$2,0),FALSE)*$BS$2) - $DV106</f>
        <v>0</v>
      </c>
      <c r="EA106" s="403">
        <f t="shared" si="33"/>
        <v>0</v>
      </c>
      <c r="EB106" s="403">
        <f t="shared" si="34"/>
        <v>0</v>
      </c>
      <c r="EC106" s="403">
        <f t="shared" si="35"/>
        <v>0</v>
      </c>
      <c r="ED106" s="403">
        <f t="shared" si="36"/>
        <v>0</v>
      </c>
    </row>
    <row r="107" spans="1:134">
      <c r="A107" s="123">
        <v>10342</v>
      </c>
      <c r="B107" s="124" t="s">
        <v>108</v>
      </c>
      <c r="C107" s="232">
        <f>VLOOKUP(A107, TOCA_current!$A$3:$D$137, 4, FALSE)</f>
        <v>0</v>
      </c>
      <c r="D107" s="191">
        <v>0</v>
      </c>
      <c r="E107" s="107">
        <f>VLOOKUP($A107,TOCA_previous!$A$2:$AI$137,MATCH(E$4,TOCA_previous!$A$2:$AI$2,0),FALSE)</f>
        <v>5.4787999999999998E-3</v>
      </c>
      <c r="F107" s="108">
        <f>VLOOKUP($A107,TOCA_previous!$A$2:$AI$137,MATCH(F$4,TOCA_previous!$A$2:$AI$2,0),FALSE)</f>
        <v>5.4787999999999998E-3</v>
      </c>
      <c r="G107" s="108">
        <f t="shared" si="24"/>
        <v>0</v>
      </c>
      <c r="H107" s="108">
        <f>VLOOKUP($A107,TOCA_previous!$A$2:$AI$137,MATCH(H$4,TOCA_previous!$A$2:$AI$2,0),FALSE)</f>
        <v>0</v>
      </c>
      <c r="I107" s="108">
        <f t="shared" si="25"/>
        <v>0</v>
      </c>
      <c r="J107" s="108">
        <f t="shared" si="26"/>
        <v>0</v>
      </c>
      <c r="K107" s="179">
        <f>VLOOKUP(A107, IRD!$A$5:$C$139, 3, FALSE)</f>
        <v>0</v>
      </c>
      <c r="L107" s="180">
        <f t="array" ref="L107">IF($G107=0, INDEX(LS_previous!$D$4:$AY$138, MATCH('Staging Table'!$A107, LS_previous!$B$4:$B$138, 0), MATCH(L$4&amp;L$5, LS_previous!$D$2:$AY$2&amp;LS_previous!$D$3:$AY$3, 0)),SUM(VLOOKUP($A107, LS_previous!$B$4:$AY$138, LS_previous!D$149, FALSE), VLOOKUP('Staging Table'!$A107, LS_previous!$B$4:$AY$138,LS_previous!AB$149, FALSE))/2)</f>
        <v>89.421298662904519</v>
      </c>
      <c r="M107" s="180">
        <f t="array" ref="M107">IF($G107=0, INDEX(LS_previous!$D$4:$AY$138, MATCH('Staging Table'!$A107, LS_previous!$B$4:$B$138, 0), MATCH(M$4&amp;M$5, LS_previous!$D$2:$AY$2&amp;LS_previous!$D$3:$AY$3, 0)),SUM(VLOOKUP($A107, LS_previous!$B$4:$AY$138, LS_previous!E$149, FALSE), VLOOKUP('Staging Table'!$A107, LS_previous!$B$4:$AY$138,LS_previous!AC$149, FALSE))/2)</f>
        <v>262.02358486077173</v>
      </c>
      <c r="N107" s="180">
        <f t="array" ref="N107">IF($G107=0, INDEX(LS_previous!$D$4:$AY$138, MATCH('Staging Table'!$A107, LS_previous!$B$4:$B$138, 0), MATCH(N$4&amp;N$5, LS_previous!$D$2:$AY$2&amp;LS_previous!$D$3:$AY$3, 0)),SUM(VLOOKUP($A107, LS_previous!$B$4:$AY$138, LS_previous!F$149, FALSE), VLOOKUP('Staging Table'!$A107, LS_previous!$B$4:$AY$138,LS_previous!AD$149, FALSE))/2)</f>
        <v>-2273.1120004394761</v>
      </c>
      <c r="O107" s="180">
        <f t="array" ref="O107">IF($G107=0, INDEX(LS_previous!$D$4:$AY$138, MATCH('Staging Table'!$A107, LS_previous!$B$4:$B$138, 0), MATCH(O$4&amp;O$5, LS_previous!$D$2:$AY$2&amp;LS_previous!$D$3:$AY$3, 0)),SUM(VLOOKUP($A107, LS_previous!$B$4:$AY$138, LS_previous!G$149, FALSE), VLOOKUP('Staging Table'!$A107, LS_previous!$B$4:$AY$138,LS_previous!AE$149, FALSE))/2)</f>
        <v>-1846.2485523237738</v>
      </c>
      <c r="P107" s="180">
        <f t="array" ref="P107">IF($G107=0, INDEX(LS_previous!$D$4:$AY$138, MATCH('Staging Table'!$A107, LS_previous!$B$4:$B$138, 0), MATCH(P$4&amp;P$5, LS_previous!$D$2:$AY$2&amp;LS_previous!$D$3:$AY$3, 0)),SUM(VLOOKUP($A107, LS_previous!$B$4:$AY$138, LS_previous!H$149, FALSE), VLOOKUP('Staging Table'!$A107, LS_previous!$B$4:$AY$138,LS_previous!AF$149, FALSE))/2)</f>
        <v>2467.2060557646328</v>
      </c>
      <c r="Q107" s="180">
        <f t="array" ref="Q107">IF($G107=0, INDEX(LS_previous!$D$4:$AY$138, MATCH('Staging Table'!$A107, LS_previous!$B$4:$B$138, 0), MATCH(Q$4&amp;Q$5, LS_previous!$D$2:$AY$2&amp;LS_previous!$D$3:$AY$3, 0)),SUM(VLOOKUP($A107, LS_previous!$B$4:$AY$138, LS_previous!I$149, FALSE), VLOOKUP('Staging Table'!$A107, LS_previous!$B$4:$AY$138,LS_previous!AG$149, FALSE))/2)</f>
        <v>101.98088388511314</v>
      </c>
      <c r="R107" s="180">
        <f t="array" ref="R107">IF($G107=0, INDEX(LS_previous!$D$4:$AY$138, MATCH('Staging Table'!$A107, LS_previous!$B$4:$B$138, 0), MATCH(R$4&amp;R$5, LS_previous!$D$2:$AY$2&amp;LS_previous!$D$3:$AY$3, 0)),SUM(VLOOKUP($A107, LS_previous!$B$4:$AY$138, LS_previous!J$149, FALSE), VLOOKUP('Staging Table'!$A107, LS_previous!$B$4:$AY$138,LS_previous!AH$149, FALSE))/2)</f>
        <v>6527.7400015605435</v>
      </c>
      <c r="S107" s="180">
        <f t="array" ref="S107">IF($G107=0, INDEX(LS_previous!$D$4:$AY$138, MATCH('Staging Table'!$A107, LS_previous!$B$4:$B$138, 0), MATCH(S$4&amp;S$5, LS_previous!$D$2:$AY$2&amp;LS_previous!$D$3:$AY$3, 0)),SUM(VLOOKUP($A107, LS_previous!$B$4:$AY$138, LS_previous!K$149, FALSE), VLOOKUP('Staging Table'!$A107, LS_previous!$B$4:$AY$138,LS_previous!AI$149, FALSE))/2)</f>
        <v>1717.5677759097052</v>
      </c>
      <c r="T107" s="180">
        <f t="array" ref="T107">IF($G107=0, INDEX(LS_previous!$D$4:$AY$138, MATCH('Staging Table'!$A107, LS_previous!$B$4:$B$138, 0), MATCH(T$4&amp;T$5, LS_previous!$D$2:$AY$2&amp;LS_previous!$D$3:$AY$3, 0)),SUM(VLOOKUP($A107, LS_previous!$B$4:$AY$138, LS_previous!L$149, FALSE), VLOOKUP('Staging Table'!$A107, LS_previous!$B$4:$AY$138,LS_previous!AJ$149, FALSE))/2)</f>
        <v>5863.3741614327573</v>
      </c>
      <c r="U107" s="180">
        <f t="array" ref="U107">IF($G107=0, INDEX(LS_previous!$D$4:$AY$138, MATCH('Staging Table'!$A107, LS_previous!$B$4:$B$138, 0), MATCH(U$4&amp;U$5, LS_previous!$D$2:$AY$2&amp;LS_previous!$D$3:$AY$3, 0)),SUM(VLOOKUP($A107, LS_previous!$B$4:$AY$138, LS_previous!M$149, FALSE), VLOOKUP('Staging Table'!$A107, LS_previous!$B$4:$AY$138,LS_previous!AK$149, FALSE))/2)</f>
        <v>1271.6934513338947</v>
      </c>
      <c r="V107" s="180">
        <f t="array" ref="V107">IF($G107=0, INDEX(LS_previous!$D$4:$AY$138, MATCH('Staging Table'!$A107, LS_previous!$B$4:$B$138, 0), MATCH(V$4&amp;V$5, LS_previous!$D$2:$AY$2&amp;LS_previous!$D$3:$AY$3, 0)),SUM(VLOOKUP($A107, LS_previous!$B$4:$AY$138, LS_previous!N$149, FALSE), VLOOKUP('Staging Table'!$A107, LS_previous!$B$4:$AY$138,LS_previous!AL$149, FALSE))/2)</f>
        <v>616.80510991455776</v>
      </c>
      <c r="W107" s="180">
        <f t="array" ref="W107">IF($G107=0, INDEX(LS_previous!$D$4:$AY$138, MATCH('Staging Table'!$A107, LS_previous!$B$4:$B$138, 0), MATCH(W$4&amp;W$5, LS_previous!$D$2:$AY$2&amp;LS_previous!$D$3:$AY$3, 0)),SUM(VLOOKUP($A107, LS_previous!$B$4:$AY$138, LS_previous!O$149, FALSE), VLOOKUP('Staging Table'!$A107, LS_previous!$B$4:$AY$138,LS_previous!AM$149, FALSE))/2)</f>
        <v>27.643484214484488</v>
      </c>
      <c r="X107" s="180">
        <f t="array" ref="X107">IF($G107=0, INDEX(LS_previous!$D$4:$AY$138, MATCH('Staging Table'!$A107, LS_previous!$B$4:$B$138, 0), MATCH(X$4&amp;X$5, LS_previous!$D$2:$AY$2&amp;LS_previous!$D$3:$AY$3, 0)),SUM(VLOOKUP($A107, LS_previous!$B$4:$AY$138, LS_previous!P$149, FALSE), VLOOKUP('Staging Table'!$A107, LS_previous!$B$4:$AY$138,LS_previous!AN$149, FALSE))/2)</f>
        <v>3388.0200701959948</v>
      </c>
      <c r="Y107" s="180">
        <f t="array" ref="Y107">IF($G107=0, INDEX(LS_previous!$D$4:$AY$138, MATCH('Staging Table'!$A107, LS_previous!$B$4:$B$138, 0), MATCH(Y$4&amp;Y$5, LS_previous!$D$2:$AY$2&amp;LS_previous!$D$3:$AY$3, 0)),SUM(VLOOKUP($A107, LS_previous!$B$4:$AY$138, LS_previous!Q$149, FALSE), VLOOKUP('Staging Table'!$A107, LS_previous!$B$4:$AY$138,LS_previous!AO$149, FALSE))/2)</f>
        <v>880.61824733650519</v>
      </c>
      <c r="Z107" s="180">
        <f t="array" ref="Z107">IF($G107=0, INDEX(LS_previous!$D$4:$AY$138, MATCH('Staging Table'!$A107, LS_previous!$B$4:$B$138, 0), MATCH(Z$4&amp;Z$5, LS_previous!$D$2:$AY$2&amp;LS_previous!$D$3:$AY$3, 0)),SUM(VLOOKUP($A107, LS_previous!$B$4:$AY$138, LS_previous!R$149, FALSE), VLOOKUP('Staging Table'!$A107, LS_previous!$B$4:$AY$138,LS_previous!AP$149, FALSE))/2)</f>
        <v>-4594.071162620703</v>
      </c>
      <c r="AA107" s="180">
        <f t="array" ref="AA107">IF($G107=0, INDEX(LS_previous!$D$4:$AY$138, MATCH('Staging Table'!$A107, LS_previous!$B$4:$B$138, 0), MATCH(AA$4&amp;AA$5, LS_previous!$D$2:$AY$2&amp;LS_previous!$D$3:$AY$3, 0)),SUM(VLOOKUP($A107, LS_previous!$B$4:$AY$138, LS_previous!S$149, FALSE), VLOOKUP('Staging Table'!$A107, LS_previous!$B$4:$AY$138,LS_previous!AQ$149, FALSE))/2)</f>
        <v>-962.02997990706172</v>
      </c>
      <c r="AB107" s="180">
        <f t="array" ref="AB107">IF($G107=0, INDEX(LS_previous!$D$4:$AY$138, MATCH('Staging Table'!$A107, LS_previous!$B$4:$B$138, 0), MATCH(AB$4&amp;AB$5, LS_previous!$D$2:$AY$2&amp;LS_previous!$D$3:$AY$3, 0)),SUM(VLOOKUP($A107, LS_previous!$B$4:$AY$138, LS_previous!T$149, FALSE), VLOOKUP('Staging Table'!$A107, LS_previous!$B$4:$AY$138,LS_previous!AR$149, FALSE))/2)</f>
        <v>-6853.6338433115743</v>
      </c>
      <c r="AC107" s="180">
        <f t="array" ref="AC107">IF($G107=0, INDEX(LS_previous!$D$4:$AY$138, MATCH('Staging Table'!$A107, LS_previous!$B$4:$B$138, 0), MATCH(AC$4&amp;AC$5, LS_previous!$D$2:$AY$2&amp;LS_previous!$D$3:$AY$3, 0)),SUM(VLOOKUP($A107, LS_previous!$B$4:$AY$138, LS_previous!U$149, FALSE), VLOOKUP('Staging Table'!$A107, LS_previous!$B$4:$AY$138,LS_previous!AS$149, FALSE))/2)</f>
        <v>8.8620360780114424</v>
      </c>
      <c r="AD107" s="180">
        <f t="array" ref="AD107">IF($G107=0, INDEX(LS_previous!$D$4:$AY$138, MATCH('Staging Table'!$A107, LS_previous!$B$4:$B$138, 0), MATCH(AD$4&amp;AD$5, LS_previous!$D$2:$AY$2&amp;LS_previous!$D$3:$AY$3, 0)),SUM(VLOOKUP($A107, LS_previous!$B$4:$AY$138, LS_previous!V$149, FALSE), VLOOKUP('Staging Table'!$A107, LS_previous!$B$4:$AY$138,LS_previous!AT$149, FALSE))/2)</f>
        <v>-1628.1250120799996</v>
      </c>
      <c r="AE107" s="180">
        <f t="array" ref="AE107">IF($G107=0, INDEX(LS_previous!$D$4:$AY$138, MATCH('Staging Table'!$A107, LS_previous!$B$4:$B$138, 0), MATCH(AE$4&amp;AE$5, LS_previous!$D$2:$AY$2&amp;LS_previous!$D$3:$AY$3, 0)),SUM(VLOOKUP($A107, LS_previous!$B$4:$AY$138, LS_previous!W$149, FALSE), VLOOKUP('Staging Table'!$A107, LS_previous!$B$4:$AY$138,LS_previous!AU$149, FALSE))/2)</f>
        <v>127.62781442121923</v>
      </c>
      <c r="AF107" s="180">
        <f t="array" ref="AF107">IF($G107=0, INDEX(LS_previous!$D$4:$AY$138, MATCH('Staging Table'!$A107, LS_previous!$B$4:$B$138, 0), MATCH(AF$4&amp;AF$5, LS_previous!$D$2:$AY$2&amp;LS_previous!$D$3:$AY$3, 0)),SUM(VLOOKUP($A107, LS_previous!$B$4:$AY$138, LS_previous!X$149, FALSE), VLOOKUP('Staging Table'!$A107, LS_previous!$B$4:$AY$138,LS_previous!AV$149, FALSE))/2)</f>
        <v>-553.43685126142373</v>
      </c>
      <c r="AG107" s="180">
        <f t="array" ref="AG107">IF($G107=0, INDEX(LS_previous!$D$4:$AY$138, MATCH('Staging Table'!$A107, LS_previous!$B$4:$B$138, 0), MATCH(AG$4&amp;AG$5, LS_previous!$D$2:$AY$2&amp;LS_previous!$D$3:$AY$3, 0)),SUM(VLOOKUP($A107, LS_previous!$B$4:$AY$138, LS_previous!Y$149, FALSE), VLOOKUP('Staging Table'!$A107, LS_previous!$B$4:$AY$138,LS_previous!AW$149, FALSE))/2)</f>
        <v>23.510017798667832</v>
      </c>
      <c r="AH107" s="180">
        <f t="array" ref="AH107">IF($G107=0, INDEX(LS_previous!$D$4:$AY$138, MATCH('Staging Table'!$A107, LS_previous!$B$4:$B$138, 0), MATCH(AH$4&amp;AH$5, LS_previous!$D$2:$AY$2&amp;LS_previous!$D$3:$AY$3, 0)),SUM(VLOOKUP($A107, LS_previous!$B$4:$AY$138, LS_previous!Z$149, FALSE), VLOOKUP('Staging Table'!$A107, LS_previous!$B$4:$AY$138,LS_previous!AX$149, FALSE))/2)</f>
        <v>-1906.9891439246039</v>
      </c>
      <c r="AI107" s="180">
        <f t="array" ref="AI107">IF($G107=0, INDEX(LS_previous!$D$4:$AY$138, MATCH('Staging Table'!$A107, LS_previous!$B$4:$B$138, 0), MATCH(AI$4&amp;AI$5, LS_previous!$D$2:$AY$2&amp;LS_previous!$D$3:$AY$3, 0)),SUM(VLOOKUP($A107, LS_previous!$B$4:$AY$138, LS_previous!AA$149, FALSE), VLOOKUP('Staging Table'!$A107, LS_previous!$B$4:$AY$138,LS_previous!AY$149, FALSE))/2)</f>
        <v>-86.821826354607765</v>
      </c>
      <c r="AJ107" s="298">
        <f t="array" ref="AJ107">INDEX(Demand_previous!$D$4:$AY$138, MATCH('Staging Table'!$A107, Demand_previous!$B$4:$B$138, 0), MATCH(AJ$4&amp;AJ$5,Demand_previous!$D$2:$AY$2&amp;Demand_previous!$D$3:$AY$3, 0))/1000</f>
        <v>2.0026754807692315</v>
      </c>
      <c r="AK107" s="298">
        <f t="array" ref="AK107">INDEX(Demand_previous!$D$4:$AY$138, MATCH('Staging Table'!$A107, Demand_previous!$B$4:$B$138, 0), MATCH(AK$4&amp;AK$5,Demand_previous!$D$2:$AY$2&amp;Demand_previous!$D$3:$AY$3, 0))/1000</f>
        <v>0.56654499999999963</v>
      </c>
      <c r="AL107" s="298">
        <f t="array" ref="AL107">INDEX(Demand_previous!$D$4:$AY$138, MATCH('Staging Table'!$A107, Demand_previous!$B$4:$B$138, 0), MATCH(AL$4&amp;AL$5,Demand_previous!$D$2:$AY$2&amp;Demand_previous!$D$3:$AY$3, 0))/1000</f>
        <v>1.9511923076923079</v>
      </c>
      <c r="AM107" s="298">
        <f t="array" ref="AM107">INDEX(Demand_previous!$D$4:$AY$138, MATCH('Staging Table'!$A107, Demand_previous!$B$4:$B$138, 0), MATCH(AM$4&amp;AM$5,Demand_previous!$D$2:$AY$2&amp;Demand_previous!$D$3:$AY$3, 0))/1000</f>
        <v>1.8929624999999977</v>
      </c>
      <c r="AN107" s="298">
        <f t="array" ref="AN107">INDEX(Demand_previous!$D$4:$AY$138, MATCH('Staging Table'!$A107, Demand_previous!$B$4:$B$138, 0), MATCH(AN$4&amp;AN$5,Demand_previous!$D$2:$AY$2&amp;Demand_previous!$D$3:$AY$3, 0))/1000</f>
        <v>1.3549062500000009</v>
      </c>
      <c r="AO107" s="298">
        <f t="array" ref="AO107">INDEX(Demand_previous!$D$4:$AY$138, MATCH('Staging Table'!$A107, Demand_previous!$B$4:$B$138, 0), MATCH(AO$4&amp;AO$5,Demand_previous!$D$2:$AY$2&amp;Demand_previous!$D$3:$AY$3, 0))/1000</f>
        <v>8.0289583333333354</v>
      </c>
      <c r="AP107" s="298">
        <f t="array" ref="AP107">INDEX(Demand_previous!$D$4:$AY$138, MATCH('Staging Table'!$A107, Demand_previous!$B$4:$B$138, 0), MATCH(AP$4&amp;AP$5,Demand_previous!$D$2:$AY$2&amp;Demand_previous!$D$3:$AY$3, 0))/1000</f>
        <v>2.8239567307692326</v>
      </c>
      <c r="AQ107" s="298">
        <f t="array" ref="AQ107">INDEX(Demand_previous!$D$4:$AY$138, MATCH('Staging Table'!$A107, Demand_previous!$B$4:$B$138, 0), MATCH(AQ$4&amp;AQ$5,Demand_previous!$D$2:$AY$2&amp;Demand_previous!$D$3:$AY$3, 0))/1000</f>
        <v>5.1424425000000014</v>
      </c>
      <c r="AR107" s="298">
        <f t="array" ref="AR107">INDEX(Demand_previous!$D$4:$AY$138, MATCH('Staging Table'!$A107, Demand_previous!$B$4:$B$138, 0), MATCH(AR$4&amp;AR$5,Demand_previous!$D$2:$AY$2&amp;Demand_previous!$D$3:$AY$3, 0))/1000</f>
        <v>20.416194711538459</v>
      </c>
      <c r="AS107" s="298">
        <f t="array" ref="AS107">INDEX(Demand_previous!$D$4:$AY$138, MATCH('Staging Table'!$A107, Demand_previous!$B$4:$B$138, 0), MATCH(AS$4&amp;AS$5,Demand_previous!$D$2:$AY$2&amp;Demand_previous!$D$3:$AY$3, 0))/1000</f>
        <v>11.655679999999995</v>
      </c>
      <c r="AT107" s="298">
        <f t="array" ref="AT107">INDEX(Demand_previous!$D$4:$AY$138, MATCH('Staging Table'!$A107, Demand_previous!$B$4:$B$138, 0), MATCH(AT$4&amp;AT$5,Demand_previous!$D$2:$AY$2&amp;Demand_previous!$D$3:$AY$3, 0))/1000</f>
        <v>14.157571759259252</v>
      </c>
      <c r="AU107" s="298">
        <f t="array" ref="AU107">INDEX(Demand_previous!$D$4:$AY$138, MATCH('Staging Table'!$A107, Demand_previous!$B$4:$B$138, 0), MATCH(AU$4&amp;AU$5,Demand_previous!$D$2:$AY$2&amp;Demand_previous!$D$3:$AY$3, 0))/1000</f>
        <v>14.715787500000001</v>
      </c>
      <c r="AV107" s="180">
        <f>$F107*(VLOOKUP(AV$4, Rates_previous!$G$6:$Q$29, 10, FALSE)+VLOOKUP(AV$4, Rates_previous!$G$6:$Q$29, 11, FALSE))</f>
        <v>24950.041116476325</v>
      </c>
      <c r="AW107" s="180">
        <f>$F107*(VLOOKUP(AW$4, Rates_previous!$G$6:$Q$29, 10, FALSE)+VLOOKUP(AW$4, Rates_previous!$G$6:$Q$29, 11, FALSE))</f>
        <v>31587.657552763252</v>
      </c>
      <c r="AX107" s="180">
        <f>$F107*(VLOOKUP(AX$4, Rates_previous!$G$6:$Q$29, 10, FALSE)+VLOOKUP(AX$4, Rates_previous!$G$6:$Q$29, 11, FALSE))</f>
        <v>30918.006060350253</v>
      </c>
      <c r="AY107" s="180">
        <f>$F107*(VLOOKUP(AY$4, Rates_previous!$G$6:$Q$29, 10, FALSE)+VLOOKUP(AY$4, Rates_previous!$G$6:$Q$29, 11, FALSE))</f>
        <v>25536.958222529749</v>
      </c>
      <c r="AZ107" s="180">
        <f>$F107*(VLOOKUP(AZ$4, Rates_previous!$G$6:$Q$29, 10, FALSE)+VLOOKUP(AZ$4, Rates_previous!$G$6:$Q$29, 11, FALSE))</f>
        <v>22133.441387233346</v>
      </c>
      <c r="BA107" s="180">
        <f>$F107*(VLOOKUP(BA$4, Rates_previous!$G$6:$Q$29, 10, FALSE)+VLOOKUP(BA$4, Rates_previous!$G$6:$Q$29, 11, FALSE))</f>
        <v>26422.85940587096</v>
      </c>
      <c r="BB107" s="180">
        <f>$F107*(VLOOKUP(BB$4, Rates_previous!$G$6:$Q$29, 10, FALSE)+VLOOKUP(BB$4, Rates_previous!$G$6:$Q$29, 11, FALSE))</f>
        <v>20513.832682467499</v>
      </c>
      <c r="BC107" s="180">
        <f>$F107*(VLOOKUP(BC$4, Rates_previous!$G$6:$Q$29, 10, FALSE)+VLOOKUP(BC$4, Rates_previous!$G$6:$Q$29, 11, FALSE))</f>
        <v>28422.066142527765</v>
      </c>
      <c r="BD107" s="180">
        <f>$F107*(VLOOKUP(BD$4, Rates_previous!$G$6:$Q$29, 10, FALSE)+VLOOKUP(BD$4, Rates_previous!$G$6:$Q$29, 11, FALSE))</f>
        <v>30369.572807233562</v>
      </c>
      <c r="BE107" s="180">
        <f>$F107*(VLOOKUP(BE$4, Rates_previous!$G$6:$Q$29, 10, FALSE)+VLOOKUP(BE$4, Rates_previous!$G$6:$Q$29, 11, FALSE))</f>
        <v>28834.534197658784</v>
      </c>
      <c r="BF107" s="180">
        <f>$F107*(VLOOKUP(BF$4, Rates_previous!$G$6:$Q$29, 10, FALSE)+VLOOKUP(BF$4, Rates_previous!$G$6:$Q$29, 11, FALSE))</f>
        <v>27866.352833462755</v>
      </c>
      <c r="BG107" s="180">
        <f>$F107*(VLOOKUP(BG$4, Rates_previous!$G$6:$Q$29, 10, FALSE)+VLOOKUP(BG$4, Rates_previous!$G$6:$Q$29, 11, FALSE))</f>
        <v>25751.414970279213</v>
      </c>
      <c r="BH107" s="298">
        <f>IF($D107=0,IF(C107=0, MAX(BJ107 - (VLOOKUP($A107,TOCA_previous!$A$2:$AI$137,MATCH("RHWM 2022",TOCA_previous!$A$2:$AI$2,0),FALSE)*$F$2*TOCA_previous!C104),0),0), 0)</f>
        <v>2671.0595385386259</v>
      </c>
      <c r="BI107" s="192">
        <f>MIN(VLOOKUP($A107,TOCA_previous!$A$2:$AI$137,MATCH("TRL - NLSL - Existing Resource "&amp;$F$1,TOCA_previous!$A$2:$AI$2,0),FALSE)*$F$2,(VLOOKUP($A107,TOCA_previous!$A$2:$AI$137,MATCH("RHWM 2022",TOCA_previous!$A$2:$AI$2,0),FALSE)*$F$2))</f>
        <v>323305.31999999995</v>
      </c>
      <c r="BJ107" s="402">
        <f>SUM(L107:AI107)+(F107*RT1SC!$C$3*$F$2)</f>
        <v>325976.37953853857</v>
      </c>
      <c r="BK107" s="401">
        <f>VLOOKUP($A107,TOCA_previous!$A$2:$AI$137,MATCH("Above RHWM Not Served with LS "&amp;$F$1,TOCA_previous!$A$2:$AI$2,0),FALSE)*$F$2</f>
        <v>9723.6</v>
      </c>
      <c r="BL107" s="402">
        <f t="shared" si="27"/>
        <v>2671.0595385386259</v>
      </c>
      <c r="BM107" s="401">
        <f>(VLOOKUP($A107,TOCA_previous!$A$2:$AI$137,MATCH("RHWM 2022",TOCA_previous!$A$2:$AI$2,0),FALSE)*$F$2) - $BI107</f>
        <v>0</v>
      </c>
      <c r="BN107" s="402">
        <f t="shared" si="28"/>
        <v>0</v>
      </c>
      <c r="BO107" s="401">
        <f t="shared" si="29"/>
        <v>0</v>
      </c>
      <c r="BP107" s="402">
        <f t="shared" si="30"/>
        <v>0</v>
      </c>
      <c r="BQ107" s="401">
        <f t="shared" si="37"/>
        <v>0</v>
      </c>
      <c r="BR107" s="108">
        <f>VLOOKUP($A107,TOCA_current!$A$2:$AI$137,MATCH(BR$4,TOCA_current!$A$2:$AI$2,0),FALSE)</f>
        <v>5.4105999999999998E-3</v>
      </c>
      <c r="BS107" s="108">
        <f>VLOOKUP($A107,TOCA_current!$A$2:$AI$137,MATCH(BS$4,TOCA_current!$A$2:$AI$2,0),FALSE)</f>
        <v>5.4105999999999998E-3</v>
      </c>
      <c r="BT107" s="189">
        <f t="shared" si="31"/>
        <v>0</v>
      </c>
      <c r="BU107" s="108">
        <f>VLOOKUP($A107,TOCA_current!A103:BG238,MATCH(BU$4,TOCA_current!$A$2:$BG$2,0),FALSE)</f>
        <v>0</v>
      </c>
      <c r="BV107" s="108">
        <f t="shared" si="38"/>
        <v>0</v>
      </c>
      <c r="BW107" s="108">
        <f t="shared" si="39"/>
        <v>0</v>
      </c>
      <c r="BX107" s="179">
        <f>VLOOKUP($A107,IRD!$A$4:$G$139, 7, FALSE)</f>
        <v>0</v>
      </c>
      <c r="BY107" s="180">
        <f t="array" ref="BY107">IF($BT107=0, INDEX(LS_current!$D$4:$AY$138, MATCH('Staging Table'!$A107, LS_current!$B$4:$B$138, 0), MATCH(BY$4&amp;BY$5, LS_current!$D$2:$AY$2&amp;LS_current!$D$3:$AY$3, 0)),SUM(VLOOKUP($A107, LS_current!$B$4:$AY$138, LS_current!D$148, FALSE), VLOOKUP($A107, LS_current!$B$4:$AY$138,LS_current!AB$148, FALSE))/2)</f>
        <v>2743.3532988183997</v>
      </c>
      <c r="BZ107" s="180">
        <f t="array" ref="BZ107">IF($BT107=0, INDEX(LS_current!$D$4:$AY$138, MATCH('Staging Table'!$A107, LS_current!$B$4:$B$138, 0), MATCH(BZ$4&amp;BZ$5, LS_current!$D$2:$AY$2&amp;LS_current!$D$3:$AY$3, 0)),SUM(VLOOKUP($A107, LS_current!$B$4:$AY$138, LS_current!E$148, FALSE), VLOOKUP($A107, LS_current!$B$4:$AY$138,LS_current!AC$148, FALSE))/2)</f>
        <v>557.71306920969982</v>
      </c>
      <c r="CA107" s="180">
        <f t="array" ref="CA107">IF($BT107=0, INDEX(LS_current!$D$4:$AY$138, MATCH('Staging Table'!$A107, LS_current!$B$4:$B$138, 0), MATCH(CA$4&amp;CA$5, LS_current!$D$2:$AY$2&amp;LS_current!$D$3:$AY$3, 0)),SUM(VLOOKUP($A107, LS_current!$B$4:$AY$138, LS_current!F$148, FALSE), VLOOKUP($A107, LS_current!$B$4:$AY$138,LS_current!AD$148, FALSE))/2)</f>
        <v>-108.25313687680318</v>
      </c>
      <c r="CB107" s="180">
        <f t="array" ref="CB107">IF($BT107=0, INDEX(LS_current!$D$4:$AY$138, MATCH('Staging Table'!$A107, LS_current!$B$4:$B$138, 0), MATCH(CB$4&amp;CB$5, LS_current!$D$2:$AY$2&amp;LS_current!$D$3:$AY$3, 0)),SUM(VLOOKUP($A107, LS_current!$B$4:$AY$138, LS_current!G$148, FALSE), VLOOKUP($A107, LS_current!$B$4:$AY$138,LS_current!AE$148, FALSE))/2)</f>
        <v>-734.1479208885994</v>
      </c>
      <c r="CC107" s="180">
        <f t="array" ref="CC107">IF($BT107=0, INDEX(LS_current!$D$4:$AY$138, MATCH('Staging Table'!$A107, LS_current!$B$4:$B$138, 0), MATCH(CC$4&amp;CC$5, LS_current!$D$2:$AY$2&amp;LS_current!$D$3:$AY$3, 0)),SUM(VLOOKUP($A107, LS_current!$B$4:$AY$138, LS_current!H$148, FALSE), VLOOKUP($A107, LS_current!$B$4:$AY$138,LS_current!AF$148, FALSE))/2)</f>
        <v>1543.9798605666001</v>
      </c>
      <c r="CD107" s="180">
        <f t="array" ref="CD107">IF($BT107=0, INDEX(LS_current!$D$4:$AY$138, MATCH('Staging Table'!$A107, LS_current!$B$4:$B$138, 0), MATCH(CD$4&amp;CD$5, LS_current!$D$2:$AY$2&amp;LS_current!$D$3:$AY$3, 0)),SUM(VLOOKUP($A107, LS_current!$B$4:$AY$138, LS_current!I$148, FALSE), VLOOKUP($A107, LS_current!$B$4:$AY$138,LS_current!AG$148, FALSE))/2)</f>
        <v>1352.5155084224007</v>
      </c>
      <c r="CE107" s="180">
        <f t="array" ref="CE107">IF($BT107=0, INDEX(LS_current!$D$4:$AY$138, MATCH('Staging Table'!$A107, LS_current!$B$4:$B$138, 0), MATCH(CE$4&amp;CE$5, LS_current!$D$2:$AY$2&amp;LS_current!$D$3:$AY$3, 0)),SUM(VLOOKUP($A107, LS_current!$B$4:$AY$138, LS_current!J$148, FALSE), VLOOKUP($A107, LS_current!$B$4:$AY$138,LS_current!AH$148, FALSE))/2)</f>
        <v>1286.8814068210013</v>
      </c>
      <c r="CF107" s="180">
        <f t="array" ref="CF107">IF($BT107=0, INDEX(LS_current!$D$4:$AY$138, MATCH('Staging Table'!$A107, LS_current!$B$4:$B$138, 0), MATCH(CF$4&amp;CF$5, LS_current!$D$2:$AY$2&amp;LS_current!$D$3:$AY$3, 0)),SUM(VLOOKUP($A107, LS_current!$B$4:$AY$138, LS_current!K$148, FALSE), VLOOKUP($A107, LS_current!$B$4:$AY$138,LS_current!AI$148, FALSE))/2)</f>
        <v>674.58538029259944</v>
      </c>
      <c r="CG107" s="180">
        <f t="array" ref="CG107">IF($BT107=0, INDEX(LS_current!$D$4:$AY$138, MATCH('Staging Table'!$A107, LS_current!$B$4:$B$138, 0), MATCH(CG$4&amp;CG$5, LS_current!$D$2:$AY$2&amp;LS_current!$D$3:$AY$3, 0)),SUM(VLOOKUP($A107, LS_current!$B$4:$AY$138, LS_current!L$148, FALSE), VLOOKUP($A107, LS_current!$B$4:$AY$138,LS_current!AJ$148, FALSE))/2)</f>
        <v>1291.7022970826038</v>
      </c>
      <c r="CH107" s="180">
        <f t="array" ref="CH107">IF($BT107=0, INDEX(LS_current!$D$4:$AY$138, MATCH('Staging Table'!$A107, LS_current!$B$4:$B$138, 0), MATCH(CH$4&amp;CH$5, LS_current!$D$2:$AY$2&amp;LS_current!$D$3:$AY$3, 0)),SUM(VLOOKUP($A107, LS_current!$B$4:$AY$138, LS_current!M$148, FALSE), VLOOKUP($A107, LS_current!$B$4:$AY$138,LS_current!AK$148, FALSE))/2)</f>
        <v>642.26546063460046</v>
      </c>
      <c r="CI107" s="180">
        <f t="array" ref="CI107">IF($BT107=0, INDEX(LS_current!$D$4:$AY$138, MATCH('Staging Table'!$A107, LS_current!$B$4:$B$138, 0), MATCH(CI$4&amp;CI$5, LS_current!$D$2:$AY$2&amp;LS_current!$D$3:$AY$3, 0)),SUM(VLOOKUP($A107, LS_current!$B$4:$AY$138, LS_current!N$148, FALSE), VLOOKUP($A107, LS_current!$B$4:$AY$138,LS_current!AL$148, FALSE))/2)</f>
        <v>-1342.4823527977969</v>
      </c>
      <c r="CJ107" s="180">
        <f t="array" ref="CJ107">IF($BT107=0, INDEX(LS_current!$D$4:$AY$138, MATCH('Staging Table'!$A107, LS_current!$B$4:$B$138, 0), MATCH(CJ$4&amp;CJ$5, LS_current!$D$2:$AY$2&amp;LS_current!$D$3:$AY$3, 0)),SUM(VLOOKUP($A107, LS_current!$B$4:$AY$138, LS_current!O$148, FALSE), VLOOKUP($A107, LS_current!$B$4:$AY$138,LS_current!AM$148, FALSE))/2)</f>
        <v>-1423.7836720467985</v>
      </c>
      <c r="CK107" s="180">
        <f t="array" ref="CK107">IF($BT107=0, INDEX(LS_current!$D$4:$AY$138, MATCH('Staging Table'!$A107, LS_current!$B$4:$B$138, 0), MATCH(CK$4&amp;CK$5, LS_current!$D$2:$AY$2&amp;LS_current!$D$3:$AY$3, 0)),SUM(VLOOKUP($A107, LS_current!$B$4:$AY$138, LS_current!P$148, FALSE), VLOOKUP($A107, LS_current!$B$4:$AY$138,LS_current!AN$148, FALSE))/2)</f>
        <v>1761.2304790585022</v>
      </c>
      <c r="CL107" s="180">
        <f t="array" ref="CL107">IF($BT107=0, INDEX(LS_current!$D$4:$AY$138, MATCH('Staging Table'!$A107, LS_current!$B$4:$B$138, 0), MATCH(CL$4&amp;CL$5, LS_current!$D$2:$AY$2&amp;LS_current!$D$3:$AY$3, 0)),SUM(VLOOKUP($A107, LS_current!$B$4:$AY$138, LS_current!Q$148, FALSE), VLOOKUP($A107, LS_current!$B$4:$AY$138,LS_current!AO$148, FALSE))/2)</f>
        <v>-379.12395614454908</v>
      </c>
      <c r="CM107" s="180">
        <f t="array" ref="CM107">IF($BT107=0, INDEX(LS_current!$D$4:$AY$138, MATCH('Staging Table'!$A107, LS_current!$B$4:$B$138, 0), MATCH(CM$4&amp;CM$5, LS_current!$D$2:$AY$2&amp;LS_current!$D$3:$AY$3, 0)),SUM(VLOOKUP($A107, LS_current!$B$4:$AY$138, LS_current!R$148, FALSE), VLOOKUP($A107, LS_current!$B$4:$AY$138,LS_current!AP$148, FALSE))/2)</f>
        <v>-3241.329237788801</v>
      </c>
      <c r="CN107" s="180">
        <f t="array" ref="CN107">IF($BT107=0, INDEX(LS_current!$D$4:$AY$138, MATCH('Staging Table'!$A107, LS_current!$B$4:$B$138, 0), MATCH(CN$4&amp;CN$5, LS_current!$D$2:$AY$2&amp;LS_current!$D$3:$AY$3, 0)),SUM(VLOOKUP($A107, LS_current!$B$4:$AY$138, LS_current!S$148, FALSE), VLOOKUP($A107, LS_current!$B$4:$AY$138,LS_current!AQ$148, FALSE))/2)</f>
        <v>-3089.6683889800988</v>
      </c>
      <c r="CO107" s="180">
        <f t="array" ref="CO107">IF($BT107=0, INDEX(LS_current!$D$4:$AY$138, MATCH('Staging Table'!$A107, LS_current!$B$4:$B$138, 0), MATCH(CO$4&amp;CO$5, LS_current!$D$2:$AY$2&amp;LS_current!$D$3:$AY$3, 0)),SUM(VLOOKUP($A107, LS_current!$B$4:$AY$138, LS_current!T$148, FALSE), VLOOKUP($A107, LS_current!$B$4:$AY$138,LS_current!AR$148, FALSE))/2)</f>
        <v>-3996.3238844155985</v>
      </c>
      <c r="CP107" s="180">
        <f t="array" ref="CP107">IF($BT107=0, INDEX(LS_current!$D$4:$AY$138, MATCH('Staging Table'!$A107, LS_current!$B$4:$B$138, 0), MATCH(CP$4&amp;CP$5, LS_current!$D$2:$AY$2&amp;LS_current!$D$3:$AY$3, 0)),SUM(VLOOKUP($A107, LS_current!$B$4:$AY$138, LS_current!U$148, FALSE), VLOOKUP($A107, LS_current!$B$4:$AY$138,LS_current!AS$148, FALSE))/2)</f>
        <v>-2353.8976098777002</v>
      </c>
      <c r="CQ107" s="180">
        <f t="array" ref="CQ107">IF($BT107=0, INDEX(LS_current!$D$4:$AY$138, MATCH('Staging Table'!$A107, LS_current!$B$4:$B$138, 0), MATCH(CQ$4&amp;CQ$5, LS_current!$D$2:$AY$2&amp;LS_current!$D$3:$AY$3, 0)),SUM(VLOOKUP($A107, LS_current!$B$4:$AY$138, LS_current!V$148, FALSE), VLOOKUP($A107, LS_current!$B$4:$AY$138,LS_current!AT$148, FALSE))/2)</f>
        <v>1426.4459377015992</v>
      </c>
      <c r="CR107" s="180">
        <f t="array" ref="CR107">IF($BT107=0, INDEX(LS_current!$D$4:$AY$138, MATCH('Staging Table'!$A107, LS_current!$B$4:$B$138, 0), MATCH(CR$4&amp;CR$5, LS_current!$D$2:$AY$2&amp;LS_current!$D$3:$AY$3, 0)),SUM(VLOOKUP($A107, LS_current!$B$4:$AY$138, LS_current!W$148, FALSE), VLOOKUP($A107, LS_current!$B$4:$AY$138,LS_current!AU$148, FALSE))/2)</f>
        <v>103.7867516485021</v>
      </c>
      <c r="CS107" s="180">
        <f t="array" ref="CS107">IF($BT107=0, INDEX(LS_current!$D$4:$AY$138, MATCH('Staging Table'!$A107, LS_current!$B$4:$B$138, 0), MATCH(CS$4&amp;CS$5, LS_current!$D$2:$AY$2&amp;LS_current!$D$3:$AY$3, 0)),SUM(VLOOKUP($A107, LS_current!$B$4:$AY$138, LS_current!X$148, FALSE), VLOOKUP($A107, LS_current!$B$4:$AY$138,LS_current!AV$148, FALSE))/2)</f>
        <v>2361.6321980820994</v>
      </c>
      <c r="CT107" s="180">
        <f t="array" ref="CT107">IF($BT107=0, INDEX(LS_current!$D$4:$AY$138, MATCH('Staging Table'!$A107, LS_current!$B$4:$B$138, 0), MATCH(CT$4&amp;CT$5, LS_current!$D$2:$AY$2&amp;LS_current!$D$3:$AY$3, 0)),SUM(VLOOKUP($A107, LS_current!$B$4:$AY$138, LS_current!Y$148, FALSE), VLOOKUP($A107, LS_current!$B$4:$AY$138,LS_current!AW$148, FALSE))/2)</f>
        <v>56.846145163590336</v>
      </c>
      <c r="CU107" s="180">
        <f t="array" ref="CU107">IF($BT107=0, INDEX(LS_current!$D$4:$AY$138, MATCH('Staging Table'!$A107, LS_current!$B$4:$B$138, 0), MATCH(CU$4&amp;CU$5, LS_current!$D$2:$AY$2&amp;LS_current!$D$3:$AY$3, 0)),SUM(VLOOKUP($A107, LS_current!$B$4:$AY$138, LS_current!Z$148, FALSE), VLOOKUP($A107, LS_current!$B$4:$AY$138,LS_current!AX$148, FALSE))/2)</f>
        <v>823.2999746955993</v>
      </c>
      <c r="CV107" s="180">
        <f t="array" ref="CV107">IF($BT107=0, INDEX(LS_current!$D$4:$AY$138, MATCH('Staging Table'!$A107, LS_current!$B$4:$B$138, 0), MATCH(CV$4&amp;CV$5, LS_current!$D$2:$AY$2&amp;LS_current!$D$3:$AY$3, 0)),SUM(VLOOKUP($A107, LS_current!$B$4:$AY$138, LS_current!AA$148, FALSE), VLOOKUP($A107, LS_current!$B$4:$AY$138,LS_current!AY$148, FALSE))/2)</f>
        <v>44.234125897601189</v>
      </c>
      <c r="CW107" s="182">
        <f t="array" ref="CW107">INDEX(Demand_current!$D$4:$AY$138, MATCH($A107, Demand_current!$B$4:$B$138, 0), MATCH(CW$4&amp;CW$5,Demand_current!$D$2:$AY$2&amp;Demand_current!$D$3:$AY$3, 0))/1000</f>
        <v>2.0026754807692315</v>
      </c>
      <c r="CX107" s="182">
        <f t="array" ref="CX107">INDEX(Demand_current!$D$4:$AY$138, MATCH($A107, Demand_current!$B$4:$B$138, 0), MATCH(CX$4&amp;CX$5,Demand_current!$D$2:$AY$2&amp;Demand_current!$D$3:$AY$3, 0))/1000</f>
        <v>0.56654499999999963</v>
      </c>
      <c r="CY107" s="182">
        <f t="array" ref="CY107">INDEX(Demand_current!$D$4:$AY$138, MATCH($A107, Demand_current!$B$4:$B$138, 0), MATCH(CY$4&amp;CY$5,Demand_current!$D$2:$AY$2&amp;Demand_current!$D$3:$AY$3, 0))/1000</f>
        <v>0</v>
      </c>
      <c r="CZ107" s="182">
        <f t="array" ref="CZ107">INDEX(Demand_current!$D$4:$AY$138, MATCH($A107, Demand_current!$B$4:$B$138, 0), MATCH(CZ$4&amp;CZ$5,Demand_current!$D$2:$AY$2&amp;Demand_current!$D$3:$AY$3, 0))/1000</f>
        <v>3.9601947115384579</v>
      </c>
      <c r="DA107" s="182">
        <f t="array" ref="DA107">INDEX(Demand_current!$D$4:$AY$138, MATCH($A107, Demand_current!$B$4:$B$138, 0), MATCH(DA$4&amp;DA$5,Demand_current!$D$2:$AY$2&amp;Demand_current!$D$3:$AY$3, 0))/1000</f>
        <v>3.3493500000000029</v>
      </c>
      <c r="DB107" s="182">
        <f t="array" ref="DB107">INDEX(Demand_current!$D$4:$AY$138, MATCH($A107, Demand_current!$B$4:$B$138, 0), MATCH(DB$4&amp;DB$5,Demand_current!$D$2:$AY$2&amp;Demand_current!$D$3:$AY$3, 0))/1000</f>
        <v>6.4866105769230771</v>
      </c>
      <c r="DC107" s="182">
        <f t="array" ref="DC107">INDEX(Demand_current!$D$4:$AY$138, MATCH($A107, Demand_current!$B$4:$B$138, 0), MATCH(DC$4&amp;DC$5,Demand_current!$D$2:$AY$2&amp;Demand_current!$D$3:$AY$3, 0))/1000</f>
        <v>2.8239567307692326</v>
      </c>
      <c r="DD107" s="182">
        <f t="array" ref="DD107">INDEX(Demand_current!$D$4:$AY$138, MATCH($A107, Demand_current!$B$4:$B$138, 0), MATCH(DD$4&amp;DD$5,Demand_current!$D$2:$AY$2&amp;Demand_current!$D$3:$AY$3, 0))/1000</f>
        <v>6.5849639423076951</v>
      </c>
      <c r="DE107" s="182">
        <f t="array" ref="DE107">INDEX(Demand_current!$D$4:$AY$138, MATCH($A107, Demand_current!$B$4:$B$138, 0), MATCH(DE$4&amp;DE$5,Demand_current!$D$2:$AY$2&amp;Demand_current!$D$3:$AY$3, 0))/1000</f>
        <v>18.948362499999998</v>
      </c>
      <c r="DF107" s="182">
        <f t="array" ref="DF107">INDEX(Demand_current!$D$4:$AY$138, MATCH($A107, Demand_current!$B$4:$B$138, 0), MATCH(DF$4&amp;DF$5,Demand_current!$D$2:$AY$2&amp;Demand_current!$D$3:$AY$3, 0))/1000</f>
        <v>13.388461538461531</v>
      </c>
      <c r="DG107" s="182">
        <f t="array" ref="DG107">INDEX(Demand_current!$D$4:$AY$138, MATCH($A107, Demand_current!$B$4:$B$138, 0), MATCH(DG$4&amp;DG$5,Demand_current!$D$2:$AY$2&amp;Demand_current!$D$3:$AY$3, 0))/1000</f>
        <v>14.157571759259252</v>
      </c>
      <c r="DH107" s="182">
        <f t="array" ref="DH107">INDEX(Demand_current!$D$4:$AY$138, MATCH($A107, Demand_current!$B$4:$B$138, 0), MATCH(DH$4&amp;DH$5,Demand_current!$D$2:$AY$2&amp;Demand_current!$D$3:$AY$3, 0))/1000</f>
        <v>13.156236979166668</v>
      </c>
      <c r="DI107" s="180">
        <f>$BS107*(VLOOKUP(DI$4, Rates_current!$G$6:$Q$29, 10, FALSE)+VLOOKUP(DI$4, Rates_current!$G$6:$Q$29, 11, FALSE))</f>
        <v>22826.259631971898</v>
      </c>
      <c r="DJ107" s="180">
        <f>$BS107*(VLOOKUP(DJ$4, Rates_current!$G$6:$Q$29, 10, FALSE)+VLOOKUP(DJ$4, Rates_current!$G$6:$Q$29, 11, FALSE))</f>
        <v>29111.008057765404</v>
      </c>
      <c r="DK107" s="180">
        <f>$BS107*(VLOOKUP(DK$4, Rates_current!$G$6:$Q$29, 10, FALSE)+VLOOKUP(DK$4, Rates_current!$G$6:$Q$29, 11, FALSE))</f>
        <v>31416.537631011</v>
      </c>
      <c r="DL107" s="180">
        <f>$BS107*(VLOOKUP(DL$4, Rates_current!$G$6:$Q$29, 10, FALSE)+VLOOKUP(DL$4, Rates_current!$G$6:$Q$29, 11, FALSE))</f>
        <v>32646.639212886399</v>
      </c>
      <c r="DM107" s="180">
        <f>$BS107*(VLOOKUP(DM$4, Rates_current!$G$6:$Q$29, 10, FALSE)+VLOOKUP(DM$4, Rates_current!$G$6:$Q$29, 11, FALSE))</f>
        <v>28080.461242282796</v>
      </c>
      <c r="DN107" s="180">
        <f>$BS107*(VLOOKUP(DN$4, Rates_current!$G$6:$Q$29, 10, FALSE)+VLOOKUP(DN$4, Rates_current!$G$6:$Q$29, 11, FALSE))</f>
        <v>30658.304024844598</v>
      </c>
      <c r="DO107" s="180">
        <f>$BS107*(VLOOKUP(DO$4, Rates_current!$G$6:$Q$29, 10, FALSE)+VLOOKUP(DO$4, Rates_current!$G$6:$Q$29, 11, FALSE))</f>
        <v>24199.564477086045</v>
      </c>
      <c r="DP107" s="180">
        <f>$BS107*(VLOOKUP(DP$4, Rates_current!$G$6:$Q$29, 10, FALSE)+VLOOKUP(DP$4, Rates_current!$G$6:$Q$29, 11, FALSE))</f>
        <v>30022.802626768898</v>
      </c>
      <c r="DQ107" s="180">
        <f>$BS107*(VLOOKUP(DQ$4, Rates_current!$G$6:$Q$29, 10, FALSE)+VLOOKUP(DQ$4, Rates_current!$G$6:$Q$29, 11, FALSE))</f>
        <v>30674.222494293295</v>
      </c>
      <c r="DR107" s="180">
        <f>$BS107*(VLOOKUP(DR$4, Rates_current!$G$6:$Q$29, 10, FALSE)+VLOOKUP(DR$4, Rates_current!$G$6:$Q$29, 11, FALSE))</f>
        <v>26629.644310649899</v>
      </c>
      <c r="DS107" s="180">
        <f>$BS107*(VLOOKUP(DS$4, Rates_current!$G$6:$Q$29, 10, FALSE)+VLOOKUP(DS$4, Rates_current!$G$6:$Q$29, 11, FALSE))</f>
        <v>25743.787656754314</v>
      </c>
      <c r="DT107" s="180">
        <f>$BS107*(VLOOKUP(DT$4, Rates_current!$G$6:$Q$29, 10, FALSE)+VLOOKUP(DT$4, Rates_current!$G$6:$Q$29, 11, FALSE))</f>
        <v>23689.269899406801</v>
      </c>
      <c r="DU107" s="402">
        <f>IF(D107=0,IF(C107=0,MAX(0,DW107 - (VLOOKUP($A107,TOCA_current!$A$2:$AI$137,MATCH("RHWM 2024",TOCA_current!$A$2:$AI$2,0),FALSE)*$BS$2)), 0),0)</f>
        <v>0</v>
      </c>
      <c r="DV107" s="403">
        <f>MIN(VLOOKUP($A107,TOCA_current!$A$2:$AI$137,MATCH("TRL - NLSL - Existing Resource "&amp;$BS$1,TOCA_current!$A$2:$AI$2,0),FALSE)*$BS$2, VLOOKUP($A107,TOCA_current!$A$2:$AI$137,MATCH("RHWM 2024",TOCA_current!$A$2:$AI$2,0),FALSE)*$BS$2)</f>
        <v>335698.12799999997</v>
      </c>
      <c r="DW107" s="403">
        <f>SUM(BY107:CV107)+(BS107*RT1SC!$C$4*$BS$2)</f>
        <v>335699.96453877463</v>
      </c>
      <c r="DX107" s="403">
        <f>VLOOKUP($A107,TOCA_current!$A$2:$AI$137,MATCH("Above RHWM Not Served with LS "&amp;$BS$1,TOCA_current!$A$2:$AI$2,0),FALSE)*$BS$2</f>
        <v>0</v>
      </c>
      <c r="DY107" s="403">
        <f t="shared" si="32"/>
        <v>1.8365387746598572</v>
      </c>
      <c r="DZ107" s="403">
        <f>(VLOOKUP($A107,TOCA_current!$A$2:$AI$137,MATCH("RHWM 2024",TOCA_current!$A$2:$AI$2,0),FALSE)*$BS$2) - $DV107</f>
        <v>4163.6160000000382</v>
      </c>
      <c r="EA107" s="403">
        <f t="shared" si="33"/>
        <v>-1.8365387746598572</v>
      </c>
      <c r="EB107" s="403">
        <f t="shared" si="34"/>
        <v>0</v>
      </c>
      <c r="EC107" s="403">
        <f t="shared" si="35"/>
        <v>0</v>
      </c>
      <c r="ED107" s="403">
        <f t="shared" si="36"/>
        <v>-1.8365387746598572</v>
      </c>
    </row>
    <row r="108" spans="1:134">
      <c r="A108" s="123">
        <v>10343</v>
      </c>
      <c r="B108" s="124" t="s">
        <v>109</v>
      </c>
      <c r="C108" s="232">
        <f>VLOOKUP(A108, TOCA_current!$A$3:$D$137, 4, FALSE)</f>
        <v>0</v>
      </c>
      <c r="D108" s="191">
        <v>0</v>
      </c>
      <c r="E108" s="107">
        <f>VLOOKUP($A108,TOCA_previous!$A$2:$AI$137,MATCH(E$4,TOCA_previous!$A$2:$AI$2,0),FALSE)</f>
        <v>1.7838000000000001E-3</v>
      </c>
      <c r="F108" s="108">
        <f>VLOOKUP($A108,TOCA_previous!$A$2:$AI$137,MATCH(F$4,TOCA_previous!$A$2:$AI$2,0),FALSE)</f>
        <v>1.7838000000000001E-3</v>
      </c>
      <c r="G108" s="108">
        <f t="shared" si="24"/>
        <v>0</v>
      </c>
      <c r="H108" s="108">
        <f>VLOOKUP($A108,TOCA_previous!$A$2:$AI$137,MATCH(H$4,TOCA_previous!$A$2:$AI$2,0),FALSE)</f>
        <v>7.0000000000000007E-2</v>
      </c>
      <c r="I108" s="108">
        <f t="shared" si="25"/>
        <v>0</v>
      </c>
      <c r="J108" s="108">
        <f t="shared" si="26"/>
        <v>0</v>
      </c>
      <c r="K108" s="179">
        <f>VLOOKUP(A108, IRD!$A$5:$C$139, 3, FALSE)</f>
        <v>10505.661</v>
      </c>
      <c r="L108" s="180">
        <f t="array" ref="L108">IF($G108=0, INDEX(LS_previous!$D$4:$AY$138, MATCH('Staging Table'!$A108, LS_previous!$B$4:$B$138, 0), MATCH(L$4&amp;L$5, LS_previous!$D$2:$AY$2&amp;LS_previous!$D$3:$AY$3, 0)),SUM(VLOOKUP($A108, LS_previous!$B$4:$AY$138, LS_previous!D$149, FALSE), VLOOKUP('Staging Table'!$A108, LS_previous!$B$4:$AY$138,LS_previous!AB$149, FALSE))/2)</f>
        <v>-1310.2276738784244</v>
      </c>
      <c r="M108" s="180">
        <f t="array" ref="M108">IF($G108=0, INDEX(LS_previous!$D$4:$AY$138, MATCH('Staging Table'!$A108, LS_previous!$B$4:$B$138, 0), MATCH(M$4&amp;M$5, LS_previous!$D$2:$AY$2&amp;LS_previous!$D$3:$AY$3, 0)),SUM(VLOOKUP($A108, LS_previous!$B$4:$AY$138, LS_previous!E$149, FALSE), VLOOKUP('Staging Table'!$A108, LS_previous!$B$4:$AY$138,LS_previous!AC$149, FALSE))/2)</f>
        <v>-158.97570787861514</v>
      </c>
      <c r="N108" s="180">
        <f t="array" ref="N108">IF($G108=0, INDEX(LS_previous!$D$4:$AY$138, MATCH('Staging Table'!$A108, LS_previous!$B$4:$B$138, 0), MATCH(N$4&amp;N$5, LS_previous!$D$2:$AY$2&amp;LS_previous!$D$3:$AY$3, 0)),SUM(VLOOKUP($A108, LS_previous!$B$4:$AY$138, LS_previous!F$149, FALSE), VLOOKUP('Staging Table'!$A108, LS_previous!$B$4:$AY$138,LS_previous!AD$149, FALSE))/2)</f>
        <v>-1767.3335952369016</v>
      </c>
      <c r="O108" s="180">
        <f t="array" ref="O108">IF($G108=0, INDEX(LS_previous!$D$4:$AY$138, MATCH('Staging Table'!$A108, LS_previous!$B$4:$B$138, 0), MATCH(O$4&amp;O$5, LS_previous!$D$2:$AY$2&amp;LS_previous!$D$3:$AY$3, 0)),SUM(VLOOKUP($A108, LS_previous!$B$4:$AY$138, LS_previous!G$149, FALSE), VLOOKUP('Staging Table'!$A108, LS_previous!$B$4:$AY$138,LS_previous!AE$149, FALSE))/2)</f>
        <v>-471.98584256318009</v>
      </c>
      <c r="P108" s="180">
        <f t="array" ref="P108">IF($G108=0, INDEX(LS_previous!$D$4:$AY$138, MATCH('Staging Table'!$A108, LS_previous!$B$4:$B$138, 0), MATCH(P$4&amp;P$5, LS_previous!$D$2:$AY$2&amp;LS_previous!$D$3:$AY$3, 0)),SUM(VLOOKUP($A108, LS_previous!$B$4:$AY$138, LS_previous!H$149, FALSE), VLOOKUP('Staging Table'!$A108, LS_previous!$B$4:$AY$138,LS_previous!AF$149, FALSE))/2)</f>
        <v>173.04681409669138</v>
      </c>
      <c r="Q108" s="180">
        <f t="array" ref="Q108">IF($G108=0, INDEX(LS_previous!$D$4:$AY$138, MATCH('Staging Table'!$A108, LS_previous!$B$4:$B$138, 0), MATCH(Q$4&amp;Q$5, LS_previous!$D$2:$AY$2&amp;LS_previous!$D$3:$AY$3, 0)),SUM(VLOOKUP($A108, LS_previous!$B$4:$AY$138, LS_previous!I$149, FALSE), VLOOKUP('Staging Table'!$A108, LS_previous!$B$4:$AY$138,LS_previous!AG$149, FALSE))/2)</f>
        <v>298.98138389323685</v>
      </c>
      <c r="R108" s="180">
        <f t="array" ref="R108">IF($G108=0, INDEX(LS_previous!$D$4:$AY$138, MATCH('Staging Table'!$A108, LS_previous!$B$4:$B$138, 0), MATCH(R$4&amp;R$5, LS_previous!$D$2:$AY$2&amp;LS_previous!$D$3:$AY$3, 0)),SUM(VLOOKUP($A108, LS_previous!$B$4:$AY$138, LS_previous!J$149, FALSE), VLOOKUP('Staging Table'!$A108, LS_previous!$B$4:$AY$138,LS_previous!AH$149, FALSE))/2)</f>
        <v>1099.6740861837807</v>
      </c>
      <c r="S108" s="180">
        <f t="array" ref="S108">IF($G108=0, INDEX(LS_previous!$D$4:$AY$138, MATCH('Staging Table'!$A108, LS_previous!$B$4:$B$138, 0), MATCH(S$4&amp;S$5, LS_previous!$D$2:$AY$2&amp;LS_previous!$D$3:$AY$3, 0)),SUM(VLOOKUP($A108, LS_previous!$B$4:$AY$138, LS_previous!K$149, FALSE), VLOOKUP('Staging Table'!$A108, LS_previous!$B$4:$AY$138,LS_previous!AI$149, FALSE))/2)</f>
        <v>1106.7627434598326</v>
      </c>
      <c r="T108" s="180">
        <f t="array" ref="T108">IF($G108=0, INDEX(LS_previous!$D$4:$AY$138, MATCH('Staging Table'!$A108, LS_previous!$B$4:$B$138, 0), MATCH(T$4&amp;T$5, LS_previous!$D$2:$AY$2&amp;LS_previous!$D$3:$AY$3, 0)),SUM(VLOOKUP($A108, LS_previous!$B$4:$AY$138, LS_previous!L$149, FALSE), VLOOKUP('Staging Table'!$A108, LS_previous!$B$4:$AY$138,LS_previous!AJ$149, FALSE))/2)</f>
        <v>916.46016097754091</v>
      </c>
      <c r="U108" s="180">
        <f t="array" ref="U108">IF($G108=0, INDEX(LS_previous!$D$4:$AY$138, MATCH('Staging Table'!$A108, LS_previous!$B$4:$B$138, 0), MATCH(U$4&amp;U$5, LS_previous!$D$2:$AY$2&amp;LS_previous!$D$3:$AY$3, 0)),SUM(VLOOKUP($A108, LS_previous!$B$4:$AY$138, LS_previous!M$149, FALSE), VLOOKUP('Staging Table'!$A108, LS_previous!$B$4:$AY$138,LS_previous!AK$149, FALSE))/2)</f>
        <v>850.59631837070174</v>
      </c>
      <c r="V108" s="180">
        <f t="array" ref="V108">IF($G108=0, INDEX(LS_previous!$D$4:$AY$138, MATCH('Staging Table'!$A108, LS_previous!$B$4:$B$138, 0), MATCH(V$4&amp;V$5, LS_previous!$D$2:$AY$2&amp;LS_previous!$D$3:$AY$3, 0)),SUM(VLOOKUP($A108, LS_previous!$B$4:$AY$138, LS_previous!N$149, FALSE), VLOOKUP('Staging Table'!$A108, LS_previous!$B$4:$AY$138,LS_previous!AL$149, FALSE))/2)</f>
        <v>-396.01185648945375</v>
      </c>
      <c r="W108" s="180">
        <f t="array" ref="W108">IF($G108=0, INDEX(LS_previous!$D$4:$AY$138, MATCH('Staging Table'!$A108, LS_previous!$B$4:$B$138, 0), MATCH(W$4&amp;W$5, LS_previous!$D$2:$AY$2&amp;LS_previous!$D$3:$AY$3, 0)),SUM(VLOOKUP($A108, LS_previous!$B$4:$AY$138, LS_previous!O$149, FALSE), VLOOKUP('Staging Table'!$A108, LS_previous!$B$4:$AY$138,LS_previous!AM$149, FALSE))/2)</f>
        <v>316.69499064426464</v>
      </c>
      <c r="X108" s="180">
        <f t="array" ref="X108">IF($G108=0, INDEX(LS_previous!$D$4:$AY$138, MATCH('Staging Table'!$A108, LS_previous!$B$4:$B$138, 0), MATCH(X$4&amp;X$5, LS_previous!$D$2:$AY$2&amp;LS_previous!$D$3:$AY$3, 0)),SUM(VLOOKUP($A108, LS_previous!$B$4:$AY$138, LS_previous!P$149, FALSE), VLOOKUP('Staging Table'!$A108, LS_previous!$B$4:$AY$138,LS_previous!AN$149, FALSE))/2)</f>
        <v>321.9859423259868</v>
      </c>
      <c r="Y108" s="180">
        <f t="array" ref="Y108">IF($G108=0, INDEX(LS_previous!$D$4:$AY$138, MATCH('Staging Table'!$A108, LS_previous!$B$4:$B$138, 0), MATCH(Y$4&amp;Y$5, LS_previous!$D$2:$AY$2&amp;LS_previous!$D$3:$AY$3, 0)),SUM(VLOOKUP($A108, LS_previous!$B$4:$AY$138, LS_previous!Q$149, FALSE), VLOOKUP('Staging Table'!$A108, LS_previous!$B$4:$AY$138,LS_previous!AO$149, FALSE))/2)</f>
        <v>714.40137398679599</v>
      </c>
      <c r="Z108" s="180">
        <f t="array" ref="Z108">IF($G108=0, INDEX(LS_previous!$D$4:$AY$138, MATCH('Staging Table'!$A108, LS_previous!$B$4:$B$138, 0), MATCH(Z$4&amp;Z$5, LS_previous!$D$2:$AY$2&amp;LS_previous!$D$3:$AY$3, 0)),SUM(VLOOKUP($A108, LS_previous!$B$4:$AY$138, LS_previous!R$149, FALSE), VLOOKUP('Staging Table'!$A108, LS_previous!$B$4:$AY$138,LS_previous!AP$149, FALSE))/2)</f>
        <v>-971.70091671220234</v>
      </c>
      <c r="AA108" s="180">
        <f t="array" ref="AA108">IF($G108=0, INDEX(LS_previous!$D$4:$AY$138, MATCH('Staging Table'!$A108, LS_previous!$B$4:$B$138, 0), MATCH(AA$4&amp;AA$5, LS_previous!$D$2:$AY$2&amp;LS_previous!$D$3:$AY$3, 0)),SUM(VLOOKUP($A108, LS_previous!$B$4:$AY$138, LS_previous!S$149, FALSE), VLOOKUP('Staging Table'!$A108, LS_previous!$B$4:$AY$138,LS_previous!AQ$149, FALSE))/2)</f>
        <v>1126.713834752461</v>
      </c>
      <c r="AB108" s="180">
        <f t="array" ref="AB108">IF($G108=0, INDEX(LS_previous!$D$4:$AY$138, MATCH('Staging Table'!$A108, LS_previous!$B$4:$B$138, 0), MATCH(AB$4&amp;AB$5, LS_previous!$D$2:$AY$2&amp;LS_previous!$D$3:$AY$3, 0)),SUM(VLOOKUP($A108, LS_previous!$B$4:$AY$138, LS_previous!T$149, FALSE), VLOOKUP('Staging Table'!$A108, LS_previous!$B$4:$AY$138,LS_previous!AR$149, FALSE))/2)</f>
        <v>-1874.3417300684814</v>
      </c>
      <c r="AC108" s="180">
        <f t="array" ref="AC108">IF($G108=0, INDEX(LS_previous!$D$4:$AY$138, MATCH('Staging Table'!$A108, LS_previous!$B$4:$B$138, 0), MATCH(AC$4&amp;AC$5, LS_previous!$D$2:$AY$2&amp;LS_previous!$D$3:$AY$3, 0)),SUM(VLOOKUP($A108, LS_previous!$B$4:$AY$138, LS_previous!U$149, FALSE), VLOOKUP('Staging Table'!$A108, LS_previous!$B$4:$AY$138,LS_previous!AS$149, FALSE))/2)</f>
        <v>876.73405744979846</v>
      </c>
      <c r="AD108" s="180">
        <f t="array" ref="AD108">IF($G108=0, INDEX(LS_previous!$D$4:$AY$138, MATCH('Staging Table'!$A108, LS_previous!$B$4:$B$138, 0), MATCH(AD$4&amp;AD$5, LS_previous!$D$2:$AY$2&amp;LS_previous!$D$3:$AY$3, 0)),SUM(VLOOKUP($A108, LS_previous!$B$4:$AY$138, LS_previous!V$149, FALSE), VLOOKUP('Staging Table'!$A108, LS_previous!$B$4:$AY$138,LS_previous!AT$149, FALSE))/2)</f>
        <v>-823.3792613251635</v>
      </c>
      <c r="AE108" s="180">
        <f t="array" ref="AE108">IF($G108=0, INDEX(LS_previous!$D$4:$AY$138, MATCH('Staging Table'!$A108, LS_previous!$B$4:$B$138, 0), MATCH(AE$4&amp;AE$5, LS_previous!$D$2:$AY$2&amp;LS_previous!$D$3:$AY$3, 0)),SUM(VLOOKUP($A108, LS_previous!$B$4:$AY$138, LS_previous!W$149, FALSE), VLOOKUP('Staging Table'!$A108, LS_previous!$B$4:$AY$138,LS_previous!AU$149, FALSE))/2)</f>
        <v>1014.326904279143</v>
      </c>
      <c r="AF108" s="180">
        <f t="array" ref="AF108">IF($G108=0, INDEX(LS_previous!$D$4:$AY$138, MATCH('Staging Table'!$A108, LS_previous!$B$4:$B$138, 0), MATCH(AF$4&amp;AF$5, LS_previous!$D$2:$AY$2&amp;LS_previous!$D$3:$AY$3, 0)),SUM(VLOOKUP($A108, LS_previous!$B$4:$AY$138, LS_previous!X$149, FALSE), VLOOKUP('Staging Table'!$A108, LS_previous!$B$4:$AY$138,LS_previous!AV$149, FALSE))/2)</f>
        <v>-905.55227836024915</v>
      </c>
      <c r="AG108" s="180">
        <f t="array" ref="AG108">IF($G108=0, INDEX(LS_previous!$D$4:$AY$138, MATCH('Staging Table'!$A108, LS_previous!$B$4:$B$138, 0), MATCH(AG$4&amp;AG$5, LS_previous!$D$2:$AY$2&amp;LS_previous!$D$3:$AY$3, 0)),SUM(VLOOKUP($A108, LS_previous!$B$4:$AY$138, LS_previous!Y$149, FALSE), VLOOKUP('Staging Table'!$A108, LS_previous!$B$4:$AY$138,LS_previous!AW$149, FALSE))/2)</f>
        <v>694.62758274608723</v>
      </c>
      <c r="AH108" s="180">
        <f t="array" ref="AH108">IF($G108=0, INDEX(LS_previous!$D$4:$AY$138, MATCH('Staging Table'!$A108, LS_previous!$B$4:$B$138, 0), MATCH(AH$4&amp;AH$5, LS_previous!$D$2:$AY$2&amp;LS_previous!$D$3:$AY$3, 0)),SUM(VLOOKUP($A108, LS_previous!$B$4:$AY$138, LS_previous!Z$149, FALSE), VLOOKUP('Staging Table'!$A108, LS_previous!$B$4:$AY$138,LS_previous!AX$149, FALSE))/2)</f>
        <v>-1216.4400919056561</v>
      </c>
      <c r="AI108" s="180">
        <f t="array" ref="AI108">IF($G108=0, INDEX(LS_previous!$D$4:$AY$138, MATCH('Staging Table'!$A108, LS_previous!$B$4:$B$138, 0), MATCH(AI$4&amp;AI$5, LS_previous!$D$2:$AY$2&amp;LS_previous!$D$3:$AY$3, 0)),SUM(VLOOKUP($A108, LS_previous!$B$4:$AY$138, LS_previous!AA$149, FALSE), VLOOKUP('Staging Table'!$A108, LS_previous!$B$4:$AY$138,LS_previous!AY$149, FALSE))/2)</f>
        <v>169.2266123144941</v>
      </c>
      <c r="AJ108" s="298">
        <f t="array" ref="AJ108">INDEX(Demand_previous!$D$4:$AY$138, MATCH('Staging Table'!$A108, Demand_previous!$B$4:$B$138, 0), MATCH(AJ$4&amp;AJ$5,Demand_previous!$D$2:$AY$2&amp;Demand_previous!$D$3:$AY$3, 0))/1000</f>
        <v>0</v>
      </c>
      <c r="AK108" s="298">
        <f t="array" ref="AK108">INDEX(Demand_previous!$D$4:$AY$138, MATCH('Staging Table'!$A108, Demand_previous!$B$4:$B$138, 0), MATCH(AK$4&amp;AK$5,Demand_previous!$D$2:$AY$2&amp;Demand_previous!$D$3:$AY$3, 0))/1000</f>
        <v>0</v>
      </c>
      <c r="AL108" s="298">
        <f t="array" ref="AL108">INDEX(Demand_previous!$D$4:$AY$138, MATCH('Staging Table'!$A108, Demand_previous!$B$4:$B$138, 0), MATCH(AL$4&amp;AL$5,Demand_previous!$D$2:$AY$2&amp;Demand_previous!$D$3:$AY$3, 0))/1000</f>
        <v>0</v>
      </c>
      <c r="AM108" s="298">
        <f t="array" ref="AM108">INDEX(Demand_previous!$D$4:$AY$138, MATCH('Staging Table'!$A108, Demand_previous!$B$4:$B$138, 0), MATCH(AM$4&amp;AM$5,Demand_previous!$D$2:$AY$2&amp;Demand_previous!$D$3:$AY$3, 0))/1000</f>
        <v>0</v>
      </c>
      <c r="AN108" s="298">
        <f t="array" ref="AN108">INDEX(Demand_previous!$D$4:$AY$138, MATCH('Staging Table'!$A108, Demand_previous!$B$4:$B$138, 0), MATCH(AN$4&amp;AN$5,Demand_previous!$D$2:$AY$2&amp;Demand_previous!$D$3:$AY$3, 0))/1000</f>
        <v>0</v>
      </c>
      <c r="AO108" s="298">
        <f t="array" ref="AO108">INDEX(Demand_previous!$D$4:$AY$138, MATCH('Staging Table'!$A108, Demand_previous!$B$4:$B$138, 0), MATCH(AO$4&amp;AO$5,Demand_previous!$D$2:$AY$2&amp;Demand_previous!$D$3:$AY$3, 0))/1000</f>
        <v>0</v>
      </c>
      <c r="AP108" s="298">
        <f t="array" ref="AP108">INDEX(Demand_previous!$D$4:$AY$138, MATCH('Staging Table'!$A108, Demand_previous!$B$4:$B$138, 0), MATCH(AP$4&amp;AP$5,Demand_previous!$D$2:$AY$2&amp;Demand_previous!$D$3:$AY$3, 0))/1000</f>
        <v>0</v>
      </c>
      <c r="AQ108" s="298">
        <f t="array" ref="AQ108">INDEX(Demand_previous!$D$4:$AY$138, MATCH('Staging Table'!$A108, Demand_previous!$B$4:$B$138, 0), MATCH(AQ$4&amp;AQ$5,Demand_previous!$D$2:$AY$2&amp;Demand_previous!$D$3:$AY$3, 0))/1000</f>
        <v>0</v>
      </c>
      <c r="AR108" s="298">
        <f t="array" ref="AR108">INDEX(Demand_previous!$D$4:$AY$138, MATCH('Staging Table'!$A108, Demand_previous!$B$4:$B$138, 0), MATCH(AR$4&amp;AR$5,Demand_previous!$D$2:$AY$2&amp;Demand_previous!$D$3:$AY$3, 0))/1000</f>
        <v>0</v>
      </c>
      <c r="AS108" s="298">
        <f t="array" ref="AS108">INDEX(Demand_previous!$D$4:$AY$138, MATCH('Staging Table'!$A108, Demand_previous!$B$4:$B$138, 0), MATCH(AS$4&amp;AS$5,Demand_previous!$D$2:$AY$2&amp;Demand_previous!$D$3:$AY$3, 0))/1000</f>
        <v>0</v>
      </c>
      <c r="AT108" s="298">
        <f t="array" ref="AT108">INDEX(Demand_previous!$D$4:$AY$138, MATCH('Staging Table'!$A108, Demand_previous!$B$4:$B$138, 0), MATCH(AT$4&amp;AT$5,Demand_previous!$D$2:$AY$2&amp;Demand_previous!$D$3:$AY$3, 0))/1000</f>
        <v>0</v>
      </c>
      <c r="AU108" s="298">
        <f t="array" ref="AU108">INDEX(Demand_previous!$D$4:$AY$138, MATCH('Staging Table'!$A108, Demand_previous!$B$4:$B$138, 0), MATCH(AU$4&amp;AU$5,Demand_previous!$D$2:$AY$2&amp;Demand_previous!$D$3:$AY$3, 0))/1000</f>
        <v>0</v>
      </c>
      <c r="AV108" s="180">
        <f>$F108*(VLOOKUP(AV$4, Rates_previous!$G$6:$Q$29, 10, FALSE)+VLOOKUP(AV$4, Rates_previous!$G$6:$Q$29, 11, FALSE))</f>
        <v>8123.2903817570395</v>
      </c>
      <c r="AW108" s="180">
        <f>$F108*(VLOOKUP(AW$4, Rates_previous!$G$6:$Q$29, 10, FALSE)+VLOOKUP(AW$4, Rates_previous!$G$6:$Q$29, 11, FALSE))</f>
        <v>10284.380437800082</v>
      </c>
      <c r="AX108" s="180">
        <f>$F108*(VLOOKUP(AX$4, Rates_previous!$G$6:$Q$29, 10, FALSE)+VLOOKUP(AX$4, Rates_previous!$G$6:$Q$29, 11, FALSE))</f>
        <v>10066.353802010073</v>
      </c>
      <c r="AY108" s="180">
        <f>$F108*(VLOOKUP(AY$4, Rates_previous!$G$6:$Q$29, 10, FALSE)+VLOOKUP(AY$4, Rates_previous!$G$6:$Q$29, 11, FALSE))</f>
        <v>8314.3801703563877</v>
      </c>
      <c r="AZ108" s="180">
        <f>$F108*(VLOOKUP(AZ$4, Rates_previous!$G$6:$Q$29, 10, FALSE)+VLOOKUP(AZ$4, Rates_previous!$G$6:$Q$29, 11, FALSE))</f>
        <v>7206.2555206517573</v>
      </c>
      <c r="BA108" s="180">
        <f>$F108*(VLOOKUP(BA$4, Rates_previous!$G$6:$Q$29, 10, FALSE)+VLOOKUP(BA$4, Rates_previous!$G$6:$Q$29, 11, FALSE))</f>
        <v>8602.8138658451899</v>
      </c>
      <c r="BB108" s="180">
        <f>$F108*(VLOOKUP(BB$4, Rates_previous!$G$6:$Q$29, 10, FALSE)+VLOOKUP(BB$4, Rates_previous!$G$6:$Q$29, 11, FALSE))</f>
        <v>6678.9396836872174</v>
      </c>
      <c r="BC108" s="180">
        <f>$F108*(VLOOKUP(BC$4, Rates_previous!$G$6:$Q$29, 10, FALSE)+VLOOKUP(BC$4, Rates_previous!$G$6:$Q$29, 11, FALSE))</f>
        <v>9253.7200819597419</v>
      </c>
      <c r="BD108" s="180">
        <f>$F108*(VLOOKUP(BD$4, Rates_previous!$G$6:$Q$29, 10, FALSE)+VLOOKUP(BD$4, Rates_previous!$G$6:$Q$29, 11, FALSE))</f>
        <v>9887.7936726186817</v>
      </c>
      <c r="BE108" s="180">
        <f>$F108*(VLOOKUP(BE$4, Rates_previous!$G$6:$Q$29, 10, FALSE)+VLOOKUP(BE$4, Rates_previous!$G$6:$Q$29, 11, FALSE))</f>
        <v>9388.0123570460219</v>
      </c>
      <c r="BF108" s="180">
        <f>$F108*(VLOOKUP(BF$4, Rates_previous!$G$6:$Q$29, 10, FALSE)+VLOOKUP(BF$4, Rates_previous!$G$6:$Q$29, 11, FALSE))</f>
        <v>9072.7896956141612</v>
      </c>
      <c r="BG108" s="180">
        <f>$F108*(VLOOKUP(BG$4, Rates_previous!$G$6:$Q$29, 10, FALSE)+VLOOKUP(BG$4, Rates_previous!$G$6:$Q$29, 11, FALSE))</f>
        <v>8384.2034795911622</v>
      </c>
      <c r="BH108" s="298">
        <f>IF($D108=0,IF(C108=0, MAX(BJ108 - (VLOOKUP($A108,TOCA_previous!$A$2:$AI$137,MATCH("RHWM 2022",TOCA_previous!$A$2:$AI$2,0),FALSE)*$F$2*TOCA_previous!C105),0),0), 0)</f>
        <v>0</v>
      </c>
      <c r="BI108" s="192">
        <f>MIN(VLOOKUP($A108,TOCA_previous!$A$2:$AI$137,MATCH("TRL - NLSL - Existing Resource "&amp;$F$1,TOCA_previous!$A$2:$AI$2,0),FALSE)*$F$2,(VLOOKUP($A108,TOCA_previous!$A$2:$AI$137,MATCH("RHWM 2022",TOCA_previous!$A$2:$AI$2,0),FALSE)*$F$2))</f>
        <v>105260.16</v>
      </c>
      <c r="BJ108" s="402">
        <f>SUM(L108:AI108)+(F108*RT1SC!$C$3*$F$2)</f>
        <v>105047.22238465451</v>
      </c>
      <c r="BK108" s="401">
        <f>VLOOKUP($A108,TOCA_previous!$A$2:$AI$137,MATCH("Above RHWM Not Served with LS "&amp;$F$1,TOCA_previous!$A$2:$AI$2,0),FALSE)*$F$2</f>
        <v>0</v>
      </c>
      <c r="BL108" s="402">
        <f t="shared" si="27"/>
        <v>-212.93761534549412</v>
      </c>
      <c r="BM108" s="401">
        <f>(VLOOKUP($A108,TOCA_previous!$A$2:$AI$137,MATCH("RHWM 2022",TOCA_previous!$A$2:$AI$2,0),FALSE)*$F$2) - $BI108</f>
        <v>157031.75999999998</v>
      </c>
      <c r="BN108" s="402">
        <f t="shared" si="28"/>
        <v>0</v>
      </c>
      <c r="BO108" s="401">
        <f t="shared" si="29"/>
        <v>212.93761534549412</v>
      </c>
      <c r="BP108" s="402">
        <f t="shared" si="30"/>
        <v>0</v>
      </c>
      <c r="BQ108" s="401">
        <f t="shared" si="37"/>
        <v>212.93761534549412</v>
      </c>
      <c r="BR108" s="108">
        <f>VLOOKUP($A108,TOCA_current!$A$2:$AI$137,MATCH(BR$4,TOCA_current!$A$2:$AI$2,0),FALSE)</f>
        <v>1.6930999999999999E-3</v>
      </c>
      <c r="BS108" s="108">
        <f>VLOOKUP($A108,TOCA_current!$A$2:$AI$137,MATCH(BS$4,TOCA_current!$A$2:$AI$2,0),FALSE)</f>
        <v>1.6930999999999999E-3</v>
      </c>
      <c r="BT108" s="189">
        <f t="shared" si="31"/>
        <v>0</v>
      </c>
      <c r="BU108" s="108">
        <f>VLOOKUP($A108,TOCA_current!A104:BG239,MATCH(BU$4,TOCA_current!$A$2:$BG$2,0),FALSE)</f>
        <v>7.0000000000000007E-2</v>
      </c>
      <c r="BV108" s="108">
        <f t="shared" si="38"/>
        <v>0</v>
      </c>
      <c r="BW108" s="108">
        <f t="shared" si="39"/>
        <v>0</v>
      </c>
      <c r="BX108" s="179">
        <f>VLOOKUP($A108,IRD!$A$4:$G$139, 7, FALSE)</f>
        <v>10505.661</v>
      </c>
      <c r="BY108" s="180">
        <f t="array" ref="BY108">IF($BT108=0, INDEX(LS_current!$D$4:$AY$138, MATCH('Staging Table'!$A108, LS_current!$B$4:$B$138, 0), MATCH(BY$4&amp;BY$5, LS_current!$D$2:$AY$2&amp;LS_current!$D$3:$AY$3, 0)),SUM(VLOOKUP($A108, LS_current!$B$4:$AY$138, LS_current!D$148, FALSE), VLOOKUP($A108, LS_current!$B$4:$AY$138,LS_current!AB$148, FALSE))/2)</f>
        <v>-421.66499735160005</v>
      </c>
      <c r="BZ108" s="180">
        <f t="array" ref="BZ108">IF($BT108=0, INDEX(LS_current!$D$4:$AY$138, MATCH('Staging Table'!$A108, LS_current!$B$4:$B$138, 0), MATCH(BZ$4&amp;BZ$5, LS_current!$D$2:$AY$2&amp;LS_current!$D$3:$AY$3, 0)),SUM(VLOOKUP($A108, LS_current!$B$4:$AY$138, LS_current!E$148, FALSE), VLOOKUP($A108, LS_current!$B$4:$AY$138,LS_current!AC$148, FALSE))/2)</f>
        <v>-67.104651244049819</v>
      </c>
      <c r="CA108" s="180">
        <f t="array" ref="CA108">IF($BT108=0, INDEX(LS_current!$D$4:$AY$138, MATCH('Staging Table'!$A108, LS_current!$B$4:$B$138, 0), MATCH(CA$4&amp;CA$5, LS_current!$D$2:$AY$2&amp;LS_current!$D$3:$AY$3, 0)),SUM(VLOOKUP($A108, LS_current!$B$4:$AY$138, LS_current!F$148, FALSE), VLOOKUP($A108, LS_current!$B$4:$AY$138,LS_current!AD$148, FALSE))/2)</f>
        <v>-983.45049503680002</v>
      </c>
      <c r="CB108" s="180">
        <f t="array" ref="CB108">IF($BT108=0, INDEX(LS_current!$D$4:$AY$138, MATCH('Staging Table'!$A108, LS_current!$B$4:$B$138, 0), MATCH(CB$4&amp;CB$5, LS_current!$D$2:$AY$2&amp;LS_current!$D$3:$AY$3, 0)),SUM(VLOOKUP($A108, LS_current!$B$4:$AY$138, LS_current!G$148, FALSE), VLOOKUP($A108, LS_current!$B$4:$AY$138,LS_current!AE$148, FALSE))/2)</f>
        <v>-80.986110146100145</v>
      </c>
      <c r="CC108" s="180">
        <f t="array" ref="CC108">IF($BT108=0, INDEX(LS_current!$D$4:$AY$138, MATCH('Staging Table'!$A108, LS_current!$B$4:$B$138, 0), MATCH(CC$4&amp;CC$5, LS_current!$D$2:$AY$2&amp;LS_current!$D$3:$AY$3, 0)),SUM(VLOOKUP($A108, LS_current!$B$4:$AY$138, LS_current!H$148, FALSE), VLOOKUP($A108, LS_current!$B$4:$AY$138,LS_current!AF$148, FALSE))/2)</f>
        <v>-36.743404700899191</v>
      </c>
      <c r="CD108" s="180">
        <f t="array" ref="CD108">IF($BT108=0, INDEX(LS_current!$D$4:$AY$138, MATCH('Staging Table'!$A108, LS_current!$B$4:$B$138, 0), MATCH(CD$4&amp;CD$5, LS_current!$D$2:$AY$2&amp;LS_current!$D$3:$AY$3, 0)),SUM(VLOOKUP($A108, LS_current!$B$4:$AY$138, LS_current!I$148, FALSE), VLOOKUP($A108, LS_current!$B$4:$AY$138,LS_current!AG$148, FALSE))/2)</f>
        <v>744.17507330240051</v>
      </c>
      <c r="CE108" s="180">
        <f t="array" ref="CE108">IF($BT108=0, INDEX(LS_current!$D$4:$AY$138, MATCH('Staging Table'!$A108, LS_current!$B$4:$B$138, 0), MATCH(CE$4&amp;CE$5, LS_current!$D$2:$AY$2&amp;LS_current!$D$3:$AY$3, 0)),SUM(VLOOKUP($A108, LS_current!$B$4:$AY$138, LS_current!J$148, FALSE), VLOOKUP($A108, LS_current!$B$4:$AY$138,LS_current!AH$148, FALSE))/2)</f>
        <v>-495.33764266649905</v>
      </c>
      <c r="CF108" s="180">
        <f t="array" ref="CF108">IF($BT108=0, INDEX(LS_current!$D$4:$AY$138, MATCH('Staging Table'!$A108, LS_current!$B$4:$B$138, 0), MATCH(CF$4&amp;CF$5, LS_current!$D$2:$AY$2&amp;LS_current!$D$3:$AY$3, 0)),SUM(VLOOKUP($A108, LS_current!$B$4:$AY$138, LS_current!K$148, FALSE), VLOOKUP($A108, LS_current!$B$4:$AY$138,LS_current!AI$148, FALSE))/2)</f>
        <v>800.27750310010015</v>
      </c>
      <c r="CG108" s="180">
        <f t="array" ref="CG108">IF($BT108=0, INDEX(LS_current!$D$4:$AY$138, MATCH('Staging Table'!$A108, LS_current!$B$4:$B$138, 0), MATCH(CG$4&amp;CG$5, LS_current!$D$2:$AY$2&amp;LS_current!$D$3:$AY$3, 0)),SUM(VLOOKUP($A108, LS_current!$B$4:$AY$138, LS_current!L$148, FALSE), VLOOKUP($A108, LS_current!$B$4:$AY$138,LS_current!AJ$148, FALSE))/2)</f>
        <v>-484.73702273489926</v>
      </c>
      <c r="CH108" s="180">
        <f t="array" ref="CH108">IF($BT108=0, INDEX(LS_current!$D$4:$AY$138, MATCH('Staging Table'!$A108, LS_current!$B$4:$B$138, 0), MATCH(CH$4&amp;CH$5, LS_current!$D$2:$AY$2&amp;LS_current!$D$3:$AY$3, 0)),SUM(VLOOKUP($A108, LS_current!$B$4:$AY$138, LS_current!M$148, FALSE), VLOOKUP($A108, LS_current!$B$4:$AY$138,LS_current!AK$148, FALSE))/2)</f>
        <v>671.03299321710028</v>
      </c>
      <c r="CI108" s="180">
        <f t="array" ref="CI108">IF($BT108=0, INDEX(LS_current!$D$4:$AY$138, MATCH('Staging Table'!$A108, LS_current!$B$4:$B$138, 0), MATCH(CI$4&amp;CI$5, LS_current!$D$2:$AY$2&amp;LS_current!$D$3:$AY$3, 0)),SUM(VLOOKUP($A108, LS_current!$B$4:$AY$138, LS_current!N$148, FALSE), VLOOKUP($A108, LS_current!$B$4:$AY$138,LS_current!AL$148, FALSE))/2)</f>
        <v>-953.74105022029926</v>
      </c>
      <c r="CJ108" s="180">
        <f t="array" ref="CJ108">IF($BT108=0, INDEX(LS_current!$D$4:$AY$138, MATCH('Staging Table'!$A108, LS_current!$B$4:$B$138, 0), MATCH(CJ$4&amp;CJ$5, LS_current!$D$2:$AY$2&amp;LS_current!$D$3:$AY$3, 0)),SUM(VLOOKUP($A108, LS_current!$B$4:$AY$138, LS_current!O$148, FALSE), VLOOKUP($A108, LS_current!$B$4:$AY$138,LS_current!AM$148, FALSE))/2)</f>
        <v>-116.44371233179982</v>
      </c>
      <c r="CK108" s="180">
        <f t="array" ref="CK108">IF($BT108=0, INDEX(LS_current!$D$4:$AY$138, MATCH('Staging Table'!$A108, LS_current!$B$4:$B$138, 0), MATCH(CK$4&amp;CK$5, LS_current!$D$2:$AY$2&amp;LS_current!$D$3:$AY$3, 0)),SUM(VLOOKUP($A108, LS_current!$B$4:$AY$138, LS_current!P$148, FALSE), VLOOKUP($A108, LS_current!$B$4:$AY$138,LS_current!AN$148, FALSE))/2)</f>
        <v>-171.5366080852491</v>
      </c>
      <c r="CL108" s="180">
        <f t="array" ref="CL108">IF($BT108=0, INDEX(LS_current!$D$4:$AY$138, MATCH('Staging Table'!$A108, LS_current!$B$4:$B$138, 0), MATCH(CL$4&amp;CL$5, LS_current!$D$2:$AY$2&amp;LS_current!$D$3:$AY$3, 0)),SUM(VLOOKUP($A108, LS_current!$B$4:$AY$138, LS_current!Q$148, FALSE), VLOOKUP($A108, LS_current!$B$4:$AY$138,LS_current!AO$148, FALSE))/2)</f>
        <v>314.26858791107543</v>
      </c>
      <c r="CM108" s="180">
        <f t="array" ref="CM108">IF($BT108=0, INDEX(LS_current!$D$4:$AY$138, MATCH('Staging Table'!$A108, LS_current!$B$4:$B$138, 0), MATCH(CM$4&amp;CM$5, LS_current!$D$2:$AY$2&amp;LS_current!$D$3:$AY$3, 0)),SUM(VLOOKUP($A108, LS_current!$B$4:$AY$138, LS_current!R$148, FALSE), VLOOKUP($A108, LS_current!$B$4:$AY$138,LS_current!AP$148, FALSE))/2)</f>
        <v>-444.87710534879989</v>
      </c>
      <c r="CN108" s="180">
        <f t="array" ref="CN108">IF($BT108=0, INDEX(LS_current!$D$4:$AY$138, MATCH('Staging Table'!$A108, LS_current!$B$4:$B$138, 0), MATCH(CN$4&amp;CN$5, LS_current!$D$2:$AY$2&amp;LS_current!$D$3:$AY$3, 0)),SUM(VLOOKUP($A108, LS_current!$B$4:$AY$138, LS_current!S$148, FALSE), VLOOKUP($A108, LS_current!$B$4:$AY$138,LS_current!AQ$148, FALSE))/2)</f>
        <v>458.79120774365083</v>
      </c>
      <c r="CO108" s="180">
        <f t="array" ref="CO108">IF($BT108=0, INDEX(LS_current!$D$4:$AY$138, MATCH('Staging Table'!$A108, LS_current!$B$4:$B$138, 0), MATCH(CO$4&amp;CO$5, LS_current!$D$2:$AY$2&amp;LS_current!$D$3:$AY$3, 0)),SUM(VLOOKUP($A108, LS_current!$B$4:$AY$138, LS_current!T$148, FALSE), VLOOKUP($A108, LS_current!$B$4:$AY$138,LS_current!AR$148, FALSE))/2)</f>
        <v>-850.54941951060027</v>
      </c>
      <c r="CP108" s="180">
        <f t="array" ref="CP108">IF($BT108=0, INDEX(LS_current!$D$4:$AY$138, MATCH('Staging Table'!$A108, LS_current!$B$4:$B$138, 0), MATCH(CP$4&amp;CP$5, LS_current!$D$2:$AY$2&amp;LS_current!$D$3:$AY$3, 0)),SUM(VLOOKUP($A108, LS_current!$B$4:$AY$138, LS_current!U$148, FALSE), VLOOKUP($A108, LS_current!$B$4:$AY$138,LS_current!AS$148, FALSE))/2)</f>
        <v>142.07240522605025</v>
      </c>
      <c r="CQ108" s="180">
        <f t="array" ref="CQ108">IF($BT108=0, INDEX(LS_current!$D$4:$AY$138, MATCH('Staging Table'!$A108, LS_current!$B$4:$B$138, 0), MATCH(CQ$4&amp;CQ$5, LS_current!$D$2:$AY$2&amp;LS_current!$D$3:$AY$3, 0)),SUM(VLOOKUP($A108, LS_current!$B$4:$AY$138, LS_current!V$148, FALSE), VLOOKUP($A108, LS_current!$B$4:$AY$138,LS_current!AT$148, FALSE))/2)</f>
        <v>236.65352037160028</v>
      </c>
      <c r="CR108" s="180">
        <f t="array" ref="CR108">IF($BT108=0, INDEX(LS_current!$D$4:$AY$138, MATCH('Staging Table'!$A108, LS_current!$B$4:$B$138, 0), MATCH(CR$4&amp;CR$5, LS_current!$D$2:$AY$2&amp;LS_current!$D$3:$AY$3, 0)),SUM(VLOOKUP($A108, LS_current!$B$4:$AY$138, LS_current!W$148, FALSE), VLOOKUP($A108, LS_current!$B$4:$AY$138,LS_current!AU$148, FALSE))/2)</f>
        <v>1009.2841193797508</v>
      </c>
      <c r="CS108" s="180">
        <f t="array" ref="CS108">IF($BT108=0, INDEX(LS_current!$D$4:$AY$138, MATCH('Staging Table'!$A108, LS_current!$B$4:$B$138, 0), MATCH(CS$4&amp;CS$5, LS_current!$D$2:$AY$2&amp;LS_current!$D$3:$AY$3, 0)),SUM(VLOOKUP($A108, LS_current!$B$4:$AY$138, LS_current!X$148, FALSE), VLOOKUP($A108, LS_current!$B$4:$AY$138,LS_current!AV$148, FALSE))/2)</f>
        <v>94.157910633350184</v>
      </c>
      <c r="CT108" s="180">
        <f t="array" ref="CT108">IF($BT108=0, INDEX(LS_current!$D$4:$AY$138, MATCH('Staging Table'!$A108, LS_current!$B$4:$B$138, 0), MATCH(CT$4&amp;CT$5, LS_current!$D$2:$AY$2&amp;LS_current!$D$3:$AY$3, 0)),SUM(VLOOKUP($A108, LS_current!$B$4:$AY$138, LS_current!Y$148, FALSE), VLOOKUP($A108, LS_current!$B$4:$AY$138,LS_current!AW$148, FALSE))/2)</f>
        <v>711.8894570059656</v>
      </c>
      <c r="CU108" s="180">
        <f t="array" ref="CU108">IF($BT108=0, INDEX(LS_current!$D$4:$AY$138, MATCH('Staging Table'!$A108, LS_current!$B$4:$B$138, 0), MATCH(CU$4&amp;CU$5, LS_current!$D$2:$AY$2&amp;LS_current!$D$3:$AY$3, 0)),SUM(VLOOKUP($A108, LS_current!$B$4:$AY$138, LS_current!Z$148, FALSE), VLOOKUP($A108, LS_current!$B$4:$AY$138,LS_current!AX$148, FALSE))/2)</f>
        <v>-292.95399170939982</v>
      </c>
      <c r="CV108" s="180">
        <f t="array" ref="CV108">IF($BT108=0, INDEX(LS_current!$D$4:$AY$138, MATCH('Staging Table'!$A108, LS_current!$B$4:$B$138, 0), MATCH(CV$4&amp;CV$5, LS_current!$D$2:$AY$2&amp;LS_current!$D$3:$AY$3, 0)),SUM(VLOOKUP($A108, LS_current!$B$4:$AY$138, LS_current!AA$148, FALSE), VLOOKUP($A108, LS_current!$B$4:$AY$138,LS_current!AY$148, FALSE))/2)</f>
        <v>217.03177001760014</v>
      </c>
      <c r="CW108" s="182">
        <f t="array" ref="CW108">INDEX(Demand_current!$D$4:$AY$138, MATCH($A108, Demand_current!$B$4:$B$138, 0), MATCH(CW$4&amp;CW$5,Demand_current!$D$2:$AY$2&amp;Demand_current!$D$3:$AY$3, 0))/1000</f>
        <v>0</v>
      </c>
      <c r="CX108" s="182">
        <f t="array" ref="CX108">INDEX(Demand_current!$D$4:$AY$138, MATCH($A108, Demand_current!$B$4:$B$138, 0), MATCH(CX$4&amp;CX$5,Demand_current!$D$2:$AY$2&amp;Demand_current!$D$3:$AY$3, 0))/1000</f>
        <v>0</v>
      </c>
      <c r="CY108" s="182">
        <f t="array" ref="CY108">INDEX(Demand_current!$D$4:$AY$138, MATCH($A108, Demand_current!$B$4:$B$138, 0), MATCH(CY$4&amp;CY$5,Demand_current!$D$2:$AY$2&amp;Demand_current!$D$3:$AY$3, 0))/1000</f>
        <v>0</v>
      </c>
      <c r="CZ108" s="182">
        <f t="array" ref="CZ108">INDEX(Demand_current!$D$4:$AY$138, MATCH($A108, Demand_current!$B$4:$B$138, 0), MATCH(CZ$4&amp;CZ$5,Demand_current!$D$2:$AY$2&amp;Demand_current!$D$3:$AY$3, 0))/1000</f>
        <v>0</v>
      </c>
      <c r="DA108" s="182">
        <f t="array" ref="DA108">INDEX(Demand_current!$D$4:$AY$138, MATCH($A108, Demand_current!$B$4:$B$138, 0), MATCH(DA$4&amp;DA$5,Demand_current!$D$2:$AY$2&amp;Demand_current!$D$3:$AY$3, 0))/1000</f>
        <v>0</v>
      </c>
      <c r="DB108" s="182">
        <f t="array" ref="DB108">INDEX(Demand_current!$D$4:$AY$138, MATCH($A108, Demand_current!$B$4:$B$138, 0), MATCH(DB$4&amp;DB$5,Demand_current!$D$2:$AY$2&amp;Demand_current!$D$3:$AY$3, 0))/1000</f>
        <v>0</v>
      </c>
      <c r="DC108" s="182">
        <f t="array" ref="DC108">INDEX(Demand_current!$D$4:$AY$138, MATCH($A108, Demand_current!$B$4:$B$138, 0), MATCH(DC$4&amp;DC$5,Demand_current!$D$2:$AY$2&amp;Demand_current!$D$3:$AY$3, 0))/1000</f>
        <v>0</v>
      </c>
      <c r="DD108" s="182">
        <f t="array" ref="DD108">INDEX(Demand_current!$D$4:$AY$138, MATCH($A108, Demand_current!$B$4:$B$138, 0), MATCH(DD$4&amp;DD$5,Demand_current!$D$2:$AY$2&amp;Demand_current!$D$3:$AY$3, 0))/1000</f>
        <v>0</v>
      </c>
      <c r="DE108" s="182">
        <f t="array" ref="DE108">INDEX(Demand_current!$D$4:$AY$138, MATCH($A108, Demand_current!$B$4:$B$138, 0), MATCH(DE$4&amp;DE$5,Demand_current!$D$2:$AY$2&amp;Demand_current!$D$3:$AY$3, 0))/1000</f>
        <v>0</v>
      </c>
      <c r="DF108" s="182">
        <f t="array" ref="DF108">INDEX(Demand_current!$D$4:$AY$138, MATCH($A108, Demand_current!$B$4:$B$138, 0), MATCH(DF$4&amp;DF$5,Demand_current!$D$2:$AY$2&amp;Demand_current!$D$3:$AY$3, 0))/1000</f>
        <v>0</v>
      </c>
      <c r="DG108" s="182">
        <f t="array" ref="DG108">INDEX(Demand_current!$D$4:$AY$138, MATCH($A108, Demand_current!$B$4:$B$138, 0), MATCH(DG$4&amp;DG$5,Demand_current!$D$2:$AY$2&amp;Demand_current!$D$3:$AY$3, 0))/1000</f>
        <v>0</v>
      </c>
      <c r="DH108" s="182">
        <f t="array" ref="DH108">INDEX(Demand_current!$D$4:$AY$138, MATCH($A108, Demand_current!$B$4:$B$138, 0), MATCH(DH$4&amp;DH$5,Demand_current!$D$2:$AY$2&amp;Demand_current!$D$3:$AY$3, 0))/1000</f>
        <v>0</v>
      </c>
      <c r="DI108" s="180">
        <f>$BS108*(VLOOKUP(DI$4, Rates_current!$G$6:$Q$29, 10, FALSE)+VLOOKUP(DI$4, Rates_current!$G$6:$Q$29, 11, FALSE))</f>
        <v>7142.8566485956499</v>
      </c>
      <c r="DJ108" s="180">
        <f>$BS108*(VLOOKUP(DJ$4, Rates_current!$G$6:$Q$29, 10, FALSE)+VLOOKUP(DJ$4, Rates_current!$G$6:$Q$29, 11, FALSE))</f>
        <v>9109.4976051828999</v>
      </c>
      <c r="DK108" s="180">
        <f>$BS108*(VLOOKUP(DK$4, Rates_current!$G$6:$Q$29, 10, FALSE)+VLOOKUP(DK$4, Rates_current!$G$6:$Q$29, 11, FALSE))</f>
        <v>9830.9503313985006</v>
      </c>
      <c r="DL108" s="180">
        <f>$BS108*(VLOOKUP(DL$4, Rates_current!$G$6:$Q$29, 10, FALSE)+VLOOKUP(DL$4, Rates_current!$G$6:$Q$29, 11, FALSE))</f>
        <v>10215.877139566399</v>
      </c>
      <c r="DM108" s="180">
        <f>$BS108*(VLOOKUP(DM$4, Rates_current!$G$6:$Q$29, 10, FALSE)+VLOOKUP(DM$4, Rates_current!$G$6:$Q$29, 11, FALSE))</f>
        <v>8787.0160295177993</v>
      </c>
      <c r="DN108" s="180">
        <f>$BS108*(VLOOKUP(DN$4, Rates_current!$G$6:$Q$29, 10, FALSE)+VLOOKUP(DN$4, Rates_current!$G$6:$Q$29, 11, FALSE))</f>
        <v>9593.6817625520998</v>
      </c>
      <c r="DO108" s="180">
        <f>$BS108*(VLOOKUP(DO$4, Rates_current!$G$6:$Q$29, 10, FALSE)+VLOOKUP(DO$4, Rates_current!$G$6:$Q$29, 11, FALSE))</f>
        <v>7572.5950201741744</v>
      </c>
      <c r="DP108" s="180">
        <f>$BS108*(VLOOKUP(DP$4, Rates_current!$G$6:$Q$29, 10, FALSE)+VLOOKUP(DP$4, Rates_current!$G$6:$Q$29, 11, FALSE))</f>
        <v>9394.8188976051497</v>
      </c>
      <c r="DQ108" s="180">
        <f>$BS108*(VLOOKUP(DQ$4, Rates_current!$G$6:$Q$29, 10, FALSE)+VLOOKUP(DQ$4, Rates_current!$G$6:$Q$29, 11, FALSE))</f>
        <v>9598.6630142845479</v>
      </c>
      <c r="DR108" s="180">
        <f>$BS108*(VLOOKUP(DR$4, Rates_current!$G$6:$Q$29, 10, FALSE)+VLOOKUP(DR$4, Rates_current!$G$6:$Q$29, 11, FALSE))</f>
        <v>8333.0223602486494</v>
      </c>
      <c r="DS108" s="180">
        <f>$BS108*(VLOOKUP(DS$4, Rates_current!$G$6:$Q$29, 10, FALSE)+VLOOKUP(DS$4, Rates_current!$G$6:$Q$29, 11, FALSE))</f>
        <v>8055.8176323606858</v>
      </c>
      <c r="DT108" s="180">
        <f>$BS108*(VLOOKUP(DT$4, Rates_current!$G$6:$Q$29, 10, FALSE)+VLOOKUP(DT$4, Rates_current!$G$6:$Q$29, 11, FALSE))</f>
        <v>7412.9122216918004</v>
      </c>
      <c r="DU108" s="402">
        <f>IF(D108=0,IF(C108=0,MAX(0,DW108 - (VLOOKUP($A108,TOCA_current!$A$2:$AI$137,MATCH("RHWM 2024",TOCA_current!$A$2:$AI$2,0),FALSE)*$BS$2)), 0),0)</f>
        <v>0</v>
      </c>
      <c r="DV108" s="403">
        <f>MIN(VLOOKUP($A108,TOCA_current!$A$2:$AI$137,MATCH("TRL - NLSL - Existing Resource "&amp;$BS$1,TOCA_current!$A$2:$AI$2,0),FALSE)*$BS$2, VLOOKUP($A108,TOCA_current!$A$2:$AI$137,MATCH("RHWM 2024",TOCA_current!$A$2:$AI$2,0),FALSE)*$BS$2)</f>
        <v>105047.856</v>
      </c>
      <c r="DW108" s="403">
        <f>SUM(BY108:CV108)+(BS108*RT1SC!$C$4*$BS$2)</f>
        <v>105047.21748151763</v>
      </c>
      <c r="DX108" s="403">
        <f>VLOOKUP($A108,TOCA_current!$A$2:$AI$137,MATCH("Above RHWM Not Served with LS "&amp;$BS$1,TOCA_current!$A$2:$AI$2,0),FALSE)*$BS$2</f>
        <v>0</v>
      </c>
      <c r="DY108" s="403">
        <f t="shared" si="32"/>
        <v>-0.63851848237391096</v>
      </c>
      <c r="DZ108" s="403">
        <f>(VLOOKUP($A108,TOCA_current!$A$2:$AI$137,MATCH("RHWM 2024",TOCA_current!$A$2:$AI$2,0),FALSE)*$BS$2) - $DV108</f>
        <v>170673.11999999997</v>
      </c>
      <c r="EA108" s="403">
        <f t="shared" si="33"/>
        <v>0</v>
      </c>
      <c r="EB108" s="403">
        <f t="shared" si="34"/>
        <v>0.63851848237391096</v>
      </c>
      <c r="EC108" s="403">
        <f t="shared" si="35"/>
        <v>0</v>
      </c>
      <c r="ED108" s="403">
        <f t="shared" si="36"/>
        <v>0.63851848237391096</v>
      </c>
    </row>
    <row r="109" spans="1:134">
      <c r="A109" s="123">
        <v>10349</v>
      </c>
      <c r="B109" s="124" t="s">
        <v>110</v>
      </c>
      <c r="C109" s="232">
        <f>VLOOKUP(A109, TOCA_current!$A$3:$D$137, 4, FALSE)</f>
        <v>0</v>
      </c>
      <c r="D109" s="191">
        <v>1</v>
      </c>
      <c r="E109" s="107">
        <f>VLOOKUP($A109,TOCA_previous!$A$2:$AI$137,MATCH(E$4,TOCA_previous!$A$2:$AI$2,0),FALSE)</f>
        <v>6.8638400000000002E-2</v>
      </c>
      <c r="F109" s="108">
        <f>VLOOKUP($A109,TOCA_previous!$A$2:$AI$137,MATCH(F$4,TOCA_previous!$A$2:$AI$2,0),FALSE)</f>
        <v>6.8638400000000002E-2</v>
      </c>
      <c r="G109" s="108">
        <f t="shared" si="24"/>
        <v>0</v>
      </c>
      <c r="H109" s="108">
        <f>VLOOKUP($A109,TOCA_previous!$A$2:$AI$137,MATCH(H$4,TOCA_previous!$A$2:$AI$2,0),FALSE)</f>
        <v>0</v>
      </c>
      <c r="I109" s="108">
        <f t="shared" si="25"/>
        <v>0</v>
      </c>
      <c r="J109" s="108">
        <f t="shared" si="26"/>
        <v>0</v>
      </c>
      <c r="K109" s="179">
        <f>VLOOKUP(A109, IRD!$A$5:$C$139, 3, FALSE)</f>
        <v>0</v>
      </c>
      <c r="L109" s="180">
        <f t="array" ref="L109">IF($G109=0, INDEX(LS_previous!$D$4:$AY$138, MATCH('Staging Table'!$A109, LS_previous!$B$4:$B$138, 0), MATCH(L$4&amp;L$5, LS_previous!$D$2:$AY$2&amp;LS_previous!$D$3:$AY$3, 0)),SUM(VLOOKUP($A109, LS_previous!$B$4:$AY$138, LS_previous!D$149, FALSE), VLOOKUP('Staging Table'!$A109, LS_previous!$B$4:$AY$138,LS_previous!AB$149, FALSE))/2)</f>
        <v>-6059.7714532932441</v>
      </c>
      <c r="M109" s="180">
        <f t="array" ref="M109">IF($G109=0, INDEX(LS_previous!$D$4:$AY$138, MATCH('Staging Table'!$A109, LS_previous!$B$4:$B$138, 0), MATCH(M$4&amp;M$5, LS_previous!$D$2:$AY$2&amp;LS_previous!$D$3:$AY$3, 0)),SUM(VLOOKUP($A109, LS_previous!$B$4:$AY$138, LS_previous!E$149, FALSE), VLOOKUP('Staging Table'!$A109, LS_previous!$B$4:$AY$138,LS_previous!AC$149, FALSE))/2)</f>
        <v>17516.683891194203</v>
      </c>
      <c r="N109" s="180">
        <f t="array" ref="N109">IF($G109=0, INDEX(LS_previous!$D$4:$AY$138, MATCH('Staging Table'!$A109, LS_previous!$B$4:$B$138, 0), MATCH(N$4&amp;N$5, LS_previous!$D$2:$AY$2&amp;LS_previous!$D$3:$AY$3, 0)),SUM(VLOOKUP($A109, LS_previous!$B$4:$AY$138, LS_previous!F$149, FALSE), VLOOKUP('Staging Table'!$A109, LS_previous!$B$4:$AY$138,LS_previous!AD$149, FALSE))/2)</f>
        <v>65800.630181343353</v>
      </c>
      <c r="O109" s="180">
        <f t="array" ref="O109">IF($G109=0, INDEX(LS_previous!$D$4:$AY$138, MATCH('Staging Table'!$A109, LS_previous!$B$4:$B$138, 0), MATCH(O$4&amp;O$5, LS_previous!$D$2:$AY$2&amp;LS_previous!$D$3:$AY$3, 0)),SUM(VLOOKUP($A109, LS_previous!$B$4:$AY$138, LS_previous!G$149, FALSE), VLOOKUP('Staging Table'!$A109, LS_previous!$B$4:$AY$138,LS_previous!AE$149, FALSE))/2)</f>
        <v>52868.442856413545</v>
      </c>
      <c r="P109" s="180">
        <f t="array" ref="P109">IF($G109=0, INDEX(LS_previous!$D$4:$AY$138, MATCH('Staging Table'!$A109, LS_previous!$B$4:$B$138, 0), MATCH(P$4&amp;P$5, LS_previous!$D$2:$AY$2&amp;LS_previous!$D$3:$AY$3, 0)),SUM(VLOOKUP($A109, LS_previous!$B$4:$AY$138, LS_previous!H$149, FALSE), VLOOKUP('Staging Table'!$A109, LS_previous!$B$4:$AY$138,LS_previous!AF$149, FALSE))/2)</f>
        <v>92218.524571404734</v>
      </c>
      <c r="Q109" s="180">
        <f t="array" ref="Q109">IF($G109=0, INDEX(LS_previous!$D$4:$AY$138, MATCH('Staging Table'!$A109, LS_previous!$B$4:$B$138, 0), MATCH(Q$4&amp;Q$5, LS_previous!$D$2:$AY$2&amp;LS_previous!$D$3:$AY$3, 0)),SUM(VLOOKUP($A109, LS_previous!$B$4:$AY$138, LS_previous!I$149, FALSE), VLOOKUP('Staging Table'!$A109, LS_previous!$B$4:$AY$138,LS_previous!AG$149, FALSE))/2)</f>
        <v>42940.716541056259</v>
      </c>
      <c r="R109" s="180">
        <f t="array" ref="R109">IF($G109=0, INDEX(LS_previous!$D$4:$AY$138, MATCH('Staging Table'!$A109, LS_previous!$B$4:$B$138, 0), MATCH(R$4&amp;R$5, LS_previous!$D$2:$AY$2&amp;LS_previous!$D$3:$AY$3, 0)),SUM(VLOOKUP($A109, LS_previous!$B$4:$AY$138, LS_previous!J$149, FALSE), VLOOKUP('Staging Table'!$A109, LS_previous!$B$4:$AY$138,LS_previous!AH$149, FALSE))/2)</f>
        <v>158232.35850966073</v>
      </c>
      <c r="S109" s="180">
        <f t="array" ref="S109">IF($G109=0, INDEX(LS_previous!$D$4:$AY$138, MATCH('Staging Table'!$A109, LS_previous!$B$4:$B$138, 0), MATCH(S$4&amp;S$5, LS_previous!$D$2:$AY$2&amp;LS_previous!$D$3:$AY$3, 0)),SUM(VLOOKUP($A109, LS_previous!$B$4:$AY$138, LS_previous!K$149, FALSE), VLOOKUP('Staging Table'!$A109, LS_previous!$B$4:$AY$138,LS_previous!AI$149, FALSE))/2)</f>
        <v>88894.905909203517</v>
      </c>
      <c r="T109" s="180">
        <f t="array" ref="T109">IF($G109=0, INDEX(LS_previous!$D$4:$AY$138, MATCH('Staging Table'!$A109, LS_previous!$B$4:$B$138, 0), MATCH(T$4&amp;T$5, LS_previous!$D$2:$AY$2&amp;LS_previous!$D$3:$AY$3, 0)),SUM(VLOOKUP($A109, LS_previous!$B$4:$AY$138, LS_previous!L$149, FALSE), VLOOKUP('Staging Table'!$A109, LS_previous!$B$4:$AY$138,LS_previous!AJ$149, FALSE))/2)</f>
        <v>128124.61082524637</v>
      </c>
      <c r="U109" s="180">
        <f t="array" ref="U109">IF($G109=0, INDEX(LS_previous!$D$4:$AY$138, MATCH('Staging Table'!$A109, LS_previous!$B$4:$B$138, 0), MATCH(U$4&amp;U$5, LS_previous!$D$2:$AY$2&amp;LS_previous!$D$3:$AY$3, 0)),SUM(VLOOKUP($A109, LS_previous!$B$4:$AY$138, LS_previous!M$149, FALSE), VLOOKUP('Staging Table'!$A109, LS_previous!$B$4:$AY$138,LS_previous!AK$149, FALSE))/2)</f>
        <v>76583.771450430446</v>
      </c>
      <c r="V109" s="180">
        <f t="array" ref="V109">IF($G109=0, INDEX(LS_previous!$D$4:$AY$138, MATCH('Staging Table'!$A109, LS_previous!$B$4:$B$138, 0), MATCH(V$4&amp;V$5, LS_previous!$D$2:$AY$2&amp;LS_previous!$D$3:$AY$3, 0)),SUM(VLOOKUP($A109, LS_previous!$B$4:$AY$138, LS_previous!N$149, FALSE), VLOOKUP('Staging Table'!$A109, LS_previous!$B$4:$AY$138,LS_previous!AL$149, FALSE))/2)</f>
        <v>102913.38622078075</v>
      </c>
      <c r="W109" s="180">
        <f t="array" ref="W109">IF($G109=0, INDEX(LS_previous!$D$4:$AY$138, MATCH('Staging Table'!$A109, LS_previous!$B$4:$B$138, 0), MATCH(W$4&amp;W$5, LS_previous!$D$2:$AY$2&amp;LS_previous!$D$3:$AY$3, 0)),SUM(VLOOKUP($A109, LS_previous!$B$4:$AY$138, LS_previous!O$149, FALSE), VLOOKUP('Staging Table'!$A109, LS_previous!$B$4:$AY$138,LS_previous!AM$149, FALSE))/2)</f>
        <v>76409.884488040741</v>
      </c>
      <c r="X109" s="180">
        <f t="array" ref="X109">IF($G109=0, INDEX(LS_previous!$D$4:$AY$138, MATCH('Staging Table'!$A109, LS_previous!$B$4:$B$138, 0), MATCH(X$4&amp;X$5, LS_previous!$D$2:$AY$2&amp;LS_previous!$D$3:$AY$3, 0)),SUM(VLOOKUP($A109, LS_previous!$B$4:$AY$138, LS_previous!P$149, FALSE), VLOOKUP('Staging Table'!$A109, LS_previous!$B$4:$AY$138,LS_previous!AN$149, FALSE))/2)</f>
        <v>-10126.134265777306</v>
      </c>
      <c r="Y109" s="180">
        <f t="array" ref="Y109">IF($G109=0, INDEX(LS_previous!$D$4:$AY$138, MATCH('Staging Table'!$A109, LS_previous!$B$4:$B$138, 0), MATCH(Y$4&amp;Y$5, LS_previous!$D$2:$AY$2&amp;LS_previous!$D$3:$AY$3, 0)),SUM(VLOOKUP($A109, LS_previous!$B$4:$AY$138, LS_previous!Q$149, FALSE), VLOOKUP('Staging Table'!$A109, LS_previous!$B$4:$AY$138,LS_previous!AO$149, FALSE))/2)</f>
        <v>202.49866283257143</v>
      </c>
      <c r="Z109" s="180">
        <f t="array" ref="Z109">IF($G109=0, INDEX(LS_previous!$D$4:$AY$138, MATCH('Staging Table'!$A109, LS_previous!$B$4:$B$138, 0), MATCH(Z$4&amp;Z$5, LS_previous!$D$2:$AY$2&amp;LS_previous!$D$3:$AY$3, 0)),SUM(VLOOKUP($A109, LS_previous!$B$4:$AY$138, LS_previous!R$149, FALSE), VLOOKUP('Staging Table'!$A109, LS_previous!$B$4:$AY$138,LS_previous!AP$149, FALSE))/2)</f>
        <v>-191335.26913677028</v>
      </c>
      <c r="AA109" s="180">
        <f t="array" ref="AA109">IF($G109=0, INDEX(LS_previous!$D$4:$AY$138, MATCH('Staging Table'!$A109, LS_previous!$B$4:$B$138, 0), MATCH(AA$4&amp;AA$5, LS_previous!$D$2:$AY$2&amp;LS_previous!$D$3:$AY$3, 0)),SUM(VLOOKUP($A109, LS_previous!$B$4:$AY$138, LS_previous!S$149, FALSE), VLOOKUP('Staging Table'!$A109, LS_previous!$B$4:$AY$138,LS_previous!AQ$149, FALSE))/2)</f>
        <v>-83728.592695893429</v>
      </c>
      <c r="AB109" s="180">
        <f t="array" ref="AB109">IF($G109=0, INDEX(LS_previous!$D$4:$AY$138, MATCH('Staging Table'!$A109, LS_previous!$B$4:$B$138, 0), MATCH(AB$4&amp;AB$5, LS_previous!$D$2:$AY$2&amp;LS_previous!$D$3:$AY$3, 0)),SUM(VLOOKUP($A109, LS_previous!$B$4:$AY$138, LS_previous!T$149, FALSE), VLOOKUP('Staging Table'!$A109, LS_previous!$B$4:$AY$138,LS_previous!AR$149, FALSE))/2)</f>
        <v>-271322.99045023677</v>
      </c>
      <c r="AC109" s="180">
        <f t="array" ref="AC109">IF($G109=0, INDEX(LS_previous!$D$4:$AY$138, MATCH('Staging Table'!$A109, LS_previous!$B$4:$B$138, 0), MATCH(AC$4&amp;AC$5, LS_previous!$D$2:$AY$2&amp;LS_previous!$D$3:$AY$3, 0)),SUM(VLOOKUP($A109, LS_previous!$B$4:$AY$138, LS_previous!U$149, FALSE), VLOOKUP('Staging Table'!$A109, LS_previous!$B$4:$AY$138,LS_previous!AS$149, FALSE))/2)</f>
        <v>-109146.98220290265</v>
      </c>
      <c r="AD109" s="180">
        <f t="array" ref="AD109">IF($G109=0, INDEX(LS_previous!$D$4:$AY$138, MATCH('Staging Table'!$A109, LS_previous!$B$4:$B$138, 0), MATCH(AD$4&amp;AD$5, LS_previous!$D$2:$AY$2&amp;LS_previous!$D$3:$AY$3, 0)),SUM(VLOOKUP($A109, LS_previous!$B$4:$AY$138, LS_previous!V$149, FALSE), VLOOKUP('Staging Table'!$A109, LS_previous!$B$4:$AY$138,LS_previous!AT$149, FALSE))/2)</f>
        <v>-123949.72227716666</v>
      </c>
      <c r="AE109" s="180">
        <f t="array" ref="AE109">IF($G109=0, INDEX(LS_previous!$D$4:$AY$138, MATCH('Staging Table'!$A109, LS_previous!$B$4:$B$138, 0), MATCH(AE$4&amp;AE$5, LS_previous!$D$2:$AY$2&amp;LS_previous!$D$3:$AY$3, 0)),SUM(VLOOKUP($A109, LS_previous!$B$4:$AY$138, LS_previous!W$149, FALSE), VLOOKUP('Staging Table'!$A109, LS_previous!$B$4:$AY$138,LS_previous!AU$149, FALSE))/2)</f>
        <v>-42870.689428358266</v>
      </c>
      <c r="AF109" s="180">
        <f t="array" ref="AF109">IF($G109=0, INDEX(LS_previous!$D$4:$AY$138, MATCH('Staging Table'!$A109, LS_previous!$B$4:$B$138, 0), MATCH(AF$4&amp;AF$5, LS_previous!$D$2:$AY$2&amp;LS_previous!$D$3:$AY$3, 0)),SUM(VLOOKUP($A109, LS_previous!$B$4:$AY$138, LS_previous!X$149, FALSE), VLOOKUP('Staging Table'!$A109, LS_previous!$B$4:$AY$138,LS_previous!AV$149, FALSE))/2)</f>
        <v>-96581.056078944588</v>
      </c>
      <c r="AG109" s="180">
        <f t="array" ref="AG109">IF($G109=0, INDEX(LS_previous!$D$4:$AY$138, MATCH('Staging Table'!$A109, LS_previous!$B$4:$B$138, 0), MATCH(AG$4&amp;AG$5, LS_previous!$D$2:$AY$2&amp;LS_previous!$D$3:$AY$3, 0)),SUM(VLOOKUP($A109, LS_previous!$B$4:$AY$138, LS_previous!Y$149, FALSE), VLOOKUP('Staging Table'!$A109, LS_previous!$B$4:$AY$138,LS_previous!AW$149, FALSE))/2)</f>
        <v>-21656.493306903198</v>
      </c>
      <c r="AH109" s="180">
        <f t="array" ref="AH109">IF($G109=0, INDEX(LS_previous!$D$4:$AY$138, MATCH('Staging Table'!$A109, LS_previous!$B$4:$B$138, 0), MATCH(AH$4&amp;AH$5, LS_previous!$D$2:$AY$2&amp;LS_previous!$D$3:$AY$3, 0)),SUM(VLOOKUP($A109, LS_previous!$B$4:$AY$138, LS_previous!Z$149, FALSE), VLOOKUP('Staging Table'!$A109, LS_previous!$B$4:$AY$138,LS_previous!AX$149, FALSE))/2)</f>
        <v>20118.042906896502</v>
      </c>
      <c r="AI109" s="180">
        <f t="array" ref="AI109">IF($G109=0, INDEX(LS_previous!$D$4:$AY$138, MATCH('Staging Table'!$A109, LS_previous!$B$4:$B$138, 0), MATCH(AI$4&amp;AI$5, LS_previous!$D$2:$AY$2&amp;LS_previous!$D$3:$AY$3, 0)),SUM(VLOOKUP($A109, LS_previous!$B$4:$AY$138, LS_previous!AA$149, FALSE), VLOOKUP('Staging Table'!$A109, LS_previous!$B$4:$AY$138,LS_previous!AY$149, FALSE))/2)</f>
        <v>33954.296066677853</v>
      </c>
      <c r="AJ109" s="298">
        <f t="array" ref="AJ109">INDEX(Demand_previous!$D$4:$AY$138, MATCH('Staging Table'!$A109, Demand_previous!$B$4:$B$138, 0), MATCH(AJ$4&amp;AJ$5,Demand_previous!$D$2:$AY$2&amp;Demand_previous!$D$3:$AY$3, 0))/1000</f>
        <v>0</v>
      </c>
      <c r="AK109" s="298">
        <f t="array" ref="AK109">INDEX(Demand_previous!$D$4:$AY$138, MATCH('Staging Table'!$A109, Demand_previous!$B$4:$B$138, 0), MATCH(AK$4&amp;AK$5,Demand_previous!$D$2:$AY$2&amp;Demand_previous!$D$3:$AY$3, 0))/1000</f>
        <v>0</v>
      </c>
      <c r="AL109" s="298">
        <f t="array" ref="AL109">INDEX(Demand_previous!$D$4:$AY$138, MATCH('Staging Table'!$A109, Demand_previous!$B$4:$B$138, 0), MATCH(AL$4&amp;AL$5,Demand_previous!$D$2:$AY$2&amp;Demand_previous!$D$3:$AY$3, 0))/1000</f>
        <v>0</v>
      </c>
      <c r="AM109" s="298">
        <f t="array" ref="AM109">INDEX(Demand_previous!$D$4:$AY$138, MATCH('Staging Table'!$A109, Demand_previous!$B$4:$B$138, 0), MATCH(AM$4&amp;AM$5,Demand_previous!$D$2:$AY$2&amp;Demand_previous!$D$3:$AY$3, 0))/1000</f>
        <v>0</v>
      </c>
      <c r="AN109" s="298">
        <f t="array" ref="AN109">INDEX(Demand_previous!$D$4:$AY$138, MATCH('Staging Table'!$A109, Demand_previous!$B$4:$B$138, 0), MATCH(AN$4&amp;AN$5,Demand_previous!$D$2:$AY$2&amp;Demand_previous!$D$3:$AY$3, 0))/1000</f>
        <v>0</v>
      </c>
      <c r="AO109" s="298">
        <f t="array" ref="AO109">INDEX(Demand_previous!$D$4:$AY$138, MATCH('Staging Table'!$A109, Demand_previous!$B$4:$B$138, 0), MATCH(AO$4&amp;AO$5,Demand_previous!$D$2:$AY$2&amp;Demand_previous!$D$3:$AY$3, 0))/1000</f>
        <v>0</v>
      </c>
      <c r="AP109" s="298">
        <f t="array" ref="AP109">INDEX(Demand_previous!$D$4:$AY$138, MATCH('Staging Table'!$A109, Demand_previous!$B$4:$B$138, 0), MATCH(AP$4&amp;AP$5,Demand_previous!$D$2:$AY$2&amp;Demand_previous!$D$3:$AY$3, 0))/1000</f>
        <v>0</v>
      </c>
      <c r="AQ109" s="298">
        <f t="array" ref="AQ109">INDEX(Demand_previous!$D$4:$AY$138, MATCH('Staging Table'!$A109, Demand_previous!$B$4:$B$138, 0), MATCH(AQ$4&amp;AQ$5,Demand_previous!$D$2:$AY$2&amp;Demand_previous!$D$3:$AY$3, 0))/1000</f>
        <v>0</v>
      </c>
      <c r="AR109" s="298">
        <f t="array" ref="AR109">INDEX(Demand_previous!$D$4:$AY$138, MATCH('Staging Table'!$A109, Demand_previous!$B$4:$B$138, 0), MATCH(AR$4&amp;AR$5,Demand_previous!$D$2:$AY$2&amp;Demand_previous!$D$3:$AY$3, 0))/1000</f>
        <v>0</v>
      </c>
      <c r="AS109" s="298">
        <f t="array" ref="AS109">INDEX(Demand_previous!$D$4:$AY$138, MATCH('Staging Table'!$A109, Demand_previous!$B$4:$B$138, 0), MATCH(AS$4&amp;AS$5,Demand_previous!$D$2:$AY$2&amp;Demand_previous!$D$3:$AY$3, 0))/1000</f>
        <v>0</v>
      </c>
      <c r="AT109" s="298">
        <f t="array" ref="AT109">INDEX(Demand_previous!$D$4:$AY$138, MATCH('Staging Table'!$A109, Demand_previous!$B$4:$B$138, 0), MATCH(AT$4&amp;AT$5,Demand_previous!$D$2:$AY$2&amp;Demand_previous!$D$3:$AY$3, 0))/1000</f>
        <v>0</v>
      </c>
      <c r="AU109" s="298">
        <f t="array" ref="AU109">INDEX(Demand_previous!$D$4:$AY$138, MATCH('Staging Table'!$A109, Demand_previous!$B$4:$B$138, 0), MATCH(AU$4&amp;AU$5,Demand_previous!$D$2:$AY$2&amp;Demand_previous!$D$3:$AY$3, 0))/1000</f>
        <v>0</v>
      </c>
      <c r="AV109" s="180">
        <f>$F109*(VLOOKUP(AV$4, Rates_previous!$G$6:$Q$29, 10, FALSE)+VLOOKUP(AV$4, Rates_previous!$G$6:$Q$29, 11, FALSE))</f>
        <v>312574.08596209908</v>
      </c>
      <c r="AW109" s="180">
        <f>$F109*(VLOOKUP(AW$4, Rates_previous!$G$6:$Q$29, 10, FALSE)+VLOOKUP(AW$4, Rates_previous!$G$6:$Q$29, 11, FALSE))</f>
        <v>395730.13692224305</v>
      </c>
      <c r="AX109" s="180">
        <f>$F109*(VLOOKUP(AX$4, Rates_previous!$G$6:$Q$29, 10, FALSE)+VLOOKUP(AX$4, Rates_previous!$G$6:$Q$29, 11, FALSE))</f>
        <v>387340.74380753905</v>
      </c>
      <c r="AY109" s="180">
        <f>$F109*(VLOOKUP(AY$4, Rates_previous!$G$6:$Q$29, 10, FALSE)+VLOOKUP(AY$4, Rates_previous!$G$6:$Q$29, 11, FALSE))</f>
        <v>319926.98278113565</v>
      </c>
      <c r="AZ109" s="180">
        <f>$F109*(VLOOKUP(AZ$4, Rates_previous!$G$6:$Q$29, 10, FALSE)+VLOOKUP(AZ$4, Rates_previous!$G$6:$Q$29, 11, FALSE))</f>
        <v>277287.72784432315</v>
      </c>
      <c r="BA109" s="180">
        <f>$F109*(VLOOKUP(BA$4, Rates_previous!$G$6:$Q$29, 10, FALSE)+VLOOKUP(BA$4, Rates_previous!$G$6:$Q$29, 11, FALSE))</f>
        <v>331025.55177117861</v>
      </c>
      <c r="BB109" s="180">
        <f>$F109*(VLOOKUP(BB$4, Rates_previous!$G$6:$Q$29, 10, FALSE)+VLOOKUP(BB$4, Rates_previous!$G$6:$Q$29, 11, FALSE))</f>
        <v>256997.27188294468</v>
      </c>
      <c r="BC109" s="180">
        <f>$F109*(VLOOKUP(BC$4, Rates_previous!$G$6:$Q$29, 10, FALSE)+VLOOKUP(BC$4, Rates_previous!$G$6:$Q$29, 11, FALSE))</f>
        <v>356071.61143266369</v>
      </c>
      <c r="BD109" s="180">
        <f>$F109*(VLOOKUP(BD$4, Rates_previous!$G$6:$Q$29, 10, FALSE)+VLOOKUP(BD$4, Rates_previous!$G$6:$Q$29, 11, FALSE))</f>
        <v>380469.97265313944</v>
      </c>
      <c r="BE109" s="180">
        <f>$F109*(VLOOKUP(BE$4, Rates_previous!$G$6:$Q$29, 10, FALSE)+VLOOKUP(BE$4, Rates_previous!$G$6:$Q$29, 11, FALSE))</f>
        <v>361239.01074552507</v>
      </c>
      <c r="BF109" s="180">
        <f>$F109*(VLOOKUP(BF$4, Rates_previous!$G$6:$Q$29, 10, FALSE)+VLOOKUP(BF$4, Rates_previous!$G$6:$Q$29, 11, FALSE))</f>
        <v>349109.63574584766</v>
      </c>
      <c r="BG109" s="180">
        <f>$F109*(VLOOKUP(BG$4, Rates_previous!$G$6:$Q$29, 10, FALSE)+VLOOKUP(BG$4, Rates_previous!$G$6:$Q$29, 11, FALSE))</f>
        <v>322613.69666642562</v>
      </c>
      <c r="BH109" s="298">
        <f>IF($D109=0,IF(C109=0, MAX(BJ109 - (VLOOKUP($A109,TOCA_previous!$A$2:$AI$137,MATCH("RHWM 2022",TOCA_previous!$A$2:$AI$2,0),FALSE)*$F$2*TOCA_previous!C106),0),0), 0)</f>
        <v>0</v>
      </c>
      <c r="BI109" s="192">
        <f>MIN(VLOOKUP($A109,TOCA_previous!$A$2:$AI$137,MATCH("TRL - NLSL - Existing Resource "&amp;$F$1,TOCA_previous!$A$2:$AI$2,0),FALSE)*$F$2,(VLOOKUP($A109,TOCA_previous!$A$2:$AI$137,MATCH("RHWM 2022",TOCA_previous!$A$2:$AI$2,0),FALSE)*$F$2))</f>
        <v>4050387.48</v>
      </c>
      <c r="BJ109" s="402">
        <f>SUM(L109:AI109)+(F109*RT1SC!$C$3*$F$2)</f>
        <v>4050387.6871947916</v>
      </c>
      <c r="BK109" s="401">
        <f>VLOOKUP($A109,TOCA_previous!$A$2:$AI$137,MATCH("Above RHWM Not Served with LS "&amp;$F$1,TOCA_previous!$A$2:$AI$2,0),FALSE)*$F$2</f>
        <v>0</v>
      </c>
      <c r="BL109" s="402">
        <f t="shared" si="27"/>
        <v>0.20719479164108634</v>
      </c>
      <c r="BM109" s="401">
        <f>(VLOOKUP($A109,TOCA_previous!$A$2:$AI$137,MATCH("RHWM 2022",TOCA_previous!$A$2:$AI$2,0),FALSE)*$F$2) - $BI109</f>
        <v>327510.11999999965</v>
      </c>
      <c r="BN109" s="402">
        <f t="shared" si="28"/>
        <v>-0.20719479164108634</v>
      </c>
      <c r="BO109" s="401">
        <f t="shared" si="29"/>
        <v>0</v>
      </c>
      <c r="BP109" s="402">
        <f t="shared" si="30"/>
        <v>0</v>
      </c>
      <c r="BQ109" s="401">
        <f t="shared" si="37"/>
        <v>0</v>
      </c>
      <c r="BR109" s="108">
        <f>VLOOKUP($A109,TOCA_current!$A$2:$AI$137,MATCH(BR$4,TOCA_current!$A$2:$AI$2,0),FALSE)</f>
        <v>6.5281800000000001E-2</v>
      </c>
      <c r="BS109" s="108">
        <f>VLOOKUP($A109,TOCA_current!$A$2:$AI$137,MATCH(BS$4,TOCA_current!$A$2:$AI$2,0),FALSE)</f>
        <v>6.5281800000000001E-2</v>
      </c>
      <c r="BT109" s="189">
        <f t="shared" si="31"/>
        <v>0</v>
      </c>
      <c r="BU109" s="108">
        <f>VLOOKUP($A109,TOCA_current!A105:BG240,MATCH(BU$4,TOCA_current!$A$2:$BG$2,0),FALSE)</f>
        <v>0</v>
      </c>
      <c r="BV109" s="108">
        <f t="shared" si="38"/>
        <v>0</v>
      </c>
      <c r="BW109" s="108">
        <f t="shared" si="39"/>
        <v>0</v>
      </c>
      <c r="BX109" s="179">
        <f>VLOOKUP($A109,IRD!$A$4:$G$139, 7, FALSE)</f>
        <v>0</v>
      </c>
      <c r="BY109" s="180">
        <f t="array" ref="BY109">IF($BT109=0, INDEX(LS_current!$D$4:$AY$138, MATCH('Staging Table'!$A109, LS_current!$B$4:$B$138, 0), MATCH(BY$4&amp;BY$5, LS_current!$D$2:$AY$2&amp;LS_current!$D$3:$AY$3, 0)),SUM(VLOOKUP($A109, LS_current!$B$4:$AY$138, LS_current!D$148, FALSE), VLOOKUP($A109, LS_current!$B$4:$AY$138,LS_current!AB$148, FALSE))/2)</f>
        <v>27790.168818654987</v>
      </c>
      <c r="BZ109" s="180">
        <f t="array" ref="BZ109">IF($BT109=0, INDEX(LS_current!$D$4:$AY$138, MATCH('Staging Table'!$A109, LS_current!$B$4:$B$138, 0), MATCH(BZ$4&amp;BZ$5, LS_current!$D$2:$AY$2&amp;LS_current!$D$3:$AY$3, 0)),SUM(VLOOKUP($A109, LS_current!$B$4:$AY$138, LS_current!E$148, FALSE), VLOOKUP($A109, LS_current!$B$4:$AY$138,LS_current!AC$148, FALSE))/2)</f>
        <v>20829.24426385398</v>
      </c>
      <c r="CA109" s="180">
        <f t="array" ref="CA109">IF($BT109=0, INDEX(LS_current!$D$4:$AY$138, MATCH('Staging Table'!$A109, LS_current!$B$4:$B$138, 0), MATCH(CA$4&amp;CA$5, LS_current!$D$2:$AY$2&amp;LS_current!$D$3:$AY$3, 0)),SUM(VLOOKUP($A109, LS_current!$B$4:$AY$138, LS_current!F$148, FALSE), VLOOKUP($A109, LS_current!$B$4:$AY$138,LS_current!AD$148, FALSE))/2)</f>
        <v>95527.458098169562</v>
      </c>
      <c r="CB109" s="180">
        <f t="array" ref="CB109">IF($BT109=0, INDEX(LS_current!$D$4:$AY$138, MATCH('Staging Table'!$A109, LS_current!$B$4:$B$138, 0), MATCH(CB$4&amp;CB$5, LS_current!$D$2:$AY$2&amp;LS_current!$D$3:$AY$3, 0)),SUM(VLOOKUP($A109, LS_current!$B$4:$AY$138, LS_current!G$148, FALSE), VLOOKUP($A109, LS_current!$B$4:$AY$138,LS_current!AE$148, FALSE))/2)</f>
        <v>67631.012351584155</v>
      </c>
      <c r="CC109" s="180">
        <f t="array" ref="CC109">IF($BT109=0, INDEX(LS_current!$D$4:$AY$138, MATCH('Staging Table'!$A109, LS_current!$B$4:$B$138, 0), MATCH(CC$4&amp;CC$5, LS_current!$D$2:$AY$2&amp;LS_current!$D$3:$AY$3, 0)),SUM(VLOOKUP($A109, LS_current!$B$4:$AY$138, LS_current!H$148, FALSE), VLOOKUP($A109, LS_current!$B$4:$AY$138,LS_current!AF$148, FALSE))/2)</f>
        <v>83675.87877814981</v>
      </c>
      <c r="CD109" s="180">
        <f t="array" ref="CD109">IF($BT109=0, INDEX(LS_current!$D$4:$AY$138, MATCH('Staging Table'!$A109, LS_current!$B$4:$B$138, 0), MATCH(CD$4&amp;CD$5, LS_current!$D$2:$AY$2&amp;LS_current!$D$3:$AY$3, 0)),SUM(VLOOKUP($A109, LS_current!$B$4:$AY$138, LS_current!I$148, FALSE), VLOOKUP($A109, LS_current!$B$4:$AY$138,LS_current!AG$148, FALSE))/2)</f>
        <v>59765.899866067222</v>
      </c>
      <c r="CE109" s="180">
        <f t="array" ref="CE109">IF($BT109=0, INDEX(LS_current!$D$4:$AY$138, MATCH('Staging Table'!$A109, LS_current!$B$4:$B$138, 0), MATCH(CE$4&amp;CE$5, LS_current!$D$2:$AY$2&amp;LS_current!$D$3:$AY$3, 0)),SUM(VLOOKUP($A109, LS_current!$B$4:$AY$138, LS_current!J$148, FALSE), VLOOKUP($A109, LS_current!$B$4:$AY$138,LS_current!AH$148, FALSE))/2)</f>
        <v>96359.362903712899</v>
      </c>
      <c r="CF109" s="180">
        <f t="array" ref="CF109">IF($BT109=0, INDEX(LS_current!$D$4:$AY$138, MATCH('Staging Table'!$A109, LS_current!$B$4:$B$138, 0), MATCH(CF$4&amp;CF$5, LS_current!$D$2:$AY$2&amp;LS_current!$D$3:$AY$3, 0)),SUM(VLOOKUP($A109, LS_current!$B$4:$AY$138, LS_current!K$148, FALSE), VLOOKUP($A109, LS_current!$B$4:$AY$138,LS_current!AI$148, FALSE))/2)</f>
        <v>76794.774354427878</v>
      </c>
      <c r="CG109" s="180">
        <f t="array" ref="CG109">IF($BT109=0, INDEX(LS_current!$D$4:$AY$138, MATCH('Staging Table'!$A109, LS_current!$B$4:$B$138, 0), MATCH(CG$4&amp;CG$5, LS_current!$D$2:$AY$2&amp;LS_current!$D$3:$AY$3, 0)),SUM(VLOOKUP($A109, LS_current!$B$4:$AY$138, LS_current!L$148, FALSE), VLOOKUP($A109, LS_current!$B$4:$AY$138,LS_current!AJ$148, FALSE))/2)</f>
        <v>73767.564984697819</v>
      </c>
      <c r="CH109" s="180">
        <f t="array" ref="CH109">IF($BT109=0, INDEX(LS_current!$D$4:$AY$138, MATCH('Staging Table'!$A109, LS_current!$B$4:$B$138, 0), MATCH(CH$4&amp;CH$5, LS_current!$D$2:$AY$2&amp;LS_current!$D$3:$AY$3, 0)),SUM(VLOOKUP($A109, LS_current!$B$4:$AY$138, LS_current!M$148, FALSE), VLOOKUP($A109, LS_current!$B$4:$AY$138,LS_current!AK$148, FALSE))/2)</f>
        <v>69421.955598553657</v>
      </c>
      <c r="CI109" s="180">
        <f t="array" ref="CI109">IF($BT109=0, INDEX(LS_current!$D$4:$AY$138, MATCH('Staging Table'!$A109, LS_current!$B$4:$B$138, 0), MATCH(CI$4&amp;CI$5, LS_current!$D$2:$AY$2&amp;LS_current!$D$3:$AY$3, 0)),SUM(VLOOKUP($A109, LS_current!$B$4:$AY$138, LS_current!N$148, FALSE), VLOOKUP($A109, LS_current!$B$4:$AY$138,LS_current!AL$148, FALSE))/2)</f>
        <v>80991.908522556565</v>
      </c>
      <c r="CJ109" s="180">
        <f t="array" ref="CJ109">IF($BT109=0, INDEX(LS_current!$D$4:$AY$138, MATCH('Staging Table'!$A109, LS_current!$B$4:$B$138, 0), MATCH(CJ$4&amp;CJ$5, LS_current!$D$2:$AY$2&amp;LS_current!$D$3:$AY$3, 0)),SUM(VLOOKUP($A109, LS_current!$B$4:$AY$138, LS_current!O$148, FALSE), VLOOKUP($A109, LS_current!$B$4:$AY$138,LS_current!AM$148, FALSE))/2)</f>
        <v>59447.222155359545</v>
      </c>
      <c r="CK109" s="180">
        <f t="array" ref="CK109">IF($BT109=0, INDEX(LS_current!$D$4:$AY$138, MATCH('Staging Table'!$A109, LS_current!$B$4:$B$138, 0), MATCH(CK$4&amp;CK$5, LS_current!$D$2:$AY$2&amp;LS_current!$D$3:$AY$3, 0)),SUM(VLOOKUP($A109, LS_current!$B$4:$AY$138, LS_current!P$148, FALSE), VLOOKUP($A109, LS_current!$B$4:$AY$138,LS_current!AN$148, FALSE))/2)</f>
        <v>-29479.71875959952</v>
      </c>
      <c r="CL109" s="180">
        <f t="array" ref="CL109">IF($BT109=0, INDEX(LS_current!$D$4:$AY$138, MATCH('Staging Table'!$A109, LS_current!$B$4:$B$138, 0), MATCH(CL$4&amp;CL$5, LS_current!$D$2:$AY$2&amp;LS_current!$D$3:$AY$3, 0)),SUM(VLOOKUP($A109, LS_current!$B$4:$AY$138, LS_current!Q$148, FALSE), VLOOKUP($A109, LS_current!$B$4:$AY$138,LS_current!AO$148, FALSE))/2)</f>
        <v>-15427.77764087118</v>
      </c>
      <c r="CM109" s="180">
        <f t="array" ref="CM109">IF($BT109=0, INDEX(LS_current!$D$4:$AY$138, MATCH('Staging Table'!$A109, LS_current!$B$4:$B$138, 0), MATCH(CM$4&amp;CM$5, LS_current!$D$2:$AY$2&amp;LS_current!$D$3:$AY$3, 0)),SUM(VLOOKUP($A109, LS_current!$B$4:$AY$138, LS_current!R$148, FALSE), VLOOKUP($A109, LS_current!$B$4:$AY$138,LS_current!AP$148, FALSE))/2)</f>
        <v>-171513.69563576626</v>
      </c>
      <c r="CN109" s="180">
        <f t="array" ref="CN109">IF($BT109=0, INDEX(LS_current!$D$4:$AY$138, MATCH('Staging Table'!$A109, LS_current!$B$4:$B$138, 0), MATCH(CN$4&amp;CN$5, LS_current!$D$2:$AY$2&amp;LS_current!$D$3:$AY$3, 0)),SUM(VLOOKUP($A109, LS_current!$B$4:$AY$138, LS_current!S$148, FALSE), VLOOKUP($A109, LS_current!$B$4:$AY$138,LS_current!AQ$148, FALSE))/2)</f>
        <v>-109719.94174336531</v>
      </c>
      <c r="CO109" s="180">
        <f t="array" ref="CO109">IF($BT109=0, INDEX(LS_current!$D$4:$AY$138, MATCH('Staging Table'!$A109, LS_current!$B$4:$B$138, 0), MATCH(CO$4&amp;CO$5, LS_current!$D$2:$AY$2&amp;LS_current!$D$3:$AY$3, 0)),SUM(VLOOKUP($A109, LS_current!$B$4:$AY$138, LS_current!T$148, FALSE), VLOOKUP($A109, LS_current!$B$4:$AY$138,LS_current!AR$148, FALSE))/2)</f>
        <v>-232403.7254235468</v>
      </c>
      <c r="CP109" s="180">
        <f t="array" ref="CP109">IF($BT109=0, INDEX(LS_current!$D$4:$AY$138, MATCH('Staging Table'!$A109, LS_current!$B$4:$B$138, 0), MATCH(CP$4&amp;CP$5, LS_current!$D$2:$AY$2&amp;LS_current!$D$3:$AY$3, 0)),SUM(VLOOKUP($A109, LS_current!$B$4:$AY$138, LS_current!U$148, FALSE), VLOOKUP($A109, LS_current!$B$4:$AY$138,LS_current!AS$148, FALSE))/2)</f>
        <v>-137697.27225285812</v>
      </c>
      <c r="CQ109" s="180">
        <f t="array" ref="CQ109">IF($BT109=0, INDEX(LS_current!$D$4:$AY$138, MATCH('Staging Table'!$A109, LS_current!$B$4:$B$138, 0), MATCH(CQ$4&amp;CQ$5, LS_current!$D$2:$AY$2&amp;LS_current!$D$3:$AY$3, 0)),SUM(VLOOKUP($A109, LS_current!$B$4:$AY$138, LS_current!V$148, FALSE), VLOOKUP($A109, LS_current!$B$4:$AY$138,LS_current!AT$148, FALSE))/2)</f>
        <v>-83570.368278295224</v>
      </c>
      <c r="CR109" s="180">
        <f t="array" ref="CR109">IF($BT109=0, INDEX(LS_current!$D$4:$AY$138, MATCH('Staging Table'!$A109, LS_current!$B$4:$B$138, 0), MATCH(CR$4&amp;CR$5, LS_current!$D$2:$AY$2&amp;LS_current!$D$3:$AY$3, 0)),SUM(VLOOKUP($A109, LS_current!$B$4:$AY$138, LS_current!W$148, FALSE), VLOOKUP($A109, LS_current!$B$4:$AY$138,LS_current!AU$148, FALSE))/2)</f>
        <v>-43312.30766872938</v>
      </c>
      <c r="CS109" s="180">
        <f t="array" ref="CS109">IF($BT109=0, INDEX(LS_current!$D$4:$AY$138, MATCH('Staging Table'!$A109, LS_current!$B$4:$B$138, 0), MATCH(CS$4&amp;CS$5, LS_current!$D$2:$AY$2&amp;LS_current!$D$3:$AY$3, 0)),SUM(VLOOKUP($A109, LS_current!$B$4:$AY$138, LS_current!X$148, FALSE), VLOOKUP($A109, LS_current!$B$4:$AY$138,LS_current!AV$148, FALSE))/2)</f>
        <v>-58516.369522628695</v>
      </c>
      <c r="CT109" s="180">
        <f t="array" ref="CT109">IF($BT109=0, INDEX(LS_current!$D$4:$AY$138, MATCH('Staging Table'!$A109, LS_current!$B$4:$B$138, 0), MATCH(CT$4&amp;CT$5, LS_current!$D$2:$AY$2&amp;LS_current!$D$3:$AY$3, 0)),SUM(VLOOKUP($A109, LS_current!$B$4:$AY$138, LS_current!Y$148, FALSE), VLOOKUP($A109, LS_current!$B$4:$AY$138,LS_current!AW$148, FALSE))/2)</f>
        <v>-21224.536184351629</v>
      </c>
      <c r="CU109" s="180">
        <f t="array" ref="CU109">IF($BT109=0, INDEX(LS_current!$D$4:$AY$138, MATCH('Staging Table'!$A109, LS_current!$B$4:$B$138, 0), MATCH(CU$4&amp;CU$5, LS_current!$D$2:$AY$2&amp;LS_current!$D$3:$AY$3, 0)),SUM(VLOOKUP($A109, LS_current!$B$4:$AY$138, LS_current!Z$148, FALSE), VLOOKUP($A109, LS_current!$B$4:$AY$138,LS_current!AX$148, FALSE))/2)</f>
        <v>55303.407829186763</v>
      </c>
      <c r="CV109" s="180">
        <f t="array" ref="CV109">IF($BT109=0, INDEX(LS_current!$D$4:$AY$138, MATCH('Staging Table'!$A109, LS_current!$B$4:$B$138, 0), MATCH(CV$4&amp;CV$5, LS_current!$D$2:$AY$2&amp;LS_current!$D$3:$AY$3, 0)),SUM(VLOOKUP($A109, LS_current!$B$4:$AY$138, LS_current!AA$148, FALSE), VLOOKUP($A109, LS_current!$B$4:$AY$138,LS_current!AY$148, FALSE))/2)</f>
        <v>35558.280989692939</v>
      </c>
      <c r="CW109" s="182">
        <f t="array" ref="CW109">INDEX(Demand_current!$D$4:$AY$138, MATCH($A109, Demand_current!$B$4:$B$138, 0), MATCH(CW$4&amp;CW$5,Demand_current!$D$2:$AY$2&amp;Demand_current!$D$3:$AY$3, 0))/1000</f>
        <v>0</v>
      </c>
      <c r="CX109" s="182">
        <f t="array" ref="CX109">INDEX(Demand_current!$D$4:$AY$138, MATCH($A109, Demand_current!$B$4:$B$138, 0), MATCH(CX$4&amp;CX$5,Demand_current!$D$2:$AY$2&amp;Demand_current!$D$3:$AY$3, 0))/1000</f>
        <v>0</v>
      </c>
      <c r="CY109" s="182">
        <f t="array" ref="CY109">INDEX(Demand_current!$D$4:$AY$138, MATCH($A109, Demand_current!$B$4:$B$138, 0), MATCH(CY$4&amp;CY$5,Demand_current!$D$2:$AY$2&amp;Demand_current!$D$3:$AY$3, 0))/1000</f>
        <v>0</v>
      </c>
      <c r="CZ109" s="182">
        <f t="array" ref="CZ109">INDEX(Demand_current!$D$4:$AY$138, MATCH($A109, Demand_current!$B$4:$B$138, 0), MATCH(CZ$4&amp;CZ$5,Demand_current!$D$2:$AY$2&amp;Demand_current!$D$3:$AY$3, 0))/1000</f>
        <v>0</v>
      </c>
      <c r="DA109" s="182">
        <f t="array" ref="DA109">INDEX(Demand_current!$D$4:$AY$138, MATCH($A109, Demand_current!$B$4:$B$138, 0), MATCH(DA$4&amp;DA$5,Demand_current!$D$2:$AY$2&amp;Demand_current!$D$3:$AY$3, 0))/1000</f>
        <v>0</v>
      </c>
      <c r="DB109" s="182">
        <f t="array" ref="DB109">INDEX(Demand_current!$D$4:$AY$138, MATCH($A109, Demand_current!$B$4:$B$138, 0), MATCH(DB$4&amp;DB$5,Demand_current!$D$2:$AY$2&amp;Demand_current!$D$3:$AY$3, 0))/1000</f>
        <v>0</v>
      </c>
      <c r="DC109" s="182">
        <f t="array" ref="DC109">INDEX(Demand_current!$D$4:$AY$138, MATCH($A109, Demand_current!$B$4:$B$138, 0), MATCH(DC$4&amp;DC$5,Demand_current!$D$2:$AY$2&amp;Demand_current!$D$3:$AY$3, 0))/1000</f>
        <v>0</v>
      </c>
      <c r="DD109" s="182">
        <f t="array" ref="DD109">INDEX(Demand_current!$D$4:$AY$138, MATCH($A109, Demand_current!$B$4:$B$138, 0), MATCH(DD$4&amp;DD$5,Demand_current!$D$2:$AY$2&amp;Demand_current!$D$3:$AY$3, 0))/1000</f>
        <v>0</v>
      </c>
      <c r="DE109" s="182">
        <f t="array" ref="DE109">INDEX(Demand_current!$D$4:$AY$138, MATCH($A109, Demand_current!$B$4:$B$138, 0), MATCH(DE$4&amp;DE$5,Demand_current!$D$2:$AY$2&amp;Demand_current!$D$3:$AY$3, 0))/1000</f>
        <v>0</v>
      </c>
      <c r="DF109" s="182">
        <f t="array" ref="DF109">INDEX(Demand_current!$D$4:$AY$138, MATCH($A109, Demand_current!$B$4:$B$138, 0), MATCH(DF$4&amp;DF$5,Demand_current!$D$2:$AY$2&amp;Demand_current!$D$3:$AY$3, 0))/1000</f>
        <v>0</v>
      </c>
      <c r="DG109" s="182">
        <f t="array" ref="DG109">INDEX(Demand_current!$D$4:$AY$138, MATCH($A109, Demand_current!$B$4:$B$138, 0), MATCH(DG$4&amp;DG$5,Demand_current!$D$2:$AY$2&amp;Demand_current!$D$3:$AY$3, 0))/1000</f>
        <v>0</v>
      </c>
      <c r="DH109" s="182">
        <f t="array" ref="DH109">INDEX(Demand_current!$D$4:$AY$138, MATCH($A109, Demand_current!$B$4:$B$138, 0), MATCH(DH$4&amp;DH$5,Demand_current!$D$2:$AY$2&amp;Demand_current!$D$3:$AY$3, 0))/1000</f>
        <v>0</v>
      </c>
      <c r="DI109" s="180">
        <f>$BS109*(VLOOKUP(DI$4, Rates_current!$G$6:$Q$29, 10, FALSE)+VLOOKUP(DI$4, Rates_current!$G$6:$Q$29, 11, FALSE))</f>
        <v>275411.10339749069</v>
      </c>
      <c r="DJ109" s="180">
        <f>$BS109*(VLOOKUP(DJ$4, Rates_current!$G$6:$Q$29, 10, FALSE)+VLOOKUP(DJ$4, Rates_current!$G$6:$Q$29, 11, FALSE))</f>
        <v>351239.97446224623</v>
      </c>
      <c r="DK109" s="180">
        <f>$BS109*(VLOOKUP(DK$4, Rates_current!$G$6:$Q$29, 10, FALSE)+VLOOKUP(DK$4, Rates_current!$G$6:$Q$29, 11, FALSE))</f>
        <v>379057.42917978304</v>
      </c>
      <c r="DL109" s="180">
        <f>$BS109*(VLOOKUP(DL$4, Rates_current!$G$6:$Q$29, 10, FALSE)+VLOOKUP(DL$4, Rates_current!$G$6:$Q$29, 11, FALSE))</f>
        <v>393899.26658185921</v>
      </c>
      <c r="DM109" s="180">
        <f>$BS109*(VLOOKUP(DM$4, Rates_current!$G$6:$Q$29, 10, FALSE)+VLOOKUP(DM$4, Rates_current!$G$6:$Q$29, 11, FALSE))</f>
        <v>338805.87268074835</v>
      </c>
      <c r="DN109" s="180">
        <f>$BS109*(VLOOKUP(DN$4, Rates_current!$G$6:$Q$29, 10, FALSE)+VLOOKUP(DN$4, Rates_current!$G$6:$Q$29, 11, FALSE))</f>
        <v>369908.93277808378</v>
      </c>
      <c r="DO109" s="180">
        <f>$BS109*(VLOOKUP(DO$4, Rates_current!$G$6:$Q$29, 10, FALSE)+VLOOKUP(DO$4, Rates_current!$G$6:$Q$29, 11, FALSE))</f>
        <v>291980.76521647064</v>
      </c>
      <c r="DP109" s="180">
        <f>$BS109*(VLOOKUP(DP$4, Rates_current!$G$6:$Q$29, 10, FALSE)+VLOOKUP(DP$4, Rates_current!$G$6:$Q$29, 11, FALSE))</f>
        <v>362241.26649913169</v>
      </c>
      <c r="DQ109" s="180">
        <f>$BS109*(VLOOKUP(DQ$4, Rates_current!$G$6:$Q$29, 10, FALSE)+VLOOKUP(DQ$4, Rates_current!$G$6:$Q$29, 11, FALSE))</f>
        <v>370100.99767640489</v>
      </c>
      <c r="DR109" s="180">
        <f>$BS109*(VLOOKUP(DR$4, Rates_current!$G$6:$Q$29, 10, FALSE)+VLOOKUP(DR$4, Rates_current!$G$6:$Q$29, 11, FALSE))</f>
        <v>321300.98583502468</v>
      </c>
      <c r="DS109" s="180">
        <f>$BS109*(VLOOKUP(DS$4, Rates_current!$G$6:$Q$29, 10, FALSE)+VLOOKUP(DS$4, Rates_current!$G$6:$Q$29, 11, FALSE))</f>
        <v>310612.64869898045</v>
      </c>
      <c r="DT109" s="180">
        <f>$BS109*(VLOOKUP(DT$4, Rates_current!$G$6:$Q$29, 10, FALSE)+VLOOKUP(DT$4, Rates_current!$G$6:$Q$29, 11, FALSE))</f>
        <v>285823.78658912046</v>
      </c>
      <c r="DU109" s="402">
        <f>IF(D109=0,IF(C109=0,MAX(0,DW109 - (VLOOKUP($A109,TOCA_current!$A$2:$AI$137,MATCH("RHWM 2024",TOCA_current!$A$2:$AI$2,0),FALSE)*$BS$2)), 0),0)</f>
        <v>0</v>
      </c>
      <c r="DV109" s="403">
        <f>MIN(VLOOKUP($A109,TOCA_current!$A$2:$AI$137,MATCH("TRL - NLSL - Existing Resource "&amp;$BS$1,TOCA_current!$A$2:$AI$2,0),FALSE)*$BS$2, VLOOKUP($A109,TOCA_current!$A$2:$AI$137,MATCH("RHWM 2024",TOCA_current!$A$2:$AI$2,0),FALSE)*$BS$2)</f>
        <v>4050381.4559999998</v>
      </c>
      <c r="DW109" s="403">
        <f>SUM(BY109:CV109)+(BS109*RT1SC!$C$4*$BS$2)</f>
        <v>4050381.4745661439</v>
      </c>
      <c r="DX109" s="403">
        <f>VLOOKUP($A109,TOCA_current!$A$2:$AI$137,MATCH("Above RHWM Not Served with LS "&amp;$BS$1,TOCA_current!$A$2:$AI$2,0),FALSE)*$BS$2</f>
        <v>0</v>
      </c>
      <c r="DY109" s="403">
        <f t="shared" si="32"/>
        <v>1.8566144164651632E-2</v>
      </c>
      <c r="DZ109" s="403">
        <f>(VLOOKUP($A109,TOCA_current!$A$2:$AI$137,MATCH("RHWM 2024",TOCA_current!$A$2:$AI$2,0),FALSE)*$BS$2) - $DV109</f>
        <v>551652.76799999969</v>
      </c>
      <c r="EA109" s="403">
        <f t="shared" si="33"/>
        <v>-1.8566144164651632E-2</v>
      </c>
      <c r="EB109" s="403">
        <f t="shared" si="34"/>
        <v>0</v>
      </c>
      <c r="EC109" s="403">
        <f t="shared" si="35"/>
        <v>0</v>
      </c>
      <c r="ED109" s="403">
        <f t="shared" si="36"/>
        <v>0</v>
      </c>
    </row>
    <row r="110" spans="1:134">
      <c r="A110" s="123">
        <v>10352</v>
      </c>
      <c r="B110" s="124" t="s">
        <v>111</v>
      </c>
      <c r="C110" s="232">
        <f>VLOOKUP(A110, TOCA_current!$A$3:$D$137, 4, FALSE)</f>
        <v>0</v>
      </c>
      <c r="D110" s="191">
        <v>0</v>
      </c>
      <c r="E110" s="107">
        <f>VLOOKUP($A110,TOCA_previous!$A$2:$AI$137,MATCH(E$4,TOCA_previous!$A$2:$AI$2,0),FALSE)</f>
        <v>2.2523999999999999E-3</v>
      </c>
      <c r="F110" s="108">
        <f>VLOOKUP($A110,TOCA_previous!$A$2:$AI$137,MATCH(F$4,TOCA_previous!$A$2:$AI$2,0),FALSE)</f>
        <v>2.2523999999999999E-3</v>
      </c>
      <c r="G110" s="108">
        <f t="shared" si="24"/>
        <v>0</v>
      </c>
      <c r="H110" s="108">
        <f>VLOOKUP($A110,TOCA_previous!$A$2:$AI$137,MATCH(H$4,TOCA_previous!$A$2:$AI$2,0),FALSE)</f>
        <v>5.0430000000000003E-2</v>
      </c>
      <c r="I110" s="108">
        <f t="shared" si="25"/>
        <v>0</v>
      </c>
      <c r="J110" s="108">
        <f t="shared" si="26"/>
        <v>0</v>
      </c>
      <c r="K110" s="179">
        <f>VLOOKUP(A110, IRD!$A$5:$C$139, 3, FALSE)</f>
        <v>0</v>
      </c>
      <c r="L110" s="180">
        <f t="array" ref="L110">IF($G110=0, INDEX(LS_previous!$D$4:$AY$138, MATCH('Staging Table'!$A110, LS_previous!$B$4:$B$138, 0), MATCH(L$4&amp;L$5, LS_previous!$D$2:$AY$2&amp;LS_previous!$D$3:$AY$3, 0)),SUM(VLOOKUP($A110, LS_previous!$B$4:$AY$138, LS_previous!D$149, FALSE), VLOOKUP('Staging Table'!$A110, LS_previous!$B$4:$AY$138,LS_previous!AB$149, FALSE))/2)</f>
        <v>327.66700816024058</v>
      </c>
      <c r="M110" s="180">
        <f t="array" ref="M110">IF($G110=0, INDEX(LS_previous!$D$4:$AY$138, MATCH('Staging Table'!$A110, LS_previous!$B$4:$B$138, 0), MATCH(M$4&amp;M$5, LS_previous!$D$2:$AY$2&amp;LS_previous!$D$3:$AY$3, 0)),SUM(VLOOKUP($A110, LS_previous!$B$4:$AY$138, LS_previous!E$149, FALSE), VLOOKUP('Staging Table'!$A110, LS_previous!$B$4:$AY$138,LS_previous!AC$149, FALSE))/2)</f>
        <v>338.46662651317911</v>
      </c>
      <c r="N110" s="180">
        <f t="array" ref="N110">IF($G110=0, INDEX(LS_previous!$D$4:$AY$138, MATCH('Staging Table'!$A110, LS_previous!$B$4:$B$138, 0), MATCH(N$4&amp;N$5, LS_previous!$D$2:$AY$2&amp;LS_previous!$D$3:$AY$3, 0)),SUM(VLOOKUP($A110, LS_previous!$B$4:$AY$138, LS_previous!F$149, FALSE), VLOOKUP('Staging Table'!$A110, LS_previous!$B$4:$AY$138,LS_previous!AD$149, FALSE))/2)</f>
        <v>-440.01070215920845</v>
      </c>
      <c r="O110" s="180">
        <f t="array" ref="O110">IF($G110=0, INDEX(LS_previous!$D$4:$AY$138, MATCH('Staging Table'!$A110, LS_previous!$B$4:$B$138, 0), MATCH(O$4&amp;O$5, LS_previous!$D$2:$AY$2&amp;LS_previous!$D$3:$AY$3, 0)),SUM(VLOOKUP($A110, LS_previous!$B$4:$AY$138, LS_previous!G$149, FALSE), VLOOKUP('Staging Table'!$A110, LS_previous!$B$4:$AY$138,LS_previous!AE$149, FALSE))/2)</f>
        <v>-320.41791590386038</v>
      </c>
      <c r="P110" s="180">
        <f t="array" ref="P110">IF($G110=0, INDEX(LS_previous!$D$4:$AY$138, MATCH('Staging Table'!$A110, LS_previous!$B$4:$B$138, 0), MATCH(P$4&amp;P$5, LS_previous!$D$2:$AY$2&amp;LS_previous!$D$3:$AY$3, 0)),SUM(VLOOKUP($A110, LS_previous!$B$4:$AY$138, LS_previous!H$149, FALSE), VLOOKUP('Staging Table'!$A110, LS_previous!$B$4:$AY$138,LS_previous!AF$149, FALSE))/2)</f>
        <v>1565.0860501577472</v>
      </c>
      <c r="Q110" s="180">
        <f t="array" ref="Q110">IF($G110=0, INDEX(LS_previous!$D$4:$AY$138, MATCH('Staging Table'!$A110, LS_previous!$B$4:$B$138, 0), MATCH(Q$4&amp;Q$5, LS_previous!$D$2:$AY$2&amp;LS_previous!$D$3:$AY$3, 0)),SUM(VLOOKUP($A110, LS_previous!$B$4:$AY$138, LS_previous!I$149, FALSE), VLOOKUP('Staging Table'!$A110, LS_previous!$B$4:$AY$138,LS_previous!AG$149, FALSE))/2)</f>
        <v>707.28704410871524</v>
      </c>
      <c r="R110" s="180">
        <f t="array" ref="R110">IF($G110=0, INDEX(LS_previous!$D$4:$AY$138, MATCH('Staging Table'!$A110, LS_previous!$B$4:$B$138, 0), MATCH(R$4&amp;R$5, LS_previous!$D$2:$AY$2&amp;LS_previous!$D$3:$AY$3, 0)),SUM(VLOOKUP($A110, LS_previous!$B$4:$AY$138, LS_previous!J$149, FALSE), VLOOKUP('Staging Table'!$A110, LS_previous!$B$4:$AY$138,LS_previous!AH$149, FALSE))/2)</f>
        <v>4301.1828269538901</v>
      </c>
      <c r="S110" s="180">
        <f t="array" ref="S110">IF($G110=0, INDEX(LS_previous!$D$4:$AY$138, MATCH('Staging Table'!$A110, LS_previous!$B$4:$B$138, 0), MATCH(S$4&amp;S$5, LS_previous!$D$2:$AY$2&amp;LS_previous!$D$3:$AY$3, 0)),SUM(VLOOKUP($A110, LS_previous!$B$4:$AY$138, LS_previous!K$149, FALSE), VLOOKUP('Staging Table'!$A110, LS_previous!$B$4:$AY$138,LS_previous!AI$149, FALSE))/2)</f>
        <v>1942.0681880081447</v>
      </c>
      <c r="T110" s="180">
        <f t="array" ref="T110">IF($G110=0, INDEX(LS_previous!$D$4:$AY$138, MATCH('Staging Table'!$A110, LS_previous!$B$4:$B$138, 0), MATCH(T$4&amp;T$5, LS_previous!$D$2:$AY$2&amp;LS_previous!$D$3:$AY$3, 0)),SUM(VLOOKUP($A110, LS_previous!$B$4:$AY$138, LS_previous!L$149, FALSE), VLOOKUP('Staging Table'!$A110, LS_previous!$B$4:$AY$138,LS_previous!AJ$149, FALSE))/2)</f>
        <v>3506.7341699662602</v>
      </c>
      <c r="U110" s="180">
        <f t="array" ref="U110">IF($G110=0, INDEX(LS_previous!$D$4:$AY$138, MATCH('Staging Table'!$A110, LS_previous!$B$4:$B$138, 0), MATCH(U$4&amp;U$5, LS_previous!$D$2:$AY$2&amp;LS_previous!$D$3:$AY$3, 0)),SUM(VLOOKUP($A110, LS_previous!$B$4:$AY$138, LS_previous!M$149, FALSE), VLOOKUP('Staging Table'!$A110, LS_previous!$B$4:$AY$138,LS_previous!AK$149, FALSE))/2)</f>
        <v>1369.2271937987266</v>
      </c>
      <c r="V110" s="180">
        <f t="array" ref="V110">IF($G110=0, INDEX(LS_previous!$D$4:$AY$138, MATCH('Staging Table'!$A110, LS_previous!$B$4:$B$138, 0), MATCH(V$4&amp;V$5, LS_previous!$D$2:$AY$2&amp;LS_previous!$D$3:$AY$3, 0)),SUM(VLOOKUP($A110, LS_previous!$B$4:$AY$138, LS_previous!N$149, FALSE), VLOOKUP('Staging Table'!$A110, LS_previous!$B$4:$AY$138,LS_previous!AL$149, FALSE))/2)</f>
        <v>1290.7812703459786</v>
      </c>
      <c r="W110" s="180">
        <f t="array" ref="W110">IF($G110=0, INDEX(LS_previous!$D$4:$AY$138, MATCH('Staging Table'!$A110, LS_previous!$B$4:$B$138, 0), MATCH(W$4&amp;W$5, LS_previous!$D$2:$AY$2&amp;LS_previous!$D$3:$AY$3, 0)),SUM(VLOOKUP($A110, LS_previous!$B$4:$AY$138, LS_previous!O$149, FALSE), VLOOKUP('Staging Table'!$A110, LS_previous!$B$4:$AY$138,LS_previous!AM$149, FALSE))/2)</f>
        <v>808.91720614819042</v>
      </c>
      <c r="X110" s="180">
        <f t="array" ref="X110">IF($G110=0, INDEX(LS_previous!$D$4:$AY$138, MATCH('Staging Table'!$A110, LS_previous!$B$4:$B$138, 0), MATCH(X$4&amp;X$5, LS_previous!$D$2:$AY$2&amp;LS_previous!$D$3:$AY$3, 0)),SUM(VLOOKUP($A110, LS_previous!$B$4:$AY$138, LS_previous!P$149, FALSE), VLOOKUP('Staging Table'!$A110, LS_previous!$B$4:$AY$138,LS_previous!AN$149, FALSE))/2)</f>
        <v>2221.4217741310977</v>
      </c>
      <c r="Y110" s="180">
        <f t="array" ref="Y110">IF($G110=0, INDEX(LS_previous!$D$4:$AY$138, MATCH('Staging Table'!$A110, LS_previous!$B$4:$B$138, 0), MATCH(Y$4&amp;Y$5, LS_previous!$D$2:$AY$2&amp;LS_previous!$D$3:$AY$3, 0)),SUM(VLOOKUP($A110, LS_previous!$B$4:$AY$138, LS_previous!Q$149, FALSE), VLOOKUP('Staging Table'!$A110, LS_previous!$B$4:$AY$138,LS_previous!AO$149, FALSE))/2)</f>
        <v>901.46803765436698</v>
      </c>
      <c r="Z110" s="180">
        <f t="array" ref="Z110">IF($G110=0, INDEX(LS_previous!$D$4:$AY$138, MATCH('Staging Table'!$A110, LS_previous!$B$4:$B$138, 0), MATCH(Z$4&amp;Z$5, LS_previous!$D$2:$AY$2&amp;LS_previous!$D$3:$AY$3, 0)),SUM(VLOOKUP($A110, LS_previous!$B$4:$AY$138, LS_previous!R$149, FALSE), VLOOKUP('Staging Table'!$A110, LS_previous!$B$4:$AY$138,LS_previous!AP$149, FALSE))/2)</f>
        <v>-1778.8744700092857</v>
      </c>
      <c r="AA110" s="180">
        <f t="array" ref="AA110">IF($G110=0, INDEX(LS_previous!$D$4:$AY$138, MATCH('Staging Table'!$A110, LS_previous!$B$4:$B$138, 0), MATCH(AA$4&amp;AA$5, LS_previous!$D$2:$AY$2&amp;LS_previous!$D$3:$AY$3, 0)),SUM(VLOOKUP($A110, LS_previous!$B$4:$AY$138, LS_previous!S$149, FALSE), VLOOKUP('Staging Table'!$A110, LS_previous!$B$4:$AY$138,LS_previous!AQ$149, FALSE))/2)</f>
        <v>-362.20877811613218</v>
      </c>
      <c r="AB110" s="180">
        <f t="array" ref="AB110">IF($G110=0, INDEX(LS_previous!$D$4:$AY$138, MATCH('Staging Table'!$A110, LS_previous!$B$4:$B$138, 0), MATCH(AB$4&amp;AB$5, LS_previous!$D$2:$AY$2&amp;LS_previous!$D$3:$AY$3, 0)),SUM(VLOOKUP($A110, LS_previous!$B$4:$AY$138, LS_previous!T$149, FALSE), VLOOKUP('Staging Table'!$A110, LS_previous!$B$4:$AY$138,LS_previous!AR$149, FALSE))/2)</f>
        <v>-3245.0440930632603</v>
      </c>
      <c r="AC110" s="180">
        <f t="array" ref="AC110">IF($G110=0, INDEX(LS_previous!$D$4:$AY$138, MATCH('Staging Table'!$A110, LS_previous!$B$4:$B$138, 0), MATCH(AC$4&amp;AC$5, LS_previous!$D$2:$AY$2&amp;LS_previous!$D$3:$AY$3, 0)),SUM(VLOOKUP($A110, LS_previous!$B$4:$AY$138, LS_previous!U$149, FALSE), VLOOKUP('Staging Table'!$A110, LS_previous!$B$4:$AY$138,LS_previous!AS$149, FALSE))/2)</f>
        <v>-318.97436371794674</v>
      </c>
      <c r="AD110" s="180">
        <f t="array" ref="AD110">IF($G110=0, INDEX(LS_previous!$D$4:$AY$138, MATCH('Staging Table'!$A110, LS_previous!$B$4:$B$138, 0), MATCH(AD$4&amp;AD$5, LS_previous!$D$2:$AY$2&amp;LS_previous!$D$3:$AY$3, 0)),SUM(VLOOKUP($A110, LS_previous!$B$4:$AY$138, LS_previous!V$149, FALSE), VLOOKUP('Staging Table'!$A110, LS_previous!$B$4:$AY$138,LS_previous!AT$149, FALSE))/2)</f>
        <v>-1899.0682620298221</v>
      </c>
      <c r="AE110" s="180">
        <f t="array" ref="AE110">IF($G110=0, INDEX(LS_previous!$D$4:$AY$138, MATCH('Staging Table'!$A110, LS_previous!$B$4:$B$138, 0), MATCH(AE$4&amp;AE$5, LS_previous!$D$2:$AY$2&amp;LS_previous!$D$3:$AY$3, 0)),SUM(VLOOKUP($A110, LS_previous!$B$4:$AY$138, LS_previous!W$149, FALSE), VLOOKUP('Staging Table'!$A110, LS_previous!$B$4:$AY$138,LS_previous!AU$149, FALSE))/2)</f>
        <v>-598.68352113558603</v>
      </c>
      <c r="AF110" s="180">
        <f t="array" ref="AF110">IF($G110=0, INDEX(LS_previous!$D$4:$AY$138, MATCH('Staging Table'!$A110, LS_previous!$B$4:$B$138, 0), MATCH(AF$4&amp;AF$5, LS_previous!$D$2:$AY$2&amp;LS_previous!$D$3:$AY$3, 0)),SUM(VLOOKUP($A110, LS_previous!$B$4:$AY$138, LS_previous!X$149, FALSE), VLOOKUP('Staging Table'!$A110, LS_previous!$B$4:$AY$138,LS_previous!AV$149, FALSE))/2)</f>
        <v>-1318.7807177814911</v>
      </c>
      <c r="AG110" s="180">
        <f t="array" ref="AG110">IF($G110=0, INDEX(LS_previous!$D$4:$AY$138, MATCH('Staging Table'!$A110, LS_previous!$B$4:$B$138, 0), MATCH(AG$4&amp;AG$5, LS_previous!$D$2:$AY$2&amp;LS_previous!$D$3:$AY$3, 0)),SUM(VLOOKUP($A110, LS_previous!$B$4:$AY$138, LS_previous!Y$149, FALSE), VLOOKUP('Staging Table'!$A110, LS_previous!$B$4:$AY$138,LS_previous!AW$149, FALSE))/2)</f>
        <v>-530.14416359609368</v>
      </c>
      <c r="AH110" s="180">
        <f t="array" ref="AH110">IF($G110=0, INDEX(LS_previous!$D$4:$AY$138, MATCH('Staging Table'!$A110, LS_previous!$B$4:$B$138, 0), MATCH(AH$4&amp;AH$5, LS_previous!$D$2:$AY$2&amp;LS_previous!$D$3:$AY$3, 0)),SUM(VLOOKUP($A110, LS_previous!$B$4:$AY$138, LS_previous!Z$149, FALSE), VLOOKUP('Staging Table'!$A110, LS_previous!$B$4:$AY$138,LS_previous!AX$149, FALSE))/2)</f>
        <v>-1412.2114799911978</v>
      </c>
      <c r="AI110" s="180">
        <f t="array" ref="AI110">IF($G110=0, INDEX(LS_previous!$D$4:$AY$138, MATCH('Staging Table'!$A110, LS_previous!$B$4:$B$138, 0), MATCH(AI$4&amp;AI$5, LS_previous!$D$2:$AY$2&amp;LS_previous!$D$3:$AY$3, 0)),SUM(VLOOKUP($A110, LS_previous!$B$4:$AY$138, LS_previous!AA$149, FALSE), VLOOKUP('Staging Table'!$A110, LS_previous!$B$4:$AY$138,LS_previous!AY$149, FALSE))/2)</f>
        <v>-435.74723086827726</v>
      </c>
      <c r="AJ110" s="298">
        <f t="array" ref="AJ110">INDEX(Demand_previous!$D$4:$AY$138, MATCH('Staging Table'!$A110, Demand_previous!$B$4:$B$138, 0), MATCH(AJ$4&amp;AJ$5,Demand_previous!$D$2:$AY$2&amp;Demand_previous!$D$3:$AY$3, 0))/1000</f>
        <v>1.1849447115384626</v>
      </c>
      <c r="AK110" s="298">
        <f t="array" ref="AK110">INDEX(Demand_previous!$D$4:$AY$138, MATCH('Staging Table'!$A110, Demand_previous!$B$4:$B$138, 0), MATCH(AK$4&amp;AK$5,Demand_previous!$D$2:$AY$2&amp;Demand_previous!$D$3:$AY$3, 0))/1000</f>
        <v>0.81785750000000323</v>
      </c>
      <c r="AL110" s="298">
        <f t="array" ref="AL110">INDEX(Demand_previous!$D$4:$AY$138, MATCH('Staging Table'!$A110, Demand_previous!$B$4:$B$138, 0), MATCH(AL$4&amp;AL$5,Demand_previous!$D$2:$AY$2&amp;Demand_previous!$D$3:$AY$3, 0))/1000</f>
        <v>3.3883629807692279</v>
      </c>
      <c r="AM110" s="298">
        <f t="array" ref="AM110">INDEX(Demand_previous!$D$4:$AY$138, MATCH('Staging Table'!$A110, Demand_previous!$B$4:$B$138, 0), MATCH(AM$4&amp;AM$5,Demand_previous!$D$2:$AY$2&amp;Demand_previous!$D$3:$AY$3, 0))/1000</f>
        <v>0</v>
      </c>
      <c r="AN110" s="298">
        <f t="array" ref="AN110">INDEX(Demand_previous!$D$4:$AY$138, MATCH('Staging Table'!$A110, Demand_previous!$B$4:$B$138, 0), MATCH(AN$4&amp;AN$5,Demand_previous!$D$2:$AY$2&amp;Demand_previous!$D$3:$AY$3, 0))/1000</f>
        <v>5.2030755208333304</v>
      </c>
      <c r="AO110" s="298">
        <f t="array" ref="AO110">INDEX(Demand_previous!$D$4:$AY$138, MATCH('Staging Table'!$A110, Demand_previous!$B$4:$B$138, 0), MATCH(AO$4&amp;AO$5,Demand_previous!$D$2:$AY$2&amp;Demand_previous!$D$3:$AY$3, 0))/1000</f>
        <v>4.97137962962963</v>
      </c>
      <c r="AP110" s="298">
        <f t="array" ref="AP110">INDEX(Demand_previous!$D$4:$AY$138, MATCH('Staging Table'!$A110, Demand_previous!$B$4:$B$138, 0), MATCH(AP$4&amp;AP$5,Demand_previous!$D$2:$AY$2&amp;Demand_previous!$D$3:$AY$3, 0))/1000</f>
        <v>1.2312716346153865</v>
      </c>
      <c r="AQ110" s="298">
        <f t="array" ref="AQ110">INDEX(Demand_previous!$D$4:$AY$138, MATCH('Staging Table'!$A110, Demand_previous!$B$4:$B$138, 0), MATCH(AQ$4&amp;AQ$5,Demand_previous!$D$2:$AY$2&amp;Demand_previous!$D$3:$AY$3, 0))/1000</f>
        <v>0</v>
      </c>
      <c r="AR110" s="298">
        <f t="array" ref="AR110">INDEX(Demand_previous!$D$4:$AY$138, MATCH('Staging Table'!$A110, Demand_previous!$B$4:$B$138, 0), MATCH(AR$4&amp;AR$5,Demand_previous!$D$2:$AY$2&amp;Demand_previous!$D$3:$AY$3, 0))/1000</f>
        <v>4.7837355769230747</v>
      </c>
      <c r="AS110" s="298">
        <f t="array" ref="AS110">INDEX(Demand_previous!$D$4:$AY$138, MATCH('Staging Table'!$A110, Demand_previous!$B$4:$B$138, 0), MATCH(AS$4&amp;AS$5,Demand_previous!$D$2:$AY$2&amp;Demand_previous!$D$3:$AY$3, 0))/1000</f>
        <v>2.3551049999999996</v>
      </c>
      <c r="AT110" s="298">
        <f t="array" ref="AT110">INDEX(Demand_previous!$D$4:$AY$138, MATCH('Staging Table'!$A110, Demand_previous!$B$4:$B$138, 0), MATCH(AT$4&amp;AT$5,Demand_previous!$D$2:$AY$2&amp;Demand_previous!$D$3:$AY$3, 0))/1000</f>
        <v>3.7698124999999987</v>
      </c>
      <c r="AU110" s="298">
        <f t="array" ref="AU110">INDEX(Demand_previous!$D$4:$AY$138, MATCH('Staging Table'!$A110, Demand_previous!$B$4:$B$138, 0), MATCH(AU$4&amp;AU$5,Demand_previous!$D$2:$AY$2&amp;Demand_previous!$D$3:$AY$3, 0))/1000</f>
        <v>2.3863025000000002</v>
      </c>
      <c r="AV110" s="180">
        <f>$F110*(VLOOKUP(AV$4, Rates_previous!$G$6:$Q$29, 10, FALSE)+VLOOKUP(AV$4, Rates_previous!$G$6:$Q$29, 11, FALSE))</f>
        <v>10257.259365326581</v>
      </c>
      <c r="AW110" s="180">
        <f>$F110*(VLOOKUP(AW$4, Rates_previous!$G$6:$Q$29, 10, FALSE)+VLOOKUP(AW$4, Rates_previous!$G$6:$Q$29, 11, FALSE))</f>
        <v>12986.06261806307</v>
      </c>
      <c r="AX110" s="180">
        <f>$F110*(VLOOKUP(AX$4, Rates_previous!$G$6:$Q$29, 10, FALSE)+VLOOKUP(AX$4, Rates_previous!$G$6:$Q$29, 11, FALSE))</f>
        <v>12710.760905733539</v>
      </c>
      <c r="AY110" s="180">
        <f>$F110*(VLOOKUP(AY$4, Rates_previous!$G$6:$Q$29, 10, FALSE)+VLOOKUP(AY$4, Rates_previous!$G$6:$Q$29, 11, FALSE))</f>
        <v>10498.547985037967</v>
      </c>
      <c r="AZ110" s="180">
        <f>$F110*(VLOOKUP(AZ$4, Rates_previous!$G$6:$Q$29, 10, FALSE)+VLOOKUP(AZ$4, Rates_previous!$G$6:$Q$29, 11, FALSE))</f>
        <v>9099.321636235014</v>
      </c>
      <c r="BA110" s="180">
        <f>$F110*(VLOOKUP(BA$4, Rates_previous!$G$6:$Q$29, 10, FALSE)+VLOOKUP(BA$4, Rates_previous!$G$6:$Q$29, 11, FALSE))</f>
        <v>10862.752523505831</v>
      </c>
      <c r="BB110" s="180">
        <f>$F110*(VLOOKUP(BB$4, Rates_previous!$G$6:$Q$29, 10, FALSE)+VLOOKUP(BB$4, Rates_previous!$G$6:$Q$29, 11, FALSE))</f>
        <v>8433.481188214535</v>
      </c>
      <c r="BC110" s="180">
        <f>$F110*(VLOOKUP(BC$4, Rates_previous!$G$6:$Q$29, 10, FALSE)+VLOOKUP(BC$4, Rates_previous!$G$6:$Q$29, 11, FALSE))</f>
        <v>11684.650248125417</v>
      </c>
      <c r="BD110" s="180">
        <f>$F110*(VLOOKUP(BD$4, Rates_previous!$G$6:$Q$29, 10, FALSE)+VLOOKUP(BD$4, Rates_previous!$G$6:$Q$29, 11, FALSE))</f>
        <v>12485.293456781206</v>
      </c>
      <c r="BE110" s="180">
        <f>$F110*(VLOOKUP(BE$4, Rates_previous!$G$6:$Q$29, 10, FALSE)+VLOOKUP(BE$4, Rates_previous!$G$6:$Q$29, 11, FALSE))</f>
        <v>11854.220783165409</v>
      </c>
      <c r="BF110" s="180">
        <f>$F110*(VLOOKUP(BF$4, Rates_previous!$G$6:$Q$29, 10, FALSE)+VLOOKUP(BF$4, Rates_previous!$G$6:$Q$29, 11, FALSE))</f>
        <v>11456.189881377584</v>
      </c>
      <c r="BG110" s="180">
        <f>$F110*(VLOOKUP(BG$4, Rates_previous!$G$6:$Q$29, 10, FALSE)+VLOOKUP(BG$4, Rates_previous!$G$6:$Q$29, 11, FALSE))</f>
        <v>10586.713710859476</v>
      </c>
      <c r="BH110" s="298">
        <f>IF($D110=0,IF(C110=0, MAX(BJ110 - (VLOOKUP($A110,TOCA_previous!$A$2:$AI$137,MATCH("RHWM 2022",TOCA_previous!$A$2:$AI$2,0),FALSE)*$F$2*TOCA_previous!C107),0),0), 0)</f>
        <v>6619.9227991903608</v>
      </c>
      <c r="BI110" s="192">
        <f>MIN(VLOOKUP($A110,TOCA_previous!$A$2:$AI$137,MATCH("TRL - NLSL - Existing Resource "&amp;$F$1,TOCA_previous!$A$2:$AI$2,0),FALSE)*$F$2,(VLOOKUP($A110,TOCA_previous!$A$2:$AI$137,MATCH("RHWM 2022",TOCA_previous!$A$2:$AI$2,0),FALSE)*$F$2))</f>
        <v>132915.48000000001</v>
      </c>
      <c r="BJ110" s="402">
        <f>SUM(L110:AI110)+(F110*RT1SC!$C$3*$F$2)</f>
        <v>139535.40279919037</v>
      </c>
      <c r="BK110" s="401">
        <f>VLOOKUP($A110,TOCA_previous!$A$2:$AI$137,MATCH("Above RHWM Not Served with LS "&amp;$F$1,TOCA_previous!$A$2:$AI$2,0),FALSE)*$F$2</f>
        <v>0</v>
      </c>
      <c r="BL110" s="402">
        <f t="shared" si="27"/>
        <v>6619.9227991903608</v>
      </c>
      <c r="BM110" s="401">
        <f>(VLOOKUP($A110,TOCA_previous!$A$2:$AI$137,MATCH("RHWM 2022",TOCA_previous!$A$2:$AI$2,0),FALSE)*$F$2) - $BI110</f>
        <v>0</v>
      </c>
      <c r="BN110" s="402">
        <f t="shared" si="28"/>
        <v>0</v>
      </c>
      <c r="BO110" s="401">
        <f t="shared" si="29"/>
        <v>0</v>
      </c>
      <c r="BP110" s="402">
        <f t="shared" si="30"/>
        <v>0</v>
      </c>
      <c r="BQ110" s="401">
        <f t="shared" si="37"/>
        <v>0</v>
      </c>
      <c r="BR110" s="108">
        <f>VLOOKUP($A110,TOCA_current!$A$2:$AI$137,MATCH(BR$4,TOCA_current!$A$2:$AI$2,0),FALSE)</f>
        <v>2.2488999999999999E-3</v>
      </c>
      <c r="BS110" s="108">
        <f>VLOOKUP($A110,TOCA_current!$A$2:$AI$137,MATCH(BS$4,TOCA_current!$A$2:$AI$2,0),FALSE)</f>
        <v>2.2488999999999999E-3</v>
      </c>
      <c r="BT110" s="189">
        <f t="shared" si="31"/>
        <v>0</v>
      </c>
      <c r="BU110" s="108">
        <f>VLOOKUP($A110,TOCA_current!A106:BG241,MATCH(BU$4,TOCA_current!$A$2:$BG$2,0),FALSE)</f>
        <v>4.9999999999999996E-2</v>
      </c>
      <c r="BV110" s="108">
        <f t="shared" si="38"/>
        <v>0</v>
      </c>
      <c r="BW110" s="108">
        <f t="shared" si="39"/>
        <v>0</v>
      </c>
      <c r="BX110" s="179">
        <f>VLOOKUP($A110,IRD!$A$4:$G$139, 7, FALSE)</f>
        <v>0</v>
      </c>
      <c r="BY110" s="180">
        <f t="array" ref="BY110">IF($BT110=0, INDEX(LS_current!$D$4:$AY$138, MATCH('Staging Table'!$A110, LS_current!$B$4:$B$138, 0), MATCH(BY$4&amp;BY$5, LS_current!$D$2:$AY$2&amp;LS_current!$D$3:$AY$3, 0)),SUM(VLOOKUP($A110, LS_current!$B$4:$AY$138, LS_current!D$148, FALSE), VLOOKUP($A110, LS_current!$B$4:$AY$138,LS_current!AB$148, FALSE))/2)</f>
        <v>1166.2636074395996</v>
      </c>
      <c r="BZ110" s="180">
        <f t="array" ref="BZ110">IF($BT110=0, INDEX(LS_current!$D$4:$AY$138, MATCH('Staging Table'!$A110, LS_current!$B$4:$B$138, 0), MATCH(BZ$4&amp;BZ$5, LS_current!$D$2:$AY$2&amp;LS_current!$D$3:$AY$3, 0)),SUM(VLOOKUP($A110, LS_current!$B$4:$AY$138, LS_current!E$148, FALSE), VLOOKUP($A110, LS_current!$B$4:$AY$138,LS_current!AC$148, FALSE))/2)</f>
        <v>269.46161332305064</v>
      </c>
      <c r="CA110" s="180">
        <f t="array" ref="CA110">IF($BT110=0, INDEX(LS_current!$D$4:$AY$138, MATCH('Staging Table'!$A110, LS_current!$B$4:$B$138, 0), MATCH(CA$4&amp;CA$5, LS_current!$D$2:$AY$2&amp;LS_current!$D$3:$AY$3, 0)),SUM(VLOOKUP($A110, LS_current!$B$4:$AY$138, LS_current!F$148, FALSE), VLOOKUP($A110, LS_current!$B$4:$AY$138,LS_current!AD$148, FALSE))/2)</f>
        <v>187.35144806080007</v>
      </c>
      <c r="CB110" s="180">
        <f t="array" ref="CB110">IF($BT110=0, INDEX(LS_current!$D$4:$AY$138, MATCH('Staging Table'!$A110, LS_current!$B$4:$B$138, 0), MATCH(CB$4&amp;CB$5, LS_current!$D$2:$AY$2&amp;LS_current!$D$3:$AY$3, 0)),SUM(VLOOKUP($A110, LS_current!$B$4:$AY$138, LS_current!G$148, FALSE), VLOOKUP($A110, LS_current!$B$4:$AY$138,LS_current!AE$148, FALSE))/2)</f>
        <v>-61.622453255899927</v>
      </c>
      <c r="CC110" s="180">
        <f t="array" ref="CC110">IF($BT110=0, INDEX(LS_current!$D$4:$AY$138, MATCH('Staging Table'!$A110, LS_current!$B$4:$B$138, 0), MATCH(CC$4&amp;CC$5, LS_current!$D$2:$AY$2&amp;LS_current!$D$3:$AY$3, 0)),SUM(VLOOKUP($A110, LS_current!$B$4:$AY$138, LS_current!H$148, FALSE), VLOOKUP($A110, LS_current!$B$4:$AY$138,LS_current!AF$148, FALSE))/2)</f>
        <v>909.31662156290076</v>
      </c>
      <c r="CD110" s="180">
        <f t="array" ref="CD110">IF($BT110=0, INDEX(LS_current!$D$4:$AY$138, MATCH('Staging Table'!$A110, LS_current!$B$4:$B$138, 0), MATCH(CD$4&amp;CD$5, LS_current!$D$2:$AY$2&amp;LS_current!$D$3:$AY$3, 0)),SUM(VLOOKUP($A110, LS_current!$B$4:$AY$138, LS_current!I$148, FALSE), VLOOKUP($A110, LS_current!$B$4:$AY$138,LS_current!AG$148, FALSE))/2)</f>
        <v>1015.6257770656002</v>
      </c>
      <c r="CE110" s="180">
        <f t="array" ref="CE110">IF($BT110=0, INDEX(LS_current!$D$4:$AY$138, MATCH('Staging Table'!$A110, LS_current!$B$4:$B$138, 0), MATCH(CE$4&amp;CE$5, LS_current!$D$2:$AY$2&amp;LS_current!$D$3:$AY$3, 0)),SUM(VLOOKUP($A110, LS_current!$B$4:$AY$138, LS_current!J$148, FALSE), VLOOKUP($A110, LS_current!$B$4:$AY$138,LS_current!AH$148, FALSE))/2)</f>
        <v>1872.4039021365006</v>
      </c>
      <c r="CF110" s="180">
        <f t="array" ref="CF110">IF($BT110=0, INDEX(LS_current!$D$4:$AY$138, MATCH('Staging Table'!$A110, LS_current!$B$4:$B$138, 0), MATCH(CF$4&amp;CF$5, LS_current!$D$2:$AY$2&amp;LS_current!$D$3:$AY$3, 0)),SUM(VLOOKUP($A110, LS_current!$B$4:$AY$138, LS_current!K$148, FALSE), VLOOKUP($A110, LS_current!$B$4:$AY$138,LS_current!AI$148, FALSE))/2)</f>
        <v>1299.9153865819007</v>
      </c>
      <c r="CG110" s="180">
        <f t="array" ref="CG110">IF($BT110=0, INDEX(LS_current!$D$4:$AY$138, MATCH('Staging Table'!$A110, LS_current!$B$4:$B$138, 0), MATCH(CG$4&amp;CG$5, LS_current!$D$2:$AY$2&amp;LS_current!$D$3:$AY$3, 0)),SUM(VLOOKUP($A110, LS_current!$B$4:$AY$138, LS_current!L$148, FALSE), VLOOKUP($A110, LS_current!$B$4:$AY$138,LS_current!AJ$148, FALSE))/2)</f>
        <v>1371.0582677169014</v>
      </c>
      <c r="CH110" s="180">
        <f t="array" ref="CH110">IF($BT110=0, INDEX(LS_current!$D$4:$AY$138, MATCH('Staging Table'!$A110, LS_current!$B$4:$B$138, 0), MATCH(CH$4&amp;CH$5, LS_current!$D$2:$AY$2&amp;LS_current!$D$3:$AY$3, 0)),SUM(VLOOKUP($A110, LS_current!$B$4:$AY$138, LS_current!M$148, FALSE), VLOOKUP($A110, LS_current!$B$4:$AY$138,LS_current!AK$148, FALSE))/2)</f>
        <v>932.66348440489946</v>
      </c>
      <c r="CI110" s="180">
        <f t="array" ref="CI110">IF($BT110=0, INDEX(LS_current!$D$4:$AY$138, MATCH('Staging Table'!$A110, LS_current!$B$4:$B$138, 0), MATCH(CI$4&amp;CI$5, LS_current!$D$2:$AY$2&amp;LS_current!$D$3:$AY$3, 0)),SUM(VLOOKUP($A110, LS_current!$B$4:$AY$138, LS_current!N$148, FALSE), VLOOKUP($A110, LS_current!$B$4:$AY$138,LS_current!AL$148, FALSE))/2)</f>
        <v>203.50490677430116</v>
      </c>
      <c r="CJ110" s="180">
        <f t="array" ref="CJ110">IF($BT110=0, INDEX(LS_current!$D$4:$AY$138, MATCH('Staging Table'!$A110, LS_current!$B$4:$B$138, 0), MATCH(CJ$4&amp;CJ$5, LS_current!$D$2:$AY$2&amp;LS_current!$D$3:$AY$3, 0)),SUM(VLOOKUP($A110, LS_current!$B$4:$AY$138, LS_current!O$148, FALSE), VLOOKUP($A110, LS_current!$B$4:$AY$138,LS_current!AM$148, FALSE))/2)</f>
        <v>15.912063455800308</v>
      </c>
      <c r="CK110" s="180">
        <f t="array" ref="CK110">IF($BT110=0, INDEX(LS_current!$D$4:$AY$138, MATCH('Staging Table'!$A110, LS_current!$B$4:$B$138, 0), MATCH(CK$4&amp;CK$5, LS_current!$D$2:$AY$2&amp;LS_current!$D$3:$AY$3, 0)),SUM(VLOOKUP($A110, LS_current!$B$4:$AY$138, LS_current!P$148, FALSE), VLOOKUP($A110, LS_current!$B$4:$AY$138,LS_current!AN$148, FALSE))/2)</f>
        <v>1295.9921491802506</v>
      </c>
      <c r="CL110" s="180">
        <f t="array" ref="CL110">IF($BT110=0, INDEX(LS_current!$D$4:$AY$138, MATCH('Staging Table'!$A110, LS_current!$B$4:$B$138, 0), MATCH(CL$4&amp;CL$5, LS_current!$D$2:$AY$2&amp;LS_current!$D$3:$AY$3, 0)),SUM(VLOOKUP($A110, LS_current!$B$4:$AY$138, LS_current!Q$148, FALSE), VLOOKUP($A110, LS_current!$B$4:$AY$138,LS_current!AO$148, FALSE))/2)</f>
        <v>201.90094587042586</v>
      </c>
      <c r="CM110" s="180">
        <f t="array" ref="CM110">IF($BT110=0, INDEX(LS_current!$D$4:$AY$138, MATCH('Staging Table'!$A110, LS_current!$B$4:$B$138, 0), MATCH(CM$4&amp;CM$5, LS_current!$D$2:$AY$2&amp;LS_current!$D$3:$AY$3, 0)),SUM(VLOOKUP($A110, LS_current!$B$4:$AY$138, LS_current!R$148, FALSE), VLOOKUP($A110, LS_current!$B$4:$AY$138,LS_current!AP$148, FALSE))/2)</f>
        <v>-1488.0169094672001</v>
      </c>
      <c r="CN110" s="180">
        <f t="array" ref="CN110">IF($BT110=0, INDEX(LS_current!$D$4:$AY$138, MATCH('Staging Table'!$A110, LS_current!$B$4:$B$138, 0), MATCH(CN$4&amp;CN$5, LS_current!$D$2:$AY$2&amp;LS_current!$D$3:$AY$3, 0)),SUM(VLOOKUP($A110, LS_current!$B$4:$AY$138, LS_current!S$148, FALSE), VLOOKUP($A110, LS_current!$B$4:$AY$138,LS_current!AQ$148, FALSE))/2)</f>
        <v>-1447.3058305506493</v>
      </c>
      <c r="CO110" s="180">
        <f t="array" ref="CO110">IF($BT110=0, INDEX(LS_current!$D$4:$AY$138, MATCH('Staging Table'!$A110, LS_current!$B$4:$B$138, 0), MATCH(CO$4&amp;CO$5, LS_current!$D$2:$AY$2&amp;LS_current!$D$3:$AY$3, 0)),SUM(VLOOKUP($A110, LS_current!$B$4:$AY$138, LS_current!T$148, FALSE), VLOOKUP($A110, LS_current!$B$4:$AY$138,LS_current!AR$148, FALSE))/2)</f>
        <v>-2347.5598247813987</v>
      </c>
      <c r="CP110" s="180">
        <f t="array" ref="CP110">IF($BT110=0, INDEX(LS_current!$D$4:$AY$138, MATCH('Staging Table'!$A110, LS_current!$B$4:$B$138, 0), MATCH(CP$4&amp;CP$5, LS_current!$D$2:$AY$2&amp;LS_current!$D$3:$AY$3, 0)),SUM(VLOOKUP($A110, LS_current!$B$4:$AY$138, LS_current!U$148, FALSE), VLOOKUP($A110, LS_current!$B$4:$AY$138,LS_current!AS$148, FALSE))/2)</f>
        <v>-1480.8156700650497</v>
      </c>
      <c r="CQ110" s="180">
        <f t="array" ref="CQ110">IF($BT110=0, INDEX(LS_current!$D$4:$AY$138, MATCH('Staging Table'!$A110, LS_current!$B$4:$B$138, 0), MATCH(CQ$4&amp;CQ$5, LS_current!$D$2:$AY$2&amp;LS_current!$D$3:$AY$3, 0)),SUM(VLOOKUP($A110, LS_current!$B$4:$AY$138, LS_current!V$148, FALSE), VLOOKUP($A110, LS_current!$B$4:$AY$138,LS_current!AT$148, FALSE))/2)</f>
        <v>-901.08973405959932</v>
      </c>
      <c r="CR110" s="180">
        <f t="array" ref="CR110">IF($BT110=0, INDEX(LS_current!$D$4:$AY$138, MATCH('Staging Table'!$A110, LS_current!$B$4:$B$138, 0), MATCH(CR$4&amp;CR$5, LS_current!$D$2:$AY$2&amp;LS_current!$D$3:$AY$3, 0)),SUM(VLOOKUP($A110, LS_current!$B$4:$AY$138, LS_current!W$148, FALSE), VLOOKUP($A110, LS_current!$B$4:$AY$138,LS_current!AU$148, FALSE))/2)</f>
        <v>-810.97471698474965</v>
      </c>
      <c r="CS110" s="180">
        <f t="array" ref="CS110">IF($BT110=0, INDEX(LS_current!$D$4:$AY$138, MATCH('Staging Table'!$A110, LS_current!$B$4:$B$138, 0), MATCH(CS$4&amp;CS$5, LS_current!$D$2:$AY$2&amp;LS_current!$D$3:$AY$3, 0)),SUM(VLOOKUP($A110, LS_current!$B$4:$AY$138, LS_current!X$148, FALSE), VLOOKUP($A110, LS_current!$B$4:$AY$138,LS_current!AV$148, FALSE))/2)</f>
        <v>-391.55976668634958</v>
      </c>
      <c r="CT110" s="180">
        <f t="array" ref="CT110">IF($BT110=0, INDEX(LS_current!$D$4:$AY$138, MATCH('Staging Table'!$A110, LS_current!$B$4:$B$138, 0), MATCH(CT$4&amp;CT$5, LS_current!$D$2:$AY$2&amp;LS_current!$D$3:$AY$3, 0)),SUM(VLOOKUP($A110, LS_current!$B$4:$AY$138, LS_current!Y$148, FALSE), VLOOKUP($A110, LS_current!$B$4:$AY$138,LS_current!AW$148, FALSE))/2)</f>
        <v>-701.50496777466424</v>
      </c>
      <c r="CU110" s="180">
        <f t="array" ref="CU110">IF($BT110=0, INDEX(LS_current!$D$4:$AY$138, MATCH('Staging Table'!$A110, LS_current!$B$4:$B$138, 0), MATCH(CU$4&amp;CU$5, LS_current!$D$2:$AY$2&amp;LS_current!$D$3:$AY$3, 0)),SUM(VLOOKUP($A110, LS_current!$B$4:$AY$138, LS_current!Z$148, FALSE), VLOOKUP($A110, LS_current!$B$4:$AY$138,LS_current!AX$148, FALSE))/2)</f>
        <v>-536.45568439859926</v>
      </c>
      <c r="CV110" s="180">
        <f t="array" ref="CV110">IF($BT110=0, INDEX(LS_current!$D$4:$AY$138, MATCH('Staging Table'!$A110, LS_current!$B$4:$B$138, 0), MATCH(CV$4&amp;CV$5, LS_current!$D$2:$AY$2&amp;LS_current!$D$3:$AY$3, 0)),SUM(VLOOKUP($A110, LS_current!$B$4:$AY$138, LS_current!AA$148, FALSE), VLOOKUP($A110, LS_current!$B$4:$AY$138,LS_current!AY$148, FALSE))/2)</f>
        <v>-571.16477798559981</v>
      </c>
      <c r="CW110" s="182">
        <f t="array" ref="CW110">INDEX(Demand_current!$D$4:$AY$138, MATCH($A110, Demand_current!$B$4:$B$138, 0), MATCH(CW$4&amp;CW$5,Demand_current!$D$2:$AY$2&amp;Demand_current!$D$3:$AY$3, 0))/1000</f>
        <v>1.1849447115384626</v>
      </c>
      <c r="CX110" s="182">
        <f t="array" ref="CX110">INDEX(Demand_current!$D$4:$AY$138, MATCH($A110, Demand_current!$B$4:$B$138, 0), MATCH(CX$4&amp;CX$5,Demand_current!$D$2:$AY$2&amp;Demand_current!$D$3:$AY$3, 0))/1000</f>
        <v>0.81785750000000323</v>
      </c>
      <c r="CY110" s="182">
        <f t="array" ref="CY110">INDEX(Demand_current!$D$4:$AY$138, MATCH($A110, Demand_current!$B$4:$B$138, 0), MATCH(CY$4&amp;CY$5,Demand_current!$D$2:$AY$2&amp;Demand_current!$D$3:$AY$3, 0))/1000</f>
        <v>2.5396574999999983</v>
      </c>
      <c r="CZ110" s="182">
        <f t="array" ref="CZ110">INDEX(Demand_current!$D$4:$AY$138, MATCH($A110, Demand_current!$B$4:$B$138, 0), MATCH(CZ$4&amp;CZ$5,Demand_current!$D$2:$AY$2&amp;Demand_current!$D$3:$AY$3, 0))/1000</f>
        <v>0</v>
      </c>
      <c r="DA110" s="182">
        <f t="array" ref="DA110">INDEX(Demand_current!$D$4:$AY$138, MATCH($A110, Demand_current!$B$4:$B$138, 0), MATCH(DA$4&amp;DA$5,Demand_current!$D$2:$AY$2&amp;Demand_current!$D$3:$AY$3, 0))/1000</f>
        <v>6.1189524999999989</v>
      </c>
      <c r="DB110" s="182">
        <f t="array" ref="DB110">INDEX(Demand_current!$D$4:$AY$138, MATCH($A110, Demand_current!$B$4:$B$138, 0), MATCH(DB$4&amp;DB$5,Demand_current!$D$2:$AY$2&amp;Demand_current!$D$3:$AY$3, 0))/1000</f>
        <v>4.2625096153846149</v>
      </c>
      <c r="DC110" s="182">
        <f t="array" ref="DC110">INDEX(Demand_current!$D$4:$AY$138, MATCH($A110, Demand_current!$B$4:$B$138, 0), MATCH(DC$4&amp;DC$5,Demand_current!$D$2:$AY$2&amp;Demand_current!$D$3:$AY$3, 0))/1000</f>
        <v>1.2312716346153865</v>
      </c>
      <c r="DD110" s="182">
        <f t="array" ref="DD110">INDEX(Demand_current!$D$4:$AY$138, MATCH($A110, Demand_current!$B$4:$B$138, 0), MATCH(DD$4&amp;DD$5,Demand_current!$D$2:$AY$2&amp;Demand_current!$D$3:$AY$3, 0))/1000</f>
        <v>0</v>
      </c>
      <c r="DE110" s="182">
        <f t="array" ref="DE110">INDEX(Demand_current!$D$4:$AY$138, MATCH($A110, Demand_current!$B$4:$B$138, 0), MATCH(DE$4&amp;DE$5,Demand_current!$D$2:$AY$2&amp;Demand_current!$D$3:$AY$3, 0))/1000</f>
        <v>4.2396449999999977</v>
      </c>
      <c r="DF110" s="182">
        <f t="array" ref="DF110">INDEX(Demand_current!$D$4:$AY$138, MATCH($A110, Demand_current!$B$4:$B$138, 0), MATCH(DF$4&amp;DF$5,Demand_current!$D$2:$AY$2&amp;Demand_current!$D$3:$AY$3, 0))/1000</f>
        <v>2.9316778846153837</v>
      </c>
      <c r="DG110" s="182">
        <f t="array" ref="DG110">INDEX(Demand_current!$D$4:$AY$138, MATCH($A110, Demand_current!$B$4:$B$138, 0), MATCH(DG$4&amp;DG$5,Demand_current!$D$2:$AY$2&amp;Demand_current!$D$3:$AY$3, 0))/1000</f>
        <v>3.7698124999999987</v>
      </c>
      <c r="DH110" s="182">
        <f t="array" ref="DH110">INDEX(Demand_current!$D$4:$AY$138, MATCH($A110, Demand_current!$B$4:$B$138, 0), MATCH(DH$4&amp;DH$5,Demand_current!$D$2:$AY$2&amp;Demand_current!$D$3:$AY$3, 0))/1000</f>
        <v>1.8296067708333323</v>
      </c>
      <c r="DI110" s="180">
        <f>$BS110*(VLOOKUP(DI$4, Rates_current!$G$6:$Q$29, 10, FALSE)+VLOOKUP(DI$4, Rates_current!$G$6:$Q$29, 11, FALSE))</f>
        <v>9487.6677792373503</v>
      </c>
      <c r="DJ110" s="180">
        <f>$BS110*(VLOOKUP(DJ$4, Rates_current!$G$6:$Q$29, 10, FALSE)+VLOOKUP(DJ$4, Rates_current!$G$6:$Q$29, 11, FALSE))</f>
        <v>12099.905005195102</v>
      </c>
      <c r="DK110" s="180">
        <f>$BS110*(VLOOKUP(DK$4, Rates_current!$G$6:$Q$29, 10, FALSE)+VLOOKUP(DK$4, Rates_current!$G$6:$Q$29, 11, FALSE))</f>
        <v>13058.1916013715</v>
      </c>
      <c r="DL110" s="180">
        <f>$BS110*(VLOOKUP(DL$4, Rates_current!$G$6:$Q$29, 10, FALSE)+VLOOKUP(DL$4, Rates_current!$G$6:$Q$29, 11, FALSE))</f>
        <v>13569.4797112816</v>
      </c>
      <c r="DM110" s="180">
        <f>$BS110*(VLOOKUP(DM$4, Rates_current!$G$6:$Q$29, 10, FALSE)+VLOOKUP(DM$4, Rates_current!$G$6:$Q$29, 11, FALSE))</f>
        <v>11671.561247878199</v>
      </c>
      <c r="DN110" s="180">
        <f>$BS110*(VLOOKUP(DN$4, Rates_current!$G$6:$Q$29, 10, FALSE)+VLOOKUP(DN$4, Rates_current!$G$6:$Q$29, 11, FALSE))</f>
        <v>12743.034029769899</v>
      </c>
      <c r="DO110" s="180">
        <f>$BS110*(VLOOKUP(DO$4, Rates_current!$G$6:$Q$29, 10, FALSE)+VLOOKUP(DO$4, Rates_current!$G$6:$Q$29, 11, FALSE))</f>
        <v>10058.477904949323</v>
      </c>
      <c r="DP110" s="180">
        <f>$BS110*(VLOOKUP(DP$4, Rates_current!$G$6:$Q$29, 10, FALSE)+VLOOKUP(DP$4, Rates_current!$G$6:$Q$29, 11, FALSE))</f>
        <v>12478.88974001785</v>
      </c>
      <c r="DQ110" s="180">
        <f>$BS110*(VLOOKUP(DQ$4, Rates_current!$G$6:$Q$29, 10, FALSE)+VLOOKUP(DQ$4, Rates_current!$G$6:$Q$29, 11, FALSE))</f>
        <v>12749.650494846448</v>
      </c>
      <c r="DR110" s="180">
        <f>$BS110*(VLOOKUP(DR$4, Rates_current!$G$6:$Q$29, 10, FALSE)+VLOOKUP(DR$4, Rates_current!$G$6:$Q$29, 11, FALSE))</f>
        <v>11068.53345104435</v>
      </c>
      <c r="DS110" s="180">
        <f>$BS110*(VLOOKUP(DS$4, Rates_current!$G$6:$Q$29, 10, FALSE)+VLOOKUP(DS$4, Rates_current!$G$6:$Q$29, 11, FALSE))</f>
        <v>10700.329734461015</v>
      </c>
      <c r="DT110" s="180">
        <f>$BS110*(VLOOKUP(DT$4, Rates_current!$G$6:$Q$29, 10, FALSE)+VLOOKUP(DT$4, Rates_current!$G$6:$Q$29, 11, FALSE))</f>
        <v>9846.3754623841996</v>
      </c>
      <c r="DU110" s="402">
        <f>IF(D110=0,IF(C110=0,MAX(0,DW110 - (VLOOKUP($A110,TOCA_current!$A$2:$AI$137,MATCH("RHWM 2024",TOCA_current!$A$2:$AI$2,0),FALSE)*$BS$2)), 0),0)</f>
        <v>0</v>
      </c>
      <c r="DV110" s="403">
        <f>MIN(VLOOKUP($A110,TOCA_current!$A$2:$AI$137,MATCH("TRL - NLSL - Existing Resource "&amp;$BS$1,TOCA_current!$A$2:$AI$2,0),FALSE)*$BS$2, VLOOKUP($A110,TOCA_current!$A$2:$AI$137,MATCH("RHWM 2024",TOCA_current!$A$2:$AI$2,0),FALSE)*$BS$2)</f>
        <v>139533.84</v>
      </c>
      <c r="DW110" s="403">
        <f>SUM(BY110:CV110)+(BS110*RT1SC!$C$4*$BS$2)</f>
        <v>139535.39663958718</v>
      </c>
      <c r="DX110" s="403">
        <f>VLOOKUP($A110,TOCA_current!$A$2:$AI$137,MATCH("Above RHWM Not Served with LS "&amp;$BS$1,TOCA_current!$A$2:$AI$2,0),FALSE)*$BS$2</f>
        <v>0</v>
      </c>
      <c r="DY110" s="403">
        <f t="shared" si="32"/>
        <v>1.5566395871865097</v>
      </c>
      <c r="DZ110" s="403">
        <f>(VLOOKUP($A110,TOCA_current!$A$2:$AI$137,MATCH("RHWM 2024",TOCA_current!$A$2:$AI$2,0),FALSE)*$BS$2) - $DV110</f>
        <v>193.24799999999232</v>
      </c>
      <c r="EA110" s="403">
        <f t="shared" si="33"/>
        <v>-1.5566395871865097</v>
      </c>
      <c r="EB110" s="403">
        <f t="shared" si="34"/>
        <v>0</v>
      </c>
      <c r="EC110" s="403">
        <f t="shared" si="35"/>
        <v>0</v>
      </c>
      <c r="ED110" s="403">
        <f t="shared" si="36"/>
        <v>-1.5566395871865097</v>
      </c>
    </row>
    <row r="111" spans="1:134">
      <c r="A111" s="123">
        <v>10354</v>
      </c>
      <c r="B111" s="124" t="s">
        <v>112</v>
      </c>
      <c r="C111" s="232">
        <f>VLOOKUP(A111, TOCA_current!$A$3:$D$137, 4, FALSE)</f>
        <v>0</v>
      </c>
      <c r="D111" s="191">
        <v>1</v>
      </c>
      <c r="E111" s="107">
        <f>VLOOKUP($A111,TOCA_previous!$A$2:$AI$137,MATCH(E$4,TOCA_previous!$A$2:$AI$2,0),FALSE)</f>
        <v>0.1100759</v>
      </c>
      <c r="F111" s="108">
        <f>VLOOKUP($A111,TOCA_previous!$A$2:$AI$137,MATCH(F$4,TOCA_previous!$A$2:$AI$2,0),FALSE)</f>
        <v>5.5712200000000003E-2</v>
      </c>
      <c r="G111" s="108">
        <f t="shared" si="24"/>
        <v>5.4363700000000001E-2</v>
      </c>
      <c r="H111" s="108">
        <f>VLOOKUP($A111,TOCA_previous!$A$2:$AI$137,MATCH(H$4,TOCA_previous!$A$2:$AI$2,0),FALSE)</f>
        <v>0</v>
      </c>
      <c r="I111" s="108">
        <f t="shared" si="25"/>
        <v>0</v>
      </c>
      <c r="J111" s="108">
        <f t="shared" si="26"/>
        <v>0</v>
      </c>
      <c r="K111" s="179">
        <f>VLOOKUP(A111, IRD!$A$5:$C$139, 3, FALSE)</f>
        <v>0</v>
      </c>
      <c r="L111" s="180">
        <f t="array" ref="L111">IF($G111=0, INDEX(LS_previous!$D$4:$AY$138, MATCH('Staging Table'!$A111, LS_previous!$B$4:$B$138, 0), MATCH(L$4&amp;L$5, LS_previous!$D$2:$AY$2&amp;LS_previous!$D$3:$AY$3, 0)),SUM(VLOOKUP($A111, LS_previous!$B$4:$AY$138, LS_previous!D$149, FALSE), VLOOKUP('Staging Table'!$A111, LS_previous!$B$4:$AY$138,LS_previous!AB$149, FALSE))/2)</f>
        <v>-11952.99773515042</v>
      </c>
      <c r="M111" s="180">
        <f t="array" ref="M111">IF($G111=0, INDEX(LS_previous!$D$4:$AY$138, MATCH('Staging Table'!$A111, LS_previous!$B$4:$B$138, 0), MATCH(M$4&amp;M$5, LS_previous!$D$2:$AY$2&amp;LS_previous!$D$3:$AY$3, 0)),SUM(VLOOKUP($A111, LS_previous!$B$4:$AY$138, LS_previous!E$149, FALSE), VLOOKUP('Staging Table'!$A111, LS_previous!$B$4:$AY$138,LS_previous!AC$149, FALSE))/2)</f>
        <v>27780.312504690461</v>
      </c>
      <c r="N111" s="180">
        <f t="array" ref="N111">IF($G111=0, INDEX(LS_previous!$D$4:$AY$138, MATCH('Staging Table'!$A111, LS_previous!$B$4:$B$138, 0), MATCH(N$4&amp;N$5, LS_previous!$D$2:$AY$2&amp;LS_previous!$D$3:$AY$3, 0)),SUM(VLOOKUP($A111, LS_previous!$B$4:$AY$138, LS_previous!F$149, FALSE), VLOOKUP('Staging Table'!$A111, LS_previous!$B$4:$AY$138,LS_previous!AD$149, FALSE))/2)</f>
        <v>-29219.344009343244</v>
      </c>
      <c r="O111" s="180">
        <f t="array" ref="O111">IF($G111=0, INDEX(LS_previous!$D$4:$AY$138, MATCH('Staging Table'!$A111, LS_previous!$B$4:$B$138, 0), MATCH(O$4&amp;O$5, LS_previous!$D$2:$AY$2&amp;LS_previous!$D$3:$AY$3, 0)),SUM(VLOOKUP($A111, LS_previous!$B$4:$AY$138, LS_previous!G$149, FALSE), VLOOKUP('Staging Table'!$A111, LS_previous!$B$4:$AY$138,LS_previous!AE$149, FALSE))/2)</f>
        <v>10529.908083425005</v>
      </c>
      <c r="P111" s="180">
        <f t="array" ref="P111">IF($G111=0, INDEX(LS_previous!$D$4:$AY$138, MATCH('Staging Table'!$A111, LS_previous!$B$4:$B$138, 0), MATCH(P$4&amp;P$5, LS_previous!$D$2:$AY$2&amp;LS_previous!$D$3:$AY$3, 0)),SUM(VLOOKUP($A111, LS_previous!$B$4:$AY$138, LS_previous!H$149, FALSE), VLOOKUP('Staging Table'!$A111, LS_previous!$B$4:$AY$138,LS_previous!AF$149, FALSE))/2)</f>
        <v>17030.882399155555</v>
      </c>
      <c r="Q111" s="180">
        <f t="array" ref="Q111">IF($G111=0, INDEX(LS_previous!$D$4:$AY$138, MATCH('Staging Table'!$A111, LS_previous!$B$4:$B$138, 0), MATCH(Q$4&amp;Q$5, LS_previous!$D$2:$AY$2&amp;LS_previous!$D$3:$AY$3, 0)),SUM(VLOOKUP($A111, LS_previous!$B$4:$AY$138, LS_previous!I$149, FALSE), VLOOKUP('Staging Table'!$A111, LS_previous!$B$4:$AY$138,LS_previous!AG$149, FALSE))/2)</f>
        <v>20236.22608567428</v>
      </c>
      <c r="R111" s="180">
        <f t="array" ref="R111">IF($G111=0, INDEX(LS_previous!$D$4:$AY$138, MATCH('Staging Table'!$A111, LS_previous!$B$4:$B$138, 0), MATCH(R$4&amp;R$5, LS_previous!$D$2:$AY$2&amp;LS_previous!$D$3:$AY$3, 0)),SUM(VLOOKUP($A111, LS_previous!$B$4:$AY$138, LS_previous!J$149, FALSE), VLOOKUP('Staging Table'!$A111, LS_previous!$B$4:$AY$138,LS_previous!AH$149, FALSE))/2)</f>
        <v>37752.643201526851</v>
      </c>
      <c r="S111" s="180">
        <f t="array" ref="S111">IF($G111=0, INDEX(LS_previous!$D$4:$AY$138, MATCH('Staging Table'!$A111, LS_previous!$B$4:$B$138, 0), MATCH(S$4&amp;S$5, LS_previous!$D$2:$AY$2&amp;LS_previous!$D$3:$AY$3, 0)),SUM(VLOOKUP($A111, LS_previous!$B$4:$AY$138, LS_previous!K$149, FALSE), VLOOKUP('Staging Table'!$A111, LS_previous!$B$4:$AY$138,LS_previous!AI$149, FALSE))/2)</f>
        <v>47514.167925753005</v>
      </c>
      <c r="T111" s="180">
        <f t="array" ref="T111">IF($G111=0, INDEX(LS_previous!$D$4:$AY$138, MATCH('Staging Table'!$A111, LS_previous!$B$4:$B$138, 0), MATCH(T$4&amp;T$5, LS_previous!$D$2:$AY$2&amp;LS_previous!$D$3:$AY$3, 0)),SUM(VLOOKUP($A111, LS_previous!$B$4:$AY$138, LS_previous!L$149, FALSE), VLOOKUP('Staging Table'!$A111, LS_previous!$B$4:$AY$138,LS_previous!AJ$149, FALSE))/2)</f>
        <v>34477.443567667244</v>
      </c>
      <c r="U111" s="180">
        <f t="array" ref="U111">IF($G111=0, INDEX(LS_previous!$D$4:$AY$138, MATCH('Staging Table'!$A111, LS_previous!$B$4:$B$138, 0), MATCH(U$4&amp;U$5, LS_previous!$D$2:$AY$2&amp;LS_previous!$D$3:$AY$3, 0)),SUM(VLOOKUP($A111, LS_previous!$B$4:$AY$138, LS_previous!M$149, FALSE), VLOOKUP('Staging Table'!$A111, LS_previous!$B$4:$AY$138,LS_previous!AK$149, FALSE))/2)</f>
        <v>29572.688158906712</v>
      </c>
      <c r="V111" s="180">
        <f t="array" ref="V111">IF($G111=0, INDEX(LS_previous!$D$4:$AY$138, MATCH('Staging Table'!$A111, LS_previous!$B$4:$B$138, 0), MATCH(V$4&amp;V$5, LS_previous!$D$2:$AY$2&amp;LS_previous!$D$3:$AY$3, 0)),SUM(VLOOKUP($A111, LS_previous!$B$4:$AY$138, LS_previous!N$149, FALSE), VLOOKUP('Staging Table'!$A111, LS_previous!$B$4:$AY$138,LS_previous!AL$149, FALSE))/2)</f>
        <v>5097.8660960360139</v>
      </c>
      <c r="W111" s="180">
        <f t="array" ref="W111">IF($G111=0, INDEX(LS_previous!$D$4:$AY$138, MATCH('Staging Table'!$A111, LS_previous!$B$4:$B$138, 0), MATCH(W$4&amp;W$5, LS_previous!$D$2:$AY$2&amp;LS_previous!$D$3:$AY$3, 0)),SUM(VLOOKUP($A111, LS_previous!$B$4:$AY$138, LS_previous!O$149, FALSE), VLOOKUP('Staging Table'!$A111, LS_previous!$B$4:$AY$138,LS_previous!AM$149, FALSE))/2)</f>
        <v>18742.147239681522</v>
      </c>
      <c r="X111" s="180">
        <f t="array" ref="X111">IF($G111=0, INDEX(LS_previous!$D$4:$AY$138, MATCH('Staging Table'!$A111, LS_previous!$B$4:$B$138, 0), MATCH(X$4&amp;X$5, LS_previous!$D$2:$AY$2&amp;LS_previous!$D$3:$AY$3, 0)),SUM(VLOOKUP($A111, LS_previous!$B$4:$AY$138, LS_previous!P$149, FALSE), VLOOKUP('Staging Table'!$A111, LS_previous!$B$4:$AY$138,LS_previous!AN$149, FALSE))/2)</f>
        <v>16698.036956246186</v>
      </c>
      <c r="Y111" s="180">
        <f t="array" ref="Y111">IF($G111=0, INDEX(LS_previous!$D$4:$AY$138, MATCH('Staging Table'!$A111, LS_previous!$B$4:$B$138, 0), MATCH(Y$4&amp;Y$5, LS_previous!$D$2:$AY$2&amp;LS_previous!$D$3:$AY$3, 0)),SUM(VLOOKUP($A111, LS_previous!$B$4:$AY$138, LS_previous!Q$149, FALSE), VLOOKUP('Staging Table'!$A111, LS_previous!$B$4:$AY$138,LS_previous!AO$149, FALSE))/2)</f>
        <v>30994.153077277006</v>
      </c>
      <c r="Z111" s="180">
        <f t="array" ref="Z111">IF($G111=0, INDEX(LS_previous!$D$4:$AY$138, MATCH('Staging Table'!$A111, LS_previous!$B$4:$B$138, 0), MATCH(Z$4&amp;Z$5, LS_previous!$D$2:$AY$2&amp;LS_previous!$D$3:$AY$3, 0)),SUM(VLOOKUP($A111, LS_previous!$B$4:$AY$138, LS_previous!R$149, FALSE), VLOOKUP('Staging Table'!$A111, LS_previous!$B$4:$AY$138,LS_previous!AP$149, FALSE))/2)</f>
        <v>-61140.742523737055</v>
      </c>
      <c r="AA111" s="180">
        <f t="array" ref="AA111">IF($G111=0, INDEX(LS_previous!$D$4:$AY$138, MATCH('Staging Table'!$A111, LS_previous!$B$4:$B$138, 0), MATCH(AA$4&amp;AA$5, LS_previous!$D$2:$AY$2&amp;LS_previous!$D$3:$AY$3, 0)),SUM(VLOOKUP($A111, LS_previous!$B$4:$AY$138, LS_previous!S$149, FALSE), VLOOKUP('Staging Table'!$A111, LS_previous!$B$4:$AY$138,LS_previous!AQ$149, FALSE))/2)</f>
        <v>15544.61602290802</v>
      </c>
      <c r="AB111" s="180">
        <f t="array" ref="AB111">IF($G111=0, INDEX(LS_previous!$D$4:$AY$138, MATCH('Staging Table'!$A111, LS_previous!$B$4:$B$138, 0), MATCH(AB$4&amp;AB$5, LS_previous!$D$2:$AY$2&amp;LS_previous!$D$3:$AY$3, 0)),SUM(VLOOKUP($A111, LS_previous!$B$4:$AY$138, LS_previous!T$149, FALSE), VLOOKUP('Staging Table'!$A111, LS_previous!$B$4:$AY$138,LS_previous!AR$149, FALSE))/2)</f>
        <v>-85107.641152944823</v>
      </c>
      <c r="AC111" s="180">
        <f t="array" ref="AC111">IF($G111=0, INDEX(LS_previous!$D$4:$AY$138, MATCH('Staging Table'!$A111, LS_previous!$B$4:$B$138, 0), MATCH(AC$4&amp;AC$5, LS_previous!$D$2:$AY$2&amp;LS_previous!$D$3:$AY$3, 0)),SUM(VLOOKUP($A111, LS_previous!$B$4:$AY$138, LS_previous!U$149, FALSE), VLOOKUP('Staging Table'!$A111, LS_previous!$B$4:$AY$138,LS_previous!AS$149, FALSE))/2)</f>
        <v>9933.3987558792069</v>
      </c>
      <c r="AD111" s="180">
        <f t="array" ref="AD111">IF($G111=0, INDEX(LS_previous!$D$4:$AY$138, MATCH('Staging Table'!$A111, LS_previous!$B$4:$B$138, 0), MATCH(AD$4&amp;AD$5, LS_previous!$D$2:$AY$2&amp;LS_previous!$D$3:$AY$3, 0)),SUM(VLOOKUP($A111, LS_previous!$B$4:$AY$138, LS_previous!V$149, FALSE), VLOOKUP('Staging Table'!$A111, LS_previous!$B$4:$AY$138,LS_previous!AT$149, FALSE))/2)</f>
        <v>-69587.808608656371</v>
      </c>
      <c r="AE111" s="180">
        <f t="array" ref="AE111">IF($G111=0, INDEX(LS_previous!$D$4:$AY$138, MATCH('Staging Table'!$A111, LS_previous!$B$4:$B$138, 0), MATCH(AE$4&amp;AE$5, LS_previous!$D$2:$AY$2&amp;LS_previous!$D$3:$AY$3, 0)),SUM(VLOOKUP($A111, LS_previous!$B$4:$AY$138, LS_previous!W$149, FALSE), VLOOKUP('Staging Table'!$A111, LS_previous!$B$4:$AY$138,LS_previous!AU$149, FALSE))/2)</f>
        <v>9976.4392171547661</v>
      </c>
      <c r="AF111" s="180">
        <f t="array" ref="AF111">IF($G111=0, INDEX(LS_previous!$D$4:$AY$138, MATCH('Staging Table'!$A111, LS_previous!$B$4:$B$138, 0), MATCH(AF$4&amp;AF$5, LS_previous!$D$2:$AY$2&amp;LS_previous!$D$3:$AY$3, 0)),SUM(VLOOKUP($A111, LS_previous!$B$4:$AY$138, LS_previous!X$149, FALSE), VLOOKUP('Staging Table'!$A111, LS_previous!$B$4:$AY$138,LS_previous!AV$149, FALSE))/2)</f>
        <v>-55129.95054227316</v>
      </c>
      <c r="AG111" s="180">
        <f t="array" ref="AG111">IF($G111=0, INDEX(LS_previous!$D$4:$AY$138, MATCH('Staging Table'!$A111, LS_previous!$B$4:$B$138, 0), MATCH(AG$4&amp;AG$5, LS_previous!$D$2:$AY$2&amp;LS_previous!$D$3:$AY$3, 0)),SUM(VLOOKUP($A111, LS_previous!$B$4:$AY$138, LS_previous!Y$149, FALSE), VLOOKUP('Staging Table'!$A111, LS_previous!$B$4:$AY$138,LS_previous!AW$149, FALSE))/2)</f>
        <v>5334.4147873667971</v>
      </c>
      <c r="AH111" s="180">
        <f t="array" ref="AH111">IF($G111=0, INDEX(LS_previous!$D$4:$AY$138, MATCH('Staging Table'!$A111, LS_previous!$B$4:$B$138, 0), MATCH(AH$4&amp;AH$5, LS_previous!$D$2:$AY$2&amp;LS_previous!$D$3:$AY$3, 0)),SUM(VLOOKUP($A111, LS_previous!$B$4:$AY$138, LS_previous!Z$149, FALSE), VLOOKUP('Staging Table'!$A111, LS_previous!$B$4:$AY$138,LS_previous!AX$149, FALSE))/2)</f>
        <v>-35508.813653158577</v>
      </c>
      <c r="AI111" s="180">
        <f t="array" ref="AI111">IF($G111=0, INDEX(LS_previous!$D$4:$AY$138, MATCH('Staging Table'!$A111, LS_previous!$B$4:$B$138, 0), MATCH(AI$4&amp;AI$5, LS_previous!$D$2:$AY$2&amp;LS_previous!$D$3:$AY$3, 0)),SUM(VLOOKUP($A111, LS_previous!$B$4:$AY$138, LS_previous!AA$149, FALSE), VLOOKUP('Staging Table'!$A111, LS_previous!$B$4:$AY$138,LS_previous!AY$149, FALSE))/2)</f>
        <v>10433.237910329102</v>
      </c>
      <c r="AJ111" s="298">
        <f t="array" ref="AJ111">INDEX(Demand_previous!$D$4:$AY$138, MATCH('Staging Table'!$A111, Demand_previous!$B$4:$B$138, 0), MATCH(AJ$4&amp;AJ$5,Demand_previous!$D$2:$AY$2&amp;Demand_previous!$D$3:$AY$3, 0))/1000</f>
        <v>0</v>
      </c>
      <c r="AK111" s="298">
        <f t="array" ref="AK111">INDEX(Demand_previous!$D$4:$AY$138, MATCH('Staging Table'!$A111, Demand_previous!$B$4:$B$138, 0), MATCH(AK$4&amp;AK$5,Demand_previous!$D$2:$AY$2&amp;Demand_previous!$D$3:$AY$3, 0))/1000</f>
        <v>0</v>
      </c>
      <c r="AL111" s="298">
        <f t="array" ref="AL111">INDEX(Demand_previous!$D$4:$AY$138, MATCH('Staging Table'!$A111, Demand_previous!$B$4:$B$138, 0), MATCH(AL$4&amp;AL$5,Demand_previous!$D$2:$AY$2&amp;Demand_previous!$D$3:$AY$3, 0))/1000</f>
        <v>0</v>
      </c>
      <c r="AM111" s="298">
        <f t="array" ref="AM111">INDEX(Demand_previous!$D$4:$AY$138, MATCH('Staging Table'!$A111, Demand_previous!$B$4:$B$138, 0), MATCH(AM$4&amp;AM$5,Demand_previous!$D$2:$AY$2&amp;Demand_previous!$D$3:$AY$3, 0))/1000</f>
        <v>0</v>
      </c>
      <c r="AN111" s="298">
        <f t="array" ref="AN111">INDEX(Demand_previous!$D$4:$AY$138, MATCH('Staging Table'!$A111, Demand_previous!$B$4:$B$138, 0), MATCH(AN$4&amp;AN$5,Demand_previous!$D$2:$AY$2&amp;Demand_previous!$D$3:$AY$3, 0))/1000</f>
        <v>0</v>
      </c>
      <c r="AO111" s="298">
        <f t="array" ref="AO111">INDEX(Demand_previous!$D$4:$AY$138, MATCH('Staging Table'!$A111, Demand_previous!$B$4:$B$138, 0), MATCH(AO$4&amp;AO$5,Demand_previous!$D$2:$AY$2&amp;Demand_previous!$D$3:$AY$3, 0))/1000</f>
        <v>0</v>
      </c>
      <c r="AP111" s="298">
        <f t="array" ref="AP111">INDEX(Demand_previous!$D$4:$AY$138, MATCH('Staging Table'!$A111, Demand_previous!$B$4:$B$138, 0), MATCH(AP$4&amp;AP$5,Demand_previous!$D$2:$AY$2&amp;Demand_previous!$D$3:$AY$3, 0))/1000</f>
        <v>0</v>
      </c>
      <c r="AQ111" s="298">
        <f t="array" ref="AQ111">INDEX(Demand_previous!$D$4:$AY$138, MATCH('Staging Table'!$A111, Demand_previous!$B$4:$B$138, 0), MATCH(AQ$4&amp;AQ$5,Demand_previous!$D$2:$AY$2&amp;Demand_previous!$D$3:$AY$3, 0))/1000</f>
        <v>0</v>
      </c>
      <c r="AR111" s="298">
        <f t="array" ref="AR111">INDEX(Demand_previous!$D$4:$AY$138, MATCH('Staging Table'!$A111, Demand_previous!$B$4:$B$138, 0), MATCH(AR$4&amp;AR$5,Demand_previous!$D$2:$AY$2&amp;Demand_previous!$D$3:$AY$3, 0))/1000</f>
        <v>0</v>
      </c>
      <c r="AS111" s="298">
        <f t="array" ref="AS111">INDEX(Demand_previous!$D$4:$AY$138, MATCH('Staging Table'!$A111, Demand_previous!$B$4:$B$138, 0), MATCH(AS$4&amp;AS$5,Demand_previous!$D$2:$AY$2&amp;Demand_previous!$D$3:$AY$3, 0))/1000</f>
        <v>0</v>
      </c>
      <c r="AT111" s="298">
        <f t="array" ref="AT111">INDEX(Demand_previous!$D$4:$AY$138, MATCH('Staging Table'!$A111, Demand_previous!$B$4:$B$138, 0), MATCH(AT$4&amp;AT$5,Demand_previous!$D$2:$AY$2&amp;Demand_previous!$D$3:$AY$3, 0))/1000</f>
        <v>0</v>
      </c>
      <c r="AU111" s="298">
        <f t="array" ref="AU111">INDEX(Demand_previous!$D$4:$AY$138, MATCH('Staging Table'!$A111, Demand_previous!$B$4:$B$138, 0), MATCH(AU$4&amp;AU$5,Demand_previous!$D$2:$AY$2&amp;Demand_previous!$D$3:$AY$3, 0))/1000</f>
        <v>0</v>
      </c>
      <c r="AV111" s="180">
        <f>$F111*(VLOOKUP(AV$4, Rates_previous!$G$6:$Q$29, 10, FALSE)+VLOOKUP(AV$4, Rates_previous!$G$6:$Q$29, 11, FALSE))</f>
        <v>253709.14811443241</v>
      </c>
      <c r="AW111" s="180">
        <f>$F111*(VLOOKUP(AW$4, Rates_previous!$G$6:$Q$29, 10, FALSE)+VLOOKUP(AW$4, Rates_previous!$G$6:$Q$29, 11, FALSE))</f>
        <v>321204.98925148882</v>
      </c>
      <c r="AX111" s="180">
        <f>$F111*(VLOOKUP(AX$4, Rates_previous!$G$6:$Q$29, 10, FALSE)+VLOOKUP(AX$4, Rates_previous!$G$6:$Q$29, 11, FALSE))</f>
        <v>314395.51311152912</v>
      </c>
      <c r="AY111" s="180">
        <f>$F111*(VLOOKUP(AY$4, Rates_previous!$G$6:$Q$29, 10, FALSE)+VLOOKUP(AY$4, Rates_previous!$G$6:$Q$29, 11, FALSE))</f>
        <v>259677.32421063411</v>
      </c>
      <c r="AZ111" s="180">
        <f>$F111*(VLOOKUP(AZ$4, Rates_previous!$G$6:$Q$29, 10, FALSE)+VLOOKUP(AZ$4, Rates_previous!$G$6:$Q$29, 11, FALSE))</f>
        <v>225068.02826418591</v>
      </c>
      <c r="BA111" s="180">
        <f>$F111*(VLOOKUP(BA$4, Rates_previous!$G$6:$Q$29, 10, FALSE)+VLOOKUP(BA$4, Rates_previous!$G$6:$Q$29, 11, FALSE))</f>
        <v>268685.77567930281</v>
      </c>
      <c r="BB111" s="180">
        <f>$F111*(VLOOKUP(BB$4, Rates_previous!$G$6:$Q$29, 10, FALSE)+VLOOKUP(BB$4, Rates_previous!$G$6:$Q$29, 11, FALSE))</f>
        <v>208598.73497338212</v>
      </c>
      <c r="BC111" s="180">
        <f>$F111*(VLOOKUP(BC$4, Rates_previous!$G$6:$Q$29, 10, FALSE)+VLOOKUP(BC$4, Rates_previous!$G$6:$Q$29, 11, FALSE))</f>
        <v>289015.08238039998</v>
      </c>
      <c r="BD111" s="180">
        <f>$F111*(VLOOKUP(BD$4, Rates_previous!$G$6:$Q$29, 10, FALSE)+VLOOKUP(BD$4, Rates_previous!$G$6:$Q$29, 11, FALSE))</f>
        <v>308818.66725398955</v>
      </c>
      <c r="BE111" s="180">
        <f>$F111*(VLOOKUP(BE$4, Rates_previous!$G$6:$Q$29, 10, FALSE)+VLOOKUP(BE$4, Rates_previous!$G$6:$Q$29, 11, FALSE))</f>
        <v>293209.34075469186</v>
      </c>
      <c r="BF111" s="180">
        <f>$F111*(VLOOKUP(BF$4, Rates_previous!$G$6:$Q$29, 10, FALSE)+VLOOKUP(BF$4, Rates_previous!$G$6:$Q$29, 11, FALSE))</f>
        <v>283364.20791568299</v>
      </c>
      <c r="BG111" s="180">
        <f>$F111*(VLOOKUP(BG$4, Rates_previous!$G$6:$Q$29, 10, FALSE)+VLOOKUP(BG$4, Rates_previous!$G$6:$Q$29, 11, FALSE))</f>
        <v>261858.0676621139</v>
      </c>
      <c r="BH111" s="298">
        <f>IF($D111=0,IF(C111=0, MAX(BJ111 - (VLOOKUP($A111,TOCA_previous!$A$2:$AI$137,MATCH("RHWM 2022",TOCA_previous!$A$2:$AI$2,0),FALSE)*$F$2*TOCA_previous!C108),0),0), 0)</f>
        <v>0</v>
      </c>
      <c r="BI111" s="192">
        <f>MIN(VLOOKUP($A111,TOCA_previous!$A$2:$AI$137,MATCH("TRL - NLSL - Existing Resource "&amp;$F$1,TOCA_previous!$A$2:$AI$2,0),FALSE)*$F$2,(VLOOKUP($A111,TOCA_previous!$A$2:$AI$137,MATCH("RHWM 2022",TOCA_previous!$A$2:$AI$2,0),FALSE)*$F$2))</f>
        <v>6495636.3599999994</v>
      </c>
      <c r="BJ111" s="402">
        <f>SUM(L111:AI111)+(F111*RT1SC!$C$3*$F$2)</f>
        <v>3287606.3315114621</v>
      </c>
      <c r="BK111" s="401">
        <f>VLOOKUP($A111,TOCA_previous!$A$2:$AI$137,MATCH("Above RHWM Not Served with LS "&amp;$F$1,TOCA_previous!$A$2:$AI$2,0),FALSE)*$F$2</f>
        <v>0</v>
      </c>
      <c r="BL111" s="402">
        <f t="shared" si="27"/>
        <v>-3208030.0284885373</v>
      </c>
      <c r="BM111" s="401">
        <f>(VLOOKUP($A111,TOCA_previous!$A$2:$AI$137,MATCH("RHWM 2022",TOCA_previous!$A$2:$AI$2,0),FALSE)*$F$2) - $BI111</f>
        <v>181533.48000000138</v>
      </c>
      <c r="BN111" s="402">
        <f t="shared" si="28"/>
        <v>0</v>
      </c>
      <c r="BO111" s="401">
        <f t="shared" si="29"/>
        <v>3208030.0284885373</v>
      </c>
      <c r="BP111" s="402">
        <f t="shared" si="30"/>
        <v>0</v>
      </c>
      <c r="BQ111" s="401">
        <f t="shared" si="37"/>
        <v>0</v>
      </c>
      <c r="BR111" s="108">
        <f>VLOOKUP($A111,TOCA_current!$A$2:$AI$137,MATCH(BR$4,TOCA_current!$A$2:$AI$2,0),FALSE)</f>
        <v>0.10469299999999999</v>
      </c>
      <c r="BS111" s="108">
        <f>VLOOKUP($A111,TOCA_current!$A$2:$AI$137,MATCH(BS$4,TOCA_current!$A$2:$AI$2,0),FALSE)</f>
        <v>5.0340799999999991E-2</v>
      </c>
      <c r="BT111" s="189">
        <f t="shared" si="31"/>
        <v>5.4352200000000003E-2</v>
      </c>
      <c r="BU111" s="108">
        <f>VLOOKUP($A111,TOCA_current!A107:BG242,MATCH(BU$4,TOCA_current!$A$2:$BG$2,0),FALSE)</f>
        <v>0</v>
      </c>
      <c r="BV111" s="108">
        <f t="shared" si="38"/>
        <v>0</v>
      </c>
      <c r="BW111" s="108">
        <f t="shared" si="39"/>
        <v>0</v>
      </c>
      <c r="BX111" s="179">
        <f>VLOOKUP($A111,IRD!$A$4:$G$139, 7, FALSE)</f>
        <v>0</v>
      </c>
      <c r="BY111" s="180">
        <f t="array" ref="BY111">IF($BT111=0, INDEX(LS_current!$D$4:$AY$138, MATCH('Staging Table'!$A111, LS_current!$B$4:$B$138, 0), MATCH(BY$4&amp;BY$5, LS_current!$D$2:$AY$2&amp;LS_current!$D$3:$AY$3, 0)),SUM(VLOOKUP($A111, LS_current!$B$4:$AY$138, LS_current!D$148, FALSE), VLOOKUP($A111, LS_current!$B$4:$AY$138,LS_current!AB$148, FALSE))/2)</f>
        <v>17272.557659431281</v>
      </c>
      <c r="BZ111" s="180">
        <f t="array" ref="BZ111">IF($BT111=0, INDEX(LS_current!$D$4:$AY$138, MATCH('Staging Table'!$A111, LS_current!$B$4:$B$138, 0), MATCH(BZ$4&amp;BZ$5, LS_current!$D$2:$AY$2&amp;LS_current!$D$3:$AY$3, 0)),SUM(VLOOKUP($A111, LS_current!$B$4:$AY$138, LS_current!E$148, FALSE), VLOOKUP($A111, LS_current!$B$4:$AY$138,LS_current!AC$148, FALSE))/2)</f>
        <v>26103.941137807094</v>
      </c>
      <c r="CA111" s="180">
        <f t="array" ref="CA111">IF($BT111=0, INDEX(LS_current!$D$4:$AY$138, MATCH('Staging Table'!$A111, LS_current!$B$4:$B$138, 0), MATCH(CA$4&amp;CA$5, LS_current!$D$2:$AY$2&amp;LS_current!$D$3:$AY$3, 0)),SUM(VLOOKUP($A111, LS_current!$B$4:$AY$138, LS_current!F$148, FALSE), VLOOKUP($A111, LS_current!$B$4:$AY$138,LS_current!AD$148, FALSE))/2)</f>
        <v>-5135.2396814265958</v>
      </c>
      <c r="CB111" s="180">
        <f t="array" ref="CB111">IF($BT111=0, INDEX(LS_current!$D$4:$AY$138, MATCH('Staging Table'!$A111, LS_current!$B$4:$B$138, 0), MATCH(CB$4&amp;CB$5, LS_current!$D$2:$AY$2&amp;LS_current!$D$3:$AY$3, 0)),SUM(VLOOKUP($A111, LS_current!$B$4:$AY$138, LS_current!G$148, FALSE), VLOOKUP($A111, LS_current!$B$4:$AY$138,LS_current!AE$148, FALSE))/2)</f>
        <v>21236.880253886367</v>
      </c>
      <c r="CC111" s="180">
        <f t="array" ref="CC111">IF($BT111=0, INDEX(LS_current!$D$4:$AY$138, MATCH('Staging Table'!$A111, LS_current!$B$4:$B$138, 0), MATCH(CC$4&amp;CC$5, LS_current!$D$2:$AY$2&amp;LS_current!$D$3:$AY$3, 0)),SUM(VLOOKUP($A111, LS_current!$B$4:$AY$138, LS_current!H$148, FALSE), VLOOKUP($A111, LS_current!$B$4:$AY$138,LS_current!AF$148, FALSE))/2)</f>
        <v>2208.0604761250579</v>
      </c>
      <c r="CD111" s="180">
        <f t="array" ref="CD111">IF($BT111=0, INDEX(LS_current!$D$4:$AY$138, MATCH('Staging Table'!$A111, LS_current!$B$4:$B$138, 0), MATCH(CD$4&amp;CD$5, LS_current!$D$2:$AY$2&amp;LS_current!$D$3:$AY$3, 0)),SUM(VLOOKUP($A111, LS_current!$B$4:$AY$138, LS_current!I$148, FALSE), VLOOKUP($A111, LS_current!$B$4:$AY$138,LS_current!AG$148, FALSE))/2)</f>
        <v>39221.940504559563</v>
      </c>
      <c r="CE111" s="180">
        <f t="array" ref="CE111">IF($BT111=0, INDEX(LS_current!$D$4:$AY$138, MATCH('Staging Table'!$A111, LS_current!$B$4:$B$138, 0), MATCH(CE$4&amp;CE$5, LS_current!$D$2:$AY$2&amp;LS_current!$D$3:$AY$3, 0)),SUM(VLOOKUP($A111, LS_current!$B$4:$AY$138, LS_current!J$148, FALSE), VLOOKUP($A111, LS_current!$B$4:$AY$138,LS_current!AH$148, FALSE))/2)</f>
        <v>-4934.215167275659</v>
      </c>
      <c r="CF111" s="180">
        <f t="array" ref="CF111">IF($BT111=0, INDEX(LS_current!$D$4:$AY$138, MATCH('Staging Table'!$A111, LS_current!$B$4:$B$138, 0), MATCH(CF$4&amp;CF$5, LS_current!$D$2:$AY$2&amp;LS_current!$D$3:$AY$3, 0)),SUM(VLOOKUP($A111, LS_current!$B$4:$AY$138, LS_current!K$148, FALSE), VLOOKUP($A111, LS_current!$B$4:$AY$138,LS_current!AI$148, FALSE))/2)</f>
        <v>28686.177328767692</v>
      </c>
      <c r="CG111" s="180">
        <f t="array" ref="CG111">IF($BT111=0, INDEX(LS_current!$D$4:$AY$138, MATCH('Staging Table'!$A111, LS_current!$B$4:$B$138, 0), MATCH(CG$4&amp;CG$5, LS_current!$D$2:$AY$2&amp;LS_current!$D$3:$AY$3, 0)),SUM(VLOOKUP($A111, LS_current!$B$4:$AY$138, LS_current!L$148, FALSE), VLOOKUP($A111, LS_current!$B$4:$AY$138,LS_current!AJ$148, FALSE))/2)</f>
        <v>-5983.0589713147638</v>
      </c>
      <c r="CH111" s="180">
        <f t="array" ref="CH111">IF($BT111=0, INDEX(LS_current!$D$4:$AY$138, MATCH('Staging Table'!$A111, LS_current!$B$4:$B$138, 0), MATCH(CH$4&amp;CH$5, LS_current!$D$2:$AY$2&amp;LS_current!$D$3:$AY$3, 0)),SUM(VLOOKUP($A111, LS_current!$B$4:$AY$138, LS_current!M$148, FALSE), VLOOKUP($A111, LS_current!$B$4:$AY$138,LS_current!AK$148, FALSE))/2)</f>
        <v>23461.821029033978</v>
      </c>
      <c r="CI111" s="180">
        <f t="array" ref="CI111">IF($BT111=0, INDEX(LS_current!$D$4:$AY$138, MATCH('Staging Table'!$A111, LS_current!$B$4:$B$138, 0), MATCH(CI$4&amp;CI$5, LS_current!$D$2:$AY$2&amp;LS_current!$D$3:$AY$3, 0)),SUM(VLOOKUP($A111, LS_current!$B$4:$AY$138, LS_current!N$148, FALSE), VLOOKUP($A111, LS_current!$B$4:$AY$138,LS_current!AL$148, FALSE))/2)</f>
        <v>-18239.699398513156</v>
      </c>
      <c r="CJ111" s="180">
        <f t="array" ref="CJ111">IF($BT111=0, INDEX(LS_current!$D$4:$AY$138, MATCH('Staging Table'!$A111, LS_current!$B$4:$B$138, 0), MATCH(CJ$4&amp;CJ$5, LS_current!$D$2:$AY$2&amp;LS_current!$D$3:$AY$3, 0)),SUM(VLOOKUP($A111, LS_current!$B$4:$AY$138, LS_current!O$148, FALSE), VLOOKUP($A111, LS_current!$B$4:$AY$138,LS_current!AM$148, FALSE))/2)</f>
        <v>10594.757542979547</v>
      </c>
      <c r="CK111" s="180">
        <f t="array" ref="CK111">IF($BT111=0, INDEX(LS_current!$D$4:$AY$138, MATCH('Staging Table'!$A111, LS_current!$B$4:$B$138, 0), MATCH(CK$4&amp;CK$5, LS_current!$D$2:$AY$2&amp;LS_current!$D$3:$AY$3, 0)),SUM(VLOOKUP($A111, LS_current!$B$4:$AY$138, LS_current!P$148, FALSE), VLOOKUP($A111, LS_current!$B$4:$AY$138,LS_current!AN$148, FALSE))/2)</f>
        <v>3518.7554504016734</v>
      </c>
      <c r="CL111" s="180">
        <f t="array" ref="CL111">IF($BT111=0, INDEX(LS_current!$D$4:$AY$138, MATCH('Staging Table'!$A111, LS_current!$B$4:$B$138, 0), MATCH(CL$4&amp;CL$5, LS_current!$D$2:$AY$2&amp;LS_current!$D$3:$AY$3, 0)),SUM(VLOOKUP($A111, LS_current!$B$4:$AY$138, LS_current!Q$148, FALSE), VLOOKUP($A111, LS_current!$B$4:$AY$138,LS_current!AO$148, FALSE))/2)</f>
        <v>14611.320668829307</v>
      </c>
      <c r="CM111" s="180">
        <f t="array" ref="CM111">IF($BT111=0, INDEX(LS_current!$D$4:$AY$138, MATCH('Staging Table'!$A111, LS_current!$B$4:$B$138, 0), MATCH(CM$4&amp;CM$5, LS_current!$D$2:$AY$2&amp;LS_current!$D$3:$AY$3, 0)),SUM(VLOOKUP($A111, LS_current!$B$4:$AY$138, LS_current!R$148, FALSE), VLOOKUP($A111, LS_current!$B$4:$AY$138,LS_current!AP$148, FALSE))/2)</f>
        <v>-40670.594025065548</v>
      </c>
      <c r="CN111" s="180">
        <f t="array" ref="CN111">IF($BT111=0, INDEX(LS_current!$D$4:$AY$138, MATCH('Staging Table'!$A111, LS_current!$B$4:$B$138, 0), MATCH(CN$4&amp;CN$5, LS_current!$D$2:$AY$2&amp;LS_current!$D$3:$AY$3, 0)),SUM(VLOOKUP($A111, LS_current!$B$4:$AY$138, LS_current!S$148, FALSE), VLOOKUP($A111, LS_current!$B$4:$AY$138,LS_current!AQ$148, FALSE))/2)</f>
        <v>-7836.2759474516279</v>
      </c>
      <c r="CO111" s="180">
        <f t="array" ref="CO111">IF($BT111=0, INDEX(LS_current!$D$4:$AY$138, MATCH('Staging Table'!$A111, LS_current!$B$4:$B$138, 0), MATCH(CO$4&amp;CO$5, LS_current!$D$2:$AY$2&amp;LS_current!$D$3:$AY$3, 0)),SUM(VLOOKUP($A111, LS_current!$B$4:$AY$138, LS_current!T$148, FALSE), VLOOKUP($A111, LS_current!$B$4:$AY$138,LS_current!AR$148, FALSE))/2)</f>
        <v>-56165.55303233509</v>
      </c>
      <c r="CP111" s="180">
        <f t="array" ref="CP111">IF($BT111=0, INDEX(LS_current!$D$4:$AY$138, MATCH('Staging Table'!$A111, LS_current!$B$4:$B$138, 0), MATCH(CP$4&amp;CP$5, LS_current!$D$2:$AY$2&amp;LS_current!$D$3:$AY$3, 0)),SUM(VLOOKUP($A111, LS_current!$B$4:$AY$138, LS_current!U$148, FALSE), VLOOKUP($A111, LS_current!$B$4:$AY$138,LS_current!AS$148, FALSE))/2)</f>
        <v>-7755.0147749699536</v>
      </c>
      <c r="CQ111" s="180">
        <f t="array" ref="CQ111">IF($BT111=0, INDEX(LS_current!$D$4:$AY$138, MATCH('Staging Table'!$A111, LS_current!$B$4:$B$138, 0), MATCH(CQ$4&amp;CQ$5, LS_current!$D$2:$AY$2&amp;LS_current!$D$3:$AY$3, 0)),SUM(VLOOKUP($A111, LS_current!$B$4:$AY$138, LS_current!V$148, FALSE), VLOOKUP($A111, LS_current!$B$4:$AY$138,LS_current!AT$148, FALSE))/2)</f>
        <v>-30562.490158896086</v>
      </c>
      <c r="CR111" s="180">
        <f t="array" ref="CR111">IF($BT111=0, INDEX(LS_current!$D$4:$AY$138, MATCH('Staging Table'!$A111, LS_current!$B$4:$B$138, 0), MATCH(CR$4&amp;CR$5, LS_current!$D$2:$AY$2&amp;LS_current!$D$3:$AY$3, 0)),SUM(VLOOKUP($A111, LS_current!$B$4:$AY$138, LS_current!W$148, FALSE), VLOOKUP($A111, LS_current!$B$4:$AY$138,LS_current!AU$148, FALSE))/2)</f>
        <v>4262.0834980344007</v>
      </c>
      <c r="CS111" s="180">
        <f t="array" ref="CS111">IF($BT111=0, INDEX(LS_current!$D$4:$AY$138, MATCH('Staging Table'!$A111, LS_current!$B$4:$B$138, 0), MATCH(CS$4&amp;CS$5, LS_current!$D$2:$AY$2&amp;LS_current!$D$3:$AY$3, 0)),SUM(VLOOKUP($A111, LS_current!$B$4:$AY$138, LS_current!X$148, FALSE), VLOOKUP($A111, LS_current!$B$4:$AY$138,LS_current!AV$148, FALSE))/2)</f>
        <v>-25737.537318079318</v>
      </c>
      <c r="CT111" s="180">
        <f t="array" ref="CT111">IF($BT111=0, INDEX(LS_current!$D$4:$AY$138, MATCH('Staging Table'!$A111, LS_current!$B$4:$B$138, 0), MATCH(CT$4&amp;CT$5, LS_current!$D$2:$AY$2&amp;LS_current!$D$3:$AY$3, 0)),SUM(VLOOKUP($A111, LS_current!$B$4:$AY$138, LS_current!Y$148, FALSE), VLOOKUP($A111, LS_current!$B$4:$AY$138,LS_current!AW$148, FALSE))/2)</f>
        <v>7676.8205727135282</v>
      </c>
      <c r="CU111" s="180">
        <f t="array" ref="CU111">IF($BT111=0, INDEX(LS_current!$D$4:$AY$138, MATCH('Staging Table'!$A111, LS_current!$B$4:$B$138, 0), MATCH(CU$4&amp;CU$5, LS_current!$D$2:$AY$2&amp;LS_current!$D$3:$AY$3, 0)),SUM(VLOOKUP($A111, LS_current!$B$4:$AY$138, LS_current!Z$148, FALSE), VLOOKUP($A111, LS_current!$B$4:$AY$138,LS_current!AX$148, FALSE))/2)</f>
        <v>-9357.1671484268008</v>
      </c>
      <c r="CV111" s="180">
        <f t="array" ref="CV111">IF($BT111=0, INDEX(LS_current!$D$4:$AY$138, MATCH('Staging Table'!$A111, LS_current!$B$4:$B$138, 0), MATCH(CV$4&amp;CV$5, LS_current!$D$2:$AY$2&amp;LS_current!$D$3:$AY$3, 0)),SUM(VLOOKUP($A111, LS_current!$B$4:$AY$138, LS_current!AA$148, FALSE), VLOOKUP($A111, LS_current!$B$4:$AY$138,LS_current!AY$148, FALSE))/2)</f>
        <v>13524.499961788715</v>
      </c>
      <c r="CW111" s="182">
        <f t="array" ref="CW111">INDEX(Demand_current!$D$4:$AY$138, MATCH($A111, Demand_current!$B$4:$B$138, 0), MATCH(CW$4&amp;CW$5,Demand_current!$D$2:$AY$2&amp;Demand_current!$D$3:$AY$3, 0))/1000</f>
        <v>0</v>
      </c>
      <c r="CX111" s="182">
        <f t="array" ref="CX111">INDEX(Demand_current!$D$4:$AY$138, MATCH($A111, Demand_current!$B$4:$B$138, 0), MATCH(CX$4&amp;CX$5,Demand_current!$D$2:$AY$2&amp;Demand_current!$D$3:$AY$3, 0))/1000</f>
        <v>0</v>
      </c>
      <c r="CY111" s="182">
        <f t="array" ref="CY111">INDEX(Demand_current!$D$4:$AY$138, MATCH($A111, Demand_current!$B$4:$B$138, 0), MATCH(CY$4&amp;CY$5,Demand_current!$D$2:$AY$2&amp;Demand_current!$D$3:$AY$3, 0))/1000</f>
        <v>0</v>
      </c>
      <c r="CZ111" s="182">
        <f t="array" ref="CZ111">INDEX(Demand_current!$D$4:$AY$138, MATCH($A111, Demand_current!$B$4:$B$138, 0), MATCH(CZ$4&amp;CZ$5,Demand_current!$D$2:$AY$2&amp;Demand_current!$D$3:$AY$3, 0))/1000</f>
        <v>0</v>
      </c>
      <c r="DA111" s="182">
        <f t="array" ref="DA111">INDEX(Demand_current!$D$4:$AY$138, MATCH($A111, Demand_current!$B$4:$B$138, 0), MATCH(DA$4&amp;DA$5,Demand_current!$D$2:$AY$2&amp;Demand_current!$D$3:$AY$3, 0))/1000</f>
        <v>0</v>
      </c>
      <c r="DB111" s="182">
        <f t="array" ref="DB111">INDEX(Demand_current!$D$4:$AY$138, MATCH($A111, Demand_current!$B$4:$B$138, 0), MATCH(DB$4&amp;DB$5,Demand_current!$D$2:$AY$2&amp;Demand_current!$D$3:$AY$3, 0))/1000</f>
        <v>0</v>
      </c>
      <c r="DC111" s="182">
        <f t="array" ref="DC111">INDEX(Demand_current!$D$4:$AY$138, MATCH($A111, Demand_current!$B$4:$B$138, 0), MATCH(DC$4&amp;DC$5,Demand_current!$D$2:$AY$2&amp;Demand_current!$D$3:$AY$3, 0))/1000</f>
        <v>0</v>
      </c>
      <c r="DD111" s="182">
        <f t="array" ref="DD111">INDEX(Demand_current!$D$4:$AY$138, MATCH($A111, Demand_current!$B$4:$B$138, 0), MATCH(DD$4&amp;DD$5,Demand_current!$D$2:$AY$2&amp;Demand_current!$D$3:$AY$3, 0))/1000</f>
        <v>0</v>
      </c>
      <c r="DE111" s="182">
        <f t="array" ref="DE111">INDEX(Demand_current!$D$4:$AY$138, MATCH($A111, Demand_current!$B$4:$B$138, 0), MATCH(DE$4&amp;DE$5,Demand_current!$D$2:$AY$2&amp;Demand_current!$D$3:$AY$3, 0))/1000</f>
        <v>0</v>
      </c>
      <c r="DF111" s="182">
        <f t="array" ref="DF111">INDEX(Demand_current!$D$4:$AY$138, MATCH($A111, Demand_current!$B$4:$B$138, 0), MATCH(DF$4&amp;DF$5,Demand_current!$D$2:$AY$2&amp;Demand_current!$D$3:$AY$3, 0))/1000</f>
        <v>0</v>
      </c>
      <c r="DG111" s="182">
        <f t="array" ref="DG111">INDEX(Demand_current!$D$4:$AY$138, MATCH($A111, Demand_current!$B$4:$B$138, 0), MATCH(DG$4&amp;DG$5,Demand_current!$D$2:$AY$2&amp;Demand_current!$D$3:$AY$3, 0))/1000</f>
        <v>0</v>
      </c>
      <c r="DH111" s="182">
        <f t="array" ref="DH111">INDEX(Demand_current!$D$4:$AY$138, MATCH($A111, Demand_current!$B$4:$B$138, 0), MATCH(DH$4&amp;DH$5,Demand_current!$D$2:$AY$2&amp;Demand_current!$D$3:$AY$3, 0))/1000</f>
        <v>0</v>
      </c>
      <c r="DI111" s="180">
        <f>$BS111*(VLOOKUP(DI$4, Rates_current!$G$6:$Q$29, 10, FALSE)+VLOOKUP(DI$4, Rates_current!$G$6:$Q$29, 11, FALSE))</f>
        <v>212377.95639691915</v>
      </c>
      <c r="DJ111" s="180">
        <f>$BS111*(VLOOKUP(DJ$4, Rates_current!$G$6:$Q$29, 10, FALSE)+VLOOKUP(DJ$4, Rates_current!$G$6:$Q$29, 11, FALSE))</f>
        <v>270851.92666882719</v>
      </c>
      <c r="DK111" s="180">
        <f>$BS111*(VLOOKUP(DK$4, Rates_current!$G$6:$Q$29, 10, FALSE)+VLOOKUP(DK$4, Rates_current!$G$6:$Q$29, 11, FALSE))</f>
        <v>292302.81994144799</v>
      </c>
      <c r="DL111" s="180">
        <f>$BS111*(VLOOKUP(DL$4, Rates_current!$G$6:$Q$29, 10, FALSE)+VLOOKUP(DL$4, Rates_current!$G$6:$Q$29, 11, FALSE))</f>
        <v>303747.81637675513</v>
      </c>
      <c r="DM111" s="180">
        <f>$BS111*(VLOOKUP(DM$4, Rates_current!$G$6:$Q$29, 10, FALSE)+VLOOKUP(DM$4, Rates_current!$G$6:$Q$29, 11, FALSE))</f>
        <v>261263.60908319033</v>
      </c>
      <c r="DN111" s="180">
        <f>$BS111*(VLOOKUP(DN$4, Rates_current!$G$6:$Q$29, 10, FALSE)+VLOOKUP(DN$4, Rates_current!$G$6:$Q$29, 11, FALSE))</f>
        <v>285248.13352565275</v>
      </c>
      <c r="DO111" s="180">
        <f>$BS111*(VLOOKUP(DO$4, Rates_current!$G$6:$Q$29, 10, FALSE)+VLOOKUP(DO$4, Rates_current!$G$6:$Q$29, 11, FALSE))</f>
        <v>225155.33128083634</v>
      </c>
      <c r="DP111" s="180">
        <f>$BS111*(VLOOKUP(DP$4, Rates_current!$G$6:$Q$29, 10, FALSE)+VLOOKUP(DP$4, Rates_current!$G$6:$Q$29, 11, FALSE))</f>
        <v>279335.36067601515</v>
      </c>
      <c r="DQ111" s="180">
        <f>$BS111*(VLOOKUP(DQ$4, Rates_current!$G$6:$Q$29, 10, FALSE)+VLOOKUP(DQ$4, Rates_current!$G$6:$Q$29, 11, FALSE))</f>
        <v>285396.24066475435</v>
      </c>
      <c r="DR111" s="180">
        <f>$BS111*(VLOOKUP(DR$4, Rates_current!$G$6:$Q$29, 10, FALSE)+VLOOKUP(DR$4, Rates_current!$G$6:$Q$29, 11, FALSE))</f>
        <v>247765.05347162316</v>
      </c>
      <c r="DS111" s="180">
        <f>$BS111*(VLOOKUP(DS$4, Rates_current!$G$6:$Q$29, 10, FALSE)+VLOOKUP(DS$4, Rates_current!$G$6:$Q$29, 11, FALSE))</f>
        <v>239522.94859556007</v>
      </c>
      <c r="DT111" s="180">
        <f>$BS111*(VLOOKUP(DT$4, Rates_current!$G$6:$Q$29, 10, FALSE)+VLOOKUP(DT$4, Rates_current!$G$6:$Q$29, 11, FALSE))</f>
        <v>220407.49605442237</v>
      </c>
      <c r="DU111" s="402">
        <f>IF(D111=0,IF(C111=0,MAX(0,DW111 - (VLOOKUP($A111,TOCA_current!$A$2:$AI$137,MATCH("RHWM 2024",TOCA_current!$A$2:$AI$2,0),FALSE)*$BS$2)), 0),0)</f>
        <v>0</v>
      </c>
      <c r="DV111" s="403">
        <f>MIN(VLOOKUP($A111,TOCA_current!$A$2:$AI$137,MATCH("TRL - NLSL - Existing Resource "&amp;$BS$1,TOCA_current!$A$2:$AI$2,0),FALSE)*$BS$2, VLOOKUP($A111,TOCA_current!$A$2:$AI$137,MATCH("RHWM 2024",TOCA_current!$A$2:$AI$2,0),FALSE)*$BS$2)</f>
        <v>6495636.2400000002</v>
      </c>
      <c r="DW111" s="403">
        <f>SUM(BY111:CV111)+(BS111*RT1SC!$C$4*$BS$2)</f>
        <v>3123377.4775135312</v>
      </c>
      <c r="DX111" s="403">
        <f>VLOOKUP($A111,TOCA_current!$A$2:$AI$137,MATCH("Above RHWM Not Served with LS "&amp;$BS$1,TOCA_current!$A$2:$AI$2,0),FALSE)*$BS$2</f>
        <v>0</v>
      </c>
      <c r="DY111" s="403">
        <f t="shared" si="32"/>
        <v>-3372258.762486469</v>
      </c>
      <c r="DZ111" s="403">
        <f>(VLOOKUP($A111,TOCA_current!$A$2:$AI$137,MATCH("RHWM 2024",TOCA_current!$A$2:$AI$2,0),FALSE)*$BS$2) - $DV111</f>
        <v>523394.6400000006</v>
      </c>
      <c r="EA111" s="403">
        <f t="shared" si="33"/>
        <v>0</v>
      </c>
      <c r="EB111" s="403">
        <f t="shared" si="34"/>
        <v>3372258.762486469</v>
      </c>
      <c r="EC111" s="403">
        <f t="shared" si="35"/>
        <v>0</v>
      </c>
      <c r="ED111" s="403">
        <f t="shared" si="36"/>
        <v>0</v>
      </c>
    </row>
    <row r="112" spans="1:134">
      <c r="A112" s="123">
        <v>10360</v>
      </c>
      <c r="B112" s="124" t="s">
        <v>113</v>
      </c>
      <c r="C112" s="232">
        <f>VLOOKUP(A112, TOCA_current!$A$3:$D$137, 4, FALSE)</f>
        <v>0</v>
      </c>
      <c r="D112" s="191">
        <v>0</v>
      </c>
      <c r="E112" s="107">
        <f>VLOOKUP($A112,TOCA_previous!$A$2:$AI$137,MATCH(E$4,TOCA_previous!$A$2:$AI$2,0),FALSE)</f>
        <v>9.5790000000000003E-4</v>
      </c>
      <c r="F112" s="108">
        <f>VLOOKUP($A112,TOCA_previous!$A$2:$AI$137,MATCH(F$4,TOCA_previous!$A$2:$AI$2,0),FALSE)</f>
        <v>9.5790000000000003E-4</v>
      </c>
      <c r="G112" s="108">
        <f t="shared" si="24"/>
        <v>0</v>
      </c>
      <c r="H112" s="108">
        <f>VLOOKUP($A112,TOCA_previous!$A$2:$AI$137,MATCH(H$4,TOCA_previous!$A$2:$AI$2,0),FALSE)</f>
        <v>5.0250000000000003E-2</v>
      </c>
      <c r="I112" s="108">
        <f t="shared" si="25"/>
        <v>0</v>
      </c>
      <c r="J112" s="108">
        <f t="shared" si="26"/>
        <v>0</v>
      </c>
      <c r="K112" s="179">
        <f>VLOOKUP(A112, IRD!$A$5:$C$139, 3, FALSE)</f>
        <v>20009.34</v>
      </c>
      <c r="L112" s="180">
        <f t="array" ref="L112">IF($G112=0, INDEX(LS_previous!$D$4:$AY$138, MATCH('Staging Table'!$A112, LS_previous!$B$4:$B$138, 0), MATCH(L$4&amp;L$5, LS_previous!$D$2:$AY$2&amp;LS_previous!$D$3:$AY$3, 0)),SUM(VLOOKUP($A112, LS_previous!$B$4:$AY$138, LS_previous!D$149, FALSE), VLOOKUP('Staging Table'!$A112, LS_previous!$B$4:$AY$138,LS_previous!AB$149, FALSE))/2)</f>
        <v>-855.15599439855509</v>
      </c>
      <c r="M112" s="180">
        <f t="array" ref="M112">IF($G112=0, INDEX(LS_previous!$D$4:$AY$138, MATCH('Staging Table'!$A112, LS_previous!$B$4:$B$138, 0), MATCH(M$4&amp;M$5, LS_previous!$D$2:$AY$2&amp;LS_previous!$D$3:$AY$3, 0)),SUM(VLOOKUP($A112, LS_previous!$B$4:$AY$138, LS_previous!E$149, FALSE), VLOOKUP('Staging Table'!$A112, LS_previous!$B$4:$AY$138,LS_previous!AC$149, FALSE))/2)</f>
        <v>-136.83620825032267</v>
      </c>
      <c r="N112" s="180">
        <f t="array" ref="N112">IF($G112=0, INDEX(LS_previous!$D$4:$AY$138, MATCH('Staging Table'!$A112, LS_previous!$B$4:$B$138, 0), MATCH(N$4&amp;N$5, LS_previous!$D$2:$AY$2&amp;LS_previous!$D$3:$AY$3, 0)),SUM(VLOOKUP($A112, LS_previous!$B$4:$AY$138, LS_previous!F$149, FALSE), VLOOKUP('Staging Table'!$A112, LS_previous!$B$4:$AY$138,LS_previous!AD$149, FALSE))/2)</f>
        <v>-1533.1006788751138</v>
      </c>
      <c r="O112" s="180">
        <f t="array" ref="O112">IF($G112=0, INDEX(LS_previous!$D$4:$AY$138, MATCH('Staging Table'!$A112, LS_previous!$B$4:$B$138, 0), MATCH(O$4&amp;O$5, LS_previous!$D$2:$AY$2&amp;LS_previous!$D$3:$AY$3, 0)),SUM(VLOOKUP($A112, LS_previous!$B$4:$AY$138, LS_previous!G$149, FALSE), VLOOKUP('Staging Table'!$A112, LS_previous!$B$4:$AY$138,LS_previous!AE$149, FALSE))/2)</f>
        <v>-669.84815696337569</v>
      </c>
      <c r="P112" s="180">
        <f t="array" ref="P112">IF($G112=0, INDEX(LS_previous!$D$4:$AY$138, MATCH('Staging Table'!$A112, LS_previous!$B$4:$B$138, 0), MATCH(P$4&amp;P$5, LS_previous!$D$2:$AY$2&amp;LS_previous!$D$3:$AY$3, 0)),SUM(VLOOKUP($A112, LS_previous!$B$4:$AY$138, LS_previous!H$149, FALSE), VLOOKUP('Staging Table'!$A112, LS_previous!$B$4:$AY$138,LS_previous!AF$149, FALSE))/2)</f>
        <v>-657.95969350643509</v>
      </c>
      <c r="Q112" s="180">
        <f t="array" ref="Q112">IF($G112=0, INDEX(LS_previous!$D$4:$AY$138, MATCH('Staging Table'!$A112, LS_previous!$B$4:$B$138, 0), MATCH(Q$4&amp;Q$5, LS_previous!$D$2:$AY$2&amp;LS_previous!$D$3:$AY$3, 0)),SUM(VLOOKUP($A112, LS_previous!$B$4:$AY$138, LS_previous!I$149, FALSE), VLOOKUP('Staging Table'!$A112, LS_previous!$B$4:$AY$138,LS_previous!AG$149, FALSE))/2)</f>
        <v>-286.89091224838489</v>
      </c>
      <c r="R112" s="180">
        <f t="array" ref="R112">IF($G112=0, INDEX(LS_previous!$D$4:$AY$138, MATCH('Staging Table'!$A112, LS_previous!$B$4:$B$138, 0), MATCH(R$4&amp;R$5, LS_previous!$D$2:$AY$2&amp;LS_previous!$D$3:$AY$3, 0)),SUM(VLOOKUP($A112, LS_previous!$B$4:$AY$138, LS_previous!J$149, FALSE), VLOOKUP('Staging Table'!$A112, LS_previous!$B$4:$AY$138,LS_previous!AH$149, FALSE))/2)</f>
        <v>-54.230218771474938</v>
      </c>
      <c r="S112" s="180">
        <f t="array" ref="S112">IF($G112=0, INDEX(LS_previous!$D$4:$AY$138, MATCH('Staging Table'!$A112, LS_previous!$B$4:$B$138, 0), MATCH(S$4&amp;S$5, LS_previous!$D$2:$AY$2&amp;LS_previous!$D$3:$AY$3, 0)),SUM(VLOOKUP($A112, LS_previous!$B$4:$AY$138, LS_previous!K$149, FALSE), VLOOKUP('Staging Table'!$A112, LS_previous!$B$4:$AY$138,LS_previous!AI$149, FALSE))/2)</f>
        <v>26.5198639198195</v>
      </c>
      <c r="T112" s="180">
        <f t="array" ref="T112">IF($G112=0, INDEX(LS_previous!$D$4:$AY$138, MATCH('Staging Table'!$A112, LS_previous!$B$4:$B$138, 0), MATCH(T$4&amp;T$5, LS_previous!$D$2:$AY$2&amp;LS_previous!$D$3:$AY$3, 0)),SUM(VLOOKUP($A112, LS_previous!$B$4:$AY$138, LS_previous!L$149, FALSE), VLOOKUP('Staging Table'!$A112, LS_previous!$B$4:$AY$138,LS_previous!AJ$149, FALSE))/2)</f>
        <v>-129.61046754098697</v>
      </c>
      <c r="U112" s="180">
        <f t="array" ref="U112">IF($G112=0, INDEX(LS_previous!$D$4:$AY$138, MATCH('Staging Table'!$A112, LS_previous!$B$4:$B$138, 0), MATCH(U$4&amp;U$5, LS_previous!$D$2:$AY$2&amp;LS_previous!$D$3:$AY$3, 0)),SUM(VLOOKUP($A112, LS_previous!$B$4:$AY$138, LS_previous!M$149, FALSE), VLOOKUP('Staging Table'!$A112, LS_previous!$B$4:$AY$138,LS_previous!AK$149, FALSE))/2)</f>
        <v>-69.020323148730085</v>
      </c>
      <c r="V112" s="180">
        <f t="array" ref="V112">IF($G112=0, INDEX(LS_previous!$D$4:$AY$138, MATCH('Staging Table'!$A112, LS_previous!$B$4:$B$138, 0), MATCH(V$4&amp;V$5, LS_previous!$D$2:$AY$2&amp;LS_previous!$D$3:$AY$3, 0)),SUM(VLOOKUP($A112, LS_previous!$B$4:$AY$138, LS_previous!N$149, FALSE), VLOOKUP('Staging Table'!$A112, LS_previous!$B$4:$AY$138,LS_previous!AL$149, FALSE))/2)</f>
        <v>-988.56581883128547</v>
      </c>
      <c r="W112" s="180">
        <f t="array" ref="W112">IF($G112=0, INDEX(LS_previous!$D$4:$AY$138, MATCH('Staging Table'!$A112, LS_previous!$B$4:$B$138, 0), MATCH(W$4&amp;W$5, LS_previous!$D$2:$AY$2&amp;LS_previous!$D$3:$AY$3, 0)),SUM(VLOOKUP($A112, LS_previous!$B$4:$AY$138, LS_previous!O$149, FALSE), VLOOKUP('Staging Table'!$A112, LS_previous!$B$4:$AY$138,LS_previous!AM$149, FALSE))/2)</f>
        <v>-330.75633348013162</v>
      </c>
      <c r="X112" s="180">
        <f t="array" ref="X112">IF($G112=0, INDEX(LS_previous!$D$4:$AY$138, MATCH('Staging Table'!$A112, LS_previous!$B$4:$B$138, 0), MATCH(X$4&amp;X$5, LS_previous!$D$2:$AY$2&amp;LS_previous!$D$3:$AY$3, 0)),SUM(VLOOKUP($A112, LS_previous!$B$4:$AY$138, LS_previous!P$149, FALSE), VLOOKUP('Staging Table'!$A112, LS_previous!$B$4:$AY$138,LS_previous!AN$149, FALSE))/2)</f>
        <v>87.614271417234249</v>
      </c>
      <c r="Y112" s="180">
        <f t="array" ref="Y112">IF($G112=0, INDEX(LS_previous!$D$4:$AY$138, MATCH('Staging Table'!$A112, LS_previous!$B$4:$B$138, 0), MATCH(Y$4&amp;Y$5, LS_previous!$D$2:$AY$2&amp;LS_previous!$D$3:$AY$3, 0)),SUM(VLOOKUP($A112, LS_previous!$B$4:$AY$138, LS_previous!Q$149, FALSE), VLOOKUP('Staging Table'!$A112, LS_previous!$B$4:$AY$138,LS_previous!AO$149, FALSE))/2)</f>
        <v>195.08236497474581</v>
      </c>
      <c r="Z112" s="180">
        <f t="array" ref="Z112">IF($G112=0, INDEX(LS_previous!$D$4:$AY$138, MATCH('Staging Table'!$A112, LS_previous!$B$4:$B$138, 0), MATCH(Z$4&amp;Z$5, LS_previous!$D$2:$AY$2&amp;LS_previous!$D$3:$AY$3, 0)),SUM(VLOOKUP($A112, LS_previous!$B$4:$AY$138, LS_previous!R$149, FALSE), VLOOKUP('Staging Table'!$A112, LS_previous!$B$4:$AY$138,LS_previous!AP$149, FALSE))/2)</f>
        <v>369.51770315135172</v>
      </c>
      <c r="AA112" s="180">
        <f t="array" ref="AA112">IF($G112=0, INDEX(LS_previous!$D$4:$AY$138, MATCH('Staging Table'!$A112, LS_previous!$B$4:$B$138, 0), MATCH(AA$4&amp;AA$5, LS_previous!$D$2:$AY$2&amp;LS_previous!$D$3:$AY$3, 0)),SUM(VLOOKUP($A112, LS_previous!$B$4:$AY$138, LS_previous!S$149, FALSE), VLOOKUP('Staging Table'!$A112, LS_previous!$B$4:$AY$138,LS_previous!AQ$149, FALSE))/2)</f>
        <v>1028.0547254229075</v>
      </c>
      <c r="AB112" s="180">
        <f t="array" ref="AB112">IF($G112=0, INDEX(LS_previous!$D$4:$AY$138, MATCH('Staging Table'!$A112, LS_previous!$B$4:$B$138, 0), MATCH(AB$4&amp;AB$5, LS_previous!$D$2:$AY$2&amp;LS_previous!$D$3:$AY$3, 0)),SUM(VLOOKUP($A112, LS_previous!$B$4:$AY$138, LS_previous!T$149, FALSE), VLOOKUP('Staging Table'!$A112, LS_previous!$B$4:$AY$138,LS_previous!AR$149, FALSE))/2)</f>
        <v>1751.7005627129738</v>
      </c>
      <c r="AC112" s="180">
        <f t="array" ref="AC112">IF($G112=0, INDEX(LS_previous!$D$4:$AY$138, MATCH('Staging Table'!$A112, LS_previous!$B$4:$B$138, 0), MATCH(AC$4&amp;AC$5, LS_previous!$D$2:$AY$2&amp;LS_previous!$D$3:$AY$3, 0)),SUM(VLOOKUP($A112, LS_previous!$B$4:$AY$138, LS_previous!U$149, FALSE), VLOOKUP('Staging Table'!$A112, LS_previous!$B$4:$AY$138,LS_previous!AS$149, FALSE))/2)</f>
        <v>2596.3555609547939</v>
      </c>
      <c r="AD112" s="180">
        <f t="array" ref="AD112">IF($G112=0, INDEX(LS_previous!$D$4:$AY$138, MATCH('Staging Table'!$A112, LS_previous!$B$4:$B$138, 0), MATCH(AD$4&amp;AD$5, LS_previous!$D$2:$AY$2&amp;LS_previous!$D$3:$AY$3, 0)),SUM(VLOOKUP($A112, LS_previous!$B$4:$AY$138, LS_previous!V$149, FALSE), VLOOKUP('Staging Table'!$A112, LS_previous!$B$4:$AY$138,LS_previous!AT$149, FALSE))/2)</f>
        <v>2542.3084748719734</v>
      </c>
      <c r="AE112" s="180">
        <f t="array" ref="AE112">IF($G112=0, INDEX(LS_previous!$D$4:$AY$138, MATCH('Staging Table'!$A112, LS_previous!$B$4:$B$138, 0), MATCH(AE$4&amp;AE$5, LS_previous!$D$2:$AY$2&amp;LS_previous!$D$3:$AY$3, 0)),SUM(VLOOKUP($A112, LS_previous!$B$4:$AY$138, LS_previous!W$149, FALSE), VLOOKUP('Staging Table'!$A112, LS_previous!$B$4:$AY$138,LS_previous!AU$149, FALSE))/2)</f>
        <v>2690.8470471515811</v>
      </c>
      <c r="AF112" s="180">
        <f t="array" ref="AF112">IF($G112=0, INDEX(LS_previous!$D$4:$AY$138, MATCH('Staging Table'!$A112, LS_previous!$B$4:$B$138, 0), MATCH(AF$4&amp;AF$5, LS_previous!$D$2:$AY$2&amp;LS_previous!$D$3:$AY$3, 0)),SUM(VLOOKUP($A112, LS_previous!$B$4:$AY$138, LS_previous!X$149, FALSE), VLOOKUP('Staging Table'!$A112, LS_previous!$B$4:$AY$138,LS_previous!AV$149, FALSE))/2)</f>
        <v>2160.8192566760385</v>
      </c>
      <c r="AG112" s="180">
        <f t="array" ref="AG112">IF($G112=0, INDEX(LS_previous!$D$4:$AY$138, MATCH('Staging Table'!$A112, LS_previous!$B$4:$B$138, 0), MATCH(AG$4&amp;AG$5, LS_previous!$D$2:$AY$2&amp;LS_previous!$D$3:$AY$3, 0)),SUM(VLOOKUP($A112, LS_previous!$B$4:$AY$138, LS_previous!Y$149, FALSE), VLOOKUP('Staging Table'!$A112, LS_previous!$B$4:$AY$138,LS_previous!AW$149, FALSE))/2)</f>
        <v>2029.5217285079477</v>
      </c>
      <c r="AH112" s="180">
        <f t="array" ref="AH112">IF($G112=0, INDEX(LS_previous!$D$4:$AY$138, MATCH('Staging Table'!$A112, LS_previous!$B$4:$B$138, 0), MATCH(AH$4&amp;AH$5, LS_previous!$D$2:$AY$2&amp;LS_previous!$D$3:$AY$3, 0)),SUM(VLOOKUP($A112, LS_previous!$B$4:$AY$138, LS_previous!Z$149, FALSE), VLOOKUP('Staging Table'!$A112, LS_previous!$B$4:$AY$138,LS_previous!AX$149, FALSE))/2)</f>
        <v>143.72874445765865</v>
      </c>
      <c r="AI112" s="180">
        <f t="array" ref="AI112">IF($G112=0, INDEX(LS_previous!$D$4:$AY$138, MATCH('Staging Table'!$A112, LS_previous!$B$4:$B$138, 0), MATCH(AI$4&amp;AI$5, LS_previous!$D$2:$AY$2&amp;LS_previous!$D$3:$AY$3, 0)),SUM(VLOOKUP($A112, LS_previous!$B$4:$AY$138, LS_previous!AA$149, FALSE), VLOOKUP('Staging Table'!$A112, LS_previous!$B$4:$AY$138,LS_previous!AY$149, FALSE))/2)</f>
        <v>878.36180711741986</v>
      </c>
      <c r="AJ112" s="298">
        <f t="array" ref="AJ112">INDEX(Demand_previous!$D$4:$AY$138, MATCH('Staging Table'!$A112, Demand_previous!$B$4:$B$138, 0), MATCH(AJ$4&amp;AJ$5,Demand_previous!$D$2:$AY$2&amp;Demand_previous!$D$3:$AY$3, 0))/1000</f>
        <v>1.151122596153846</v>
      </c>
      <c r="AK112" s="298">
        <f t="array" ref="AK112">INDEX(Demand_previous!$D$4:$AY$138, MATCH('Staging Table'!$A112, Demand_previous!$B$4:$B$138, 0), MATCH(AK$4&amp;AK$5,Demand_previous!$D$2:$AY$2&amp;Demand_previous!$D$3:$AY$3, 0))/1000</f>
        <v>0.36825750000000035</v>
      </c>
      <c r="AL112" s="298">
        <f t="array" ref="AL112">INDEX(Demand_previous!$D$4:$AY$138, MATCH('Staging Table'!$A112, Demand_previous!$B$4:$B$138, 0), MATCH(AL$4&amp;AL$5,Demand_previous!$D$2:$AY$2&amp;Demand_previous!$D$3:$AY$3, 0))/1000</f>
        <v>0.97720192307692222</v>
      </c>
      <c r="AM112" s="298">
        <f t="array" ref="AM112">INDEX(Demand_previous!$D$4:$AY$138, MATCH('Staging Table'!$A112, Demand_previous!$B$4:$B$138, 0), MATCH(AM$4&amp;AM$5,Demand_previous!$D$2:$AY$2&amp;Demand_previous!$D$3:$AY$3, 0))/1000</f>
        <v>0.54970500000000055</v>
      </c>
      <c r="AN112" s="298">
        <f t="array" ref="AN112">INDEX(Demand_previous!$D$4:$AY$138, MATCH('Staging Table'!$A112, Demand_previous!$B$4:$B$138, 0), MATCH(AN$4&amp;AN$5,Demand_previous!$D$2:$AY$2&amp;Demand_previous!$D$3:$AY$3, 0))/1000</f>
        <v>2.8635416666666469E-2</v>
      </c>
      <c r="AO112" s="298">
        <f t="array" ref="AO112">INDEX(Demand_previous!$D$4:$AY$138, MATCH('Staging Table'!$A112, Demand_previous!$B$4:$B$138, 0), MATCH(AO$4&amp;AO$5,Demand_previous!$D$2:$AY$2&amp;Demand_previous!$D$3:$AY$3, 0))/1000</f>
        <v>0.51287962962962963</v>
      </c>
      <c r="AP112" s="298">
        <f t="array" ref="AP112">INDEX(Demand_previous!$D$4:$AY$138, MATCH('Staging Table'!$A112, Demand_previous!$B$4:$B$138, 0), MATCH(AP$4&amp;AP$5,Demand_previous!$D$2:$AY$2&amp;Demand_previous!$D$3:$AY$3, 0))/1000</f>
        <v>1.2904663461538459</v>
      </c>
      <c r="AQ112" s="298">
        <f t="array" ref="AQ112">INDEX(Demand_previous!$D$4:$AY$138, MATCH('Staging Table'!$A112, Demand_previous!$B$4:$B$138, 0), MATCH(AQ$4&amp;AQ$5,Demand_previous!$D$2:$AY$2&amp;Demand_previous!$D$3:$AY$3, 0))/1000</f>
        <v>0.73585500000000037</v>
      </c>
      <c r="AR112" s="298">
        <f t="array" ref="AR112">INDEX(Demand_previous!$D$4:$AY$138, MATCH('Staging Table'!$A112, Demand_previous!$B$4:$B$138, 0), MATCH(AR$4&amp;AR$5,Demand_previous!$D$2:$AY$2&amp;Demand_previous!$D$3:$AY$3, 0))/1000</f>
        <v>2.0929831730769224</v>
      </c>
      <c r="AS112" s="298">
        <f t="array" ref="AS112">INDEX(Demand_previous!$D$4:$AY$138, MATCH('Staging Table'!$A112, Demand_previous!$B$4:$B$138, 0), MATCH(AS$4&amp;AS$5,Demand_previous!$D$2:$AY$2&amp;Demand_previous!$D$3:$AY$3, 0))/1000</f>
        <v>1.1108175000000005</v>
      </c>
      <c r="AT112" s="298">
        <f t="array" ref="AT112">INDEX(Demand_previous!$D$4:$AY$138, MATCH('Staging Table'!$A112, Demand_previous!$B$4:$B$138, 0), MATCH(AT$4&amp;AT$5,Demand_previous!$D$2:$AY$2&amp;Demand_previous!$D$3:$AY$3, 0))/1000</f>
        <v>1.4560671296296299</v>
      </c>
      <c r="AU112" s="298">
        <f t="array" ref="AU112">INDEX(Demand_previous!$D$4:$AY$138, MATCH('Staging Table'!$A112, Demand_previous!$B$4:$B$138, 0), MATCH(AU$4&amp;AU$5,Demand_previous!$D$2:$AY$2&amp;Demand_previous!$D$3:$AY$3, 0))/1000</f>
        <v>1.3151825000000001</v>
      </c>
      <c r="AV112" s="180">
        <f>$F112*(VLOOKUP(AV$4, Rates_previous!$G$6:$Q$29, 10, FALSE)+VLOOKUP(AV$4, Rates_previous!$G$6:$Q$29, 11, FALSE))</f>
        <v>4362.204202648878</v>
      </c>
      <c r="AW112" s="180">
        <f>$F112*(VLOOKUP(AW$4, Rates_previous!$G$6:$Q$29, 10, FALSE)+VLOOKUP(AW$4, Rates_previous!$G$6:$Q$29, 11, FALSE))</f>
        <v>5522.7088358384899</v>
      </c>
      <c r="AX112" s="180">
        <f>$F112*(VLOOKUP(AX$4, Rates_previous!$G$6:$Q$29, 10, FALSE)+VLOOKUP(AX$4, Rates_previous!$G$6:$Q$29, 11, FALSE))</f>
        <v>5405.6286057548205</v>
      </c>
      <c r="AY112" s="180">
        <f>$F112*(VLOOKUP(AY$4, Rates_previous!$G$6:$Q$29, 10, FALSE)+VLOOKUP(AY$4, Rates_previous!$G$6:$Q$29, 11, FALSE))</f>
        <v>4464.8193548516556</v>
      </c>
      <c r="AZ112" s="180">
        <f>$F112*(VLOOKUP(AZ$4, Rates_previous!$G$6:$Q$29, 10, FALSE)+VLOOKUP(AZ$4, Rates_previous!$G$6:$Q$29, 11, FALSE))</f>
        <v>3869.7567906897175</v>
      </c>
      <c r="BA112" s="180">
        <f>$F112*(VLOOKUP(BA$4, Rates_previous!$G$6:$Q$29, 10, FALSE)+VLOOKUP(BA$4, Rates_previous!$G$6:$Q$29, 11, FALSE))</f>
        <v>4619.7081523114175</v>
      </c>
      <c r="BB112" s="180">
        <f>$F112*(VLOOKUP(BB$4, Rates_previous!$G$6:$Q$29, 10, FALSE)+VLOOKUP(BB$4, Rates_previous!$G$6:$Q$29, 11, FALSE))</f>
        <v>3586.5883636080198</v>
      </c>
      <c r="BC112" s="180">
        <f>$F112*(VLOOKUP(BC$4, Rates_previous!$G$6:$Q$29, 10, FALSE)+VLOOKUP(BC$4, Rates_previous!$G$6:$Q$29, 11, FALSE))</f>
        <v>4969.2445714257401</v>
      </c>
      <c r="BD112" s="180">
        <f>$F112*(VLOOKUP(BD$4, Rates_previous!$G$6:$Q$29, 10, FALSE)+VLOOKUP(BD$4, Rates_previous!$G$6:$Q$29, 11, FALSE))</f>
        <v>5309.7418763322321</v>
      </c>
      <c r="BE112" s="180">
        <f>$F112*(VLOOKUP(BE$4, Rates_previous!$G$6:$Q$29, 10, FALSE)+VLOOKUP(BE$4, Rates_previous!$G$6:$Q$29, 11, FALSE))</f>
        <v>5041.3594779764453</v>
      </c>
      <c r="BF112" s="180">
        <f>$F112*(VLOOKUP(BF$4, Rates_previous!$G$6:$Q$29, 10, FALSE)+VLOOKUP(BF$4, Rates_previous!$G$6:$Q$29, 11, FALSE))</f>
        <v>4872.0850148160134</v>
      </c>
      <c r="BG112" s="180">
        <f>$F112*(VLOOKUP(BG$4, Rates_previous!$G$6:$Q$29, 10, FALSE)+VLOOKUP(BG$4, Rates_previous!$G$6:$Q$29, 11, FALSE))</f>
        <v>4502.3144484249215</v>
      </c>
      <c r="BH112" s="298">
        <f>IF($D112=0,IF(C112=0, MAX(BJ112 - (VLOOKUP($A112,TOCA_previous!$A$2:$AI$137,MATCH("RHWM 2022",TOCA_previous!$A$2:$AI$2,0),FALSE)*$F$2*TOCA_previous!C109),0),0), 0)</f>
        <v>10786.339891557662</v>
      </c>
      <c r="BI112" s="192">
        <f>MIN(VLOOKUP($A112,TOCA_previous!$A$2:$AI$137,MATCH("TRL - NLSL - Existing Resource "&amp;$F$1,TOCA_previous!$A$2:$AI$2,0),FALSE)*$F$2,(VLOOKUP($A112,TOCA_previous!$A$2:$AI$137,MATCH("RHWM 2022",TOCA_previous!$A$2:$AI$2,0),FALSE)*$F$2))</f>
        <v>56528.280000000006</v>
      </c>
      <c r="BJ112" s="402">
        <f>SUM(L112:AI112)+(F112*RT1SC!$C$3*$F$2)</f>
        <v>67314.619891557668</v>
      </c>
      <c r="BK112" s="401">
        <f>VLOOKUP($A112,TOCA_previous!$A$2:$AI$137,MATCH("Above RHWM Not Served with LS "&amp;$F$1,TOCA_previous!$A$2:$AI$2,0),FALSE)*$F$2</f>
        <v>0</v>
      </c>
      <c r="BL112" s="402">
        <f t="shared" si="27"/>
        <v>10786.339891557662</v>
      </c>
      <c r="BM112" s="401">
        <f>(VLOOKUP($A112,TOCA_previous!$A$2:$AI$137,MATCH("RHWM 2022",TOCA_previous!$A$2:$AI$2,0),FALSE)*$F$2) - $BI112</f>
        <v>0</v>
      </c>
      <c r="BN112" s="402">
        <f t="shared" si="28"/>
        <v>0</v>
      </c>
      <c r="BO112" s="401">
        <f t="shared" si="29"/>
        <v>0</v>
      </c>
      <c r="BP112" s="402">
        <f t="shared" si="30"/>
        <v>0</v>
      </c>
      <c r="BQ112" s="401">
        <f t="shared" si="37"/>
        <v>0</v>
      </c>
      <c r="BR112" s="108">
        <f>VLOOKUP($A112,TOCA_current!$A$2:$AI$137,MATCH(BR$4,TOCA_current!$A$2:$AI$2,0),FALSE)</f>
        <v>9.5779999999999997E-4</v>
      </c>
      <c r="BS112" s="108">
        <f>VLOOKUP($A112,TOCA_current!$A$2:$AI$137,MATCH(BS$4,TOCA_current!$A$2:$AI$2,0),FALSE)</f>
        <v>9.5779999999999997E-4</v>
      </c>
      <c r="BT112" s="189">
        <f t="shared" si="31"/>
        <v>0</v>
      </c>
      <c r="BU112" s="108">
        <f>VLOOKUP($A112,TOCA_current!A108:BG243,MATCH(BU$4,TOCA_current!$A$2:$BG$2,0),FALSE)</f>
        <v>5.0973392461197344E-2</v>
      </c>
      <c r="BV112" s="108">
        <f t="shared" si="38"/>
        <v>0</v>
      </c>
      <c r="BW112" s="108">
        <f t="shared" si="39"/>
        <v>0</v>
      </c>
      <c r="BX112" s="179">
        <f>VLOOKUP($A112,IRD!$A$4:$G$139, 7, FALSE)</f>
        <v>20009.34</v>
      </c>
      <c r="BY112" s="180">
        <f t="array" ref="BY112">IF($BT112=0, INDEX(LS_current!$D$4:$AY$138, MATCH('Staging Table'!$A112, LS_current!$B$4:$B$138, 0), MATCH(BY$4&amp;BY$5, LS_current!$D$2:$AY$2&amp;LS_current!$D$3:$AY$3, 0)),SUM(VLOOKUP($A112, LS_current!$B$4:$AY$138, LS_current!D$148, FALSE), VLOOKUP($A112, LS_current!$B$4:$AY$138,LS_current!AB$148, FALSE))/2)</f>
        <v>-502.06189768080026</v>
      </c>
      <c r="BZ112" s="180">
        <f t="array" ref="BZ112">IF($BT112=0, INDEX(LS_current!$D$4:$AY$138, MATCH('Staging Table'!$A112, LS_current!$B$4:$B$138, 0), MATCH(BZ$4&amp;BZ$5, LS_current!$D$2:$AY$2&amp;LS_current!$D$3:$AY$3, 0)),SUM(VLOOKUP($A112, LS_current!$B$4:$AY$138, LS_current!E$148, FALSE), VLOOKUP($A112, LS_current!$B$4:$AY$138,LS_current!AC$148, FALSE))/2)</f>
        <v>-168.4963450839</v>
      </c>
      <c r="CA112" s="180">
        <f t="array" ref="CA112">IF($BT112=0, INDEX(LS_current!$D$4:$AY$138, MATCH('Staging Table'!$A112, LS_current!$B$4:$B$138, 0), MATCH(CA$4&amp;CA$5, LS_current!$D$2:$AY$2&amp;LS_current!$D$3:$AY$3, 0)),SUM(VLOOKUP($A112, LS_current!$B$4:$AY$138, LS_current!F$148, FALSE), VLOOKUP($A112, LS_current!$B$4:$AY$138,LS_current!AD$148, FALSE))/2)</f>
        <v>-1270.8289627584004</v>
      </c>
      <c r="CB112" s="180">
        <f t="array" ref="CB112">IF($BT112=0, INDEX(LS_current!$D$4:$AY$138, MATCH('Staging Table'!$A112, LS_current!$B$4:$B$138, 0), MATCH(CB$4&amp;CB$5, LS_current!$D$2:$AY$2&amp;LS_current!$D$3:$AY$3, 0)),SUM(VLOOKUP($A112, LS_current!$B$4:$AY$138, LS_current!G$148, FALSE), VLOOKUP($A112, LS_current!$B$4:$AY$138,LS_current!AE$148, FALSE))/2)</f>
        <v>-562.72555277180004</v>
      </c>
      <c r="CC112" s="180">
        <f t="array" ref="CC112">IF($BT112=0, INDEX(LS_current!$D$4:$AY$138, MATCH('Staging Table'!$A112, LS_current!$B$4:$B$138, 0), MATCH(CC$4&amp;CC$5, LS_current!$D$2:$AY$2&amp;LS_current!$D$3:$AY$3, 0)),SUM(VLOOKUP($A112, LS_current!$B$4:$AY$138, LS_current!H$148, FALSE), VLOOKUP($A112, LS_current!$B$4:$AY$138,LS_current!AF$148, FALSE))/2)</f>
        <v>-941.73324081419969</v>
      </c>
      <c r="CD112" s="180">
        <f t="array" ref="CD112">IF($BT112=0, INDEX(LS_current!$D$4:$AY$138, MATCH('Staging Table'!$A112, LS_current!$B$4:$B$138, 0), MATCH(CD$4&amp;CD$5, LS_current!$D$2:$AY$2&amp;LS_current!$D$3:$AY$3, 0)),SUM(VLOOKUP($A112, LS_current!$B$4:$AY$138, LS_current!I$148, FALSE), VLOOKUP($A112, LS_current!$B$4:$AY$138,LS_current!AG$148, FALSE))/2)</f>
        <v>-158.93476202880015</v>
      </c>
      <c r="CE112" s="180">
        <f t="array" ref="CE112">IF($BT112=0, INDEX(LS_current!$D$4:$AY$138, MATCH('Staging Table'!$A112, LS_current!$B$4:$B$138, 0), MATCH(CE$4&amp;CE$5, LS_current!$D$2:$AY$2&amp;LS_current!$D$3:$AY$3, 0)),SUM(VLOOKUP($A112, LS_current!$B$4:$AY$138, LS_current!J$148, FALSE), VLOOKUP($A112, LS_current!$B$4:$AY$138,LS_current!AH$148, FALSE))/2)</f>
        <v>-1092.327524627</v>
      </c>
      <c r="CF112" s="180">
        <f t="array" ref="CF112">IF($BT112=0, INDEX(LS_current!$D$4:$AY$138, MATCH('Staging Table'!$A112, LS_current!$B$4:$B$138, 0), MATCH(CF$4&amp;CF$5, LS_current!$D$2:$AY$2&amp;LS_current!$D$3:$AY$3, 0)),SUM(VLOOKUP($A112, LS_current!$B$4:$AY$138, LS_current!K$148, FALSE), VLOOKUP($A112, LS_current!$B$4:$AY$138,LS_current!AI$148, FALSE))/2)</f>
        <v>-249.76560417619976</v>
      </c>
      <c r="CG112" s="180">
        <f t="array" ref="CG112">IF($BT112=0, INDEX(LS_current!$D$4:$AY$138, MATCH('Staging Table'!$A112, LS_current!$B$4:$B$138, 0), MATCH(CG$4&amp;CG$5, LS_current!$D$2:$AY$2&amp;LS_current!$D$3:$AY$3, 0)),SUM(VLOOKUP($A112, LS_current!$B$4:$AY$138, LS_current!L$148, FALSE), VLOOKUP($A112, LS_current!$B$4:$AY$138,LS_current!AJ$148, FALSE))/2)</f>
        <v>-1042.4520529061997</v>
      </c>
      <c r="CH112" s="180">
        <f t="array" ref="CH112">IF($BT112=0, INDEX(LS_current!$D$4:$AY$138, MATCH('Staging Table'!$A112, LS_current!$B$4:$B$138, 0), MATCH(CH$4&amp;CH$5, LS_current!$D$2:$AY$2&amp;LS_current!$D$3:$AY$3, 0)),SUM(VLOOKUP($A112, LS_current!$B$4:$AY$138, LS_current!M$148, FALSE), VLOOKUP($A112, LS_current!$B$4:$AY$138,LS_current!AK$148, FALSE))/2)</f>
        <v>-257.30609633019981</v>
      </c>
      <c r="CI112" s="180">
        <f t="array" ref="CI112">IF($BT112=0, INDEX(LS_current!$D$4:$AY$138, MATCH('Staging Table'!$A112, LS_current!$B$4:$B$138, 0), MATCH(CI$4&amp;CI$5, LS_current!$D$2:$AY$2&amp;LS_current!$D$3:$AY$3, 0)),SUM(VLOOKUP($A112, LS_current!$B$4:$AY$138, LS_current!N$148, FALSE), VLOOKUP($A112, LS_current!$B$4:$AY$138,LS_current!AL$148, FALSE))/2)</f>
        <v>-1455.7525264313999</v>
      </c>
      <c r="CJ112" s="180">
        <f t="array" ref="CJ112">IF($BT112=0, INDEX(LS_current!$D$4:$AY$138, MATCH('Staging Table'!$A112, LS_current!$B$4:$B$138, 0), MATCH(CJ$4&amp;CJ$5, LS_current!$D$2:$AY$2&amp;LS_current!$D$3:$AY$3, 0)),SUM(VLOOKUP($A112, LS_current!$B$4:$AY$138, LS_current!O$148, FALSE), VLOOKUP($A112, LS_current!$B$4:$AY$138,LS_current!AM$148, FALSE))/2)</f>
        <v>-671.08277896839991</v>
      </c>
      <c r="CK112" s="180">
        <f t="array" ref="CK112">IF($BT112=0, INDEX(LS_current!$D$4:$AY$138, MATCH('Staging Table'!$A112, LS_current!$B$4:$B$138, 0), MATCH(CK$4&amp;CK$5, LS_current!$D$2:$AY$2&amp;LS_current!$D$3:$AY$3, 0)),SUM(VLOOKUP($A112, LS_current!$B$4:$AY$138, LS_current!P$148, FALSE), VLOOKUP($A112, LS_current!$B$4:$AY$138,LS_current!AN$148, FALSE))/2)</f>
        <v>-309.73216928949978</v>
      </c>
      <c r="CL112" s="180">
        <f t="array" ref="CL112">IF($BT112=0, INDEX(LS_current!$D$4:$AY$138, MATCH('Staging Table'!$A112, LS_current!$B$4:$B$138, 0), MATCH(CL$4&amp;CL$5, LS_current!$D$2:$AY$2&amp;LS_current!$D$3:$AY$3, 0)),SUM(VLOOKUP($A112, LS_current!$B$4:$AY$138, LS_current!Q$148, FALSE), VLOOKUP($A112, LS_current!$B$4:$AY$138,LS_current!AO$148, FALSE))/2)</f>
        <v>-104.8594536641499</v>
      </c>
      <c r="CM112" s="180">
        <f t="array" ref="CM112">IF($BT112=0, INDEX(LS_current!$D$4:$AY$138, MATCH('Staging Table'!$A112, LS_current!$B$4:$B$138, 0), MATCH(CM$4&amp;CM$5, LS_current!$D$2:$AY$2&amp;LS_current!$D$3:$AY$3, 0)),SUM(VLOOKUP($A112, LS_current!$B$4:$AY$138, LS_current!R$148, FALSE), VLOOKUP($A112, LS_current!$B$4:$AY$138,LS_current!AP$148, FALSE))/2)</f>
        <v>488.53182298559977</v>
      </c>
      <c r="CN112" s="180">
        <f t="array" ref="CN112">IF($BT112=0, INDEX(LS_current!$D$4:$AY$138, MATCH('Staging Table'!$A112, LS_current!$B$4:$B$138, 0), MATCH(CN$4&amp;CN$5, LS_current!$D$2:$AY$2&amp;LS_current!$D$3:$AY$3, 0)),SUM(VLOOKUP($A112, LS_current!$B$4:$AY$138, LS_current!S$148, FALSE), VLOOKUP($A112, LS_current!$B$4:$AY$138,LS_current!AQ$148, FALSE))/2)</f>
        <v>563.56215998870039</v>
      </c>
      <c r="CO112" s="180">
        <f t="array" ref="CO112">IF($BT112=0, INDEX(LS_current!$D$4:$AY$138, MATCH('Staging Table'!$A112, LS_current!$B$4:$B$138, 0), MATCH(CO$4&amp;CO$5, LS_current!$D$2:$AY$2&amp;LS_current!$D$3:$AY$3, 0)),SUM(VLOOKUP($A112, LS_current!$B$4:$AY$138, LS_current!T$148, FALSE), VLOOKUP($A112, LS_current!$B$4:$AY$138,LS_current!AR$148, FALSE))/2)</f>
        <v>2128.4394084772002</v>
      </c>
      <c r="CP112" s="180">
        <f t="array" ref="CP112">IF($BT112=0, INDEX(LS_current!$D$4:$AY$138, MATCH('Staging Table'!$A112, LS_current!$B$4:$B$138, 0), MATCH(CP$4&amp;CP$5, LS_current!$D$2:$AY$2&amp;LS_current!$D$3:$AY$3, 0)),SUM(VLOOKUP($A112, LS_current!$B$4:$AY$138, LS_current!U$148, FALSE), VLOOKUP($A112, LS_current!$B$4:$AY$138,LS_current!AS$148, FALSE))/2)</f>
        <v>2099.3193527998997</v>
      </c>
      <c r="CQ112" s="180">
        <f t="array" ref="CQ112">IF($BT112=0, INDEX(LS_current!$D$4:$AY$138, MATCH('Staging Table'!$A112, LS_current!$B$4:$B$138, 0), MATCH(CQ$4&amp;CQ$5, LS_current!$D$2:$AY$2&amp;LS_current!$D$3:$AY$3, 0)),SUM(VLOOKUP($A112, LS_current!$B$4:$AY$138, LS_current!V$148, FALSE), VLOOKUP($A112, LS_current!$B$4:$AY$138,LS_current!AT$148, FALSE))/2)</f>
        <v>2962.4699764408006</v>
      </c>
      <c r="CR112" s="180">
        <f t="array" ref="CR112">IF($BT112=0, INDEX(LS_current!$D$4:$AY$138, MATCH('Staging Table'!$A112, LS_current!$B$4:$B$138, 0), MATCH(CR$4&amp;CR$5, LS_current!$D$2:$AY$2&amp;LS_current!$D$3:$AY$3, 0)),SUM(VLOOKUP($A112, LS_current!$B$4:$AY$138, LS_current!W$148, FALSE), VLOOKUP($A112, LS_current!$B$4:$AY$138,LS_current!AU$148, FALSE))/2)</f>
        <v>2597.9886673805004</v>
      </c>
      <c r="CS112" s="180">
        <f t="array" ref="CS112">IF($BT112=0, INDEX(LS_current!$D$4:$AY$138, MATCH('Staging Table'!$A112, LS_current!$B$4:$B$138, 0), MATCH(CS$4&amp;CS$5, LS_current!$D$2:$AY$2&amp;LS_current!$D$3:$AY$3, 0)),SUM(VLOOKUP($A112, LS_current!$B$4:$AY$138, LS_current!X$148, FALSE), VLOOKUP($A112, LS_current!$B$4:$AY$138,LS_current!AV$148, FALSE))/2)</f>
        <v>2550.9566737372998</v>
      </c>
      <c r="CT112" s="180">
        <f t="array" ref="CT112">IF($BT112=0, INDEX(LS_current!$D$4:$AY$138, MATCH('Staging Table'!$A112, LS_current!$B$4:$B$138, 0), MATCH(CT$4&amp;CT$5, LS_current!$D$2:$AY$2&amp;LS_current!$D$3:$AY$3, 0)),SUM(VLOOKUP($A112, LS_current!$B$4:$AY$138, LS_current!Y$148, FALSE), VLOOKUP($A112, LS_current!$B$4:$AY$138,LS_current!AW$148, FALSE))/2)</f>
        <v>1954.2298671196702</v>
      </c>
      <c r="CU112" s="180">
        <f t="array" ref="CU112">IF($BT112=0, INDEX(LS_current!$D$4:$AY$138, MATCH('Staging Table'!$A112, LS_current!$B$4:$B$138, 0), MATCH(CU$4&amp;CU$5, LS_current!$D$2:$AY$2&amp;LS_current!$D$3:$AY$3, 0)),SUM(VLOOKUP($A112, LS_current!$B$4:$AY$138, LS_current!Z$148, FALSE), VLOOKUP($A112, LS_current!$B$4:$AY$138,LS_current!AX$148, FALSE))/2)</f>
        <v>512.5391211627998</v>
      </c>
      <c r="CV112" s="180">
        <f t="array" ref="CV112">IF($BT112=0, INDEX(LS_current!$D$4:$AY$138, MATCH('Staging Table'!$A112, LS_current!$B$4:$B$138, 0), MATCH(CV$4&amp;CV$5, LS_current!$D$2:$AY$2&amp;LS_current!$D$3:$AY$3, 0)),SUM(VLOOKUP($A112, LS_current!$B$4:$AY$138, LS_current!AA$148, FALSE), VLOOKUP($A112, LS_current!$B$4:$AY$138,LS_current!AY$148, FALSE))/2)</f>
        <v>818.32307218879987</v>
      </c>
      <c r="CW112" s="182">
        <f t="array" ref="CW112">INDEX(Demand_current!$D$4:$AY$138, MATCH($A112, Demand_current!$B$4:$B$138, 0), MATCH(CW$4&amp;CW$5,Demand_current!$D$2:$AY$2&amp;Demand_current!$D$3:$AY$3, 0))/1000</f>
        <v>1.151122596153846</v>
      </c>
      <c r="CX112" s="182">
        <f t="array" ref="CX112">INDEX(Demand_current!$D$4:$AY$138, MATCH($A112, Demand_current!$B$4:$B$138, 0), MATCH(CX$4&amp;CX$5,Demand_current!$D$2:$AY$2&amp;Demand_current!$D$3:$AY$3, 0))/1000</f>
        <v>0.36825750000000035</v>
      </c>
      <c r="CY112" s="182">
        <f t="array" ref="CY112">INDEX(Demand_current!$D$4:$AY$138, MATCH($A112, Demand_current!$B$4:$B$138, 0), MATCH(CY$4&amp;CY$5,Demand_current!$D$2:$AY$2&amp;Demand_current!$D$3:$AY$3, 0))/1000</f>
        <v>0.74352999999999958</v>
      </c>
      <c r="CZ112" s="182">
        <f t="array" ref="CZ112">INDEX(Demand_current!$D$4:$AY$138, MATCH($A112, Demand_current!$B$4:$B$138, 0), MATCH(CZ$4&amp;CZ$5,Demand_current!$D$2:$AY$2&amp;Demand_current!$D$3:$AY$3, 0))/1000</f>
        <v>0.78871634615384711</v>
      </c>
      <c r="DA112" s="182">
        <f t="array" ref="DA112">INDEX(Demand_current!$D$4:$AY$138, MATCH($A112, Demand_current!$B$4:$B$138, 0), MATCH(DA$4&amp;DA$5,Demand_current!$D$2:$AY$2&amp;Demand_current!$D$3:$AY$3, 0))/1000</f>
        <v>0.24928999999999979</v>
      </c>
      <c r="DB112" s="182">
        <f t="array" ref="DB112">INDEX(Demand_current!$D$4:$AY$138, MATCH($A112, Demand_current!$B$4:$B$138, 0), MATCH(DB$4&amp;DB$5,Demand_current!$D$2:$AY$2&amp;Demand_current!$D$3:$AY$3, 0))/1000</f>
        <v>0.34829807692307702</v>
      </c>
      <c r="DC112" s="182">
        <f t="array" ref="DC112">INDEX(Demand_current!$D$4:$AY$138, MATCH($A112, Demand_current!$B$4:$B$138, 0), MATCH(DC$4&amp;DC$5,Demand_current!$D$2:$AY$2&amp;Demand_current!$D$3:$AY$3, 0))/1000</f>
        <v>1.2904663461538459</v>
      </c>
      <c r="DD112" s="182">
        <f t="array" ref="DD112">INDEX(Demand_current!$D$4:$AY$138, MATCH($A112, Demand_current!$B$4:$B$138, 0), MATCH(DD$4&amp;DD$5,Demand_current!$D$2:$AY$2&amp;Demand_current!$D$3:$AY$3, 0))/1000</f>
        <v>1.0933605769230765</v>
      </c>
      <c r="DE112" s="182">
        <f t="array" ref="DE112">INDEX(Demand_current!$D$4:$AY$138, MATCH($A112, Demand_current!$B$4:$B$138, 0), MATCH(DE$4&amp;DE$5,Demand_current!$D$2:$AY$2&amp;Demand_current!$D$3:$AY$3, 0))/1000</f>
        <v>1.5604624999999985</v>
      </c>
      <c r="DF112" s="182">
        <f t="array" ref="DF112">INDEX(Demand_current!$D$4:$AY$138, MATCH($A112, Demand_current!$B$4:$B$138, 0), MATCH(DF$4&amp;DF$5,Demand_current!$D$2:$AY$2&amp;Demand_current!$D$3:$AY$3, 0))/1000</f>
        <v>1.678132211538462</v>
      </c>
      <c r="DG112" s="182">
        <f t="array" ref="DG112">INDEX(Demand_current!$D$4:$AY$138, MATCH($A112, Demand_current!$B$4:$B$138, 0), MATCH(DG$4&amp;DG$5,Demand_current!$D$2:$AY$2&amp;Demand_current!$D$3:$AY$3, 0))/1000</f>
        <v>1.4560671296296299</v>
      </c>
      <c r="DH112" s="182">
        <f t="array" ref="DH112">INDEX(Demand_current!$D$4:$AY$138, MATCH($A112, Demand_current!$B$4:$B$138, 0), MATCH(DH$4&amp;DH$5,Demand_current!$D$2:$AY$2&amp;Demand_current!$D$3:$AY$3, 0))/1000</f>
        <v>1.0008984375000005</v>
      </c>
      <c r="DI112" s="180">
        <f>$BS112*(VLOOKUP(DI$4, Rates_current!$G$6:$Q$29, 10, FALSE)+VLOOKUP(DI$4, Rates_current!$G$6:$Q$29, 11, FALSE))</f>
        <v>4040.7702427647</v>
      </c>
      <c r="DJ112" s="180">
        <f>$BS112*(VLOOKUP(DJ$4, Rates_current!$G$6:$Q$29, 10, FALSE)+VLOOKUP(DJ$4, Rates_current!$G$6:$Q$29, 11, FALSE))</f>
        <v>5153.3145155302009</v>
      </c>
      <c r="DK112" s="180">
        <f>$BS112*(VLOOKUP(DK$4, Rates_current!$G$6:$Q$29, 10, FALSE)+VLOOKUP(DK$4, Rates_current!$G$6:$Q$29, 11, FALSE))</f>
        <v>5561.4460028430003</v>
      </c>
      <c r="DL112" s="180">
        <f>$BS112*(VLOOKUP(DL$4, Rates_current!$G$6:$Q$29, 10, FALSE)+VLOOKUP(DL$4, Rates_current!$G$6:$Q$29, 11, FALSE))</f>
        <v>5779.2021288032001</v>
      </c>
      <c r="DM112" s="180">
        <f>$BS112*(VLOOKUP(DM$4, Rates_current!$G$6:$Q$29, 10, FALSE)+VLOOKUP(DM$4, Rates_current!$G$6:$Q$29, 11, FALSE))</f>
        <v>4970.884149236399</v>
      </c>
      <c r="DN112" s="180">
        <f>$BS112*(VLOOKUP(DN$4, Rates_current!$G$6:$Q$29, 10, FALSE)+VLOOKUP(DN$4, Rates_current!$G$6:$Q$29, 11, FALSE))</f>
        <v>5427.2213053997993</v>
      </c>
      <c r="DO112" s="180">
        <f>$BS112*(VLOOKUP(DO$4, Rates_current!$G$6:$Q$29, 10, FALSE)+VLOOKUP(DO$4, Rates_current!$G$6:$Q$29, 11, FALSE))</f>
        <v>4283.8766229536495</v>
      </c>
      <c r="DP112" s="180">
        <f>$BS112*(VLOOKUP(DP$4, Rates_current!$G$6:$Q$29, 10, FALSE)+VLOOKUP(DP$4, Rates_current!$G$6:$Q$29, 11, FALSE))</f>
        <v>5314.7230170256998</v>
      </c>
      <c r="DQ112" s="180">
        <f>$BS112*(VLOOKUP(DQ$4, Rates_current!$G$6:$Q$29, 10, FALSE)+VLOOKUP(DQ$4, Rates_current!$G$6:$Q$29, 11, FALSE))</f>
        <v>5430.0392387228994</v>
      </c>
      <c r="DR112" s="180">
        <f>$BS112*(VLOOKUP(DR$4, Rates_current!$G$6:$Q$29, 10, FALSE)+VLOOKUP(DR$4, Rates_current!$G$6:$Q$29, 11, FALSE))</f>
        <v>4714.0563561786994</v>
      </c>
      <c r="DS112" s="180">
        <f>$BS112*(VLOOKUP(DS$4, Rates_current!$G$6:$Q$29, 10, FALSE)+VLOOKUP(DS$4, Rates_current!$G$6:$Q$29, 11, FALSE))</f>
        <v>4557.2394591430302</v>
      </c>
      <c r="DT112" s="180">
        <f>$BS112*(VLOOKUP(DT$4, Rates_current!$G$6:$Q$29, 10, FALSE)+VLOOKUP(DT$4, Rates_current!$G$6:$Q$29, 11, FALSE))</f>
        <v>4193.5428066484001</v>
      </c>
      <c r="DU112" s="402">
        <f>IF(D112=0,IF(C112=0,MAX(0,DW112 - (VLOOKUP($A112,TOCA_current!$A$2:$AI$137,MATCH("RHWM 2024",TOCA_current!$A$2:$AI$2,0),FALSE)*$BS$2)), 0),0)</f>
        <v>7890.8572723983234</v>
      </c>
      <c r="DV112" s="403">
        <f>MIN(VLOOKUP($A112,TOCA_current!$A$2:$AI$137,MATCH("TRL - NLSL - Existing Resource "&amp;$BS$1,TOCA_current!$A$2:$AI$2,0),FALSE)*$BS$2, VLOOKUP($A112,TOCA_current!$A$2:$AI$137,MATCH("RHWM 2024",TOCA_current!$A$2:$AI$2,0),FALSE)*$BS$2)</f>
        <v>59423.759999999995</v>
      </c>
      <c r="DW112" s="403">
        <f>SUM(BY112:CV112)+(BS112*RT1SC!$C$4*$BS$2)</f>
        <v>67314.617272398318</v>
      </c>
      <c r="DX112" s="403">
        <f>VLOOKUP($A112,TOCA_current!$A$2:$AI$137,MATCH("Above RHWM Not Served with LS "&amp;$BS$1,TOCA_current!$A$2:$AI$2,0),FALSE)*$BS$2</f>
        <v>0</v>
      </c>
      <c r="DY112" s="403">
        <f t="shared" si="32"/>
        <v>7890.8572723983234</v>
      </c>
      <c r="DZ112" s="403">
        <f>(VLOOKUP($A112,TOCA_current!$A$2:$AI$137,MATCH("RHWM 2024",TOCA_current!$A$2:$AI$2,0),FALSE)*$BS$2) - $DV112</f>
        <v>0</v>
      </c>
      <c r="EA112" s="403">
        <f t="shared" si="33"/>
        <v>0</v>
      </c>
      <c r="EB112" s="403">
        <f t="shared" si="34"/>
        <v>0</v>
      </c>
      <c r="EC112" s="403">
        <f t="shared" si="35"/>
        <v>0</v>
      </c>
      <c r="ED112" s="403">
        <f t="shared" si="36"/>
        <v>0</v>
      </c>
    </row>
    <row r="113" spans="1:134">
      <c r="A113" s="123">
        <v>10363</v>
      </c>
      <c r="B113" s="124" t="s">
        <v>114</v>
      </c>
      <c r="C113" s="232">
        <f>VLOOKUP(A113, TOCA_current!$A$3:$D$137, 4, FALSE)</f>
        <v>0</v>
      </c>
      <c r="D113" s="191">
        <v>0</v>
      </c>
      <c r="E113" s="107">
        <f>VLOOKUP($A113,TOCA_previous!$A$2:$AI$137,MATCH(E$4,TOCA_previous!$A$2:$AI$2,0),FALSE)</f>
        <v>1.3526099999999999E-2</v>
      </c>
      <c r="F113" s="108">
        <f>VLOOKUP($A113,TOCA_previous!$A$2:$AI$137,MATCH(F$4,TOCA_previous!$A$2:$AI$2,0),FALSE)</f>
        <v>1.3526099999999999E-2</v>
      </c>
      <c r="G113" s="108">
        <f t="shared" si="24"/>
        <v>0</v>
      </c>
      <c r="H113" s="108">
        <f>VLOOKUP($A113,TOCA_previous!$A$2:$AI$137,MATCH(H$4,TOCA_previous!$A$2:$AI$2,0),FALSE)</f>
        <v>0</v>
      </c>
      <c r="I113" s="108">
        <f t="shared" si="25"/>
        <v>0</v>
      </c>
      <c r="J113" s="108">
        <f t="shared" si="26"/>
        <v>0</v>
      </c>
      <c r="K113" s="179">
        <f>VLOOKUP(A113, IRD!$A$5:$C$139, 3, FALSE)</f>
        <v>0</v>
      </c>
      <c r="L113" s="180">
        <f t="array" ref="L113">IF($G113=0, INDEX(LS_previous!$D$4:$AY$138, MATCH('Staging Table'!$A113, LS_previous!$B$4:$B$138, 0), MATCH(L$4&amp;L$5, LS_previous!$D$2:$AY$2&amp;LS_previous!$D$3:$AY$3, 0)),SUM(VLOOKUP($A113, LS_previous!$B$4:$AY$138, LS_previous!D$149, FALSE), VLOOKUP('Staging Table'!$A113, LS_previous!$B$4:$AY$138,LS_previous!AB$149, FALSE))/2)</f>
        <v>-729.54919713362324</v>
      </c>
      <c r="M113" s="180">
        <f t="array" ref="M113">IF($G113=0, INDEX(LS_previous!$D$4:$AY$138, MATCH('Staging Table'!$A113, LS_previous!$B$4:$B$138, 0), MATCH(M$4&amp;M$5, LS_previous!$D$2:$AY$2&amp;LS_previous!$D$3:$AY$3, 0)),SUM(VLOOKUP($A113, LS_previous!$B$4:$AY$138, LS_previous!E$149, FALSE), VLOOKUP('Staging Table'!$A113, LS_previous!$B$4:$AY$138,LS_previous!AC$149, FALSE))/2)</f>
        <v>2023.9140894512093</v>
      </c>
      <c r="N113" s="180">
        <f t="array" ref="N113">IF($G113=0, INDEX(LS_previous!$D$4:$AY$138, MATCH('Staging Table'!$A113, LS_previous!$B$4:$B$138, 0), MATCH(N$4&amp;N$5, LS_previous!$D$2:$AY$2&amp;LS_previous!$D$3:$AY$3, 0)),SUM(VLOOKUP($A113, LS_previous!$B$4:$AY$138, LS_previous!F$149, FALSE), VLOOKUP('Staging Table'!$A113, LS_previous!$B$4:$AY$138,LS_previous!AD$149, FALSE))/2)</f>
        <v>-6560.0531714507524</v>
      </c>
      <c r="O113" s="180">
        <f t="array" ref="O113">IF($G113=0, INDEX(LS_previous!$D$4:$AY$138, MATCH('Staging Table'!$A113, LS_previous!$B$4:$B$138, 0), MATCH(O$4&amp;O$5, LS_previous!$D$2:$AY$2&amp;LS_previous!$D$3:$AY$3, 0)),SUM(VLOOKUP($A113, LS_previous!$B$4:$AY$138, LS_previous!G$149, FALSE), VLOOKUP('Staging Table'!$A113, LS_previous!$B$4:$AY$138,LS_previous!AE$149, FALSE))/2)</f>
        <v>-2998.8071099303852</v>
      </c>
      <c r="P113" s="180">
        <f t="array" ref="P113">IF($G113=0, INDEX(LS_previous!$D$4:$AY$138, MATCH('Staging Table'!$A113, LS_previous!$B$4:$B$138, 0), MATCH(P$4&amp;P$5, LS_previous!$D$2:$AY$2&amp;LS_previous!$D$3:$AY$3, 0)),SUM(VLOOKUP($A113, LS_previous!$B$4:$AY$138, LS_previous!H$149, FALSE), VLOOKUP('Staging Table'!$A113, LS_previous!$B$4:$AY$138,LS_previous!AF$149, FALSE))/2)</f>
        <v>5866.3409899390463</v>
      </c>
      <c r="Q113" s="180">
        <f t="array" ref="Q113">IF($G113=0, INDEX(LS_previous!$D$4:$AY$138, MATCH('Staging Table'!$A113, LS_previous!$B$4:$B$138, 0), MATCH(Q$4&amp;Q$5, LS_previous!$D$2:$AY$2&amp;LS_previous!$D$3:$AY$3, 0)),SUM(VLOOKUP($A113, LS_previous!$B$4:$AY$138, LS_previous!I$149, FALSE), VLOOKUP('Staging Table'!$A113, LS_previous!$B$4:$AY$138,LS_previous!AG$149, FALSE))/2)</f>
        <v>2824.7520461813583</v>
      </c>
      <c r="R113" s="180">
        <f t="array" ref="R113">IF($G113=0, INDEX(LS_previous!$D$4:$AY$138, MATCH('Staging Table'!$A113, LS_previous!$B$4:$B$138, 0), MATCH(R$4&amp;R$5, LS_previous!$D$2:$AY$2&amp;LS_previous!$D$3:$AY$3, 0)),SUM(VLOOKUP($A113, LS_previous!$B$4:$AY$138, LS_previous!J$149, FALSE), VLOOKUP('Staging Table'!$A113, LS_previous!$B$4:$AY$138,LS_previous!AH$149, FALSE))/2)</f>
        <v>14495.709478938465</v>
      </c>
      <c r="S113" s="180">
        <f t="array" ref="S113">IF($G113=0, INDEX(LS_previous!$D$4:$AY$138, MATCH('Staging Table'!$A113, LS_previous!$B$4:$B$138, 0), MATCH(S$4&amp;S$5, LS_previous!$D$2:$AY$2&amp;LS_previous!$D$3:$AY$3, 0)),SUM(VLOOKUP($A113, LS_previous!$B$4:$AY$138, LS_previous!K$149, FALSE), VLOOKUP('Staging Table'!$A113, LS_previous!$B$4:$AY$138,LS_previous!AI$149, FALSE))/2)</f>
        <v>5821.319331209801</v>
      </c>
      <c r="T113" s="180">
        <f t="array" ref="T113">IF($G113=0, INDEX(LS_previous!$D$4:$AY$138, MATCH('Staging Table'!$A113, LS_previous!$B$4:$B$138, 0), MATCH(T$4&amp;T$5, LS_previous!$D$2:$AY$2&amp;LS_previous!$D$3:$AY$3, 0)),SUM(VLOOKUP($A113, LS_previous!$B$4:$AY$138, LS_previous!L$149, FALSE), VLOOKUP('Staging Table'!$A113, LS_previous!$B$4:$AY$138,LS_previous!AJ$149, FALSE))/2)</f>
        <v>13630.633745374103</v>
      </c>
      <c r="U113" s="180">
        <f t="array" ref="U113">IF($G113=0, INDEX(LS_previous!$D$4:$AY$138, MATCH('Staging Table'!$A113, LS_previous!$B$4:$B$138, 0), MATCH(U$4&amp;U$5, LS_previous!$D$2:$AY$2&amp;LS_previous!$D$3:$AY$3, 0)),SUM(VLOOKUP($A113, LS_previous!$B$4:$AY$138, LS_previous!M$149, FALSE), VLOOKUP('Staging Table'!$A113, LS_previous!$B$4:$AY$138,LS_previous!AK$149, FALSE))/2)</f>
        <v>5023.9433818331381</v>
      </c>
      <c r="V113" s="180">
        <f t="array" ref="V113">IF($G113=0, INDEX(LS_previous!$D$4:$AY$138, MATCH('Staging Table'!$A113, LS_previous!$B$4:$B$138, 0), MATCH(V$4&amp;V$5, LS_previous!$D$2:$AY$2&amp;LS_previous!$D$3:$AY$3, 0)),SUM(VLOOKUP($A113, LS_previous!$B$4:$AY$138, LS_previous!N$149, FALSE), VLOOKUP('Staging Table'!$A113, LS_previous!$B$4:$AY$138,LS_previous!AL$149, FALSE))/2)</f>
        <v>3780.061102835527</v>
      </c>
      <c r="W113" s="180">
        <f t="array" ref="W113">IF($G113=0, INDEX(LS_previous!$D$4:$AY$138, MATCH('Staging Table'!$A113, LS_previous!$B$4:$B$138, 0), MATCH(W$4&amp;W$5, LS_previous!$D$2:$AY$2&amp;LS_previous!$D$3:$AY$3, 0)),SUM(VLOOKUP($A113, LS_previous!$B$4:$AY$138, LS_previous!O$149, FALSE), VLOOKUP('Staging Table'!$A113, LS_previous!$B$4:$AY$138,LS_previous!AM$149, FALSE))/2)</f>
        <v>3601.7156308741978</v>
      </c>
      <c r="X113" s="180">
        <f t="array" ref="X113">IF($G113=0, INDEX(LS_previous!$D$4:$AY$138, MATCH('Staging Table'!$A113, LS_previous!$B$4:$B$138, 0), MATCH(X$4&amp;X$5, LS_previous!$D$2:$AY$2&amp;LS_previous!$D$3:$AY$3, 0)),SUM(VLOOKUP($A113, LS_previous!$B$4:$AY$138, LS_previous!P$149, FALSE), VLOOKUP('Staging Table'!$A113, LS_previous!$B$4:$AY$138,LS_previous!AN$149, FALSE))/2)</f>
        <v>8449.0840752862023</v>
      </c>
      <c r="Y113" s="180">
        <f t="array" ref="Y113">IF($G113=0, INDEX(LS_previous!$D$4:$AY$138, MATCH('Staging Table'!$A113, LS_previous!$B$4:$B$138, 0), MATCH(Y$4&amp;Y$5, LS_previous!$D$2:$AY$2&amp;LS_previous!$D$3:$AY$3, 0)),SUM(VLOOKUP($A113, LS_previous!$B$4:$AY$138, LS_previous!Q$149, FALSE), VLOOKUP('Staging Table'!$A113, LS_previous!$B$4:$AY$138,LS_previous!AO$149, FALSE))/2)</f>
        <v>3708.0554211138042</v>
      </c>
      <c r="Z113" s="180">
        <f t="array" ref="Z113">IF($G113=0, INDEX(LS_previous!$D$4:$AY$138, MATCH('Staging Table'!$A113, LS_previous!$B$4:$B$138, 0), MATCH(Z$4&amp;Z$5, LS_previous!$D$2:$AY$2&amp;LS_previous!$D$3:$AY$3, 0)),SUM(VLOOKUP($A113, LS_previous!$B$4:$AY$138, LS_previous!R$149, FALSE), VLOOKUP('Staging Table'!$A113, LS_previous!$B$4:$AY$138,LS_previous!AP$149, FALSE))/2)</f>
        <v>-11655.459623243034</v>
      </c>
      <c r="AA113" s="180">
        <f t="array" ref="AA113">IF($G113=0, INDEX(LS_previous!$D$4:$AY$138, MATCH('Staging Table'!$A113, LS_previous!$B$4:$B$138, 0), MATCH(AA$4&amp;AA$5, LS_previous!$D$2:$AY$2&amp;LS_previous!$D$3:$AY$3, 0)),SUM(VLOOKUP($A113, LS_previous!$B$4:$AY$138, LS_previous!S$149, FALSE), VLOOKUP('Staging Table'!$A113, LS_previous!$B$4:$AY$138,LS_previous!AQ$149, FALSE))/2)</f>
        <v>-1312.9323049976083</v>
      </c>
      <c r="AB113" s="180">
        <f t="array" ref="AB113">IF($G113=0, INDEX(LS_previous!$D$4:$AY$138, MATCH('Staging Table'!$A113, LS_previous!$B$4:$B$138, 0), MATCH(AB$4&amp;AB$5, LS_previous!$D$2:$AY$2&amp;LS_previous!$D$3:$AY$3, 0)),SUM(VLOOKUP($A113, LS_previous!$B$4:$AY$138, LS_previous!T$149, FALSE), VLOOKUP('Staging Table'!$A113, LS_previous!$B$4:$AY$138,LS_previous!AR$149, FALSE))/2)</f>
        <v>-18569.44987346074</v>
      </c>
      <c r="AC113" s="180">
        <f t="array" ref="AC113">IF($G113=0, INDEX(LS_previous!$D$4:$AY$138, MATCH('Staging Table'!$A113, LS_previous!$B$4:$B$138, 0), MATCH(AC$4&amp;AC$5, LS_previous!$D$2:$AY$2&amp;LS_previous!$D$3:$AY$3, 0)),SUM(VLOOKUP($A113, LS_previous!$B$4:$AY$138, LS_previous!U$149, FALSE), VLOOKUP('Staging Table'!$A113, LS_previous!$B$4:$AY$138,LS_previous!AS$149, FALSE))/2)</f>
        <v>7.670784769437887</v>
      </c>
      <c r="AD113" s="180">
        <f t="array" ref="AD113">IF($G113=0, INDEX(LS_previous!$D$4:$AY$138, MATCH('Staging Table'!$A113, LS_previous!$B$4:$B$138, 0), MATCH(AD$4&amp;AD$5, LS_previous!$D$2:$AY$2&amp;LS_previous!$D$3:$AY$3, 0)),SUM(VLOOKUP($A113, LS_previous!$B$4:$AY$138, LS_previous!V$149, FALSE), VLOOKUP('Staging Table'!$A113, LS_previous!$B$4:$AY$138,LS_previous!AT$149, FALSE))/2)</f>
        <v>-8766.961042106901</v>
      </c>
      <c r="AE113" s="180">
        <f t="array" ref="AE113">IF($G113=0, INDEX(LS_previous!$D$4:$AY$138, MATCH('Staging Table'!$A113, LS_previous!$B$4:$B$138, 0), MATCH(AE$4&amp;AE$5, LS_previous!$D$2:$AY$2&amp;LS_previous!$D$3:$AY$3, 0)),SUM(VLOOKUP($A113, LS_previous!$B$4:$AY$138, LS_previous!W$149, FALSE), VLOOKUP('Staging Table'!$A113, LS_previous!$B$4:$AY$138,LS_previous!AU$149, FALSE))/2)</f>
        <v>-1129.1279236068403</v>
      </c>
      <c r="AF113" s="180">
        <f t="array" ref="AF113">IF($G113=0, INDEX(LS_previous!$D$4:$AY$138, MATCH('Staging Table'!$A113, LS_previous!$B$4:$B$138, 0), MATCH(AF$4&amp;AF$5, LS_previous!$D$2:$AY$2&amp;LS_previous!$D$3:$AY$3, 0)),SUM(VLOOKUP($A113, LS_previous!$B$4:$AY$138, LS_previous!X$149, FALSE), VLOOKUP('Staging Table'!$A113, LS_previous!$B$4:$AY$138,LS_previous!AV$149, FALSE))/2)</f>
        <v>-6009.2728387871684</v>
      </c>
      <c r="AG113" s="180">
        <f t="array" ref="AG113">IF($G113=0, INDEX(LS_previous!$D$4:$AY$138, MATCH('Staging Table'!$A113, LS_previous!$B$4:$B$138, 0), MATCH(AG$4&amp;AG$5, LS_previous!$D$2:$AY$2&amp;LS_previous!$D$3:$AY$3, 0)),SUM(VLOOKUP($A113, LS_previous!$B$4:$AY$138, LS_previous!Y$149, FALSE), VLOOKUP('Staging Table'!$A113, LS_previous!$B$4:$AY$138,LS_previous!AW$149, FALSE))/2)</f>
        <v>-992.98816090264881</v>
      </c>
      <c r="AH113" s="180">
        <f t="array" ref="AH113">IF($G113=0, INDEX(LS_previous!$D$4:$AY$138, MATCH('Staging Table'!$A113, LS_previous!$B$4:$B$138, 0), MATCH(AH$4&amp;AH$5, LS_previous!$D$2:$AY$2&amp;LS_previous!$D$3:$AY$3, 0)),SUM(VLOOKUP($A113, LS_previous!$B$4:$AY$138, LS_previous!Z$149, FALSE), VLOOKUP('Staging Table'!$A113, LS_previous!$B$4:$AY$138,LS_previous!AX$149, FALSE))/2)</f>
        <v>-7928.0141943744238</v>
      </c>
      <c r="AI113" s="180">
        <f t="array" ref="AI113">IF($G113=0, INDEX(LS_previous!$D$4:$AY$138, MATCH('Staging Table'!$A113, LS_previous!$B$4:$B$138, 0), MATCH(AI$4&amp;AI$5, LS_previous!$D$2:$AY$2&amp;LS_previous!$D$3:$AY$3, 0)),SUM(VLOOKUP($A113, LS_previous!$B$4:$AY$138, LS_previous!AA$149, FALSE), VLOOKUP('Staging Table'!$A113, LS_previous!$B$4:$AY$138,LS_previous!AY$149, FALSE))/2)</f>
        <v>-980.08132367581493</v>
      </c>
      <c r="AJ113" s="298">
        <f t="array" ref="AJ113">INDEX(Demand_previous!$D$4:$AY$138, MATCH('Staging Table'!$A113, Demand_previous!$B$4:$B$138, 0), MATCH(AJ$4&amp;AJ$5,Demand_previous!$D$2:$AY$2&amp;Demand_previous!$D$3:$AY$3, 0))/1000</f>
        <v>0</v>
      </c>
      <c r="AK113" s="298">
        <f t="array" ref="AK113">INDEX(Demand_previous!$D$4:$AY$138, MATCH('Staging Table'!$A113, Demand_previous!$B$4:$B$138, 0), MATCH(AK$4&amp;AK$5,Demand_previous!$D$2:$AY$2&amp;Demand_previous!$D$3:$AY$3, 0))/1000</f>
        <v>0</v>
      </c>
      <c r="AL113" s="298">
        <f t="array" ref="AL113">INDEX(Demand_previous!$D$4:$AY$138, MATCH('Staging Table'!$A113, Demand_previous!$B$4:$B$138, 0), MATCH(AL$4&amp;AL$5,Demand_previous!$D$2:$AY$2&amp;Demand_previous!$D$3:$AY$3, 0))/1000</f>
        <v>22.662081730769213</v>
      </c>
      <c r="AM113" s="298">
        <f t="array" ref="AM113">INDEX(Demand_previous!$D$4:$AY$138, MATCH('Staging Table'!$A113, Demand_previous!$B$4:$B$138, 0), MATCH(AM$4&amp;AM$5,Demand_previous!$D$2:$AY$2&amp;Demand_previous!$D$3:$AY$3, 0))/1000</f>
        <v>6.9888949999999959</v>
      </c>
      <c r="AN113" s="298">
        <f t="array" ref="AN113">INDEX(Demand_previous!$D$4:$AY$138, MATCH('Staging Table'!$A113, Demand_previous!$B$4:$B$138, 0), MATCH(AN$4&amp;AN$5,Demand_previous!$D$2:$AY$2&amp;Demand_previous!$D$3:$AY$3, 0))/1000</f>
        <v>0</v>
      </c>
      <c r="AO113" s="298">
        <f t="array" ref="AO113">INDEX(Demand_previous!$D$4:$AY$138, MATCH('Staging Table'!$A113, Demand_previous!$B$4:$B$138, 0), MATCH(AO$4&amp;AO$5,Demand_previous!$D$2:$AY$2&amp;Demand_previous!$D$3:$AY$3, 0))/1000</f>
        <v>15.897437499999981</v>
      </c>
      <c r="AP113" s="298">
        <f t="array" ref="AP113">INDEX(Demand_previous!$D$4:$AY$138, MATCH('Staging Table'!$A113, Demand_previous!$B$4:$B$138, 0), MATCH(AP$4&amp;AP$5,Demand_previous!$D$2:$AY$2&amp;Demand_previous!$D$3:$AY$3, 0))/1000</f>
        <v>5.953175480769243</v>
      </c>
      <c r="AQ113" s="298">
        <f t="array" ref="AQ113">INDEX(Demand_previous!$D$4:$AY$138, MATCH('Staging Table'!$A113, Demand_previous!$B$4:$B$138, 0), MATCH(AQ$4&amp;AQ$5,Demand_previous!$D$2:$AY$2&amp;Demand_previous!$D$3:$AY$3, 0))/1000</f>
        <v>0</v>
      </c>
      <c r="AR113" s="298">
        <f t="array" ref="AR113">INDEX(Demand_previous!$D$4:$AY$138, MATCH('Staging Table'!$A113, Demand_previous!$B$4:$B$138, 0), MATCH(AR$4&amp;AR$5,Demand_previous!$D$2:$AY$2&amp;Demand_previous!$D$3:$AY$3, 0))/1000</f>
        <v>18.199817307692314</v>
      </c>
      <c r="AS113" s="298">
        <f t="array" ref="AS113">INDEX(Demand_previous!$D$4:$AY$138, MATCH('Staging Table'!$A113, Demand_previous!$B$4:$B$138, 0), MATCH(AS$4&amp;AS$5,Demand_previous!$D$2:$AY$2&amp;Demand_previous!$D$3:$AY$3, 0))/1000</f>
        <v>2.9994775000000082</v>
      </c>
      <c r="AT113" s="298">
        <f t="array" ref="AT113">INDEX(Demand_previous!$D$4:$AY$138, MATCH('Staging Table'!$A113, Demand_previous!$B$4:$B$138, 0), MATCH(AT$4&amp;AT$5,Demand_previous!$D$2:$AY$2&amp;Demand_previous!$D$3:$AY$3, 0))/1000</f>
        <v>14.633062500000007</v>
      </c>
      <c r="AU113" s="298">
        <f t="array" ref="AU113">INDEX(Demand_previous!$D$4:$AY$138, MATCH('Staging Table'!$A113, Demand_previous!$B$4:$B$138, 0), MATCH(AU$4&amp;AU$5,Demand_previous!$D$2:$AY$2&amp;Demand_previous!$D$3:$AY$3, 0))/1000</f>
        <v>11.147937499999991</v>
      </c>
      <c r="AV113" s="180">
        <f>$F113*(VLOOKUP(AV$4, Rates_previous!$G$6:$Q$29, 10, FALSE)+VLOOKUP(AV$4, Rates_previous!$G$6:$Q$29, 11, FALSE))</f>
        <v>61596.837107682411</v>
      </c>
      <c r="AW113" s="180">
        <f>$F113*(VLOOKUP(AW$4, Rates_previous!$G$6:$Q$29, 10, FALSE)+VLOOKUP(AW$4, Rates_previous!$G$6:$Q$29, 11, FALSE))</f>
        <v>77983.831281381135</v>
      </c>
      <c r="AX113" s="180">
        <f>$F113*(VLOOKUP(AX$4, Rates_previous!$G$6:$Q$29, 10, FALSE)+VLOOKUP(AX$4, Rates_previous!$G$6:$Q$29, 11, FALSE))</f>
        <v>76330.5909638796</v>
      </c>
      <c r="AY113" s="180">
        <f>$F113*(VLOOKUP(AY$4, Rates_previous!$G$6:$Q$29, 10, FALSE)+VLOOKUP(AY$4, Rates_previous!$G$6:$Q$29, 11, FALSE))</f>
        <v>63045.822189851729</v>
      </c>
      <c r="AZ113" s="180">
        <f>$F113*(VLOOKUP(AZ$4, Rates_previous!$G$6:$Q$29, 10, FALSE)+VLOOKUP(AZ$4, Rates_previous!$G$6:$Q$29, 11, FALSE))</f>
        <v>54643.195872792763</v>
      </c>
      <c r="BA113" s="180">
        <f>$F113*(VLOOKUP(BA$4, Rates_previous!$G$6:$Q$29, 10, FALSE)+VLOOKUP(BA$4, Rates_previous!$G$6:$Q$29, 11, FALSE))</f>
        <v>65232.941266290283</v>
      </c>
      <c r="BB113" s="180">
        <f>$F113*(VLOOKUP(BB$4, Rates_previous!$G$6:$Q$29, 10, FALSE)+VLOOKUP(BB$4, Rates_previous!$G$6:$Q$29, 11, FALSE))</f>
        <v>50644.694503599989</v>
      </c>
      <c r="BC113" s="180">
        <f>$F113*(VLOOKUP(BC$4, Rates_previous!$G$6:$Q$29, 10, FALSE)+VLOOKUP(BC$4, Rates_previous!$G$6:$Q$29, 11, FALSE))</f>
        <v>70168.596928240629</v>
      </c>
      <c r="BD113" s="180">
        <f>$F113*(VLOOKUP(BD$4, Rates_previous!$G$6:$Q$29, 10, FALSE)+VLOOKUP(BD$4, Rates_previous!$G$6:$Q$29, 11, FALSE))</f>
        <v>74976.615088691295</v>
      </c>
      <c r="BE113" s="180">
        <f>$F113*(VLOOKUP(BE$4, Rates_previous!$G$6:$Q$29, 10, FALSE)+VLOOKUP(BE$4, Rates_previous!$G$6:$Q$29, 11, FALSE))</f>
        <v>71186.90096571375</v>
      </c>
      <c r="BF113" s="180">
        <f>$F113*(VLOOKUP(BF$4, Rates_previous!$G$6:$Q$29, 10, FALSE)+VLOOKUP(BF$4, Rates_previous!$G$6:$Q$29, 11, FALSE))</f>
        <v>68796.647999689812</v>
      </c>
      <c r="BG113" s="180">
        <f>$F113*(VLOOKUP(BG$4, Rates_previous!$G$6:$Q$29, 10, FALSE)+VLOOKUP(BG$4, Rates_previous!$G$6:$Q$29, 11, FALSE))</f>
        <v>63575.274518050239</v>
      </c>
      <c r="BH113" s="298">
        <f>IF($D113=0,IF(C113=0, MAX(BJ113 - (VLOOKUP($A113,TOCA_previous!$A$2:$AI$137,MATCH("RHWM 2022",TOCA_previous!$A$2:$AI$2,0),FALSE)*$F$2*TOCA_previous!C110),0),0), 0)</f>
        <v>0</v>
      </c>
      <c r="BI113" s="192">
        <f>MIN(VLOOKUP($A113,TOCA_previous!$A$2:$AI$137,MATCH("TRL - NLSL - Existing Resource "&amp;$F$1,TOCA_previous!$A$2:$AI$2,0),FALSE)*$F$2,(VLOOKUP($A113,TOCA_previous!$A$2:$AI$137,MATCH("RHWM 2022",TOCA_previous!$A$2:$AI$2,0),FALSE)*$F$2))</f>
        <v>798184.92</v>
      </c>
      <c r="BJ113" s="402">
        <f>SUM(L113:AI113)+(F113*RT1SC!$C$3*$F$2)</f>
        <v>799782.49283046043</v>
      </c>
      <c r="BK113" s="401">
        <f>VLOOKUP($A113,TOCA_previous!$A$2:$AI$137,MATCH("Above RHWM Not Served with LS "&amp;$F$1,TOCA_previous!$A$2:$AI$2,0),FALSE)*$F$2</f>
        <v>0</v>
      </c>
      <c r="BL113" s="402">
        <f t="shared" si="27"/>
        <v>1597.5728304603836</v>
      </c>
      <c r="BM113" s="401">
        <f>(VLOOKUP($A113,TOCA_previous!$A$2:$AI$137,MATCH("RHWM 2022",TOCA_previous!$A$2:$AI$2,0),FALSE)*$F$2) - $BI113</f>
        <v>43326.959999999963</v>
      </c>
      <c r="BN113" s="402">
        <f t="shared" si="28"/>
        <v>-1597.5728304603836</v>
      </c>
      <c r="BO113" s="401">
        <f t="shared" si="29"/>
        <v>0</v>
      </c>
      <c r="BP113" s="402">
        <f t="shared" si="30"/>
        <v>0</v>
      </c>
      <c r="BQ113" s="401">
        <f t="shared" si="37"/>
        <v>-1597.5728304603836</v>
      </c>
      <c r="BR113" s="108">
        <f>VLOOKUP($A113,TOCA_current!$A$2:$AI$137,MATCH(BR$4,TOCA_current!$A$2:$AI$2,0),FALSE)</f>
        <v>1.2890499999999999E-2</v>
      </c>
      <c r="BS113" s="108">
        <f>VLOOKUP($A113,TOCA_current!$A$2:$AI$137,MATCH(BS$4,TOCA_current!$A$2:$AI$2,0),FALSE)</f>
        <v>1.2890499999999999E-2</v>
      </c>
      <c r="BT113" s="189">
        <f t="shared" si="31"/>
        <v>0</v>
      </c>
      <c r="BU113" s="108">
        <f>VLOOKUP($A113,TOCA_current!A109:BG244,MATCH(BU$4,TOCA_current!$A$2:$BG$2,0),FALSE)</f>
        <v>0</v>
      </c>
      <c r="BV113" s="108">
        <f t="shared" si="38"/>
        <v>0</v>
      </c>
      <c r="BW113" s="108">
        <f t="shared" si="39"/>
        <v>0</v>
      </c>
      <c r="BX113" s="179">
        <f>VLOOKUP($A113,IRD!$A$4:$G$139, 7, FALSE)</f>
        <v>0</v>
      </c>
      <c r="BY113" s="180">
        <f t="array" ref="BY113">IF($BT113=0, INDEX(LS_current!$D$4:$AY$138, MATCH('Staging Table'!$A113, LS_current!$B$4:$B$138, 0), MATCH(BY$4&amp;BY$5, LS_current!$D$2:$AY$2&amp;LS_current!$D$3:$AY$3, 0)),SUM(VLOOKUP($A113, LS_current!$B$4:$AY$138, LS_current!D$148, FALSE), VLOOKUP($A113, LS_current!$B$4:$AY$138,LS_current!AB$148, FALSE))/2)</f>
        <v>5875.0721539419974</v>
      </c>
      <c r="BZ113" s="180">
        <f t="array" ref="BZ113">IF($BT113=0, INDEX(LS_current!$D$4:$AY$138, MATCH('Staging Table'!$A113, LS_current!$B$4:$B$138, 0), MATCH(BZ$4&amp;BZ$5, LS_current!$D$2:$AY$2&amp;LS_current!$D$3:$AY$3, 0)),SUM(VLOOKUP($A113, LS_current!$B$4:$AY$138, LS_current!E$148, FALSE), VLOOKUP($A113, LS_current!$B$4:$AY$138,LS_current!AC$148, FALSE))/2)</f>
        <v>2633.6399584422506</v>
      </c>
      <c r="CA113" s="180">
        <f t="array" ref="CA113">IF($BT113=0, INDEX(LS_current!$D$4:$AY$138, MATCH('Staging Table'!$A113, LS_current!$B$4:$B$138, 0), MATCH(CA$4&amp;CA$5, LS_current!$D$2:$AY$2&amp;LS_current!$D$3:$AY$3, 0)),SUM(VLOOKUP($A113, LS_current!$B$4:$AY$138, LS_current!F$148, FALSE), VLOOKUP($A113, LS_current!$B$4:$AY$138,LS_current!AD$148, FALSE))/2)</f>
        <v>-786.32690158399782</v>
      </c>
      <c r="CB113" s="180">
        <f t="array" ref="CB113">IF($BT113=0, INDEX(LS_current!$D$4:$AY$138, MATCH('Staging Table'!$A113, LS_current!$B$4:$B$138, 0), MATCH(CB$4&amp;CB$5, LS_current!$D$2:$AY$2&amp;LS_current!$D$3:$AY$3, 0)),SUM(VLOOKUP($A113, LS_current!$B$4:$AY$138, LS_current!G$148, FALSE), VLOOKUP($A113, LS_current!$B$4:$AY$138,LS_current!AE$148, FALSE))/2)</f>
        <v>-144.30949290550052</v>
      </c>
      <c r="CC113" s="180">
        <f t="array" ref="CC113">IF($BT113=0, INDEX(LS_current!$D$4:$AY$138, MATCH('Staging Table'!$A113, LS_current!$B$4:$B$138, 0), MATCH(CC$4&amp;CC$5, LS_current!$D$2:$AY$2&amp;LS_current!$D$3:$AY$3, 0)),SUM(VLOOKUP($A113, LS_current!$B$4:$AY$138, LS_current!H$148, FALSE), VLOOKUP($A113, LS_current!$B$4:$AY$138,LS_current!AF$148, FALSE))/2)</f>
        <v>4091.9445814205028</v>
      </c>
      <c r="CD113" s="180">
        <f t="array" ref="CD113">IF($BT113=0, INDEX(LS_current!$D$4:$AY$138, MATCH('Staging Table'!$A113, LS_current!$B$4:$B$138, 0), MATCH(CD$4&amp;CD$5, LS_current!$D$2:$AY$2&amp;LS_current!$D$3:$AY$3, 0)),SUM(VLOOKUP($A113, LS_current!$B$4:$AY$138, LS_current!I$148, FALSE), VLOOKUP($A113, LS_current!$B$4:$AY$138,LS_current!AG$148, FALSE))/2)</f>
        <v>6081.3162617119997</v>
      </c>
      <c r="CE113" s="180">
        <f t="array" ref="CE113">IF($BT113=0, INDEX(LS_current!$D$4:$AY$138, MATCH('Staging Table'!$A113, LS_current!$B$4:$B$138, 0), MATCH(CE$4&amp;CE$5, LS_current!$D$2:$AY$2&amp;LS_current!$D$3:$AY$3, 0)),SUM(VLOOKUP($A113, LS_current!$B$4:$AY$138, LS_current!J$148, FALSE), VLOOKUP($A113, LS_current!$B$4:$AY$138,LS_current!AH$148, FALSE))/2)</f>
        <v>2206.3079477925057</v>
      </c>
      <c r="CF113" s="180">
        <f t="array" ref="CF113">IF($BT113=0, INDEX(LS_current!$D$4:$AY$138, MATCH('Staging Table'!$A113, LS_current!$B$4:$B$138, 0), MATCH(CF$4&amp;CF$5, LS_current!$D$2:$AY$2&amp;LS_current!$D$3:$AY$3, 0)),SUM(VLOOKUP($A113, LS_current!$B$4:$AY$138, LS_current!K$148, FALSE), VLOOKUP($A113, LS_current!$B$4:$AY$138,LS_current!AI$148, FALSE))/2)</f>
        <v>3377.4607371754973</v>
      </c>
      <c r="CG113" s="180">
        <f t="array" ref="CG113">IF($BT113=0, INDEX(LS_current!$D$4:$AY$138, MATCH('Staging Table'!$A113, LS_current!$B$4:$B$138, 0), MATCH(CG$4&amp;CG$5, LS_current!$D$2:$AY$2&amp;LS_current!$D$3:$AY$3, 0)),SUM(VLOOKUP($A113, LS_current!$B$4:$AY$138, LS_current!L$148, FALSE), VLOOKUP($A113, LS_current!$B$4:$AY$138,LS_current!AJ$148, FALSE))/2)</f>
        <v>2833.602121750504</v>
      </c>
      <c r="CH113" s="180">
        <f t="array" ref="CH113">IF($BT113=0, INDEX(LS_current!$D$4:$AY$138, MATCH('Staging Table'!$A113, LS_current!$B$4:$B$138, 0), MATCH(CH$4&amp;CH$5, LS_current!$D$2:$AY$2&amp;LS_current!$D$3:$AY$3, 0)),SUM(VLOOKUP($A113, LS_current!$B$4:$AY$138, LS_current!M$148, FALSE), VLOOKUP($A113, LS_current!$B$4:$AY$138,LS_current!AK$148, FALSE))/2)</f>
        <v>3563.7927975105013</v>
      </c>
      <c r="CI113" s="180">
        <f t="array" ref="CI113">IF($BT113=0, INDEX(LS_current!$D$4:$AY$138, MATCH('Staging Table'!$A113, LS_current!$B$4:$B$138, 0), MATCH(CI$4&amp;CI$5, LS_current!$D$2:$AY$2&amp;LS_current!$D$3:$AY$3, 0)),SUM(VLOOKUP($A113, LS_current!$B$4:$AY$138, LS_current!N$148, FALSE), VLOOKUP($A113, LS_current!$B$4:$AY$138,LS_current!AL$148, FALSE))/2)</f>
        <v>-628.98732612649474</v>
      </c>
      <c r="CJ113" s="180">
        <f t="array" ref="CJ113">IF($BT113=0, INDEX(LS_current!$D$4:$AY$138, MATCH('Staging Table'!$A113, LS_current!$B$4:$B$138, 0), MATCH(CJ$4&amp;CJ$5, LS_current!$D$2:$AY$2&amp;LS_current!$D$3:$AY$3, 0)),SUM(VLOOKUP($A113, LS_current!$B$4:$AY$138, LS_current!O$148, FALSE), VLOOKUP($A113, LS_current!$B$4:$AY$138,LS_current!AM$148, FALSE))/2)</f>
        <v>201.7380706910044</v>
      </c>
      <c r="CK113" s="180">
        <f t="array" ref="CK113">IF($BT113=0, INDEX(LS_current!$D$4:$AY$138, MATCH('Staging Table'!$A113, LS_current!$B$4:$B$138, 0), MATCH(CK$4&amp;CK$5, LS_current!$D$2:$AY$2&amp;LS_current!$D$3:$AY$3, 0)),SUM(VLOOKUP($A113, LS_current!$B$4:$AY$138, LS_current!P$148, FALSE), VLOOKUP($A113, LS_current!$B$4:$AY$138,LS_current!AN$148, FALSE))/2)</f>
        <v>4564.8415441362522</v>
      </c>
      <c r="CL113" s="180">
        <f t="array" ref="CL113">IF($BT113=0, INDEX(LS_current!$D$4:$AY$138, MATCH('Staging Table'!$A113, LS_current!$B$4:$B$138, 0), MATCH(CL$4&amp;CL$5, LS_current!$D$2:$AY$2&amp;LS_current!$D$3:$AY$3, 0)),SUM(VLOOKUP($A113, LS_current!$B$4:$AY$138, LS_current!Q$148, FALSE), VLOOKUP($A113, LS_current!$B$4:$AY$138,LS_current!AO$148, FALSE))/2)</f>
        <v>582.66837131162902</v>
      </c>
      <c r="CM113" s="180">
        <f t="array" ref="CM113">IF($BT113=0, INDEX(LS_current!$D$4:$AY$138, MATCH('Staging Table'!$A113, LS_current!$B$4:$B$138, 0), MATCH(CM$4&amp;CM$5, LS_current!$D$2:$AY$2&amp;LS_current!$D$3:$AY$3, 0)),SUM(VLOOKUP($A113, LS_current!$B$4:$AY$138, LS_current!R$148, FALSE), VLOOKUP($A113, LS_current!$B$4:$AY$138,LS_current!AP$148, FALSE))/2)</f>
        <v>-7836.5460791440055</v>
      </c>
      <c r="CN113" s="180">
        <f t="array" ref="CN113">IF($BT113=0, INDEX(LS_current!$D$4:$AY$138, MATCH('Staging Table'!$A113, LS_current!$B$4:$B$138, 0), MATCH(CN$4&amp;CN$5, LS_current!$D$2:$AY$2&amp;LS_current!$D$3:$AY$3, 0)),SUM(VLOOKUP($A113, LS_current!$B$4:$AY$138, LS_current!S$148, FALSE), VLOOKUP($A113, LS_current!$B$4:$AY$138,LS_current!AQ$148, FALSE))/2)</f>
        <v>-6491.1639876442459</v>
      </c>
      <c r="CO113" s="180">
        <f t="array" ref="CO113">IF($BT113=0, INDEX(LS_current!$D$4:$AY$138, MATCH('Staging Table'!$A113, LS_current!$B$4:$B$138, 0), MATCH(CO$4&amp;CO$5, LS_current!$D$2:$AY$2&amp;LS_current!$D$3:$AY$3, 0)),SUM(VLOOKUP($A113, LS_current!$B$4:$AY$138, LS_current!T$148, FALSE), VLOOKUP($A113, LS_current!$B$4:$AY$138,LS_current!AR$148, FALSE))/2)</f>
        <v>-10991.966170102998</v>
      </c>
      <c r="CP113" s="180">
        <f t="array" ref="CP113">IF($BT113=0, INDEX(LS_current!$D$4:$AY$138, MATCH('Staging Table'!$A113, LS_current!$B$4:$B$138, 0), MATCH(CP$4&amp;CP$5, LS_current!$D$2:$AY$2&amp;LS_current!$D$3:$AY$3, 0)),SUM(VLOOKUP($A113, LS_current!$B$4:$AY$138, LS_current!U$148, FALSE), VLOOKUP($A113, LS_current!$B$4:$AY$138,LS_current!AS$148, FALSE))/2)</f>
        <v>-5673.0900900322486</v>
      </c>
      <c r="CQ113" s="180">
        <f t="array" ref="CQ113">IF($BT113=0, INDEX(LS_current!$D$4:$AY$138, MATCH('Staging Table'!$A113, LS_current!$B$4:$B$138, 0), MATCH(CQ$4&amp;CQ$5, LS_current!$D$2:$AY$2&amp;LS_current!$D$3:$AY$3, 0)),SUM(VLOOKUP($A113, LS_current!$B$4:$AY$138, LS_current!V$148, FALSE), VLOOKUP($A113, LS_current!$B$4:$AY$138,LS_current!AT$148, FALSE))/2)</f>
        <v>-888.9639538420015</v>
      </c>
      <c r="CR113" s="180">
        <f t="array" ref="CR113">IF($BT113=0, INDEX(LS_current!$D$4:$AY$138, MATCH('Staging Table'!$A113, LS_current!$B$4:$B$138, 0), MATCH(CR$4&amp;CR$5, LS_current!$D$2:$AY$2&amp;LS_current!$D$3:$AY$3, 0)),SUM(VLOOKUP($A113, LS_current!$B$4:$AY$138, LS_current!W$148, FALSE), VLOOKUP($A113, LS_current!$B$4:$AY$138,LS_current!AU$148, FALSE))/2)</f>
        <v>-1264.0990297887474</v>
      </c>
      <c r="CS113" s="180">
        <f t="array" ref="CS113">IF($BT113=0, INDEX(LS_current!$D$4:$AY$138, MATCH('Staging Table'!$A113, LS_current!$B$4:$B$138, 0), MATCH(CS$4&amp;CS$5, LS_current!$D$2:$AY$2&amp;LS_current!$D$3:$AY$3, 0)),SUM(VLOOKUP($A113, LS_current!$B$4:$AY$138, LS_current!X$148, FALSE), VLOOKUP($A113, LS_current!$B$4:$AY$138,LS_current!AV$148, FALSE))/2)</f>
        <v>1413.8555442792494</v>
      </c>
      <c r="CT113" s="180">
        <f t="array" ref="CT113">IF($BT113=0, INDEX(LS_current!$D$4:$AY$138, MATCH('Staging Table'!$A113, LS_current!$B$4:$B$138, 0), MATCH(CT$4&amp;CT$5, LS_current!$D$2:$AY$2&amp;LS_current!$D$3:$AY$3, 0)),SUM(VLOOKUP($A113, LS_current!$B$4:$AY$138, LS_current!Y$148, FALSE), VLOOKUP($A113, LS_current!$B$4:$AY$138,LS_current!AW$148, FALSE))/2)</f>
        <v>-952.83171830642459</v>
      </c>
      <c r="CU113" s="180">
        <f t="array" ref="CU113">IF($BT113=0, INDEX(LS_current!$D$4:$AY$138, MATCH('Staging Table'!$A113, LS_current!$B$4:$B$138, 0), MATCH(CU$4&amp;CU$5, LS_current!$D$2:$AY$2&amp;LS_current!$D$3:$AY$3, 0)),SUM(VLOOKUP($A113, LS_current!$B$4:$AY$138, LS_current!Z$148, FALSE), VLOOKUP($A113, LS_current!$B$4:$AY$138,LS_current!AX$148, FALSE))/2)</f>
        <v>-1061.8368209969994</v>
      </c>
      <c r="CV113" s="180">
        <f t="array" ref="CV113">IF($BT113=0, INDEX(LS_current!$D$4:$AY$138, MATCH('Staging Table'!$A113, LS_current!$B$4:$B$138, 0), MATCH(CV$4&amp;CV$5, LS_current!$D$2:$AY$2&amp;LS_current!$D$3:$AY$3, 0)),SUM(VLOOKUP($A113, LS_current!$B$4:$AY$138, LS_current!AA$148, FALSE), VLOOKUP($A113, LS_current!$B$4:$AY$138,LS_current!AY$148, FALSE))/2)</f>
        <v>-709.55543511200085</v>
      </c>
      <c r="CW113" s="182">
        <f t="array" ref="CW113">INDEX(Demand_current!$D$4:$AY$138, MATCH($A113, Demand_current!$B$4:$B$138, 0), MATCH(CW$4&amp;CW$5,Demand_current!$D$2:$AY$2&amp;Demand_current!$D$3:$AY$3, 0))/1000</f>
        <v>0</v>
      </c>
      <c r="CX113" s="182">
        <f t="array" ref="CX113">INDEX(Demand_current!$D$4:$AY$138, MATCH($A113, Demand_current!$B$4:$B$138, 0), MATCH(CX$4&amp;CX$5,Demand_current!$D$2:$AY$2&amp;Demand_current!$D$3:$AY$3, 0))/1000</f>
        <v>0</v>
      </c>
      <c r="CY113" s="182">
        <f t="array" ref="CY113">INDEX(Demand_current!$D$4:$AY$138, MATCH($A113, Demand_current!$B$4:$B$138, 0), MATCH(CY$4&amp;CY$5,Demand_current!$D$2:$AY$2&amp;Demand_current!$D$3:$AY$3, 0))/1000</f>
        <v>17.905084999999982</v>
      </c>
      <c r="CZ113" s="182">
        <f t="array" ref="CZ113">INDEX(Demand_current!$D$4:$AY$138, MATCH($A113, Demand_current!$B$4:$B$138, 0), MATCH(CZ$4&amp;CZ$5,Demand_current!$D$2:$AY$2&amp;Demand_current!$D$3:$AY$3, 0))/1000</f>
        <v>11.831322115384605</v>
      </c>
      <c r="DA113" s="182">
        <f t="array" ref="DA113">INDEX(Demand_current!$D$4:$AY$138, MATCH($A113, Demand_current!$B$4:$B$138, 0), MATCH(DA$4&amp;DA$5,Demand_current!$D$2:$AY$2&amp;Demand_current!$D$3:$AY$3, 0))/1000</f>
        <v>0</v>
      </c>
      <c r="DB113" s="182">
        <f t="array" ref="DB113">INDEX(Demand_current!$D$4:$AY$138, MATCH($A113, Demand_current!$B$4:$B$138, 0), MATCH(DB$4&amp;DB$5,Demand_current!$D$2:$AY$2&amp;Demand_current!$D$3:$AY$3, 0))/1000</f>
        <v>11.99410817307691</v>
      </c>
      <c r="DC113" s="182">
        <f t="array" ref="DC113">INDEX(Demand_current!$D$4:$AY$138, MATCH($A113, Demand_current!$B$4:$B$138, 0), MATCH(DC$4&amp;DC$5,Demand_current!$D$2:$AY$2&amp;Demand_current!$D$3:$AY$3, 0))/1000</f>
        <v>5.953175480769243</v>
      </c>
      <c r="DD113" s="182">
        <f t="array" ref="DD113">INDEX(Demand_current!$D$4:$AY$138, MATCH($A113, Demand_current!$B$4:$B$138, 0), MATCH(DD$4&amp;DD$5,Demand_current!$D$2:$AY$2&amp;Demand_current!$D$3:$AY$3, 0))/1000</f>
        <v>1.1631081730769317</v>
      </c>
      <c r="DE113" s="182">
        <f t="array" ref="DE113">INDEX(Demand_current!$D$4:$AY$138, MATCH($A113, Demand_current!$B$4:$B$138, 0), MATCH(DE$4&amp;DE$5,Demand_current!$D$2:$AY$2&amp;Demand_current!$D$3:$AY$3, 0))/1000</f>
        <v>14.844210000000006</v>
      </c>
      <c r="DF113" s="182">
        <f t="array" ref="DF113">INDEX(Demand_current!$D$4:$AY$138, MATCH($A113, Demand_current!$B$4:$B$138, 0), MATCH(DF$4&amp;DF$5,Demand_current!$D$2:$AY$2&amp;Demand_current!$D$3:$AY$3, 0))/1000</f>
        <v>6.715497596153849</v>
      </c>
      <c r="DG113" s="182">
        <f t="array" ref="DG113">INDEX(Demand_current!$D$4:$AY$138, MATCH($A113, Demand_current!$B$4:$B$138, 0), MATCH(DG$4&amp;DG$5,Demand_current!$D$2:$AY$2&amp;Demand_current!$D$3:$AY$3, 0))/1000</f>
        <v>14.633062500000007</v>
      </c>
      <c r="DH113" s="182">
        <f t="array" ref="DH113">INDEX(Demand_current!$D$4:$AY$138, MATCH($A113, Demand_current!$B$4:$B$138, 0), MATCH(DH$4&amp;DH$5,Demand_current!$D$2:$AY$2&amp;Demand_current!$D$3:$AY$3, 0))/1000</f>
        <v>7.7473098958333324</v>
      </c>
      <c r="DI113" s="180">
        <f>$BS113*(VLOOKUP(DI$4, Rates_current!$G$6:$Q$29, 10, FALSE)+VLOOKUP(DI$4, Rates_current!$G$6:$Q$29, 11, FALSE))</f>
        <v>54382.489887615746</v>
      </c>
      <c r="DJ113" s="180">
        <f>$BS113*(VLOOKUP(DJ$4, Rates_current!$G$6:$Q$29, 10, FALSE)+VLOOKUP(DJ$4, Rates_current!$G$6:$Q$29, 11, FALSE))</f>
        <v>69355.607394489503</v>
      </c>
      <c r="DK113" s="180">
        <f>$BS113*(VLOOKUP(DK$4, Rates_current!$G$6:$Q$29, 10, FALSE)+VLOOKUP(DK$4, Rates_current!$G$6:$Q$29, 11, FALSE))</f>
        <v>74848.423156867502</v>
      </c>
      <c r="DL113" s="180">
        <f>$BS113*(VLOOKUP(DL$4, Rates_current!$G$6:$Q$29, 10, FALSE)+VLOOKUP(DL$4, Rates_current!$G$6:$Q$29, 11, FALSE))</f>
        <v>77779.082315031992</v>
      </c>
      <c r="DM113" s="180">
        <f>$BS113*(VLOOKUP(DM$4, Rates_current!$G$6:$Q$29, 10, FALSE)+VLOOKUP(DM$4, Rates_current!$G$6:$Q$29, 11, FALSE))</f>
        <v>66900.378080738985</v>
      </c>
      <c r="DN113" s="180">
        <f>$BS113*(VLOOKUP(DN$4, Rates_current!$G$6:$Q$29, 10, FALSE)+VLOOKUP(DN$4, Rates_current!$G$6:$Q$29, 11, FALSE))</f>
        <v>73041.967255435491</v>
      </c>
      <c r="DO113" s="180">
        <f>$BS113*(VLOOKUP(DO$4, Rates_current!$G$6:$Q$29, 10, FALSE)+VLOOKUP(DO$4, Rates_current!$G$6:$Q$29, 11, FALSE))</f>
        <v>57654.324084552114</v>
      </c>
      <c r="DP113" s="180">
        <f>$BS113*(VLOOKUP(DP$4, Rates_current!$G$6:$Q$29, 10, FALSE)+VLOOKUP(DP$4, Rates_current!$G$6:$Q$29, 11, FALSE))</f>
        <v>71527.91506678825</v>
      </c>
      <c r="DQ113" s="180">
        <f>$BS113*(VLOOKUP(DQ$4, Rates_current!$G$6:$Q$29, 10, FALSE)+VLOOKUP(DQ$4, Rates_current!$G$6:$Q$29, 11, FALSE))</f>
        <v>73079.892260135239</v>
      </c>
      <c r="DR113" s="180">
        <f>$BS113*(VLOOKUP(DR$4, Rates_current!$G$6:$Q$29, 10, FALSE)+VLOOKUP(DR$4, Rates_current!$G$6:$Q$29, 11, FALSE))</f>
        <v>63443.874983630747</v>
      </c>
      <c r="DS113" s="180">
        <f>$BS113*(VLOOKUP(DS$4, Rates_current!$G$6:$Q$29, 10, FALSE)+VLOOKUP(DS$4, Rates_current!$G$6:$Q$29, 11, FALSE))</f>
        <v>61333.363174027174</v>
      </c>
      <c r="DT113" s="180">
        <f>$BS113*(VLOOKUP(DT$4, Rates_current!$G$6:$Q$29, 10, FALSE)+VLOOKUP(DT$4, Rates_current!$G$6:$Q$29, 11, FALSE))</f>
        <v>56438.571256109004</v>
      </c>
      <c r="DU113" s="402">
        <f>IF(D113=0,IF(C113=0,MAX(0,DW113 - (VLOOKUP($A113,TOCA_current!$A$2:$AI$137,MATCH("RHWM 2024",TOCA_current!$A$2:$AI$2,0),FALSE)*$BS$2)), 0),0)</f>
        <v>0</v>
      </c>
      <c r="DV113" s="403">
        <f>MIN(VLOOKUP($A113,TOCA_current!$A$2:$AI$137,MATCH("TRL - NLSL - Existing Resource "&amp;$BS$1,TOCA_current!$A$2:$AI$2,0),FALSE)*$BS$2, VLOOKUP($A113,TOCA_current!$A$2:$AI$137,MATCH("RHWM 2024",TOCA_current!$A$2:$AI$2,0),FALSE)*$BS$2)</f>
        <v>799783.2</v>
      </c>
      <c r="DW113" s="403">
        <f>SUM(BY113:CV113)+(BS113*RT1SC!$C$4*$BS$2)</f>
        <v>799782.45566605811</v>
      </c>
      <c r="DX113" s="403">
        <f>VLOOKUP($A113,TOCA_current!$A$2:$AI$137,MATCH("Above RHWM Not Served with LS "&amp;$BS$1,TOCA_current!$A$2:$AI$2,0),FALSE)*$BS$2</f>
        <v>0</v>
      </c>
      <c r="DY113" s="403">
        <f t="shared" si="32"/>
        <v>-0.74433394183870405</v>
      </c>
      <c r="DZ113" s="403">
        <f>(VLOOKUP($A113,TOCA_current!$A$2:$AI$137,MATCH("RHWM 2024",TOCA_current!$A$2:$AI$2,0),FALSE)*$BS$2) - $DV113</f>
        <v>84818.30400000012</v>
      </c>
      <c r="EA113" s="403">
        <f t="shared" si="33"/>
        <v>0</v>
      </c>
      <c r="EB113" s="403">
        <f t="shared" si="34"/>
        <v>0.74433394183870405</v>
      </c>
      <c r="EC113" s="403">
        <f t="shared" si="35"/>
        <v>0</v>
      </c>
      <c r="ED113" s="403">
        <f t="shared" si="36"/>
        <v>0.74433394183870405</v>
      </c>
    </row>
    <row r="114" spans="1:134">
      <c r="A114" s="123">
        <v>10369</v>
      </c>
      <c r="B114" s="124" t="s">
        <v>115</v>
      </c>
      <c r="C114" s="232">
        <f>VLOOKUP(A114, TOCA_current!$A$3:$D$137, 4, FALSE)</f>
        <v>0</v>
      </c>
      <c r="D114" s="191">
        <v>0</v>
      </c>
      <c r="E114" s="107">
        <f>VLOOKUP($A114,TOCA_previous!$A$2:$AI$137,MATCH(E$4,TOCA_previous!$A$2:$AI$2,0),FALSE)</f>
        <v>2.3268E-3</v>
      </c>
      <c r="F114" s="108">
        <f>VLOOKUP($A114,TOCA_previous!$A$2:$AI$137,MATCH(F$4,TOCA_previous!$A$2:$AI$2,0),FALSE)</f>
        <v>2.3268E-3</v>
      </c>
      <c r="G114" s="108">
        <f t="shared" si="24"/>
        <v>0</v>
      </c>
      <c r="H114" s="108">
        <f>VLOOKUP($A114,TOCA_previous!$A$2:$AI$137,MATCH(H$4,TOCA_previous!$A$2:$AI$2,0),FALSE)</f>
        <v>7.6590000000000005E-2</v>
      </c>
      <c r="I114" s="108">
        <f t="shared" si="25"/>
        <v>0</v>
      </c>
      <c r="J114" s="108">
        <f t="shared" si="26"/>
        <v>0</v>
      </c>
      <c r="K114" s="179">
        <f>VLOOKUP(A114, IRD!$A$5:$C$139, 3, FALSE)</f>
        <v>46210.901000000005</v>
      </c>
      <c r="L114" s="180">
        <f t="array" ref="L114">IF($G114=0, INDEX(LS_previous!$D$4:$AY$138, MATCH('Staging Table'!$A114, LS_previous!$B$4:$B$138, 0), MATCH(L$4&amp;L$5, LS_previous!$D$2:$AY$2&amp;LS_previous!$D$3:$AY$3, 0)),SUM(VLOOKUP($A114, LS_previous!$B$4:$AY$138, LS_previous!D$149, FALSE), VLOOKUP('Staging Table'!$A114, LS_previous!$B$4:$AY$138,LS_previous!AB$149, FALSE))/2)</f>
        <v>-2106.8037875212012</v>
      </c>
      <c r="M114" s="180">
        <f t="array" ref="M114">IF($G114=0, INDEX(LS_previous!$D$4:$AY$138, MATCH('Staging Table'!$A114, LS_previous!$B$4:$B$138, 0), MATCH(M$4&amp;M$5, LS_previous!$D$2:$AY$2&amp;LS_previous!$D$3:$AY$3, 0)),SUM(VLOOKUP($A114, LS_previous!$B$4:$AY$138, LS_previous!E$149, FALSE), VLOOKUP('Staging Table'!$A114, LS_previous!$B$4:$AY$138,LS_previous!AC$149, FALSE))/2)</f>
        <v>-544.69655471014767</v>
      </c>
      <c r="N114" s="180">
        <f t="array" ref="N114">IF($G114=0, INDEX(LS_previous!$D$4:$AY$138, MATCH('Staging Table'!$A114, LS_previous!$B$4:$B$138, 0), MATCH(N$4&amp;N$5, LS_previous!$D$2:$AY$2&amp;LS_previous!$D$3:$AY$3, 0)),SUM(VLOOKUP($A114, LS_previous!$B$4:$AY$138, LS_previous!F$149, FALSE), VLOOKUP('Staging Table'!$A114, LS_previous!$B$4:$AY$138,LS_previous!AD$149, FALSE))/2)</f>
        <v>-4078.2258228485389</v>
      </c>
      <c r="O114" s="180">
        <f t="array" ref="O114">IF($G114=0, INDEX(LS_previous!$D$4:$AY$138, MATCH('Staging Table'!$A114, LS_previous!$B$4:$B$138, 0), MATCH(O$4&amp;O$5, LS_previous!$D$2:$AY$2&amp;LS_previous!$D$3:$AY$3, 0)),SUM(VLOOKUP($A114, LS_previous!$B$4:$AY$138, LS_previous!G$149, FALSE), VLOOKUP('Staging Table'!$A114, LS_previous!$B$4:$AY$138,LS_previous!AE$149, FALSE))/2)</f>
        <v>-2125.2510543087828</v>
      </c>
      <c r="P114" s="180">
        <f t="array" ref="P114">IF($G114=0, INDEX(LS_previous!$D$4:$AY$138, MATCH('Staging Table'!$A114, LS_previous!$B$4:$B$138, 0), MATCH(P$4&amp;P$5, LS_previous!$D$2:$AY$2&amp;LS_previous!$D$3:$AY$3, 0)),SUM(VLOOKUP($A114, LS_previous!$B$4:$AY$138, LS_previous!H$149, FALSE), VLOOKUP('Staging Table'!$A114, LS_previous!$B$4:$AY$138,LS_previous!AF$149, FALSE))/2)</f>
        <v>-2498.3130813767339</v>
      </c>
      <c r="Q114" s="180">
        <f t="array" ref="Q114">IF($G114=0, INDEX(LS_previous!$D$4:$AY$138, MATCH('Staging Table'!$A114, LS_previous!$B$4:$B$138, 0), MATCH(Q$4&amp;Q$5, LS_previous!$D$2:$AY$2&amp;LS_previous!$D$3:$AY$3, 0)),SUM(VLOOKUP($A114, LS_previous!$B$4:$AY$138, LS_previous!I$149, FALSE), VLOOKUP('Staging Table'!$A114, LS_previous!$B$4:$AY$138,LS_previous!AG$149, FALSE))/2)</f>
        <v>-1594.1294733474697</v>
      </c>
      <c r="R114" s="180">
        <f t="array" ref="R114">IF($G114=0, INDEX(LS_previous!$D$4:$AY$138, MATCH('Staging Table'!$A114, LS_previous!$B$4:$B$138, 0), MATCH(R$4&amp;R$5, LS_previous!$D$2:$AY$2&amp;LS_previous!$D$3:$AY$3, 0)),SUM(VLOOKUP($A114, LS_previous!$B$4:$AY$138, LS_previous!J$149, FALSE), VLOOKUP('Staging Table'!$A114, LS_previous!$B$4:$AY$138,LS_previous!AH$149, FALSE))/2)</f>
        <v>-760.23270460117692</v>
      </c>
      <c r="S114" s="180">
        <f t="array" ref="S114">IF($G114=0, INDEX(LS_previous!$D$4:$AY$138, MATCH('Staging Table'!$A114, LS_previous!$B$4:$B$138, 0), MATCH(S$4&amp;S$5, LS_previous!$D$2:$AY$2&amp;LS_previous!$D$3:$AY$3, 0)),SUM(VLOOKUP($A114, LS_previous!$B$4:$AY$138, LS_previous!K$149, FALSE), VLOOKUP('Staging Table'!$A114, LS_previous!$B$4:$AY$138,LS_previous!AI$149, FALSE))/2)</f>
        <v>-745.42936625051107</v>
      </c>
      <c r="T114" s="180">
        <f t="array" ref="T114">IF($G114=0, INDEX(LS_previous!$D$4:$AY$138, MATCH('Staging Table'!$A114, LS_previous!$B$4:$B$138, 0), MATCH(T$4&amp;T$5, LS_previous!$D$2:$AY$2&amp;LS_previous!$D$3:$AY$3, 0)),SUM(VLOOKUP($A114, LS_previous!$B$4:$AY$138, LS_previous!L$149, FALSE), VLOOKUP('Staging Table'!$A114, LS_previous!$B$4:$AY$138,LS_previous!AJ$149, FALSE))/2)</f>
        <v>-1048.3985750854681</v>
      </c>
      <c r="U114" s="180">
        <f t="array" ref="U114">IF($G114=0, INDEX(LS_previous!$D$4:$AY$138, MATCH('Staging Table'!$A114, LS_previous!$B$4:$B$138, 0), MATCH(U$4&amp;U$5, LS_previous!$D$2:$AY$2&amp;LS_previous!$D$3:$AY$3, 0)),SUM(VLOOKUP($A114, LS_previous!$B$4:$AY$138, LS_previous!M$149, FALSE), VLOOKUP('Staging Table'!$A114, LS_previous!$B$4:$AY$138,LS_previous!AK$149, FALSE))/2)</f>
        <v>-875.64169537787393</v>
      </c>
      <c r="V114" s="180">
        <f t="array" ref="V114">IF($G114=0, INDEX(LS_previous!$D$4:$AY$138, MATCH('Staging Table'!$A114, LS_previous!$B$4:$B$138, 0), MATCH(V$4&amp;V$5, LS_previous!$D$2:$AY$2&amp;LS_previous!$D$3:$AY$3, 0)),SUM(VLOOKUP($A114, LS_previous!$B$4:$AY$138, LS_previous!N$149, FALSE), VLOOKUP('Staging Table'!$A114, LS_previous!$B$4:$AY$138,LS_previous!AL$149, FALSE))/2)</f>
        <v>-2663.0455699515969</v>
      </c>
      <c r="W114" s="180">
        <f t="array" ref="W114">IF($G114=0, INDEX(LS_previous!$D$4:$AY$138, MATCH('Staging Table'!$A114, LS_previous!$B$4:$B$138, 0), MATCH(W$4&amp;W$5, LS_previous!$D$2:$AY$2&amp;LS_previous!$D$3:$AY$3, 0)),SUM(VLOOKUP($A114, LS_previous!$B$4:$AY$138, LS_previous!O$149, FALSE), VLOOKUP('Staging Table'!$A114, LS_previous!$B$4:$AY$138,LS_previous!AM$149, FALSE))/2)</f>
        <v>-1199.8392372289068</v>
      </c>
      <c r="X114" s="180">
        <f t="array" ref="X114">IF($G114=0, INDEX(LS_previous!$D$4:$AY$138, MATCH('Staging Table'!$A114, LS_previous!$B$4:$B$138, 0), MATCH(X$4&amp;X$5, LS_previous!$D$2:$AY$2&amp;LS_previous!$D$3:$AY$3, 0)),SUM(VLOOKUP($A114, LS_previous!$B$4:$AY$138, LS_previous!P$149, FALSE), VLOOKUP('Staging Table'!$A114, LS_previous!$B$4:$AY$138,LS_previous!AN$149, FALSE))/2)</f>
        <v>-35.403360127757878</v>
      </c>
      <c r="Y114" s="180">
        <f t="array" ref="Y114">IF($G114=0, INDEX(LS_previous!$D$4:$AY$138, MATCH('Staging Table'!$A114, LS_previous!$B$4:$B$138, 0), MATCH(Y$4&amp;Y$5, LS_previous!$D$2:$AY$2&amp;LS_previous!$D$3:$AY$3, 0)),SUM(VLOOKUP($A114, LS_previous!$B$4:$AY$138, LS_previous!Q$149, FALSE), VLOOKUP('Staging Table'!$A114, LS_previous!$B$4:$AY$138,LS_previous!AO$149, FALSE))/2)</f>
        <v>55.865201924249959</v>
      </c>
      <c r="Z114" s="180">
        <f t="array" ref="Z114">IF($G114=0, INDEX(LS_previous!$D$4:$AY$138, MATCH('Staging Table'!$A114, LS_previous!$B$4:$B$138, 0), MATCH(Z$4&amp;Z$5, LS_previous!$D$2:$AY$2&amp;LS_previous!$D$3:$AY$3, 0)),SUM(VLOOKUP($A114, LS_previous!$B$4:$AY$138, LS_previous!R$149, FALSE), VLOOKUP('Staging Table'!$A114, LS_previous!$B$4:$AY$138,LS_previous!AP$149, FALSE))/2)</f>
        <v>324.63573023547906</v>
      </c>
      <c r="AA114" s="180">
        <f t="array" ref="AA114">IF($G114=0, INDEX(LS_previous!$D$4:$AY$138, MATCH('Staging Table'!$A114, LS_previous!$B$4:$B$138, 0), MATCH(AA$4&amp;AA$5, LS_previous!$D$2:$AY$2&amp;LS_previous!$D$3:$AY$3, 0)),SUM(VLOOKUP($A114, LS_previous!$B$4:$AY$138, LS_previous!S$149, FALSE), VLOOKUP('Staging Table'!$A114, LS_previous!$B$4:$AY$138,LS_previous!AQ$149, FALSE))/2)</f>
        <v>1958.8292782273952</v>
      </c>
      <c r="AB114" s="180">
        <f t="array" ref="AB114">IF($G114=0, INDEX(LS_previous!$D$4:$AY$138, MATCH('Staging Table'!$A114, LS_previous!$B$4:$B$138, 0), MATCH(AB$4&amp;AB$5, LS_previous!$D$2:$AY$2&amp;LS_previous!$D$3:$AY$3, 0)),SUM(VLOOKUP($A114, LS_previous!$B$4:$AY$138, LS_previous!T$149, FALSE), VLOOKUP('Staging Table'!$A114, LS_previous!$B$4:$AY$138,LS_previous!AR$149, FALSE))/2)</f>
        <v>391.15369821541572</v>
      </c>
      <c r="AC114" s="180">
        <f t="array" ref="AC114">IF($G114=0, INDEX(LS_previous!$D$4:$AY$138, MATCH('Staging Table'!$A114, LS_previous!$B$4:$B$138, 0), MATCH(AC$4&amp;AC$5, LS_previous!$D$2:$AY$2&amp;LS_previous!$D$3:$AY$3, 0)),SUM(VLOOKUP($A114, LS_previous!$B$4:$AY$138, LS_previous!U$149, FALSE), VLOOKUP('Staging Table'!$A114, LS_previous!$B$4:$AY$138,LS_previous!AS$149, FALSE))/2)</f>
        <v>3156.6067089775715</v>
      </c>
      <c r="AD114" s="180">
        <f t="array" ref="AD114">IF($G114=0, INDEX(LS_previous!$D$4:$AY$138, MATCH('Staging Table'!$A114, LS_previous!$B$4:$B$138, 0), MATCH(AD$4&amp;AD$5, LS_previous!$D$2:$AY$2&amp;LS_previous!$D$3:$AY$3, 0)),SUM(VLOOKUP($A114, LS_previous!$B$4:$AY$138, LS_previous!V$149, FALSE), VLOOKUP('Staging Table'!$A114, LS_previous!$B$4:$AY$138,LS_previous!AT$149, FALSE))/2)</f>
        <v>5102.513493300039</v>
      </c>
      <c r="AE114" s="180">
        <f t="array" ref="AE114">IF($G114=0, INDEX(LS_previous!$D$4:$AY$138, MATCH('Staging Table'!$A114, LS_previous!$B$4:$B$138, 0), MATCH(AE$4&amp;AE$5, LS_previous!$D$2:$AY$2&amp;LS_previous!$D$3:$AY$3, 0)),SUM(VLOOKUP($A114, LS_previous!$B$4:$AY$138, LS_previous!W$149, FALSE), VLOOKUP('Staging Table'!$A114, LS_previous!$B$4:$AY$138,LS_previous!AU$149, FALSE))/2)</f>
        <v>5413.252822332498</v>
      </c>
      <c r="AF114" s="180">
        <f t="array" ref="AF114">IF($G114=0, INDEX(LS_previous!$D$4:$AY$138, MATCH('Staging Table'!$A114, LS_previous!$B$4:$B$138, 0), MATCH(AF$4&amp;AF$5, LS_previous!$D$2:$AY$2&amp;LS_previous!$D$3:$AY$3, 0)),SUM(VLOOKUP($A114, LS_previous!$B$4:$AY$138, LS_previous!X$149, FALSE), VLOOKUP('Staging Table'!$A114, LS_previous!$B$4:$AY$138,LS_previous!AV$149, FALSE))/2)</f>
        <v>5952.7370011836374</v>
      </c>
      <c r="AG114" s="180">
        <f t="array" ref="AG114">IF($G114=0, INDEX(LS_previous!$D$4:$AY$138, MATCH('Staging Table'!$A114, LS_previous!$B$4:$B$138, 0), MATCH(AG$4&amp;AG$5, LS_previous!$D$2:$AY$2&amp;LS_previous!$D$3:$AY$3, 0)),SUM(VLOOKUP($A114, LS_previous!$B$4:$AY$138, LS_previous!Y$149, FALSE), VLOOKUP('Staging Table'!$A114, LS_previous!$B$4:$AY$138,LS_previous!AW$149, FALSE))/2)</f>
        <v>5317.4977473559793</v>
      </c>
      <c r="AH114" s="180">
        <f t="array" ref="AH114">IF($G114=0, INDEX(LS_previous!$D$4:$AY$138, MATCH('Staging Table'!$A114, LS_previous!$B$4:$B$138, 0), MATCH(AH$4&amp;AH$5, LS_previous!$D$2:$AY$2&amp;LS_previous!$D$3:$AY$3, 0)),SUM(VLOOKUP($A114, LS_previous!$B$4:$AY$138, LS_previous!Z$149, FALSE), VLOOKUP('Staging Table'!$A114, LS_previous!$B$4:$AY$138,LS_previous!AX$149, FALSE))/2)</f>
        <v>1135.398956471533</v>
      </c>
      <c r="AI114" s="180">
        <f t="array" ref="AI114">IF($G114=0, INDEX(LS_previous!$D$4:$AY$138, MATCH('Staging Table'!$A114, LS_previous!$B$4:$B$138, 0), MATCH(AI$4&amp;AI$5, LS_previous!$D$2:$AY$2&amp;LS_previous!$D$3:$AY$3, 0)),SUM(VLOOKUP($A114, LS_previous!$B$4:$AY$138, LS_previous!AA$149, FALSE), VLOOKUP('Staging Table'!$A114, LS_previous!$B$4:$AY$138,LS_previous!AY$149, FALSE))/2)</f>
        <v>2663.5810065777359</v>
      </c>
      <c r="AJ114" s="298">
        <f t="array" ref="AJ114">INDEX(Demand_previous!$D$4:$AY$138, MATCH('Staging Table'!$A114, Demand_previous!$B$4:$B$138, 0), MATCH(AJ$4&amp;AJ$5,Demand_previous!$D$2:$AY$2&amp;Demand_previous!$D$3:$AY$3, 0))/1000</f>
        <v>3.0986658653846169</v>
      </c>
      <c r="AK114" s="298">
        <f t="array" ref="AK114">INDEX(Demand_previous!$D$4:$AY$138, MATCH('Staging Table'!$A114, Demand_previous!$B$4:$B$138, 0), MATCH(AK$4&amp;AK$5,Demand_previous!$D$2:$AY$2&amp;Demand_previous!$D$3:$AY$3, 0))/1000</f>
        <v>0.9033375000000019</v>
      </c>
      <c r="AL114" s="298">
        <f t="array" ref="AL114">INDEX(Demand_previous!$D$4:$AY$138, MATCH('Staging Table'!$A114, Demand_previous!$B$4:$B$138, 0), MATCH(AL$4&amp;AL$5,Demand_previous!$D$2:$AY$2&amp;Demand_previous!$D$3:$AY$3, 0))/1000</f>
        <v>2.0105721153846146</v>
      </c>
      <c r="AM114" s="298">
        <f t="array" ref="AM114">INDEX(Demand_previous!$D$4:$AY$138, MATCH('Staging Table'!$A114, Demand_previous!$B$4:$B$138, 0), MATCH(AM$4&amp;AM$5,Demand_previous!$D$2:$AY$2&amp;Demand_previous!$D$3:$AY$3, 0))/1000</f>
        <v>1.7963425000000011</v>
      </c>
      <c r="AN114" s="298">
        <f t="array" ref="AN114">INDEX(Demand_previous!$D$4:$AY$138, MATCH('Staging Table'!$A114, Demand_previous!$B$4:$B$138, 0), MATCH(AN$4&amp;AN$5,Demand_previous!$D$2:$AY$2&amp;Demand_previous!$D$3:$AY$3, 0))/1000</f>
        <v>0.86072916666666988</v>
      </c>
      <c r="AO114" s="298">
        <f t="array" ref="AO114">INDEX(Demand_previous!$D$4:$AY$138, MATCH('Staging Table'!$A114, Demand_previous!$B$4:$B$138, 0), MATCH(AO$4&amp;AO$5,Demand_previous!$D$2:$AY$2&amp;Demand_previous!$D$3:$AY$3, 0))/1000</f>
        <v>2.3466620370370372</v>
      </c>
      <c r="AP114" s="298">
        <f t="array" ref="AP114">INDEX(Demand_previous!$D$4:$AY$138, MATCH('Staging Table'!$A114, Demand_previous!$B$4:$B$138, 0), MATCH(AP$4&amp;AP$5,Demand_previous!$D$2:$AY$2&amp;Demand_previous!$D$3:$AY$3, 0))/1000</f>
        <v>3.8256778846153852</v>
      </c>
      <c r="AQ114" s="298">
        <f t="array" ref="AQ114">INDEX(Demand_previous!$D$4:$AY$138, MATCH('Staging Table'!$A114, Demand_previous!$B$4:$B$138, 0), MATCH(AQ$4&amp;AQ$5,Demand_previous!$D$2:$AY$2&amp;Demand_previous!$D$3:$AY$3, 0))/1000</f>
        <v>2.6048675000000037</v>
      </c>
      <c r="AR114" s="298">
        <f t="array" ref="AR114">INDEX(Demand_previous!$D$4:$AY$138, MATCH('Staging Table'!$A114, Demand_previous!$B$4:$B$138, 0), MATCH(AR$4&amp;AR$5,Demand_previous!$D$2:$AY$2&amp;Demand_previous!$D$3:$AY$3, 0))/1000</f>
        <v>4.4999086538461563</v>
      </c>
      <c r="AS114" s="298">
        <f t="array" ref="AS114">INDEX(Demand_previous!$D$4:$AY$138, MATCH('Staging Table'!$A114, Demand_previous!$B$4:$B$138, 0), MATCH(AS$4&amp;AS$5,Demand_previous!$D$2:$AY$2&amp;Demand_previous!$D$3:$AY$3, 0))/1000</f>
        <v>1.8421575000000023</v>
      </c>
      <c r="AT114" s="298">
        <f t="array" ref="AT114">INDEX(Demand_previous!$D$4:$AY$138, MATCH('Staging Table'!$A114, Demand_previous!$B$4:$B$138, 0), MATCH(AT$4&amp;AT$5,Demand_previous!$D$2:$AY$2&amp;Demand_previous!$D$3:$AY$3, 0))/1000</f>
        <v>3.9716898148148143</v>
      </c>
      <c r="AU114" s="298">
        <f t="array" ref="AU114">INDEX(Demand_previous!$D$4:$AY$138, MATCH('Staging Table'!$A114, Demand_previous!$B$4:$B$138, 0), MATCH(AU$4&amp;AU$5,Demand_previous!$D$2:$AY$2&amp;Demand_previous!$D$3:$AY$3, 0))/1000</f>
        <v>6.1343349999999957</v>
      </c>
      <c r="AV114" s="180">
        <f>$F114*(VLOOKUP(AV$4, Rates_previous!$G$6:$Q$29, 10, FALSE)+VLOOKUP(AV$4, Rates_previous!$G$6:$Q$29, 11, FALSE))</f>
        <v>10596.071342231347</v>
      </c>
      <c r="AW114" s="180">
        <f>$F114*(VLOOKUP(AW$4, Rates_previous!$G$6:$Q$29, 10, FALSE)+VLOOKUP(AW$4, Rates_previous!$G$6:$Q$29, 11, FALSE))</f>
        <v>13415.010877157321</v>
      </c>
      <c r="AX114" s="180">
        <f>$F114*(VLOOKUP(AX$4, Rates_previous!$G$6:$Q$29, 10, FALSE)+VLOOKUP(AX$4, Rates_previous!$G$6:$Q$29, 11, FALSE))</f>
        <v>13130.615554724205</v>
      </c>
      <c r="AY114" s="180">
        <f>$F114*(VLOOKUP(AY$4, Rates_previous!$G$6:$Q$29, 10, FALSE)+VLOOKUP(AY$4, Rates_previous!$G$6:$Q$29, 11, FALSE))</f>
        <v>10845.330070851687</v>
      </c>
      <c r="AZ114" s="180">
        <f>$F114*(VLOOKUP(AZ$4, Rates_previous!$G$6:$Q$29, 10, FALSE)+VLOOKUP(AZ$4, Rates_previous!$G$6:$Q$29, 11, FALSE))</f>
        <v>9399.8852704633409</v>
      </c>
      <c r="BA114" s="180">
        <f>$F114*(VLOOKUP(BA$4, Rates_previous!$G$6:$Q$29, 10, FALSE)+VLOOKUP(BA$4, Rates_previous!$G$6:$Q$29, 11, FALSE))</f>
        <v>11221.564807180506</v>
      </c>
      <c r="BB114" s="180">
        <f>$F114*(VLOOKUP(BB$4, Rates_previous!$G$6:$Q$29, 10, FALSE)+VLOOKUP(BB$4, Rates_previous!$G$6:$Q$29, 11, FALSE))</f>
        <v>8712.0511582035069</v>
      </c>
      <c r="BC114" s="180">
        <f>$F114*(VLOOKUP(BC$4, Rates_previous!$G$6:$Q$29, 10, FALSE)+VLOOKUP(BC$4, Rates_previous!$G$6:$Q$29, 11, FALSE))</f>
        <v>12070.610991537125</v>
      </c>
      <c r="BD114" s="180">
        <f>$F114*(VLOOKUP(BD$4, Rates_previous!$G$6:$Q$29, 10, FALSE)+VLOOKUP(BD$4, Rates_previous!$G$6:$Q$29, 11, FALSE))</f>
        <v>12897.700592807012</v>
      </c>
      <c r="BE114" s="180">
        <f>$F114*(VLOOKUP(BE$4, Rates_previous!$G$6:$Q$29, 10, FALSE)+VLOOKUP(BE$4, Rates_previous!$G$6:$Q$29, 11, FALSE))</f>
        <v>12245.782684367463</v>
      </c>
      <c r="BF114" s="180">
        <f>$F114*(VLOOKUP(BF$4, Rates_previous!$G$6:$Q$29, 10, FALSE)+VLOOKUP(BF$4, Rates_previous!$G$6:$Q$29, 11, FALSE))</f>
        <v>11834.604251460381</v>
      </c>
      <c r="BG114" s="180">
        <f>$F114*(VLOOKUP(BG$4, Rates_previous!$G$6:$Q$29, 10, FALSE)+VLOOKUP(BG$4, Rates_previous!$G$6:$Q$29, 11, FALSE))</f>
        <v>10936.408036950732</v>
      </c>
      <c r="BH114" s="298">
        <f>IF($D114=0,IF(C114=0, MAX(BJ114 - (VLOOKUP($A114,TOCA_previous!$A$2:$AI$137,MATCH("RHWM 2022",TOCA_previous!$A$2:$AI$2,0),FALSE)*$F$2*TOCA_previous!C111),0),0), 0)</f>
        <v>11198.064023777377</v>
      </c>
      <c r="BI114" s="192">
        <f>MIN(VLOOKUP($A114,TOCA_previous!$A$2:$AI$137,MATCH("TRL - NLSL - Existing Resource "&amp;$F$1,TOCA_previous!$A$2:$AI$2,0),FALSE)*$F$2,(VLOOKUP($A114,TOCA_previous!$A$2:$AI$137,MATCH("RHWM 2022",TOCA_previous!$A$2:$AI$2,0),FALSE)*$F$2))</f>
        <v>137304.24</v>
      </c>
      <c r="BJ114" s="402">
        <f>SUM(L114:AI114)+(F114*RT1SC!$C$3*$F$2)</f>
        <v>148502.30402377737</v>
      </c>
      <c r="BK114" s="401">
        <f>VLOOKUP($A114,TOCA_previous!$A$2:$AI$137,MATCH("Above RHWM Not Served with LS "&amp;$F$1,TOCA_previous!$A$2:$AI$2,0),FALSE)*$F$2</f>
        <v>12921</v>
      </c>
      <c r="BL114" s="402">
        <f t="shared" si="27"/>
        <v>11198.064023777377</v>
      </c>
      <c r="BM114" s="401">
        <f>(VLOOKUP($A114,TOCA_previous!$A$2:$AI$137,MATCH("RHWM 2022",TOCA_previous!$A$2:$AI$2,0),FALSE)*$F$2) - $BI114</f>
        <v>0</v>
      </c>
      <c r="BN114" s="402">
        <f t="shared" si="28"/>
        <v>0</v>
      </c>
      <c r="BO114" s="401">
        <f t="shared" si="29"/>
        <v>0</v>
      </c>
      <c r="BP114" s="402">
        <f t="shared" si="30"/>
        <v>0</v>
      </c>
      <c r="BQ114" s="401">
        <f t="shared" si="37"/>
        <v>0</v>
      </c>
      <c r="BR114" s="108">
        <f>VLOOKUP($A114,TOCA_current!$A$2:$AI$137,MATCH(BR$4,TOCA_current!$A$2:$AI$2,0),FALSE)</f>
        <v>2.3264000000000002E-3</v>
      </c>
      <c r="BS114" s="108">
        <f>VLOOKUP($A114,TOCA_current!$A$2:$AI$137,MATCH(BS$4,TOCA_current!$A$2:$AI$2,0),FALSE)</f>
        <v>2.3264000000000002E-3</v>
      </c>
      <c r="BT114" s="189">
        <f t="shared" si="31"/>
        <v>0</v>
      </c>
      <c r="BU114" s="108">
        <f>VLOOKUP($A114,TOCA_current!A110:BG245,MATCH(BU$4,TOCA_current!$A$2:$BG$2,0),FALSE)</f>
        <v>7.8285662122687449E-2</v>
      </c>
      <c r="BV114" s="108">
        <f t="shared" si="38"/>
        <v>0</v>
      </c>
      <c r="BW114" s="108">
        <f t="shared" si="39"/>
        <v>0</v>
      </c>
      <c r="BX114" s="179">
        <f>VLOOKUP($A114,IRD!$A$4:$G$139, 7, FALSE)</f>
        <v>46210.901000000005</v>
      </c>
      <c r="BY114" s="180">
        <f t="array" ref="BY114">IF($BT114=0, INDEX(LS_current!$D$4:$AY$138, MATCH('Staging Table'!$A114, LS_current!$B$4:$B$138, 0), MATCH(BY$4&amp;BY$5, LS_current!$D$2:$AY$2&amp;LS_current!$D$3:$AY$3, 0)),SUM(VLOOKUP($A114, LS_current!$B$4:$AY$138, LS_current!D$148, FALSE), VLOOKUP($A114, LS_current!$B$4:$AY$138,LS_current!AB$148, FALSE))/2)</f>
        <v>-1444.2348053504011</v>
      </c>
      <c r="BZ114" s="180">
        <f t="array" ref="BZ114">IF($BT114=0, INDEX(LS_current!$D$4:$AY$138, MATCH('Staging Table'!$A114, LS_current!$B$4:$B$138, 0), MATCH(BZ$4&amp;BZ$5, LS_current!$D$2:$AY$2&amp;LS_current!$D$3:$AY$3, 0)),SUM(VLOOKUP($A114, LS_current!$B$4:$AY$138, LS_current!E$148, FALSE), VLOOKUP($A114, LS_current!$B$4:$AY$138,LS_current!AC$148, FALSE))/2)</f>
        <v>-775.4992654032003</v>
      </c>
      <c r="CA114" s="180">
        <f t="array" ref="CA114">IF($BT114=0, INDEX(LS_current!$D$4:$AY$138, MATCH('Staging Table'!$A114, LS_current!$B$4:$B$138, 0), MATCH(CA$4&amp;CA$5, LS_current!$D$2:$AY$2&amp;LS_current!$D$3:$AY$3, 0)),SUM(VLOOKUP($A114, LS_current!$B$4:$AY$138, LS_current!F$148, FALSE), VLOOKUP($A114, LS_current!$B$4:$AY$138,LS_current!AD$148, FALSE))/2)</f>
        <v>-3628.6383198592011</v>
      </c>
      <c r="CB114" s="180">
        <f t="array" ref="CB114">IF($BT114=0, INDEX(LS_current!$D$4:$AY$138, MATCH('Staging Table'!$A114, LS_current!$B$4:$B$138, 0), MATCH(CB$4&amp;CB$5, LS_current!$D$2:$AY$2&amp;LS_current!$D$3:$AY$3, 0)),SUM(VLOOKUP($A114, LS_current!$B$4:$AY$138, LS_current!G$148, FALSE), VLOOKUP($A114, LS_current!$B$4:$AY$138,LS_current!AE$148, FALSE))/2)</f>
        <v>-2015.5810471584009</v>
      </c>
      <c r="CC114" s="180">
        <f t="array" ref="CC114">IF($BT114=0, INDEX(LS_current!$D$4:$AY$138, MATCH('Staging Table'!$A114, LS_current!$B$4:$B$138, 0), MATCH(CC$4&amp;CC$5, LS_current!$D$2:$AY$2&amp;LS_current!$D$3:$AY$3, 0)),SUM(VLOOKUP($A114, LS_current!$B$4:$AY$138, LS_current!H$148, FALSE), VLOOKUP($A114, LS_current!$B$4:$AY$138,LS_current!AF$148, FALSE))/2)</f>
        <v>-3351.4640232096008</v>
      </c>
      <c r="CD114" s="180">
        <f t="array" ref="CD114">IF($BT114=0, INDEX(LS_current!$D$4:$AY$138, MATCH('Staging Table'!$A114, LS_current!$B$4:$B$138, 0), MATCH(CD$4&amp;CD$5, LS_current!$D$2:$AY$2&amp;LS_current!$D$3:$AY$3, 0)),SUM(VLOOKUP($A114, LS_current!$B$4:$AY$138, LS_current!I$148, FALSE), VLOOKUP($A114, LS_current!$B$4:$AY$138,LS_current!AG$148, FALSE))/2)</f>
        <v>-1468.2367343743999</v>
      </c>
      <c r="CE114" s="180">
        <f t="array" ref="CE114">IF($BT114=0, INDEX(LS_current!$D$4:$AY$138, MATCH('Staging Table'!$A114, LS_current!$B$4:$B$138, 0), MATCH(CE$4&amp;CE$5, LS_current!$D$2:$AY$2&amp;LS_current!$D$3:$AY$3, 0)),SUM(VLOOKUP($A114, LS_current!$B$4:$AY$138, LS_current!J$148, FALSE), VLOOKUP($A114, LS_current!$B$4:$AY$138,LS_current!AH$148, FALSE))/2)</f>
        <v>-3500.3702057760011</v>
      </c>
      <c r="CF114" s="180">
        <f t="array" ref="CF114">IF($BT114=0, INDEX(LS_current!$D$4:$AY$138, MATCH('Staging Table'!$A114, LS_current!$B$4:$B$138, 0), MATCH(CF$4&amp;CF$5, LS_current!$D$2:$AY$2&amp;LS_current!$D$3:$AY$3, 0)),SUM(VLOOKUP($A114, LS_current!$B$4:$AY$138, LS_current!K$148, FALSE), VLOOKUP($A114, LS_current!$B$4:$AY$138,LS_current!AI$148, FALSE))/2)</f>
        <v>-1546.7433106656008</v>
      </c>
      <c r="CG114" s="180">
        <f t="array" ref="CG114">IF($BT114=0, INDEX(LS_current!$D$4:$AY$138, MATCH('Staging Table'!$A114, LS_current!$B$4:$B$138, 0), MATCH(CG$4&amp;CG$5, LS_current!$D$2:$AY$2&amp;LS_current!$D$3:$AY$3, 0)),SUM(VLOOKUP($A114, LS_current!$B$4:$AY$138, LS_current!L$148, FALSE), VLOOKUP($A114, LS_current!$B$4:$AY$138,LS_current!AJ$148, FALSE))/2)</f>
        <v>-3476.8304129056005</v>
      </c>
      <c r="CH114" s="180">
        <f t="array" ref="CH114">IF($BT114=0, INDEX(LS_current!$D$4:$AY$138, MATCH('Staging Table'!$A114, LS_current!$B$4:$B$138, 0), MATCH(CH$4&amp;CH$5, LS_current!$D$2:$AY$2&amp;LS_current!$D$3:$AY$3, 0)),SUM(VLOOKUP($A114, LS_current!$B$4:$AY$138, LS_current!M$148, FALSE), VLOOKUP($A114, LS_current!$B$4:$AY$138,LS_current!AK$148, FALSE))/2)</f>
        <v>-1483.6229174176005</v>
      </c>
      <c r="CI114" s="180">
        <f t="array" ref="CI114">IF($BT114=0, INDEX(LS_current!$D$4:$AY$138, MATCH('Staging Table'!$A114, LS_current!$B$4:$B$138, 0), MATCH(CI$4&amp;CI$5, LS_current!$D$2:$AY$2&amp;LS_current!$D$3:$AY$3, 0)),SUM(VLOOKUP($A114, LS_current!$B$4:$AY$138, LS_current!N$148, FALSE), VLOOKUP($A114, LS_current!$B$4:$AY$138,LS_current!AL$148, FALSE))/2)</f>
        <v>-3969.2498244832004</v>
      </c>
      <c r="CJ114" s="180">
        <f t="array" ref="CJ114">IF($BT114=0, INDEX(LS_current!$D$4:$AY$138, MATCH('Staging Table'!$A114, LS_current!$B$4:$B$138, 0), MATCH(CJ$4&amp;CJ$5, LS_current!$D$2:$AY$2&amp;LS_current!$D$3:$AY$3, 0)),SUM(VLOOKUP($A114, LS_current!$B$4:$AY$138, LS_current!O$148, FALSE), VLOOKUP($A114, LS_current!$B$4:$AY$138,LS_current!AM$148, FALSE))/2)</f>
        <v>-2203.4556243392003</v>
      </c>
      <c r="CK114" s="180">
        <f t="array" ref="CK114">IF($BT114=0, INDEX(LS_current!$D$4:$AY$138, MATCH('Staging Table'!$A114, LS_current!$B$4:$B$138, 0), MATCH(CK$4&amp;CK$5, LS_current!$D$2:$AY$2&amp;LS_current!$D$3:$AY$3, 0)),SUM(VLOOKUP($A114, LS_current!$B$4:$AY$138, LS_current!P$148, FALSE), VLOOKUP($A114, LS_current!$B$4:$AY$138,LS_current!AN$148, FALSE))/2)</f>
        <v>-1195.6754535760001</v>
      </c>
      <c r="CL114" s="180">
        <f t="array" ref="CL114">IF($BT114=0, INDEX(LS_current!$D$4:$AY$138, MATCH('Staging Table'!$A114, LS_current!$B$4:$B$138, 0), MATCH(CL$4&amp;CL$5, LS_current!$D$2:$AY$2&amp;LS_current!$D$3:$AY$3, 0)),SUM(VLOOKUP($A114, LS_current!$B$4:$AY$138, LS_current!Q$148, FALSE), VLOOKUP($A114, LS_current!$B$4:$AY$138,LS_current!AO$148, FALSE))/2)</f>
        <v>-815.3175974152</v>
      </c>
      <c r="CM114" s="180">
        <f t="array" ref="CM114">IF($BT114=0, INDEX(LS_current!$D$4:$AY$138, MATCH('Staging Table'!$A114, LS_current!$B$4:$B$138, 0), MATCH(CM$4&amp;CM$5, LS_current!$D$2:$AY$2&amp;LS_current!$D$3:$AY$3, 0)),SUM(VLOOKUP($A114, LS_current!$B$4:$AY$138, LS_current!R$148, FALSE), VLOOKUP($A114, LS_current!$B$4:$AY$138,LS_current!AP$148, FALSE))/2)</f>
        <v>395.13828481279779</v>
      </c>
      <c r="CN114" s="180">
        <f t="array" ref="CN114">IF($BT114=0, INDEX(LS_current!$D$4:$AY$138, MATCH('Staging Table'!$A114, LS_current!$B$4:$B$138, 0), MATCH(CN$4&amp;CN$5, LS_current!$D$2:$AY$2&amp;LS_current!$D$3:$AY$3, 0)),SUM(VLOOKUP($A114, LS_current!$B$4:$AY$138, LS_current!S$148, FALSE), VLOOKUP($A114, LS_current!$B$4:$AY$138,LS_current!AQ$148, FALSE))/2)</f>
        <v>700.32930966559979</v>
      </c>
      <c r="CO114" s="180">
        <f t="array" ref="CO114">IF($BT114=0, INDEX(LS_current!$D$4:$AY$138, MATCH('Staging Table'!$A114, LS_current!$B$4:$B$138, 0), MATCH(CO$4&amp;CO$5, LS_current!$D$2:$AY$2&amp;LS_current!$D$3:$AY$3, 0)),SUM(VLOOKUP($A114, LS_current!$B$4:$AY$138, LS_current!T$148, FALSE), VLOOKUP($A114, LS_current!$B$4:$AY$138,LS_current!AR$148, FALSE))/2)</f>
        <v>1142.4355609535996</v>
      </c>
      <c r="CP114" s="180">
        <f t="array" ref="CP114">IF($BT114=0, INDEX(LS_current!$D$4:$AY$138, MATCH('Staging Table'!$A114, LS_current!$B$4:$B$138, 0), MATCH(CP$4&amp;CP$5, LS_current!$D$2:$AY$2&amp;LS_current!$D$3:$AY$3, 0)),SUM(VLOOKUP($A114, LS_current!$B$4:$AY$138, LS_current!U$148, FALSE), VLOOKUP($A114, LS_current!$B$4:$AY$138,LS_current!AS$148, FALSE))/2)</f>
        <v>1775.6055132111996</v>
      </c>
      <c r="CQ114" s="180">
        <f t="array" ref="CQ114">IF($BT114=0, INDEX(LS_current!$D$4:$AY$138, MATCH('Staging Table'!$A114, LS_current!$B$4:$B$138, 0), MATCH(CQ$4&amp;CQ$5, LS_current!$D$2:$AY$2&amp;LS_current!$D$3:$AY$3, 0)),SUM(VLOOKUP($A114, LS_current!$B$4:$AY$138, LS_current!V$148, FALSE), VLOOKUP($A114, LS_current!$B$4:$AY$138,LS_current!AT$148, FALSE))/2)</f>
        <v>5904.474304230398</v>
      </c>
      <c r="CR114" s="180">
        <f t="array" ref="CR114">IF($BT114=0, INDEX(LS_current!$D$4:$AY$138, MATCH('Staging Table'!$A114, LS_current!$B$4:$B$138, 0), MATCH(CR$4&amp;CR$5, LS_current!$D$2:$AY$2&amp;LS_current!$D$3:$AY$3, 0)),SUM(VLOOKUP($A114, LS_current!$B$4:$AY$138, LS_current!W$148, FALSE), VLOOKUP($A114, LS_current!$B$4:$AY$138,LS_current!AU$148, FALSE))/2)</f>
        <v>5057.4252793840005</v>
      </c>
      <c r="CS114" s="180">
        <f t="array" ref="CS114">IF($BT114=0, INDEX(LS_current!$D$4:$AY$138, MATCH('Staging Table'!$A114, LS_current!$B$4:$B$138, 0), MATCH(CS$4&amp;CS$5, LS_current!$D$2:$AY$2&amp;LS_current!$D$3:$AY$3, 0)),SUM(VLOOKUP($A114, LS_current!$B$4:$AY$138, LS_current!X$148, FALSE), VLOOKUP($A114, LS_current!$B$4:$AY$138,LS_current!AV$148, FALSE))/2)</f>
        <v>6697.8397450223993</v>
      </c>
      <c r="CT114" s="180">
        <f t="array" ref="CT114">IF($BT114=0, INDEX(LS_current!$D$4:$AY$138, MATCH('Staging Table'!$A114, LS_current!$B$4:$B$138, 0), MATCH(CT$4&amp;CT$5, LS_current!$D$2:$AY$2&amp;LS_current!$D$3:$AY$3, 0)),SUM(VLOOKUP($A114, LS_current!$B$4:$AY$138, LS_current!Y$148, FALSE), VLOOKUP($A114, LS_current!$B$4:$AY$138,LS_current!AW$148, FALSE))/2)</f>
        <v>4988.2423310369595</v>
      </c>
      <c r="CU114" s="180">
        <f t="array" ref="CU114">IF($BT114=0, INDEX(LS_current!$D$4:$AY$138, MATCH('Staging Table'!$A114, LS_current!$B$4:$B$138, 0), MATCH(CU$4&amp;CU$5, LS_current!$D$2:$AY$2&amp;LS_current!$D$3:$AY$3, 0)),SUM(VLOOKUP($A114, LS_current!$B$4:$AY$138, LS_current!Z$148, FALSE), VLOOKUP($A114, LS_current!$B$4:$AY$138,LS_current!AX$148, FALSE))/2)</f>
        <v>1874.7935993663996</v>
      </c>
      <c r="CV114" s="180">
        <f t="array" ref="CV114">IF($BT114=0, INDEX(LS_current!$D$4:$AY$138, MATCH('Staging Table'!$A114, LS_current!$B$4:$B$138, 0), MATCH(CV$4&amp;CV$5, LS_current!$D$2:$AY$2&amp;LS_current!$D$3:$AY$3, 0)),SUM(VLOOKUP($A114, LS_current!$B$4:$AY$138, LS_current!AA$148, FALSE), VLOOKUP($A114, LS_current!$B$4:$AY$138,LS_current!AY$148, FALSE))/2)</f>
        <v>2336.5001164543992</v>
      </c>
      <c r="CW114" s="182">
        <f t="array" ref="CW114">INDEX(Demand_current!$D$4:$AY$138, MATCH($A114, Demand_current!$B$4:$B$138, 0), MATCH(CW$4&amp;CW$5,Demand_current!$D$2:$AY$2&amp;Demand_current!$D$3:$AY$3, 0))/1000</f>
        <v>3.0986658653846169</v>
      </c>
      <c r="CX114" s="182">
        <f t="array" ref="CX114">INDEX(Demand_current!$D$4:$AY$138, MATCH($A114, Demand_current!$B$4:$B$138, 0), MATCH(CX$4&amp;CX$5,Demand_current!$D$2:$AY$2&amp;Demand_current!$D$3:$AY$3, 0))/1000</f>
        <v>0.9033375000000019</v>
      </c>
      <c r="CY114" s="182">
        <f t="array" ref="CY114">INDEX(Demand_current!$D$4:$AY$138, MATCH($A114, Demand_current!$B$4:$B$138, 0), MATCH(CY$4&amp;CY$5,Demand_current!$D$2:$AY$2&amp;Demand_current!$D$3:$AY$3, 0))/1000</f>
        <v>1.4705149999999998</v>
      </c>
      <c r="CZ114" s="182">
        <f t="array" ref="CZ114">INDEX(Demand_current!$D$4:$AY$138, MATCH($A114, Demand_current!$B$4:$B$138, 0), MATCH(CZ$4&amp;CZ$5,Demand_current!$D$2:$AY$2&amp;Demand_current!$D$3:$AY$3, 0))/1000</f>
        <v>2.3732139423076943</v>
      </c>
      <c r="DA114" s="182">
        <f t="array" ref="DA114">INDEX(Demand_current!$D$4:$AY$138, MATCH($A114, Demand_current!$B$4:$B$138, 0), MATCH(DA$4&amp;DA$5,Demand_current!$D$2:$AY$2&amp;Demand_current!$D$3:$AY$3, 0))/1000</f>
        <v>1.3793000000000015</v>
      </c>
      <c r="DB114" s="182">
        <f t="array" ref="DB114">INDEX(Demand_current!$D$4:$AY$138, MATCH($A114, Demand_current!$B$4:$B$138, 0), MATCH(DB$4&amp;DB$5,Demand_current!$D$2:$AY$2&amp;Demand_current!$D$3:$AY$3, 0))/1000</f>
        <v>1.9134567307692305</v>
      </c>
      <c r="DC114" s="182">
        <f t="array" ref="DC114">INDEX(Demand_current!$D$4:$AY$138, MATCH($A114, Demand_current!$B$4:$B$138, 0), MATCH(DC$4&amp;DC$5,Demand_current!$D$2:$AY$2&amp;Demand_current!$D$3:$AY$3, 0))/1000</f>
        <v>3.8256778846153852</v>
      </c>
      <c r="DD114" s="182">
        <f t="array" ref="DD114">INDEX(Demand_current!$D$4:$AY$138, MATCH($A114, Demand_current!$B$4:$B$138, 0), MATCH(DD$4&amp;DD$5,Demand_current!$D$2:$AY$2&amp;Demand_current!$D$3:$AY$3, 0))/1000</f>
        <v>3.4749110576923092</v>
      </c>
      <c r="DE114" s="182">
        <f t="array" ref="DE114">INDEX(Demand_current!$D$4:$AY$138, MATCH($A114, Demand_current!$B$4:$B$138, 0), MATCH(DE$4&amp;DE$5,Demand_current!$D$2:$AY$2&amp;Demand_current!$D$3:$AY$3, 0))/1000</f>
        <v>3.5189050000000011</v>
      </c>
      <c r="DF114" s="182">
        <f t="array" ref="DF114">INDEX(Demand_current!$D$4:$AY$138, MATCH($A114, Demand_current!$B$4:$B$138, 0), MATCH(DF$4&amp;DF$5,Demand_current!$D$2:$AY$2&amp;Demand_current!$D$3:$AY$3, 0))/1000</f>
        <v>3.1737668269230817</v>
      </c>
      <c r="DG114" s="182">
        <f t="array" ref="DG114">INDEX(Demand_current!$D$4:$AY$138, MATCH($A114, Demand_current!$B$4:$B$138, 0), MATCH(DG$4&amp;DG$5,Demand_current!$D$2:$AY$2&amp;Demand_current!$D$3:$AY$3, 0))/1000</f>
        <v>3.9716898148148143</v>
      </c>
      <c r="DH114" s="182">
        <f t="array" ref="DH114">INDEX(Demand_current!$D$4:$AY$138, MATCH($A114, Demand_current!$B$4:$B$138, 0), MATCH(DH$4&amp;DH$5,Demand_current!$D$2:$AY$2&amp;Demand_current!$D$3:$AY$3, 0))/1000</f>
        <v>5.2275572916666624</v>
      </c>
      <c r="DI114" s="180">
        <f>$BS114*(VLOOKUP(DI$4, Rates_current!$G$6:$Q$29, 10, FALSE)+VLOOKUP(DI$4, Rates_current!$G$6:$Q$29, 11, FALSE))</f>
        <v>9814.6250707536001</v>
      </c>
      <c r="DJ114" s="180">
        <f>$BS114*(VLOOKUP(DJ$4, Rates_current!$G$6:$Q$29, 10, FALSE)+VLOOKUP(DJ$4, Rates_current!$G$6:$Q$29, 11, FALSE))</f>
        <v>12516.883367017603</v>
      </c>
      <c r="DK114" s="180">
        <f>$BS114*(VLOOKUP(DK$4, Rates_current!$G$6:$Q$29, 10, FALSE)+VLOOKUP(DK$4, Rates_current!$G$6:$Q$29, 11, FALSE))</f>
        <v>13508.193757584002</v>
      </c>
      <c r="DL114" s="180">
        <f>$BS114*(VLOOKUP(DL$4, Rates_current!$G$6:$Q$29, 10, FALSE)+VLOOKUP(DL$4, Rates_current!$G$6:$Q$29, 11, FALSE))</f>
        <v>14037.1015164416</v>
      </c>
      <c r="DM114" s="180">
        <f>$BS114*(VLOOKUP(DM$4, Rates_current!$G$6:$Q$29, 10, FALSE)+VLOOKUP(DM$4, Rates_current!$G$6:$Q$29, 11, FALSE))</f>
        <v>12073.778330323199</v>
      </c>
      <c r="DN114" s="180">
        <f>$BS114*(VLOOKUP(DN$4, Rates_current!$G$6:$Q$29, 10, FALSE)+VLOOKUP(DN$4, Rates_current!$G$6:$Q$29, 11, FALSE))</f>
        <v>13182.175448822401</v>
      </c>
      <c r="DO114" s="180">
        <f>$BS114*(VLOOKUP(DO$4, Rates_current!$G$6:$Q$29, 10, FALSE)+VLOOKUP(DO$4, Rates_current!$G$6:$Q$29, 11, FALSE))</f>
        <v>10405.1060509912</v>
      </c>
      <c r="DP114" s="180">
        <f>$BS114*(VLOOKUP(DP$4, Rates_current!$G$6:$Q$29, 10, FALSE)+VLOOKUP(DP$4, Rates_current!$G$6:$Q$29, 11, FALSE))</f>
        <v>12908.928405521601</v>
      </c>
      <c r="DQ114" s="180">
        <f>$BS114*(VLOOKUP(DQ$4, Rates_current!$G$6:$Q$29, 10, FALSE)+VLOOKUP(DQ$4, Rates_current!$G$6:$Q$29, 11, FALSE))</f>
        <v>13189.0199258352</v>
      </c>
      <c r="DR114" s="180">
        <f>$BS114*(VLOOKUP(DR$4, Rates_current!$G$6:$Q$29, 10, FALSE)+VLOOKUP(DR$4, Rates_current!$G$6:$Q$29, 11, FALSE))</f>
        <v>11449.9694163856</v>
      </c>
      <c r="DS114" s="180">
        <f>$BS114*(VLOOKUP(DS$4, Rates_current!$G$6:$Q$29, 10, FALSE)+VLOOKUP(DS$4, Rates_current!$G$6:$Q$29, 11, FALSE))</f>
        <v>11069.076923940642</v>
      </c>
      <c r="DT114" s="180">
        <f>$BS114*(VLOOKUP(DT$4, Rates_current!$G$6:$Q$29, 10, FALSE)+VLOOKUP(DT$4, Rates_current!$G$6:$Q$29, 11, FALSE))</f>
        <v>10185.694284179202</v>
      </c>
      <c r="DU114" s="402">
        <f>IF(D114=0,IF(C114=0,MAX(0,DW114 - (VLOOKUP($A114,TOCA_current!$A$2:$AI$137,MATCH("RHWM 2024",TOCA_current!$A$2:$AI$2,0),FALSE)*$BS$2)), 0),0)</f>
        <v>0</v>
      </c>
      <c r="DV114" s="403">
        <f>MIN(VLOOKUP($A114,TOCA_current!$A$2:$AI$137,MATCH("TRL - NLSL - Existing Resource "&amp;$BS$1,TOCA_current!$A$2:$AI$2,0),FALSE)*$BS$2, VLOOKUP($A114,TOCA_current!$A$2:$AI$137,MATCH("RHWM 2024",TOCA_current!$A$2:$AI$2,0),FALSE)*$BS$2)</f>
        <v>144338.68799999999</v>
      </c>
      <c r="DW114" s="403">
        <f>SUM(BY114:CV114)+(BS114*RT1SC!$C$4*$BS$2)</f>
        <v>144338.41766162813</v>
      </c>
      <c r="DX114" s="403">
        <f>VLOOKUP($A114,TOCA_current!$A$2:$AI$137,MATCH("Above RHWM Not Served with LS "&amp;$BS$1,TOCA_current!$A$2:$AI$2,0),FALSE)*$BS$2</f>
        <v>17084.88</v>
      </c>
      <c r="DY114" s="403">
        <f t="shared" si="32"/>
        <v>-0.27033837186172605</v>
      </c>
      <c r="DZ114" s="403">
        <f>(VLOOKUP($A114,TOCA_current!$A$2:$AI$137,MATCH("RHWM 2024",TOCA_current!$A$2:$AI$2,0),FALSE)*$BS$2) - $DV114</f>
        <v>0</v>
      </c>
      <c r="EA114" s="403">
        <f t="shared" si="33"/>
        <v>0</v>
      </c>
      <c r="EB114" s="403">
        <f t="shared" si="34"/>
        <v>0</v>
      </c>
      <c r="EC114" s="403">
        <f t="shared" si="35"/>
        <v>0</v>
      </c>
      <c r="ED114" s="403">
        <f t="shared" si="36"/>
        <v>0</v>
      </c>
    </row>
    <row r="115" spans="1:134">
      <c r="A115" s="123">
        <v>10370</v>
      </c>
      <c r="B115" s="124" t="s">
        <v>116</v>
      </c>
      <c r="C115" s="232">
        <f>VLOOKUP(A115, TOCA_current!$A$3:$D$137, 4, FALSE)</f>
        <v>0</v>
      </c>
      <c r="D115" s="191">
        <v>1</v>
      </c>
      <c r="E115" s="107">
        <f>VLOOKUP($A115,TOCA_previous!$A$2:$AI$137,MATCH(E$4,TOCA_previous!$A$2:$AI$2,0),FALSE)</f>
        <v>5.4901899999999997E-2</v>
      </c>
      <c r="F115" s="108">
        <f>VLOOKUP($A115,TOCA_previous!$A$2:$AI$137,MATCH(F$4,TOCA_previous!$A$2:$AI$2,0),FALSE)</f>
        <v>2.5290799999999995E-2</v>
      </c>
      <c r="G115" s="108">
        <f t="shared" si="24"/>
        <v>2.9611100000000001E-2</v>
      </c>
      <c r="H115" s="108">
        <f>VLOOKUP($A115,TOCA_previous!$A$2:$AI$137,MATCH(H$4,TOCA_previous!$A$2:$AI$2,0),FALSE)</f>
        <v>0</v>
      </c>
      <c r="I115" s="108">
        <f t="shared" si="25"/>
        <v>0</v>
      </c>
      <c r="J115" s="108">
        <f t="shared" si="26"/>
        <v>0</v>
      </c>
      <c r="K115" s="179">
        <f>VLOOKUP(A115, IRD!$A$5:$C$139, 3, FALSE)</f>
        <v>0</v>
      </c>
      <c r="L115" s="180">
        <f t="array" ref="L115">IF($G115=0, INDEX(LS_previous!$D$4:$AY$138, MATCH('Staging Table'!$A115, LS_previous!$B$4:$B$138, 0), MATCH(L$4&amp;L$5, LS_previous!$D$2:$AY$2&amp;LS_previous!$D$3:$AY$3, 0)),SUM(VLOOKUP($A115, LS_previous!$B$4:$AY$138, LS_previous!D$149, FALSE), VLOOKUP('Staging Table'!$A115, LS_previous!$B$4:$AY$138,LS_previous!AB$149, FALSE))/2)</f>
        <v>-16993.611116432807</v>
      </c>
      <c r="M115" s="180">
        <f t="array" ref="M115">IF($G115=0, INDEX(LS_previous!$D$4:$AY$138, MATCH('Staging Table'!$A115, LS_previous!$B$4:$B$138, 0), MATCH(M$4&amp;M$5, LS_previous!$D$2:$AY$2&amp;LS_previous!$D$3:$AY$3, 0)),SUM(VLOOKUP($A115, LS_previous!$B$4:$AY$138, LS_previous!E$149, FALSE), VLOOKUP('Staging Table'!$A115, LS_previous!$B$4:$AY$138,LS_previous!AC$149, FALSE))/2)</f>
        <v>3410.9432806248733</v>
      </c>
      <c r="N115" s="180">
        <f t="array" ref="N115">IF($G115=0, INDEX(LS_previous!$D$4:$AY$138, MATCH('Staging Table'!$A115, LS_previous!$B$4:$B$138, 0), MATCH(N$4&amp;N$5, LS_previous!$D$2:$AY$2&amp;LS_previous!$D$3:$AY$3, 0)),SUM(VLOOKUP($A115, LS_previous!$B$4:$AY$138, LS_previous!F$149, FALSE), VLOOKUP('Staging Table'!$A115, LS_previous!$B$4:$AY$138,LS_previous!AD$149, FALSE))/2)</f>
        <v>-16488.327567188477</v>
      </c>
      <c r="O115" s="180">
        <f t="array" ref="O115">IF($G115=0, INDEX(LS_previous!$D$4:$AY$138, MATCH('Staging Table'!$A115, LS_previous!$B$4:$B$138, 0), MATCH(O$4&amp;O$5, LS_previous!$D$2:$AY$2&amp;LS_previous!$D$3:$AY$3, 0)),SUM(VLOOKUP($A115, LS_previous!$B$4:$AY$138, LS_previous!G$149, FALSE), VLOOKUP('Staging Table'!$A115, LS_previous!$B$4:$AY$138,LS_previous!AE$149, FALSE))/2)</f>
        <v>2120.1454038151169</v>
      </c>
      <c r="P115" s="180">
        <f t="array" ref="P115">IF($G115=0, INDEX(LS_previous!$D$4:$AY$138, MATCH('Staging Table'!$A115, LS_previous!$B$4:$B$138, 0), MATCH(P$4&amp;P$5, LS_previous!$D$2:$AY$2&amp;LS_previous!$D$3:$AY$3, 0)),SUM(VLOOKUP($A115, LS_previous!$B$4:$AY$138, LS_previous!H$149, FALSE), VLOOKUP('Staging Table'!$A115, LS_previous!$B$4:$AY$138,LS_previous!AF$149, FALSE))/2)</f>
        <v>9350.9298655652528</v>
      </c>
      <c r="Q115" s="180">
        <f t="array" ref="Q115">IF($G115=0, INDEX(LS_previous!$D$4:$AY$138, MATCH('Staging Table'!$A115, LS_previous!$B$4:$B$138, 0), MATCH(Q$4&amp;Q$5, LS_previous!$D$2:$AY$2&amp;LS_previous!$D$3:$AY$3, 0)),SUM(VLOOKUP($A115, LS_previous!$B$4:$AY$138, LS_previous!I$149, FALSE), VLOOKUP('Staging Table'!$A115, LS_previous!$B$4:$AY$138,LS_previous!AG$149, FALSE))/2)</f>
        <v>10448.831438453391</v>
      </c>
      <c r="R115" s="180">
        <f t="array" ref="R115">IF($G115=0, INDEX(LS_previous!$D$4:$AY$138, MATCH('Staging Table'!$A115, LS_previous!$B$4:$B$138, 0), MATCH(R$4&amp;R$5, LS_previous!$D$2:$AY$2&amp;LS_previous!$D$3:$AY$3, 0)),SUM(VLOOKUP($A115, LS_previous!$B$4:$AY$138, LS_previous!J$149, FALSE), VLOOKUP('Staging Table'!$A115, LS_previous!$B$4:$AY$138,LS_previous!AH$149, FALSE))/2)</f>
        <v>15464.784651630907</v>
      </c>
      <c r="S115" s="180">
        <f t="array" ref="S115">IF($G115=0, INDEX(LS_previous!$D$4:$AY$138, MATCH('Staging Table'!$A115, LS_previous!$B$4:$B$138, 0), MATCH(S$4&amp;S$5, LS_previous!$D$2:$AY$2&amp;LS_previous!$D$3:$AY$3, 0)),SUM(VLOOKUP($A115, LS_previous!$B$4:$AY$138, LS_previous!K$149, FALSE), VLOOKUP('Staging Table'!$A115, LS_previous!$B$4:$AY$138,LS_previous!AI$149, FALSE))/2)</f>
        <v>20098.155540486016</v>
      </c>
      <c r="T115" s="180">
        <f t="array" ref="T115">IF($G115=0, INDEX(LS_previous!$D$4:$AY$138, MATCH('Staging Table'!$A115, LS_previous!$B$4:$B$138, 0), MATCH(T$4&amp;T$5, LS_previous!$D$2:$AY$2&amp;LS_previous!$D$3:$AY$3, 0)),SUM(VLOOKUP($A115, LS_previous!$B$4:$AY$138, LS_previous!L$149, FALSE), VLOOKUP('Staging Table'!$A115, LS_previous!$B$4:$AY$138,LS_previous!AJ$149, FALSE))/2)</f>
        <v>15577.445387533095</v>
      </c>
      <c r="U115" s="180">
        <f t="array" ref="U115">IF($G115=0, INDEX(LS_previous!$D$4:$AY$138, MATCH('Staging Table'!$A115, LS_previous!$B$4:$B$138, 0), MATCH(U$4&amp;U$5, LS_previous!$D$2:$AY$2&amp;LS_previous!$D$3:$AY$3, 0)),SUM(VLOOKUP($A115, LS_previous!$B$4:$AY$138, LS_previous!M$149, FALSE), VLOOKUP('Staging Table'!$A115, LS_previous!$B$4:$AY$138,LS_previous!AK$149, FALSE))/2)</f>
        <v>13361.405424027987</v>
      </c>
      <c r="V115" s="180">
        <f t="array" ref="V115">IF($G115=0, INDEX(LS_previous!$D$4:$AY$138, MATCH('Staging Table'!$A115, LS_previous!$B$4:$B$138, 0), MATCH(V$4&amp;V$5, LS_previous!$D$2:$AY$2&amp;LS_previous!$D$3:$AY$3, 0)),SUM(VLOOKUP($A115, LS_previous!$B$4:$AY$138, LS_previous!N$149, FALSE), VLOOKUP('Staging Table'!$A115, LS_previous!$B$4:$AY$138,LS_previous!AL$149, FALSE))/2)</f>
        <v>12636.191791214289</v>
      </c>
      <c r="W115" s="180">
        <f t="array" ref="W115">IF($G115=0, INDEX(LS_previous!$D$4:$AY$138, MATCH('Staging Table'!$A115, LS_previous!$B$4:$B$138, 0), MATCH(W$4&amp;W$5, LS_previous!$D$2:$AY$2&amp;LS_previous!$D$3:$AY$3, 0)),SUM(VLOOKUP($A115, LS_previous!$B$4:$AY$138, LS_previous!O$149, FALSE), VLOOKUP('Staging Table'!$A115, LS_previous!$B$4:$AY$138,LS_previous!AM$149, FALSE))/2)</f>
        <v>15906.742113738706</v>
      </c>
      <c r="X115" s="180">
        <f t="array" ref="X115">IF($G115=0, INDEX(LS_previous!$D$4:$AY$138, MATCH('Staging Table'!$A115, LS_previous!$B$4:$B$138, 0), MATCH(X$4&amp;X$5, LS_previous!$D$2:$AY$2&amp;LS_previous!$D$3:$AY$3, 0)),SUM(VLOOKUP($A115, LS_previous!$B$4:$AY$138, LS_previous!P$149, FALSE), VLOOKUP('Staging Table'!$A115, LS_previous!$B$4:$AY$138,LS_previous!AN$149, FALSE))/2)</f>
        <v>13422.070483961888</v>
      </c>
      <c r="Y115" s="180">
        <f t="array" ref="Y115">IF($G115=0, INDEX(LS_previous!$D$4:$AY$138, MATCH('Staging Table'!$A115, LS_previous!$B$4:$B$138, 0), MATCH(Y$4&amp;Y$5, LS_previous!$D$2:$AY$2&amp;LS_previous!$D$3:$AY$3, 0)),SUM(VLOOKUP($A115, LS_previous!$B$4:$AY$138, LS_previous!Q$149, FALSE), VLOOKUP('Staging Table'!$A115, LS_previous!$B$4:$AY$138,LS_previous!AO$149, FALSE))/2)</f>
        <v>18492.816558108589</v>
      </c>
      <c r="Z115" s="180">
        <f t="array" ref="Z115">IF($G115=0, INDEX(LS_previous!$D$4:$AY$138, MATCH('Staging Table'!$A115, LS_previous!$B$4:$B$138, 0), MATCH(Z$4&amp;Z$5, LS_previous!$D$2:$AY$2&amp;LS_previous!$D$3:$AY$3, 0)),SUM(VLOOKUP($A115, LS_previous!$B$4:$AY$138, LS_previous!R$149, FALSE), VLOOKUP('Staging Table'!$A115, LS_previous!$B$4:$AY$138,LS_previous!AP$149, FALSE))/2)</f>
        <v>-26003.309856142059</v>
      </c>
      <c r="AA115" s="180">
        <f t="array" ref="AA115">IF($G115=0, INDEX(LS_previous!$D$4:$AY$138, MATCH('Staging Table'!$A115, LS_previous!$B$4:$B$138, 0), MATCH(AA$4&amp;AA$5, LS_previous!$D$2:$AY$2&amp;LS_previous!$D$3:$AY$3, 0)),SUM(VLOOKUP($A115, LS_previous!$B$4:$AY$138, LS_previous!S$149, FALSE), VLOOKUP('Staging Table'!$A115, LS_previous!$B$4:$AY$138,LS_previous!AQ$149, FALSE))/2)</f>
        <v>8364.0940241176504</v>
      </c>
      <c r="AB115" s="180">
        <f t="array" ref="AB115">IF($G115=0, INDEX(LS_previous!$D$4:$AY$138, MATCH('Staging Table'!$A115, LS_previous!$B$4:$B$138, 0), MATCH(AB$4&amp;AB$5, LS_previous!$D$2:$AY$2&amp;LS_previous!$D$3:$AY$3, 0)),SUM(VLOOKUP($A115, LS_previous!$B$4:$AY$138, LS_previous!T$149, FALSE), VLOOKUP('Staging Table'!$A115, LS_previous!$B$4:$AY$138,LS_previous!AR$149, FALSE))/2)</f>
        <v>-41020.126134615435</v>
      </c>
      <c r="AC115" s="180">
        <f t="array" ref="AC115">IF($G115=0, INDEX(LS_previous!$D$4:$AY$138, MATCH('Staging Table'!$A115, LS_previous!$B$4:$B$138, 0), MATCH(AC$4&amp;AC$5, LS_previous!$D$2:$AY$2&amp;LS_previous!$D$3:$AY$3, 0)),SUM(VLOOKUP($A115, LS_previous!$B$4:$AY$138, LS_previous!U$149, FALSE), VLOOKUP('Staging Table'!$A115, LS_previous!$B$4:$AY$138,LS_previous!AS$149, FALSE))/2)</f>
        <v>2612.1493011077255</v>
      </c>
      <c r="AD115" s="180">
        <f t="array" ref="AD115">IF($G115=0, INDEX(LS_previous!$D$4:$AY$138, MATCH('Staging Table'!$A115, LS_previous!$B$4:$B$138, 0), MATCH(AD$4&amp;AD$5, LS_previous!$D$2:$AY$2&amp;LS_previous!$D$3:$AY$3, 0)),SUM(VLOOKUP($A115, LS_previous!$B$4:$AY$138, LS_previous!V$149, FALSE), VLOOKUP('Staging Table'!$A115, LS_previous!$B$4:$AY$138,LS_previous!AT$149, FALSE))/2)</f>
        <v>-29848.53356782407</v>
      </c>
      <c r="AE115" s="180">
        <f t="array" ref="AE115">IF($G115=0, INDEX(LS_previous!$D$4:$AY$138, MATCH('Staging Table'!$A115, LS_previous!$B$4:$B$138, 0), MATCH(AE$4&amp;AE$5, LS_previous!$D$2:$AY$2&amp;LS_previous!$D$3:$AY$3, 0)),SUM(VLOOKUP($A115, LS_previous!$B$4:$AY$138, LS_previous!W$149, FALSE), VLOOKUP('Staging Table'!$A115, LS_previous!$B$4:$AY$138,LS_previous!AU$149, FALSE))/2)</f>
        <v>5876.9973868067427</v>
      </c>
      <c r="AF115" s="180">
        <f t="array" ref="AF115">IF($G115=0, INDEX(LS_previous!$D$4:$AY$138, MATCH('Staging Table'!$A115, LS_previous!$B$4:$B$138, 0), MATCH(AF$4&amp;AF$5, LS_previous!$D$2:$AY$2&amp;LS_previous!$D$3:$AY$3, 0)),SUM(VLOOKUP($A115, LS_previous!$B$4:$AY$138, LS_previous!X$149, FALSE), VLOOKUP('Staging Table'!$A115, LS_previous!$B$4:$AY$138,LS_previous!AV$149, FALSE))/2)</f>
        <v>-26628.519209057577</v>
      </c>
      <c r="AG115" s="180">
        <f t="array" ref="AG115">IF($G115=0, INDEX(LS_previous!$D$4:$AY$138, MATCH('Staging Table'!$A115, LS_previous!$B$4:$B$138, 0), MATCH(AG$4&amp;AG$5, LS_previous!$D$2:$AY$2&amp;LS_previous!$D$3:$AY$3, 0)),SUM(VLOOKUP($A115, LS_previous!$B$4:$AY$138, LS_previous!Y$149, FALSE), VLOOKUP('Staging Table'!$A115, LS_previous!$B$4:$AY$138,LS_previous!AW$149, FALSE))/2)</f>
        <v>1168.0443562296932</v>
      </c>
      <c r="AH115" s="180">
        <f t="array" ref="AH115">IF($G115=0, INDEX(LS_previous!$D$4:$AY$138, MATCH('Staging Table'!$A115, LS_previous!$B$4:$B$138, 0), MATCH(AH$4&amp;AH$5, LS_previous!$D$2:$AY$2&amp;LS_previous!$D$3:$AY$3, 0)),SUM(VLOOKUP($A115, LS_previous!$B$4:$AY$138, LS_previous!Z$149, FALSE), VLOOKUP('Staging Table'!$A115, LS_previous!$B$4:$AY$138,LS_previous!AX$149, FALSE))/2)</f>
        <v>-16043.516371206446</v>
      </c>
      <c r="AI115" s="180">
        <f t="array" ref="AI115">IF($G115=0, INDEX(LS_previous!$D$4:$AY$138, MATCH('Staging Table'!$A115, LS_previous!$B$4:$B$138, 0), MATCH(AI$4&amp;AI$5, LS_previous!$D$2:$AY$2&amp;LS_previous!$D$3:$AY$3, 0)),SUM(VLOOKUP($A115, LS_previous!$B$4:$AY$138, LS_previous!AA$149, FALSE), VLOOKUP('Staging Table'!$A115, LS_previous!$B$4:$AY$138,LS_previous!AY$149, FALSE))/2)</f>
        <v>4713.884222400633</v>
      </c>
      <c r="AJ115" s="298">
        <f t="array" ref="AJ115">INDEX(Demand_previous!$D$4:$AY$138, MATCH('Staging Table'!$A115, Demand_previous!$B$4:$B$138, 0), MATCH(AJ$4&amp;AJ$5,Demand_previous!$D$2:$AY$2&amp;Demand_previous!$D$3:$AY$3, 0))/1000</f>
        <v>0</v>
      </c>
      <c r="AK115" s="298">
        <f t="array" ref="AK115">INDEX(Demand_previous!$D$4:$AY$138, MATCH('Staging Table'!$A115, Demand_previous!$B$4:$B$138, 0), MATCH(AK$4&amp;AK$5,Demand_previous!$D$2:$AY$2&amp;Demand_previous!$D$3:$AY$3, 0))/1000</f>
        <v>0</v>
      </c>
      <c r="AL115" s="298">
        <f t="array" ref="AL115">INDEX(Demand_previous!$D$4:$AY$138, MATCH('Staging Table'!$A115, Demand_previous!$B$4:$B$138, 0), MATCH(AL$4&amp;AL$5,Demand_previous!$D$2:$AY$2&amp;Demand_previous!$D$3:$AY$3, 0))/1000</f>
        <v>0</v>
      </c>
      <c r="AM115" s="298">
        <f t="array" ref="AM115">INDEX(Demand_previous!$D$4:$AY$138, MATCH('Staging Table'!$A115, Demand_previous!$B$4:$B$138, 0), MATCH(AM$4&amp;AM$5,Demand_previous!$D$2:$AY$2&amp;Demand_previous!$D$3:$AY$3, 0))/1000</f>
        <v>0</v>
      </c>
      <c r="AN115" s="298">
        <f t="array" ref="AN115">INDEX(Demand_previous!$D$4:$AY$138, MATCH('Staging Table'!$A115, Demand_previous!$B$4:$B$138, 0), MATCH(AN$4&amp;AN$5,Demand_previous!$D$2:$AY$2&amp;Demand_previous!$D$3:$AY$3, 0))/1000</f>
        <v>0</v>
      </c>
      <c r="AO115" s="298">
        <f t="array" ref="AO115">INDEX(Demand_previous!$D$4:$AY$138, MATCH('Staging Table'!$A115, Demand_previous!$B$4:$B$138, 0), MATCH(AO$4&amp;AO$5,Demand_previous!$D$2:$AY$2&amp;Demand_previous!$D$3:$AY$3, 0))/1000</f>
        <v>0</v>
      </c>
      <c r="AP115" s="298">
        <f t="array" ref="AP115">INDEX(Demand_previous!$D$4:$AY$138, MATCH('Staging Table'!$A115, Demand_previous!$B$4:$B$138, 0), MATCH(AP$4&amp;AP$5,Demand_previous!$D$2:$AY$2&amp;Demand_previous!$D$3:$AY$3, 0))/1000</f>
        <v>0</v>
      </c>
      <c r="AQ115" s="298">
        <f t="array" ref="AQ115">INDEX(Demand_previous!$D$4:$AY$138, MATCH('Staging Table'!$A115, Demand_previous!$B$4:$B$138, 0), MATCH(AQ$4&amp;AQ$5,Demand_previous!$D$2:$AY$2&amp;Demand_previous!$D$3:$AY$3, 0))/1000</f>
        <v>0</v>
      </c>
      <c r="AR115" s="298">
        <f t="array" ref="AR115">INDEX(Demand_previous!$D$4:$AY$138, MATCH('Staging Table'!$A115, Demand_previous!$B$4:$B$138, 0), MATCH(AR$4&amp;AR$5,Demand_previous!$D$2:$AY$2&amp;Demand_previous!$D$3:$AY$3, 0))/1000</f>
        <v>0</v>
      </c>
      <c r="AS115" s="298">
        <f t="array" ref="AS115">INDEX(Demand_previous!$D$4:$AY$138, MATCH('Staging Table'!$A115, Demand_previous!$B$4:$B$138, 0), MATCH(AS$4&amp;AS$5,Demand_previous!$D$2:$AY$2&amp;Demand_previous!$D$3:$AY$3, 0))/1000</f>
        <v>0</v>
      </c>
      <c r="AT115" s="298">
        <f t="array" ref="AT115">INDEX(Demand_previous!$D$4:$AY$138, MATCH('Staging Table'!$A115, Demand_previous!$B$4:$B$138, 0), MATCH(AT$4&amp;AT$5,Demand_previous!$D$2:$AY$2&amp;Demand_previous!$D$3:$AY$3, 0))/1000</f>
        <v>0</v>
      </c>
      <c r="AU115" s="298">
        <f t="array" ref="AU115">INDEX(Demand_previous!$D$4:$AY$138, MATCH('Staging Table'!$A115, Demand_previous!$B$4:$B$138, 0), MATCH(AU$4&amp;AU$5,Demand_previous!$D$2:$AY$2&amp;Demand_previous!$D$3:$AY$3, 0))/1000</f>
        <v>0</v>
      </c>
      <c r="AV115" s="180">
        <f>$F115*(VLOOKUP(AV$4, Rates_previous!$G$6:$Q$29, 10, FALSE)+VLOOKUP(AV$4, Rates_previous!$G$6:$Q$29, 11, FALSE))</f>
        <v>115172.39174063285</v>
      </c>
      <c r="AW115" s="180">
        <f>$F115*(VLOOKUP(AW$4, Rates_previous!$G$6:$Q$29, 10, FALSE)+VLOOKUP(AW$4, Rates_previous!$G$6:$Q$29, 11, FALSE))</f>
        <v>145812.42783737765</v>
      </c>
      <c r="AX115" s="180">
        <f>$F115*(VLOOKUP(AX$4, Rates_previous!$G$6:$Q$29, 10, FALSE)+VLOOKUP(AX$4, Rates_previous!$G$6:$Q$29, 11, FALSE))</f>
        <v>142721.23597705812</v>
      </c>
      <c r="AY115" s="180">
        <f>$F115*(VLOOKUP(AY$4, Rates_previous!$G$6:$Q$29, 10, FALSE)+VLOOKUP(AY$4, Rates_previous!$G$6:$Q$29, 11, FALSE))</f>
        <v>117881.67171905442</v>
      </c>
      <c r="AZ115" s="180">
        <f>$F115*(VLOOKUP(AZ$4, Rates_previous!$G$6:$Q$29, 10, FALSE)+VLOOKUP(AZ$4, Rates_previous!$G$6:$Q$29, 11, FALSE))</f>
        <v>102170.62850190572</v>
      </c>
      <c r="BA115" s="180">
        <f>$F115*(VLOOKUP(BA$4, Rates_previous!$G$6:$Q$29, 10, FALSE)+VLOOKUP(BA$4, Rates_previous!$G$6:$Q$29, 11, FALSE))</f>
        <v>121971.09817149762</v>
      </c>
      <c r="BB115" s="180">
        <f>$F115*(VLOOKUP(BB$4, Rates_previous!$G$6:$Q$29, 10, FALSE)+VLOOKUP(BB$4, Rates_previous!$G$6:$Q$29, 11, FALSE))</f>
        <v>94694.319852111585</v>
      </c>
      <c r="BC115" s="180">
        <f>$F115*(VLOOKUP(BC$4, Rates_previous!$G$6:$Q$29, 10, FALSE)+VLOOKUP(BC$4, Rates_previous!$G$6:$Q$29, 11, FALSE))</f>
        <v>131199.67700909707</v>
      </c>
      <c r="BD115" s="180">
        <f>$F115*(VLOOKUP(BD$4, Rates_previous!$G$6:$Q$29, 10, FALSE)+VLOOKUP(BD$4, Rates_previous!$G$6:$Q$29, 11, FALSE))</f>
        <v>140189.60209410501</v>
      </c>
      <c r="BE115" s="180">
        <f>$F115*(VLOOKUP(BE$4, Rates_previous!$G$6:$Q$29, 10, FALSE)+VLOOKUP(BE$4, Rates_previous!$G$6:$Q$29, 11, FALSE))</f>
        <v>133103.67917904444</v>
      </c>
      <c r="BF115" s="180">
        <f>$F115*(VLOOKUP(BF$4, Rates_previous!$G$6:$Q$29, 10, FALSE)+VLOOKUP(BF$4, Rates_previous!$G$6:$Q$29, 11, FALSE))</f>
        <v>128634.43751196243</v>
      </c>
      <c r="BG115" s="180">
        <f>$F115*(VLOOKUP(BG$4, Rates_previous!$G$6:$Q$29, 10, FALSE)+VLOOKUP(BG$4, Rates_previous!$G$6:$Q$29, 11, FALSE))</f>
        <v>118871.62986974107</v>
      </c>
      <c r="BH115" s="298">
        <f>IF($D115=0,IF(C115=0, MAX(BJ115 - (VLOOKUP($A115,TOCA_previous!$A$2:$AI$137,MATCH("RHWM 2022",TOCA_previous!$A$2:$AI$2,0),FALSE)*$F$2*TOCA_previous!C112),0),0), 0)</f>
        <v>0</v>
      </c>
      <c r="BI115" s="192">
        <f>MIN(VLOOKUP($A115,TOCA_previous!$A$2:$AI$137,MATCH("TRL - NLSL - Existing Resource "&amp;$F$1,TOCA_previous!$A$2:$AI$2,0),FALSE)*$F$2,(VLOOKUP($A115,TOCA_previous!$A$2:$AI$137,MATCH("RHWM 2022",TOCA_previous!$A$2:$AI$2,0),FALSE)*$F$2))</f>
        <v>3239789.64</v>
      </c>
      <c r="BJ115" s="402">
        <f>SUM(L115:AI115)+(F115*RT1SC!$C$3*$F$2)</f>
        <v>1492422.5632148276</v>
      </c>
      <c r="BK115" s="401">
        <f>VLOOKUP($A115,TOCA_previous!$A$2:$AI$137,MATCH("Above RHWM Not Served with LS "&amp;$F$1,TOCA_previous!$A$2:$AI$2,0),FALSE)*$F$2</f>
        <v>0</v>
      </c>
      <c r="BL115" s="402">
        <f t="shared" si="27"/>
        <v>-1747367.0767851726</v>
      </c>
      <c r="BM115" s="401">
        <f>(VLOOKUP($A115,TOCA_previous!$A$2:$AI$137,MATCH("RHWM 2022",TOCA_previous!$A$2:$AI$2,0),FALSE)*$F$2) - $BI115</f>
        <v>122657.52000000002</v>
      </c>
      <c r="BN115" s="402">
        <f t="shared" si="28"/>
        <v>0</v>
      </c>
      <c r="BO115" s="401">
        <f t="shared" si="29"/>
        <v>1747367.0767851726</v>
      </c>
      <c r="BP115" s="402">
        <f t="shared" si="30"/>
        <v>0</v>
      </c>
      <c r="BQ115" s="401">
        <f t="shared" si="37"/>
        <v>0</v>
      </c>
      <c r="BR115" s="108">
        <f>VLOOKUP($A115,TOCA_current!$A$2:$AI$137,MATCH(BR$4,TOCA_current!$A$2:$AI$2,0),FALSE)</f>
        <v>5.2217E-2</v>
      </c>
      <c r="BS115" s="108">
        <f>VLOOKUP($A115,TOCA_current!$A$2:$AI$137,MATCH(BS$4,TOCA_current!$A$2:$AI$2,0),FALSE)</f>
        <v>2.2612199999999999E-2</v>
      </c>
      <c r="BT115" s="189">
        <f t="shared" si="31"/>
        <v>2.9604800000000001E-2</v>
      </c>
      <c r="BU115" s="108">
        <f>VLOOKUP($A115,TOCA_current!A111:BG246,MATCH(BU$4,TOCA_current!$A$2:$BG$2,0),FALSE)</f>
        <v>0</v>
      </c>
      <c r="BV115" s="108">
        <f t="shared" si="38"/>
        <v>0</v>
      </c>
      <c r="BW115" s="108">
        <f t="shared" si="39"/>
        <v>0</v>
      </c>
      <c r="BX115" s="179">
        <f>VLOOKUP($A115,IRD!$A$4:$G$139, 7, FALSE)</f>
        <v>0</v>
      </c>
      <c r="BY115" s="180">
        <f t="array" ref="BY115">IF($BT115=0, INDEX(LS_current!$D$4:$AY$138, MATCH('Staging Table'!$A115, LS_current!$B$4:$B$138, 0), MATCH(BY$4&amp;BY$5, LS_current!$D$2:$AY$2&amp;LS_current!$D$3:$AY$3, 0)),SUM(VLOOKUP($A115, LS_current!$B$4:$AY$138, LS_current!D$148, FALSE), VLOOKUP($A115, LS_current!$B$4:$AY$138,LS_current!AB$148, FALSE))/2)</f>
        <v>-3404.4082737692952</v>
      </c>
      <c r="BZ115" s="180">
        <f t="array" ref="BZ115">IF($BT115=0, INDEX(LS_current!$D$4:$AY$138, MATCH('Staging Table'!$A115, LS_current!$B$4:$B$138, 0), MATCH(BZ$4&amp;BZ$5, LS_current!$D$2:$AY$2&amp;LS_current!$D$3:$AY$3, 0)),SUM(VLOOKUP($A115, LS_current!$B$4:$AY$138, LS_current!E$148, FALSE), VLOOKUP($A115, LS_current!$B$4:$AY$138,LS_current!AC$148, FALSE))/2)</f>
        <v>3280.6017106189393</v>
      </c>
      <c r="CA115" s="180">
        <f t="array" ref="CA115">IF($BT115=0, INDEX(LS_current!$D$4:$AY$138, MATCH('Staging Table'!$A115, LS_current!$B$4:$B$138, 0), MATCH(CA$4&amp;CA$5, LS_current!$D$2:$AY$2&amp;LS_current!$D$3:$AY$3, 0)),SUM(VLOOKUP($A115, LS_current!$B$4:$AY$138, LS_current!F$148, FALSE), VLOOKUP($A115, LS_current!$B$4:$AY$138,LS_current!AD$148, FALSE))/2)</f>
        <v>-5388.8570064277956</v>
      </c>
      <c r="CB115" s="180">
        <f t="array" ref="CB115">IF($BT115=0, INDEX(LS_current!$D$4:$AY$138, MATCH('Staging Table'!$A115, LS_current!$B$4:$B$138, 0), MATCH(CB$4&amp;CB$5, LS_current!$D$2:$AY$2&amp;LS_current!$D$3:$AY$3, 0)),SUM(VLOOKUP($A115, LS_current!$B$4:$AY$138, LS_current!G$148, FALSE), VLOOKUP($A115, LS_current!$B$4:$AY$138,LS_current!AE$148, FALSE))/2)</f>
        <v>7011.9425304795404</v>
      </c>
      <c r="CC115" s="180">
        <f t="array" ref="CC115">IF($BT115=0, INDEX(LS_current!$D$4:$AY$138, MATCH('Staging Table'!$A115, LS_current!$B$4:$B$138, 0), MATCH(CC$4&amp;CC$5, LS_current!$D$2:$AY$2&amp;LS_current!$D$3:$AY$3, 0)),SUM(VLOOKUP($A115, LS_current!$B$4:$AY$138, LS_current!H$148, FALSE), VLOOKUP($A115, LS_current!$B$4:$AY$138,LS_current!AF$148, FALSE))/2)</f>
        <v>2486.5968566729571</v>
      </c>
      <c r="CD115" s="180">
        <f t="array" ref="CD115">IF($BT115=0, INDEX(LS_current!$D$4:$AY$138, MATCH('Staging Table'!$A115, LS_current!$B$4:$B$138, 0), MATCH(CD$4&amp;CD$5, LS_current!$D$2:$AY$2&amp;LS_current!$D$3:$AY$3, 0)),SUM(VLOOKUP($A115, LS_current!$B$4:$AY$138, LS_current!I$148, FALSE), VLOOKUP($A115, LS_current!$B$4:$AY$138,LS_current!AG$148, FALSE))/2)</f>
        <v>18824.087156339319</v>
      </c>
      <c r="CE115" s="180">
        <f t="array" ref="CE115">IF($BT115=0, INDEX(LS_current!$D$4:$AY$138, MATCH('Staging Table'!$A115, LS_current!$B$4:$B$138, 0), MATCH(CE$4&amp;CE$5, LS_current!$D$2:$AY$2&amp;LS_current!$D$3:$AY$3, 0)),SUM(VLOOKUP($A115, LS_current!$B$4:$AY$138, LS_current!J$148, FALSE), VLOOKUP($A115, LS_current!$B$4:$AY$138,LS_current!AH$148, FALSE))/2)</f>
        <v>-3764.287639056769</v>
      </c>
      <c r="CF115" s="180">
        <f t="array" ref="CF115">IF($BT115=0, INDEX(LS_current!$D$4:$AY$138, MATCH('Staging Table'!$A115, LS_current!$B$4:$B$138, 0), MATCH(CF$4&amp;CF$5, LS_current!$D$2:$AY$2&amp;LS_current!$D$3:$AY$3, 0)),SUM(VLOOKUP($A115, LS_current!$B$4:$AY$138, LS_current!K$148, FALSE), VLOOKUP($A115, LS_current!$B$4:$AY$138,LS_current!AI$148, FALSE))/2)</f>
        <v>11595.697013993529</v>
      </c>
      <c r="CG115" s="180">
        <f t="array" ref="CG115">IF($BT115=0, INDEX(LS_current!$D$4:$AY$138, MATCH('Staging Table'!$A115, LS_current!$B$4:$B$138, 0), MATCH(CG$4&amp;CG$5, LS_current!$D$2:$AY$2&amp;LS_current!$D$3:$AY$3, 0)),SUM(VLOOKUP($A115, LS_current!$B$4:$AY$138, LS_current!L$148, FALSE), VLOOKUP($A115, LS_current!$B$4:$AY$138,LS_current!AJ$148, FALSE))/2)</f>
        <v>-2679.6541798967228</v>
      </c>
      <c r="CH115" s="180">
        <f t="array" ref="CH115">IF($BT115=0, INDEX(LS_current!$D$4:$AY$138, MATCH('Staging Table'!$A115, LS_current!$B$4:$B$138, 0), MATCH(CH$4&amp;CH$5, LS_current!$D$2:$AY$2&amp;LS_current!$D$3:$AY$3, 0)),SUM(VLOOKUP($A115, LS_current!$B$4:$AY$138, LS_current!M$148, FALSE), VLOOKUP($A115, LS_current!$B$4:$AY$138,LS_current!AK$148, FALSE))/2)</f>
        <v>10485.420875710926</v>
      </c>
      <c r="CI115" s="180">
        <f t="array" ref="CI115">IF($BT115=0, INDEX(LS_current!$D$4:$AY$138, MATCH('Staging Table'!$A115, LS_current!$B$4:$B$138, 0), MATCH(CI$4&amp;CI$5, LS_current!$D$2:$AY$2&amp;LS_current!$D$3:$AY$3, 0)),SUM(VLOOKUP($A115, LS_current!$B$4:$AY$138, LS_current!N$148, FALSE), VLOOKUP($A115, LS_current!$B$4:$AY$138,LS_current!AL$148, FALSE))/2)</f>
        <v>1212.2798474995288</v>
      </c>
      <c r="CJ115" s="180">
        <f t="array" ref="CJ115">IF($BT115=0, INDEX(LS_current!$D$4:$AY$138, MATCH('Staging Table'!$A115, LS_current!$B$4:$B$138, 0), MATCH(CJ$4&amp;CJ$5, LS_current!$D$2:$AY$2&amp;LS_current!$D$3:$AY$3, 0)),SUM(VLOOKUP($A115, LS_current!$B$4:$AY$138, LS_current!O$148, FALSE), VLOOKUP($A115, LS_current!$B$4:$AY$138,LS_current!AM$148, FALSE))/2)</f>
        <v>12099.110401050402</v>
      </c>
      <c r="CK115" s="180">
        <f t="array" ref="CK115">IF($BT115=0, INDEX(LS_current!$D$4:$AY$138, MATCH('Staging Table'!$A115, LS_current!$B$4:$B$138, 0), MATCH(CK$4&amp;CK$5, LS_current!$D$2:$AY$2&amp;LS_current!$D$3:$AY$3, 0)),SUM(VLOOKUP($A115, LS_current!$B$4:$AY$138, LS_current!P$148, FALSE), VLOOKUP($A115, LS_current!$B$4:$AY$138,LS_current!AN$148, FALSE))/2)</f>
        <v>7211.5646468980449</v>
      </c>
      <c r="CL115" s="180">
        <f t="array" ref="CL115">IF($BT115=0, INDEX(LS_current!$D$4:$AY$138, MATCH('Staging Table'!$A115, LS_current!$B$4:$B$138, 0), MATCH(CL$4&amp;CL$5, LS_current!$D$2:$AY$2&amp;LS_current!$D$3:$AY$3, 0)),SUM(VLOOKUP($A115, LS_current!$B$4:$AY$138, LS_current!Q$148, FALSE), VLOOKUP($A115, LS_current!$B$4:$AY$138,LS_current!AO$148, FALSE))/2)</f>
        <v>10652.553953898238</v>
      </c>
      <c r="CM115" s="180">
        <f t="array" ref="CM115">IF($BT115=0, INDEX(LS_current!$D$4:$AY$138, MATCH('Staging Table'!$A115, LS_current!$B$4:$B$138, 0), MATCH(CM$4&amp;CM$5, LS_current!$D$2:$AY$2&amp;LS_current!$D$3:$AY$3, 0)),SUM(VLOOKUP($A115, LS_current!$B$4:$AY$138, LS_current!R$148, FALSE), VLOOKUP($A115, LS_current!$B$4:$AY$138,LS_current!AP$148, FALSE))/2)</f>
        <v>-16622.90623739842</v>
      </c>
      <c r="CN115" s="180">
        <f t="array" ref="CN115">IF($BT115=0, INDEX(LS_current!$D$4:$AY$138, MATCH('Staging Table'!$A115, LS_current!$B$4:$B$138, 0), MATCH(CN$4&amp;CN$5, LS_current!$D$2:$AY$2&amp;LS_current!$D$3:$AY$3, 0)),SUM(VLOOKUP($A115, LS_current!$B$4:$AY$138, LS_current!S$148, FALSE), VLOOKUP($A115, LS_current!$B$4:$AY$138,LS_current!AQ$148, FALSE))/2)</f>
        <v>-2273.8524041633173</v>
      </c>
      <c r="CO115" s="180">
        <f t="array" ref="CO115">IF($BT115=0, INDEX(LS_current!$D$4:$AY$138, MATCH('Staging Table'!$A115, LS_current!$B$4:$B$138, 0), MATCH(CO$4&amp;CO$5, LS_current!$D$2:$AY$2&amp;LS_current!$D$3:$AY$3, 0)),SUM(VLOOKUP($A115, LS_current!$B$4:$AY$138, LS_current!T$148, FALSE), VLOOKUP($A115, LS_current!$B$4:$AY$138,LS_current!AR$148, FALSE))/2)</f>
        <v>-27432.392455149296</v>
      </c>
      <c r="CP115" s="180">
        <f t="array" ref="CP115">IF($BT115=0, INDEX(LS_current!$D$4:$AY$138, MATCH('Staging Table'!$A115, LS_current!$B$4:$B$138, 0), MATCH(CP$4&amp;CP$5, LS_current!$D$2:$AY$2&amp;LS_current!$D$3:$AY$3, 0)),SUM(VLOOKUP($A115, LS_current!$B$4:$AY$138, LS_current!U$148, FALSE), VLOOKUP($A115, LS_current!$B$4:$AY$138,LS_current!AS$148, FALSE))/2)</f>
        <v>-5325.3834364773138</v>
      </c>
      <c r="CQ115" s="180">
        <f t="array" ref="CQ115">IF($BT115=0, INDEX(LS_current!$D$4:$AY$138, MATCH('Staging Table'!$A115, LS_current!$B$4:$B$138, 0), MATCH(CQ$4&amp;CQ$5, LS_current!$D$2:$AY$2&amp;LS_current!$D$3:$AY$3, 0)),SUM(VLOOKUP($A115, LS_current!$B$4:$AY$138, LS_current!V$148, FALSE), VLOOKUP($A115, LS_current!$B$4:$AY$138,LS_current!AT$148, FALSE))/2)</f>
        <v>-12103.994857893376</v>
      </c>
      <c r="CR115" s="180">
        <f t="array" ref="CR115">IF($BT115=0, INDEX(LS_current!$D$4:$AY$138, MATCH('Staging Table'!$A115, LS_current!$B$4:$B$138, 0), MATCH(CR$4&amp;CR$5, LS_current!$D$2:$AY$2&amp;LS_current!$D$3:$AY$3, 0)),SUM(VLOOKUP($A115, LS_current!$B$4:$AY$138, LS_current!W$148, FALSE), VLOOKUP($A115, LS_current!$B$4:$AY$138,LS_current!AU$148, FALSE))/2)</f>
        <v>3134.825202581811</v>
      </c>
      <c r="CS115" s="180">
        <f t="array" ref="CS115">IF($BT115=0, INDEX(LS_current!$D$4:$AY$138, MATCH('Staging Table'!$A115, LS_current!$B$4:$B$138, 0), MATCH(CS$4&amp;CS$5, LS_current!$D$2:$AY$2&amp;LS_current!$D$3:$AY$3, 0)),SUM(VLOOKUP($A115, LS_current!$B$4:$AY$138, LS_current!X$148, FALSE), VLOOKUP($A115, LS_current!$B$4:$AY$138,LS_current!AV$148, FALSE))/2)</f>
        <v>-13090.92170575916</v>
      </c>
      <c r="CT115" s="180">
        <f t="array" ref="CT115">IF($BT115=0, INDEX(LS_current!$D$4:$AY$138, MATCH('Staging Table'!$A115, LS_current!$B$4:$B$138, 0), MATCH(CT$4&amp;CT$5, LS_current!$D$2:$AY$2&amp;LS_current!$D$3:$AY$3, 0)),SUM(VLOOKUP($A115, LS_current!$B$4:$AY$138, LS_current!Y$148, FALSE), VLOOKUP($A115, LS_current!$B$4:$AY$138,LS_current!AW$148, FALSE))/2)</f>
        <v>2229.2676305065979</v>
      </c>
      <c r="CU115" s="180">
        <f t="array" ref="CU115">IF($BT115=0, INDEX(LS_current!$D$4:$AY$138, MATCH('Staging Table'!$A115, LS_current!$B$4:$B$138, 0), MATCH(CU$4&amp;CU$5, LS_current!$D$2:$AY$2&amp;LS_current!$D$3:$AY$3, 0)),SUM(VLOOKUP($A115, LS_current!$B$4:$AY$138, LS_current!Z$148, FALSE), VLOOKUP($A115, LS_current!$B$4:$AY$138,LS_current!AX$148, FALSE))/2)</f>
        <v>-4186.8844217260303</v>
      </c>
      <c r="CV115" s="180">
        <f t="array" ref="CV115">IF($BT115=0, INDEX(LS_current!$D$4:$AY$138, MATCH('Staging Table'!$A115, LS_current!$B$4:$B$138, 0), MATCH(CV$4&amp;CV$5, LS_current!$D$2:$AY$2&amp;LS_current!$D$3:$AY$3, 0)),SUM(VLOOKUP($A115, LS_current!$B$4:$AY$138, LS_current!AA$148, FALSE), VLOOKUP($A115, LS_current!$B$4:$AY$138,LS_current!AY$148, FALSE))/2)</f>
        <v>6050.5637824872538</v>
      </c>
      <c r="CW115" s="182">
        <f t="array" ref="CW115">INDEX(Demand_current!$D$4:$AY$138, MATCH($A115, Demand_current!$B$4:$B$138, 0), MATCH(CW$4&amp;CW$5,Demand_current!$D$2:$AY$2&amp;Demand_current!$D$3:$AY$3, 0))/1000</f>
        <v>0</v>
      </c>
      <c r="CX115" s="182">
        <f t="array" ref="CX115">INDEX(Demand_current!$D$4:$AY$138, MATCH($A115, Demand_current!$B$4:$B$138, 0), MATCH(CX$4&amp;CX$5,Demand_current!$D$2:$AY$2&amp;Demand_current!$D$3:$AY$3, 0))/1000</f>
        <v>0</v>
      </c>
      <c r="CY115" s="182">
        <f t="array" ref="CY115">INDEX(Demand_current!$D$4:$AY$138, MATCH($A115, Demand_current!$B$4:$B$138, 0), MATCH(CY$4&amp;CY$5,Demand_current!$D$2:$AY$2&amp;Demand_current!$D$3:$AY$3, 0))/1000</f>
        <v>0</v>
      </c>
      <c r="CZ115" s="182">
        <f t="array" ref="CZ115">INDEX(Demand_current!$D$4:$AY$138, MATCH($A115, Demand_current!$B$4:$B$138, 0), MATCH(CZ$4&amp;CZ$5,Demand_current!$D$2:$AY$2&amp;Demand_current!$D$3:$AY$3, 0))/1000</f>
        <v>0</v>
      </c>
      <c r="DA115" s="182">
        <f t="array" ref="DA115">INDEX(Demand_current!$D$4:$AY$138, MATCH($A115, Demand_current!$B$4:$B$138, 0), MATCH(DA$4&amp;DA$5,Demand_current!$D$2:$AY$2&amp;Demand_current!$D$3:$AY$3, 0))/1000</f>
        <v>0</v>
      </c>
      <c r="DB115" s="182">
        <f t="array" ref="DB115">INDEX(Demand_current!$D$4:$AY$138, MATCH($A115, Demand_current!$B$4:$B$138, 0), MATCH(DB$4&amp;DB$5,Demand_current!$D$2:$AY$2&amp;Demand_current!$D$3:$AY$3, 0))/1000</f>
        <v>0</v>
      </c>
      <c r="DC115" s="182">
        <f t="array" ref="DC115">INDEX(Demand_current!$D$4:$AY$138, MATCH($A115, Demand_current!$B$4:$B$138, 0), MATCH(DC$4&amp;DC$5,Demand_current!$D$2:$AY$2&amp;Demand_current!$D$3:$AY$3, 0))/1000</f>
        <v>0</v>
      </c>
      <c r="DD115" s="182">
        <f t="array" ref="DD115">INDEX(Demand_current!$D$4:$AY$138, MATCH($A115, Demand_current!$B$4:$B$138, 0), MATCH(DD$4&amp;DD$5,Demand_current!$D$2:$AY$2&amp;Demand_current!$D$3:$AY$3, 0))/1000</f>
        <v>0</v>
      </c>
      <c r="DE115" s="182">
        <f t="array" ref="DE115">INDEX(Demand_current!$D$4:$AY$138, MATCH($A115, Demand_current!$B$4:$B$138, 0), MATCH(DE$4&amp;DE$5,Demand_current!$D$2:$AY$2&amp;Demand_current!$D$3:$AY$3, 0))/1000</f>
        <v>0</v>
      </c>
      <c r="DF115" s="182">
        <f t="array" ref="DF115">INDEX(Demand_current!$D$4:$AY$138, MATCH($A115, Demand_current!$B$4:$B$138, 0), MATCH(DF$4&amp;DF$5,Demand_current!$D$2:$AY$2&amp;Demand_current!$D$3:$AY$3, 0))/1000</f>
        <v>0</v>
      </c>
      <c r="DG115" s="182">
        <f t="array" ref="DG115">INDEX(Demand_current!$D$4:$AY$138, MATCH($A115, Demand_current!$B$4:$B$138, 0), MATCH(DG$4&amp;DG$5,Demand_current!$D$2:$AY$2&amp;Demand_current!$D$3:$AY$3, 0))/1000</f>
        <v>0</v>
      </c>
      <c r="DH115" s="182">
        <f t="array" ref="DH115">INDEX(Demand_current!$D$4:$AY$138, MATCH($A115, Demand_current!$B$4:$B$138, 0), MATCH(DH$4&amp;DH$5,Demand_current!$D$2:$AY$2&amp;Demand_current!$D$3:$AY$3, 0))/1000</f>
        <v>0</v>
      </c>
      <c r="DI115" s="180">
        <f>$BS115*(VLOOKUP(DI$4, Rates_current!$G$6:$Q$29, 10, FALSE)+VLOOKUP(DI$4, Rates_current!$G$6:$Q$29, 11, FALSE))</f>
        <v>95396.434415790296</v>
      </c>
      <c r="DJ115" s="180">
        <f>$BS115*(VLOOKUP(DJ$4, Rates_current!$G$6:$Q$29, 10, FALSE)+VLOOKUP(DJ$4, Rates_current!$G$6:$Q$29, 11, FALSE))</f>
        <v>121661.91113809981</v>
      </c>
      <c r="DK115" s="180">
        <f>$BS115*(VLOOKUP(DK$4, Rates_current!$G$6:$Q$29, 10, FALSE)+VLOOKUP(DK$4, Rates_current!$G$6:$Q$29, 11, FALSE))</f>
        <v>131297.274280107</v>
      </c>
      <c r="DL115" s="180">
        <f>$BS115*(VLOOKUP(DL$4, Rates_current!$G$6:$Q$29, 10, FALSE)+VLOOKUP(DL$4, Rates_current!$G$6:$Q$29, 11, FALSE))</f>
        <v>136438.1649372768</v>
      </c>
      <c r="DM115" s="180">
        <f>$BS115*(VLOOKUP(DM$4, Rates_current!$G$6:$Q$29, 10, FALSE)+VLOOKUP(DM$4, Rates_current!$G$6:$Q$29, 11, FALSE))</f>
        <v>117355.00789242359</v>
      </c>
      <c r="DN115" s="180">
        <f>$BS115*(VLOOKUP(DN$4, Rates_current!$G$6:$Q$29, 10, FALSE)+VLOOKUP(DN$4, Rates_current!$G$6:$Q$29, 11, FALSE))</f>
        <v>128128.43349547019</v>
      </c>
      <c r="DO115" s="180">
        <f>$BS115*(VLOOKUP(DO$4, Rates_current!$G$6:$Q$29, 10, FALSE)+VLOOKUP(DO$4, Rates_current!$G$6:$Q$29, 11, FALSE))</f>
        <v>101135.80598616884</v>
      </c>
      <c r="DP115" s="180">
        <f>$BS115*(VLOOKUP(DP$4, Rates_current!$G$6:$Q$29, 10, FALSE)+VLOOKUP(DP$4, Rates_current!$G$6:$Q$29, 11, FALSE))</f>
        <v>125472.52015617929</v>
      </c>
      <c r="DQ115" s="180">
        <f>$BS115*(VLOOKUP(DQ$4, Rates_current!$G$6:$Q$29, 10, FALSE)+VLOOKUP(DQ$4, Rates_current!$G$6:$Q$29, 11, FALSE))</f>
        <v>128194.96061166209</v>
      </c>
      <c r="DR115" s="180">
        <f>$BS115*(VLOOKUP(DR$4, Rates_current!$G$6:$Q$29, 10, FALSE)+VLOOKUP(DR$4, Rates_current!$G$6:$Q$29, 11, FALSE))</f>
        <v>111291.6946514763</v>
      </c>
      <c r="DS115" s="180">
        <f>$BS115*(VLOOKUP(DS$4, Rates_current!$G$6:$Q$29, 10, FALSE)+VLOOKUP(DS$4, Rates_current!$G$6:$Q$29, 11, FALSE))</f>
        <v>107589.48642517648</v>
      </c>
      <c r="DT115" s="180">
        <f>$BS115*(VLOOKUP(DT$4, Rates_current!$G$6:$Q$29, 10, FALSE)+VLOOKUP(DT$4, Rates_current!$G$6:$Q$29, 11, FALSE))</f>
        <v>99003.162092811603</v>
      </c>
      <c r="DU115" s="402">
        <f>IF(D115=0,IF(C115=0,MAX(0,DW115 - (VLOOKUP($A115,TOCA_current!$A$2:$AI$137,MATCH("RHWM 2024",TOCA_current!$A$2:$AI$2,0),FALSE)*$BS$2)), 0),0)</f>
        <v>0</v>
      </c>
      <c r="DV115" s="403">
        <f>MIN(VLOOKUP($A115,TOCA_current!$A$2:$AI$137,MATCH("TRL - NLSL - Existing Resource "&amp;$BS$1,TOCA_current!$A$2:$AI$2,0),FALSE)*$BS$2, VLOOKUP($A115,TOCA_current!$A$2:$AI$137,MATCH("RHWM 2024",TOCA_current!$A$2:$AI$2,0),FALSE)*$BS$2)</f>
        <v>3239785.1519999998</v>
      </c>
      <c r="DW115" s="403">
        <f>SUM(BY115:CV115)+(BS115*RT1SC!$C$4*$BS$2)</f>
        <v>1402965.8315045713</v>
      </c>
      <c r="DX115" s="403">
        <f>VLOOKUP($A115,TOCA_current!$A$2:$AI$137,MATCH("Above RHWM Not Served with LS "&amp;$BS$1,TOCA_current!$A$2:$AI$2,0),FALSE)*$BS$2</f>
        <v>0</v>
      </c>
      <c r="DY115" s="403">
        <f t="shared" si="32"/>
        <v>-1836819.3204954285</v>
      </c>
      <c r="DZ115" s="403">
        <f>(VLOOKUP($A115,TOCA_current!$A$2:$AI$137,MATCH("RHWM 2024",TOCA_current!$A$2:$AI$2,0),FALSE)*$BS$2) - $DV115</f>
        <v>294808.60800000001</v>
      </c>
      <c r="EA115" s="403">
        <f t="shared" si="33"/>
        <v>0</v>
      </c>
      <c r="EB115" s="403">
        <f t="shared" si="34"/>
        <v>1836819.3204954285</v>
      </c>
      <c r="EC115" s="403">
        <f t="shared" si="35"/>
        <v>0</v>
      </c>
      <c r="ED115" s="403">
        <f t="shared" si="36"/>
        <v>0</v>
      </c>
    </row>
    <row r="116" spans="1:134">
      <c r="A116" s="123">
        <v>10371</v>
      </c>
      <c r="B116" s="124" t="s">
        <v>117</v>
      </c>
      <c r="C116" s="232">
        <f>VLOOKUP(A116, TOCA_current!$A$3:$D$137, 4, FALSE)</f>
        <v>0</v>
      </c>
      <c r="D116" s="191">
        <v>0</v>
      </c>
      <c r="E116" s="107">
        <f>VLOOKUP($A116,TOCA_previous!$A$2:$AI$137,MATCH(E$4,TOCA_previous!$A$2:$AI$2,0),FALSE)</f>
        <v>1.5623E-3</v>
      </c>
      <c r="F116" s="108">
        <f>VLOOKUP($A116,TOCA_previous!$A$2:$AI$137,MATCH(F$4,TOCA_previous!$A$2:$AI$2,0),FALSE)</f>
        <v>1.5623E-3</v>
      </c>
      <c r="G116" s="108">
        <f t="shared" si="24"/>
        <v>0</v>
      </c>
      <c r="H116" s="108">
        <f>VLOOKUP($A116,TOCA_previous!$A$2:$AI$137,MATCH(H$4,TOCA_previous!$A$2:$AI$2,0),FALSE)</f>
        <v>0</v>
      </c>
      <c r="I116" s="108">
        <f t="shared" si="25"/>
        <v>0</v>
      </c>
      <c r="J116" s="108">
        <f t="shared" si="26"/>
        <v>0</v>
      </c>
      <c r="K116" s="179">
        <f>VLOOKUP(A116, IRD!$A$5:$C$139, 3, FALSE)</f>
        <v>0</v>
      </c>
      <c r="L116" s="180">
        <f t="array" ref="L116">IF($G116=0, INDEX(LS_previous!$D$4:$AY$138, MATCH('Staging Table'!$A116, LS_previous!$B$4:$B$138, 0), MATCH(L$4&amp;L$5, LS_previous!$D$2:$AY$2&amp;LS_previous!$D$3:$AY$3, 0)),SUM(VLOOKUP($A116, LS_previous!$B$4:$AY$138, LS_previous!D$149, FALSE), VLOOKUP('Staging Table'!$A116, LS_previous!$B$4:$AY$138,LS_previous!AB$149, FALSE))/2)</f>
        <v>306.95336971618872</v>
      </c>
      <c r="M116" s="180">
        <f t="array" ref="M116">IF($G116=0, INDEX(LS_previous!$D$4:$AY$138, MATCH('Staging Table'!$A116, LS_previous!$B$4:$B$138, 0), MATCH(M$4&amp;M$5, LS_previous!$D$2:$AY$2&amp;LS_previous!$D$3:$AY$3, 0)),SUM(VLOOKUP($A116, LS_previous!$B$4:$AY$138, LS_previous!E$149, FALSE), VLOOKUP('Staging Table'!$A116, LS_previous!$B$4:$AY$138,LS_previous!AC$149, FALSE))/2)</f>
        <v>338.57950772577669</v>
      </c>
      <c r="N116" s="180">
        <f t="array" ref="N116">IF($G116=0, INDEX(LS_previous!$D$4:$AY$138, MATCH('Staging Table'!$A116, LS_previous!$B$4:$B$138, 0), MATCH(N$4&amp;N$5, LS_previous!$D$2:$AY$2&amp;LS_previous!$D$3:$AY$3, 0)),SUM(VLOOKUP($A116, LS_previous!$B$4:$AY$138, LS_previous!F$149, FALSE), VLOOKUP('Staging Table'!$A116, LS_previous!$B$4:$AY$138,LS_previous!AD$149, FALSE))/2)</f>
        <v>132.87726004114211</v>
      </c>
      <c r="O116" s="180">
        <f t="array" ref="O116">IF($G116=0, INDEX(LS_previous!$D$4:$AY$138, MATCH('Staging Table'!$A116, LS_previous!$B$4:$B$138, 0), MATCH(O$4&amp;O$5, LS_previous!$D$2:$AY$2&amp;LS_previous!$D$3:$AY$3, 0)),SUM(VLOOKUP($A116, LS_previous!$B$4:$AY$138, LS_previous!G$149, FALSE), VLOOKUP('Staging Table'!$A116, LS_previous!$B$4:$AY$138,LS_previous!AE$149, FALSE))/2)</f>
        <v>308.36384233857189</v>
      </c>
      <c r="P116" s="180">
        <f t="array" ref="P116">IF($G116=0, INDEX(LS_previous!$D$4:$AY$138, MATCH('Staging Table'!$A116, LS_previous!$B$4:$B$138, 0), MATCH(P$4&amp;P$5, LS_previous!$D$2:$AY$2&amp;LS_previous!$D$3:$AY$3, 0)),SUM(VLOOKUP($A116, LS_previous!$B$4:$AY$138, LS_previous!H$149, FALSE), VLOOKUP('Staging Table'!$A116, LS_previous!$B$4:$AY$138,LS_previous!AF$149, FALSE))/2)</f>
        <v>1536.8696250494795</v>
      </c>
      <c r="Q116" s="180">
        <f t="array" ref="Q116">IF($G116=0, INDEX(LS_previous!$D$4:$AY$138, MATCH('Staging Table'!$A116, LS_previous!$B$4:$B$138, 0), MATCH(Q$4&amp;Q$5, LS_previous!$D$2:$AY$2&amp;LS_previous!$D$3:$AY$3, 0)),SUM(VLOOKUP($A116, LS_previous!$B$4:$AY$138, LS_previous!I$149, FALSE), VLOOKUP('Staging Table'!$A116, LS_previous!$B$4:$AY$138,LS_previous!AG$149, FALSE))/2)</f>
        <v>482.30606691131561</v>
      </c>
      <c r="R116" s="180">
        <f t="array" ref="R116">IF($G116=0, INDEX(LS_previous!$D$4:$AY$138, MATCH('Staging Table'!$A116, LS_previous!$B$4:$B$138, 0), MATCH(R$4&amp;R$5, LS_previous!$D$2:$AY$2&amp;LS_previous!$D$3:$AY$3, 0)),SUM(VLOOKUP($A116, LS_previous!$B$4:$AY$138, LS_previous!J$149, FALSE), VLOOKUP('Staging Table'!$A116, LS_previous!$B$4:$AY$138,LS_previous!AH$149, FALSE))/2)</f>
        <v>2264.8239953161346</v>
      </c>
      <c r="S116" s="180">
        <f t="array" ref="S116">IF($G116=0, INDEX(LS_previous!$D$4:$AY$138, MATCH('Staging Table'!$A116, LS_previous!$B$4:$B$138, 0), MATCH(S$4&amp;S$5, LS_previous!$D$2:$AY$2&amp;LS_previous!$D$3:$AY$3, 0)),SUM(VLOOKUP($A116, LS_previous!$B$4:$AY$138, LS_previous!K$149, FALSE), VLOOKUP('Staging Table'!$A116, LS_previous!$B$4:$AY$138,LS_previous!AI$149, FALSE))/2)</f>
        <v>1216.4573075497797</v>
      </c>
      <c r="T116" s="180">
        <f t="array" ref="T116">IF($G116=0, INDEX(LS_previous!$D$4:$AY$138, MATCH('Staging Table'!$A116, LS_previous!$B$4:$B$138, 0), MATCH(T$4&amp;T$5, LS_previous!$D$2:$AY$2&amp;LS_previous!$D$3:$AY$3, 0)),SUM(VLOOKUP($A116, LS_previous!$B$4:$AY$138, LS_previous!L$149, FALSE), VLOOKUP('Staging Table'!$A116, LS_previous!$B$4:$AY$138,LS_previous!AJ$149, FALSE))/2)</f>
        <v>2359.0720229258955</v>
      </c>
      <c r="U116" s="180">
        <f t="array" ref="U116">IF($G116=0, INDEX(LS_previous!$D$4:$AY$138, MATCH('Staging Table'!$A116, LS_previous!$B$4:$B$138, 0), MATCH(U$4&amp;U$5, LS_previous!$D$2:$AY$2&amp;LS_previous!$D$3:$AY$3, 0)),SUM(VLOOKUP($A116, LS_previous!$B$4:$AY$138, LS_previous!M$149, FALSE), VLOOKUP('Staging Table'!$A116, LS_previous!$B$4:$AY$138,LS_previous!AK$149, FALSE))/2)</f>
        <v>1171.5796416585645</v>
      </c>
      <c r="V116" s="180">
        <f t="array" ref="V116">IF($G116=0, INDEX(LS_previous!$D$4:$AY$138, MATCH('Staging Table'!$A116, LS_previous!$B$4:$B$138, 0), MATCH(V$4&amp;V$5, LS_previous!$D$2:$AY$2&amp;LS_previous!$D$3:$AY$3, 0)),SUM(VLOOKUP($A116, LS_previous!$B$4:$AY$138, LS_previous!N$149, FALSE), VLOOKUP('Staging Table'!$A116, LS_previous!$B$4:$AY$138,LS_previous!AL$149, FALSE))/2)</f>
        <v>1164.0885376760443</v>
      </c>
      <c r="W116" s="180">
        <f t="array" ref="W116">IF($G116=0, INDEX(LS_previous!$D$4:$AY$138, MATCH('Staging Table'!$A116, LS_previous!$B$4:$B$138, 0), MATCH(W$4&amp;W$5, LS_previous!$D$2:$AY$2&amp;LS_previous!$D$3:$AY$3, 0)),SUM(VLOOKUP($A116, LS_previous!$B$4:$AY$138, LS_previous!O$149, FALSE), VLOOKUP('Staging Table'!$A116, LS_previous!$B$4:$AY$138,LS_previous!AM$149, FALSE))/2)</f>
        <v>655.69177973065052</v>
      </c>
      <c r="X116" s="180">
        <f t="array" ref="X116">IF($G116=0, INDEX(LS_previous!$D$4:$AY$138, MATCH('Staging Table'!$A116, LS_previous!$B$4:$B$138, 0), MATCH(X$4&amp;X$5, LS_previous!$D$2:$AY$2&amp;LS_previous!$D$3:$AY$3, 0)),SUM(VLOOKUP($A116, LS_previous!$B$4:$AY$138, LS_previous!P$149, FALSE), VLOOKUP('Staging Table'!$A116, LS_previous!$B$4:$AY$138,LS_previous!AN$149, FALSE))/2)</f>
        <v>1076.6059119272841</v>
      </c>
      <c r="Y116" s="180">
        <f t="array" ref="Y116">IF($G116=0, INDEX(LS_previous!$D$4:$AY$138, MATCH('Staging Table'!$A116, LS_previous!$B$4:$B$138, 0), MATCH(Y$4&amp;Y$5, LS_previous!$D$2:$AY$2&amp;LS_previous!$D$3:$AY$3, 0)),SUM(VLOOKUP($A116, LS_previous!$B$4:$AY$138, LS_previous!Q$149, FALSE), VLOOKUP('Staging Table'!$A116, LS_previous!$B$4:$AY$138,LS_previous!AO$149, FALSE))/2)</f>
        <v>656.31014030696906</v>
      </c>
      <c r="Z116" s="180">
        <f t="array" ref="Z116">IF($G116=0, INDEX(LS_previous!$D$4:$AY$138, MATCH('Staging Table'!$A116, LS_previous!$B$4:$B$138, 0), MATCH(Z$4&amp;Z$5, LS_previous!$D$2:$AY$2&amp;LS_previous!$D$3:$AY$3, 0)),SUM(VLOOKUP($A116, LS_previous!$B$4:$AY$138, LS_previous!R$149, FALSE), VLOOKUP('Staging Table'!$A116, LS_previous!$B$4:$AY$138,LS_previous!AP$149, FALSE))/2)</f>
        <v>-1295.6012238925177</v>
      </c>
      <c r="AA116" s="180">
        <f t="array" ref="AA116">IF($G116=0, INDEX(LS_previous!$D$4:$AY$138, MATCH('Staging Table'!$A116, LS_previous!$B$4:$B$138, 0), MATCH(AA$4&amp;AA$5, LS_previous!$D$2:$AY$2&amp;LS_previous!$D$3:$AY$3, 0)),SUM(VLOOKUP($A116, LS_previous!$B$4:$AY$138, LS_previous!S$149, FALSE), VLOOKUP('Staging Table'!$A116, LS_previous!$B$4:$AY$138,LS_previous!AQ$149, FALSE))/2)</f>
        <v>211.95937668671922</v>
      </c>
      <c r="AB116" s="180">
        <f t="array" ref="AB116">IF($G116=0, INDEX(LS_previous!$D$4:$AY$138, MATCH('Staging Table'!$A116, LS_previous!$B$4:$B$138, 0), MATCH(AB$4&amp;AB$5, LS_previous!$D$2:$AY$2&amp;LS_previous!$D$3:$AY$3, 0)),SUM(VLOOKUP($A116, LS_previous!$B$4:$AY$138, LS_previous!T$149, FALSE), VLOOKUP('Staging Table'!$A116, LS_previous!$B$4:$AY$138,LS_previous!AR$149, FALSE))/2)</f>
        <v>-1826.0860898564788</v>
      </c>
      <c r="AC116" s="180">
        <f t="array" ref="AC116">IF($G116=0, INDEX(LS_previous!$D$4:$AY$138, MATCH('Staging Table'!$A116, LS_previous!$B$4:$B$138, 0), MATCH(AC$4&amp;AC$5, LS_previous!$D$2:$AY$2&amp;LS_previous!$D$3:$AY$3, 0)),SUM(VLOOKUP($A116, LS_previous!$B$4:$AY$138, LS_previous!U$149, FALSE), VLOOKUP('Staging Table'!$A116, LS_previous!$B$4:$AY$138,LS_previous!AS$149, FALSE))/2)</f>
        <v>194.18954398128699</v>
      </c>
      <c r="AD116" s="180">
        <f t="array" ref="AD116">IF($G116=0, INDEX(LS_previous!$D$4:$AY$138, MATCH('Staging Table'!$A116, LS_previous!$B$4:$B$138, 0), MATCH(AD$4&amp;AD$5, LS_previous!$D$2:$AY$2&amp;LS_previous!$D$3:$AY$3, 0)),SUM(VLOOKUP($A116, LS_previous!$B$4:$AY$138, LS_previous!V$149, FALSE), VLOOKUP('Staging Table'!$A116, LS_previous!$B$4:$AY$138,LS_previous!AT$149, FALSE))/2)</f>
        <v>-1008.9036041418894</v>
      </c>
      <c r="AE116" s="180">
        <f t="array" ref="AE116">IF($G116=0, INDEX(LS_previous!$D$4:$AY$138, MATCH('Staging Table'!$A116, LS_previous!$B$4:$B$138, 0), MATCH(AE$4&amp;AE$5, LS_previous!$D$2:$AY$2&amp;LS_previous!$D$3:$AY$3, 0)),SUM(VLOOKUP($A116, LS_previous!$B$4:$AY$138, LS_previous!W$149, FALSE), VLOOKUP('Staging Table'!$A116, LS_previous!$B$4:$AY$138,LS_previous!AU$149, FALSE))/2)</f>
        <v>210.06497177671554</v>
      </c>
      <c r="AF116" s="180">
        <f t="array" ref="AF116">IF($G116=0, INDEX(LS_previous!$D$4:$AY$138, MATCH('Staging Table'!$A116, LS_previous!$B$4:$B$138, 0), MATCH(AF$4&amp;AF$5, LS_previous!$D$2:$AY$2&amp;LS_previous!$D$3:$AY$3, 0)),SUM(VLOOKUP($A116, LS_previous!$B$4:$AY$138, LS_previous!X$149, FALSE), VLOOKUP('Staging Table'!$A116, LS_previous!$B$4:$AY$138,LS_previous!AV$149, FALSE))/2)</f>
        <v>-779.30437581691695</v>
      </c>
      <c r="AG116" s="180">
        <f t="array" ref="AG116">IF($G116=0, INDEX(LS_previous!$D$4:$AY$138, MATCH('Staging Table'!$A116, LS_previous!$B$4:$B$138, 0), MATCH(AG$4&amp;AG$5, LS_previous!$D$2:$AY$2&amp;LS_previous!$D$3:$AY$3, 0)),SUM(VLOOKUP($A116, LS_previous!$B$4:$AY$138, LS_previous!Y$149, FALSE), VLOOKUP('Staging Table'!$A116, LS_previous!$B$4:$AY$138,LS_previous!AW$149, FALSE))/2)</f>
        <v>163.53122554334141</v>
      </c>
      <c r="AH116" s="180">
        <f t="array" ref="AH116">IF($G116=0, INDEX(LS_previous!$D$4:$AY$138, MATCH('Staging Table'!$A116, LS_previous!$B$4:$B$138, 0), MATCH(AH$4&amp;AH$5, LS_previous!$D$2:$AY$2&amp;LS_previous!$D$3:$AY$3, 0)),SUM(VLOOKUP($A116, LS_previous!$B$4:$AY$138, LS_previous!Z$149, FALSE), VLOOKUP('Staging Table'!$A116, LS_previous!$B$4:$AY$138,LS_previous!AX$149, FALSE))/2)</f>
        <v>-509.74886578327551</v>
      </c>
      <c r="AI116" s="180">
        <f t="array" ref="AI116">IF($G116=0, INDEX(LS_previous!$D$4:$AY$138, MATCH('Staging Table'!$A116, LS_previous!$B$4:$B$138, 0), MATCH(AI$4&amp;AI$5, LS_previous!$D$2:$AY$2&amp;LS_previous!$D$3:$AY$3, 0)),SUM(VLOOKUP($A116, LS_previous!$B$4:$AY$138, LS_previous!AA$149, FALSE), VLOOKUP('Staging Table'!$A116, LS_previous!$B$4:$AY$138,LS_previous!AY$149, FALSE))/2)</f>
        <v>103.78603712239828</v>
      </c>
      <c r="AJ116" s="298">
        <f t="array" ref="AJ116">INDEX(Demand_previous!$D$4:$AY$138, MATCH('Staging Table'!$A116, Demand_previous!$B$4:$B$138, 0), MATCH(AJ$4&amp;AJ$5,Demand_previous!$D$2:$AY$2&amp;Demand_previous!$D$3:$AY$3, 0))/1000</f>
        <v>0</v>
      </c>
      <c r="AK116" s="298">
        <f t="array" ref="AK116">INDEX(Demand_previous!$D$4:$AY$138, MATCH('Staging Table'!$A116, Demand_previous!$B$4:$B$138, 0), MATCH(AK$4&amp;AK$5,Demand_previous!$D$2:$AY$2&amp;Demand_previous!$D$3:$AY$3, 0))/1000</f>
        <v>0</v>
      </c>
      <c r="AL116" s="298">
        <f t="array" ref="AL116">INDEX(Demand_previous!$D$4:$AY$138, MATCH('Staging Table'!$A116, Demand_previous!$B$4:$B$138, 0), MATCH(AL$4&amp;AL$5,Demand_previous!$D$2:$AY$2&amp;Demand_previous!$D$3:$AY$3, 0))/1000</f>
        <v>0</v>
      </c>
      <c r="AM116" s="298">
        <f t="array" ref="AM116">INDEX(Demand_previous!$D$4:$AY$138, MATCH('Staging Table'!$A116, Demand_previous!$B$4:$B$138, 0), MATCH(AM$4&amp;AM$5,Demand_previous!$D$2:$AY$2&amp;Demand_previous!$D$3:$AY$3, 0))/1000</f>
        <v>0</v>
      </c>
      <c r="AN116" s="298">
        <f t="array" ref="AN116">INDEX(Demand_previous!$D$4:$AY$138, MATCH('Staging Table'!$A116, Demand_previous!$B$4:$B$138, 0), MATCH(AN$4&amp;AN$5,Demand_previous!$D$2:$AY$2&amp;Demand_previous!$D$3:$AY$3, 0))/1000</f>
        <v>0</v>
      </c>
      <c r="AO116" s="298">
        <f t="array" ref="AO116">INDEX(Demand_previous!$D$4:$AY$138, MATCH('Staging Table'!$A116, Demand_previous!$B$4:$B$138, 0), MATCH(AO$4&amp;AO$5,Demand_previous!$D$2:$AY$2&amp;Demand_previous!$D$3:$AY$3, 0))/1000</f>
        <v>0</v>
      </c>
      <c r="AP116" s="298">
        <f t="array" ref="AP116">INDEX(Demand_previous!$D$4:$AY$138, MATCH('Staging Table'!$A116, Demand_previous!$B$4:$B$138, 0), MATCH(AP$4&amp;AP$5,Demand_previous!$D$2:$AY$2&amp;Demand_previous!$D$3:$AY$3, 0))/1000</f>
        <v>0.5198221153846152</v>
      </c>
      <c r="AQ116" s="298">
        <f t="array" ref="AQ116">INDEX(Demand_previous!$D$4:$AY$138, MATCH('Staging Table'!$A116, Demand_previous!$B$4:$B$138, 0), MATCH(AQ$4&amp;AQ$5,Demand_previous!$D$2:$AY$2&amp;Demand_previous!$D$3:$AY$3, 0))/1000</f>
        <v>7.6635000000000009E-2</v>
      </c>
      <c r="AR116" s="298">
        <f t="array" ref="AR116">INDEX(Demand_previous!$D$4:$AY$138, MATCH('Staging Table'!$A116, Demand_previous!$B$4:$B$138, 0), MATCH(AR$4&amp;AR$5,Demand_previous!$D$2:$AY$2&amp;Demand_previous!$D$3:$AY$3, 0))/1000</f>
        <v>1.6382764423076919</v>
      </c>
      <c r="AS116" s="298">
        <f t="array" ref="AS116">INDEX(Demand_previous!$D$4:$AY$138, MATCH('Staging Table'!$A116, Demand_previous!$B$4:$B$138, 0), MATCH(AS$4&amp;AS$5,Demand_previous!$D$2:$AY$2&amp;Demand_previous!$D$3:$AY$3, 0))/1000</f>
        <v>0.97727999999999882</v>
      </c>
      <c r="AT116" s="298">
        <f t="array" ref="AT116">INDEX(Demand_previous!$D$4:$AY$138, MATCH('Staging Table'!$A116, Demand_previous!$B$4:$B$138, 0), MATCH(AT$4&amp;AT$5,Demand_previous!$D$2:$AY$2&amp;Demand_previous!$D$3:$AY$3, 0))/1000</f>
        <v>1.6127175925925925</v>
      </c>
      <c r="AU116" s="298">
        <f t="array" ref="AU116">INDEX(Demand_previous!$D$4:$AY$138, MATCH('Staging Table'!$A116, Demand_previous!$B$4:$B$138, 0), MATCH(AU$4&amp;AU$5,Demand_previous!$D$2:$AY$2&amp;Demand_previous!$D$3:$AY$3, 0))/1000</f>
        <v>0.16135250000000131</v>
      </c>
      <c r="AV116" s="180">
        <f>$F116*(VLOOKUP(AV$4, Rates_previous!$G$6:$Q$29, 10, FALSE)+VLOOKUP(AV$4, Rates_previous!$G$6:$Q$29, 11, FALSE))</f>
        <v>7114.5961225580349</v>
      </c>
      <c r="AW116" s="180">
        <f>$F116*(VLOOKUP(AW$4, Rates_previous!$G$6:$Q$29, 10, FALSE)+VLOOKUP(AW$4, Rates_previous!$G$6:$Q$29, 11, FALSE))</f>
        <v>9007.3368976202873</v>
      </c>
      <c r="AX116" s="180">
        <f>$F116*(VLOOKUP(AX$4, Rates_previous!$G$6:$Q$29, 10, FALSE)+VLOOKUP(AX$4, Rates_previous!$G$6:$Q$29, 11, FALSE))</f>
        <v>8816.3833080392069</v>
      </c>
      <c r="AY116" s="180">
        <f>$F116*(VLOOKUP(AY$4, Rates_previous!$G$6:$Q$29, 10, FALSE)+VLOOKUP(AY$4, Rates_previous!$G$6:$Q$29, 11, FALSE))</f>
        <v>7281.9576971340857</v>
      </c>
      <c r="AZ116" s="180">
        <f>$F116*(VLOOKUP(AZ$4, Rates_previous!$G$6:$Q$29, 10, FALSE)+VLOOKUP(AZ$4, Rates_previous!$G$6:$Q$29, 11, FALSE))</f>
        <v>6311.4323354155395</v>
      </c>
      <c r="BA116" s="180">
        <f>$F116*(VLOOKUP(BA$4, Rates_previous!$G$6:$Q$29, 10, FALSE)+VLOOKUP(BA$4, Rates_previous!$G$6:$Q$29, 11, FALSE))</f>
        <v>7534.5756825933058</v>
      </c>
      <c r="BB116" s="180">
        <f>$F116*(VLOOKUP(BB$4, Rates_previous!$G$6:$Q$29, 10, FALSE)+VLOOKUP(BB$4, Rates_previous!$G$6:$Q$29, 11, FALSE))</f>
        <v>5849.5949477657468</v>
      </c>
      <c r="BC116" s="180">
        <f>$F116*(VLOOKUP(BC$4, Rates_previous!$G$6:$Q$29, 10, FALSE)+VLOOKUP(BC$4, Rates_previous!$G$6:$Q$29, 11, FALSE))</f>
        <v>8104.6568472057979</v>
      </c>
      <c r="BD116" s="180">
        <f>$F116*(VLOOKUP(BD$4, Rates_previous!$G$6:$Q$29, 10, FALSE)+VLOOKUP(BD$4, Rates_previous!$G$6:$Q$29, 11, FALSE))</f>
        <v>8659.9955458751901</v>
      </c>
      <c r="BE116" s="180">
        <f>$F116*(VLOOKUP(BE$4, Rates_previous!$G$6:$Q$29, 10, FALSE)+VLOOKUP(BE$4, Rates_previous!$G$6:$Q$29, 11, FALSE))</f>
        <v>8222.2736323651752</v>
      </c>
      <c r="BF116" s="180">
        <f>$F116*(VLOOKUP(BF$4, Rates_previous!$G$6:$Q$29, 10, FALSE)+VLOOKUP(BF$4, Rates_previous!$G$6:$Q$29, 11, FALSE))</f>
        <v>7946.1931502735752</v>
      </c>
      <c r="BG116" s="180">
        <f>$F116*(VLOOKUP(BG$4, Rates_previous!$G$6:$Q$29, 10, FALSE)+VLOOKUP(BG$4, Rates_previous!$G$6:$Q$29, 11, FALSE))</f>
        <v>7343.1108286608769</v>
      </c>
      <c r="BH116" s="298">
        <f>IF($D116=0,IF(C116=0, MAX(BJ116 - (VLOOKUP($A116,TOCA_previous!$A$2:$AI$137,MATCH("RHWM 2022",TOCA_previous!$A$2:$AI$2,0),FALSE)*$F$2*TOCA_previous!C113),0),0), 0)</f>
        <v>9136.3377160251839</v>
      </c>
      <c r="BI116" s="192">
        <f>MIN(VLOOKUP($A116,TOCA_previous!$A$2:$AI$137,MATCH("TRL - NLSL - Existing Resource "&amp;$F$1,TOCA_previous!$A$2:$AI$2,0),FALSE)*$F$2,(VLOOKUP($A116,TOCA_previous!$A$2:$AI$137,MATCH("RHWM 2022",TOCA_previous!$A$2:$AI$2,0),FALSE)*$F$2))</f>
        <v>92190.239999999991</v>
      </c>
      <c r="BJ116" s="402">
        <f>SUM(L116:AI116)+(F116*RT1SC!$C$3*$F$2)</f>
        <v>101326.57771602517</v>
      </c>
      <c r="BK116" s="401">
        <f>VLOOKUP($A116,TOCA_previous!$A$2:$AI$137,MATCH("Above RHWM Not Served with LS "&amp;$F$1,TOCA_previous!$A$2:$AI$2,0),FALSE)*$F$2</f>
        <v>0</v>
      </c>
      <c r="BL116" s="402">
        <f t="shared" si="27"/>
        <v>9136.3377160251839</v>
      </c>
      <c r="BM116" s="401">
        <f>(VLOOKUP($A116,TOCA_previous!$A$2:$AI$137,MATCH("RHWM 2022",TOCA_previous!$A$2:$AI$2,0),FALSE)*$F$2) - $BI116</f>
        <v>0</v>
      </c>
      <c r="BN116" s="402">
        <f t="shared" si="28"/>
        <v>0</v>
      </c>
      <c r="BO116" s="401">
        <f t="shared" si="29"/>
        <v>0</v>
      </c>
      <c r="BP116" s="402">
        <f t="shared" si="30"/>
        <v>0</v>
      </c>
      <c r="BQ116" s="401">
        <f t="shared" si="37"/>
        <v>0</v>
      </c>
      <c r="BR116" s="108">
        <f>VLOOKUP($A116,TOCA_current!$A$2:$AI$137,MATCH(BR$4,TOCA_current!$A$2:$AI$2,0),FALSE)</f>
        <v>1.5619E-3</v>
      </c>
      <c r="BS116" s="108">
        <f>VLOOKUP($A116,TOCA_current!$A$2:$AI$137,MATCH(BS$4,TOCA_current!$A$2:$AI$2,0),FALSE)</f>
        <v>1.5619E-3</v>
      </c>
      <c r="BT116" s="189">
        <f t="shared" si="31"/>
        <v>0</v>
      </c>
      <c r="BU116" s="108">
        <f>VLOOKUP($A116,TOCA_current!A112:BG247,MATCH(BU$4,TOCA_current!$A$2:$BG$2,0),FALSE)</f>
        <v>0</v>
      </c>
      <c r="BV116" s="108">
        <f t="shared" si="38"/>
        <v>0</v>
      </c>
      <c r="BW116" s="108">
        <f t="shared" si="39"/>
        <v>0</v>
      </c>
      <c r="BX116" s="179">
        <f>VLOOKUP($A116,IRD!$A$4:$G$139, 7, FALSE)</f>
        <v>0</v>
      </c>
      <c r="BY116" s="180">
        <f t="array" ref="BY116">IF($BT116=0, INDEX(LS_current!$D$4:$AY$138, MATCH('Staging Table'!$A116, LS_current!$B$4:$B$138, 0), MATCH(BY$4&amp;BY$5, LS_current!$D$2:$AY$2&amp;LS_current!$D$3:$AY$3, 0)),SUM(VLOOKUP($A116, LS_current!$B$4:$AY$138, LS_current!D$148, FALSE), VLOOKUP($A116, LS_current!$B$4:$AY$138,LS_current!AB$148, FALSE))/2)</f>
        <v>883.44166017159978</v>
      </c>
      <c r="BZ116" s="180">
        <f t="array" ref="BZ116">IF($BT116=0, INDEX(LS_current!$D$4:$AY$138, MATCH('Staging Table'!$A116, LS_current!$B$4:$B$138, 0), MATCH(BZ$4&amp;BZ$5, LS_current!$D$2:$AY$2&amp;LS_current!$D$3:$AY$3, 0)),SUM(VLOOKUP($A116, LS_current!$B$4:$AY$138, LS_current!E$148, FALSE), VLOOKUP($A116, LS_current!$B$4:$AY$138,LS_current!AC$148, FALSE))/2)</f>
        <v>287.33774474155007</v>
      </c>
      <c r="CA116" s="180">
        <f t="array" ref="CA116">IF($BT116=0, INDEX(LS_current!$D$4:$AY$138, MATCH('Staging Table'!$A116, LS_current!$B$4:$B$138, 0), MATCH(CA$4&amp;CA$5, LS_current!$D$2:$AY$2&amp;LS_current!$D$3:$AY$3, 0)),SUM(VLOOKUP($A116, LS_current!$B$4:$AY$138, LS_current!F$148, FALSE), VLOOKUP($A116, LS_current!$B$4:$AY$138,LS_current!AD$148, FALSE))/2)</f>
        <v>561.40624239679983</v>
      </c>
      <c r="CB116" s="180">
        <f t="array" ref="CB116">IF($BT116=0, INDEX(LS_current!$D$4:$AY$138, MATCH('Staging Table'!$A116, LS_current!$B$4:$B$138, 0), MATCH(CB$4&amp;CB$5, LS_current!$D$2:$AY$2&amp;LS_current!$D$3:$AY$3, 0)),SUM(VLOOKUP($A116, LS_current!$B$4:$AY$138, LS_current!G$148, FALSE), VLOOKUP($A116, LS_current!$B$4:$AY$138,LS_current!AE$148, FALSE))/2)</f>
        <v>483.57816624110001</v>
      </c>
      <c r="CC116" s="180">
        <f t="array" ref="CC116">IF($BT116=0, INDEX(LS_current!$D$4:$AY$138, MATCH('Staging Table'!$A116, LS_current!$B$4:$B$138, 0), MATCH(CC$4&amp;CC$5, LS_current!$D$2:$AY$2&amp;LS_current!$D$3:$AY$3, 0)),SUM(VLOOKUP($A116, LS_current!$B$4:$AY$138, LS_current!H$148, FALSE), VLOOKUP($A116, LS_current!$B$4:$AY$138,LS_current!AF$148, FALSE))/2)</f>
        <v>1074.8793242558995</v>
      </c>
      <c r="CD116" s="180">
        <f t="array" ref="CD116">IF($BT116=0, INDEX(LS_current!$D$4:$AY$138, MATCH('Staging Table'!$A116, LS_current!$B$4:$B$138, 0), MATCH(CD$4&amp;CD$5, LS_current!$D$2:$AY$2&amp;LS_current!$D$3:$AY$3, 0)),SUM(VLOOKUP($A116, LS_current!$B$4:$AY$138, LS_current!I$148, FALSE), VLOOKUP($A116, LS_current!$B$4:$AY$138,LS_current!AG$148, FALSE))/2)</f>
        <v>691.53944621760047</v>
      </c>
      <c r="CE116" s="180">
        <f t="array" ref="CE116">IF($BT116=0, INDEX(LS_current!$D$4:$AY$138, MATCH('Staging Table'!$A116, LS_current!$B$4:$B$138, 0), MATCH(CE$4&amp;CE$5, LS_current!$D$2:$AY$2&amp;LS_current!$D$3:$AY$3, 0)),SUM(VLOOKUP($A116, LS_current!$B$4:$AY$138, LS_current!J$148, FALSE), VLOOKUP($A116, LS_current!$B$4:$AY$138,LS_current!AH$148, FALSE))/2)</f>
        <v>572.61011034150033</v>
      </c>
      <c r="CF116" s="180">
        <f t="array" ref="CF116">IF($BT116=0, INDEX(LS_current!$D$4:$AY$138, MATCH('Staging Table'!$A116, LS_current!$B$4:$B$138, 0), MATCH(CF$4&amp;CF$5, LS_current!$D$2:$AY$2&amp;LS_current!$D$3:$AY$3, 0)),SUM(VLOOKUP($A116, LS_current!$B$4:$AY$138, LS_current!K$148, FALSE), VLOOKUP($A116, LS_current!$B$4:$AY$138,LS_current!AI$148, FALSE))/2)</f>
        <v>766.39021250489986</v>
      </c>
      <c r="CG116" s="180">
        <f t="array" ref="CG116">IF($BT116=0, INDEX(LS_current!$D$4:$AY$138, MATCH('Staging Table'!$A116, LS_current!$B$4:$B$138, 0), MATCH(CG$4&amp;CG$5, LS_current!$D$2:$AY$2&amp;LS_current!$D$3:$AY$3, 0)),SUM(VLOOKUP($A116, LS_current!$B$4:$AY$138, LS_current!L$148, FALSE), VLOOKUP($A116, LS_current!$B$4:$AY$138,LS_current!AJ$148, FALSE))/2)</f>
        <v>871.04243658989981</v>
      </c>
      <c r="CH116" s="180">
        <f t="array" ref="CH116">IF($BT116=0, INDEX(LS_current!$D$4:$AY$138, MATCH('Staging Table'!$A116, LS_current!$B$4:$B$138, 0), MATCH(CH$4&amp;CH$5, LS_current!$D$2:$AY$2&amp;LS_current!$D$3:$AY$3, 0)),SUM(VLOOKUP($A116, LS_current!$B$4:$AY$138, LS_current!M$148, FALSE), VLOOKUP($A116, LS_current!$B$4:$AY$138,LS_current!AK$148, FALSE))/2)</f>
        <v>864.94013023789967</v>
      </c>
      <c r="CI116" s="180">
        <f t="array" ref="CI116">IF($BT116=0, INDEX(LS_current!$D$4:$AY$138, MATCH('Staging Table'!$A116, LS_current!$B$4:$B$138, 0), MATCH(CI$4&amp;CI$5, LS_current!$D$2:$AY$2&amp;LS_current!$D$3:$AY$3, 0)),SUM(VLOOKUP($A116, LS_current!$B$4:$AY$138, LS_current!N$148, FALSE), VLOOKUP($A116, LS_current!$B$4:$AY$138,LS_current!AL$148, FALSE))/2)</f>
        <v>402.94133740530015</v>
      </c>
      <c r="CJ116" s="180">
        <f t="array" ref="CJ116">IF($BT116=0, INDEX(LS_current!$D$4:$AY$138, MATCH('Staging Table'!$A116, LS_current!$B$4:$B$138, 0), MATCH(CJ$4&amp;CJ$5, LS_current!$D$2:$AY$2&amp;LS_current!$D$3:$AY$3, 0)),SUM(VLOOKUP($A116, LS_current!$B$4:$AY$138, LS_current!O$148, FALSE), VLOOKUP($A116, LS_current!$B$4:$AY$138,LS_current!AM$148, FALSE))/2)</f>
        <v>101.1568249418001</v>
      </c>
      <c r="CK116" s="180">
        <f t="array" ref="CK116">IF($BT116=0, INDEX(LS_current!$D$4:$AY$138, MATCH('Staging Table'!$A116, LS_current!$B$4:$B$138, 0), MATCH(CK$4&amp;CK$5, LS_current!$D$2:$AY$2&amp;LS_current!$D$3:$AY$3, 0)),SUM(VLOOKUP($A116, LS_current!$B$4:$AY$138, LS_current!P$148, FALSE), VLOOKUP($A116, LS_current!$B$4:$AY$138,LS_current!AN$148, FALSE))/2)</f>
        <v>429.19329232275049</v>
      </c>
      <c r="CL116" s="180">
        <f t="array" ref="CL116">IF($BT116=0, INDEX(LS_current!$D$4:$AY$138, MATCH('Staging Table'!$A116, LS_current!$B$4:$B$138, 0), MATCH(CL$4&amp;CL$5, LS_current!$D$2:$AY$2&amp;LS_current!$D$3:$AY$3, 0)),SUM(VLOOKUP($A116, LS_current!$B$4:$AY$138, LS_current!Q$148, FALSE), VLOOKUP($A116, LS_current!$B$4:$AY$138,LS_current!AO$148, FALSE))/2)</f>
        <v>167.53059409267507</v>
      </c>
      <c r="CM116" s="180">
        <f t="array" ref="CM116">IF($BT116=0, INDEX(LS_current!$D$4:$AY$138, MATCH('Staging Table'!$A116, LS_current!$B$4:$B$138, 0), MATCH(CM$4&amp;CM$5, LS_current!$D$2:$AY$2&amp;LS_current!$D$3:$AY$3, 0)),SUM(VLOOKUP($A116, LS_current!$B$4:$AY$138, LS_current!R$148, FALSE), VLOOKUP($A116, LS_current!$B$4:$AY$138,LS_current!AP$148, FALSE))/2)</f>
        <v>-1100.6947348911999</v>
      </c>
      <c r="CN116" s="180">
        <f t="array" ref="CN116">IF($BT116=0, INDEX(LS_current!$D$4:$AY$138, MATCH('Staging Table'!$A116, LS_current!$B$4:$B$138, 0), MATCH(CN$4&amp;CN$5, LS_current!$D$2:$AY$2&amp;LS_current!$D$3:$AY$3, 0)),SUM(VLOOKUP($A116, LS_current!$B$4:$AY$138, LS_current!S$148, FALSE), VLOOKUP($A116, LS_current!$B$4:$AY$138,LS_current!AQ$148, FALSE))/2)</f>
        <v>-545.09531866115003</v>
      </c>
      <c r="CO116" s="180">
        <f t="array" ref="CO116">IF($BT116=0, INDEX(LS_current!$D$4:$AY$138, MATCH('Staging Table'!$A116, LS_current!$B$4:$B$138, 0), MATCH(CO$4&amp;CO$5, LS_current!$D$2:$AY$2&amp;LS_current!$D$3:$AY$3, 0)),SUM(VLOOKUP($A116, LS_current!$B$4:$AY$138, LS_current!T$148, FALSE), VLOOKUP($A116, LS_current!$B$4:$AY$138,LS_current!AR$148, FALSE))/2)</f>
        <v>-1210.7953796193997</v>
      </c>
      <c r="CP116" s="180">
        <f t="array" ref="CP116">IF($BT116=0, INDEX(LS_current!$D$4:$AY$138, MATCH('Staging Table'!$A116, LS_current!$B$4:$B$138, 0), MATCH(CP$4&amp;CP$5, LS_current!$D$2:$AY$2&amp;LS_current!$D$3:$AY$3, 0)),SUM(VLOOKUP($A116, LS_current!$B$4:$AY$138, LS_current!U$148, FALSE), VLOOKUP($A116, LS_current!$B$4:$AY$138,LS_current!AS$148, FALSE))/2)</f>
        <v>-615.95870762355025</v>
      </c>
      <c r="CQ116" s="180">
        <f t="array" ref="CQ116">IF($BT116=0, INDEX(LS_current!$D$4:$AY$138, MATCH('Staging Table'!$A116, LS_current!$B$4:$B$138, 0), MATCH(CQ$4&amp;CQ$5, LS_current!$D$2:$AY$2&amp;LS_current!$D$3:$AY$3, 0)),SUM(VLOOKUP($A116, LS_current!$B$4:$AY$138, LS_current!V$148, FALSE), VLOOKUP($A116, LS_current!$B$4:$AY$138,LS_current!AT$148, FALSE))/2)</f>
        <v>-322.90891219159948</v>
      </c>
      <c r="CR116" s="180">
        <f t="array" ref="CR116">IF($BT116=0, INDEX(LS_current!$D$4:$AY$138, MATCH('Staging Table'!$A116, LS_current!$B$4:$B$138, 0), MATCH(CR$4&amp;CR$5, LS_current!$D$2:$AY$2&amp;LS_current!$D$3:$AY$3, 0)),SUM(VLOOKUP($A116, LS_current!$B$4:$AY$138, LS_current!W$148, FALSE), VLOOKUP($A116, LS_current!$B$4:$AY$138,LS_current!AU$148, FALSE))/2)</f>
        <v>59.055728107750383</v>
      </c>
      <c r="CS116" s="180">
        <f t="array" ref="CS116">IF($BT116=0, INDEX(LS_current!$D$4:$AY$138, MATCH('Staging Table'!$A116, LS_current!$B$4:$B$138, 0), MATCH(CS$4&amp;CS$5, LS_current!$D$2:$AY$2&amp;LS_current!$D$3:$AY$3, 0)),SUM(VLOOKUP($A116, LS_current!$B$4:$AY$138, LS_current!X$148, FALSE), VLOOKUP($A116, LS_current!$B$4:$AY$138,LS_current!AV$148, FALSE))/2)</f>
        <v>-142.28941886585017</v>
      </c>
      <c r="CT116" s="180">
        <f t="array" ref="CT116">IF($BT116=0, INDEX(LS_current!$D$4:$AY$138, MATCH('Staging Table'!$A116, LS_current!$B$4:$B$138, 0), MATCH(CT$4&amp;CT$5, LS_current!$D$2:$AY$2&amp;LS_current!$D$3:$AY$3, 0)),SUM(VLOOKUP($A116, LS_current!$B$4:$AY$138, LS_current!Y$148, FALSE), VLOOKUP($A116, LS_current!$B$4:$AY$138,LS_current!AW$148, FALSE))/2)</f>
        <v>41.145093082285257</v>
      </c>
      <c r="CU116" s="180">
        <f t="array" ref="CU116">IF($BT116=0, INDEX(LS_current!$D$4:$AY$138, MATCH('Staging Table'!$A116, LS_current!$B$4:$B$138, 0), MATCH(CU$4&amp;CU$5, LS_current!$D$2:$AY$2&amp;LS_current!$D$3:$AY$3, 0)),SUM(VLOOKUP($A116, LS_current!$B$4:$AY$138, LS_current!Z$148, FALSE), VLOOKUP($A116, LS_current!$B$4:$AY$138,LS_current!AX$148, FALSE))/2)</f>
        <v>92.386909839399323</v>
      </c>
      <c r="CV116" s="180">
        <f t="array" ref="CV116">IF($BT116=0, INDEX(LS_current!$D$4:$AY$138, MATCH('Staging Table'!$A116, LS_current!$B$4:$B$138, 0), MATCH(CV$4&amp;CV$5, LS_current!$D$2:$AY$2&amp;LS_current!$D$3:$AY$3, 0)),SUM(VLOOKUP($A116, LS_current!$B$4:$AY$138, LS_current!AA$148, FALSE), VLOOKUP($A116, LS_current!$B$4:$AY$138,LS_current!AY$148, FALSE))/2)</f>
        <v>6.2827964623998014</v>
      </c>
      <c r="CW116" s="182">
        <f t="array" ref="CW116">INDEX(Demand_current!$D$4:$AY$138, MATCH($A116, Demand_current!$B$4:$B$138, 0), MATCH(CW$4&amp;CW$5,Demand_current!$D$2:$AY$2&amp;Demand_current!$D$3:$AY$3, 0))/1000</f>
        <v>0</v>
      </c>
      <c r="CX116" s="182">
        <f t="array" ref="CX116">INDEX(Demand_current!$D$4:$AY$138, MATCH($A116, Demand_current!$B$4:$B$138, 0), MATCH(CX$4&amp;CX$5,Demand_current!$D$2:$AY$2&amp;Demand_current!$D$3:$AY$3, 0))/1000</f>
        <v>0</v>
      </c>
      <c r="CY116" s="182">
        <f t="array" ref="CY116">INDEX(Demand_current!$D$4:$AY$138, MATCH($A116, Demand_current!$B$4:$B$138, 0), MATCH(CY$4&amp;CY$5,Demand_current!$D$2:$AY$2&amp;Demand_current!$D$3:$AY$3, 0))/1000</f>
        <v>0</v>
      </c>
      <c r="CZ116" s="182">
        <f t="array" ref="CZ116">INDEX(Demand_current!$D$4:$AY$138, MATCH($A116, Demand_current!$B$4:$B$138, 0), MATCH(CZ$4&amp;CZ$5,Demand_current!$D$2:$AY$2&amp;Demand_current!$D$3:$AY$3, 0))/1000</f>
        <v>0.5776274038461553</v>
      </c>
      <c r="DA116" s="182">
        <f t="array" ref="DA116">INDEX(Demand_current!$D$4:$AY$138, MATCH($A116, Demand_current!$B$4:$B$138, 0), MATCH(DA$4&amp;DA$5,Demand_current!$D$2:$AY$2&amp;Demand_current!$D$3:$AY$3, 0))/1000</f>
        <v>0.13373500000000149</v>
      </c>
      <c r="DB116" s="182">
        <f t="array" ref="DB116">INDEX(Demand_current!$D$4:$AY$138, MATCH($A116, Demand_current!$B$4:$B$138, 0), MATCH(DB$4&amp;DB$5,Demand_current!$D$2:$AY$2&amp;Demand_current!$D$3:$AY$3, 0))/1000</f>
        <v>0</v>
      </c>
      <c r="DC116" s="182">
        <f t="array" ref="DC116">INDEX(Demand_current!$D$4:$AY$138, MATCH($A116, Demand_current!$B$4:$B$138, 0), MATCH(DC$4&amp;DC$5,Demand_current!$D$2:$AY$2&amp;Demand_current!$D$3:$AY$3, 0))/1000</f>
        <v>0.5198221153846152</v>
      </c>
      <c r="DD116" s="182">
        <f t="array" ref="DD116">INDEX(Demand_current!$D$4:$AY$138, MATCH($A116, Demand_current!$B$4:$B$138, 0), MATCH(DD$4&amp;DD$5,Demand_current!$D$2:$AY$2&amp;Demand_current!$D$3:$AY$3, 0))/1000</f>
        <v>0.47718749999999988</v>
      </c>
      <c r="DE116" s="182">
        <f t="array" ref="DE116">INDEX(Demand_current!$D$4:$AY$138, MATCH($A116, Demand_current!$B$4:$B$138, 0), MATCH(DE$4&amp;DE$5,Demand_current!$D$2:$AY$2&amp;Demand_current!$D$3:$AY$3, 0))/1000</f>
        <v>1.2200474999999995</v>
      </c>
      <c r="DF116" s="182">
        <f t="array" ref="DF116">INDEX(Demand_current!$D$4:$AY$138, MATCH($A116, Demand_current!$B$4:$B$138, 0), MATCH(DF$4&amp;DF$5,Demand_current!$D$2:$AY$2&amp;Demand_current!$D$3:$AY$3, 0))/1000</f>
        <v>1.4068461538461519</v>
      </c>
      <c r="DG116" s="182">
        <f t="array" ref="DG116">INDEX(Demand_current!$D$4:$AY$138, MATCH($A116, Demand_current!$B$4:$B$138, 0), MATCH(DG$4&amp;DG$5,Demand_current!$D$2:$AY$2&amp;Demand_current!$D$3:$AY$3, 0))/1000</f>
        <v>1.6127175925925925</v>
      </c>
      <c r="DH116" s="182">
        <f t="array" ref="DH116">INDEX(Demand_current!$D$4:$AY$138, MATCH($A116, Demand_current!$B$4:$B$138, 0), MATCH(DH$4&amp;DH$5,Demand_current!$D$2:$AY$2&amp;Demand_current!$D$3:$AY$3, 0))/1000</f>
        <v>0</v>
      </c>
      <c r="DI116" s="180">
        <f>$BS116*(VLOOKUP(DI$4, Rates_current!$G$6:$Q$29, 10, FALSE)+VLOOKUP(DI$4, Rates_current!$G$6:$Q$29, 11, FALSE))</f>
        <v>6589.3495950868501</v>
      </c>
      <c r="DJ116" s="180">
        <f>$BS116*(VLOOKUP(DJ$4, Rates_current!$G$6:$Q$29, 10, FALSE)+VLOOKUP(DJ$4, Rates_current!$G$6:$Q$29, 11, FALSE))</f>
        <v>8403.5935913621015</v>
      </c>
      <c r="DK116" s="180">
        <f>$BS116*(VLOOKUP(DK$4, Rates_current!$G$6:$Q$29, 10, FALSE)+VLOOKUP(DK$4, Rates_current!$G$6:$Q$29, 11, FALSE))</f>
        <v>9069.1402295264998</v>
      </c>
      <c r="DL116" s="180">
        <f>$BS116*(VLOOKUP(DL$4, Rates_current!$G$6:$Q$29, 10, FALSE)+VLOOKUP(DL$4, Rates_current!$G$6:$Q$29, 11, FALSE))</f>
        <v>9424.2386771536003</v>
      </c>
      <c r="DM116" s="180">
        <f>$BS116*(VLOOKUP(DM$4, Rates_current!$G$6:$Q$29, 10, FALSE)+VLOOKUP(DM$4, Rates_current!$G$6:$Q$29, 11, FALSE))</f>
        <v>8106.101433172199</v>
      </c>
      <c r="DN116" s="180">
        <f>$BS116*(VLOOKUP(DN$4, Rates_current!$G$6:$Q$29, 10, FALSE)+VLOOKUP(DN$4, Rates_current!$G$6:$Q$29, 11, FALSE))</f>
        <v>8850.2578376529</v>
      </c>
      <c r="DO116" s="180">
        <f>$BS116*(VLOOKUP(DO$4, Rates_current!$G$6:$Q$29, 10, FALSE)+VLOOKUP(DO$4, Rates_current!$G$6:$Q$29, 11, FALSE))</f>
        <v>6985.7871135845744</v>
      </c>
      <c r="DP116" s="180">
        <f>$BS116*(VLOOKUP(DP$4, Rates_current!$G$6:$Q$29, 10, FALSE)+VLOOKUP(DP$4, Rates_current!$G$6:$Q$29, 11, FALSE))</f>
        <v>8666.8050535523507</v>
      </c>
      <c r="DQ116" s="180">
        <f>$BS116*(VLOOKUP(DQ$4, Rates_current!$G$6:$Q$29, 10, FALSE)+VLOOKUP(DQ$4, Rates_current!$G$6:$Q$29, 11, FALSE))</f>
        <v>8854.8530872429492</v>
      </c>
      <c r="DR116" s="180">
        <f>$BS116*(VLOOKUP(DR$4, Rates_current!$G$6:$Q$29, 10, FALSE)+VLOOKUP(DR$4, Rates_current!$G$6:$Q$29, 11, FALSE))</f>
        <v>7687.28818408385</v>
      </c>
      <c r="DS116" s="180">
        <f>$BS116*(VLOOKUP(DS$4, Rates_current!$G$6:$Q$29, 10, FALSE)+VLOOKUP(DS$4, Rates_current!$G$6:$Q$29, 11, FALSE))</f>
        <v>7431.5643257835654</v>
      </c>
      <c r="DT116" s="180">
        <f>$BS116*(VLOOKUP(DT$4, Rates_current!$G$6:$Q$29, 10, FALSE)+VLOOKUP(DT$4, Rates_current!$G$6:$Q$29, 11, FALSE))</f>
        <v>6838.478293698201</v>
      </c>
      <c r="DU116" s="402">
        <f>IF(D116=0,IF(C116=0,MAX(0,DW116 - (VLOOKUP($A116,TOCA_current!$A$2:$AI$137,MATCH("RHWM 2024",TOCA_current!$A$2:$AI$2,0),FALSE)*$BS$2)), 0),0)</f>
        <v>4421.4854442043579</v>
      </c>
      <c r="DV116" s="403">
        <f>MIN(VLOOKUP($A116,TOCA_current!$A$2:$AI$137,MATCH("TRL - NLSL - Existing Resource "&amp;$BS$1,TOCA_current!$A$2:$AI$2,0),FALSE)*$BS$2, VLOOKUP($A116,TOCA_current!$A$2:$AI$137,MATCH("RHWM 2024",TOCA_current!$A$2:$AI$2,0),FALSE)*$BS$2)</f>
        <v>96905.088000000003</v>
      </c>
      <c r="DW116" s="403">
        <f>SUM(BY116:CV116)+(BS116*RT1SC!$C$4*$BS$2)</f>
        <v>101326.57344420436</v>
      </c>
      <c r="DX116" s="403">
        <f>VLOOKUP($A116,TOCA_current!$A$2:$AI$137,MATCH("Above RHWM Not Served with LS "&amp;$BS$1,TOCA_current!$A$2:$AI$2,0),FALSE)*$BS$2</f>
        <v>0</v>
      </c>
      <c r="DY116" s="403">
        <f t="shared" si="32"/>
        <v>4421.4854442043579</v>
      </c>
      <c r="DZ116" s="403">
        <f>(VLOOKUP($A116,TOCA_current!$A$2:$AI$137,MATCH("RHWM 2024",TOCA_current!$A$2:$AI$2,0),FALSE)*$BS$2) - $DV116</f>
        <v>0</v>
      </c>
      <c r="EA116" s="403">
        <f t="shared" si="33"/>
        <v>0</v>
      </c>
      <c r="EB116" s="403">
        <f t="shared" si="34"/>
        <v>0</v>
      </c>
      <c r="EC116" s="403">
        <f t="shared" si="35"/>
        <v>0</v>
      </c>
      <c r="ED116" s="403">
        <f t="shared" si="36"/>
        <v>0</v>
      </c>
    </row>
    <row r="117" spans="1:134">
      <c r="A117" s="123">
        <v>10376</v>
      </c>
      <c r="B117" s="124" t="s">
        <v>118</v>
      </c>
      <c r="C117" s="232">
        <f>VLOOKUP(A117, TOCA_current!$A$3:$D$137, 4, FALSE)</f>
        <v>0</v>
      </c>
      <c r="D117" s="191">
        <v>0</v>
      </c>
      <c r="E117" s="107">
        <f>VLOOKUP($A117,TOCA_previous!$A$2:$AI$137,MATCH(E$4,TOCA_previous!$A$2:$AI$2,0),FALSE)</f>
        <v>7.9340000000000001E-3</v>
      </c>
      <c r="F117" s="108">
        <f>VLOOKUP($A117,TOCA_previous!$A$2:$AI$137,MATCH(F$4,TOCA_previous!$A$2:$AI$2,0),FALSE)</f>
        <v>7.9340000000000001E-3</v>
      </c>
      <c r="G117" s="108">
        <f t="shared" si="24"/>
        <v>0</v>
      </c>
      <c r="H117" s="108">
        <f>VLOOKUP($A117,TOCA_previous!$A$2:$AI$137,MATCH(H$4,TOCA_previous!$A$2:$AI$2,0),FALSE)</f>
        <v>0</v>
      </c>
      <c r="I117" s="108">
        <f t="shared" si="25"/>
        <v>0</v>
      </c>
      <c r="J117" s="108">
        <f t="shared" si="26"/>
        <v>0</v>
      </c>
      <c r="K117" s="179">
        <f>VLOOKUP(A117, IRD!$A$5:$C$139, 3, FALSE)</f>
        <v>0</v>
      </c>
      <c r="L117" s="180">
        <f t="array" ref="L117">IF($G117=0, INDEX(LS_previous!$D$4:$AY$138, MATCH('Staging Table'!$A117, LS_previous!$B$4:$B$138, 0), MATCH(L$4&amp;L$5, LS_previous!$D$2:$AY$2&amp;LS_previous!$D$3:$AY$3, 0)),SUM(VLOOKUP($A117, LS_previous!$B$4:$AY$138, LS_previous!D$149, FALSE), VLOOKUP('Staging Table'!$A117, LS_previous!$B$4:$AY$138,LS_previous!AB$149, FALSE))/2)</f>
        <v>-1296.7549588246584</v>
      </c>
      <c r="M117" s="180">
        <f t="array" ref="M117">IF($G117=0, INDEX(LS_previous!$D$4:$AY$138, MATCH('Staging Table'!$A117, LS_previous!$B$4:$B$138, 0), MATCH(M$4&amp;M$5, LS_previous!$D$2:$AY$2&amp;LS_previous!$D$3:$AY$3, 0)),SUM(VLOOKUP($A117, LS_previous!$B$4:$AY$138, LS_previous!E$149, FALSE), VLOOKUP('Staging Table'!$A117, LS_previous!$B$4:$AY$138,LS_previous!AC$149, FALSE))/2)</f>
        <v>984.68160449101379</v>
      </c>
      <c r="N117" s="180">
        <f t="array" ref="N117">IF($G117=0, INDEX(LS_previous!$D$4:$AY$138, MATCH('Staging Table'!$A117, LS_previous!$B$4:$B$138, 0), MATCH(N$4&amp;N$5, LS_previous!$D$2:$AY$2&amp;LS_previous!$D$3:$AY$3, 0)),SUM(VLOOKUP($A117, LS_previous!$B$4:$AY$138, LS_previous!F$149, FALSE), VLOOKUP('Staging Table'!$A117, LS_previous!$B$4:$AY$138,LS_previous!AD$149, FALSE))/2)</f>
        <v>-3672.881983187337</v>
      </c>
      <c r="O117" s="180">
        <f t="array" ref="O117">IF($G117=0, INDEX(LS_previous!$D$4:$AY$138, MATCH('Staging Table'!$A117, LS_previous!$B$4:$B$138, 0), MATCH(O$4&amp;O$5, LS_previous!$D$2:$AY$2&amp;LS_previous!$D$3:$AY$3, 0)),SUM(VLOOKUP($A117, LS_previous!$B$4:$AY$138, LS_previous!G$149, FALSE), VLOOKUP('Staging Table'!$A117, LS_previous!$B$4:$AY$138,LS_previous!AE$149, FALSE))/2)</f>
        <v>-1357.0611196862155</v>
      </c>
      <c r="P117" s="180">
        <f t="array" ref="P117">IF($G117=0, INDEX(LS_previous!$D$4:$AY$138, MATCH('Staging Table'!$A117, LS_previous!$B$4:$B$138, 0), MATCH(P$4&amp;P$5, LS_previous!$D$2:$AY$2&amp;LS_previous!$D$3:$AY$3, 0)),SUM(VLOOKUP($A117, LS_previous!$B$4:$AY$138, LS_previous!H$149, FALSE), VLOOKUP('Staging Table'!$A117, LS_previous!$B$4:$AY$138,LS_previous!AF$149, FALSE))/2)</f>
        <v>3525.5787151267796</v>
      </c>
      <c r="Q117" s="180">
        <f t="array" ref="Q117">IF($G117=0, INDEX(LS_previous!$D$4:$AY$138, MATCH('Staging Table'!$A117, LS_previous!$B$4:$B$138, 0), MATCH(Q$4&amp;Q$5, LS_previous!$D$2:$AY$2&amp;LS_previous!$D$3:$AY$3, 0)),SUM(VLOOKUP($A117, LS_previous!$B$4:$AY$138, LS_previous!I$149, FALSE), VLOOKUP('Staging Table'!$A117, LS_previous!$B$4:$AY$138,LS_previous!AG$149, FALSE))/2)</f>
        <v>2362.8318078310003</v>
      </c>
      <c r="R117" s="180">
        <f t="array" ref="R117">IF($G117=0, INDEX(LS_previous!$D$4:$AY$138, MATCH('Staging Table'!$A117, LS_previous!$B$4:$B$138, 0), MATCH(R$4&amp;R$5, LS_previous!$D$2:$AY$2&amp;LS_previous!$D$3:$AY$3, 0)),SUM(VLOOKUP($A117, LS_previous!$B$4:$AY$138, LS_previous!J$149, FALSE), VLOOKUP('Staging Table'!$A117, LS_previous!$B$4:$AY$138,LS_previous!AH$149, FALSE))/2)</f>
        <v>10786.465460243369</v>
      </c>
      <c r="S117" s="180">
        <f t="array" ref="S117">IF($G117=0, INDEX(LS_previous!$D$4:$AY$138, MATCH('Staging Table'!$A117, LS_previous!$B$4:$B$138, 0), MATCH(S$4&amp;S$5, LS_previous!$D$2:$AY$2&amp;LS_previous!$D$3:$AY$3, 0)),SUM(VLOOKUP($A117, LS_previous!$B$4:$AY$138, LS_previous!K$149, FALSE), VLOOKUP('Staging Table'!$A117, LS_previous!$B$4:$AY$138,LS_previous!AI$149, FALSE))/2)</f>
        <v>5701.7914853740949</v>
      </c>
      <c r="T117" s="180">
        <f t="array" ref="T117">IF($G117=0, INDEX(LS_previous!$D$4:$AY$138, MATCH('Staging Table'!$A117, LS_previous!$B$4:$B$138, 0), MATCH(T$4&amp;T$5, LS_previous!$D$2:$AY$2&amp;LS_previous!$D$3:$AY$3, 0)),SUM(VLOOKUP($A117, LS_previous!$B$4:$AY$138, LS_previous!L$149, FALSE), VLOOKUP('Staging Table'!$A117, LS_previous!$B$4:$AY$138,LS_previous!AJ$149, FALSE))/2)</f>
        <v>11893.221574725761</v>
      </c>
      <c r="U117" s="180">
        <f t="array" ref="U117">IF($G117=0, INDEX(LS_previous!$D$4:$AY$138, MATCH('Staging Table'!$A117, LS_previous!$B$4:$B$138, 0), MATCH(U$4&amp;U$5, LS_previous!$D$2:$AY$2&amp;LS_previous!$D$3:$AY$3, 0)),SUM(VLOOKUP($A117, LS_previous!$B$4:$AY$138, LS_previous!M$149, FALSE), VLOOKUP('Staging Table'!$A117, LS_previous!$B$4:$AY$138,LS_previous!AK$149, FALSE))/2)</f>
        <v>5921.8671085060814</v>
      </c>
      <c r="V117" s="180">
        <f t="array" ref="V117">IF($G117=0, INDEX(LS_previous!$D$4:$AY$138, MATCH('Staging Table'!$A117, LS_previous!$B$4:$B$138, 0), MATCH(V$4&amp;V$5, LS_previous!$D$2:$AY$2&amp;LS_previous!$D$3:$AY$3, 0)),SUM(VLOOKUP($A117, LS_previous!$B$4:$AY$138, LS_previous!N$149, FALSE), VLOOKUP('Staging Table'!$A117, LS_previous!$B$4:$AY$138,LS_previous!AL$149, FALSE))/2)</f>
        <v>2752.0023800945637</v>
      </c>
      <c r="W117" s="180">
        <f t="array" ref="W117">IF($G117=0, INDEX(LS_previous!$D$4:$AY$138, MATCH('Staging Table'!$A117, LS_previous!$B$4:$B$138, 0), MATCH(W$4&amp;W$5, LS_previous!$D$2:$AY$2&amp;LS_previous!$D$3:$AY$3, 0)),SUM(VLOOKUP($A117, LS_previous!$B$4:$AY$138, LS_previous!O$149, FALSE), VLOOKUP('Staging Table'!$A117, LS_previous!$B$4:$AY$138,LS_previous!AM$149, FALSE))/2)</f>
        <v>2925.5748527702617</v>
      </c>
      <c r="X117" s="180">
        <f t="array" ref="X117">IF($G117=0, INDEX(LS_previous!$D$4:$AY$138, MATCH('Staging Table'!$A117, LS_previous!$B$4:$B$138, 0), MATCH(X$4&amp;X$5, LS_previous!$D$2:$AY$2&amp;LS_previous!$D$3:$AY$3, 0)),SUM(VLOOKUP($A117, LS_previous!$B$4:$AY$138, LS_previous!P$149, FALSE), VLOOKUP('Staging Table'!$A117, LS_previous!$B$4:$AY$138,LS_previous!AN$149, FALSE))/2)</f>
        <v>6410.2486396537606</v>
      </c>
      <c r="Y117" s="180">
        <f t="array" ref="Y117">IF($G117=0, INDEX(LS_previous!$D$4:$AY$138, MATCH('Staging Table'!$A117, LS_previous!$B$4:$B$138, 0), MATCH(Y$4&amp;Y$5, LS_previous!$D$2:$AY$2&amp;LS_previous!$D$3:$AY$3, 0)),SUM(VLOOKUP($A117, LS_previous!$B$4:$AY$138, LS_previous!Q$149, FALSE), VLOOKUP('Staging Table'!$A117, LS_previous!$B$4:$AY$138,LS_previous!AO$149, FALSE))/2)</f>
        <v>3830.0536682426518</v>
      </c>
      <c r="Z117" s="180">
        <f t="array" ref="Z117">IF($G117=0, INDEX(LS_previous!$D$4:$AY$138, MATCH('Staging Table'!$A117, LS_previous!$B$4:$B$138, 0), MATCH(Z$4&amp;Z$5, LS_previous!$D$2:$AY$2&amp;LS_previous!$D$3:$AY$3, 0)),SUM(VLOOKUP($A117, LS_previous!$B$4:$AY$138, LS_previous!R$149, FALSE), VLOOKUP('Staging Table'!$A117, LS_previous!$B$4:$AY$138,LS_previous!AP$149, FALSE))/2)</f>
        <v>-7042.2495545434504</v>
      </c>
      <c r="AA117" s="180">
        <f t="array" ref="AA117">IF($G117=0, INDEX(LS_previous!$D$4:$AY$138, MATCH('Staging Table'!$A117, LS_previous!$B$4:$B$138, 0), MATCH(AA$4&amp;AA$5, LS_previous!$D$2:$AY$2&amp;LS_previous!$D$3:$AY$3, 0)),SUM(VLOOKUP($A117, LS_previous!$B$4:$AY$138, LS_previous!S$149, FALSE), VLOOKUP('Staging Table'!$A117, LS_previous!$B$4:$AY$138,LS_previous!AQ$149, FALSE))/2)</f>
        <v>-66.551120570677085</v>
      </c>
      <c r="AB117" s="180">
        <f t="array" ref="AB117">IF($G117=0, INDEX(LS_previous!$D$4:$AY$138, MATCH('Staging Table'!$A117, LS_previous!$B$4:$B$138, 0), MATCH(AB$4&amp;AB$5, LS_previous!$D$2:$AY$2&amp;LS_previous!$D$3:$AY$3, 0)),SUM(VLOOKUP($A117, LS_previous!$B$4:$AY$138, LS_previous!T$149, FALSE), VLOOKUP('Staging Table'!$A117, LS_previous!$B$4:$AY$138,LS_previous!AR$149, FALSE))/2)</f>
        <v>-12799.245731115217</v>
      </c>
      <c r="AC117" s="180">
        <f t="array" ref="AC117">IF($G117=0, INDEX(LS_previous!$D$4:$AY$138, MATCH('Staging Table'!$A117, LS_previous!$B$4:$B$138, 0), MATCH(AC$4&amp;AC$5, LS_previous!$D$2:$AY$2&amp;LS_previous!$D$3:$AY$3, 0)),SUM(VLOOKUP($A117, LS_previous!$B$4:$AY$138, LS_previous!U$149, FALSE), VLOOKUP('Staging Table'!$A117, LS_previous!$B$4:$AY$138,LS_previous!AS$149, FALSE))/2)</f>
        <v>-230.39956496989544</v>
      </c>
      <c r="AD117" s="180">
        <f t="array" ref="AD117">IF($G117=0, INDEX(LS_previous!$D$4:$AY$138, MATCH('Staging Table'!$A117, LS_previous!$B$4:$B$138, 0), MATCH(AD$4&amp;AD$5, LS_previous!$D$2:$AY$2&amp;LS_previous!$D$3:$AY$3, 0)),SUM(VLOOKUP($A117, LS_previous!$B$4:$AY$138, LS_previous!V$149, FALSE), VLOOKUP('Staging Table'!$A117, LS_previous!$B$4:$AY$138,LS_previous!AT$149, FALSE))/2)</f>
        <v>-8398.0170861945517</v>
      </c>
      <c r="AE117" s="180">
        <f t="array" ref="AE117">IF($G117=0, INDEX(LS_previous!$D$4:$AY$138, MATCH('Staging Table'!$A117, LS_previous!$B$4:$B$138, 0), MATCH(AE$4&amp;AE$5, LS_previous!$D$2:$AY$2&amp;LS_previous!$D$3:$AY$3, 0)),SUM(VLOOKUP($A117, LS_previous!$B$4:$AY$138, LS_previous!W$149, FALSE), VLOOKUP('Staging Table'!$A117, LS_previous!$B$4:$AY$138,LS_previous!AU$149, FALSE))/2)</f>
        <v>-1777.0878511320097</v>
      </c>
      <c r="AF117" s="180">
        <f t="array" ref="AF117">IF($G117=0, INDEX(LS_previous!$D$4:$AY$138, MATCH('Staging Table'!$A117, LS_previous!$B$4:$B$138, 0), MATCH(AF$4&amp;AF$5, LS_previous!$D$2:$AY$2&amp;LS_previous!$D$3:$AY$3, 0)),SUM(VLOOKUP($A117, LS_previous!$B$4:$AY$138, LS_previous!X$149, FALSE), VLOOKUP('Staging Table'!$A117, LS_previous!$B$4:$AY$138,LS_previous!AV$149, FALSE))/2)</f>
        <v>-7017.1581254121593</v>
      </c>
      <c r="AG117" s="180">
        <f t="array" ref="AG117">IF($G117=0, INDEX(LS_previous!$D$4:$AY$138, MATCH('Staging Table'!$A117, LS_previous!$B$4:$B$138, 0), MATCH(AG$4&amp;AG$5, LS_previous!$D$2:$AY$2&amp;LS_previous!$D$3:$AY$3, 0)),SUM(VLOOKUP($A117, LS_previous!$B$4:$AY$138, LS_previous!Y$149, FALSE), VLOOKUP('Staging Table'!$A117, LS_previous!$B$4:$AY$138,LS_previous!AW$149, FALSE))/2)</f>
        <v>-1724.6279207829029</v>
      </c>
      <c r="AH117" s="180">
        <f t="array" ref="AH117">IF($G117=0, INDEX(LS_previous!$D$4:$AY$138, MATCH('Staging Table'!$A117, LS_previous!$B$4:$B$138, 0), MATCH(AH$4&amp;AH$5, LS_previous!$D$2:$AY$2&amp;LS_previous!$D$3:$AY$3, 0)),SUM(VLOOKUP($A117, LS_previous!$B$4:$AY$138, LS_previous!Z$149, FALSE), VLOOKUP('Staging Table'!$A117, LS_previous!$B$4:$AY$138,LS_previous!AX$149, FALSE))/2)</f>
        <v>-6080.4987406544897</v>
      </c>
      <c r="AI117" s="180">
        <f t="array" ref="AI117">IF($G117=0, INDEX(LS_previous!$D$4:$AY$138, MATCH('Staging Table'!$A117, LS_previous!$B$4:$B$138, 0), MATCH(AI$4&amp;AI$5, LS_previous!$D$2:$AY$2&amp;LS_previous!$D$3:$AY$3, 0)),SUM(VLOOKUP($A117, LS_previous!$B$4:$AY$138, LS_previous!AA$149, FALSE), VLOOKUP('Staging Table'!$A117, LS_previous!$B$4:$AY$138,LS_previous!AY$149, FALSE))/2)</f>
        <v>-856.2629906361708</v>
      </c>
      <c r="AJ117" s="298">
        <f t="array" ref="AJ117">INDEX(Demand_previous!$D$4:$AY$138, MATCH('Staging Table'!$A117, Demand_previous!$B$4:$B$138, 0), MATCH(AJ$4&amp;AJ$5,Demand_previous!$D$2:$AY$2&amp;Demand_previous!$D$3:$AY$3, 0))/1000</f>
        <v>1.0696658653846214</v>
      </c>
      <c r="AK117" s="298">
        <f t="array" ref="AK117">INDEX(Demand_previous!$D$4:$AY$138, MATCH('Staging Table'!$A117, Demand_previous!$B$4:$B$138, 0), MATCH(AK$4&amp;AK$5,Demand_previous!$D$2:$AY$2&amp;Demand_previous!$D$3:$AY$3, 0))/1000</f>
        <v>2.7495624999999997</v>
      </c>
      <c r="AL117" s="298">
        <f t="array" ref="AL117">INDEX(Demand_previous!$D$4:$AY$138, MATCH('Staging Table'!$A117, Demand_previous!$B$4:$B$138, 0), MATCH(AL$4&amp;AL$5,Demand_previous!$D$2:$AY$2&amp;Demand_previous!$D$3:$AY$3, 0))/1000</f>
        <v>13.239536057692302</v>
      </c>
      <c r="AM117" s="298">
        <f t="array" ref="AM117">INDEX(Demand_previous!$D$4:$AY$138, MATCH('Staging Table'!$A117, Demand_previous!$B$4:$B$138, 0), MATCH(AM$4&amp;AM$5,Demand_previous!$D$2:$AY$2&amp;Demand_previous!$D$3:$AY$3, 0))/1000</f>
        <v>6.7537525000000045</v>
      </c>
      <c r="AN117" s="298">
        <f t="array" ref="AN117">INDEX(Demand_previous!$D$4:$AY$138, MATCH('Staging Table'!$A117, Demand_previous!$B$4:$B$138, 0), MATCH(AN$4&amp;AN$5,Demand_previous!$D$2:$AY$2&amp;Demand_previous!$D$3:$AY$3, 0))/1000</f>
        <v>0</v>
      </c>
      <c r="AO117" s="298">
        <f t="array" ref="AO117">INDEX(Demand_previous!$D$4:$AY$138, MATCH('Staging Table'!$A117, Demand_previous!$B$4:$B$138, 0), MATCH(AO$4&amp;AO$5,Demand_previous!$D$2:$AY$2&amp;Demand_previous!$D$3:$AY$3, 0))/1000</f>
        <v>9.7459560185185232</v>
      </c>
      <c r="AP117" s="298">
        <f t="array" ref="AP117">INDEX(Demand_previous!$D$4:$AY$138, MATCH('Staging Table'!$A117, Demand_previous!$B$4:$B$138, 0), MATCH(AP$4&amp;AP$5,Demand_previous!$D$2:$AY$2&amp;Demand_previous!$D$3:$AY$3, 0))/1000</f>
        <v>4.8672812499999978</v>
      </c>
      <c r="AQ117" s="298">
        <f t="array" ref="AQ117">INDEX(Demand_previous!$D$4:$AY$138, MATCH('Staging Table'!$A117, Demand_previous!$B$4:$B$138, 0), MATCH(AQ$4&amp;AQ$5,Demand_previous!$D$2:$AY$2&amp;Demand_previous!$D$3:$AY$3, 0))/1000</f>
        <v>1.201222499999993</v>
      </c>
      <c r="AR117" s="298">
        <f t="array" ref="AR117">INDEX(Demand_previous!$D$4:$AY$138, MATCH('Staging Table'!$A117, Demand_previous!$B$4:$B$138, 0), MATCH(AR$4&amp;AR$5,Demand_previous!$D$2:$AY$2&amp;Demand_previous!$D$3:$AY$3, 0))/1000</f>
        <v>7.0369519230769173</v>
      </c>
      <c r="AS117" s="298">
        <f t="array" ref="AS117">INDEX(Demand_previous!$D$4:$AY$138, MATCH('Staging Table'!$A117, Demand_previous!$B$4:$B$138, 0), MATCH(AS$4&amp;AS$5,Demand_previous!$D$2:$AY$2&amp;Demand_previous!$D$3:$AY$3, 0))/1000</f>
        <v>2.0556375000000027</v>
      </c>
      <c r="AT117" s="298">
        <f t="array" ref="AT117">INDEX(Demand_previous!$D$4:$AY$138, MATCH('Staging Table'!$A117, Demand_previous!$B$4:$B$138, 0), MATCH(AT$4&amp;AT$5,Demand_previous!$D$2:$AY$2&amp;Demand_previous!$D$3:$AY$3, 0))/1000</f>
        <v>2.4322407407407414</v>
      </c>
      <c r="AU117" s="298">
        <f t="array" ref="AU117">INDEX(Demand_previous!$D$4:$AY$138, MATCH('Staging Table'!$A117, Demand_previous!$B$4:$B$138, 0), MATCH(AU$4&amp;AU$5,Demand_previous!$D$2:$AY$2&amp;Demand_previous!$D$3:$AY$3, 0))/1000</f>
        <v>3.4444950000000034</v>
      </c>
      <c r="AV117" s="180">
        <f>$F117*(VLOOKUP(AV$4, Rates_previous!$G$6:$Q$29, 10, FALSE)+VLOOKUP(AV$4, Rates_previous!$G$6:$Q$29, 11, FALSE))</f>
        <v>36130.836354333638</v>
      </c>
      <c r="AW117" s="180">
        <f>$F117*(VLOOKUP(AW$4, Rates_previous!$G$6:$Q$29, 10, FALSE)+VLOOKUP(AW$4, Rates_previous!$G$6:$Q$29, 11, FALSE))</f>
        <v>45742.950102873554</v>
      </c>
      <c r="AX117" s="180">
        <f>$F117*(VLOOKUP(AX$4, Rates_previous!$G$6:$Q$29, 10, FALSE)+VLOOKUP(AX$4, Rates_previous!$G$6:$Q$29, 11, FALSE))</f>
        <v>44773.209477042219</v>
      </c>
      <c r="AY117" s="180">
        <f>$F117*(VLOOKUP(AY$4, Rates_previous!$G$6:$Q$29, 10, FALSE)+VLOOKUP(AY$4, Rates_previous!$G$6:$Q$29, 11, FALSE))</f>
        <v>36980.767054382537</v>
      </c>
      <c r="AZ117" s="180">
        <f>$F117*(VLOOKUP(AZ$4, Rates_previous!$G$6:$Q$29, 10, FALSE)+VLOOKUP(AZ$4, Rates_previous!$G$6:$Q$29, 11, FALSE))</f>
        <v>32052.041316768158</v>
      </c>
      <c r="BA117" s="180">
        <f>$F117*(VLOOKUP(BA$4, Rates_previous!$G$6:$Q$29, 10, FALSE)+VLOOKUP(BA$4, Rates_previous!$G$6:$Q$29, 11, FALSE))</f>
        <v>38263.664767135175</v>
      </c>
      <c r="BB117" s="180">
        <f>$F117*(VLOOKUP(BB$4, Rates_previous!$G$6:$Q$29, 10, FALSE)+VLOOKUP(BB$4, Rates_previous!$G$6:$Q$29, 11, FALSE))</f>
        <v>29706.641692103589</v>
      </c>
      <c r="BC117" s="180">
        <f>$F117*(VLOOKUP(BC$4, Rates_previous!$G$6:$Q$29, 10, FALSE)+VLOOKUP(BC$4, Rates_previous!$G$6:$Q$29, 11, FALSE))</f>
        <v>41158.77067511413</v>
      </c>
      <c r="BD117" s="180">
        <f>$F117*(VLOOKUP(BD$4, Rates_previous!$G$6:$Q$29, 10, FALSE)+VLOOKUP(BD$4, Rates_previous!$G$6:$Q$29, 11, FALSE))</f>
        <v>43979.008296085107</v>
      </c>
      <c r="BE117" s="180">
        <f>$F117*(VLOOKUP(BE$4, Rates_previous!$G$6:$Q$29, 10, FALSE)+VLOOKUP(BE$4, Rates_previous!$G$6:$Q$29, 11, FALSE))</f>
        <v>41756.076937326565</v>
      </c>
      <c r="BF117" s="180">
        <f>$F117*(VLOOKUP(BF$4, Rates_previous!$G$6:$Q$29, 10, FALSE)+VLOOKUP(BF$4, Rates_previous!$G$6:$Q$29, 11, FALSE))</f>
        <v>40354.027046195064</v>
      </c>
      <c r="BG117" s="180">
        <f>$F117*(VLOOKUP(BG$4, Rates_previous!$G$6:$Q$29, 10, FALSE)+VLOOKUP(BG$4, Rates_previous!$G$6:$Q$29, 11, FALSE))</f>
        <v>37291.327731290658</v>
      </c>
      <c r="BH117" s="298">
        <f>IF($D117=0,IF(C117=0, MAX(BJ117 - (VLOOKUP($A117,TOCA_previous!$A$2:$AI$137,MATCH("RHWM 2022",TOCA_previous!$A$2:$AI$2,0),FALSE)*$F$2*TOCA_previous!C114),0),0), 0)</f>
        <v>4777.9059499097057</v>
      </c>
      <c r="BI117" s="192">
        <f>MIN(VLOOKUP($A117,TOCA_previous!$A$2:$AI$137,MATCH("TRL - NLSL - Existing Resource "&amp;$F$1,TOCA_previous!$A$2:$AI$2,0),FALSE)*$F$2,(VLOOKUP($A117,TOCA_previous!$A$2:$AI$137,MATCH("RHWM 2022",TOCA_previous!$A$2:$AI$2,0),FALSE)*$F$2))</f>
        <v>468186.95999999996</v>
      </c>
      <c r="BJ117" s="402">
        <f>SUM(L117:AI117)+(F117*RT1SC!$C$3*$F$2)</f>
        <v>472964.86594990967</v>
      </c>
      <c r="BK117" s="401">
        <f>VLOOKUP($A117,TOCA_previous!$A$2:$AI$137,MATCH("Above RHWM Not Served with LS "&amp;$F$1,TOCA_previous!$A$2:$AI$2,0),FALSE)*$F$2</f>
        <v>18562.440000000002</v>
      </c>
      <c r="BL117" s="402">
        <f t="shared" si="27"/>
        <v>4777.9059499097057</v>
      </c>
      <c r="BM117" s="401">
        <f>(VLOOKUP($A117,TOCA_previous!$A$2:$AI$137,MATCH("RHWM 2022",TOCA_previous!$A$2:$AI$2,0),FALSE)*$F$2) - $BI117</f>
        <v>0</v>
      </c>
      <c r="BN117" s="402">
        <f t="shared" si="28"/>
        <v>0</v>
      </c>
      <c r="BO117" s="401">
        <f t="shared" si="29"/>
        <v>0</v>
      </c>
      <c r="BP117" s="402">
        <f t="shared" si="30"/>
        <v>0</v>
      </c>
      <c r="BQ117" s="401">
        <f t="shared" si="37"/>
        <v>0</v>
      </c>
      <c r="BR117" s="108">
        <f>VLOOKUP($A117,TOCA_current!$A$2:$AI$137,MATCH(BR$4,TOCA_current!$A$2:$AI$2,0),FALSE)</f>
        <v>7.9322999999999998E-3</v>
      </c>
      <c r="BS117" s="108">
        <f>VLOOKUP($A117,TOCA_current!$A$2:$AI$137,MATCH(BS$4,TOCA_current!$A$2:$AI$2,0),FALSE)</f>
        <v>7.9322999999999998E-3</v>
      </c>
      <c r="BT117" s="189">
        <f t="shared" si="31"/>
        <v>0</v>
      </c>
      <c r="BU117" s="108">
        <f>VLOOKUP($A117,TOCA_current!A113:BG248,MATCH(BU$4,TOCA_current!$A$2:$BG$2,0),FALSE)</f>
        <v>0</v>
      </c>
      <c r="BV117" s="108">
        <f t="shared" si="38"/>
        <v>0</v>
      </c>
      <c r="BW117" s="108">
        <f t="shared" si="39"/>
        <v>0</v>
      </c>
      <c r="BX117" s="179">
        <f>VLOOKUP($A117,IRD!$A$4:$G$139, 7, FALSE)</f>
        <v>0</v>
      </c>
      <c r="BY117" s="180">
        <f t="array" ref="BY117">IF($BT117=0, INDEX(LS_current!$D$4:$AY$138, MATCH('Staging Table'!$A117, LS_current!$B$4:$B$138, 0), MATCH(BY$4&amp;BY$5, LS_current!$D$2:$AY$2&amp;LS_current!$D$3:$AY$3, 0)),SUM(VLOOKUP($A117, LS_current!$B$4:$AY$138, LS_current!D$148, FALSE), VLOOKUP($A117, LS_current!$B$4:$AY$138,LS_current!AB$148, FALSE))/2)</f>
        <v>2511.5471732371989</v>
      </c>
      <c r="BZ117" s="180">
        <f t="array" ref="BZ117">IF($BT117=0, INDEX(LS_current!$D$4:$AY$138, MATCH('Staging Table'!$A117, LS_current!$B$4:$B$138, 0), MATCH(BZ$4&amp;BZ$5, LS_current!$D$2:$AY$2&amp;LS_current!$D$3:$AY$3, 0)),SUM(VLOOKUP($A117, LS_current!$B$4:$AY$138, LS_current!E$148, FALSE), VLOOKUP($A117, LS_current!$B$4:$AY$138,LS_current!AC$148, FALSE))/2)</f>
        <v>1418.9347494163503</v>
      </c>
      <c r="CA117" s="180">
        <f t="array" ref="CA117">IF($BT117=0, INDEX(LS_current!$D$4:$AY$138, MATCH('Staging Table'!$A117, LS_current!$B$4:$B$138, 0), MATCH(CA$4&amp;CA$5, LS_current!$D$2:$AY$2&amp;LS_current!$D$3:$AY$3, 0)),SUM(VLOOKUP($A117, LS_current!$B$4:$AY$138, LS_current!F$148, FALSE), VLOOKUP($A117, LS_current!$B$4:$AY$138,LS_current!AD$148, FALSE))/2)</f>
        <v>-650.1178318944003</v>
      </c>
      <c r="CB117" s="180">
        <f t="array" ref="CB117">IF($BT117=0, INDEX(LS_current!$D$4:$AY$138, MATCH('Staging Table'!$A117, LS_current!$B$4:$B$138, 0), MATCH(CB$4&amp;CB$5, LS_current!$D$2:$AY$2&amp;LS_current!$D$3:$AY$3, 0)),SUM(VLOOKUP($A117, LS_current!$B$4:$AY$138, LS_current!G$148, FALSE), VLOOKUP($A117, LS_current!$B$4:$AY$138,LS_current!AE$148, FALSE))/2)</f>
        <v>212.24693531870071</v>
      </c>
      <c r="CC117" s="180">
        <f t="array" ref="CC117">IF($BT117=0, INDEX(LS_current!$D$4:$AY$138, MATCH('Staging Table'!$A117, LS_current!$B$4:$B$138, 0), MATCH(CC$4&amp;CC$5, LS_current!$D$2:$AY$2&amp;LS_current!$D$3:$AY$3, 0)),SUM(VLOOKUP($A117, LS_current!$B$4:$AY$138, LS_current!H$148, FALSE), VLOOKUP($A117, LS_current!$B$4:$AY$138,LS_current!AF$148, FALSE))/2)</f>
        <v>2059.7399725303003</v>
      </c>
      <c r="CD117" s="180">
        <f t="array" ref="CD117">IF($BT117=0, INDEX(LS_current!$D$4:$AY$138, MATCH('Staging Table'!$A117, LS_current!$B$4:$B$138, 0), MATCH(CD$4&amp;CD$5, LS_current!$D$2:$AY$2&amp;LS_current!$D$3:$AY$3, 0)),SUM(VLOOKUP($A117, LS_current!$B$4:$AY$138, LS_current!I$148, FALSE), VLOOKUP($A117, LS_current!$B$4:$AY$138,LS_current!AG$148, FALSE))/2)</f>
        <v>4119.6792052191995</v>
      </c>
      <c r="CE117" s="180">
        <f t="array" ref="CE117">IF($BT117=0, INDEX(LS_current!$D$4:$AY$138, MATCH('Staging Table'!$A117, LS_current!$B$4:$B$138, 0), MATCH(CE$4&amp;CE$5, LS_current!$D$2:$AY$2&amp;LS_current!$D$3:$AY$3, 0)),SUM(VLOOKUP($A117, LS_current!$B$4:$AY$138, LS_current!J$148, FALSE), VLOOKUP($A117, LS_current!$B$4:$AY$138,LS_current!AH$148, FALSE))/2)</f>
        <v>3039.0716091055037</v>
      </c>
      <c r="CF117" s="180">
        <f t="array" ref="CF117">IF($BT117=0, INDEX(LS_current!$D$4:$AY$138, MATCH('Staging Table'!$A117, LS_current!$B$4:$B$138, 0), MATCH(CF$4&amp;CF$5, LS_current!$D$2:$AY$2&amp;LS_current!$D$3:$AY$3, 0)),SUM(VLOOKUP($A117, LS_current!$B$4:$AY$138, LS_current!K$148, FALSE), VLOOKUP($A117, LS_current!$B$4:$AY$138,LS_current!AI$148, FALSE))/2)</f>
        <v>4144.3407125633021</v>
      </c>
      <c r="CG117" s="180">
        <f t="array" ref="CG117">IF($BT117=0, INDEX(LS_current!$D$4:$AY$138, MATCH('Staging Table'!$A117, LS_current!$B$4:$B$138, 0), MATCH(CG$4&amp;CG$5, LS_current!$D$2:$AY$2&amp;LS_current!$D$3:$AY$3, 0)),SUM(VLOOKUP($A117, LS_current!$B$4:$AY$138, LS_current!L$148, FALSE), VLOOKUP($A117, LS_current!$B$4:$AY$138,LS_current!AJ$148, FALSE))/2)</f>
        <v>5148.9996890083021</v>
      </c>
      <c r="CH117" s="180">
        <f t="array" ref="CH117">IF($BT117=0, INDEX(LS_current!$D$4:$AY$138, MATCH('Staging Table'!$A117, LS_current!$B$4:$B$138, 0), MATCH(CH$4&amp;CH$5, LS_current!$D$2:$AY$2&amp;LS_current!$D$3:$AY$3, 0)),SUM(VLOOKUP($A117, LS_current!$B$4:$AY$138, LS_current!M$148, FALSE), VLOOKUP($A117, LS_current!$B$4:$AY$138,LS_current!AK$148, FALSE))/2)</f>
        <v>4974.2716906243004</v>
      </c>
      <c r="CI117" s="180">
        <f t="array" ref="CI117">IF($BT117=0, INDEX(LS_current!$D$4:$AY$138, MATCH('Staging Table'!$A117, LS_current!$B$4:$B$138, 0), MATCH(CI$4&amp;CI$5, LS_current!$D$2:$AY$2&amp;LS_current!$D$3:$AY$3, 0)),SUM(VLOOKUP($A117, LS_current!$B$4:$AY$138, LS_current!N$148, FALSE), VLOOKUP($A117, LS_current!$B$4:$AY$138,LS_current!AL$148, FALSE))/2)</f>
        <v>-199.15038004989765</v>
      </c>
      <c r="CJ117" s="180">
        <f t="array" ref="CJ117">IF($BT117=0, INDEX(LS_current!$D$4:$AY$138, MATCH('Staging Table'!$A117, LS_current!$B$4:$B$138, 0), MATCH(CJ$4&amp;CJ$5, LS_current!$D$2:$AY$2&amp;LS_current!$D$3:$AY$3, 0)),SUM(VLOOKUP($A117, LS_current!$B$4:$AY$138, LS_current!O$148, FALSE), VLOOKUP($A117, LS_current!$B$4:$AY$138,LS_current!AM$148, FALSE))/2)</f>
        <v>767.69353037060137</v>
      </c>
      <c r="CK117" s="180">
        <f t="array" ref="CK117">IF($BT117=0, INDEX(LS_current!$D$4:$AY$138, MATCH('Staging Table'!$A117, LS_current!$B$4:$B$138, 0), MATCH(CK$4&amp;CK$5, LS_current!$D$2:$AY$2&amp;LS_current!$D$3:$AY$3, 0)),SUM(VLOOKUP($A117, LS_current!$B$4:$AY$138, LS_current!P$148, FALSE), VLOOKUP($A117, LS_current!$B$4:$AY$138,LS_current!AN$148, FALSE))/2)</f>
        <v>4003.0237865367526</v>
      </c>
      <c r="CL117" s="180">
        <f t="array" ref="CL117">IF($BT117=0, INDEX(LS_current!$D$4:$AY$138, MATCH('Staging Table'!$A117, LS_current!$B$4:$B$138, 0), MATCH(CL$4&amp;CL$5, LS_current!$D$2:$AY$2&amp;LS_current!$D$3:$AY$3, 0)),SUM(VLOOKUP($A117, LS_current!$B$4:$AY$138, LS_current!Q$148, FALSE), VLOOKUP($A117, LS_current!$B$4:$AY$138,LS_current!AO$148, FALSE))/2)</f>
        <v>1991.4267573604775</v>
      </c>
      <c r="CM117" s="180">
        <f t="array" ref="CM117">IF($BT117=0, INDEX(LS_current!$D$4:$AY$138, MATCH('Staging Table'!$A117, LS_current!$B$4:$B$138, 0), MATCH(CM$4&amp;CM$5, LS_current!$D$2:$AY$2&amp;LS_current!$D$3:$AY$3, 0)),SUM(VLOOKUP($A117, LS_current!$B$4:$AY$138, LS_current!R$148, FALSE), VLOOKUP($A117, LS_current!$B$4:$AY$138,LS_current!AP$148, FALSE))/2)</f>
        <v>-5205.9517833903992</v>
      </c>
      <c r="CN117" s="180">
        <f t="array" ref="CN117">IF($BT117=0, INDEX(LS_current!$D$4:$AY$138, MATCH('Staging Table'!$A117, LS_current!$B$4:$B$138, 0), MATCH(CN$4&amp;CN$5, LS_current!$D$2:$AY$2&amp;LS_current!$D$3:$AY$3, 0)),SUM(VLOOKUP($A117, LS_current!$B$4:$AY$138, LS_current!S$148, FALSE), VLOOKUP($A117, LS_current!$B$4:$AY$138,LS_current!AQ$148, FALSE))/2)</f>
        <v>-3182.9706859695507</v>
      </c>
      <c r="CO117" s="180">
        <f t="array" ref="CO117">IF($BT117=0, INDEX(LS_current!$D$4:$AY$138, MATCH('Staging Table'!$A117, LS_current!$B$4:$B$138, 0), MATCH(CO$4&amp;CO$5, LS_current!$D$2:$AY$2&amp;LS_current!$D$3:$AY$3, 0)),SUM(VLOOKUP($A117, LS_current!$B$4:$AY$138, LS_current!T$148, FALSE), VLOOKUP($A117, LS_current!$B$4:$AY$138,LS_current!AR$148, FALSE))/2)</f>
        <v>-8794.2228714097982</v>
      </c>
      <c r="CP117" s="180">
        <f t="array" ref="CP117">IF($BT117=0, INDEX(LS_current!$D$4:$AY$138, MATCH('Staging Table'!$A117, LS_current!$B$4:$B$138, 0), MATCH(CP$4&amp;CP$5, LS_current!$D$2:$AY$2&amp;LS_current!$D$3:$AY$3, 0)),SUM(VLOOKUP($A117, LS_current!$B$4:$AY$138, LS_current!U$148, FALSE), VLOOKUP($A117, LS_current!$B$4:$AY$138,LS_current!AS$148, FALSE))/2)</f>
        <v>-3701.18751481035</v>
      </c>
      <c r="CQ117" s="180">
        <f t="array" ref="CQ117">IF($BT117=0, INDEX(LS_current!$D$4:$AY$138, MATCH('Staging Table'!$A117, LS_current!$B$4:$B$138, 0), MATCH(CQ$4&amp;CQ$5, LS_current!$D$2:$AY$2&amp;LS_current!$D$3:$AY$3, 0)),SUM(VLOOKUP($A117, LS_current!$B$4:$AY$138, LS_current!V$148, FALSE), VLOOKUP($A117, LS_current!$B$4:$AY$138,LS_current!AT$148, FALSE))/2)</f>
        <v>-4067.671061577199</v>
      </c>
      <c r="CR117" s="180">
        <f t="array" ref="CR117">IF($BT117=0, INDEX(LS_current!$D$4:$AY$138, MATCH('Staging Table'!$A117, LS_current!$B$4:$B$138, 0), MATCH(CR$4&amp;CR$5, LS_current!$D$2:$AY$2&amp;LS_current!$D$3:$AY$3, 0)),SUM(VLOOKUP($A117, LS_current!$B$4:$AY$138, LS_current!W$148, FALSE), VLOOKUP($A117, LS_current!$B$4:$AY$138,LS_current!AU$148, FALSE))/2)</f>
        <v>-1815.6532981182481</v>
      </c>
      <c r="CS117" s="180">
        <f t="array" ref="CS117">IF($BT117=0, INDEX(LS_current!$D$4:$AY$138, MATCH('Staging Table'!$A117, LS_current!$B$4:$B$138, 0), MATCH(CS$4&amp;CS$5, LS_current!$D$2:$AY$2&amp;LS_current!$D$3:$AY$3, 0)),SUM(VLOOKUP($A117, LS_current!$B$4:$AY$138, LS_current!X$148, FALSE), VLOOKUP($A117, LS_current!$B$4:$AY$138,LS_current!AV$148, FALSE))/2)</f>
        <v>-2867.7271273894512</v>
      </c>
      <c r="CT117" s="180">
        <f t="array" ref="CT117">IF($BT117=0, INDEX(LS_current!$D$4:$AY$138, MATCH('Staging Table'!$A117, LS_current!$B$4:$B$138, 0), MATCH(CT$4&amp;CT$5, LS_current!$D$2:$AY$2&amp;LS_current!$D$3:$AY$3, 0)),SUM(VLOOKUP($A117, LS_current!$B$4:$AY$138, LS_current!Y$148, FALSE), VLOOKUP($A117, LS_current!$B$4:$AY$138,LS_current!AW$148, FALSE))/2)</f>
        <v>-1685.6033707941533</v>
      </c>
      <c r="CU117" s="180">
        <f t="array" ref="CU117">IF($BT117=0, INDEX(LS_current!$D$4:$AY$138, MATCH('Staging Table'!$A117, LS_current!$B$4:$B$138, 0), MATCH(CU$4&amp;CU$5, LS_current!$D$2:$AY$2&amp;LS_current!$D$3:$AY$3, 0)),SUM(VLOOKUP($A117, LS_current!$B$4:$AY$138, LS_current!Z$148, FALSE), VLOOKUP($A117, LS_current!$B$4:$AY$138,LS_current!AX$148, FALSE))/2)</f>
        <v>-2175.8728708502022</v>
      </c>
      <c r="CV117" s="180">
        <f t="array" ref="CV117">IF($BT117=0, INDEX(LS_current!$D$4:$AY$138, MATCH('Staging Table'!$A117, LS_current!$B$4:$B$138, 0), MATCH(CV$4&amp;CV$5, LS_current!$D$2:$AY$2&amp;LS_current!$D$3:$AY$3, 0)),SUM(VLOOKUP($A117, LS_current!$B$4:$AY$138, LS_current!AA$148, FALSE), VLOOKUP($A117, LS_current!$B$4:$AY$138,LS_current!AY$148, FALSE))/2)</f>
        <v>-673.92874365920034</v>
      </c>
      <c r="CW117" s="182">
        <f t="array" ref="CW117">INDEX(Demand_current!$D$4:$AY$138, MATCH($A117, Demand_current!$B$4:$B$138, 0), MATCH(CW$4&amp;CW$5,Demand_current!$D$2:$AY$2&amp;Demand_current!$D$3:$AY$3, 0))/1000</f>
        <v>1.0696658653846214</v>
      </c>
      <c r="CX117" s="182">
        <f t="array" ref="CX117">INDEX(Demand_current!$D$4:$AY$138, MATCH($A117, Demand_current!$B$4:$B$138, 0), MATCH(CX$4&amp;CX$5,Demand_current!$D$2:$AY$2&amp;Demand_current!$D$3:$AY$3, 0))/1000</f>
        <v>2.7495624999999997</v>
      </c>
      <c r="CY117" s="182">
        <f t="array" ref="CY117">INDEX(Demand_current!$D$4:$AY$138, MATCH($A117, Demand_current!$B$4:$B$138, 0), MATCH(CY$4&amp;CY$5,Demand_current!$D$2:$AY$2&amp;Demand_current!$D$3:$AY$3, 0))/1000</f>
        <v>10.305277499999999</v>
      </c>
      <c r="CZ117" s="182">
        <f t="array" ref="CZ117">INDEX(Demand_current!$D$4:$AY$138, MATCH($A117, Demand_current!$B$4:$B$138, 0), MATCH(CZ$4&amp;CZ$5,Demand_current!$D$2:$AY$2&amp;Demand_current!$D$3:$AY$3, 0))/1000</f>
        <v>9.923146634615378</v>
      </c>
      <c r="DA117" s="182">
        <f t="array" ref="DA117">INDEX(Demand_current!$D$4:$AY$138, MATCH($A117, Demand_current!$B$4:$B$138, 0), MATCH(DA$4&amp;DA$5,Demand_current!$D$2:$AY$2&amp;Demand_current!$D$3:$AY$3, 0))/1000</f>
        <v>0</v>
      </c>
      <c r="DB117" s="182">
        <f t="array" ref="DB117">INDEX(Demand_current!$D$4:$AY$138, MATCH($A117, Demand_current!$B$4:$B$138, 0), MATCH(DB$4&amp;DB$5,Demand_current!$D$2:$AY$2&amp;Demand_current!$D$3:$AY$3, 0))/1000</f>
        <v>7.3014543269230892</v>
      </c>
      <c r="DC117" s="182">
        <f t="array" ref="DC117">INDEX(Demand_current!$D$4:$AY$138, MATCH($A117, Demand_current!$B$4:$B$138, 0), MATCH(DC$4&amp;DC$5,Demand_current!$D$2:$AY$2&amp;Demand_current!$D$3:$AY$3, 0))/1000</f>
        <v>4.8672812499999978</v>
      </c>
      <c r="DD117" s="182">
        <f t="array" ref="DD117">INDEX(Demand_current!$D$4:$AY$138, MATCH($A117, Demand_current!$B$4:$B$138, 0), MATCH(DD$4&amp;DD$5,Demand_current!$D$2:$AY$2&amp;Demand_current!$D$3:$AY$3, 0))/1000</f>
        <v>3.3002908653846035</v>
      </c>
      <c r="DE117" s="182">
        <f t="array" ref="DE117">INDEX(Demand_current!$D$4:$AY$138, MATCH($A117, Demand_current!$B$4:$B$138, 0), MATCH(DE$4&amp;DE$5,Demand_current!$D$2:$AY$2&amp;Demand_current!$D$3:$AY$3, 0))/1000</f>
        <v>5.1404299999999994</v>
      </c>
      <c r="DF117" s="182">
        <f t="array" ref="DF117">INDEX(Demand_current!$D$4:$AY$138, MATCH($A117, Demand_current!$B$4:$B$138, 0), MATCH(DF$4&amp;DF$5,Demand_current!$D$2:$AY$2&amp;Demand_current!$D$3:$AY$3, 0))/1000</f>
        <v>4.0316899038461571</v>
      </c>
      <c r="DG117" s="182">
        <f t="array" ref="DG117">INDEX(Demand_current!$D$4:$AY$138, MATCH($A117, Demand_current!$B$4:$B$138, 0), MATCH(DG$4&amp;DG$5,Demand_current!$D$2:$AY$2&amp;Demand_current!$D$3:$AY$3, 0))/1000</f>
        <v>2.4322407407407414</v>
      </c>
      <c r="DH117" s="182">
        <f t="array" ref="DH117">INDEX(Demand_current!$D$4:$AY$138, MATCH($A117, Demand_current!$B$4:$B$138, 0), MATCH(DH$4&amp;DH$5,Demand_current!$D$2:$AY$2&amp;Demand_current!$D$3:$AY$3, 0))/1000</f>
        <v>1.4825572916666658</v>
      </c>
      <c r="DI117" s="180">
        <f>$BS117*(VLOOKUP(DI$4, Rates_current!$G$6:$Q$29, 10, FALSE)+VLOOKUP(DI$4, Rates_current!$G$6:$Q$29, 11, FALSE))</f>
        <v>33464.817077346452</v>
      </c>
      <c r="DJ117" s="180">
        <f>$BS117*(VLOOKUP(DJ$4, Rates_current!$G$6:$Q$29, 10, FALSE)+VLOOKUP(DJ$4, Rates_current!$G$6:$Q$29, 11, FALSE))</f>
        <v>42678.676896575707</v>
      </c>
      <c r="DK117" s="180">
        <f>$BS117*(VLOOKUP(DK$4, Rates_current!$G$6:$Q$29, 10, FALSE)+VLOOKUP(DK$4, Rates_current!$G$6:$Q$29, 11, FALSE))</f>
        <v>46058.736822250503</v>
      </c>
      <c r="DL117" s="180">
        <f>$BS117*(VLOOKUP(DL$4, Rates_current!$G$6:$Q$29, 10, FALSE)+VLOOKUP(DL$4, Rates_current!$G$6:$Q$29, 11, FALSE))</f>
        <v>47862.147678331195</v>
      </c>
      <c r="DM117" s="180">
        <f>$BS117*(VLOOKUP(DM$4, Rates_current!$G$6:$Q$29, 10, FALSE)+VLOOKUP(DM$4, Rates_current!$G$6:$Q$29, 11, FALSE))</f>
        <v>41167.826620367392</v>
      </c>
      <c r="DN117" s="180">
        <f>$BS117*(VLOOKUP(DN$4, Rates_current!$G$6:$Q$29, 10, FALSE)+VLOOKUP(DN$4, Rates_current!$G$6:$Q$29, 11, FALSE))</f>
        <v>44947.1158496793</v>
      </c>
      <c r="DO117" s="180">
        <f>$BS117*(VLOOKUP(DO$4, Rates_current!$G$6:$Q$29, 10, FALSE)+VLOOKUP(DO$4, Rates_current!$G$6:$Q$29, 11, FALSE))</f>
        <v>35478.17345610277</v>
      </c>
      <c r="DP117" s="180">
        <f>$BS117*(VLOOKUP(DP$4, Rates_current!$G$6:$Q$29, 10, FALSE)+VLOOKUP(DP$4, Rates_current!$G$6:$Q$29, 11, FALSE))</f>
        <v>44015.428469359947</v>
      </c>
      <c r="DQ117" s="180">
        <f>$BS117*(VLOOKUP(DQ$4, Rates_current!$G$6:$Q$29, 10, FALSE)+VLOOKUP(DQ$4, Rates_current!$G$6:$Q$29, 11, FALSE))</f>
        <v>44970.453386220142</v>
      </c>
      <c r="DR117" s="180">
        <f>$BS117*(VLOOKUP(DR$4, Rates_current!$G$6:$Q$29, 10, FALSE)+VLOOKUP(DR$4, Rates_current!$G$6:$Q$29, 11, FALSE))</f>
        <v>39040.832359695451</v>
      </c>
      <c r="DS117" s="180">
        <f>$BS117*(VLOOKUP(DS$4, Rates_current!$G$6:$Q$29, 10, FALSE)+VLOOKUP(DS$4, Rates_current!$G$6:$Q$29, 11, FALSE))</f>
        <v>37742.107498183606</v>
      </c>
      <c r="DT117" s="180">
        <f>$BS117*(VLOOKUP(DT$4, Rates_current!$G$6:$Q$29, 10, FALSE)+VLOOKUP(DT$4, Rates_current!$G$6:$Q$29, 11, FALSE))</f>
        <v>34730.0476145094</v>
      </c>
      <c r="DU117" s="402">
        <f>IF(D117=0,IF(C117=0,MAX(0,DW117 - (VLOOKUP($A117,TOCA_current!$A$2:$AI$137,MATCH("RHWM 2024",TOCA_current!$A$2:$AI$2,0),FALSE)*$BS$2)), 0),0)</f>
        <v>0</v>
      </c>
      <c r="DV117" s="403">
        <f>MIN(VLOOKUP($A117,TOCA_current!$A$2:$AI$137,MATCH("TRL - NLSL - Existing Resource "&amp;$BS$1,TOCA_current!$A$2:$AI$2,0),FALSE)*$BS$2, VLOOKUP($A117,TOCA_current!$A$2:$AI$137,MATCH("RHWM 2024",TOCA_current!$A$2:$AI$2,0),FALSE)*$BS$2)</f>
        <v>492158.73600000003</v>
      </c>
      <c r="DW117" s="403">
        <f>SUM(BY117:CV117)+(BS117*RT1SC!$C$4*$BS$2)</f>
        <v>491527.28425594611</v>
      </c>
      <c r="DX117" s="403">
        <f>VLOOKUP($A117,TOCA_current!$A$2:$AI$137,MATCH("Above RHWM Not Served with LS "&amp;$BS$1,TOCA_current!$A$2:$AI$2,0),FALSE)*$BS$2</f>
        <v>0</v>
      </c>
      <c r="DY117" s="403">
        <f t="shared" si="32"/>
        <v>-631.45174405392027</v>
      </c>
      <c r="DZ117" s="403">
        <f>(VLOOKUP($A117,TOCA_current!$A$2:$AI$137,MATCH("RHWM 2024",TOCA_current!$A$2:$AI$2,0),FALSE)*$BS$2) - $DV117</f>
        <v>0</v>
      </c>
      <c r="EA117" s="403">
        <f t="shared" si="33"/>
        <v>0</v>
      </c>
      <c r="EB117" s="403">
        <f t="shared" si="34"/>
        <v>631.45174405392027</v>
      </c>
      <c r="EC117" s="403">
        <f t="shared" si="35"/>
        <v>0</v>
      </c>
      <c r="ED117" s="403">
        <f t="shared" si="36"/>
        <v>631.45174405392027</v>
      </c>
    </row>
    <row r="118" spans="1:134">
      <c r="A118" s="123">
        <v>10378</v>
      </c>
      <c r="B118" s="124" t="s">
        <v>119</v>
      </c>
      <c r="C118" s="232">
        <f>VLOOKUP(A118, TOCA_current!$A$3:$D$137, 4, FALSE)</f>
        <v>0</v>
      </c>
      <c r="D118" s="191">
        <v>0</v>
      </c>
      <c r="E118" s="107">
        <f>VLOOKUP($A118,TOCA_previous!$A$2:$AI$137,MATCH(E$4,TOCA_previous!$A$2:$AI$2,0),FALSE)</f>
        <v>2.789E-4</v>
      </c>
      <c r="F118" s="108">
        <f>VLOOKUP($A118,TOCA_previous!$A$2:$AI$137,MATCH(F$4,TOCA_previous!$A$2:$AI$2,0),FALSE)</f>
        <v>2.789E-4</v>
      </c>
      <c r="G118" s="108">
        <f t="shared" si="24"/>
        <v>0</v>
      </c>
      <c r="H118" s="108">
        <f>VLOOKUP($A118,TOCA_previous!$A$2:$AI$137,MATCH(H$4,TOCA_previous!$A$2:$AI$2,0),FALSE)</f>
        <v>0</v>
      </c>
      <c r="I118" s="108">
        <f t="shared" si="25"/>
        <v>0</v>
      </c>
      <c r="J118" s="108">
        <f t="shared" si="26"/>
        <v>0</v>
      </c>
      <c r="K118" s="179">
        <f>VLOOKUP(A118, IRD!$A$5:$C$139, 3, FALSE)</f>
        <v>0</v>
      </c>
      <c r="L118" s="180">
        <f t="array" ref="L118">IF($G118=0, INDEX(LS_previous!$D$4:$AY$138, MATCH('Staging Table'!$A118, LS_previous!$B$4:$B$138, 0), MATCH(L$4&amp;L$5, LS_previous!$D$2:$AY$2&amp;LS_previous!$D$3:$AY$3, 0)),SUM(VLOOKUP($A118, LS_previous!$B$4:$AY$138, LS_previous!D$149, FALSE), VLOOKUP('Staging Table'!$A118, LS_previous!$B$4:$AY$138,LS_previous!AB$149, FALSE))/2)</f>
        <v>-66.016404778950914</v>
      </c>
      <c r="M118" s="180">
        <f t="array" ref="M118">IF($G118=0, INDEX(LS_previous!$D$4:$AY$138, MATCH('Staging Table'!$A118, LS_previous!$B$4:$B$138, 0), MATCH(M$4&amp;M$5, LS_previous!$D$2:$AY$2&amp;LS_previous!$D$3:$AY$3, 0)),SUM(VLOOKUP($A118, LS_previous!$B$4:$AY$138, LS_previous!E$149, FALSE), VLOOKUP('Staging Table'!$A118, LS_previous!$B$4:$AY$138,LS_previous!AC$149, FALSE))/2)</f>
        <v>-5.472116171849791</v>
      </c>
      <c r="N118" s="180">
        <f t="array" ref="N118">IF($G118=0, INDEX(LS_previous!$D$4:$AY$138, MATCH('Staging Table'!$A118, LS_previous!$B$4:$B$138, 0), MATCH(N$4&amp;N$5, LS_previous!$D$2:$AY$2&amp;LS_previous!$D$3:$AY$3, 0)),SUM(VLOOKUP($A118, LS_previous!$B$4:$AY$138, LS_previous!F$149, FALSE), VLOOKUP('Staging Table'!$A118, LS_previous!$B$4:$AY$138,LS_previous!AD$149, FALSE))/2)</f>
        <v>-3.8809080679291128</v>
      </c>
      <c r="O118" s="180">
        <f t="array" ref="O118">IF($G118=0, INDEX(LS_previous!$D$4:$AY$138, MATCH('Staging Table'!$A118, LS_previous!$B$4:$B$138, 0), MATCH(O$4&amp;O$5, LS_previous!$D$2:$AY$2&amp;LS_previous!$D$3:$AY$3, 0)),SUM(VLOOKUP($A118, LS_previous!$B$4:$AY$138, LS_previous!G$149, FALSE), VLOOKUP('Staging Table'!$A118, LS_previous!$B$4:$AY$138,LS_previous!AE$149, FALSE))/2)</f>
        <v>84.570479823483083</v>
      </c>
      <c r="P118" s="180">
        <f t="array" ref="P118">IF($G118=0, INDEX(LS_previous!$D$4:$AY$138, MATCH('Staging Table'!$A118, LS_previous!$B$4:$B$138, 0), MATCH(P$4&amp;P$5, LS_previous!$D$2:$AY$2&amp;LS_previous!$D$3:$AY$3, 0)),SUM(VLOOKUP($A118, LS_previous!$B$4:$AY$138, LS_previous!H$149, FALSE), VLOOKUP('Staging Table'!$A118, LS_previous!$B$4:$AY$138,LS_previous!AF$149, FALSE))/2)</f>
        <v>526.62989401926632</v>
      </c>
      <c r="Q118" s="180">
        <f t="array" ref="Q118">IF($G118=0, INDEX(LS_previous!$D$4:$AY$138, MATCH('Staging Table'!$A118, LS_previous!$B$4:$B$138, 0), MATCH(Q$4&amp;Q$5, LS_previous!$D$2:$AY$2&amp;LS_previous!$D$3:$AY$3, 0)),SUM(VLOOKUP($A118, LS_previous!$B$4:$AY$138, LS_previous!I$149, FALSE), VLOOKUP('Staging Table'!$A118, LS_previous!$B$4:$AY$138,LS_previous!AG$149, FALSE))/2)</f>
        <v>357.89249303050997</v>
      </c>
      <c r="R118" s="180">
        <f t="array" ref="R118">IF($G118=0, INDEX(LS_previous!$D$4:$AY$138, MATCH('Staging Table'!$A118, LS_previous!$B$4:$B$138, 0), MATCH(R$4&amp;R$5, LS_previous!$D$2:$AY$2&amp;LS_previous!$D$3:$AY$3, 0)),SUM(VLOOKUP($A118, LS_previous!$B$4:$AY$138, LS_previous!J$149, FALSE), VLOOKUP('Staging Table'!$A118, LS_previous!$B$4:$AY$138,LS_previous!AH$149, FALSE))/2)</f>
        <v>629.82441464102271</v>
      </c>
      <c r="S118" s="180">
        <f t="array" ref="S118">IF($G118=0, INDEX(LS_previous!$D$4:$AY$138, MATCH('Staging Table'!$A118, LS_previous!$B$4:$B$138, 0), MATCH(S$4&amp;S$5, LS_previous!$D$2:$AY$2&amp;LS_previous!$D$3:$AY$3, 0)),SUM(VLOOKUP($A118, LS_previous!$B$4:$AY$138, LS_previous!K$149, FALSE), VLOOKUP('Staging Table'!$A118, LS_previous!$B$4:$AY$138,LS_previous!AI$149, FALSE))/2)</f>
        <v>428.62986851157495</v>
      </c>
      <c r="T118" s="180">
        <f t="array" ref="T118">IF($G118=0, INDEX(LS_previous!$D$4:$AY$138, MATCH('Staging Table'!$A118, LS_previous!$B$4:$B$138, 0), MATCH(T$4&amp;T$5, LS_previous!$D$2:$AY$2&amp;LS_previous!$D$3:$AY$3, 0)),SUM(VLOOKUP($A118, LS_previous!$B$4:$AY$138, LS_previous!L$149, FALSE), VLOOKUP('Staging Table'!$A118, LS_previous!$B$4:$AY$138,LS_previous!AJ$149, FALSE))/2)</f>
        <v>520.05612506818943</v>
      </c>
      <c r="U118" s="180">
        <f t="array" ref="U118">IF($G118=0, INDEX(LS_previous!$D$4:$AY$138, MATCH('Staging Table'!$A118, LS_previous!$B$4:$B$138, 0), MATCH(U$4&amp;U$5, LS_previous!$D$2:$AY$2&amp;LS_previous!$D$3:$AY$3, 0)),SUM(VLOOKUP($A118, LS_previous!$B$4:$AY$138, LS_previous!M$149, FALSE), VLOOKUP('Staging Table'!$A118, LS_previous!$B$4:$AY$138,LS_previous!AK$149, FALSE))/2)</f>
        <v>336.09022995492137</v>
      </c>
      <c r="V118" s="180">
        <f t="array" ref="V118">IF($G118=0, INDEX(LS_previous!$D$4:$AY$138, MATCH('Staging Table'!$A118, LS_previous!$B$4:$B$138, 0), MATCH(V$4&amp;V$5, LS_previous!$D$2:$AY$2&amp;LS_previous!$D$3:$AY$3, 0)),SUM(VLOOKUP($A118, LS_previous!$B$4:$AY$138, LS_previous!N$149, FALSE), VLOOKUP('Staging Table'!$A118, LS_previous!$B$4:$AY$138,LS_previous!AL$149, FALSE))/2)</f>
        <v>181.59503280922274</v>
      </c>
      <c r="W118" s="180">
        <f t="array" ref="W118">IF($G118=0, INDEX(LS_previous!$D$4:$AY$138, MATCH('Staging Table'!$A118, LS_previous!$B$4:$B$138, 0), MATCH(W$4&amp;W$5, LS_previous!$D$2:$AY$2&amp;LS_previous!$D$3:$AY$3, 0)),SUM(VLOOKUP($A118, LS_previous!$B$4:$AY$138, LS_previous!O$149, FALSE), VLOOKUP('Staging Table'!$A118, LS_previous!$B$4:$AY$138,LS_previous!AM$149, FALSE))/2)</f>
        <v>164.52717798558433</v>
      </c>
      <c r="X118" s="180">
        <f t="array" ref="X118">IF($G118=0, INDEX(LS_previous!$D$4:$AY$138, MATCH('Staging Table'!$A118, LS_previous!$B$4:$B$138, 0), MATCH(X$4&amp;X$5, LS_previous!$D$2:$AY$2&amp;LS_previous!$D$3:$AY$3, 0)),SUM(VLOOKUP($A118, LS_previous!$B$4:$AY$138, LS_previous!P$149, FALSE), VLOOKUP('Staging Table'!$A118, LS_previous!$B$4:$AY$138,LS_previous!AN$149, FALSE))/2)</f>
        <v>137.7662278925427</v>
      </c>
      <c r="Y118" s="180">
        <f t="array" ref="Y118">IF($G118=0, INDEX(LS_previous!$D$4:$AY$138, MATCH('Staging Table'!$A118, LS_previous!$B$4:$B$138, 0), MATCH(Y$4&amp;Y$5, LS_previous!$D$2:$AY$2&amp;LS_previous!$D$3:$AY$3, 0)),SUM(VLOOKUP($A118, LS_previous!$B$4:$AY$138, LS_previous!Q$149, FALSE), VLOOKUP('Staging Table'!$A118, LS_previous!$B$4:$AY$138,LS_previous!AO$149, FALSE))/2)</f>
        <v>102.94180665148417</v>
      </c>
      <c r="Z118" s="180">
        <f t="array" ref="Z118">IF($G118=0, INDEX(LS_previous!$D$4:$AY$138, MATCH('Staging Table'!$A118, LS_previous!$B$4:$B$138, 0), MATCH(Z$4&amp;Z$5, LS_previous!$D$2:$AY$2&amp;LS_previous!$D$3:$AY$3, 0)),SUM(VLOOKUP($A118, LS_previous!$B$4:$AY$138, LS_previous!R$149, FALSE), VLOOKUP('Staging Table'!$A118, LS_previous!$B$4:$AY$138,LS_previous!AP$149, FALSE))/2)</f>
        <v>-385.60342811471753</v>
      </c>
      <c r="AA118" s="180">
        <f t="array" ref="AA118">IF($G118=0, INDEX(LS_previous!$D$4:$AY$138, MATCH('Staging Table'!$A118, LS_previous!$B$4:$B$138, 0), MATCH(AA$4&amp;AA$5, LS_previous!$D$2:$AY$2&amp;LS_previous!$D$3:$AY$3, 0)),SUM(VLOOKUP($A118, LS_previous!$B$4:$AY$138, LS_previous!S$149, FALSE), VLOOKUP('Staging Table'!$A118, LS_previous!$B$4:$AY$138,LS_previous!AQ$149, FALSE))/2)</f>
        <v>-98.039595239117943</v>
      </c>
      <c r="AB118" s="180">
        <f t="array" ref="AB118">IF($G118=0, INDEX(LS_previous!$D$4:$AY$138, MATCH('Staging Table'!$A118, LS_previous!$B$4:$B$138, 0), MATCH(AB$4&amp;AB$5, LS_previous!$D$2:$AY$2&amp;LS_previous!$D$3:$AY$3, 0)),SUM(VLOOKUP($A118, LS_previous!$B$4:$AY$138, LS_previous!T$149, FALSE), VLOOKUP('Staging Table'!$A118, LS_previous!$B$4:$AY$138,LS_previous!AR$149, FALSE))/2)</f>
        <v>-466.19798941366696</v>
      </c>
      <c r="AC118" s="180">
        <f t="array" ref="AC118">IF($G118=0, INDEX(LS_previous!$D$4:$AY$138, MATCH('Staging Table'!$A118, LS_previous!$B$4:$B$138, 0), MATCH(AC$4&amp;AC$5, LS_previous!$D$2:$AY$2&amp;LS_previous!$D$3:$AY$3, 0)),SUM(VLOOKUP($A118, LS_previous!$B$4:$AY$138, LS_previous!U$149, FALSE), VLOOKUP('Staging Table'!$A118, LS_previous!$B$4:$AY$138,LS_previous!AS$149, FALSE))/2)</f>
        <v>-83.461460016398291</v>
      </c>
      <c r="AD118" s="180">
        <f t="array" ref="AD118">IF($G118=0, INDEX(LS_previous!$D$4:$AY$138, MATCH('Staging Table'!$A118, LS_previous!$B$4:$B$138, 0), MATCH(AD$4&amp;AD$5, LS_previous!$D$2:$AY$2&amp;LS_previous!$D$3:$AY$3, 0)),SUM(VLOOKUP($A118, LS_previous!$B$4:$AY$138, LS_previous!V$149, FALSE), VLOOKUP('Staging Table'!$A118, LS_previous!$B$4:$AY$138,LS_previous!AT$149, FALSE))/2)</f>
        <v>-253.20313358200917</v>
      </c>
      <c r="AE118" s="180">
        <f t="array" ref="AE118">IF($G118=0, INDEX(LS_previous!$D$4:$AY$138, MATCH('Staging Table'!$A118, LS_previous!$B$4:$B$138, 0), MATCH(AE$4&amp;AE$5, LS_previous!$D$2:$AY$2&amp;LS_previous!$D$3:$AY$3, 0)),SUM(VLOOKUP($A118, LS_previous!$B$4:$AY$138, LS_previous!W$149, FALSE), VLOOKUP('Staging Table'!$A118, LS_previous!$B$4:$AY$138,LS_previous!AU$149, FALSE))/2)</f>
        <v>-44.236703047733499</v>
      </c>
      <c r="AF118" s="180">
        <f t="array" ref="AF118">IF($G118=0, INDEX(LS_previous!$D$4:$AY$138, MATCH('Staging Table'!$A118, LS_previous!$B$4:$B$138, 0), MATCH(AF$4&amp;AF$5, LS_previous!$D$2:$AY$2&amp;LS_previous!$D$3:$AY$3, 0)),SUM(VLOOKUP($A118, LS_previous!$B$4:$AY$138, LS_previous!X$149, FALSE), VLOOKUP('Staging Table'!$A118, LS_previous!$B$4:$AY$138,LS_previous!AV$149, FALSE))/2)</f>
        <v>-239.15977796539596</v>
      </c>
      <c r="AG118" s="180">
        <f t="array" ref="AG118">IF($G118=0, INDEX(LS_previous!$D$4:$AY$138, MATCH('Staging Table'!$A118, LS_previous!$B$4:$B$138, 0), MATCH(AG$4&amp;AG$5, LS_previous!$D$2:$AY$2&amp;LS_previous!$D$3:$AY$3, 0)),SUM(VLOOKUP($A118, LS_previous!$B$4:$AY$138, LS_previous!Y$149, FALSE), VLOOKUP('Staging Table'!$A118, LS_previous!$B$4:$AY$138,LS_previous!AW$149, FALSE))/2)</f>
        <v>-62.849488379928346</v>
      </c>
      <c r="AH118" s="180">
        <f t="array" ref="AH118">IF($G118=0, INDEX(LS_previous!$D$4:$AY$138, MATCH('Staging Table'!$A118, LS_previous!$B$4:$B$138, 0), MATCH(AH$4&amp;AH$5, LS_previous!$D$2:$AY$2&amp;LS_previous!$D$3:$AY$3, 0)),SUM(VLOOKUP($A118, LS_previous!$B$4:$AY$138, LS_previous!Z$149, FALSE), VLOOKUP('Staging Table'!$A118, LS_previous!$B$4:$AY$138,LS_previous!AX$149, FALSE))/2)</f>
        <v>-247.18814476538159</v>
      </c>
      <c r="AI118" s="180">
        <f t="array" ref="AI118">IF($G118=0, INDEX(LS_previous!$D$4:$AY$138, MATCH('Staging Table'!$A118, LS_previous!$B$4:$B$138, 0), MATCH(AI$4&amp;AI$5, LS_previous!$D$2:$AY$2&amp;LS_previous!$D$3:$AY$3, 0)),SUM(VLOOKUP($A118, LS_previous!$B$4:$AY$138, LS_previous!AA$149, FALSE), VLOOKUP('Staging Table'!$A118, LS_previous!$B$4:$AY$138,LS_previous!AY$149, FALSE))/2)</f>
        <v>-100.69455882132951</v>
      </c>
      <c r="AJ118" s="298">
        <f t="array" ref="AJ118">INDEX(Demand_previous!$D$4:$AY$138, MATCH('Staging Table'!$A118, Demand_previous!$B$4:$B$138, 0), MATCH(AJ$4&amp;AJ$5,Demand_previous!$D$2:$AY$2&amp;Demand_previous!$D$3:$AY$3, 0))/1000</f>
        <v>5.5500000000000216E-2</v>
      </c>
      <c r="AK118" s="298">
        <f t="array" ref="AK118">INDEX(Demand_previous!$D$4:$AY$138, MATCH('Staging Table'!$A118, Demand_previous!$B$4:$B$138, 0), MATCH(AK$4&amp;AK$5,Demand_previous!$D$2:$AY$2&amp;Demand_previous!$D$3:$AY$3, 0))/1000</f>
        <v>0.26087000000000016</v>
      </c>
      <c r="AL118" s="298">
        <f t="array" ref="AL118">INDEX(Demand_previous!$D$4:$AY$138, MATCH('Staging Table'!$A118, Demand_previous!$B$4:$B$138, 0), MATCH(AL$4&amp;AL$5,Demand_previous!$D$2:$AY$2&amp;Demand_previous!$D$3:$AY$3, 0))/1000</f>
        <v>0.89867307692307719</v>
      </c>
      <c r="AM118" s="298">
        <f t="array" ref="AM118">INDEX(Demand_previous!$D$4:$AY$138, MATCH('Staging Table'!$A118, Demand_previous!$B$4:$B$138, 0), MATCH(AM$4&amp;AM$5,Demand_previous!$D$2:$AY$2&amp;Demand_previous!$D$3:$AY$3, 0))/1000</f>
        <v>0.93362500000000004</v>
      </c>
      <c r="AN118" s="298">
        <f t="array" ref="AN118">INDEX(Demand_previous!$D$4:$AY$138, MATCH('Staging Table'!$A118, Demand_previous!$B$4:$B$138, 0), MATCH(AN$4&amp;AN$5,Demand_previous!$D$2:$AY$2&amp;Demand_previous!$D$3:$AY$3, 0))/1000</f>
        <v>0.61228125000000011</v>
      </c>
      <c r="AO118" s="298">
        <f t="array" ref="AO118">INDEX(Demand_previous!$D$4:$AY$138, MATCH('Staging Table'!$A118, Demand_previous!$B$4:$B$138, 0), MATCH(AO$4&amp;AO$5,Demand_previous!$D$2:$AY$2&amp;Demand_previous!$D$3:$AY$3, 0))/1000</f>
        <v>0.67647222222222225</v>
      </c>
      <c r="AP118" s="298">
        <f t="array" ref="AP118">INDEX(Demand_previous!$D$4:$AY$138, MATCH('Staging Table'!$A118, Demand_previous!$B$4:$B$138, 0), MATCH(AP$4&amp;AP$5,Demand_previous!$D$2:$AY$2&amp;Demand_previous!$D$3:$AY$3, 0))/1000</f>
        <v>0.66093269230769258</v>
      </c>
      <c r="AQ118" s="298">
        <f t="array" ref="AQ118">INDEX(Demand_previous!$D$4:$AY$138, MATCH('Staging Table'!$A118, Demand_previous!$B$4:$B$138, 0), MATCH(AQ$4&amp;AQ$5,Demand_previous!$D$2:$AY$2&amp;Demand_previous!$D$3:$AY$3, 0))/1000</f>
        <v>0.25662499999999994</v>
      </c>
      <c r="AR118" s="298">
        <f t="array" ref="AR118">INDEX(Demand_previous!$D$4:$AY$138, MATCH('Staging Table'!$A118, Demand_previous!$B$4:$B$138, 0), MATCH(AR$4&amp;AR$5,Demand_previous!$D$2:$AY$2&amp;Demand_previous!$D$3:$AY$3, 0))/1000</f>
        <v>0.44049278846153861</v>
      </c>
      <c r="AS118" s="298">
        <f t="array" ref="AS118">INDEX(Demand_previous!$D$4:$AY$138, MATCH('Staging Table'!$A118, Demand_previous!$B$4:$B$138, 0), MATCH(AS$4&amp;AS$5,Demand_previous!$D$2:$AY$2&amp;Demand_previous!$D$3:$AY$3, 0))/1000</f>
        <v>0.40090999999999982</v>
      </c>
      <c r="AT118" s="298">
        <f t="array" ref="AT118">INDEX(Demand_previous!$D$4:$AY$138, MATCH('Staging Table'!$A118, Demand_previous!$B$4:$B$138, 0), MATCH(AT$4&amp;AT$5,Demand_previous!$D$2:$AY$2&amp;Demand_previous!$D$3:$AY$3, 0))/1000</f>
        <v>0.47025694444444432</v>
      </c>
      <c r="AU118" s="298">
        <f t="array" ref="AU118">INDEX(Demand_previous!$D$4:$AY$138, MATCH('Staging Table'!$A118, Demand_previous!$B$4:$B$138, 0), MATCH(AU$4&amp;AU$5,Demand_previous!$D$2:$AY$2&amp;Demand_previous!$D$3:$AY$3, 0))/1000</f>
        <v>0.60943999999999998</v>
      </c>
      <c r="AV118" s="180">
        <f>$F118*(VLOOKUP(AV$4, Rates_previous!$G$6:$Q$29, 10, FALSE)+VLOOKUP(AV$4, Rates_previous!$G$6:$Q$29, 11, FALSE))</f>
        <v>1270.0895209508008</v>
      </c>
      <c r="AW118" s="180">
        <f>$F118*(VLOOKUP(AW$4, Rates_previous!$G$6:$Q$29, 10, FALSE)+VLOOKUP(AW$4, Rates_previous!$G$6:$Q$29, 11, FALSE))</f>
        <v>1607.9794282444461</v>
      </c>
      <c r="AX118" s="180">
        <f>$F118*(VLOOKUP(AX$4, Rates_previous!$G$6:$Q$29, 10, FALSE)+VLOOKUP(AX$4, Rates_previous!$G$6:$Q$29, 11, FALSE))</f>
        <v>1573.8906129502238</v>
      </c>
      <c r="AY118" s="180">
        <f>$F118*(VLOOKUP(AY$4, Rates_previous!$G$6:$Q$29, 10, FALSE)+VLOOKUP(AY$4, Rates_previous!$G$6:$Q$29, 11, FALSE))</f>
        <v>1299.9667168474023</v>
      </c>
      <c r="AZ118" s="180">
        <f>$F118*(VLOOKUP(AZ$4, Rates_previous!$G$6:$Q$29, 10, FALSE)+VLOOKUP(AZ$4, Rates_previous!$G$6:$Q$29, 11, FALSE))</f>
        <v>1126.7096449768892</v>
      </c>
      <c r="BA118" s="180">
        <f>$F118*(VLOOKUP(BA$4, Rates_previous!$G$6:$Q$29, 10, FALSE)+VLOOKUP(BA$4, Rates_previous!$G$6:$Q$29, 11, FALSE))</f>
        <v>1345.063789205193</v>
      </c>
      <c r="BB118" s="180">
        <f>$F118*(VLOOKUP(BB$4, Rates_previous!$G$6:$Q$29, 10, FALSE)+VLOOKUP(BB$4, Rates_previous!$G$6:$Q$29, 11, FALSE))</f>
        <v>1044.2629654559732</v>
      </c>
      <c r="BC118" s="180">
        <f>$F118*(VLOOKUP(BC$4, Rates_previous!$G$6:$Q$29, 10, FALSE)+VLOOKUP(BC$4, Rates_previous!$G$6:$Q$29, 11, FALSE))</f>
        <v>1446.8340233538354</v>
      </c>
      <c r="BD118" s="180">
        <f>$F118*(VLOOKUP(BD$4, Rates_previous!$G$6:$Q$29, 10, FALSE)+VLOOKUP(BD$4, Rates_previous!$G$6:$Q$29, 11, FALSE))</f>
        <v>1545.9724494300651</v>
      </c>
      <c r="BE118" s="180">
        <f>$F118*(VLOOKUP(BE$4, Rates_previous!$G$6:$Q$29, 10, FALSE)+VLOOKUP(BE$4, Rates_previous!$G$6:$Q$29, 11, FALSE))</f>
        <v>1467.8308366297429</v>
      </c>
      <c r="BF118" s="180">
        <f>$F118*(VLOOKUP(BF$4, Rates_previous!$G$6:$Q$29, 10, FALSE)+VLOOKUP(BF$4, Rates_previous!$G$6:$Q$29, 11, FALSE))</f>
        <v>1418.5452663453243</v>
      </c>
      <c r="BG118" s="180">
        <f>$F118*(VLOOKUP(BG$4, Rates_previous!$G$6:$Q$29, 10, FALSE)+VLOOKUP(BG$4, Rates_previous!$G$6:$Q$29, 11, FALSE))</f>
        <v>1310.8837035867111</v>
      </c>
      <c r="BH118" s="298">
        <f>IF($D118=0,IF(C118=0, MAX(BJ118 - (VLOOKUP($A118,TOCA_previous!$A$2:$AI$137,MATCH("RHWM 2022",TOCA_previous!$A$2:$AI$2,0),FALSE)*$F$2*TOCA_previous!C115),0),0), 0)</f>
        <v>983.26984189939685</v>
      </c>
      <c r="BI118" s="192">
        <f>MIN(VLOOKUP($A118,TOCA_previous!$A$2:$AI$137,MATCH("TRL - NLSL - Existing Resource "&amp;$F$1,TOCA_previous!$A$2:$AI$2,0),FALSE)*$F$2,(VLOOKUP($A118,TOCA_previous!$A$2:$AI$137,MATCH("RHWM 2022",TOCA_previous!$A$2:$AI$2,0),FALSE)*$F$2))</f>
        <v>16460.04</v>
      </c>
      <c r="BJ118" s="402">
        <f>SUM(L118:AI118)+(F118*RT1SC!$C$3*$F$2)</f>
        <v>17872.549841899396</v>
      </c>
      <c r="BK118" s="401">
        <f>VLOOKUP($A118,TOCA_previous!$A$2:$AI$137,MATCH("Above RHWM Not Served with LS "&amp;$F$1,TOCA_previous!$A$2:$AI$2,0),FALSE)*$F$2</f>
        <v>0</v>
      </c>
      <c r="BL118" s="402">
        <f t="shared" si="27"/>
        <v>1412.5098418993948</v>
      </c>
      <c r="BM118" s="401">
        <f>(VLOOKUP($A118,TOCA_previous!$A$2:$AI$137,MATCH("RHWM 2022",TOCA_previous!$A$2:$AI$2,0),FALSE)*$F$2) - $BI118</f>
        <v>429.23999999999796</v>
      </c>
      <c r="BN118" s="402">
        <f t="shared" si="28"/>
        <v>-429.23999999999796</v>
      </c>
      <c r="BO118" s="401">
        <f t="shared" si="29"/>
        <v>0</v>
      </c>
      <c r="BP118" s="402">
        <f t="shared" si="30"/>
        <v>0</v>
      </c>
      <c r="BQ118" s="401">
        <f t="shared" si="37"/>
        <v>-429.23999999999796</v>
      </c>
      <c r="BR118" s="108">
        <f>VLOOKUP($A118,TOCA_current!$A$2:$AI$137,MATCH(BR$4,TOCA_current!$A$2:$AI$2,0),FALSE)</f>
        <v>2.8610000000000002E-4</v>
      </c>
      <c r="BS118" s="108">
        <f>VLOOKUP($A118,TOCA_current!$A$2:$AI$137,MATCH(BS$4,TOCA_current!$A$2:$AI$2,0),FALSE)</f>
        <v>2.8610000000000002E-4</v>
      </c>
      <c r="BT118" s="189">
        <f t="shared" si="31"/>
        <v>0</v>
      </c>
      <c r="BU118" s="108">
        <f>VLOOKUP($A118,TOCA_current!A114:BG249,MATCH(BU$4,TOCA_current!$A$2:$BG$2,0),FALSE)</f>
        <v>0</v>
      </c>
      <c r="BV118" s="108">
        <f t="shared" si="38"/>
        <v>0</v>
      </c>
      <c r="BW118" s="108">
        <f t="shared" si="39"/>
        <v>0</v>
      </c>
      <c r="BX118" s="179">
        <f>VLOOKUP($A118,IRD!$A$4:$G$139, 7, FALSE)</f>
        <v>0</v>
      </c>
      <c r="BY118" s="180">
        <f t="array" ref="BY118">IF($BT118=0, INDEX(LS_current!$D$4:$AY$138, MATCH('Staging Table'!$A118, LS_current!$B$4:$B$138, 0), MATCH(BY$4&amp;BY$5, LS_current!$D$2:$AY$2&amp;LS_current!$D$3:$AY$3, 0)),SUM(VLOOKUP($A118, LS_current!$B$4:$AY$138, LS_current!D$148, FALSE), VLOOKUP($A118, LS_current!$B$4:$AY$138,LS_current!AB$148, FALSE))/2)</f>
        <v>18.337761300399848</v>
      </c>
      <c r="BZ118" s="180">
        <f t="array" ref="BZ118">IF($BT118=0, INDEX(LS_current!$D$4:$AY$138, MATCH('Staging Table'!$A118, LS_current!$B$4:$B$138, 0), MATCH(BZ$4&amp;BZ$5, LS_current!$D$2:$AY$2&amp;LS_current!$D$3:$AY$3, 0)),SUM(VLOOKUP($A118, LS_current!$B$4:$AY$138, LS_current!E$148, FALSE), VLOOKUP($A118, LS_current!$B$4:$AY$138,LS_current!AC$148, FALSE))/2)</f>
        <v>-26.73651746554998</v>
      </c>
      <c r="CA118" s="180">
        <f t="array" ref="CA118">IF($BT118=0, INDEX(LS_current!$D$4:$AY$138, MATCH('Staging Table'!$A118, LS_current!$B$4:$B$138, 0), MATCH(CA$4&amp;CA$5, LS_current!$D$2:$AY$2&amp;LS_current!$D$3:$AY$3, 0)),SUM(VLOOKUP($A118, LS_current!$B$4:$AY$138, LS_current!F$148, FALSE), VLOOKUP($A118, LS_current!$B$4:$AY$138,LS_current!AD$148, FALSE))/2)</f>
        <v>48.882175459199857</v>
      </c>
      <c r="CB118" s="180">
        <f t="array" ref="CB118">IF($BT118=0, INDEX(LS_current!$D$4:$AY$138, MATCH('Staging Table'!$A118, LS_current!$B$4:$B$138, 0), MATCH(CB$4&amp;CB$5, LS_current!$D$2:$AY$2&amp;LS_current!$D$3:$AY$3, 0)),SUM(VLOOKUP($A118, LS_current!$B$4:$AY$138, LS_current!G$148, FALSE), VLOOKUP($A118, LS_current!$B$4:$AY$138,LS_current!AE$148, FALSE))/2)</f>
        <v>100.46412367089999</v>
      </c>
      <c r="CC118" s="180">
        <f t="array" ref="CC118">IF($BT118=0, INDEX(LS_current!$D$4:$AY$138, MATCH('Staging Table'!$A118, LS_current!$B$4:$B$138, 0), MATCH(CC$4&amp;CC$5, LS_current!$D$2:$AY$2&amp;LS_current!$D$3:$AY$3, 0)),SUM(VLOOKUP($A118, LS_current!$B$4:$AY$138, LS_current!H$148, FALSE), VLOOKUP($A118, LS_current!$B$4:$AY$138,LS_current!AF$148, FALSE))/2)</f>
        <v>418.55703007209991</v>
      </c>
      <c r="CD118" s="180">
        <f t="array" ref="CD118">IF($BT118=0, INDEX(LS_current!$D$4:$AY$138, MATCH('Staging Table'!$A118, LS_current!$B$4:$B$138, 0), MATCH(CD$4&amp;CD$5, LS_current!$D$2:$AY$2&amp;LS_current!$D$3:$AY$3, 0)),SUM(VLOOKUP($A118, LS_current!$B$4:$AY$138, LS_current!I$148, FALSE), VLOOKUP($A118, LS_current!$B$4:$AY$138,LS_current!AG$148, FALSE))/2)</f>
        <v>378.62220357439992</v>
      </c>
      <c r="CE118" s="180">
        <f t="array" ref="CE118">IF($BT118=0, INDEX(LS_current!$D$4:$AY$138, MATCH('Staging Table'!$A118, LS_current!$B$4:$B$138, 0), MATCH(CE$4&amp;CE$5, LS_current!$D$2:$AY$2&amp;LS_current!$D$3:$AY$3, 0)),SUM(VLOOKUP($A118, LS_current!$B$4:$AY$138, LS_current!J$148, FALSE), VLOOKUP($A118, LS_current!$B$4:$AY$138,LS_current!AH$148, FALSE))/2)</f>
        <v>300.56860033849989</v>
      </c>
      <c r="CF118" s="180">
        <f t="array" ref="CF118">IF($BT118=0, INDEX(LS_current!$D$4:$AY$138, MATCH('Staging Table'!$A118, LS_current!$B$4:$B$138, 0), MATCH(CF$4&amp;CF$5, LS_current!$D$2:$AY$2&amp;LS_current!$D$3:$AY$3, 0)),SUM(VLOOKUP($A118, LS_current!$B$4:$AY$138, LS_current!K$148, FALSE), VLOOKUP($A118, LS_current!$B$4:$AY$138,LS_current!AI$148, FALSE))/2)</f>
        <v>331.57370990309994</v>
      </c>
      <c r="CG118" s="180">
        <f t="array" ref="CG118">IF($BT118=0, INDEX(LS_current!$D$4:$AY$138, MATCH('Staging Table'!$A118, LS_current!$B$4:$B$138, 0), MATCH(CG$4&amp;CG$5, LS_current!$D$2:$AY$2&amp;LS_current!$D$3:$AY$3, 0)),SUM(VLOOKUP($A118, LS_current!$B$4:$AY$138, LS_current!L$148, FALSE), VLOOKUP($A118, LS_current!$B$4:$AY$138,LS_current!AJ$148, FALSE))/2)</f>
        <v>230.41917901810007</v>
      </c>
      <c r="CH118" s="180">
        <f t="array" ref="CH118">IF($BT118=0, INDEX(LS_current!$D$4:$AY$138, MATCH('Staging Table'!$A118, LS_current!$B$4:$B$138, 0), MATCH(CH$4&amp;CH$5, LS_current!$D$2:$AY$2&amp;LS_current!$D$3:$AY$3, 0)),SUM(VLOOKUP($A118, LS_current!$B$4:$AY$138, LS_current!M$148, FALSE), VLOOKUP($A118, LS_current!$B$4:$AY$138,LS_current!AK$148, FALSE))/2)</f>
        <v>267.60704953009997</v>
      </c>
      <c r="CI118" s="180">
        <f t="array" ref="CI118">IF($BT118=0, INDEX(LS_current!$D$4:$AY$138, MATCH('Staging Table'!$A118, LS_current!$B$4:$B$138, 0), MATCH(CI$4&amp;CI$5, LS_current!$D$2:$AY$2&amp;LS_current!$D$3:$AY$3, 0)),SUM(VLOOKUP($A118, LS_current!$B$4:$AY$138, LS_current!N$148, FALSE), VLOOKUP($A118, LS_current!$B$4:$AY$138,LS_current!AL$148, FALSE))/2)</f>
        <v>20.630141770699993</v>
      </c>
      <c r="CJ118" s="180">
        <f t="array" ref="CJ118">IF($BT118=0, INDEX(LS_current!$D$4:$AY$138, MATCH('Staging Table'!$A118, LS_current!$B$4:$B$138, 0), MATCH(CJ$4&amp;CJ$5, LS_current!$D$2:$AY$2&amp;LS_current!$D$3:$AY$3, 0)),SUM(VLOOKUP($A118, LS_current!$B$4:$AY$138, LS_current!O$148, FALSE), VLOOKUP($A118, LS_current!$B$4:$AY$138,LS_current!AM$148, FALSE))/2)</f>
        <v>49.415729314200007</v>
      </c>
      <c r="CK118" s="180">
        <f t="array" ref="CK118">IF($BT118=0, INDEX(LS_current!$D$4:$AY$138, MATCH('Staging Table'!$A118, LS_current!$B$4:$B$138, 0), MATCH(CK$4&amp;CK$5, LS_current!$D$2:$AY$2&amp;LS_current!$D$3:$AY$3, 0)),SUM(VLOOKUP($A118, LS_current!$B$4:$AY$138, LS_current!P$148, FALSE), VLOOKUP($A118, LS_current!$B$4:$AY$138,LS_current!AN$148, FALSE))/2)</f>
        <v>2.3951348572499001</v>
      </c>
      <c r="CL118" s="180">
        <f t="array" ref="CL118">IF($BT118=0, INDEX(LS_current!$D$4:$AY$138, MATCH('Staging Table'!$A118, LS_current!$B$4:$B$138, 0), MATCH(CL$4&amp;CL$5, LS_current!$D$2:$AY$2&amp;LS_current!$D$3:$AY$3, 0)),SUM(VLOOKUP($A118, LS_current!$B$4:$AY$138, LS_current!Q$148, FALSE), VLOOKUP($A118, LS_current!$B$4:$AY$138,LS_current!AO$148, FALSE))/2)</f>
        <v>2.9589285933250267</v>
      </c>
      <c r="CM118" s="180">
        <f t="array" ref="CM118">IF($BT118=0, INDEX(LS_current!$D$4:$AY$138, MATCH('Staging Table'!$A118, LS_current!$B$4:$B$138, 0), MATCH(CM$4&amp;CM$5, LS_current!$D$2:$AY$2&amp;LS_current!$D$3:$AY$3, 0)),SUM(VLOOKUP($A118, LS_current!$B$4:$AY$138, LS_current!R$148, FALSE), VLOOKUP($A118, LS_current!$B$4:$AY$138,LS_current!AP$148, FALSE))/2)</f>
        <v>-375.32680021280009</v>
      </c>
      <c r="CN118" s="180">
        <f t="array" ref="CN118">IF($BT118=0, INDEX(LS_current!$D$4:$AY$138, MATCH('Staging Table'!$A118, LS_current!$B$4:$B$138, 0), MATCH(CN$4&amp;CN$5, LS_current!$D$2:$AY$2&amp;LS_current!$D$3:$AY$3, 0)),SUM(VLOOKUP($A118, LS_current!$B$4:$AY$138, LS_current!S$148, FALSE), VLOOKUP($A118, LS_current!$B$4:$AY$138,LS_current!AQ$148, FALSE))/2)</f>
        <v>-249.01848624684999</v>
      </c>
      <c r="CO118" s="180">
        <f t="array" ref="CO118">IF($BT118=0, INDEX(LS_current!$D$4:$AY$138, MATCH('Staging Table'!$A118, LS_current!$B$4:$B$138, 0), MATCH(CO$4&amp;CO$5, LS_current!$D$2:$AY$2&amp;LS_current!$D$3:$AY$3, 0)),SUM(VLOOKUP($A118, LS_current!$B$4:$AY$138, LS_current!T$148, FALSE), VLOOKUP($A118, LS_current!$B$4:$AY$138,LS_current!AR$148, FALSE))/2)</f>
        <v>-382.24326762860005</v>
      </c>
      <c r="CP118" s="180">
        <f t="array" ref="CP118">IF($BT118=0, INDEX(LS_current!$D$4:$AY$138, MATCH('Staging Table'!$A118, LS_current!$B$4:$B$138, 0), MATCH(CP$4&amp;CP$5, LS_current!$D$2:$AY$2&amp;LS_current!$D$3:$AY$3, 0)),SUM(VLOOKUP($A118, LS_current!$B$4:$AY$138, LS_current!U$148, FALSE), VLOOKUP($A118, LS_current!$B$4:$AY$138,LS_current!AS$148, FALSE))/2)</f>
        <v>-243.42559309245007</v>
      </c>
      <c r="CQ118" s="180">
        <f t="array" ref="CQ118">IF($BT118=0, INDEX(LS_current!$D$4:$AY$138, MATCH('Staging Table'!$A118, LS_current!$B$4:$B$138, 0), MATCH(CQ$4&amp;CQ$5, LS_current!$D$2:$AY$2&amp;LS_current!$D$3:$AY$3, 0)),SUM(VLOOKUP($A118, LS_current!$B$4:$AY$138, LS_current!V$148, FALSE), VLOOKUP($A118, LS_current!$B$4:$AY$138,LS_current!AT$148, FALSE))/2)</f>
        <v>-153.04178768040003</v>
      </c>
      <c r="CR118" s="180">
        <f t="array" ref="CR118">IF($BT118=0, INDEX(LS_current!$D$4:$AY$138, MATCH('Staging Table'!$A118, LS_current!$B$4:$B$138, 0), MATCH(CR$4&amp;CR$5, LS_current!$D$2:$AY$2&amp;LS_current!$D$3:$AY$3, 0)),SUM(VLOOKUP($A118, LS_current!$B$4:$AY$138, LS_current!W$148, FALSE), VLOOKUP($A118, LS_current!$B$4:$AY$138,LS_current!AU$148, FALSE))/2)</f>
        <v>-84.681143727749998</v>
      </c>
      <c r="CS118" s="180">
        <f t="array" ref="CS118">IF($BT118=0, INDEX(LS_current!$D$4:$AY$138, MATCH('Staging Table'!$A118, LS_current!$B$4:$B$138, 0), MATCH(CS$4&amp;CS$5, LS_current!$D$2:$AY$2&amp;LS_current!$D$3:$AY$3, 0)),SUM(VLOOKUP($A118, LS_current!$B$4:$AY$138, LS_current!X$148, FALSE), VLOOKUP($A118, LS_current!$B$4:$AY$138,LS_current!AV$148, FALSE))/2)</f>
        <v>-147.38781806615009</v>
      </c>
      <c r="CT118" s="180">
        <f t="array" ref="CT118">IF($BT118=0, INDEX(LS_current!$D$4:$AY$138, MATCH('Staging Table'!$A118, LS_current!$B$4:$B$138, 0), MATCH(CT$4&amp;CT$5, LS_current!$D$2:$AY$2&amp;LS_current!$D$3:$AY$3, 0)),SUM(VLOOKUP($A118, LS_current!$B$4:$AY$138, LS_current!Y$148, FALSE), VLOOKUP($A118, LS_current!$B$4:$AY$138,LS_current!AW$148, FALSE))/2)</f>
        <v>-97.348064645084946</v>
      </c>
      <c r="CU118" s="180">
        <f t="array" ref="CU118">IF($BT118=0, INDEX(LS_current!$D$4:$AY$138, MATCH('Staging Table'!$A118, LS_current!$B$4:$B$138, 0), MATCH(CU$4&amp;CU$5, LS_current!$D$2:$AY$2&amp;LS_current!$D$3:$AY$3, 0)),SUM(VLOOKUP($A118, LS_current!$B$4:$AY$138, LS_current!Z$148, FALSE), VLOOKUP($A118, LS_current!$B$4:$AY$138,LS_current!AX$148, FALSE))/2)</f>
        <v>-158.70984019140008</v>
      </c>
      <c r="CV118" s="180">
        <f t="array" ref="CV118">IF($BT118=0, INDEX(LS_current!$D$4:$AY$138, MATCH('Staging Table'!$A118, LS_current!$B$4:$B$138, 0), MATCH(CV$4&amp;CV$5, LS_current!$D$2:$AY$2&amp;LS_current!$D$3:$AY$3, 0)),SUM(VLOOKUP($A118, LS_current!$B$4:$AY$138, LS_current!AA$148, FALSE), VLOOKUP($A118, LS_current!$B$4:$AY$138,LS_current!AY$148, FALSE))/2)</f>
        <v>-130.92290065440005</v>
      </c>
      <c r="CW118" s="182">
        <f t="array" ref="CW118">INDEX(Demand_current!$D$4:$AY$138, MATCH($A118, Demand_current!$B$4:$B$138, 0), MATCH(CW$4&amp;CW$5,Demand_current!$D$2:$AY$2&amp;Demand_current!$D$3:$AY$3, 0))/1000</f>
        <v>5.5500000000000216E-2</v>
      </c>
      <c r="CX118" s="182">
        <f t="array" ref="CX118">INDEX(Demand_current!$D$4:$AY$138, MATCH($A118, Demand_current!$B$4:$B$138, 0), MATCH(CX$4&amp;CX$5,Demand_current!$D$2:$AY$2&amp;Demand_current!$D$3:$AY$3, 0))/1000</f>
        <v>0.26087000000000016</v>
      </c>
      <c r="CY118" s="182">
        <f t="array" ref="CY118">INDEX(Demand_current!$D$4:$AY$138, MATCH($A118, Demand_current!$B$4:$B$138, 0), MATCH(CY$4&amp;CY$5,Demand_current!$D$2:$AY$2&amp;Demand_current!$D$3:$AY$3, 0))/1000</f>
        <v>0.76158000000000026</v>
      </c>
      <c r="CZ118" s="182">
        <f t="array" ref="CZ118">INDEX(Demand_current!$D$4:$AY$138, MATCH($A118, Demand_current!$B$4:$B$138, 0), MATCH(CZ$4&amp;CZ$5,Demand_current!$D$2:$AY$2&amp;Demand_current!$D$3:$AY$3, 0))/1000</f>
        <v>1.0652932692307693</v>
      </c>
      <c r="DA118" s="182">
        <f t="array" ref="DA118">INDEX(Demand_current!$D$4:$AY$138, MATCH($A118, Demand_current!$B$4:$B$138, 0), MATCH(DA$4&amp;DA$5,Demand_current!$D$2:$AY$2&amp;Demand_current!$D$3:$AY$3, 0))/1000</f>
        <v>0.73463000000000012</v>
      </c>
      <c r="DB118" s="182">
        <f t="array" ref="DB118">INDEX(Demand_current!$D$4:$AY$138, MATCH($A118, Demand_current!$B$4:$B$138, 0), MATCH(DB$4&amp;DB$5,Demand_current!$D$2:$AY$2&amp;Demand_current!$D$3:$AY$3, 0))/1000</f>
        <v>0.58675961538461541</v>
      </c>
      <c r="DC118" s="182">
        <f t="array" ref="DC118">INDEX(Demand_current!$D$4:$AY$138, MATCH($A118, Demand_current!$B$4:$B$138, 0), MATCH(DC$4&amp;DC$5,Demand_current!$D$2:$AY$2&amp;Demand_current!$D$3:$AY$3, 0))/1000</f>
        <v>0.66093269230769258</v>
      </c>
      <c r="DD118" s="182">
        <f t="array" ref="DD118">INDEX(Demand_current!$D$4:$AY$138, MATCH($A118, Demand_current!$B$4:$B$138, 0), MATCH(DD$4&amp;DD$5,Demand_current!$D$2:$AY$2&amp;Demand_current!$D$3:$AY$3, 0))/1000</f>
        <v>0.31329326923076911</v>
      </c>
      <c r="DE118" s="182">
        <f t="array" ref="DE118">INDEX(Demand_current!$D$4:$AY$138, MATCH($A118, Demand_current!$B$4:$B$138, 0), MATCH(DE$4&amp;DE$5,Demand_current!$D$2:$AY$2&amp;Demand_current!$D$3:$AY$3, 0))/1000</f>
        <v>0.37931250000000016</v>
      </c>
      <c r="DF118" s="182">
        <f t="array" ref="DF118">INDEX(Demand_current!$D$4:$AY$138, MATCH($A118, Demand_current!$B$4:$B$138, 0), MATCH(DF$4&amp;DF$5,Demand_current!$D$2:$AY$2&amp;Demand_current!$D$3:$AY$3, 0))/1000</f>
        <v>0.47056730769230753</v>
      </c>
      <c r="DG118" s="182">
        <f t="array" ref="DG118">INDEX(Demand_current!$D$4:$AY$138, MATCH($A118, Demand_current!$B$4:$B$138, 0), MATCH(DG$4&amp;DG$5,Demand_current!$D$2:$AY$2&amp;Demand_current!$D$3:$AY$3, 0))/1000</f>
        <v>0.47025694444444432</v>
      </c>
      <c r="DH118" s="182">
        <f t="array" ref="DH118">INDEX(Demand_current!$D$4:$AY$138, MATCH($A118, Demand_current!$B$4:$B$138, 0), MATCH(DH$4&amp;DH$5,Demand_current!$D$2:$AY$2&amp;Demand_current!$D$3:$AY$3, 0))/1000</f>
        <v>0.54804166666666676</v>
      </c>
      <c r="DI118" s="180">
        <f>$BS118*(VLOOKUP(DI$4, Rates_current!$G$6:$Q$29, 10, FALSE)+VLOOKUP(DI$4, Rates_current!$G$6:$Q$29, 11, FALSE))</f>
        <v>1206.9997561651501</v>
      </c>
      <c r="DJ118" s="180">
        <f>$BS118*(VLOOKUP(DJ$4, Rates_current!$G$6:$Q$29, 10, FALSE)+VLOOKUP(DJ$4, Rates_current!$G$6:$Q$29, 11, FALSE))</f>
        <v>1539.3227008699002</v>
      </c>
      <c r="DK118" s="180">
        <f>$BS118*(VLOOKUP(DK$4, Rates_current!$G$6:$Q$29, 10, FALSE)+VLOOKUP(DK$4, Rates_current!$G$6:$Q$29, 11, FALSE))</f>
        <v>1661.2337663535002</v>
      </c>
      <c r="DL118" s="180">
        <f>$BS118*(VLOOKUP(DL$4, Rates_current!$G$6:$Q$29, 10, FALSE)+VLOOKUP(DL$4, Rates_current!$G$6:$Q$29, 11, FALSE))</f>
        <v>1726.2786897584001</v>
      </c>
      <c r="DM118" s="180">
        <f>$BS118*(VLOOKUP(DM$4, Rates_current!$G$6:$Q$29, 10, FALSE)+VLOOKUP(DM$4, Rates_current!$G$6:$Q$29, 11, FALSE))</f>
        <v>1484.8297714517998</v>
      </c>
      <c r="DN118" s="180">
        <f>$BS118*(VLOOKUP(DN$4, Rates_current!$G$6:$Q$29, 10, FALSE)+VLOOKUP(DN$4, Rates_current!$G$6:$Q$29, 11, FALSE))</f>
        <v>1621.1401289151001</v>
      </c>
      <c r="DO118" s="180">
        <f>$BS118*(VLOOKUP(DO$4, Rates_current!$G$6:$Q$29, 10, FALSE)+VLOOKUP(DO$4, Rates_current!$G$6:$Q$29, 11, FALSE))</f>
        <v>1279.616936549425</v>
      </c>
      <c r="DP118" s="180">
        <f>$BS118*(VLOOKUP(DP$4, Rates_current!$G$6:$Q$29, 10, FALSE)+VLOOKUP(DP$4, Rates_current!$G$6:$Q$29, 11, FALSE))</f>
        <v>1587.5362864596502</v>
      </c>
      <c r="DQ118" s="180">
        <f>$BS118*(VLOOKUP(DQ$4, Rates_current!$G$6:$Q$29, 10, FALSE)+VLOOKUP(DQ$4, Rates_current!$G$6:$Q$29, 11, FALSE))</f>
        <v>1621.98186072105</v>
      </c>
      <c r="DR118" s="180">
        <f>$BS118*(VLOOKUP(DR$4, Rates_current!$G$6:$Q$29, 10, FALSE)+VLOOKUP(DR$4, Rates_current!$G$6:$Q$29, 11, FALSE))</f>
        <v>1408.1139314081499</v>
      </c>
      <c r="DS118" s="180">
        <f>$BS118*(VLOOKUP(DS$4, Rates_current!$G$6:$Q$29, 10, FALSE)+VLOOKUP(DS$4, Rates_current!$G$6:$Q$29, 11, FALSE))</f>
        <v>1361.2718827112353</v>
      </c>
      <c r="DT118" s="180">
        <f>$BS118*(VLOOKUP(DT$4, Rates_current!$G$6:$Q$29, 10, FALSE)+VLOOKUP(DT$4, Rates_current!$G$6:$Q$29, 11, FALSE))</f>
        <v>1252.6337408458003</v>
      </c>
      <c r="DU118" s="402">
        <f>IF(D118=0,IF(C118=0,MAX(0,DW118 - (VLOOKUP($A118,TOCA_current!$A$2:$AI$137,MATCH("RHWM 2024",TOCA_current!$A$2:$AI$2,0),FALSE)*$BS$2)), 0),0)</f>
        <v>120.08508136683668</v>
      </c>
      <c r="DV118" s="403">
        <f>MIN(VLOOKUP($A118,TOCA_current!$A$2:$AI$137,MATCH("TRL - NLSL - Existing Resource "&amp;$BS$1,TOCA_current!$A$2:$AI$2,0),FALSE)*$BS$2, VLOOKUP($A118,TOCA_current!$A$2:$AI$137,MATCH("RHWM 2024",TOCA_current!$A$2:$AI$2,0),FALSE)*$BS$2)</f>
        <v>17752.464</v>
      </c>
      <c r="DW118" s="403">
        <f>SUM(BY118:CV118)+(BS118*RT1SC!$C$4*$BS$2)</f>
        <v>17872.549081366837</v>
      </c>
      <c r="DX118" s="403">
        <f>VLOOKUP($A118,TOCA_current!$A$2:$AI$137,MATCH("Above RHWM Not Served with LS "&amp;$BS$1,TOCA_current!$A$2:$AI$2,0),FALSE)*$BS$2</f>
        <v>0</v>
      </c>
      <c r="DY118" s="403">
        <f t="shared" si="32"/>
        <v>120.08508136683668</v>
      </c>
      <c r="DZ118" s="403">
        <f>(VLOOKUP($A118,TOCA_current!$A$2:$AI$137,MATCH("RHWM 2024",TOCA_current!$A$2:$AI$2,0),FALSE)*$BS$2) - $DV118</f>
        <v>0</v>
      </c>
      <c r="EA118" s="403">
        <f t="shared" si="33"/>
        <v>0</v>
      </c>
      <c r="EB118" s="403">
        <f t="shared" si="34"/>
        <v>0</v>
      </c>
      <c r="EC118" s="403">
        <f t="shared" si="35"/>
        <v>0</v>
      </c>
      <c r="ED118" s="403">
        <f t="shared" si="36"/>
        <v>0</v>
      </c>
    </row>
    <row r="119" spans="1:134">
      <c r="A119" s="123">
        <v>10379</v>
      </c>
      <c r="B119" s="124" t="s">
        <v>120</v>
      </c>
      <c r="C119" s="232">
        <f>VLOOKUP(A119, TOCA_current!$A$3:$D$137, 4, FALSE)</f>
        <v>0</v>
      </c>
      <c r="D119" s="191">
        <v>0</v>
      </c>
      <c r="E119" s="107">
        <f>VLOOKUP($A119,TOCA_previous!$A$2:$AI$137,MATCH(E$4,TOCA_previous!$A$2:$AI$2,0),FALSE)</f>
        <v>6.7500000000000004E-4</v>
      </c>
      <c r="F119" s="108">
        <f>VLOOKUP($A119,TOCA_previous!$A$2:$AI$137,MATCH(F$4,TOCA_previous!$A$2:$AI$2,0),FALSE)</f>
        <v>6.7500000000000004E-4</v>
      </c>
      <c r="G119" s="108">
        <f t="shared" si="24"/>
        <v>0</v>
      </c>
      <c r="H119" s="108">
        <f>VLOOKUP($A119,TOCA_previous!$A$2:$AI$137,MATCH(H$4,TOCA_previous!$A$2:$AI$2,0),FALSE)</f>
        <v>0</v>
      </c>
      <c r="I119" s="108">
        <f t="shared" si="25"/>
        <v>0</v>
      </c>
      <c r="J119" s="108">
        <f t="shared" si="26"/>
        <v>0</v>
      </c>
      <c r="K119" s="179">
        <f>VLOOKUP(A119, IRD!$A$5:$C$139, 3, FALSE)</f>
        <v>0</v>
      </c>
      <c r="L119" s="180">
        <f t="array" ref="L119">IF($G119=0, INDEX(LS_previous!$D$4:$AY$138, MATCH('Staging Table'!$A119, LS_previous!$B$4:$B$138, 0), MATCH(L$4&amp;L$5, LS_previous!$D$2:$AY$2&amp;LS_previous!$D$3:$AY$3, 0)),SUM(VLOOKUP($A119, LS_previous!$B$4:$AY$138, LS_previous!D$149, FALSE), VLOOKUP('Staging Table'!$A119, LS_previous!$B$4:$AY$138,LS_previous!AB$149, FALSE))/2)</f>
        <v>18.522571438537625</v>
      </c>
      <c r="M119" s="180">
        <f t="array" ref="M119">IF($G119=0, INDEX(LS_previous!$D$4:$AY$138, MATCH('Staging Table'!$A119, LS_previous!$B$4:$B$138, 0), MATCH(M$4&amp;M$5, LS_previous!$D$2:$AY$2&amp;LS_previous!$D$3:$AY$3, 0)),SUM(VLOOKUP($A119, LS_previous!$B$4:$AY$138, LS_previous!E$149, FALSE), VLOOKUP('Staging Table'!$A119, LS_previous!$B$4:$AY$138,LS_previous!AC$149, FALSE))/2)</f>
        <v>88.036444546437451</v>
      </c>
      <c r="N119" s="180">
        <f t="array" ref="N119">IF($G119=0, INDEX(LS_previous!$D$4:$AY$138, MATCH('Staging Table'!$A119, LS_previous!$B$4:$B$138, 0), MATCH(N$4&amp;N$5, LS_previous!$D$2:$AY$2&amp;LS_previous!$D$3:$AY$3, 0)),SUM(VLOOKUP($A119, LS_previous!$B$4:$AY$138, LS_previous!F$149, FALSE), VLOOKUP('Staging Table'!$A119, LS_previous!$B$4:$AY$138,LS_previous!AD$149, FALSE))/2)</f>
        <v>-34.456990124962886</v>
      </c>
      <c r="O119" s="180">
        <f t="array" ref="O119">IF($G119=0, INDEX(LS_previous!$D$4:$AY$138, MATCH('Staging Table'!$A119, LS_previous!$B$4:$B$138, 0), MATCH(O$4&amp;O$5, LS_previous!$D$2:$AY$2&amp;LS_previous!$D$3:$AY$3, 0)),SUM(VLOOKUP($A119, LS_previous!$B$4:$AY$138, LS_previous!G$149, FALSE), VLOOKUP('Staging Table'!$A119, LS_previous!$B$4:$AY$138,LS_previous!AE$149, FALSE))/2)</f>
        <v>116.42031689082478</v>
      </c>
      <c r="P119" s="180">
        <f t="array" ref="P119">IF($G119=0, INDEX(LS_previous!$D$4:$AY$138, MATCH('Staging Table'!$A119, LS_previous!$B$4:$B$138, 0), MATCH(P$4&amp;P$5, LS_previous!$D$2:$AY$2&amp;LS_previous!$D$3:$AY$3, 0)),SUM(VLOOKUP($A119, LS_previous!$B$4:$AY$138, LS_previous!H$149, FALSE), VLOOKUP('Staging Table'!$A119, LS_previous!$B$4:$AY$138,LS_previous!AF$149, FALSE))/2)</f>
        <v>568.18390341701206</v>
      </c>
      <c r="Q119" s="180">
        <f t="array" ref="Q119">IF($G119=0, INDEX(LS_previous!$D$4:$AY$138, MATCH('Staging Table'!$A119, LS_previous!$B$4:$B$138, 0), MATCH(Q$4&amp;Q$5, LS_previous!$D$2:$AY$2&amp;LS_previous!$D$3:$AY$3, 0)),SUM(VLOOKUP($A119, LS_previous!$B$4:$AY$138, LS_previous!I$149, FALSE), VLOOKUP('Staging Table'!$A119, LS_previous!$B$4:$AY$138,LS_previous!AG$149, FALSE))/2)</f>
        <v>155.4989343692871</v>
      </c>
      <c r="R119" s="180">
        <f t="array" ref="R119">IF($G119=0, INDEX(LS_previous!$D$4:$AY$138, MATCH('Staging Table'!$A119, LS_previous!$B$4:$B$138, 0), MATCH(R$4&amp;R$5, LS_previous!$D$2:$AY$2&amp;LS_previous!$D$3:$AY$3, 0)),SUM(VLOOKUP($A119, LS_previous!$B$4:$AY$138, LS_previous!J$149, FALSE), VLOOKUP('Staging Table'!$A119, LS_previous!$B$4:$AY$138,LS_previous!AH$149, FALSE))/2)</f>
        <v>944.0566854883125</v>
      </c>
      <c r="S119" s="180">
        <f t="array" ref="S119">IF($G119=0, INDEX(LS_previous!$D$4:$AY$138, MATCH('Staging Table'!$A119, LS_previous!$B$4:$B$138, 0), MATCH(S$4&amp;S$5, LS_previous!$D$2:$AY$2&amp;LS_previous!$D$3:$AY$3, 0)),SUM(VLOOKUP($A119, LS_previous!$B$4:$AY$138, LS_previous!K$149, FALSE), VLOOKUP('Staging Table'!$A119, LS_previous!$B$4:$AY$138,LS_previous!AI$149, FALSE))/2)</f>
        <v>524.28687466946258</v>
      </c>
      <c r="T119" s="180">
        <f t="array" ref="T119">IF($G119=0, INDEX(LS_previous!$D$4:$AY$138, MATCH('Staging Table'!$A119, LS_previous!$B$4:$B$138, 0), MATCH(T$4&amp;T$5, LS_previous!$D$2:$AY$2&amp;LS_previous!$D$3:$AY$3, 0)),SUM(VLOOKUP($A119, LS_previous!$B$4:$AY$138, LS_previous!L$149, FALSE), VLOOKUP('Staging Table'!$A119, LS_previous!$B$4:$AY$138,LS_previous!AJ$149, FALSE))/2)</f>
        <v>835.53316787747531</v>
      </c>
      <c r="U119" s="180">
        <f t="array" ref="U119">IF($G119=0, INDEX(LS_previous!$D$4:$AY$138, MATCH('Staging Table'!$A119, LS_previous!$B$4:$B$138, 0), MATCH(U$4&amp;U$5, LS_previous!$D$2:$AY$2&amp;LS_previous!$D$3:$AY$3, 0)),SUM(VLOOKUP($A119, LS_previous!$B$4:$AY$138, LS_previous!M$149, FALSE), VLOOKUP('Staging Table'!$A119, LS_previous!$B$4:$AY$138,LS_previous!AK$149, FALSE))/2)</f>
        <v>407.12202158326249</v>
      </c>
      <c r="V119" s="180">
        <f t="array" ref="V119">IF($G119=0, INDEX(LS_previous!$D$4:$AY$138, MATCH('Staging Table'!$A119, LS_previous!$B$4:$B$138, 0), MATCH(V$4&amp;V$5, LS_previous!$D$2:$AY$2&amp;LS_previous!$D$3:$AY$3, 0)),SUM(VLOOKUP($A119, LS_previous!$B$4:$AY$138, LS_previous!N$149, FALSE), VLOOKUP('Staging Table'!$A119, LS_previous!$B$4:$AY$138,LS_previous!AL$149, FALSE))/2)</f>
        <v>270.41050536473767</v>
      </c>
      <c r="W119" s="180">
        <f t="array" ref="W119">IF($G119=0, INDEX(LS_previous!$D$4:$AY$138, MATCH('Staging Table'!$A119, LS_previous!$B$4:$B$138, 0), MATCH(W$4&amp;W$5, LS_previous!$D$2:$AY$2&amp;LS_previous!$D$3:$AY$3, 0)),SUM(VLOOKUP($A119, LS_previous!$B$4:$AY$138, LS_previous!O$149, FALSE), VLOOKUP('Staging Table'!$A119, LS_previous!$B$4:$AY$138,LS_previous!AM$149, FALSE))/2)</f>
        <v>164.87311452229983</v>
      </c>
      <c r="X119" s="180">
        <f t="array" ref="X119">IF($G119=0, INDEX(LS_previous!$D$4:$AY$138, MATCH('Staging Table'!$A119, LS_previous!$B$4:$B$138, 0), MATCH(X$4&amp;X$5, LS_previous!$D$2:$AY$2&amp;LS_previous!$D$3:$AY$3, 0)),SUM(VLOOKUP($A119, LS_previous!$B$4:$AY$138, LS_previous!P$149, FALSE), VLOOKUP('Staging Table'!$A119, LS_previous!$B$4:$AY$138,LS_previous!AN$149, FALSE))/2)</f>
        <v>413.5542980547375</v>
      </c>
      <c r="Y119" s="180">
        <f t="array" ref="Y119">IF($G119=0, INDEX(LS_previous!$D$4:$AY$138, MATCH('Staging Table'!$A119, LS_previous!$B$4:$B$138, 0), MATCH(Y$4&amp;Y$5, LS_previous!$D$2:$AY$2&amp;LS_previous!$D$3:$AY$3, 0)),SUM(VLOOKUP($A119, LS_previous!$B$4:$AY$138, LS_previous!Q$149, FALSE), VLOOKUP('Staging Table'!$A119, LS_previous!$B$4:$AY$138,LS_previous!AO$149, FALSE))/2)</f>
        <v>274.92718390014977</v>
      </c>
      <c r="Z119" s="180">
        <f t="array" ref="Z119">IF($G119=0, INDEX(LS_previous!$D$4:$AY$138, MATCH('Staging Table'!$A119, LS_previous!$B$4:$B$138, 0), MATCH(Z$4&amp;Z$5, LS_previous!$D$2:$AY$2&amp;LS_previous!$D$3:$AY$3, 0)),SUM(VLOOKUP($A119, LS_previous!$B$4:$AY$138, LS_previous!R$149, FALSE), VLOOKUP('Staging Table'!$A119, LS_previous!$B$4:$AY$138,LS_previous!AP$149, FALSE))/2)</f>
        <v>-742.22503003741258</v>
      </c>
      <c r="AA119" s="180">
        <f t="array" ref="AA119">IF($G119=0, INDEX(LS_previous!$D$4:$AY$138, MATCH('Staging Table'!$A119, LS_previous!$B$4:$B$138, 0), MATCH(AA$4&amp;AA$5, LS_previous!$D$2:$AY$2&amp;LS_previous!$D$3:$AY$3, 0)),SUM(VLOOKUP($A119, LS_previous!$B$4:$AY$138, LS_previous!S$149, FALSE), VLOOKUP('Staging Table'!$A119, LS_previous!$B$4:$AY$138,LS_previous!AQ$149, FALSE))/2)</f>
        <v>-25.251940431712455</v>
      </c>
      <c r="AB119" s="180">
        <f t="array" ref="AB119">IF($G119=0, INDEX(LS_previous!$D$4:$AY$138, MATCH('Staging Table'!$A119, LS_previous!$B$4:$B$138, 0), MATCH(AB$4&amp;AB$5, LS_previous!$D$2:$AY$2&amp;LS_previous!$D$3:$AY$3, 0)),SUM(VLOOKUP($A119, LS_previous!$B$4:$AY$138, LS_previous!T$149, FALSE), VLOOKUP('Staging Table'!$A119, LS_previous!$B$4:$AY$138,LS_previous!AR$149, FALSE))/2)</f>
        <v>-1149.9857162216756</v>
      </c>
      <c r="AC119" s="180">
        <f t="array" ref="AC119">IF($G119=0, INDEX(LS_previous!$D$4:$AY$138, MATCH('Staging Table'!$A119, LS_previous!$B$4:$B$138, 0), MATCH(AC$4&amp;AC$5, LS_previous!$D$2:$AY$2&amp;LS_previous!$D$3:$AY$3, 0)),SUM(VLOOKUP($A119, LS_previous!$B$4:$AY$138, LS_previous!U$149, FALSE), VLOOKUP('Staging Table'!$A119, LS_previous!$B$4:$AY$138,LS_previous!AS$149, FALSE))/2)</f>
        <v>-144.71728401243774</v>
      </c>
      <c r="AD119" s="180">
        <f t="array" ref="AD119">IF($G119=0, INDEX(LS_previous!$D$4:$AY$138, MATCH('Staging Table'!$A119, LS_previous!$B$4:$B$138, 0), MATCH(AD$4&amp;AD$5, LS_previous!$D$2:$AY$2&amp;LS_previous!$D$3:$AY$3, 0)),SUM(VLOOKUP($A119, LS_previous!$B$4:$AY$138, LS_previous!V$149, FALSE), VLOOKUP('Staging Table'!$A119, LS_previous!$B$4:$AY$138,LS_previous!AT$149, FALSE))/2)</f>
        <v>-757.75403430568758</v>
      </c>
      <c r="AE119" s="180">
        <f t="array" ref="AE119">IF($G119=0, INDEX(LS_previous!$D$4:$AY$138, MATCH('Staging Table'!$A119, LS_previous!$B$4:$B$138, 0), MATCH(AE$4&amp;AE$5, LS_previous!$D$2:$AY$2&amp;LS_previous!$D$3:$AY$3, 0)),SUM(VLOOKUP($A119, LS_previous!$B$4:$AY$138, LS_previous!W$149, FALSE), VLOOKUP('Staging Table'!$A119, LS_previous!$B$4:$AY$138,LS_previous!AU$149, FALSE))/2)</f>
        <v>-75.777891922625031</v>
      </c>
      <c r="AF119" s="180">
        <f t="array" ref="AF119">IF($G119=0, INDEX(LS_previous!$D$4:$AY$138, MATCH('Staging Table'!$A119, LS_previous!$B$4:$B$138, 0), MATCH(AF$4&amp;AF$5, LS_previous!$D$2:$AY$2&amp;LS_previous!$D$3:$AY$3, 0)),SUM(VLOOKUP($A119, LS_previous!$B$4:$AY$138, LS_previous!X$149, FALSE), VLOOKUP('Staging Table'!$A119, LS_previous!$B$4:$AY$138,LS_previous!AV$149, FALSE))/2)</f>
        <v>-627.25992874378744</v>
      </c>
      <c r="AG119" s="180">
        <f t="array" ref="AG119">IF($G119=0, INDEX(LS_previous!$D$4:$AY$138, MATCH('Staging Table'!$A119, LS_previous!$B$4:$B$138, 0), MATCH(AG$4&amp;AG$5, LS_previous!$D$2:$AY$2&amp;LS_previous!$D$3:$AY$3, 0)),SUM(VLOOKUP($A119, LS_previous!$B$4:$AY$138, LS_previous!Y$149, FALSE), VLOOKUP('Staging Table'!$A119, LS_previous!$B$4:$AY$138,LS_previous!AW$149, FALSE))/2)</f>
        <v>-70.375961120299962</v>
      </c>
      <c r="AH119" s="180">
        <f t="array" ref="AH119">IF($G119=0, INDEX(LS_previous!$D$4:$AY$138, MATCH('Staging Table'!$A119, LS_previous!$B$4:$B$138, 0), MATCH(AH$4&amp;AH$5, LS_previous!$D$2:$AY$2&amp;LS_previous!$D$3:$AY$3, 0)),SUM(VLOOKUP($A119, LS_previous!$B$4:$AY$138, LS_previous!Z$149, FALSE), VLOOKUP('Staging Table'!$A119, LS_previous!$B$4:$AY$138,LS_previous!AX$149, FALSE))/2)</f>
        <v>-505.12137080183788</v>
      </c>
      <c r="AI119" s="180">
        <f t="array" ref="AI119">IF($G119=0, INDEX(LS_previous!$D$4:$AY$138, MATCH('Staging Table'!$A119, LS_previous!$B$4:$B$138, 0), MATCH(AI$4&amp;AI$5, LS_previous!$D$2:$AY$2&amp;LS_previous!$D$3:$AY$3, 0)),SUM(VLOOKUP($A119, LS_previous!$B$4:$AY$138, LS_previous!AA$149, FALSE), VLOOKUP('Staging Table'!$A119, LS_previous!$B$4:$AY$138,LS_previous!AY$149, FALSE))/2)</f>
        <v>-164.36460381641257</v>
      </c>
      <c r="AJ119" s="298">
        <f t="array" ref="AJ119">INDEX(Demand_previous!$D$4:$AY$138, MATCH('Staging Table'!$A119, Demand_previous!$B$4:$B$138, 0), MATCH(AJ$4&amp;AJ$5,Demand_previous!$D$2:$AY$2&amp;Demand_previous!$D$3:$AY$3, 0))/1000</f>
        <v>0.30721153846153815</v>
      </c>
      <c r="AK119" s="298">
        <f t="array" ref="AK119">INDEX(Demand_previous!$D$4:$AY$138, MATCH('Staging Table'!$A119, Demand_previous!$B$4:$B$138, 0), MATCH(AK$4&amp;AK$5,Demand_previous!$D$2:$AY$2&amp;Demand_previous!$D$3:$AY$3, 0))/1000</f>
        <v>0</v>
      </c>
      <c r="AL119" s="298">
        <f t="array" ref="AL119">INDEX(Demand_previous!$D$4:$AY$138, MATCH('Staging Table'!$A119, Demand_previous!$B$4:$B$138, 0), MATCH(AL$4&amp;AL$5,Demand_previous!$D$2:$AY$2&amp;Demand_previous!$D$3:$AY$3, 0))/1000</f>
        <v>1.1351298076923084</v>
      </c>
      <c r="AM119" s="298">
        <f t="array" ref="AM119">INDEX(Demand_previous!$D$4:$AY$138, MATCH('Staging Table'!$A119, Demand_previous!$B$4:$B$138, 0), MATCH(AM$4&amp;AM$5,Demand_previous!$D$2:$AY$2&amp;Demand_previous!$D$3:$AY$3, 0))/1000</f>
        <v>0.83431749999999982</v>
      </c>
      <c r="AN119" s="298">
        <f t="array" ref="AN119">INDEX(Demand_previous!$D$4:$AY$138, MATCH('Staging Table'!$A119, Demand_previous!$B$4:$B$138, 0), MATCH(AN$4&amp;AN$5,Demand_previous!$D$2:$AY$2&amp;Demand_previous!$D$3:$AY$3, 0))/1000</f>
        <v>0.53409114583333395</v>
      </c>
      <c r="AO119" s="298">
        <f t="array" ref="AO119">INDEX(Demand_previous!$D$4:$AY$138, MATCH('Staging Table'!$A119, Demand_previous!$B$4:$B$138, 0), MATCH(AO$4&amp;AO$5,Demand_previous!$D$2:$AY$2&amp;Demand_previous!$D$3:$AY$3, 0))/1000</f>
        <v>0.88817592592592609</v>
      </c>
      <c r="AP119" s="298">
        <f t="array" ref="AP119">INDEX(Demand_previous!$D$4:$AY$138, MATCH('Staging Table'!$A119, Demand_previous!$B$4:$B$138, 0), MATCH(AP$4&amp;AP$5,Demand_previous!$D$2:$AY$2&amp;Demand_previous!$D$3:$AY$3, 0))/1000</f>
        <v>0.26204086538461535</v>
      </c>
      <c r="AQ119" s="298">
        <f t="array" ref="AQ119">INDEX(Demand_previous!$D$4:$AY$138, MATCH('Staging Table'!$A119, Demand_previous!$B$4:$B$138, 0), MATCH(AQ$4&amp;AQ$5,Demand_previous!$D$2:$AY$2&amp;Demand_previous!$D$3:$AY$3, 0))/1000</f>
        <v>0.43455250000000012</v>
      </c>
      <c r="AR119" s="298">
        <f t="array" ref="AR119">INDEX(Demand_previous!$D$4:$AY$138, MATCH('Staging Table'!$A119, Demand_previous!$B$4:$B$138, 0), MATCH(AR$4&amp;AR$5,Demand_previous!$D$2:$AY$2&amp;Demand_previous!$D$3:$AY$3, 0))/1000</f>
        <v>1.2263750000000004</v>
      </c>
      <c r="AS119" s="298">
        <f t="array" ref="AS119">INDEX(Demand_previous!$D$4:$AY$138, MATCH('Staging Table'!$A119, Demand_previous!$B$4:$B$138, 0), MATCH(AS$4&amp;AS$5,Demand_previous!$D$2:$AY$2&amp;Demand_previous!$D$3:$AY$3, 0))/1000</f>
        <v>0.92712499999999975</v>
      </c>
      <c r="AT119" s="298">
        <f t="array" ref="AT119">INDEX(Demand_previous!$D$4:$AY$138, MATCH('Staging Table'!$A119, Demand_previous!$B$4:$B$138, 0), MATCH(AT$4&amp;AT$5,Demand_previous!$D$2:$AY$2&amp;Demand_previous!$D$3:$AY$3, 0))/1000</f>
        <v>1.2300231481481481</v>
      </c>
      <c r="AU119" s="298">
        <f t="array" ref="AU119">INDEX(Demand_previous!$D$4:$AY$138, MATCH('Staging Table'!$A119, Demand_previous!$B$4:$B$138, 0), MATCH(AU$4&amp;AU$5,Demand_previous!$D$2:$AY$2&amp;Demand_previous!$D$3:$AY$3, 0))/1000</f>
        <v>0.97883500000000045</v>
      </c>
      <c r="AV119" s="180">
        <f>$F119*(VLOOKUP(AV$4, Rates_previous!$G$6:$Q$29, 10, FALSE)+VLOOKUP(AV$4, Rates_previous!$G$6:$Q$29, 11, FALSE))</f>
        <v>3073.8989840150252</v>
      </c>
      <c r="AW119" s="180">
        <f>$F119*(VLOOKUP(AW$4, Rates_previous!$G$6:$Q$29, 10, FALSE)+VLOOKUP(AW$4, Rates_previous!$G$6:$Q$29, 11, FALSE))</f>
        <v>3891.667673234138</v>
      </c>
      <c r="AX119" s="180">
        <f>$F119*(VLOOKUP(AX$4, Rates_previous!$G$6:$Q$29, 10, FALSE)+VLOOKUP(AX$4, Rates_previous!$G$6:$Q$29, 11, FALSE))</f>
        <v>3809.1651622137006</v>
      </c>
      <c r="AY119" s="180">
        <f>$F119*(VLOOKUP(AY$4, Rates_previous!$G$6:$Q$29, 10, FALSE)+VLOOKUP(AY$4, Rates_previous!$G$6:$Q$29, 11, FALSE))</f>
        <v>3146.2084398422253</v>
      </c>
      <c r="AZ119" s="180">
        <f>$F119*(VLOOKUP(AZ$4, Rates_previous!$G$6:$Q$29, 10, FALSE)+VLOOKUP(AZ$4, Rates_previous!$G$6:$Q$29, 11, FALSE))</f>
        <v>2726.8878105392623</v>
      </c>
      <c r="BA119" s="180">
        <f>$F119*(VLOOKUP(BA$4, Rates_previous!$G$6:$Q$29, 10, FALSE)+VLOOKUP(BA$4, Rates_previous!$G$6:$Q$29, 11, FALSE))</f>
        <v>3255.3533801129629</v>
      </c>
      <c r="BB119" s="180">
        <f>$F119*(VLOOKUP(BB$4, Rates_previous!$G$6:$Q$29, 10, FALSE)+VLOOKUP(BB$4, Rates_previous!$G$6:$Q$29, 11, FALSE))</f>
        <v>2527.3485180451125</v>
      </c>
      <c r="BC119" s="180">
        <f>$F119*(VLOOKUP(BC$4, Rates_previous!$G$6:$Q$29, 10, FALSE)+VLOOKUP(BC$4, Rates_previous!$G$6:$Q$29, 11, FALSE))</f>
        <v>3501.6599704691253</v>
      </c>
      <c r="BD119" s="180">
        <f>$F119*(VLOOKUP(BD$4, Rates_previous!$G$6:$Q$29, 10, FALSE)+VLOOKUP(BD$4, Rates_previous!$G$6:$Q$29, 11, FALSE))</f>
        <v>3741.5970002341128</v>
      </c>
      <c r="BE119" s="180">
        <f>$F119*(VLOOKUP(BE$4, Rates_previous!$G$6:$Q$29, 10, FALSE)+VLOOKUP(BE$4, Rates_previous!$G$6:$Q$29, 11, FALSE))</f>
        <v>3552.476926228313</v>
      </c>
      <c r="BF119" s="180">
        <f>$F119*(VLOOKUP(BF$4, Rates_previous!$G$6:$Q$29, 10, FALSE)+VLOOKUP(BF$4, Rates_previous!$G$6:$Q$29, 11, FALSE))</f>
        <v>3433.1948898640876</v>
      </c>
      <c r="BG119" s="180">
        <f>$F119*(VLOOKUP(BG$4, Rates_previous!$G$6:$Q$29, 10, FALSE)+VLOOKUP(BG$4, Rates_previous!$G$6:$Q$29, 11, FALSE))</f>
        <v>3172.6299746182503</v>
      </c>
      <c r="BH119" s="298">
        <f>IF($D119=0,IF(C119=0, MAX(BJ119 - (VLOOKUP($A119,TOCA_previous!$A$2:$AI$137,MATCH("RHWM 2022",TOCA_previous!$A$2:$AI$2,0),FALSE)*$F$2*TOCA_previous!C116),0),0), 0)</f>
        <v>134.10603758368961</v>
      </c>
      <c r="BI119" s="192">
        <f>MIN(VLOOKUP($A119,TOCA_previous!$A$2:$AI$137,MATCH("TRL - NLSL - Existing Resource "&amp;$F$1,TOCA_previous!$A$2:$AI$2,0),FALSE)*$F$2,(VLOOKUP($A119,TOCA_previous!$A$2:$AI$137,MATCH("RHWM 2022",TOCA_previous!$A$2:$AI$2,0),FALSE)*$F$2))</f>
        <v>39831.719999999994</v>
      </c>
      <c r="BJ119" s="402">
        <f>SUM(L119:AI119)+(F119*RT1SC!$C$3*$F$2)</f>
        <v>40316.226037583685</v>
      </c>
      <c r="BK119" s="401">
        <f>VLOOKUP($A119,TOCA_previous!$A$2:$AI$137,MATCH("Above RHWM Not Served with LS "&amp;$F$1,TOCA_previous!$A$2:$AI$2,0),FALSE)*$F$2</f>
        <v>0</v>
      </c>
      <c r="BL119" s="402">
        <f t="shared" si="27"/>
        <v>484.50603758369107</v>
      </c>
      <c r="BM119" s="401">
        <f>(VLOOKUP($A119,TOCA_previous!$A$2:$AI$137,MATCH("RHWM 2022",TOCA_previous!$A$2:$AI$2,0),FALSE)*$F$2) - $BI119</f>
        <v>350.40000000000146</v>
      </c>
      <c r="BN119" s="402">
        <f t="shared" si="28"/>
        <v>-350.40000000000146</v>
      </c>
      <c r="BO119" s="401">
        <f t="shared" si="29"/>
        <v>0</v>
      </c>
      <c r="BP119" s="402">
        <f t="shared" si="30"/>
        <v>0</v>
      </c>
      <c r="BQ119" s="401">
        <f t="shared" si="37"/>
        <v>-350.40000000000146</v>
      </c>
      <c r="BR119" s="108">
        <f>VLOOKUP($A119,TOCA_current!$A$2:$AI$137,MATCH(BR$4,TOCA_current!$A$2:$AI$2,0),FALSE)</f>
        <v>6.4979999999999997E-4</v>
      </c>
      <c r="BS119" s="108">
        <f>VLOOKUP($A119,TOCA_current!$A$2:$AI$137,MATCH(BS$4,TOCA_current!$A$2:$AI$2,0),FALSE)</f>
        <v>6.4979999999999997E-4</v>
      </c>
      <c r="BT119" s="189">
        <f t="shared" si="31"/>
        <v>0</v>
      </c>
      <c r="BU119" s="108">
        <f>VLOOKUP($A119,TOCA_current!A115:BG250,MATCH(BU$4,TOCA_current!$A$2:$BG$2,0),FALSE)</f>
        <v>0</v>
      </c>
      <c r="BV119" s="108">
        <f t="shared" si="38"/>
        <v>0</v>
      </c>
      <c r="BW119" s="108">
        <f t="shared" si="39"/>
        <v>0</v>
      </c>
      <c r="BX119" s="179">
        <f>VLOOKUP($A119,IRD!$A$4:$G$139, 7, FALSE)</f>
        <v>0</v>
      </c>
      <c r="BY119" s="180">
        <f t="array" ref="BY119">IF($BT119=0, INDEX(LS_current!$D$4:$AY$138, MATCH('Staging Table'!$A119, LS_current!$B$4:$B$138, 0), MATCH(BY$4&amp;BY$5, LS_current!$D$2:$AY$2&amp;LS_current!$D$3:$AY$3, 0)),SUM(VLOOKUP($A119, LS_current!$B$4:$AY$138, LS_current!D$148, FALSE), VLOOKUP($A119, LS_current!$B$4:$AY$138,LS_current!AB$148, FALSE))/2)</f>
        <v>331.47786540719994</v>
      </c>
      <c r="BZ119" s="180">
        <f t="array" ref="BZ119">IF($BT119=0, INDEX(LS_current!$D$4:$AY$138, MATCH('Staging Table'!$A119, LS_current!$B$4:$B$138, 0), MATCH(BZ$4&amp;BZ$5, LS_current!$D$2:$AY$2&amp;LS_current!$D$3:$AY$3, 0)),SUM(VLOOKUP($A119, LS_current!$B$4:$AY$138, LS_current!E$148, FALSE), VLOOKUP($A119, LS_current!$B$4:$AY$138,LS_current!AC$148, FALSE))/2)</f>
        <v>107.60145037010011</v>
      </c>
      <c r="CA119" s="180">
        <f t="array" ref="CA119">IF($BT119=0, INDEX(LS_current!$D$4:$AY$138, MATCH('Staging Table'!$A119, LS_current!$B$4:$B$138, 0), MATCH(CA$4&amp;CA$5, LS_current!$D$2:$AY$2&amp;LS_current!$D$3:$AY$3, 0)),SUM(VLOOKUP($A119, LS_current!$B$4:$AY$138, LS_current!F$148, FALSE), VLOOKUP($A119, LS_current!$B$4:$AY$138,LS_current!AD$148, FALSE))/2)</f>
        <v>232.39213426559991</v>
      </c>
      <c r="CB119" s="180">
        <f t="array" ref="CB119">IF($BT119=0, INDEX(LS_current!$D$4:$AY$138, MATCH('Staging Table'!$A119, LS_current!$B$4:$B$138, 0), MATCH(CB$4&amp;CB$5, LS_current!$D$2:$AY$2&amp;LS_current!$D$3:$AY$3, 0)),SUM(VLOOKUP($A119, LS_current!$B$4:$AY$138, LS_current!G$148, FALSE), VLOOKUP($A119, LS_current!$B$4:$AY$138,LS_current!AE$148, FALSE))/2)</f>
        <v>245.07706557619986</v>
      </c>
      <c r="CC119" s="180">
        <f t="array" ref="CC119">IF($BT119=0, INDEX(LS_current!$D$4:$AY$138, MATCH('Staging Table'!$A119, LS_current!$B$4:$B$138, 0), MATCH(CC$4&amp;CC$5, LS_current!$D$2:$AY$2&amp;LS_current!$D$3:$AY$3, 0)),SUM(VLOOKUP($A119, LS_current!$B$4:$AY$138, LS_current!H$148, FALSE), VLOOKUP($A119, LS_current!$B$4:$AY$138,LS_current!AF$148, FALSE))/2)</f>
        <v>456.68636679780002</v>
      </c>
      <c r="CD119" s="180">
        <f t="array" ref="CD119">IF($BT119=0, INDEX(LS_current!$D$4:$AY$138, MATCH('Staging Table'!$A119, LS_current!$B$4:$B$138, 0), MATCH(CD$4&amp;CD$5, LS_current!$D$2:$AY$2&amp;LS_current!$D$3:$AY$3, 0)),SUM(VLOOKUP($A119, LS_current!$B$4:$AY$138, LS_current!I$148, FALSE), VLOOKUP($A119, LS_current!$B$4:$AY$138,LS_current!AG$148, FALSE))/2)</f>
        <v>303.11129633919995</v>
      </c>
      <c r="CE119" s="180">
        <f t="array" ref="CE119">IF($BT119=0, INDEX(LS_current!$D$4:$AY$138, MATCH('Staging Table'!$A119, LS_current!$B$4:$B$138, 0), MATCH(CE$4&amp;CE$5, LS_current!$D$2:$AY$2&amp;LS_current!$D$3:$AY$3, 0)),SUM(VLOOKUP($A119, LS_current!$B$4:$AY$138, LS_current!J$148, FALSE), VLOOKUP($A119, LS_current!$B$4:$AY$138,LS_current!AH$148, FALSE))/2)</f>
        <v>306.42052359300033</v>
      </c>
      <c r="CF119" s="180">
        <f t="array" ref="CF119">IF($BT119=0, INDEX(LS_current!$D$4:$AY$138, MATCH('Staging Table'!$A119, LS_current!$B$4:$B$138, 0), MATCH(CF$4&amp;CF$5, LS_current!$D$2:$AY$2&amp;LS_current!$D$3:$AY$3, 0)),SUM(VLOOKUP($A119, LS_current!$B$4:$AY$138, LS_current!K$148, FALSE), VLOOKUP($A119, LS_current!$B$4:$AY$138,LS_current!AI$148, FALSE))/2)</f>
        <v>387.34890875580004</v>
      </c>
      <c r="CG119" s="180">
        <f t="array" ref="CG119">IF($BT119=0, INDEX(LS_current!$D$4:$AY$138, MATCH('Staging Table'!$A119, LS_current!$B$4:$B$138, 0), MATCH(CG$4&amp;CG$5, LS_current!$D$2:$AY$2&amp;LS_current!$D$3:$AY$3, 0)),SUM(VLOOKUP($A119, LS_current!$B$4:$AY$138, LS_current!L$148, FALSE), VLOOKUP($A119, LS_current!$B$4:$AY$138,LS_current!AJ$148, FALSE))/2)</f>
        <v>275.21167782580005</v>
      </c>
      <c r="CH119" s="180">
        <f t="array" ref="CH119">IF($BT119=0, INDEX(LS_current!$D$4:$AY$138, MATCH('Staging Table'!$A119, LS_current!$B$4:$B$138, 0), MATCH(CH$4&amp;CH$5, LS_current!$D$2:$AY$2&amp;LS_current!$D$3:$AY$3, 0)),SUM(VLOOKUP($A119, LS_current!$B$4:$AY$138, LS_current!M$148, FALSE), VLOOKUP($A119, LS_current!$B$4:$AY$138,LS_current!AK$148, FALSE))/2)</f>
        <v>321.93570704180001</v>
      </c>
      <c r="CI119" s="180">
        <f t="array" ref="CI119">IF($BT119=0, INDEX(LS_current!$D$4:$AY$138, MATCH('Staging Table'!$A119, LS_current!$B$4:$B$138, 0), MATCH(CI$4&amp;CI$5, LS_current!$D$2:$AY$2&amp;LS_current!$D$3:$AY$3, 0)),SUM(VLOOKUP($A119, LS_current!$B$4:$AY$138, LS_current!N$148, FALSE), VLOOKUP($A119, LS_current!$B$4:$AY$138,LS_current!AL$148, FALSE))/2)</f>
        <v>27.894560372600154</v>
      </c>
      <c r="CJ119" s="180">
        <f t="array" ref="CJ119">IF($BT119=0, INDEX(LS_current!$D$4:$AY$138, MATCH('Staging Table'!$A119, LS_current!$B$4:$B$138, 0), MATCH(CJ$4&amp;CJ$5, LS_current!$D$2:$AY$2&amp;LS_current!$D$3:$AY$3, 0)),SUM(VLOOKUP($A119, LS_current!$B$4:$AY$138, LS_current!O$148, FALSE), VLOOKUP($A119, LS_current!$B$4:$AY$138,LS_current!AM$148, FALSE))/2)</f>
        <v>-19.24587134440003</v>
      </c>
      <c r="CK119" s="180">
        <f t="array" ref="CK119">IF($BT119=0, INDEX(LS_current!$D$4:$AY$138, MATCH('Staging Table'!$A119, LS_current!$B$4:$B$138, 0), MATCH(CK$4&amp;CK$5, LS_current!$D$2:$AY$2&amp;LS_current!$D$3:$AY$3, 0)),SUM(VLOOKUP($A119, LS_current!$B$4:$AY$138, LS_current!P$148, FALSE), VLOOKUP($A119, LS_current!$B$4:$AY$138,LS_current!AN$148, FALSE))/2)</f>
        <v>201.97042618050023</v>
      </c>
      <c r="CL119" s="180">
        <f t="array" ref="CL119">IF($BT119=0, INDEX(LS_current!$D$4:$AY$138, MATCH('Staging Table'!$A119, LS_current!$B$4:$B$138, 0), MATCH(CL$4&amp;CL$5, LS_current!$D$2:$AY$2&amp;LS_current!$D$3:$AY$3, 0)),SUM(VLOOKUP($A119, LS_current!$B$4:$AY$138, LS_current!Q$148, FALSE), VLOOKUP($A119, LS_current!$B$4:$AY$138,LS_current!AO$148, FALSE))/2)</f>
        <v>107.5502925548501</v>
      </c>
      <c r="CM119" s="180">
        <f t="array" ref="CM119">IF($BT119=0, INDEX(LS_current!$D$4:$AY$138, MATCH('Staging Table'!$A119, LS_current!$B$4:$B$138, 0), MATCH(CM$4&amp;CM$5, LS_current!$D$2:$AY$2&amp;LS_current!$D$3:$AY$3, 0)),SUM(VLOOKUP($A119, LS_current!$B$4:$AY$138, LS_current!R$148, FALSE), VLOOKUP($A119, LS_current!$B$4:$AY$138,LS_current!AP$148, FALSE))/2)</f>
        <v>-573.62758783039999</v>
      </c>
      <c r="CN119" s="180">
        <f t="array" ref="CN119">IF($BT119=0, INDEX(LS_current!$D$4:$AY$138, MATCH('Staging Table'!$A119, LS_current!$B$4:$B$138, 0), MATCH(CN$4&amp;CN$5, LS_current!$D$2:$AY$2&amp;LS_current!$D$3:$AY$3, 0)),SUM(VLOOKUP($A119, LS_current!$B$4:$AY$138, LS_current!S$148, FALSE), VLOOKUP($A119, LS_current!$B$4:$AY$138,LS_current!AQ$148, FALSE))/2)</f>
        <v>-297.85553919329982</v>
      </c>
      <c r="CO119" s="180">
        <f t="array" ref="CO119">IF($BT119=0, INDEX(LS_current!$D$4:$AY$138, MATCH('Staging Table'!$A119, LS_current!$B$4:$B$138, 0), MATCH(CO$4&amp;CO$5, LS_current!$D$2:$AY$2&amp;LS_current!$D$3:$AY$3, 0)),SUM(VLOOKUP($A119, LS_current!$B$4:$AY$138, LS_current!T$148, FALSE), VLOOKUP($A119, LS_current!$B$4:$AY$138,LS_current!AR$148, FALSE))/2)</f>
        <v>-795.04915031479982</v>
      </c>
      <c r="CP119" s="180">
        <f t="array" ref="CP119">IF($BT119=0, INDEX(LS_current!$D$4:$AY$138, MATCH('Staging Table'!$A119, LS_current!$B$4:$B$138, 0), MATCH(CP$4&amp;CP$5, LS_current!$D$2:$AY$2&amp;LS_current!$D$3:$AY$3, 0)),SUM(VLOOKUP($A119, LS_current!$B$4:$AY$138, LS_current!U$148, FALSE), VLOOKUP($A119, LS_current!$B$4:$AY$138,LS_current!AS$148, FALSE))/2)</f>
        <v>-441.95693041409993</v>
      </c>
      <c r="CQ119" s="180">
        <f t="array" ref="CQ119">IF($BT119=0, INDEX(LS_current!$D$4:$AY$138, MATCH('Staging Table'!$A119, LS_current!$B$4:$B$138, 0), MATCH(CQ$4&amp;CQ$5, LS_current!$D$2:$AY$2&amp;LS_current!$D$3:$AY$3, 0)),SUM(VLOOKUP($A119, LS_current!$B$4:$AY$138, LS_current!V$148, FALSE), VLOOKUP($A119, LS_current!$B$4:$AY$138,LS_current!AT$148, FALSE))/2)</f>
        <v>-384.60724024720002</v>
      </c>
      <c r="CR119" s="180">
        <f t="array" ref="CR119">IF($BT119=0, INDEX(LS_current!$D$4:$AY$138, MATCH('Staging Table'!$A119, LS_current!$B$4:$B$138, 0), MATCH(CR$4&amp;CR$5, LS_current!$D$2:$AY$2&amp;LS_current!$D$3:$AY$3, 0)),SUM(VLOOKUP($A119, LS_current!$B$4:$AY$138, LS_current!W$148, FALSE), VLOOKUP($A119, LS_current!$B$4:$AY$138,LS_current!AU$148, FALSE))/2)</f>
        <v>-94.603763349499786</v>
      </c>
      <c r="CS119" s="180">
        <f t="array" ref="CS119">IF($BT119=0, INDEX(LS_current!$D$4:$AY$138, MATCH('Staging Table'!$A119, LS_current!$B$4:$B$138, 0), MATCH(CS$4&amp;CS$5, LS_current!$D$2:$AY$2&amp;LS_current!$D$3:$AY$3, 0)),SUM(VLOOKUP($A119, LS_current!$B$4:$AY$138, LS_current!X$148, FALSE), VLOOKUP($A119, LS_current!$B$4:$AY$138,LS_current!AV$148, FALSE))/2)</f>
        <v>-276.4949534407001</v>
      </c>
      <c r="CT119" s="180">
        <f t="array" ref="CT119">IF($BT119=0, INDEX(LS_current!$D$4:$AY$138, MATCH('Staging Table'!$A119, LS_current!$B$4:$B$138, 0), MATCH(CT$4&amp;CT$5, LS_current!$D$2:$AY$2&amp;LS_current!$D$3:$AY$3, 0)),SUM(VLOOKUP($A119, LS_current!$B$4:$AY$138, LS_current!Y$148, FALSE), VLOOKUP($A119, LS_current!$B$4:$AY$138,LS_current!AW$148, FALSE))/2)</f>
        <v>-79.712804286529945</v>
      </c>
      <c r="CU119" s="180">
        <f t="array" ref="CU119">IF($BT119=0, INDEX(LS_current!$D$4:$AY$138, MATCH('Staging Table'!$A119, LS_current!$B$4:$B$138, 0), MATCH(CU$4&amp;CU$5, LS_current!$D$2:$AY$2&amp;LS_current!$D$3:$AY$3, 0)),SUM(VLOOKUP($A119, LS_current!$B$4:$AY$138, LS_current!Z$148, FALSE), VLOOKUP($A119, LS_current!$B$4:$AY$138,LS_current!AX$148, FALSE))/2)</f>
        <v>-179.52089044520017</v>
      </c>
      <c r="CV119" s="180">
        <f t="array" ref="CV119">IF($BT119=0, INDEX(LS_current!$D$4:$AY$138, MATCH('Staging Table'!$A119, LS_current!$B$4:$B$138, 0), MATCH(CV$4&amp;CV$5, LS_current!$D$2:$AY$2&amp;LS_current!$D$3:$AY$3, 0)),SUM(VLOOKUP($A119, LS_current!$B$4:$AY$138, LS_current!AA$148, FALSE), VLOOKUP($A119, LS_current!$B$4:$AY$138,LS_current!AY$148, FALSE))/2)</f>
        <v>-162.35924377920003</v>
      </c>
      <c r="CW119" s="182">
        <f t="array" ref="CW119">INDEX(Demand_current!$D$4:$AY$138, MATCH($A119, Demand_current!$B$4:$B$138, 0), MATCH(CW$4&amp;CW$5,Demand_current!$D$2:$AY$2&amp;Demand_current!$D$3:$AY$3, 0))/1000</f>
        <v>0.30721153846153815</v>
      </c>
      <c r="CX119" s="182">
        <f t="array" ref="CX119">INDEX(Demand_current!$D$4:$AY$138, MATCH($A119, Demand_current!$B$4:$B$138, 0), MATCH(CX$4&amp;CX$5,Demand_current!$D$2:$AY$2&amp;Demand_current!$D$3:$AY$3, 0))/1000</f>
        <v>0</v>
      </c>
      <c r="CY119" s="182">
        <f t="array" ref="CY119">INDEX(Demand_current!$D$4:$AY$138, MATCH($A119, Demand_current!$B$4:$B$138, 0), MATCH(CY$4&amp;CY$5,Demand_current!$D$2:$AY$2&amp;Demand_current!$D$3:$AY$3, 0))/1000</f>
        <v>0.87125500000000033</v>
      </c>
      <c r="CZ119" s="182">
        <f t="array" ref="CZ119">INDEX(Demand_current!$D$4:$AY$138, MATCH($A119, Demand_current!$B$4:$B$138, 0), MATCH(CZ$4&amp;CZ$5,Demand_current!$D$2:$AY$2&amp;Demand_current!$D$3:$AY$3, 0))/1000</f>
        <v>1.0971899038461543</v>
      </c>
      <c r="DA119" s="182">
        <f t="array" ref="DA119">INDEX(Demand_current!$D$4:$AY$138, MATCH($A119, Demand_current!$B$4:$B$138, 0), MATCH(DA$4&amp;DA$5,Demand_current!$D$2:$AY$2&amp;Demand_current!$D$3:$AY$3, 0))/1000</f>
        <v>0.78612750000000098</v>
      </c>
      <c r="DB119" s="182">
        <f t="array" ref="DB119">INDEX(Demand_current!$D$4:$AY$138, MATCH($A119, Demand_current!$B$4:$B$138, 0), MATCH(DB$4&amp;DB$5,Demand_current!$D$2:$AY$2&amp;Demand_current!$D$3:$AY$3, 0))/1000</f>
        <v>0.68610576923076882</v>
      </c>
      <c r="DC119" s="182">
        <f t="array" ref="DC119">INDEX(Demand_current!$D$4:$AY$138, MATCH($A119, Demand_current!$B$4:$B$138, 0), MATCH(DC$4&amp;DC$5,Demand_current!$D$2:$AY$2&amp;Demand_current!$D$3:$AY$3, 0))/1000</f>
        <v>0.26204086538461535</v>
      </c>
      <c r="DD119" s="182">
        <f t="array" ref="DD119">INDEX(Demand_current!$D$4:$AY$138, MATCH($A119, Demand_current!$B$4:$B$138, 0), MATCH(DD$4&amp;DD$5,Demand_current!$D$2:$AY$2&amp;Demand_current!$D$3:$AY$3, 0))/1000</f>
        <v>0.5900697115384621</v>
      </c>
      <c r="DE119" s="182">
        <f t="array" ref="DE119">INDEX(Demand_current!$D$4:$AY$138, MATCH($A119, Demand_current!$B$4:$B$138, 0), MATCH(DE$4&amp;DE$5,Demand_current!$D$2:$AY$2&amp;Demand_current!$D$3:$AY$3, 0))/1000</f>
        <v>1.0803900000000004</v>
      </c>
      <c r="DF119" s="182">
        <f t="array" ref="DF119">INDEX(Demand_current!$D$4:$AY$138, MATCH($A119, Demand_current!$B$4:$B$138, 0), MATCH(DF$4&amp;DF$5,Demand_current!$D$2:$AY$2&amp;Demand_current!$D$3:$AY$3, 0))/1000</f>
        <v>1.0817740384615386</v>
      </c>
      <c r="DG119" s="182">
        <f t="array" ref="DG119">INDEX(Demand_current!$D$4:$AY$138, MATCH($A119, Demand_current!$B$4:$B$138, 0), MATCH(DG$4&amp;DG$5,Demand_current!$D$2:$AY$2&amp;Demand_current!$D$3:$AY$3, 0))/1000</f>
        <v>1.2300231481481481</v>
      </c>
      <c r="DH119" s="182">
        <f t="array" ref="DH119">INDEX(Demand_current!$D$4:$AY$138, MATCH($A119, Demand_current!$B$4:$B$138, 0), MATCH(DH$4&amp;DH$5,Demand_current!$D$2:$AY$2&amp;Demand_current!$D$3:$AY$3, 0))/1000</f>
        <v>0.82053645833333388</v>
      </c>
      <c r="DI119" s="180">
        <f>$BS119*(VLOOKUP(DI$4, Rates_current!$G$6:$Q$29, 10, FALSE)+VLOOKUP(DI$4, Rates_current!$G$6:$Q$29, 11, FALSE))</f>
        <v>2741.3786842227</v>
      </c>
      <c r="DJ119" s="180">
        <f>$BS119*(VLOOKUP(DJ$4, Rates_current!$G$6:$Q$29, 10, FALSE)+VLOOKUP(DJ$4, Rates_current!$G$6:$Q$29, 11, FALSE))</f>
        <v>3496.1618001582001</v>
      </c>
      <c r="DK119" s="180">
        <f>$BS119*(VLOOKUP(DK$4, Rates_current!$G$6:$Q$29, 10, FALSE)+VLOOKUP(DK$4, Rates_current!$G$6:$Q$29, 11, FALSE))</f>
        <v>3773.0503368630002</v>
      </c>
      <c r="DL119" s="180">
        <f>$BS119*(VLOOKUP(DL$4, Rates_current!$G$6:$Q$29, 10, FALSE)+VLOOKUP(DL$4, Rates_current!$G$6:$Q$29, 11, FALSE))</f>
        <v>3920.7825676511998</v>
      </c>
      <c r="DM119" s="180">
        <f>$BS119*(VLOOKUP(DM$4, Rates_current!$G$6:$Q$29, 10, FALSE)+VLOOKUP(DM$4, Rates_current!$G$6:$Q$29, 11, FALSE))</f>
        <v>3372.3956151323996</v>
      </c>
      <c r="DN119" s="180">
        <f>$BS119*(VLOOKUP(DN$4, Rates_current!$G$6:$Q$29, 10, FALSE)+VLOOKUP(DN$4, Rates_current!$G$6:$Q$29, 11, FALSE))</f>
        <v>3681.9883109717998</v>
      </c>
      <c r="DO119" s="180">
        <f>$BS119*(VLOOKUP(DO$4, Rates_current!$G$6:$Q$29, 10, FALSE)+VLOOKUP(DO$4, Rates_current!$G$6:$Q$29, 11, FALSE))</f>
        <v>2906.3092812646496</v>
      </c>
      <c r="DP119" s="180">
        <f>$BS119*(VLOOKUP(DP$4, Rates_current!$G$6:$Q$29, 10, FALSE)+VLOOKUP(DP$4, Rates_current!$G$6:$Q$29, 11, FALSE))</f>
        <v>3605.6661270237</v>
      </c>
      <c r="DQ119" s="180">
        <f>$BS119*(VLOOKUP(DQ$4, Rates_current!$G$6:$Q$29, 10, FALSE)+VLOOKUP(DQ$4, Rates_current!$G$6:$Q$29, 11, FALSE))</f>
        <v>3683.9000807288994</v>
      </c>
      <c r="DR119" s="180">
        <f>$BS119*(VLOOKUP(DR$4, Rates_current!$G$6:$Q$29, 10, FALSE)+VLOOKUP(DR$4, Rates_current!$G$6:$Q$29, 11, FALSE))</f>
        <v>3198.1560035967</v>
      </c>
      <c r="DS119" s="180">
        <f>$BS119*(VLOOKUP(DS$4, Rates_current!$G$6:$Q$29, 10, FALSE)+VLOOKUP(DS$4, Rates_current!$G$6:$Q$29, 11, FALSE))</f>
        <v>3091.76675772723</v>
      </c>
      <c r="DT119" s="180">
        <f>$BS119*(VLOOKUP(DT$4, Rates_current!$G$6:$Q$29, 10, FALSE)+VLOOKUP(DT$4, Rates_current!$G$6:$Q$29, 11, FALSE))</f>
        <v>2845.0241342244003</v>
      </c>
      <c r="DU119" s="402">
        <f>IF(D119=0,IF(C119=0,MAX(0,DW119 - (VLOOKUP($A119,TOCA_current!$A$2:$AI$137,MATCH("RHWM 2024",TOCA_current!$A$2:$AI$2,0),FALSE)*$BS$2)), 0),0)</f>
        <v>0</v>
      </c>
      <c r="DV119" s="403">
        <f>MIN(VLOOKUP($A119,TOCA_current!$A$2:$AI$137,MATCH("TRL - NLSL - Existing Resource "&amp;$BS$1,TOCA_current!$A$2:$AI$2,0),FALSE)*$BS$2, VLOOKUP($A119,TOCA_current!$A$2:$AI$137,MATCH("RHWM 2024",TOCA_current!$A$2:$AI$2,0),FALSE)*$BS$2)</f>
        <v>40318.559999999998</v>
      </c>
      <c r="DW119" s="403">
        <f>SUM(BY119:CV119)+(BS119*RT1SC!$C$4*$BS$2)</f>
        <v>40316.224184803126</v>
      </c>
      <c r="DX119" s="403">
        <f>VLOOKUP($A119,TOCA_current!$A$2:$AI$137,MATCH("Above RHWM Not Served with LS "&amp;$BS$1,TOCA_current!$A$2:$AI$2,0),FALSE)*$BS$2</f>
        <v>0</v>
      </c>
      <c r="DY119" s="403">
        <f t="shared" si="32"/>
        <v>-2.3358151968714083</v>
      </c>
      <c r="DZ119" s="403">
        <f>(VLOOKUP($A119,TOCA_current!$A$2:$AI$137,MATCH("RHWM 2024",TOCA_current!$A$2:$AI$2,0),FALSE)*$BS$2) - $DV119</f>
        <v>1914.9120000000039</v>
      </c>
      <c r="EA119" s="403">
        <f t="shared" si="33"/>
        <v>0</v>
      </c>
      <c r="EB119" s="403">
        <f t="shared" si="34"/>
        <v>2.3358151968714083</v>
      </c>
      <c r="EC119" s="403">
        <f t="shared" si="35"/>
        <v>0</v>
      </c>
      <c r="ED119" s="403">
        <f t="shared" si="36"/>
        <v>2.3358151968714083</v>
      </c>
    </row>
    <row r="120" spans="1:134">
      <c r="A120" s="123">
        <v>10388</v>
      </c>
      <c r="B120" s="124" t="s">
        <v>121</v>
      </c>
      <c r="C120" s="232">
        <f>VLOOKUP(A120, TOCA_current!$A$3:$D$137, 4, FALSE)</f>
        <v>0</v>
      </c>
      <c r="D120" s="191">
        <v>0</v>
      </c>
      <c r="E120" s="107">
        <f>VLOOKUP($A120,TOCA_previous!$A$2:$AI$137,MATCH(E$4,TOCA_previous!$A$2:$AI$2,0),FALSE)</f>
        <v>1.6032999999999999E-2</v>
      </c>
      <c r="F120" s="108">
        <f>VLOOKUP($A120,TOCA_previous!$A$2:$AI$137,MATCH(F$4,TOCA_previous!$A$2:$AI$2,0),FALSE)</f>
        <v>1.6032999999999999E-2</v>
      </c>
      <c r="G120" s="108">
        <f t="shared" si="24"/>
        <v>0</v>
      </c>
      <c r="H120" s="108">
        <f>VLOOKUP($A120,TOCA_previous!$A$2:$AI$137,MATCH(H$4,TOCA_previous!$A$2:$AI$2,0),FALSE)</f>
        <v>9.2130000000000004E-2</v>
      </c>
      <c r="I120" s="108">
        <f t="shared" si="25"/>
        <v>0</v>
      </c>
      <c r="J120" s="108">
        <f t="shared" si="26"/>
        <v>0</v>
      </c>
      <c r="K120" s="179">
        <f>VLOOKUP(A120, IRD!$A$5:$C$139, 3, FALSE)</f>
        <v>228772.42700000003</v>
      </c>
      <c r="L120" s="180">
        <f t="array" ref="L120">IF($G120=0, INDEX(LS_previous!$D$4:$AY$138, MATCH('Staging Table'!$A120, LS_previous!$B$4:$B$138, 0), MATCH(L$4&amp;L$5, LS_previous!$D$2:$AY$2&amp;LS_previous!$D$3:$AY$3, 0)),SUM(VLOOKUP($A120, LS_previous!$B$4:$AY$138, LS_previous!D$149, FALSE), VLOOKUP('Staging Table'!$A120, LS_previous!$B$4:$AY$138,LS_previous!AB$149, FALSE))/2)</f>
        <v>-2445.2733112976202</v>
      </c>
      <c r="M120" s="180">
        <f t="array" ref="M120">IF($G120=0, INDEX(LS_previous!$D$4:$AY$138, MATCH('Staging Table'!$A120, LS_previous!$B$4:$B$138, 0), MATCH(M$4&amp;M$5, LS_previous!$D$2:$AY$2&amp;LS_previous!$D$3:$AY$3, 0)),SUM(VLOOKUP($A120, LS_previous!$B$4:$AY$138, LS_previous!E$149, FALSE), VLOOKUP('Staging Table'!$A120, LS_previous!$B$4:$AY$138,LS_previous!AC$149, FALSE))/2)</f>
        <v>-17690.60492679551</v>
      </c>
      <c r="N120" s="180">
        <f t="array" ref="N120">IF($G120=0, INDEX(LS_previous!$D$4:$AY$138, MATCH('Staging Table'!$A120, LS_previous!$B$4:$B$138, 0), MATCH(N$4&amp;N$5, LS_previous!$D$2:$AY$2&amp;LS_previous!$D$3:$AY$3, 0)),SUM(VLOOKUP($A120, LS_previous!$B$4:$AY$138, LS_previous!F$149, FALSE), VLOOKUP('Staging Table'!$A120, LS_previous!$B$4:$AY$138,LS_previous!AD$149, FALSE))/2)</f>
        <v>-22504.156919516339</v>
      </c>
      <c r="O120" s="180">
        <f t="array" ref="O120">IF($G120=0, INDEX(LS_previous!$D$4:$AY$138, MATCH('Staging Table'!$A120, LS_previous!$B$4:$B$138, 0), MATCH(O$4&amp;O$5, LS_previous!$D$2:$AY$2&amp;LS_previous!$D$3:$AY$3, 0)),SUM(VLOOKUP($A120, LS_previous!$B$4:$AY$138, LS_previous!G$149, FALSE), VLOOKUP('Staging Table'!$A120, LS_previous!$B$4:$AY$138,LS_previous!AE$149, FALSE))/2)</f>
        <v>-18354.558828576883</v>
      </c>
      <c r="P120" s="180">
        <f t="array" ref="P120">IF($G120=0, INDEX(LS_previous!$D$4:$AY$138, MATCH('Staging Table'!$A120, LS_previous!$B$4:$B$138, 0), MATCH(P$4&amp;P$5, LS_previous!$D$2:$AY$2&amp;LS_previous!$D$3:$AY$3, 0)),SUM(VLOOKUP($A120, LS_previous!$B$4:$AY$138, LS_previous!H$149, FALSE), VLOOKUP('Staging Table'!$A120, LS_previous!$B$4:$AY$138,LS_previous!AF$149, FALSE))/2)</f>
        <v>-18107.000571133365</v>
      </c>
      <c r="Q120" s="180">
        <f t="array" ref="Q120">IF($G120=0, INDEX(LS_previous!$D$4:$AY$138, MATCH('Staging Table'!$A120, LS_previous!$B$4:$B$138, 0), MATCH(Q$4&amp;Q$5, LS_previous!$D$2:$AY$2&amp;LS_previous!$D$3:$AY$3, 0)),SUM(VLOOKUP($A120, LS_previous!$B$4:$AY$138, LS_previous!I$149, FALSE), VLOOKUP('Staging Table'!$A120, LS_previous!$B$4:$AY$138,LS_previous!AG$149, FALSE))/2)</f>
        <v>-17025.355644825548</v>
      </c>
      <c r="R120" s="180">
        <f t="array" ref="R120">IF($G120=0, INDEX(LS_previous!$D$4:$AY$138, MATCH('Staging Table'!$A120, LS_previous!$B$4:$B$138, 0), MATCH(R$4&amp;R$5, LS_previous!$D$2:$AY$2&amp;LS_previous!$D$3:$AY$3, 0)),SUM(VLOOKUP($A120, LS_previous!$B$4:$AY$138, LS_previous!J$149, FALSE), VLOOKUP('Staging Table'!$A120, LS_previous!$B$4:$AY$138,LS_previous!AH$149, FALSE))/2)</f>
        <v>-128.30873417169641</v>
      </c>
      <c r="S120" s="180">
        <f t="array" ref="S120">IF($G120=0, INDEX(LS_previous!$D$4:$AY$138, MATCH('Staging Table'!$A120, LS_previous!$B$4:$B$138, 0), MATCH(S$4&amp;S$5, LS_previous!$D$2:$AY$2&amp;LS_previous!$D$3:$AY$3, 0)),SUM(VLOOKUP($A120, LS_previous!$B$4:$AY$138, LS_previous!K$149, FALSE), VLOOKUP('Staging Table'!$A120, LS_previous!$B$4:$AY$138,LS_previous!AI$149, FALSE))/2)</f>
        <v>-13965.512548777009</v>
      </c>
      <c r="T120" s="180">
        <f t="array" ref="T120">IF($G120=0, INDEX(LS_previous!$D$4:$AY$138, MATCH('Staging Table'!$A120, LS_previous!$B$4:$B$138, 0), MATCH(T$4&amp;T$5, LS_previous!$D$2:$AY$2&amp;LS_previous!$D$3:$AY$3, 0)),SUM(VLOOKUP($A120, LS_previous!$B$4:$AY$138, LS_previous!L$149, FALSE), VLOOKUP('Staging Table'!$A120, LS_previous!$B$4:$AY$138,LS_previous!AJ$149, FALSE))/2)</f>
        <v>127.04127937711019</v>
      </c>
      <c r="U120" s="180">
        <f t="array" ref="U120">IF($G120=0, INDEX(LS_previous!$D$4:$AY$138, MATCH('Staging Table'!$A120, LS_previous!$B$4:$B$138, 0), MATCH(U$4&amp;U$5, LS_previous!$D$2:$AY$2&amp;LS_previous!$D$3:$AY$3, 0)),SUM(VLOOKUP($A120, LS_previous!$B$4:$AY$138, LS_previous!M$149, FALSE), VLOOKUP('Staging Table'!$A120, LS_previous!$B$4:$AY$138,LS_previous!AK$149, FALSE))/2)</f>
        <v>-3864.3504888229945</v>
      </c>
      <c r="V120" s="180">
        <f t="array" ref="V120">IF($G120=0, INDEX(LS_previous!$D$4:$AY$138, MATCH('Staging Table'!$A120, LS_previous!$B$4:$B$138, 0), MATCH(V$4&amp;V$5, LS_previous!$D$2:$AY$2&amp;LS_previous!$D$3:$AY$3, 0)),SUM(VLOOKUP($A120, LS_previous!$B$4:$AY$138, LS_previous!N$149, FALSE), VLOOKUP('Staging Table'!$A120, LS_previous!$B$4:$AY$138,LS_previous!AL$149, FALSE))/2)</f>
        <v>5096.6902837227826</v>
      </c>
      <c r="W120" s="180">
        <f t="array" ref="W120">IF($G120=0, INDEX(LS_previous!$D$4:$AY$138, MATCH('Staging Table'!$A120, LS_previous!$B$4:$B$138, 0), MATCH(W$4&amp;W$5, LS_previous!$D$2:$AY$2&amp;LS_previous!$D$3:$AY$3, 0)),SUM(VLOOKUP($A120, LS_previous!$B$4:$AY$138, LS_previous!O$149, FALSE), VLOOKUP('Staging Table'!$A120, LS_previous!$B$4:$AY$138,LS_previous!AM$149, FALSE))/2)</f>
        <v>-10322.599866465058</v>
      </c>
      <c r="X120" s="180">
        <f t="array" ref="X120">IF($G120=0, INDEX(LS_previous!$D$4:$AY$138, MATCH('Staging Table'!$A120, LS_previous!$B$4:$B$138, 0), MATCH(X$4&amp;X$5, LS_previous!$D$2:$AY$2&amp;LS_previous!$D$3:$AY$3, 0)),SUM(VLOOKUP($A120, LS_previous!$B$4:$AY$138, LS_previous!P$149, FALSE), VLOOKUP('Staging Table'!$A120, LS_previous!$B$4:$AY$138,LS_previous!AN$149, FALSE))/2)</f>
        <v>-2883.5264700569023</v>
      </c>
      <c r="Y120" s="180">
        <f t="array" ref="Y120">IF($G120=0, INDEX(LS_previous!$D$4:$AY$138, MATCH('Staging Table'!$A120, LS_previous!$B$4:$B$138, 0), MATCH(Y$4&amp;Y$5, LS_previous!$D$2:$AY$2&amp;LS_previous!$D$3:$AY$3, 0)),SUM(VLOOKUP($A120, LS_previous!$B$4:$AY$138, LS_previous!Q$149, FALSE), VLOOKUP('Staging Table'!$A120, LS_previous!$B$4:$AY$138,LS_previous!AO$149, FALSE))/2)</f>
        <v>21092.409781438691</v>
      </c>
      <c r="Z120" s="180">
        <f t="array" ref="Z120">IF($G120=0, INDEX(LS_previous!$D$4:$AY$138, MATCH('Staging Table'!$A120, LS_previous!$B$4:$B$138, 0), MATCH(Z$4&amp;Z$5, LS_previous!$D$2:$AY$2&amp;LS_previous!$D$3:$AY$3, 0)),SUM(VLOOKUP($A120, LS_previous!$B$4:$AY$138, LS_previous!R$149, FALSE), VLOOKUP('Staging Table'!$A120, LS_previous!$B$4:$AY$138,LS_previous!AP$149, FALSE))/2)</f>
        <v>6080.0057946817105</v>
      </c>
      <c r="AA120" s="180">
        <f t="array" ref="AA120">IF($G120=0, INDEX(LS_previous!$D$4:$AY$138, MATCH('Staging Table'!$A120, LS_previous!$B$4:$B$138, 0), MATCH(AA$4&amp;AA$5, LS_previous!$D$2:$AY$2&amp;LS_previous!$D$3:$AY$3, 0)),SUM(VLOOKUP($A120, LS_previous!$B$4:$AY$138, LS_previous!S$149, FALSE), VLOOKUP('Staging Table'!$A120, LS_previous!$B$4:$AY$138,LS_previous!AQ$149, FALSE))/2)</f>
        <v>2445.8405289753464</v>
      </c>
      <c r="AB120" s="180">
        <f t="array" ref="AB120">IF($G120=0, INDEX(LS_previous!$D$4:$AY$138, MATCH('Staging Table'!$A120, LS_previous!$B$4:$B$138, 0), MATCH(AB$4&amp;AB$5, LS_previous!$D$2:$AY$2&amp;LS_previous!$D$3:$AY$3, 0)),SUM(VLOOKUP($A120, LS_previous!$B$4:$AY$138, LS_previous!T$149, FALSE), VLOOKUP('Staging Table'!$A120, LS_previous!$B$4:$AY$138,LS_previous!AR$149, FALSE))/2)</f>
        <v>21602.883607137534</v>
      </c>
      <c r="AC120" s="180">
        <f t="array" ref="AC120">IF($G120=0, INDEX(LS_previous!$D$4:$AY$138, MATCH('Staging Table'!$A120, LS_previous!$B$4:$B$138, 0), MATCH(AC$4&amp;AC$5, LS_previous!$D$2:$AY$2&amp;LS_previous!$D$3:$AY$3, 0)),SUM(VLOOKUP($A120, LS_previous!$B$4:$AY$138, LS_previous!U$149, FALSE), VLOOKUP('Staging Table'!$A120, LS_previous!$B$4:$AY$138,LS_previous!AS$149, FALSE))/2)</f>
        <v>-12625.738799365059</v>
      </c>
      <c r="AD120" s="180">
        <f t="array" ref="AD120">IF($G120=0, INDEX(LS_previous!$D$4:$AY$138, MATCH('Staging Table'!$A120, LS_previous!$B$4:$B$138, 0), MATCH(AD$4&amp;AD$5, LS_previous!$D$2:$AY$2&amp;LS_previous!$D$3:$AY$3, 0)),SUM(VLOOKUP($A120, LS_previous!$B$4:$AY$138, LS_previous!V$149, FALSE), VLOOKUP('Staging Table'!$A120, LS_previous!$B$4:$AY$138,LS_previous!AT$149, FALSE))/2)</f>
        <v>3545.0198414472834</v>
      </c>
      <c r="AE120" s="180">
        <f t="array" ref="AE120">IF($G120=0, INDEX(LS_previous!$D$4:$AY$138, MATCH('Staging Table'!$A120, LS_previous!$B$4:$B$138, 0), MATCH(AE$4&amp;AE$5, LS_previous!$D$2:$AY$2&amp;LS_previous!$D$3:$AY$3, 0)),SUM(VLOOKUP($A120, LS_previous!$B$4:$AY$138, LS_previous!W$149, FALSE), VLOOKUP('Staging Table'!$A120, LS_previous!$B$4:$AY$138,LS_previous!AU$149, FALSE))/2)</f>
        <v>32359.69803526601</v>
      </c>
      <c r="AF120" s="180">
        <f t="array" ref="AF120">IF($G120=0, INDEX(LS_previous!$D$4:$AY$138, MATCH('Staging Table'!$A120, LS_previous!$B$4:$B$138, 0), MATCH(AF$4&amp;AF$5, LS_previous!$D$2:$AY$2&amp;LS_previous!$D$3:$AY$3, 0)),SUM(VLOOKUP($A120, LS_previous!$B$4:$AY$138, LS_previous!X$149, FALSE), VLOOKUP('Staging Table'!$A120, LS_previous!$B$4:$AY$138,LS_previous!AV$149, FALSE))/2)</f>
        <v>33857.522988816068</v>
      </c>
      <c r="AG120" s="180">
        <f t="array" ref="AG120">IF($G120=0, INDEX(LS_previous!$D$4:$AY$138, MATCH('Staging Table'!$A120, LS_previous!$B$4:$B$138, 0), MATCH(AG$4&amp;AG$5, LS_previous!$D$2:$AY$2&amp;LS_previous!$D$3:$AY$3, 0)),SUM(VLOOKUP($A120, LS_previous!$B$4:$AY$138, LS_previous!Y$149, FALSE), VLOOKUP('Staging Table'!$A120, LS_previous!$B$4:$AY$138,LS_previous!AW$149, FALSE))/2)</f>
        <v>8515.3285012714732</v>
      </c>
      <c r="AH120" s="180">
        <f t="array" ref="AH120">IF($G120=0, INDEX(LS_previous!$D$4:$AY$138, MATCH('Staging Table'!$A120, LS_previous!$B$4:$B$138, 0), MATCH(AH$4&amp;AH$5, LS_previous!$D$2:$AY$2&amp;LS_previous!$D$3:$AY$3, 0)),SUM(VLOOKUP($A120, LS_previous!$B$4:$AY$138, LS_previous!Z$149, FALSE), VLOOKUP('Staging Table'!$A120, LS_previous!$B$4:$AY$138,LS_previous!AX$149, FALSE))/2)</f>
        <v>37573.175494717245</v>
      </c>
      <c r="AI120" s="180">
        <f t="array" ref="AI120">IF($G120=0, INDEX(LS_previous!$D$4:$AY$138, MATCH('Staging Table'!$A120, LS_previous!$B$4:$B$138, 0), MATCH(AI$4&amp;AI$5, LS_previous!$D$2:$AY$2&amp;LS_previous!$D$3:$AY$3, 0)),SUM(VLOOKUP($A120, LS_previous!$B$4:$AY$138, LS_previous!AA$149, FALSE), VLOOKUP('Staging Table'!$A120, LS_previous!$B$4:$AY$138,LS_previous!AY$149, FALSE))/2)</f>
        <v>3038.6622711281161</v>
      </c>
      <c r="AJ120" s="298">
        <f t="array" ref="AJ120">INDEX(Demand_previous!$D$4:$AY$138, MATCH('Staging Table'!$A120, Demand_previous!$B$4:$B$138, 0), MATCH(AJ$4&amp;AJ$5,Demand_previous!$D$2:$AY$2&amp;Demand_previous!$D$3:$AY$3, 0))/1000</f>
        <v>0</v>
      </c>
      <c r="AK120" s="298">
        <f t="array" ref="AK120">INDEX(Demand_previous!$D$4:$AY$138, MATCH('Staging Table'!$A120, Demand_previous!$B$4:$B$138, 0), MATCH(AK$4&amp;AK$5,Demand_previous!$D$2:$AY$2&amp;Demand_previous!$D$3:$AY$3, 0))/1000</f>
        <v>0</v>
      </c>
      <c r="AL120" s="298">
        <f t="array" ref="AL120">INDEX(Demand_previous!$D$4:$AY$138, MATCH('Staging Table'!$A120, Demand_previous!$B$4:$B$138, 0), MATCH(AL$4&amp;AL$5,Demand_previous!$D$2:$AY$2&amp;Demand_previous!$D$3:$AY$3, 0))/1000</f>
        <v>0</v>
      </c>
      <c r="AM120" s="298">
        <f t="array" ref="AM120">INDEX(Demand_previous!$D$4:$AY$138, MATCH('Staging Table'!$A120, Demand_previous!$B$4:$B$138, 0), MATCH(AM$4&amp;AM$5,Demand_previous!$D$2:$AY$2&amp;Demand_previous!$D$3:$AY$3, 0))/1000</f>
        <v>0</v>
      </c>
      <c r="AN120" s="298">
        <f t="array" ref="AN120">INDEX(Demand_previous!$D$4:$AY$138, MATCH('Staging Table'!$A120, Demand_previous!$B$4:$B$138, 0), MATCH(AN$4&amp;AN$5,Demand_previous!$D$2:$AY$2&amp;Demand_previous!$D$3:$AY$3, 0))/1000</f>
        <v>0</v>
      </c>
      <c r="AO120" s="298">
        <f t="array" ref="AO120">INDEX(Demand_previous!$D$4:$AY$138, MATCH('Staging Table'!$A120, Demand_previous!$B$4:$B$138, 0), MATCH(AO$4&amp;AO$5,Demand_previous!$D$2:$AY$2&amp;Demand_previous!$D$3:$AY$3, 0))/1000</f>
        <v>0</v>
      </c>
      <c r="AP120" s="298">
        <f t="array" ref="AP120">INDEX(Demand_previous!$D$4:$AY$138, MATCH('Staging Table'!$A120, Demand_previous!$B$4:$B$138, 0), MATCH(AP$4&amp;AP$5,Demand_previous!$D$2:$AY$2&amp;Demand_previous!$D$3:$AY$3, 0))/1000</f>
        <v>0</v>
      </c>
      <c r="AQ120" s="298">
        <f t="array" ref="AQ120">INDEX(Demand_previous!$D$4:$AY$138, MATCH('Staging Table'!$A120, Demand_previous!$B$4:$B$138, 0), MATCH(AQ$4&amp;AQ$5,Demand_previous!$D$2:$AY$2&amp;Demand_previous!$D$3:$AY$3, 0))/1000</f>
        <v>0</v>
      </c>
      <c r="AR120" s="298">
        <f t="array" ref="AR120">INDEX(Demand_previous!$D$4:$AY$138, MATCH('Staging Table'!$A120, Demand_previous!$B$4:$B$138, 0), MATCH(AR$4&amp;AR$5,Demand_previous!$D$2:$AY$2&amp;Demand_previous!$D$3:$AY$3, 0))/1000</f>
        <v>0</v>
      </c>
      <c r="AS120" s="298">
        <f t="array" ref="AS120">INDEX(Demand_previous!$D$4:$AY$138, MATCH('Staging Table'!$A120, Demand_previous!$B$4:$B$138, 0), MATCH(AS$4&amp;AS$5,Demand_previous!$D$2:$AY$2&amp;Demand_previous!$D$3:$AY$3, 0))/1000</f>
        <v>0</v>
      </c>
      <c r="AT120" s="298">
        <f t="array" ref="AT120">INDEX(Demand_previous!$D$4:$AY$138, MATCH('Staging Table'!$A120, Demand_previous!$B$4:$B$138, 0), MATCH(AT$4&amp;AT$5,Demand_previous!$D$2:$AY$2&amp;Demand_previous!$D$3:$AY$3, 0))/1000</f>
        <v>0</v>
      </c>
      <c r="AU120" s="298">
        <f t="array" ref="AU120">INDEX(Demand_previous!$D$4:$AY$138, MATCH('Staging Table'!$A120, Demand_previous!$B$4:$B$138, 0), MATCH(AU$4&amp;AU$5,Demand_previous!$D$2:$AY$2&amp;Demand_previous!$D$3:$AY$3, 0))/1000</f>
        <v>0</v>
      </c>
      <c r="AV120" s="180">
        <f>$F120*(VLOOKUP(AV$4, Rates_previous!$G$6:$Q$29, 10, FALSE)+VLOOKUP(AV$4, Rates_previous!$G$6:$Q$29, 11, FALSE))</f>
        <v>73013.070238093176</v>
      </c>
      <c r="AW120" s="180">
        <f>$F120*(VLOOKUP(AW$4, Rates_previous!$G$6:$Q$29, 10, FALSE)+VLOOKUP(AW$4, Rates_previous!$G$6:$Q$29, 11, FALSE))</f>
        <v>92437.196748093222</v>
      </c>
      <c r="AX120" s="180">
        <f>$F120*(VLOOKUP(AX$4, Rates_previous!$G$6:$Q$29, 10, FALSE)+VLOOKUP(AX$4, Rates_previous!$G$6:$Q$29, 11, FALSE))</f>
        <v>90477.548215958901</v>
      </c>
      <c r="AY120" s="180">
        <f>$F120*(VLOOKUP(AY$4, Rates_previous!$G$6:$Q$29, 10, FALSE)+VLOOKUP(AY$4, Rates_previous!$G$6:$Q$29, 11, FALSE))</f>
        <v>74730.607282948724</v>
      </c>
      <c r="AZ120" s="180">
        <f>$F120*(VLOOKUP(AZ$4, Rates_previous!$G$6:$Q$29, 10, FALSE)+VLOOKUP(AZ$4, Rates_previous!$G$6:$Q$29, 11, FALSE))</f>
        <v>64770.655209445911</v>
      </c>
      <c r="BA120" s="180">
        <f>$F120*(VLOOKUP(BA$4, Rates_previous!$G$6:$Q$29, 10, FALSE)+VLOOKUP(BA$4, Rates_previous!$G$6:$Q$29, 11, FALSE))</f>
        <v>77323.082582742412</v>
      </c>
      <c r="BB120" s="180">
        <f>$F120*(VLOOKUP(BB$4, Rates_previous!$G$6:$Q$29, 10, FALSE)+VLOOKUP(BB$4, Rates_previous!$G$6:$Q$29, 11, FALSE))</f>
        <v>60031.0796886182</v>
      </c>
      <c r="BC120" s="180">
        <f>$F120*(VLOOKUP(BC$4, Rates_previous!$G$6:$Q$29, 10, FALSE)+VLOOKUP(BC$4, Rates_previous!$G$6:$Q$29, 11, FALSE))</f>
        <v>83173.50267634292</v>
      </c>
      <c r="BD120" s="180">
        <f>$F120*(VLOOKUP(BD$4, Rates_previous!$G$6:$Q$29, 10, FALSE)+VLOOKUP(BD$4, Rates_previous!$G$6:$Q$29, 11, FALSE))</f>
        <v>88872.629192227439</v>
      </c>
      <c r="BE120" s="180">
        <f>$F120*(VLOOKUP(BE$4, Rates_previous!$G$6:$Q$29, 10, FALSE)+VLOOKUP(BE$4, Rates_previous!$G$6:$Q$29, 11, FALSE))</f>
        <v>84380.537123286718</v>
      </c>
      <c r="BF120" s="180">
        <f>$F120*(VLOOKUP(BF$4, Rates_previous!$G$6:$Q$29, 10, FALSE)+VLOOKUP(BF$4, Rates_previous!$G$6:$Q$29, 11, FALSE))</f>
        <v>81547.279509912449</v>
      </c>
      <c r="BG120" s="180">
        <f>$F120*(VLOOKUP(BG$4, Rates_previous!$G$6:$Q$29, 10, FALSE)+VLOOKUP(BG$4, Rates_previous!$G$6:$Q$29, 11, FALSE))</f>
        <v>75358.18723415467</v>
      </c>
      <c r="BH120" s="298">
        <f>IF($D120=0,IF(C120=0, MAX(BJ120 - (VLOOKUP($A120,TOCA_previous!$A$2:$AI$137,MATCH("RHWM 2022",TOCA_previous!$A$2:$AI$2,0),FALSE)*$F$2*TOCA_previous!C117),0),0), 0)</f>
        <v>35417.675397895277</v>
      </c>
      <c r="BI120" s="192">
        <f>MIN(VLOOKUP($A120,TOCA_previous!$A$2:$AI$137,MATCH("TRL - NLSL - Existing Resource "&amp;$F$1,TOCA_previous!$A$2:$AI$2,0),FALSE)*$F$2,(VLOOKUP($A120,TOCA_previous!$A$2:$AI$137,MATCH("RHWM 2022",TOCA_previous!$A$2:$AI$2,0),FALSE)*$F$2))</f>
        <v>946115.04</v>
      </c>
      <c r="BJ120" s="402">
        <f>SUM(L120:AI120)+(F120*RT1SC!$C$3*$F$2)</f>
        <v>981532.71539789531</v>
      </c>
      <c r="BK120" s="401">
        <f>VLOOKUP($A120,TOCA_previous!$A$2:$AI$137,MATCH("Above RHWM Not Served with LS "&amp;$F$1,TOCA_previous!$A$2:$AI$2,0),FALSE)*$F$2</f>
        <v>990799.8</v>
      </c>
      <c r="BL120" s="402">
        <f t="shared" si="27"/>
        <v>35417.675397895277</v>
      </c>
      <c r="BM120" s="401">
        <f>(VLOOKUP($A120,TOCA_previous!$A$2:$AI$137,MATCH("RHWM 2022",TOCA_previous!$A$2:$AI$2,0),FALSE)*$F$2) - $BI120</f>
        <v>0</v>
      </c>
      <c r="BN120" s="402">
        <f t="shared" si="28"/>
        <v>0</v>
      </c>
      <c r="BO120" s="401">
        <f t="shared" si="29"/>
        <v>0</v>
      </c>
      <c r="BP120" s="402">
        <f t="shared" si="30"/>
        <v>0</v>
      </c>
      <c r="BQ120" s="401">
        <f t="shared" si="37"/>
        <v>0</v>
      </c>
      <c r="BR120" s="108">
        <f>VLOOKUP($A120,TOCA_current!$A$2:$AI$137,MATCH(BR$4,TOCA_current!$A$2:$AI$2,0),FALSE)</f>
        <v>1.6029600000000001E-2</v>
      </c>
      <c r="BS120" s="108">
        <f>VLOOKUP($A120,TOCA_current!$A$2:$AI$137,MATCH(BS$4,TOCA_current!$A$2:$AI$2,0),FALSE)</f>
        <v>1.6029600000000001E-2</v>
      </c>
      <c r="BT120" s="189">
        <f t="shared" si="31"/>
        <v>0</v>
      </c>
      <c r="BU120" s="108">
        <f>VLOOKUP($A120,TOCA_current!A116:BG251,MATCH(BU$4,TOCA_current!$A$2:$BG$2,0),FALSE)</f>
        <v>7.8367469507078957E-2</v>
      </c>
      <c r="BV120" s="108">
        <f t="shared" si="38"/>
        <v>0</v>
      </c>
      <c r="BW120" s="108">
        <f t="shared" si="39"/>
        <v>0</v>
      </c>
      <c r="BX120" s="179">
        <f>VLOOKUP($A120,IRD!$A$4:$G$139, 7, FALSE)</f>
        <v>228772.42700000003</v>
      </c>
      <c r="BY120" s="180">
        <f t="array" ref="BY120">IF($BT120=0, INDEX(LS_current!$D$4:$AY$138, MATCH('Staging Table'!$A120, LS_current!$B$4:$B$138, 0), MATCH(BY$4&amp;BY$5, LS_current!$D$2:$AY$2&amp;LS_current!$D$3:$AY$3, 0)),SUM(VLOOKUP($A120, LS_current!$B$4:$AY$138, LS_current!D$148, FALSE), VLOOKUP($A120, LS_current!$B$4:$AY$138,LS_current!AB$148, FALSE))/2)</f>
        <v>5342.3480805344516</v>
      </c>
      <c r="BZ120" s="180">
        <f t="array" ref="BZ120">IF($BT120=0, INDEX(LS_current!$D$4:$AY$138, MATCH('Staging Table'!$A120, LS_current!$B$4:$B$138, 0), MATCH(BZ$4&amp;BZ$5, LS_current!$D$2:$AY$2&amp;LS_current!$D$3:$AY$3, 0)),SUM(VLOOKUP($A120, LS_current!$B$4:$AY$138, LS_current!E$148, FALSE), VLOOKUP($A120, LS_current!$B$4:$AY$138,LS_current!AC$148, FALSE))/2)</f>
        <v>-16740.660855874808</v>
      </c>
      <c r="CA120" s="180">
        <f t="array" ref="CA120">IF($BT120=0, INDEX(LS_current!$D$4:$AY$138, MATCH('Staging Table'!$A120, LS_current!$B$4:$B$138, 0), MATCH(CA$4&amp;CA$5, LS_current!$D$2:$AY$2&amp;LS_current!$D$3:$AY$3, 0)),SUM(VLOOKUP($A120, LS_current!$B$4:$AY$138, LS_current!F$148, FALSE), VLOOKUP($A120, LS_current!$B$4:$AY$138,LS_current!AD$148, FALSE))/2)</f>
        <v>-16307.5080729088</v>
      </c>
      <c r="CB120" s="180">
        <f t="array" ref="CB120">IF($BT120=0, INDEX(LS_current!$D$4:$AY$138, MATCH('Staging Table'!$A120, LS_current!$B$4:$B$138, 0), MATCH(CB$4&amp;CB$5, LS_current!$D$2:$AY$2&amp;LS_current!$D$3:$AY$3, 0)),SUM(VLOOKUP($A120, LS_current!$B$4:$AY$138, LS_current!G$148, FALSE), VLOOKUP($A120, LS_current!$B$4:$AY$138,LS_current!AE$148, FALSE))/2)</f>
        <v>-15112.462103477606</v>
      </c>
      <c r="CC120" s="180">
        <f t="array" ref="CC120">IF($BT120=0, INDEX(LS_current!$D$4:$AY$138, MATCH('Staging Table'!$A120, LS_current!$B$4:$B$138, 0), MATCH(CC$4&amp;CC$5, LS_current!$D$2:$AY$2&amp;LS_current!$D$3:$AY$3, 0)),SUM(VLOOKUP($A120, LS_current!$B$4:$AY$138, LS_current!H$148, FALSE), VLOOKUP($A120, LS_current!$B$4:$AY$138,LS_current!AF$148, FALSE))/2)</f>
        <v>-19239.747201874379</v>
      </c>
      <c r="CD120" s="180">
        <f t="array" ref="CD120">IF($BT120=0, INDEX(LS_current!$D$4:$AY$138, MATCH('Staging Table'!$A120, LS_current!$B$4:$B$138, 0), MATCH(CD$4&amp;CD$5, LS_current!$D$2:$AY$2&amp;LS_current!$D$3:$AY$3, 0)),SUM(VLOOKUP($A120, LS_current!$B$4:$AY$138, LS_current!I$148, FALSE), VLOOKUP($A120, LS_current!$B$4:$AY$138,LS_current!AG$148, FALSE))/2)</f>
        <v>-15140.371549401636</v>
      </c>
      <c r="CE120" s="180">
        <f t="array" ref="CE120">IF($BT120=0, INDEX(LS_current!$D$4:$AY$138, MATCH('Staging Table'!$A120, LS_current!$B$4:$B$138, 0), MATCH(CE$4&amp;CE$5, LS_current!$D$2:$AY$2&amp;LS_current!$D$3:$AY$3, 0)),SUM(VLOOKUP($A120, LS_current!$B$4:$AY$138, LS_current!J$148, FALSE), VLOOKUP($A120, LS_current!$B$4:$AY$138,LS_current!AH$148, FALSE))/2)</f>
        <v>-17433.606914764052</v>
      </c>
      <c r="CF120" s="180">
        <f t="array" ref="CF120">IF($BT120=0, INDEX(LS_current!$D$4:$AY$138, MATCH('Staging Table'!$A120, LS_current!$B$4:$B$138, 0), MATCH(CF$4&amp;CF$5, LS_current!$D$2:$AY$2&amp;LS_current!$D$3:$AY$3, 0)),SUM(VLOOKUP($A120, LS_current!$B$4:$AY$138, LS_current!K$148, FALSE), VLOOKUP($A120, LS_current!$B$4:$AY$138,LS_current!AI$148, FALSE))/2)</f>
        <v>-15299.252349658374</v>
      </c>
      <c r="CG120" s="180">
        <f t="array" ref="CG120">IF($BT120=0, INDEX(LS_current!$D$4:$AY$138, MATCH('Staging Table'!$A120, LS_current!$B$4:$B$138, 0), MATCH(CG$4&amp;CG$5, LS_current!$D$2:$AY$2&amp;LS_current!$D$3:$AY$3, 0)),SUM(VLOOKUP($A120, LS_current!$B$4:$AY$138, LS_current!L$148, FALSE), VLOOKUP($A120, LS_current!$B$4:$AY$138,LS_current!AJ$148, FALSE))/2)</f>
        <v>-15154.569942018403</v>
      </c>
      <c r="CH120" s="180">
        <f t="array" ref="CH120">IF($BT120=0, INDEX(LS_current!$D$4:$AY$138, MATCH('Staging Table'!$A120, LS_current!$B$4:$B$138, 0), MATCH(CH$4&amp;CH$5, LS_current!$D$2:$AY$2&amp;LS_current!$D$3:$AY$3, 0)),SUM(VLOOKUP($A120, LS_current!$B$4:$AY$138, LS_current!M$148, FALSE), VLOOKUP($A120, LS_current!$B$4:$AY$138,LS_current!AK$148, FALSE))/2)</f>
        <v>-6584.5024419863512</v>
      </c>
      <c r="CI120" s="180">
        <f t="array" ref="CI120">IF($BT120=0, INDEX(LS_current!$D$4:$AY$138, MATCH('Staging Table'!$A120, LS_current!$B$4:$B$138, 0), MATCH(CI$4&amp;CI$5, LS_current!$D$2:$AY$2&amp;LS_current!$D$3:$AY$3, 0)),SUM(VLOOKUP($A120, LS_current!$B$4:$AY$138, LS_current!N$148, FALSE), VLOOKUP($A120, LS_current!$B$4:$AY$138,LS_current!AL$148, FALSE))/2)</f>
        <v>965.96358625526773</v>
      </c>
      <c r="CJ120" s="180">
        <f t="array" ref="CJ120">IF($BT120=0, INDEX(LS_current!$D$4:$AY$138, MATCH('Staging Table'!$A120, LS_current!$B$4:$B$138, 0), MATCH(CJ$4&amp;CJ$5, LS_current!$D$2:$AY$2&amp;LS_current!$D$3:$AY$3, 0)),SUM(VLOOKUP($A120, LS_current!$B$4:$AY$138, LS_current!O$148, FALSE), VLOOKUP($A120, LS_current!$B$4:$AY$138,LS_current!AM$148, FALSE))/2)</f>
        <v>-16352.239532628751</v>
      </c>
      <c r="CK120" s="180">
        <f t="array" ref="CK120">IF($BT120=0, INDEX(LS_current!$D$4:$AY$138, MATCH('Staging Table'!$A120, LS_current!$B$4:$B$138, 0), MATCH(CK$4&amp;CK$5, LS_current!$D$2:$AY$2&amp;LS_current!$D$3:$AY$3, 0)),SUM(VLOOKUP($A120, LS_current!$B$4:$AY$138, LS_current!P$148, FALSE), VLOOKUP($A120, LS_current!$B$4:$AY$138,LS_current!AN$148, FALSE))/2)</f>
        <v>-7656.2267102140104</v>
      </c>
      <c r="CL120" s="180">
        <f t="array" ref="CL120">IF($BT120=0, INDEX(LS_current!$D$4:$AY$138, MATCH('Staging Table'!$A120, LS_current!$B$4:$B$138, 0), MATCH(CL$4&amp;CL$5, LS_current!$D$2:$AY$2&amp;LS_current!$D$3:$AY$3, 0)),SUM(VLOOKUP($A120, LS_current!$B$4:$AY$138, LS_current!Q$148, FALSE), VLOOKUP($A120, LS_current!$B$4:$AY$138,LS_current!AO$148, FALSE))/2)</f>
        <v>17444.020293532227</v>
      </c>
      <c r="CM120" s="180">
        <f t="array" ref="CM120">IF($BT120=0, INDEX(LS_current!$D$4:$AY$138, MATCH('Staging Table'!$A120, LS_current!$B$4:$B$138, 0), MATCH(CM$4&amp;CM$5, LS_current!$D$2:$AY$2&amp;LS_current!$D$3:$AY$3, 0)),SUM(VLOOKUP($A120, LS_current!$B$4:$AY$138, LS_current!R$148, FALSE), VLOOKUP($A120, LS_current!$B$4:$AY$138,LS_current!AP$148, FALSE))/2)</f>
        <v>8141.4116532991466</v>
      </c>
      <c r="CN120" s="180">
        <f t="array" ref="CN120">IF($BT120=0, INDEX(LS_current!$D$4:$AY$138, MATCH('Staging Table'!$A120, LS_current!$B$4:$B$138, 0), MATCH(CN$4&amp;CN$5, LS_current!$D$2:$AY$2&amp;LS_current!$D$3:$AY$3, 0)),SUM(VLOOKUP($A120, LS_current!$B$4:$AY$138, LS_current!S$148, FALSE), VLOOKUP($A120, LS_current!$B$4:$AY$138,LS_current!AQ$148, FALSE))/2)</f>
        <v>-2038.2537830916044</v>
      </c>
      <c r="CO120" s="180">
        <f t="array" ref="CO120">IF($BT120=0, INDEX(LS_current!$D$4:$AY$138, MATCH('Staging Table'!$A120, LS_current!$B$4:$B$138, 0), MATCH(CO$4&amp;CO$5, LS_current!$D$2:$AY$2&amp;LS_current!$D$3:$AY$3, 0)),SUM(VLOOKUP($A120, LS_current!$B$4:$AY$138, LS_current!T$148, FALSE), VLOOKUP($A120, LS_current!$B$4:$AY$138,LS_current!AR$148, FALSE))/2)</f>
        <v>31525.633949390322</v>
      </c>
      <c r="CP120" s="180">
        <f t="array" ref="CP120">IF($BT120=0, INDEX(LS_current!$D$4:$AY$138, MATCH('Staging Table'!$A120, LS_current!$B$4:$B$138, 0), MATCH(CP$4&amp;CP$5, LS_current!$D$2:$AY$2&amp;LS_current!$D$3:$AY$3, 0)),SUM(VLOOKUP($A120, LS_current!$B$4:$AY$138, LS_current!U$148, FALSE), VLOOKUP($A120, LS_current!$B$4:$AY$138,LS_current!AS$148, FALSE))/2)</f>
        <v>-21310.038413613242</v>
      </c>
      <c r="CQ120" s="180">
        <f t="array" ref="CQ120">IF($BT120=0, INDEX(LS_current!$D$4:$AY$138, MATCH('Staging Table'!$A120, LS_current!$B$4:$B$138, 0), MATCH(CQ$4&amp;CQ$5, LS_current!$D$2:$AY$2&amp;LS_current!$D$3:$AY$3, 0)),SUM(VLOOKUP($A120, LS_current!$B$4:$AY$138, LS_current!V$148, FALSE), VLOOKUP($A120, LS_current!$B$4:$AY$138,LS_current!AT$148, FALSE))/2)</f>
        <v>10646.400635785569</v>
      </c>
      <c r="CR120" s="180">
        <f t="array" ref="CR120">IF($BT120=0, INDEX(LS_current!$D$4:$AY$138, MATCH('Staging Table'!$A120, LS_current!$B$4:$B$138, 0), MATCH(CR$4&amp;CR$5, LS_current!$D$2:$AY$2&amp;LS_current!$D$3:$AY$3, 0)),SUM(VLOOKUP($A120, LS_current!$B$4:$AY$138, LS_current!W$148, FALSE), VLOOKUP($A120, LS_current!$B$4:$AY$138,LS_current!AU$148, FALSE))/2)</f>
        <v>34095.332170225993</v>
      </c>
      <c r="CS120" s="180">
        <f t="array" ref="CS120">IF($BT120=0, INDEX(LS_current!$D$4:$AY$138, MATCH('Staging Table'!$A120, LS_current!$B$4:$B$138, 0), MATCH(CS$4&amp;CS$5, LS_current!$D$2:$AY$2&amp;LS_current!$D$3:$AY$3, 0)),SUM(VLOOKUP($A120, LS_current!$B$4:$AY$138, LS_current!X$148, FALSE), VLOOKUP($A120, LS_current!$B$4:$AY$138,LS_current!AV$148, FALSE))/2)</f>
        <v>42338.014866923542</v>
      </c>
      <c r="CT120" s="180">
        <f t="array" ref="CT120">IF($BT120=0, INDEX(LS_current!$D$4:$AY$138, MATCH('Staging Table'!$A120, LS_current!$B$4:$B$138, 0), MATCH(CT$4&amp;CT$5, LS_current!$D$2:$AY$2&amp;LS_current!$D$3:$AY$3, 0)),SUM(VLOOKUP($A120, LS_current!$B$4:$AY$138, LS_current!Y$148, FALSE), VLOOKUP($A120, LS_current!$B$4:$AY$138,LS_current!AW$148, FALSE))/2)</f>
        <v>8663.0584752364412</v>
      </c>
      <c r="CU120" s="180">
        <f t="array" ref="CU120">IF($BT120=0, INDEX(LS_current!$D$4:$AY$138, MATCH('Staging Table'!$A120, LS_current!$B$4:$B$138, 0), MATCH(CU$4&amp;CU$5, LS_current!$D$2:$AY$2&amp;LS_current!$D$3:$AY$3, 0)),SUM(VLOOKUP($A120, LS_current!$B$4:$AY$138, LS_current!Z$148, FALSE), VLOOKUP($A120, LS_current!$B$4:$AY$138,LS_current!AX$148, FALSE))/2)</f>
        <v>47289.542443089529</v>
      </c>
      <c r="CV120" s="180">
        <f t="array" ref="CV120">IF($BT120=0, INDEX(LS_current!$D$4:$AY$138, MATCH('Staging Table'!$A120, LS_current!$B$4:$B$138, 0), MATCH(CV$4&amp;CV$5, LS_current!$D$2:$AY$2&amp;LS_current!$D$3:$AY$3, 0)),SUM(VLOOKUP($A120, LS_current!$B$4:$AY$138, LS_current!AA$148, FALSE), VLOOKUP($A120, LS_current!$B$4:$AY$138,LS_current!AY$148, FALSE))/2)</f>
        <v>1740.1266105215982</v>
      </c>
      <c r="CW120" s="182">
        <f t="array" ref="CW120">INDEX(Demand_current!$D$4:$AY$138, MATCH($A120, Demand_current!$B$4:$B$138, 0), MATCH(CW$4&amp;CW$5,Demand_current!$D$2:$AY$2&amp;Demand_current!$D$3:$AY$3, 0))/1000</f>
        <v>0</v>
      </c>
      <c r="CX120" s="182">
        <f t="array" ref="CX120">INDEX(Demand_current!$D$4:$AY$138, MATCH($A120, Demand_current!$B$4:$B$138, 0), MATCH(CX$4&amp;CX$5,Demand_current!$D$2:$AY$2&amp;Demand_current!$D$3:$AY$3, 0))/1000</f>
        <v>0</v>
      </c>
      <c r="CY120" s="182">
        <f t="array" ref="CY120">INDEX(Demand_current!$D$4:$AY$138, MATCH($A120, Demand_current!$B$4:$B$138, 0), MATCH(CY$4&amp;CY$5,Demand_current!$D$2:$AY$2&amp;Demand_current!$D$3:$AY$3, 0))/1000</f>
        <v>0</v>
      </c>
      <c r="CZ120" s="182">
        <f t="array" ref="CZ120">INDEX(Demand_current!$D$4:$AY$138, MATCH($A120, Demand_current!$B$4:$B$138, 0), MATCH(CZ$4&amp;CZ$5,Demand_current!$D$2:$AY$2&amp;Demand_current!$D$3:$AY$3, 0))/1000</f>
        <v>0</v>
      </c>
      <c r="DA120" s="182">
        <f t="array" ref="DA120">INDEX(Demand_current!$D$4:$AY$138, MATCH($A120, Demand_current!$B$4:$B$138, 0), MATCH(DA$4&amp;DA$5,Demand_current!$D$2:$AY$2&amp;Demand_current!$D$3:$AY$3, 0))/1000</f>
        <v>0</v>
      </c>
      <c r="DB120" s="182">
        <f t="array" ref="DB120">INDEX(Demand_current!$D$4:$AY$138, MATCH($A120, Demand_current!$B$4:$B$138, 0), MATCH(DB$4&amp;DB$5,Demand_current!$D$2:$AY$2&amp;Demand_current!$D$3:$AY$3, 0))/1000</f>
        <v>0</v>
      </c>
      <c r="DC120" s="182">
        <f t="array" ref="DC120">INDEX(Demand_current!$D$4:$AY$138, MATCH($A120, Demand_current!$B$4:$B$138, 0), MATCH(DC$4&amp;DC$5,Demand_current!$D$2:$AY$2&amp;Demand_current!$D$3:$AY$3, 0))/1000</f>
        <v>0</v>
      </c>
      <c r="DD120" s="182">
        <f t="array" ref="DD120">INDEX(Demand_current!$D$4:$AY$138, MATCH($A120, Demand_current!$B$4:$B$138, 0), MATCH(DD$4&amp;DD$5,Demand_current!$D$2:$AY$2&amp;Demand_current!$D$3:$AY$3, 0))/1000</f>
        <v>0</v>
      </c>
      <c r="DE120" s="182">
        <f t="array" ref="DE120">INDEX(Demand_current!$D$4:$AY$138, MATCH($A120, Demand_current!$B$4:$B$138, 0), MATCH(DE$4&amp;DE$5,Demand_current!$D$2:$AY$2&amp;Demand_current!$D$3:$AY$3, 0))/1000</f>
        <v>0</v>
      </c>
      <c r="DF120" s="182">
        <f t="array" ref="DF120">INDEX(Demand_current!$D$4:$AY$138, MATCH($A120, Demand_current!$B$4:$B$138, 0), MATCH(DF$4&amp;DF$5,Demand_current!$D$2:$AY$2&amp;Demand_current!$D$3:$AY$3, 0))/1000</f>
        <v>0</v>
      </c>
      <c r="DG120" s="182">
        <f t="array" ref="DG120">INDEX(Demand_current!$D$4:$AY$138, MATCH($A120, Demand_current!$B$4:$B$138, 0), MATCH(DG$4&amp;DG$5,Demand_current!$D$2:$AY$2&amp;Demand_current!$D$3:$AY$3, 0))/1000</f>
        <v>0</v>
      </c>
      <c r="DH120" s="182">
        <f t="array" ref="DH120">INDEX(Demand_current!$D$4:$AY$138, MATCH($A120, Demand_current!$B$4:$B$138, 0), MATCH(DH$4&amp;DH$5,Demand_current!$D$2:$AY$2&amp;Demand_current!$D$3:$AY$3, 0))/1000</f>
        <v>0</v>
      </c>
      <c r="DI120" s="180">
        <f>$BS120*(VLOOKUP(DI$4, Rates_current!$G$6:$Q$29, 10, FALSE)+VLOOKUP(DI$4, Rates_current!$G$6:$Q$29, 11, FALSE))</f>
        <v>67625.736775340411</v>
      </c>
      <c r="DJ120" s="180">
        <f>$BS120*(VLOOKUP(DJ$4, Rates_current!$G$6:$Q$29, 10, FALSE)+VLOOKUP(DJ$4, Rates_current!$G$6:$Q$29, 11, FALSE))</f>
        <v>86245.114176386414</v>
      </c>
      <c r="DK120" s="180">
        <f>$BS120*(VLOOKUP(DK$4, Rates_current!$G$6:$Q$29, 10, FALSE)+VLOOKUP(DK$4, Rates_current!$G$6:$Q$29, 11, FALSE))</f>
        <v>93075.542751276022</v>
      </c>
      <c r="DL120" s="180">
        <f>$BS120*(VLOOKUP(DL$4, Rates_current!$G$6:$Q$29, 10, FALSE)+VLOOKUP(DL$4, Rates_current!$G$6:$Q$29, 11, FALSE))</f>
        <v>96719.877264422408</v>
      </c>
      <c r="DM120" s="180">
        <f>$BS120*(VLOOKUP(DM$4, Rates_current!$G$6:$Q$29, 10, FALSE)+VLOOKUP(DM$4, Rates_current!$G$6:$Q$29, 11, FALSE))</f>
        <v>83191.986384004806</v>
      </c>
      <c r="DN120" s="180">
        <f>$BS120*(VLOOKUP(DN$4, Rates_current!$G$6:$Q$29, 10, FALSE)+VLOOKUP(DN$4, Rates_current!$G$6:$Q$29, 11, FALSE))</f>
        <v>90829.177946373602</v>
      </c>
      <c r="DO120" s="180">
        <f>$BS120*(VLOOKUP(DO$4, Rates_current!$G$6:$Q$29, 10, FALSE)+VLOOKUP(DO$4, Rates_current!$G$6:$Q$29, 11, FALSE))</f>
        <v>71694.329416681794</v>
      </c>
      <c r="DP120" s="180">
        <f>$BS120*(VLOOKUP(DP$4, Rates_current!$G$6:$Q$29, 10, FALSE)+VLOOKUP(DP$4, Rates_current!$G$6:$Q$29, 11, FALSE))</f>
        <v>88946.423129792413</v>
      </c>
      <c r="DQ120" s="180">
        <f>$BS120*(VLOOKUP(DQ$4, Rates_current!$G$6:$Q$29, 10, FALSE)+VLOOKUP(DQ$4, Rates_current!$G$6:$Q$29, 11, FALSE))</f>
        <v>90876.338464222805</v>
      </c>
      <c r="DR120" s="180">
        <f>$BS120*(VLOOKUP(DR$4, Rates_current!$G$6:$Q$29, 10, FALSE)+VLOOKUP(DR$4, Rates_current!$G$6:$Q$29, 11, FALSE))</f>
        <v>78893.75419398841</v>
      </c>
      <c r="DS120" s="180">
        <f>$BS120*(VLOOKUP(DS$4, Rates_current!$G$6:$Q$29, 10, FALSE)+VLOOKUP(DS$4, Rates_current!$G$6:$Q$29, 11, FALSE))</f>
        <v>76269.289657839981</v>
      </c>
      <c r="DT120" s="180">
        <f>$BS120*(VLOOKUP(DT$4, Rates_current!$G$6:$Q$29, 10, FALSE)+VLOOKUP(DT$4, Rates_current!$G$6:$Q$29, 11, FALSE))</f>
        <v>70182.515946388812</v>
      </c>
      <c r="DU120" s="402">
        <f>IF(D120=0,IF(C120=0,MAX(0,DW120 - (VLOOKUP($A120,TOCA_current!$A$2:$AI$137,MATCH("RHWM 2024",TOCA_current!$A$2:$AI$2,0),FALSE)*$BS$2)), 0),0)</f>
        <v>23821.671558818198</v>
      </c>
      <c r="DV120" s="403">
        <f>MIN(VLOOKUP($A120,TOCA_current!$A$2:$AI$137,MATCH("TRL - NLSL - Existing Resource "&amp;$BS$1,TOCA_current!$A$2:$AI$2,0),FALSE)*$BS$2, VLOOKUP($A120,TOCA_current!$A$2:$AI$137,MATCH("RHWM 2024",TOCA_current!$A$2:$AI$2,0),FALSE)*$BS$2)</f>
        <v>994550.83199999994</v>
      </c>
      <c r="DW120" s="403">
        <f>SUM(BY120:CV120)+(BS120*RT1SC!$C$4*$BS$2)</f>
        <v>1018372.5035588181</v>
      </c>
      <c r="DX120" s="403">
        <f>VLOOKUP($A120,TOCA_current!$A$2:$AI$137,MATCH("Above RHWM Not Served with LS "&amp;$BS$1,TOCA_current!$A$2:$AI$2,0),FALSE)*$BS$2</f>
        <v>953959.96799999999</v>
      </c>
      <c r="DY120" s="403">
        <f t="shared" si="32"/>
        <v>23821.671558818198</v>
      </c>
      <c r="DZ120" s="403">
        <f>(VLOOKUP($A120,TOCA_current!$A$2:$AI$137,MATCH("RHWM 2024",TOCA_current!$A$2:$AI$2,0),FALSE)*$BS$2) - $DV120</f>
        <v>0</v>
      </c>
      <c r="EA120" s="403">
        <f t="shared" si="33"/>
        <v>0</v>
      </c>
      <c r="EB120" s="403">
        <f t="shared" si="34"/>
        <v>0</v>
      </c>
      <c r="EC120" s="403">
        <f t="shared" si="35"/>
        <v>0</v>
      </c>
      <c r="ED120" s="403">
        <f t="shared" si="36"/>
        <v>0</v>
      </c>
    </row>
    <row r="121" spans="1:134">
      <c r="A121" s="123">
        <v>10391</v>
      </c>
      <c r="B121" s="124" t="s">
        <v>122</v>
      </c>
      <c r="C121" s="232">
        <f>VLOOKUP(A121, TOCA_current!$A$3:$D$137, 4, FALSE)</f>
        <v>0</v>
      </c>
      <c r="D121" s="191">
        <v>0</v>
      </c>
      <c r="E121" s="107">
        <f>VLOOKUP($A121,TOCA_previous!$A$2:$AI$137,MATCH(E$4,TOCA_previous!$A$2:$AI$2,0),FALSE)</f>
        <v>4.2449000000000002E-3</v>
      </c>
      <c r="F121" s="108">
        <f>VLOOKUP($A121,TOCA_previous!$A$2:$AI$137,MATCH(F$4,TOCA_previous!$A$2:$AI$2,0),FALSE)</f>
        <v>4.2449000000000002E-3</v>
      </c>
      <c r="G121" s="108">
        <f t="shared" si="24"/>
        <v>0</v>
      </c>
      <c r="H121" s="108">
        <f>VLOOKUP($A121,TOCA_previous!$A$2:$AI$137,MATCH(H$4,TOCA_previous!$A$2:$AI$2,0),FALSE)</f>
        <v>3.4119999999999998E-2</v>
      </c>
      <c r="I121" s="108">
        <f t="shared" si="25"/>
        <v>0</v>
      </c>
      <c r="J121" s="108">
        <f t="shared" si="26"/>
        <v>0</v>
      </c>
      <c r="K121" s="179">
        <f>VLOOKUP(A121, IRD!$A$5:$C$139, 3, FALSE)</f>
        <v>44270.152999999998</v>
      </c>
      <c r="L121" s="180">
        <f t="array" ref="L121">IF($G121=0, INDEX(LS_previous!$D$4:$AY$138, MATCH('Staging Table'!$A121, LS_previous!$B$4:$B$138, 0), MATCH(L$4&amp;L$5, LS_previous!$D$2:$AY$2&amp;LS_previous!$D$3:$AY$3, 0)),SUM(VLOOKUP($A121, LS_previous!$B$4:$AY$138, LS_previous!D$149, FALSE), VLOOKUP('Staging Table'!$A121, LS_previous!$B$4:$AY$138,LS_previous!AB$149, FALSE))/2)</f>
        <v>-469.22359392674298</v>
      </c>
      <c r="M121" s="180">
        <f t="array" ref="M121">IF($G121=0, INDEX(LS_previous!$D$4:$AY$138, MATCH('Staging Table'!$A121, LS_previous!$B$4:$B$138, 0), MATCH(M$4&amp;M$5, LS_previous!$D$2:$AY$2&amp;LS_previous!$D$3:$AY$3, 0)),SUM(VLOOKUP($A121, LS_previous!$B$4:$AY$138, LS_previous!E$149, FALSE), VLOOKUP('Staging Table'!$A121, LS_previous!$B$4:$AY$138,LS_previous!AC$149, FALSE))/2)</f>
        <v>622.14682022988472</v>
      </c>
      <c r="N121" s="180">
        <f t="array" ref="N121">IF($G121=0, INDEX(LS_previous!$D$4:$AY$138, MATCH('Staging Table'!$A121, LS_previous!$B$4:$B$138, 0), MATCH(N$4&amp;N$5, LS_previous!$D$2:$AY$2&amp;LS_previous!$D$3:$AY$3, 0)),SUM(VLOOKUP($A121, LS_previous!$B$4:$AY$138, LS_previous!F$149, FALSE), VLOOKUP('Staging Table'!$A121, LS_previous!$B$4:$AY$138,LS_previous!AD$149, FALSE))/2)</f>
        <v>-3155.3314544910445</v>
      </c>
      <c r="O121" s="180">
        <f t="array" ref="O121">IF($G121=0, INDEX(LS_previous!$D$4:$AY$138, MATCH('Staging Table'!$A121, LS_previous!$B$4:$B$138, 0), MATCH(O$4&amp;O$5, LS_previous!$D$2:$AY$2&amp;LS_previous!$D$3:$AY$3, 0)),SUM(VLOOKUP($A121, LS_previous!$B$4:$AY$138, LS_previous!G$149, FALSE), VLOOKUP('Staging Table'!$A121, LS_previous!$B$4:$AY$138,LS_previous!AE$149, FALSE))/2)</f>
        <v>-577.80559160020312</v>
      </c>
      <c r="P121" s="180">
        <f t="array" ref="P121">IF($G121=0, INDEX(LS_previous!$D$4:$AY$138, MATCH('Staging Table'!$A121, LS_previous!$B$4:$B$138, 0), MATCH(P$4&amp;P$5, LS_previous!$D$2:$AY$2&amp;LS_previous!$D$3:$AY$3, 0)),SUM(VLOOKUP($A121, LS_previous!$B$4:$AY$138, LS_previous!H$149, FALSE), VLOOKUP('Staging Table'!$A121, LS_previous!$B$4:$AY$138,LS_previous!AF$149, FALSE))/2)</f>
        <v>775.34162431833465</v>
      </c>
      <c r="Q121" s="180">
        <f t="array" ref="Q121">IF($G121=0, INDEX(LS_previous!$D$4:$AY$138, MATCH('Staging Table'!$A121, LS_previous!$B$4:$B$138, 0), MATCH(Q$4&amp;Q$5, LS_previous!$D$2:$AY$2&amp;LS_previous!$D$3:$AY$3, 0)),SUM(VLOOKUP($A121, LS_previous!$B$4:$AY$138, LS_previous!I$149, FALSE), VLOOKUP('Staging Table'!$A121, LS_previous!$B$4:$AY$138,LS_previous!AG$149, FALSE))/2)</f>
        <v>447.71423185805725</v>
      </c>
      <c r="R121" s="180">
        <f t="array" ref="R121">IF($G121=0, INDEX(LS_previous!$D$4:$AY$138, MATCH('Staging Table'!$A121, LS_previous!$B$4:$B$138, 0), MATCH(R$4&amp;R$5, LS_previous!$D$2:$AY$2&amp;LS_previous!$D$3:$AY$3, 0)),SUM(VLOOKUP($A121, LS_previous!$B$4:$AY$138, LS_previous!J$149, FALSE), VLOOKUP('Staging Table'!$A121, LS_previous!$B$4:$AY$138,LS_previous!AH$149, FALSE))/2)</f>
        <v>3493.5612244879085</v>
      </c>
      <c r="S121" s="180">
        <f t="array" ref="S121">IF($G121=0, INDEX(LS_previous!$D$4:$AY$138, MATCH('Staging Table'!$A121, LS_previous!$B$4:$B$138, 0), MATCH(S$4&amp;S$5, LS_previous!$D$2:$AY$2&amp;LS_previous!$D$3:$AY$3, 0)),SUM(VLOOKUP($A121, LS_previous!$B$4:$AY$138, LS_previous!K$149, FALSE), VLOOKUP('Staging Table'!$A121, LS_previous!$B$4:$AY$138,LS_previous!AI$149, FALSE))/2)</f>
        <v>2353.9285810139263</v>
      </c>
      <c r="T121" s="180">
        <f t="array" ref="T121">IF($G121=0, INDEX(LS_previous!$D$4:$AY$138, MATCH('Staging Table'!$A121, LS_previous!$B$4:$B$138, 0), MATCH(T$4&amp;T$5, LS_previous!$D$2:$AY$2&amp;LS_previous!$D$3:$AY$3, 0)),SUM(VLOOKUP($A121, LS_previous!$B$4:$AY$138, LS_previous!L$149, FALSE), VLOOKUP('Staging Table'!$A121, LS_previous!$B$4:$AY$138,LS_previous!AJ$149, FALSE))/2)</f>
        <v>3094.5931025527334</v>
      </c>
      <c r="U121" s="180">
        <f t="array" ref="U121">IF($G121=0, INDEX(LS_previous!$D$4:$AY$138, MATCH('Staging Table'!$A121, LS_previous!$B$4:$B$138, 0), MATCH(U$4&amp;U$5, LS_previous!$D$2:$AY$2&amp;LS_previous!$D$3:$AY$3, 0)),SUM(VLOOKUP($A121, LS_previous!$B$4:$AY$138, LS_previous!M$149, FALSE), VLOOKUP('Staging Table'!$A121, LS_previous!$B$4:$AY$138,LS_previous!AK$149, FALSE))/2)</f>
        <v>1930.9634278796902</v>
      </c>
      <c r="V121" s="180">
        <f t="array" ref="V121">IF($G121=0, INDEX(LS_previous!$D$4:$AY$138, MATCH('Staging Table'!$A121, LS_previous!$B$4:$B$138, 0), MATCH(V$4&amp;V$5, LS_previous!$D$2:$AY$2&amp;LS_previous!$D$3:$AY$3, 0)),SUM(VLOOKUP($A121, LS_previous!$B$4:$AY$138, LS_previous!N$149, FALSE), VLOOKUP('Staging Table'!$A121, LS_previous!$B$4:$AY$138,LS_previous!AL$149, FALSE))/2)</f>
        <v>-566.34643789218535</v>
      </c>
      <c r="W121" s="180">
        <f t="array" ref="W121">IF($G121=0, INDEX(LS_previous!$D$4:$AY$138, MATCH('Staging Table'!$A121, LS_previous!$B$4:$B$138, 0), MATCH(W$4&amp;W$5, LS_previous!$D$2:$AY$2&amp;LS_previous!$D$3:$AY$3, 0)),SUM(VLOOKUP($A121, LS_previous!$B$4:$AY$138, LS_previous!O$149, FALSE), VLOOKUP('Staging Table'!$A121, LS_previous!$B$4:$AY$138,LS_previous!AM$149, FALSE))/2)</f>
        <v>250.3470108677202</v>
      </c>
      <c r="X121" s="180">
        <f t="array" ref="X121">IF($G121=0, INDEX(LS_previous!$D$4:$AY$138, MATCH('Staging Table'!$A121, LS_previous!$B$4:$B$138, 0), MATCH(X$4&amp;X$5, LS_previous!$D$2:$AY$2&amp;LS_previous!$D$3:$AY$3, 0)),SUM(VLOOKUP($A121, LS_previous!$B$4:$AY$138, LS_previous!P$149, FALSE), VLOOKUP('Staging Table'!$A121, LS_previous!$B$4:$AY$138,LS_previous!AN$149, FALSE))/2)</f>
        <v>2994.3223613519349</v>
      </c>
      <c r="Y121" s="180">
        <f t="array" ref="Y121">IF($G121=0, INDEX(LS_previous!$D$4:$AY$138, MATCH('Staging Table'!$A121, LS_previous!$B$4:$B$138, 0), MATCH(Y$4&amp;Y$5, LS_previous!$D$2:$AY$2&amp;LS_previous!$D$3:$AY$3, 0)),SUM(VLOOKUP($A121, LS_previous!$B$4:$AY$138, LS_previous!Q$149, FALSE), VLOOKUP('Staging Table'!$A121, LS_previous!$B$4:$AY$138,LS_previous!AO$149, FALSE))/2)</f>
        <v>2147.3680471670314</v>
      </c>
      <c r="Z121" s="180">
        <f t="array" ref="Z121">IF($G121=0, INDEX(LS_previous!$D$4:$AY$138, MATCH('Staging Table'!$A121, LS_previous!$B$4:$B$138, 0), MATCH(Z$4&amp;Z$5, LS_previous!$D$2:$AY$2&amp;LS_previous!$D$3:$AY$3, 0)),SUM(VLOOKUP($A121, LS_previous!$B$4:$AY$138, LS_previous!R$149, FALSE), VLOOKUP('Staging Table'!$A121, LS_previous!$B$4:$AY$138,LS_previous!AP$149, FALSE))/2)</f>
        <v>560.68300428768271</v>
      </c>
      <c r="AA121" s="180">
        <f t="array" ref="AA121">IF($G121=0, INDEX(LS_previous!$D$4:$AY$138, MATCH('Staging Table'!$A121, LS_previous!$B$4:$B$138, 0), MATCH(AA$4&amp;AA$5, LS_previous!$D$2:$AY$2&amp;LS_previous!$D$3:$AY$3, 0)),SUM(VLOOKUP($A121, LS_previous!$B$4:$AY$138, LS_previous!S$149, FALSE), VLOOKUP('Staging Table'!$A121, LS_previous!$B$4:$AY$138,LS_previous!AQ$149, FALSE))/2)</f>
        <v>3559.0652792021083</v>
      </c>
      <c r="AB121" s="180">
        <f t="array" ref="AB121">IF($G121=0, INDEX(LS_previous!$D$4:$AY$138, MATCH('Staging Table'!$A121, LS_previous!$B$4:$B$138, 0), MATCH(AB$4&amp;AB$5, LS_previous!$D$2:$AY$2&amp;LS_previous!$D$3:$AY$3, 0)),SUM(VLOOKUP($A121, LS_previous!$B$4:$AY$138, LS_previous!T$149, FALSE), VLOOKUP('Staging Table'!$A121, LS_previous!$B$4:$AY$138,LS_previous!AR$149, FALSE))/2)</f>
        <v>3772.8400779416443</v>
      </c>
      <c r="AC121" s="180">
        <f t="array" ref="AC121">IF($G121=0, INDEX(LS_previous!$D$4:$AY$138, MATCH('Staging Table'!$A121, LS_previous!$B$4:$B$138, 0), MATCH(AC$4&amp;AC$5, LS_previous!$D$2:$AY$2&amp;LS_previous!$D$3:$AY$3, 0)),SUM(VLOOKUP($A121, LS_previous!$B$4:$AY$138, LS_previous!U$149, FALSE), VLOOKUP('Staging Table'!$A121, LS_previous!$B$4:$AY$138,LS_previous!AS$149, FALSE))/2)</f>
        <v>6562.3344312527461</v>
      </c>
      <c r="AD121" s="180">
        <f t="array" ref="AD121">IF($G121=0, INDEX(LS_previous!$D$4:$AY$138, MATCH('Staging Table'!$A121, LS_previous!$B$4:$B$138, 0), MATCH(AD$4&amp;AD$5, LS_previous!$D$2:$AY$2&amp;LS_previous!$D$3:$AY$3, 0)),SUM(VLOOKUP($A121, LS_previous!$B$4:$AY$138, LS_previous!V$149, FALSE), VLOOKUP('Staging Table'!$A121, LS_previous!$B$4:$AY$138,LS_previous!AT$149, FALSE))/2)</f>
        <v>4472.9371626307966</v>
      </c>
      <c r="AE121" s="180">
        <f t="array" ref="AE121">IF($G121=0, INDEX(LS_previous!$D$4:$AY$138, MATCH('Staging Table'!$A121, LS_previous!$B$4:$B$138, 0), MATCH(AE$4&amp;AE$5, LS_previous!$D$2:$AY$2&amp;LS_previous!$D$3:$AY$3, 0)),SUM(VLOOKUP($A121, LS_previous!$B$4:$AY$138, LS_previous!W$149, FALSE), VLOOKUP('Staging Table'!$A121, LS_previous!$B$4:$AY$138,LS_previous!AU$149, FALSE))/2)</f>
        <v>6286.7224608557754</v>
      </c>
      <c r="AF121" s="180">
        <f t="array" ref="AF121">IF($G121=0, INDEX(LS_previous!$D$4:$AY$138, MATCH('Staging Table'!$A121, LS_previous!$B$4:$B$138, 0), MATCH(AF$4&amp;AF$5, LS_previous!$D$2:$AY$2&amp;LS_previous!$D$3:$AY$3, 0)),SUM(VLOOKUP($A121, LS_previous!$B$4:$AY$138, LS_previous!X$149, FALSE), VLOOKUP('Staging Table'!$A121, LS_previous!$B$4:$AY$138,LS_previous!AV$149, FALSE))/2)</f>
        <v>3522.4044184822178</v>
      </c>
      <c r="AG121" s="180">
        <f t="array" ref="AG121">IF($G121=0, INDEX(LS_previous!$D$4:$AY$138, MATCH('Staging Table'!$A121, LS_previous!$B$4:$B$138, 0), MATCH(AG$4&amp;AG$5, LS_previous!$D$2:$AY$2&amp;LS_previous!$D$3:$AY$3, 0)),SUM(VLOOKUP($A121, LS_previous!$B$4:$AY$138, LS_previous!Y$149, FALSE), VLOOKUP('Staging Table'!$A121, LS_previous!$B$4:$AY$138,LS_previous!AW$149, FALSE))/2)</f>
        <v>4353.3490067265766</v>
      </c>
      <c r="AH121" s="180">
        <f t="array" ref="AH121">IF($G121=0, INDEX(LS_previous!$D$4:$AY$138, MATCH('Staging Table'!$A121, LS_previous!$B$4:$B$138, 0), MATCH(AH$4&amp;AH$5, LS_previous!$D$2:$AY$2&amp;LS_previous!$D$3:$AY$3, 0)),SUM(VLOOKUP($A121, LS_previous!$B$4:$AY$138, LS_previous!Z$149, FALSE), VLOOKUP('Staging Table'!$A121, LS_previous!$B$4:$AY$138,LS_previous!AX$149, FALSE))/2)</f>
        <v>813.87516990115364</v>
      </c>
      <c r="AI121" s="180">
        <f t="array" ref="AI121">IF($G121=0, INDEX(LS_previous!$D$4:$AY$138, MATCH('Staging Table'!$A121, LS_previous!$B$4:$B$138, 0), MATCH(AI$4&amp;AI$5, LS_previous!$D$2:$AY$2&amp;LS_previous!$D$3:$AY$3, 0)),SUM(VLOOKUP($A121, LS_previous!$B$4:$AY$138, LS_previous!AA$149, FALSE), VLOOKUP('Staging Table'!$A121, LS_previous!$B$4:$AY$138,LS_previous!AY$149, FALSE))/2)</f>
        <v>2147.7684534217942</v>
      </c>
      <c r="AJ121" s="298">
        <f t="array" ref="AJ121">INDEX(Demand_previous!$D$4:$AY$138, MATCH('Staging Table'!$A121, Demand_previous!$B$4:$B$138, 0), MATCH(AJ$4&amp;AJ$5,Demand_previous!$D$2:$AY$2&amp;Demand_previous!$D$3:$AY$3, 0))/1000</f>
        <v>1.6039447115384613</v>
      </c>
      <c r="AK121" s="298">
        <f t="array" ref="AK121">INDEX(Demand_previous!$D$4:$AY$138, MATCH('Staging Table'!$A121, Demand_previous!$B$4:$B$138, 0), MATCH(AK$4&amp;AK$5,Demand_previous!$D$2:$AY$2&amp;Demand_previous!$D$3:$AY$3, 0))/1000</f>
        <v>3.6837700000000009</v>
      </c>
      <c r="AL121" s="298">
        <f t="array" ref="AL121">INDEX(Demand_previous!$D$4:$AY$138, MATCH('Staging Table'!$A121, Demand_previous!$B$4:$B$138, 0), MATCH(AL$4&amp;AL$5,Demand_previous!$D$2:$AY$2&amp;Demand_previous!$D$3:$AY$3, 0))/1000</f>
        <v>7.4895216346153877</v>
      </c>
      <c r="AM121" s="298">
        <f t="array" ref="AM121">INDEX(Demand_previous!$D$4:$AY$138, MATCH('Staging Table'!$A121, Demand_previous!$B$4:$B$138, 0), MATCH(AM$4&amp;AM$5,Demand_previous!$D$2:$AY$2&amp;Demand_previous!$D$3:$AY$3, 0))/1000</f>
        <v>5.1828699999999994</v>
      </c>
      <c r="AN121" s="298">
        <f t="array" ref="AN121">INDEX(Demand_previous!$D$4:$AY$138, MATCH('Staging Table'!$A121, Demand_previous!$B$4:$B$138, 0), MATCH(AN$4&amp;AN$5,Demand_previous!$D$2:$AY$2&amp;Demand_previous!$D$3:$AY$3, 0))/1000</f>
        <v>1.0038489583333305</v>
      </c>
      <c r="AO121" s="298">
        <f t="array" ref="AO121">INDEX(Demand_previous!$D$4:$AY$138, MATCH('Staging Table'!$A121, Demand_previous!$B$4:$B$138, 0), MATCH(AO$4&amp;AO$5,Demand_previous!$D$2:$AY$2&amp;Demand_previous!$D$3:$AY$3, 0))/1000</f>
        <v>2.9264884259259283</v>
      </c>
      <c r="AP121" s="298">
        <f t="array" ref="AP121">INDEX(Demand_previous!$D$4:$AY$138, MATCH('Staging Table'!$A121, Demand_previous!$B$4:$B$138, 0), MATCH(AP$4&amp;AP$5,Demand_previous!$D$2:$AY$2&amp;Demand_previous!$D$3:$AY$3, 0))/1000</f>
        <v>1.7850817307692264</v>
      </c>
      <c r="AQ121" s="298">
        <f t="array" ref="AQ121">INDEX(Demand_previous!$D$4:$AY$138, MATCH('Staging Table'!$A121, Demand_previous!$B$4:$B$138, 0), MATCH(AQ$4&amp;AQ$5,Demand_previous!$D$2:$AY$2&amp;Demand_previous!$D$3:$AY$3, 0))/1000</f>
        <v>3.3989475000000064</v>
      </c>
      <c r="AR121" s="298">
        <f t="array" ref="AR121">INDEX(Demand_previous!$D$4:$AY$138, MATCH('Staging Table'!$A121, Demand_previous!$B$4:$B$138, 0), MATCH(AR$4&amp;AR$5,Demand_previous!$D$2:$AY$2&amp;Demand_previous!$D$3:$AY$3, 0))/1000</f>
        <v>4.1796033653846152</v>
      </c>
      <c r="AS121" s="298">
        <f t="array" ref="AS121">INDEX(Demand_previous!$D$4:$AY$138, MATCH('Staging Table'!$A121, Demand_previous!$B$4:$B$138, 0), MATCH(AS$4&amp;AS$5,Demand_previous!$D$2:$AY$2&amp;Demand_previous!$D$3:$AY$3, 0))/1000</f>
        <v>8.9331199999999988</v>
      </c>
      <c r="AT121" s="298">
        <f t="array" ref="AT121">INDEX(Demand_previous!$D$4:$AY$138, MATCH('Staging Table'!$A121, Demand_previous!$B$4:$B$138, 0), MATCH(AT$4&amp;AT$5,Demand_previous!$D$2:$AY$2&amp;Demand_previous!$D$3:$AY$3, 0))/1000</f>
        <v>8.6471504629629639</v>
      </c>
      <c r="AU121" s="298">
        <f t="array" ref="AU121">INDEX(Demand_previous!$D$4:$AY$138, MATCH('Staging Table'!$A121, Demand_previous!$B$4:$B$138, 0), MATCH(AU$4&amp;AU$5,Demand_previous!$D$2:$AY$2&amp;Demand_previous!$D$3:$AY$3, 0))/1000</f>
        <v>1.3819049999999997</v>
      </c>
      <c r="AV121" s="180">
        <f>$F121*(VLOOKUP(AV$4, Rates_previous!$G$6:$Q$29, 10, FALSE)+VLOOKUP(AV$4, Rates_previous!$G$6:$Q$29, 11, FALSE))</f>
        <v>19330.95377369686</v>
      </c>
      <c r="AW121" s="180">
        <f>$F121*(VLOOKUP(AW$4, Rates_previous!$G$6:$Q$29, 10, FALSE)+VLOOKUP(AW$4, Rates_previous!$G$6:$Q$29, 11, FALSE))</f>
        <v>24473.689046091251</v>
      </c>
      <c r="AX121" s="180">
        <f>$F121*(VLOOKUP(AX$4, Rates_previous!$G$6:$Q$29, 10, FALSE)+VLOOKUP(AX$4, Rates_previous!$G$6:$Q$29, 11, FALSE))</f>
        <v>23954.852143823613</v>
      </c>
      <c r="AY121" s="180">
        <f>$F121*(VLOOKUP(AY$4, Rates_previous!$G$6:$Q$29, 10, FALSE)+VLOOKUP(AY$4, Rates_previous!$G$6:$Q$29, 11, FALSE))</f>
        <v>19785.689194498165</v>
      </c>
      <c r="AZ121" s="180">
        <f>$F121*(VLOOKUP(AZ$4, Rates_previous!$G$6:$Q$29, 10, FALSE)+VLOOKUP(AZ$4, Rates_previous!$G$6:$Q$29, 11, FALSE))</f>
        <v>17148.690469567577</v>
      </c>
      <c r="BA121" s="180">
        <f>$F121*(VLOOKUP(BA$4, Rates_previous!$G$6:$Q$29, 10, FALSE)+VLOOKUP(BA$4, Rates_previous!$G$6:$Q$29, 11, FALSE))</f>
        <v>20472.073427024468</v>
      </c>
      <c r="BB121" s="180">
        <f>$F121*(VLOOKUP(BB$4, Rates_previous!$G$6:$Q$29, 10, FALSE)+VLOOKUP(BB$4, Rates_previous!$G$6:$Q$29, 11, FALSE))</f>
        <v>15893.839591481035</v>
      </c>
      <c r="BC121" s="180">
        <f>$F121*(VLOOKUP(BC$4, Rates_previous!$G$6:$Q$29, 10, FALSE)+VLOOKUP(BC$4, Rates_previous!$G$6:$Q$29, 11, FALSE))</f>
        <v>22021.031716510206</v>
      </c>
      <c r="BD121" s="180">
        <f>$F121*(VLOOKUP(BD$4, Rates_previous!$G$6:$Q$29, 10, FALSE)+VLOOKUP(BD$4, Rates_previous!$G$6:$Q$29, 11, FALSE))</f>
        <v>23529.933490805608</v>
      </c>
      <c r="BE121" s="180">
        <f>$F121*(VLOOKUP(BE$4, Rates_previous!$G$6:$Q$29, 10, FALSE)+VLOOKUP(BE$4, Rates_previous!$G$6:$Q$29, 11, FALSE))</f>
        <v>22340.606376513431</v>
      </c>
      <c r="BF121" s="180">
        <f>$F121*(VLOOKUP(BF$4, Rates_previous!$G$6:$Q$29, 10, FALSE)+VLOOKUP(BF$4, Rates_previous!$G$6:$Q$29, 11, FALSE))</f>
        <v>21590.472574791205</v>
      </c>
      <c r="BG121" s="180">
        <f>$F121*(VLOOKUP(BG$4, Rates_previous!$G$6:$Q$29, 10, FALSE)+VLOOKUP(BG$4, Rates_previous!$G$6:$Q$29, 11, FALSE))</f>
        <v>19951.847376677051</v>
      </c>
      <c r="BH121" s="298">
        <f>IF($D121=0,IF(C121=0, MAX(BJ121 - (VLOOKUP($A121,TOCA_previous!$A$2:$AI$137,MATCH("RHWM 2022",TOCA_previous!$A$2:$AI$2,0),FALSE)*$F$2*TOCA_previous!C118),0),0), 0)</f>
        <v>49395.050813835551</v>
      </c>
      <c r="BI121" s="192">
        <f>MIN(VLOOKUP($A121,TOCA_previous!$A$2:$AI$137,MATCH("TRL - NLSL - Existing Resource "&amp;$F$1,TOCA_previous!$A$2:$AI$2,0),FALSE)*$F$2,(VLOOKUP($A121,TOCA_previous!$A$2:$AI$137,MATCH("RHWM 2022",TOCA_previous!$A$2:$AI$2,0),FALSE)*$F$2))</f>
        <v>250492.19999999998</v>
      </c>
      <c r="BJ121" s="402">
        <f>SUM(L121:AI121)+(F121*RT1SC!$C$3*$F$2)</f>
        <v>299887.25081383553</v>
      </c>
      <c r="BK121" s="401">
        <f>VLOOKUP($A121,TOCA_previous!$A$2:$AI$137,MATCH("Above RHWM Not Served with LS "&amp;$F$1,TOCA_previous!$A$2:$AI$2,0),FALSE)*$F$2</f>
        <v>34383</v>
      </c>
      <c r="BL121" s="402">
        <f t="shared" si="27"/>
        <v>49395.050813835551</v>
      </c>
      <c r="BM121" s="401">
        <f>(VLOOKUP($A121,TOCA_previous!$A$2:$AI$137,MATCH("RHWM 2022",TOCA_previous!$A$2:$AI$2,0),FALSE)*$F$2) - $BI121</f>
        <v>0</v>
      </c>
      <c r="BN121" s="402">
        <f t="shared" si="28"/>
        <v>0</v>
      </c>
      <c r="BO121" s="401">
        <f t="shared" si="29"/>
        <v>0</v>
      </c>
      <c r="BP121" s="402">
        <f t="shared" si="30"/>
        <v>0</v>
      </c>
      <c r="BQ121" s="401">
        <f t="shared" si="37"/>
        <v>0</v>
      </c>
      <c r="BR121" s="108">
        <f>VLOOKUP($A121,TOCA_current!$A$2:$AI$137,MATCH(BR$4,TOCA_current!$A$2:$AI$2,0),FALSE)</f>
        <v>4.2440000000000004E-3</v>
      </c>
      <c r="BS121" s="108">
        <f>VLOOKUP($A121,TOCA_current!$A$2:$AI$137,MATCH(BS$4,TOCA_current!$A$2:$AI$2,0),FALSE)</f>
        <v>4.2440000000000004E-3</v>
      </c>
      <c r="BT121" s="189">
        <f t="shared" si="31"/>
        <v>0</v>
      </c>
      <c r="BU121" s="108">
        <f>VLOOKUP($A121,TOCA_current!A117:BG252,MATCH(BU$4,TOCA_current!$A$2:$BG$2,0),FALSE)</f>
        <v>3.8083197117790311E-2</v>
      </c>
      <c r="BV121" s="108">
        <f t="shared" si="38"/>
        <v>0</v>
      </c>
      <c r="BW121" s="108">
        <f t="shared" si="39"/>
        <v>0</v>
      </c>
      <c r="BX121" s="179">
        <f>VLOOKUP($A121,IRD!$A$4:$G$139, 7, FALSE)</f>
        <v>44270.152999999998</v>
      </c>
      <c r="BY121" s="180">
        <f t="array" ref="BY121">IF($BT121=0, INDEX(LS_current!$D$4:$AY$138, MATCH('Staging Table'!$A121, LS_current!$B$4:$B$138, 0), MATCH(BY$4&amp;BY$5, LS_current!$D$2:$AY$2&amp;LS_current!$D$3:$AY$3, 0)),SUM(VLOOKUP($A121, LS_current!$B$4:$AY$138, LS_current!D$148, FALSE), VLOOKUP($A121, LS_current!$B$4:$AY$138,LS_current!AB$148, FALSE))/2)</f>
        <v>-630.56548878400099</v>
      </c>
      <c r="BZ121" s="180">
        <f t="array" ref="BZ121">IF($BT121=0, INDEX(LS_current!$D$4:$AY$138, MATCH('Staging Table'!$A121, LS_current!$B$4:$B$138, 0), MATCH(BZ$4&amp;BZ$5, LS_current!$D$2:$AY$2&amp;LS_current!$D$3:$AY$3, 0)),SUM(VLOOKUP($A121, LS_current!$B$4:$AY$138, LS_current!E$148, FALSE), VLOOKUP($A121, LS_current!$B$4:$AY$138,LS_current!AC$148, FALSE))/2)</f>
        <v>-879.24867502199959</v>
      </c>
      <c r="CA121" s="180">
        <f t="array" ref="CA121">IF($BT121=0, INDEX(LS_current!$D$4:$AY$138, MATCH('Staging Table'!$A121, LS_current!$B$4:$B$138, 0), MATCH(CA$4&amp;CA$5, LS_current!$D$2:$AY$2&amp;LS_current!$D$3:$AY$3, 0)),SUM(VLOOKUP($A121, LS_current!$B$4:$AY$138, LS_current!F$148, FALSE), VLOOKUP($A121, LS_current!$B$4:$AY$138,LS_current!AD$148, FALSE))/2)</f>
        <v>-3652.3922200320012</v>
      </c>
      <c r="CB121" s="180">
        <f t="array" ref="CB121">IF($BT121=0, INDEX(LS_current!$D$4:$AY$138, MATCH('Staging Table'!$A121, LS_current!$B$4:$B$138, 0), MATCH(CB$4&amp;CB$5, LS_current!$D$2:$AY$2&amp;LS_current!$D$3:$AY$3, 0)),SUM(VLOOKUP($A121, LS_current!$B$4:$AY$138, LS_current!G$148, FALSE), VLOOKUP($A121, LS_current!$B$4:$AY$138,LS_current!AE$148, FALSE))/2)</f>
        <v>-1434.9209099640029</v>
      </c>
      <c r="CC121" s="180">
        <f t="array" ref="CC121">IF($BT121=0, INDEX(LS_current!$D$4:$AY$138, MATCH('Staging Table'!$A121, LS_current!$B$4:$B$138, 0), MATCH(CC$4&amp;CC$5, LS_current!$D$2:$AY$2&amp;LS_current!$D$3:$AY$3, 0)),SUM(VLOOKUP($A121, LS_current!$B$4:$AY$138, LS_current!H$148, FALSE), VLOOKUP($A121, LS_current!$B$4:$AY$138,LS_current!AF$148, FALSE))/2)</f>
        <v>-2078.5824763160017</v>
      </c>
      <c r="CD121" s="180">
        <f t="array" ref="CD121">IF($BT121=0, INDEX(LS_current!$D$4:$AY$138, MATCH('Staging Table'!$A121, LS_current!$B$4:$B$138, 0), MATCH(CD$4&amp;CD$5, LS_current!$D$2:$AY$2&amp;LS_current!$D$3:$AY$3, 0)),SUM(VLOOKUP($A121, LS_current!$B$4:$AY$138, LS_current!I$148, FALSE), VLOOKUP($A121, LS_current!$B$4:$AY$138,LS_current!AG$148, FALSE))/2)</f>
        <v>-475.29624582399993</v>
      </c>
      <c r="CE121" s="180">
        <f t="array" ref="CE121">IF($BT121=0, INDEX(LS_current!$D$4:$AY$138, MATCH('Staging Table'!$A121, LS_current!$B$4:$B$138, 0), MATCH(CE$4&amp;CE$5, LS_current!$D$2:$AY$2&amp;LS_current!$D$3:$AY$3, 0)),SUM(VLOOKUP($A121, LS_current!$B$4:$AY$138, LS_current!J$148, FALSE), VLOOKUP($A121, LS_current!$B$4:$AY$138,LS_current!AH$148, FALSE))/2)</f>
        <v>-2895.0556384600004</v>
      </c>
      <c r="CF121" s="180">
        <f t="array" ref="CF121">IF($BT121=0, INDEX(LS_current!$D$4:$AY$138, MATCH('Staging Table'!$A121, LS_current!$B$4:$B$138, 0), MATCH(CF$4&amp;CF$5, LS_current!$D$2:$AY$2&amp;LS_current!$D$3:$AY$3, 0)),SUM(VLOOKUP($A121, LS_current!$B$4:$AY$138, LS_current!K$148, FALSE), VLOOKUP($A121, LS_current!$B$4:$AY$138,LS_current!AI$148, FALSE))/2)</f>
        <v>-168.42679507600042</v>
      </c>
      <c r="CG121" s="180">
        <f t="array" ref="CG121">IF($BT121=0, INDEX(LS_current!$D$4:$AY$138, MATCH('Staging Table'!$A121, LS_current!$B$4:$B$138, 0), MATCH(CG$4&amp;CG$5, LS_current!$D$2:$AY$2&amp;LS_current!$D$3:$AY$3, 0)),SUM(VLOOKUP($A121, LS_current!$B$4:$AY$138, LS_current!L$148, FALSE), VLOOKUP($A121, LS_current!$B$4:$AY$138,LS_current!AJ$148, FALSE))/2)</f>
        <v>-2672.7245104760023</v>
      </c>
      <c r="CH121" s="180">
        <f t="array" ref="CH121">IF($BT121=0, INDEX(LS_current!$D$4:$AY$138, MATCH('Staging Table'!$A121, LS_current!$B$4:$B$138, 0), MATCH(CH$4&amp;CH$5, LS_current!$D$2:$AY$2&amp;LS_current!$D$3:$AY$3, 0)),SUM(VLOOKUP($A121, LS_current!$B$4:$AY$138, LS_current!M$148, FALSE), VLOOKUP($A121, LS_current!$B$4:$AY$138,LS_current!AK$148, FALSE))/2)</f>
        <v>-162.94691399600015</v>
      </c>
      <c r="CI121" s="180">
        <f t="array" ref="CI121">IF($BT121=0, INDEX(LS_current!$D$4:$AY$138, MATCH('Staging Table'!$A121, LS_current!$B$4:$B$138, 0), MATCH(CI$4&amp;CI$5, LS_current!$D$2:$AY$2&amp;LS_current!$D$3:$AY$3, 0)),SUM(VLOOKUP($A121, LS_current!$B$4:$AY$138, LS_current!N$148, FALSE), VLOOKUP($A121, LS_current!$B$4:$AY$138,LS_current!AL$148, FALSE))/2)</f>
        <v>-4299.5237155720006</v>
      </c>
      <c r="CJ121" s="180">
        <f t="array" ref="CJ121">IF($BT121=0, INDEX(LS_current!$D$4:$AY$138, MATCH('Staging Table'!$A121, LS_current!$B$4:$B$138, 0), MATCH(CJ$4&amp;CJ$5, LS_current!$D$2:$AY$2&amp;LS_current!$D$3:$AY$3, 0)),SUM(VLOOKUP($A121, LS_current!$B$4:$AY$138, LS_current!O$148, FALSE), VLOOKUP($A121, LS_current!$B$4:$AY$138,LS_current!AM$148, FALSE))/2)</f>
        <v>-2677.2890258320003</v>
      </c>
      <c r="CK121" s="180">
        <f t="array" ref="CK121">IF($BT121=0, INDEX(LS_current!$D$4:$AY$138, MATCH('Staging Table'!$A121, LS_current!$B$4:$B$138, 0), MATCH(CK$4&amp;CK$5, LS_current!$D$2:$AY$2&amp;LS_current!$D$3:$AY$3, 0)),SUM(VLOOKUP($A121, LS_current!$B$4:$AY$138, LS_current!P$148, FALSE), VLOOKUP($A121, LS_current!$B$4:$AY$138,LS_current!AN$148, FALSE))/2)</f>
        <v>-492.49260771000081</v>
      </c>
      <c r="CL121" s="180">
        <f t="array" ref="CL121">IF($BT121=0, INDEX(LS_current!$D$4:$AY$138, MATCH('Staging Table'!$A121, LS_current!$B$4:$B$138, 0), MATCH(CL$4&amp;CL$5, LS_current!$D$2:$AY$2&amp;LS_current!$D$3:$AY$3, 0)),SUM(VLOOKUP($A121, LS_current!$B$4:$AY$138, LS_current!Q$148, FALSE), VLOOKUP($A121, LS_current!$B$4:$AY$138,LS_current!AO$148, FALSE))/2)</f>
        <v>-443.2219316669989</v>
      </c>
      <c r="CM121" s="180">
        <f t="array" ref="CM121">IF($BT121=0, INDEX(LS_current!$D$4:$AY$138, MATCH('Staging Table'!$A121, LS_current!$B$4:$B$138, 0), MATCH(CM$4&amp;CM$5, LS_current!$D$2:$AY$2&amp;LS_current!$D$3:$AY$3, 0)),SUM(VLOOKUP($A121, LS_current!$B$4:$AY$138, LS_current!R$148, FALSE), VLOOKUP($A121, LS_current!$B$4:$AY$138,LS_current!AP$148, FALSE))/2)</f>
        <v>-700.40170291200229</v>
      </c>
      <c r="CN121" s="180">
        <f t="array" ref="CN121">IF($BT121=0, INDEX(LS_current!$D$4:$AY$138, MATCH('Staging Table'!$A121, LS_current!$B$4:$B$138, 0), MATCH(CN$4&amp;CN$5, LS_current!$D$2:$AY$2&amp;LS_current!$D$3:$AY$3, 0)),SUM(VLOOKUP($A121, LS_current!$B$4:$AY$138, LS_current!S$148, FALSE), VLOOKUP($A121, LS_current!$B$4:$AY$138,LS_current!AQ$148, FALSE))/2)</f>
        <v>202.62149132600098</v>
      </c>
      <c r="CO121" s="180">
        <f t="array" ref="CO121">IF($BT121=0, INDEX(LS_current!$D$4:$AY$138, MATCH('Staging Table'!$A121, LS_current!$B$4:$B$138, 0), MATCH(CO$4&amp;CO$5, LS_current!$D$2:$AY$2&amp;LS_current!$D$3:$AY$3, 0)),SUM(VLOOKUP($A121, LS_current!$B$4:$AY$138, LS_current!T$148, FALSE), VLOOKUP($A121, LS_current!$B$4:$AY$138,LS_current!AR$148, FALSE))/2)</f>
        <v>3845.9713620559996</v>
      </c>
      <c r="CP121" s="180">
        <f t="array" ref="CP121">IF($BT121=0, INDEX(LS_current!$D$4:$AY$138, MATCH('Staging Table'!$A121, LS_current!$B$4:$B$138, 0), MATCH(CP$4&amp;CP$5, LS_current!$D$2:$AY$2&amp;LS_current!$D$3:$AY$3, 0)),SUM(VLOOKUP($A121, LS_current!$B$4:$AY$138, LS_current!U$148, FALSE), VLOOKUP($A121, LS_current!$B$4:$AY$138,LS_current!AS$148, FALSE))/2)</f>
        <v>2969.2596687019995</v>
      </c>
      <c r="CQ121" s="180">
        <f t="array" ref="CQ121">IF($BT121=0, INDEX(LS_current!$D$4:$AY$138, MATCH('Staging Table'!$A121, LS_current!$B$4:$B$138, 0), MATCH(CQ$4&amp;CQ$5, LS_current!$D$2:$AY$2&amp;LS_current!$D$3:$AY$3, 0)),SUM(VLOOKUP($A121, LS_current!$B$4:$AY$138, LS_current!V$148, FALSE), VLOOKUP($A121, LS_current!$B$4:$AY$138,LS_current!AT$148, FALSE))/2)</f>
        <v>4546.2371935840001</v>
      </c>
      <c r="CR121" s="180">
        <f t="array" ref="CR121">IF($BT121=0, INDEX(LS_current!$D$4:$AY$138, MATCH('Staging Table'!$A121, LS_current!$B$4:$B$138, 0), MATCH(CR$4&amp;CR$5, LS_current!$D$2:$AY$2&amp;LS_current!$D$3:$AY$3, 0)),SUM(VLOOKUP($A121, LS_current!$B$4:$AY$138, LS_current!W$148, FALSE), VLOOKUP($A121, LS_current!$B$4:$AY$138,LS_current!AU$148, FALSE))/2)</f>
        <v>4577.0151688900005</v>
      </c>
      <c r="CS121" s="180">
        <f t="array" ref="CS121">IF($BT121=0, INDEX(LS_current!$D$4:$AY$138, MATCH('Staging Table'!$A121, LS_current!$B$4:$B$138, 0), MATCH(CS$4&amp;CS$5, LS_current!$D$2:$AY$2&amp;LS_current!$D$3:$AY$3, 0)),SUM(VLOOKUP($A121, LS_current!$B$4:$AY$138, LS_current!X$148, FALSE), VLOOKUP($A121, LS_current!$B$4:$AY$138,LS_current!AV$148, FALSE))/2)</f>
        <v>3458.9995121539978</v>
      </c>
      <c r="CT121" s="180">
        <f t="array" ref="CT121">IF($BT121=0, INDEX(LS_current!$D$4:$AY$138, MATCH('Staging Table'!$A121, LS_current!$B$4:$B$138, 0), MATCH(CT$4&amp;CT$5, LS_current!$D$2:$AY$2&amp;LS_current!$D$3:$AY$3, 0)),SUM(VLOOKUP($A121, LS_current!$B$4:$AY$138, LS_current!Y$148, FALSE), VLOOKUP($A121, LS_current!$B$4:$AY$138,LS_current!AW$148, FALSE))/2)</f>
        <v>2725.0665891166009</v>
      </c>
      <c r="CU121" s="180">
        <f t="array" ref="CU121">IF($BT121=0, INDEX(LS_current!$D$4:$AY$138, MATCH('Staging Table'!$A121, LS_current!$B$4:$B$138, 0), MATCH(CU$4&amp;CU$5, LS_current!$D$2:$AY$2&amp;LS_current!$D$3:$AY$3, 0)),SUM(VLOOKUP($A121, LS_current!$B$4:$AY$138, LS_current!Z$148, FALSE), VLOOKUP($A121, LS_current!$B$4:$AY$138,LS_current!AX$148, FALSE))/2)</f>
        <v>917.87196514399693</v>
      </c>
      <c r="CV121" s="180">
        <f t="array" ref="CV121">IF($BT121=0, INDEX(LS_current!$D$4:$AY$138, MATCH('Staging Table'!$A121, LS_current!$B$4:$B$138, 0), MATCH(CV$4&amp;CV$5, LS_current!$D$2:$AY$2&amp;LS_current!$D$3:$AY$3, 0)),SUM(VLOOKUP($A121, LS_current!$B$4:$AY$138, LS_current!AA$148, FALSE), VLOOKUP($A121, LS_current!$B$4:$AY$138,LS_current!AY$148, FALSE))/2)</f>
        <v>424.64252262400078</v>
      </c>
      <c r="CW121" s="182">
        <f t="array" ref="CW121">INDEX(Demand_current!$D$4:$AY$138, MATCH($A121, Demand_current!$B$4:$B$138, 0), MATCH(CW$4&amp;CW$5,Demand_current!$D$2:$AY$2&amp;Demand_current!$D$3:$AY$3, 0))/1000</f>
        <v>1.6039447115384613</v>
      </c>
      <c r="CX121" s="182">
        <f t="array" ref="CX121">INDEX(Demand_current!$D$4:$AY$138, MATCH($A121, Demand_current!$B$4:$B$138, 0), MATCH(CX$4&amp;CX$5,Demand_current!$D$2:$AY$2&amp;Demand_current!$D$3:$AY$3, 0))/1000</f>
        <v>3.6837700000000009</v>
      </c>
      <c r="CY121" s="182">
        <f t="array" ref="CY121">INDEX(Demand_current!$D$4:$AY$138, MATCH($A121, Demand_current!$B$4:$B$138, 0), MATCH(CY$4&amp;CY$5,Demand_current!$D$2:$AY$2&amp;Demand_current!$D$3:$AY$3, 0))/1000</f>
        <v>5.942102499999999</v>
      </c>
      <c r="CZ121" s="182">
        <f t="array" ref="CZ121">INDEX(Demand_current!$D$4:$AY$138, MATCH($A121, Demand_current!$B$4:$B$138, 0), MATCH(CZ$4&amp;CZ$5,Demand_current!$D$2:$AY$2&amp;Demand_current!$D$3:$AY$3, 0))/1000</f>
        <v>6.7520288461538467</v>
      </c>
      <c r="DA121" s="182">
        <f t="array" ref="DA121">INDEX(Demand_current!$D$4:$AY$138, MATCH($A121, Demand_current!$B$4:$B$138, 0), MATCH(DA$4&amp;DA$5,Demand_current!$D$2:$AY$2&amp;Demand_current!$D$3:$AY$3, 0))/1000</f>
        <v>2.5208550000000063</v>
      </c>
      <c r="DB121" s="182">
        <f t="array" ref="DB121">INDEX(Demand_current!$D$4:$AY$138, MATCH($A121, Demand_current!$B$4:$B$138, 0), MATCH(DB$4&amp;DB$5,Demand_current!$D$2:$AY$2&amp;Demand_current!$D$3:$AY$3, 0))/1000</f>
        <v>1.7065841346153867</v>
      </c>
      <c r="DC121" s="182">
        <f t="array" ref="DC121">INDEX(Demand_current!$D$4:$AY$138, MATCH($A121, Demand_current!$B$4:$B$138, 0), MATCH(DC$4&amp;DC$5,Demand_current!$D$2:$AY$2&amp;Demand_current!$D$3:$AY$3, 0))/1000</f>
        <v>1.7850817307692335</v>
      </c>
      <c r="DD121" s="182">
        <f t="array" ref="DD121">INDEX(Demand_current!$D$4:$AY$138, MATCH($A121, Demand_current!$B$4:$B$138, 0), MATCH(DD$4&amp;DD$5,Demand_current!$D$2:$AY$2&amp;Demand_current!$D$3:$AY$3, 0))/1000</f>
        <v>5.0306418269230813</v>
      </c>
      <c r="DE121" s="182">
        <f t="array" ref="DE121">INDEX(Demand_current!$D$4:$AY$138, MATCH($A121, Demand_current!$B$4:$B$138, 0), MATCH(DE$4&amp;DE$5,Demand_current!$D$2:$AY$2&amp;Demand_current!$D$3:$AY$3, 0))/1000</f>
        <v>2.0463875000000016</v>
      </c>
      <c r="DF121" s="182">
        <f t="array" ref="DF121">INDEX(Demand_current!$D$4:$AY$138, MATCH($A121, Demand_current!$B$4:$B$138, 0), MATCH(DF$4&amp;DF$5,Demand_current!$D$2:$AY$2&amp;Demand_current!$D$3:$AY$3, 0))/1000</f>
        <v>10.944923076923072</v>
      </c>
      <c r="DG121" s="182">
        <f t="array" ref="DG121">INDEX(Demand_current!$D$4:$AY$138, MATCH($A121, Demand_current!$B$4:$B$138, 0), MATCH(DG$4&amp;DG$5,Demand_current!$D$2:$AY$2&amp;Demand_current!$D$3:$AY$3, 0))/1000</f>
        <v>8.6471504629629639</v>
      </c>
      <c r="DH121" s="182">
        <f t="array" ref="DH121">INDEX(Demand_current!$D$4:$AY$138, MATCH($A121, Demand_current!$B$4:$B$138, 0), MATCH(DH$4&amp;DH$5,Demand_current!$D$2:$AY$2&amp;Demand_current!$D$3:$AY$3, 0))/1000</f>
        <v>0</v>
      </c>
      <c r="DI121" s="180">
        <f>$BS121*(VLOOKUP(DI$4, Rates_current!$G$6:$Q$29, 10, FALSE)+VLOOKUP(DI$4, Rates_current!$G$6:$Q$29, 11, FALSE))</f>
        <v>17904.603163806001</v>
      </c>
      <c r="DJ121" s="180">
        <f>$BS121*(VLOOKUP(DJ$4, Rates_current!$G$6:$Q$29, 10, FALSE)+VLOOKUP(DJ$4, Rates_current!$G$6:$Q$29, 11, FALSE))</f>
        <v>22834.273129996007</v>
      </c>
      <c r="DK121" s="180">
        <f>$BS121*(VLOOKUP(DK$4, Rates_current!$G$6:$Q$29, 10, FALSE)+VLOOKUP(DK$4, Rates_current!$G$6:$Q$29, 11, FALSE))</f>
        <v>24642.698722140005</v>
      </c>
      <c r="DL121" s="180">
        <f>$BS121*(VLOOKUP(DL$4, Rates_current!$G$6:$Q$29, 10, FALSE)+VLOOKUP(DL$4, Rates_current!$G$6:$Q$29, 11, FALSE))</f>
        <v>25607.573433536003</v>
      </c>
      <c r="DM121" s="180">
        <f>$BS121*(VLOOKUP(DM$4, Rates_current!$G$6:$Q$29, 10, FALSE)+VLOOKUP(DM$4, Rates_current!$G$6:$Q$29, 11, FALSE))</f>
        <v>22025.926424472</v>
      </c>
      <c r="DN121" s="180">
        <f>$BS121*(VLOOKUP(DN$4, Rates_current!$G$6:$Q$29, 10, FALSE)+VLOOKUP(DN$4, Rates_current!$G$6:$Q$29, 11, FALSE))</f>
        <v>24047.950741404002</v>
      </c>
      <c r="DO121" s="180">
        <f>$BS121*(VLOOKUP(DO$4, Rates_current!$G$6:$Q$29, 10, FALSE)+VLOOKUP(DO$4, Rates_current!$G$6:$Q$29, 11, FALSE))</f>
        <v>18981.804539377001</v>
      </c>
      <c r="DP121" s="180">
        <f>$BS121*(VLOOKUP(DP$4, Rates_current!$G$6:$Q$29, 10, FALSE)+VLOOKUP(DP$4, Rates_current!$G$6:$Q$29, 11, FALSE))</f>
        <v>23549.472211586002</v>
      </c>
      <c r="DQ121" s="180">
        <f>$BS121*(VLOOKUP(DQ$4, Rates_current!$G$6:$Q$29, 10, FALSE)+VLOOKUP(DQ$4, Rates_current!$G$6:$Q$29, 11, FALSE))</f>
        <v>24060.436969242</v>
      </c>
      <c r="DR121" s="180">
        <f>$BS121*(VLOOKUP(DR$4, Rates_current!$G$6:$Q$29, 10, FALSE)+VLOOKUP(DR$4, Rates_current!$G$6:$Q$29, 11, FALSE))</f>
        <v>20887.925637526001</v>
      </c>
      <c r="DS121" s="180">
        <f>$BS121*(VLOOKUP(DS$4, Rates_current!$G$6:$Q$29, 10, FALSE)+VLOOKUP(DS$4, Rates_current!$G$6:$Q$29, 11, FALSE))</f>
        <v>20193.071898729402</v>
      </c>
      <c r="DT121" s="180">
        <f>$BS121*(VLOOKUP(DT$4, Rates_current!$G$6:$Q$29, 10, FALSE)+VLOOKUP(DT$4, Rates_current!$G$6:$Q$29, 11, FALSE))</f>
        <v>18581.536512232004</v>
      </c>
      <c r="DU121" s="402">
        <f>IF(D121=0,IF(C121=0,MAX(0,DW121 - (VLOOKUP($A121,TOCA_current!$A$2:$AI$137,MATCH("RHWM 2024",TOCA_current!$A$2:$AI$2,0),FALSE)*$BS$2)), 0),0)</f>
        <v>3.9032069936511107</v>
      </c>
      <c r="DV121" s="403">
        <f>MIN(VLOOKUP($A121,TOCA_current!$A$2:$AI$137,MATCH("TRL - NLSL - Existing Resource "&amp;$BS$1,TOCA_current!$A$2:$AI$2,0),FALSE)*$BS$2, VLOOKUP($A121,TOCA_current!$A$2:$AI$137,MATCH("RHWM 2024",TOCA_current!$A$2:$AI$2,0),FALSE)*$BS$2)</f>
        <v>263317.96799999999</v>
      </c>
      <c r="DW121" s="403">
        <f>SUM(BY121:CV121)+(BS121*RT1SC!$C$4*$BS$2)</f>
        <v>263321.87120699364</v>
      </c>
      <c r="DX121" s="403">
        <f>VLOOKUP($A121,TOCA_current!$A$2:$AI$137,MATCH("Above RHWM Not Served with LS "&amp;$BS$1,TOCA_current!$A$2:$AI$2,0),FALSE)*$BS$2</f>
        <v>70948.368000000002</v>
      </c>
      <c r="DY121" s="403">
        <f t="shared" si="32"/>
        <v>3.9032069936511107</v>
      </c>
      <c r="DZ121" s="403">
        <f>(VLOOKUP($A121,TOCA_current!$A$2:$AI$137,MATCH("RHWM 2024",TOCA_current!$A$2:$AI$2,0),FALSE)*$BS$2) - $DV121</f>
        <v>0</v>
      </c>
      <c r="EA121" s="403">
        <f t="shared" si="33"/>
        <v>0</v>
      </c>
      <c r="EB121" s="403">
        <f t="shared" si="34"/>
        <v>0</v>
      </c>
      <c r="EC121" s="403">
        <f t="shared" si="35"/>
        <v>0</v>
      </c>
      <c r="ED121" s="403">
        <f t="shared" si="36"/>
        <v>0</v>
      </c>
    </row>
    <row r="122" spans="1:134">
      <c r="A122" s="123">
        <v>10406</v>
      </c>
      <c r="B122" s="124" t="s">
        <v>123</v>
      </c>
      <c r="C122" s="232">
        <f>VLOOKUP(A122, TOCA_current!$A$3:$D$137, 4, FALSE)</f>
        <v>0</v>
      </c>
      <c r="D122" s="191">
        <v>0</v>
      </c>
      <c r="E122" s="107">
        <f>VLOOKUP($A122,TOCA_previous!$A$2:$AI$137,MATCH(E$4,TOCA_previous!$A$2:$AI$2,0),FALSE)</f>
        <v>6.4900000000000005E-5</v>
      </c>
      <c r="F122" s="108">
        <f>VLOOKUP($A122,TOCA_previous!$A$2:$AI$137,MATCH(F$4,TOCA_previous!$A$2:$AI$2,0),FALSE)</f>
        <v>6.4900000000000005E-5</v>
      </c>
      <c r="G122" s="108">
        <f t="shared" si="24"/>
        <v>0</v>
      </c>
      <c r="H122" s="108">
        <f>VLOOKUP($A122,TOCA_previous!$A$2:$AI$137,MATCH(H$4,TOCA_previous!$A$2:$AI$2,0),FALSE)</f>
        <v>0</v>
      </c>
      <c r="I122" s="108">
        <f t="shared" si="25"/>
        <v>0</v>
      </c>
      <c r="J122" s="108">
        <f t="shared" si="26"/>
        <v>0</v>
      </c>
      <c r="K122" s="179">
        <f>VLOOKUP(A122, IRD!$A$5:$C$139, 3, FALSE)</f>
        <v>0</v>
      </c>
      <c r="L122" s="180">
        <f t="array" ref="L122">IF($G122=0, INDEX(LS_previous!$D$4:$AY$138, MATCH('Staging Table'!$A122, LS_previous!$B$4:$B$138, 0), MATCH(L$4&amp;L$5, LS_previous!$D$2:$AY$2&amp;LS_previous!$D$3:$AY$3, 0)),SUM(VLOOKUP($A122, LS_previous!$B$4:$AY$138, LS_previous!D$149, FALSE), VLOOKUP('Staging Table'!$A122, LS_previous!$B$4:$AY$138,LS_previous!AB$149, FALSE))/2)</f>
        <v>69.670711831646059</v>
      </c>
      <c r="M122" s="180">
        <f t="array" ref="M122">IF($G122=0, INDEX(LS_previous!$D$4:$AY$138, MATCH('Staging Table'!$A122, LS_previous!$B$4:$B$138, 0), MATCH(M$4&amp;M$5, LS_previous!$D$2:$AY$2&amp;LS_previous!$D$3:$AY$3, 0)),SUM(VLOOKUP($A122, LS_previous!$B$4:$AY$138, LS_previous!E$149, FALSE), VLOOKUP('Staging Table'!$A122, LS_previous!$B$4:$AY$138,LS_previous!AC$149, FALSE))/2)</f>
        <v>89.278593260835237</v>
      </c>
      <c r="N122" s="180">
        <f t="array" ref="N122">IF($G122=0, INDEX(LS_previous!$D$4:$AY$138, MATCH('Staging Table'!$A122, LS_previous!$B$4:$B$138, 0), MATCH(N$4&amp;N$5, LS_previous!$D$2:$AY$2&amp;LS_previous!$D$3:$AY$3, 0)),SUM(VLOOKUP($A122, LS_previous!$B$4:$AY$138, LS_previous!F$149, FALSE), VLOOKUP('Staging Table'!$A122, LS_previous!$B$4:$AY$138,LS_previous!AD$149, FALSE))/2)</f>
        <v>80.802358430948033</v>
      </c>
      <c r="O122" s="180">
        <f t="array" ref="O122">IF($G122=0, INDEX(LS_previous!$D$4:$AY$138, MATCH('Staging Table'!$A122, LS_previous!$B$4:$B$138, 0), MATCH(O$4&amp;O$5, LS_previous!$D$2:$AY$2&amp;LS_previous!$D$3:$AY$3, 0)),SUM(VLOOKUP($A122, LS_previous!$B$4:$AY$138, LS_previous!G$149, FALSE), VLOOKUP('Staging Table'!$A122, LS_previous!$B$4:$AY$138,LS_previous!AE$149, FALSE))/2)</f>
        <v>102.8300015795771</v>
      </c>
      <c r="P122" s="180">
        <f t="array" ref="P122">IF($G122=0, INDEX(LS_previous!$D$4:$AY$138, MATCH('Staging Table'!$A122, LS_previous!$B$4:$B$138, 0), MATCH(P$4&amp;P$5, LS_previous!$D$2:$AY$2&amp;LS_previous!$D$3:$AY$3, 0)),SUM(VLOOKUP($A122, LS_previous!$B$4:$AY$138, LS_previous!H$149, FALSE), VLOOKUP('Staging Table'!$A122, LS_previous!$B$4:$AY$138,LS_previous!AF$149, FALSE))/2)</f>
        <v>171.40165945446529</v>
      </c>
      <c r="Q122" s="180">
        <f t="array" ref="Q122">IF($G122=0, INDEX(LS_previous!$D$4:$AY$138, MATCH('Staging Table'!$A122, LS_previous!$B$4:$B$138, 0), MATCH(Q$4&amp;Q$5, LS_previous!$D$2:$AY$2&amp;LS_previous!$D$3:$AY$3, 0)),SUM(VLOOKUP($A122, LS_previous!$B$4:$AY$138, LS_previous!I$149, FALSE), VLOOKUP('Staging Table'!$A122, LS_previous!$B$4:$AY$138,LS_previous!AG$149, FALSE))/2)</f>
        <v>165.099164208247</v>
      </c>
      <c r="R122" s="180">
        <f t="array" ref="R122">IF($G122=0, INDEX(LS_previous!$D$4:$AY$138, MATCH('Staging Table'!$A122, LS_previous!$B$4:$B$138, 0), MATCH(R$4&amp;R$5, LS_previous!$D$2:$AY$2&amp;LS_previous!$D$3:$AY$3, 0)),SUM(VLOOKUP($A122, LS_previous!$B$4:$AY$138, LS_previous!J$149, FALSE), VLOOKUP('Staging Table'!$A122, LS_previous!$B$4:$AY$138,LS_previous!AH$149, FALSE))/2)</f>
        <v>193.07547583435775</v>
      </c>
      <c r="S122" s="180">
        <f t="array" ref="S122">IF($G122=0, INDEX(LS_previous!$D$4:$AY$138, MATCH('Staging Table'!$A122, LS_previous!$B$4:$B$138, 0), MATCH(S$4&amp;S$5, LS_previous!$D$2:$AY$2&amp;LS_previous!$D$3:$AY$3, 0)),SUM(VLOOKUP($A122, LS_previous!$B$4:$AY$138, LS_previous!K$149, FALSE), VLOOKUP('Staging Table'!$A122, LS_previous!$B$4:$AY$138,LS_previous!AI$149, FALSE))/2)</f>
        <v>156.14740898673796</v>
      </c>
      <c r="T122" s="180">
        <f t="array" ref="T122">IF($G122=0, INDEX(LS_previous!$D$4:$AY$138, MATCH('Staging Table'!$A122, LS_previous!$B$4:$B$138, 0), MATCH(T$4&amp;T$5, LS_previous!$D$2:$AY$2&amp;LS_previous!$D$3:$AY$3, 0)),SUM(VLOOKUP($A122, LS_previous!$B$4:$AY$138, LS_previous!L$149, FALSE), VLOOKUP('Staging Table'!$A122, LS_previous!$B$4:$AY$138,LS_previous!AJ$149, FALSE))/2)</f>
        <v>219.64281110407131</v>
      </c>
      <c r="U122" s="180">
        <f t="array" ref="U122">IF($G122=0, INDEX(LS_previous!$D$4:$AY$138, MATCH('Staging Table'!$A122, LS_previous!$B$4:$B$138, 0), MATCH(U$4&amp;U$5, LS_previous!$D$2:$AY$2&amp;LS_previous!$D$3:$AY$3, 0)),SUM(VLOOKUP($A122, LS_previous!$B$4:$AY$138, LS_previous!M$149, FALSE), VLOOKUP('Staging Table'!$A122, LS_previous!$B$4:$AY$138,LS_previous!AK$149, FALSE))/2)</f>
        <v>169.17197570482034</v>
      </c>
      <c r="V122" s="180">
        <f t="array" ref="V122">IF($G122=0, INDEX(LS_previous!$D$4:$AY$138, MATCH('Staging Table'!$A122, LS_previous!$B$4:$B$138, 0), MATCH(V$4&amp;V$5, LS_previous!$D$2:$AY$2&amp;LS_previous!$D$3:$AY$3, 0)),SUM(VLOOKUP($A122, LS_previous!$B$4:$AY$138, LS_previous!N$149, FALSE), VLOOKUP('Staging Table'!$A122, LS_previous!$B$4:$AY$138,LS_previous!AL$149, FALSE))/2)</f>
        <v>129.81763258988366</v>
      </c>
      <c r="W122" s="180">
        <f t="array" ref="W122">IF($G122=0, INDEX(LS_previous!$D$4:$AY$138, MATCH('Staging Table'!$A122, LS_previous!$B$4:$B$138, 0), MATCH(W$4&amp;W$5, LS_previous!$D$2:$AY$2&amp;LS_previous!$D$3:$AY$3, 0)),SUM(VLOOKUP($A122, LS_previous!$B$4:$AY$138, LS_previous!O$149, FALSE), VLOOKUP('Staging Table'!$A122, LS_previous!$B$4:$AY$138,LS_previous!AM$149, FALSE))/2)</f>
        <v>136.89616834444035</v>
      </c>
      <c r="X122" s="180">
        <f t="array" ref="X122">IF($G122=0, INDEX(LS_previous!$D$4:$AY$138, MATCH('Staging Table'!$A122, LS_previous!$B$4:$B$138, 0), MATCH(X$4&amp;X$5, LS_previous!$D$2:$AY$2&amp;LS_previous!$D$3:$AY$3, 0)),SUM(VLOOKUP($A122, LS_previous!$B$4:$AY$138, LS_previous!P$149, FALSE), VLOOKUP('Staging Table'!$A122, LS_previous!$B$4:$AY$138,LS_previous!AN$149, FALSE))/2)</f>
        <v>109.82734525000365</v>
      </c>
      <c r="Y122" s="180">
        <f t="array" ref="Y122">IF($G122=0, INDEX(LS_previous!$D$4:$AY$138, MATCH('Staging Table'!$A122, LS_previous!$B$4:$B$138, 0), MATCH(Y$4&amp;Y$5, LS_previous!$D$2:$AY$2&amp;LS_previous!$D$3:$AY$3, 0)),SUM(VLOOKUP($A122, LS_previous!$B$4:$AY$138, LS_previous!Q$149, FALSE), VLOOKUP('Staging Table'!$A122, LS_previous!$B$4:$AY$138,LS_previous!AO$149, FALSE))/2)</f>
        <v>98.857775014992185</v>
      </c>
      <c r="Z122" s="180">
        <f t="array" ref="Z122">IF($G122=0, INDEX(LS_previous!$D$4:$AY$138, MATCH('Staging Table'!$A122, LS_previous!$B$4:$B$138, 0), MATCH(Z$4&amp;Z$5, LS_previous!$D$2:$AY$2&amp;LS_previous!$D$3:$AY$3, 0)),SUM(VLOOKUP($A122, LS_previous!$B$4:$AY$138, LS_previous!R$149, FALSE), VLOOKUP('Staging Table'!$A122, LS_previous!$B$4:$AY$138,LS_previous!AP$149, FALSE))/2)</f>
        <v>-12.700557851004589</v>
      </c>
      <c r="AA122" s="180">
        <f t="array" ref="AA122">IF($G122=0, INDEX(LS_previous!$D$4:$AY$138, MATCH('Staging Table'!$A122, LS_previous!$B$4:$B$138, 0), MATCH(AA$4&amp;AA$5, LS_previous!$D$2:$AY$2&amp;LS_previous!$D$3:$AY$3, 0)),SUM(VLOOKUP($A122, LS_previous!$B$4:$AY$138, LS_previous!S$149, FALSE), VLOOKUP('Staging Table'!$A122, LS_previous!$B$4:$AY$138,LS_previous!AQ$149, FALSE))/2)</f>
        <v>52.119436245899024</v>
      </c>
      <c r="AB122" s="180">
        <f t="array" ref="AB122">IF($G122=0, INDEX(LS_previous!$D$4:$AY$138, MATCH('Staging Table'!$A122, LS_previous!$B$4:$B$138, 0), MATCH(AB$4&amp;AB$5, LS_previous!$D$2:$AY$2&amp;LS_previous!$D$3:$AY$3, 0)),SUM(VLOOKUP($A122, LS_previous!$B$4:$AY$138, LS_previous!T$149, FALSE), VLOOKUP('Staging Table'!$A122, LS_previous!$B$4:$AY$138,LS_previous!AR$149, FALSE))/2)</f>
        <v>-68.708346048572935</v>
      </c>
      <c r="AC122" s="180">
        <f t="array" ref="AC122">IF($G122=0, INDEX(LS_previous!$D$4:$AY$138, MATCH('Staging Table'!$A122, LS_previous!$B$4:$B$138, 0), MATCH(AC$4&amp;AC$5, LS_previous!$D$2:$AY$2&amp;LS_previous!$D$3:$AY$3, 0)),SUM(VLOOKUP($A122, LS_previous!$B$4:$AY$138, LS_previous!U$149, FALSE), VLOOKUP('Staging Table'!$A122, LS_previous!$B$4:$AY$138,LS_previous!AS$149, FALSE))/2)</f>
        <v>35.945723359396737</v>
      </c>
      <c r="AD122" s="180">
        <f t="array" ref="AD122">IF($G122=0, INDEX(LS_previous!$D$4:$AY$138, MATCH('Staging Table'!$A122, LS_previous!$B$4:$B$138, 0), MATCH(AD$4&amp;AD$5, LS_previous!$D$2:$AY$2&amp;LS_previous!$D$3:$AY$3, 0)),SUM(VLOOKUP($A122, LS_previous!$B$4:$AY$138, LS_previous!V$149, FALSE), VLOOKUP('Staging Table'!$A122, LS_previous!$B$4:$AY$138,LS_previous!AT$149, FALSE))/2)</f>
        <v>-17.441521224354261</v>
      </c>
      <c r="AE122" s="180">
        <f t="array" ref="AE122">IF($G122=0, INDEX(LS_previous!$D$4:$AY$138, MATCH('Staging Table'!$A122, LS_previous!$B$4:$B$138, 0), MATCH(AE$4&amp;AE$5, LS_previous!$D$2:$AY$2&amp;LS_previous!$D$3:$AY$3, 0)),SUM(VLOOKUP($A122, LS_previous!$B$4:$AY$138, LS_previous!W$149, FALSE), VLOOKUP('Staging Table'!$A122, LS_previous!$B$4:$AY$138,LS_previous!AU$149, FALSE))/2)</f>
        <v>31.789443428476488</v>
      </c>
      <c r="AF122" s="180">
        <f t="array" ref="AF122">IF($G122=0, INDEX(LS_previous!$D$4:$AY$138, MATCH('Staging Table'!$A122, LS_previous!$B$4:$B$138, 0), MATCH(AF$4&amp;AF$5, LS_previous!$D$2:$AY$2&amp;LS_previous!$D$3:$AY$3, 0)),SUM(VLOOKUP($A122, LS_previous!$B$4:$AY$138, LS_previous!X$149, FALSE), VLOOKUP('Staging Table'!$A122, LS_previous!$B$4:$AY$138,LS_previous!AV$149, FALSE))/2)</f>
        <v>1.6836809252269518</v>
      </c>
      <c r="AG122" s="180">
        <f t="array" ref="AG122">IF($G122=0, INDEX(LS_previous!$D$4:$AY$138, MATCH('Staging Table'!$A122, LS_previous!$B$4:$B$138, 0), MATCH(AG$4&amp;AG$5, LS_previous!$D$2:$AY$2&amp;LS_previous!$D$3:$AY$3, 0)),SUM(VLOOKUP($A122, LS_previous!$B$4:$AY$138, LS_previous!Y$149, FALSE), VLOOKUP('Staging Table'!$A122, LS_previous!$B$4:$AY$138,LS_previous!AW$149, FALSE))/2)</f>
        <v>33.737988182655599</v>
      </c>
      <c r="AH122" s="180">
        <f t="array" ref="AH122">IF($G122=0, INDEX(LS_previous!$D$4:$AY$138, MATCH('Staging Table'!$A122, LS_previous!$B$4:$B$138, 0), MATCH(AH$4&amp;AH$5, LS_previous!$D$2:$AY$2&amp;LS_previous!$D$3:$AY$3, 0)),SUM(VLOOKUP($A122, LS_previous!$B$4:$AY$138, LS_previous!Z$149, FALSE), VLOOKUP('Staging Table'!$A122, LS_previous!$B$4:$AY$138,LS_previous!AX$149, FALSE))/2)</f>
        <v>0.11044390364551759</v>
      </c>
      <c r="AI122" s="180">
        <f t="array" ref="AI122">IF($G122=0, INDEX(LS_previous!$D$4:$AY$138, MATCH('Staging Table'!$A122, LS_previous!$B$4:$B$138, 0), MATCH(AI$4&amp;AI$5, LS_previous!$D$2:$AY$2&amp;LS_previous!$D$3:$AY$3, 0)),SUM(VLOOKUP($A122, LS_previous!$B$4:$AY$138, LS_previous!AA$149, FALSE), VLOOKUP('Staging Table'!$A122, LS_previous!$B$4:$AY$138,LS_previous!AY$149, FALSE))/2)</f>
        <v>46.106059277503448</v>
      </c>
      <c r="AJ122" s="298">
        <f t="array" ref="AJ122">INDEX(Demand_previous!$D$4:$AY$138, MATCH('Staging Table'!$A122, Demand_previous!$B$4:$B$138, 0), MATCH(AJ$4&amp;AJ$5,Demand_previous!$D$2:$AY$2&amp;Demand_previous!$D$3:$AY$3, 0))/1000</f>
        <v>7.3850961538461574E-2</v>
      </c>
      <c r="AK122" s="298">
        <f t="array" ref="AK122">INDEX(Demand_previous!$D$4:$AY$138, MATCH('Staging Table'!$A122, Demand_previous!$B$4:$B$138, 0), MATCH(AK$4&amp;AK$5,Demand_previous!$D$2:$AY$2&amp;Demand_previous!$D$3:$AY$3, 0))/1000</f>
        <v>0.15496249999999984</v>
      </c>
      <c r="AL122" s="298">
        <f t="array" ref="AL122">INDEX(Demand_previous!$D$4:$AY$138, MATCH('Staging Table'!$A122, Demand_previous!$B$4:$B$138, 0), MATCH(AL$4&amp;AL$5,Demand_previous!$D$2:$AY$2&amp;Demand_previous!$D$3:$AY$3, 0))/1000</f>
        <v>0</v>
      </c>
      <c r="AM122" s="298">
        <f t="array" ref="AM122">INDEX(Demand_previous!$D$4:$AY$138, MATCH('Staging Table'!$A122, Demand_previous!$B$4:$B$138, 0), MATCH(AM$4&amp;AM$5,Demand_previous!$D$2:$AY$2&amp;Demand_previous!$D$3:$AY$3, 0))/1000</f>
        <v>0.2170925000000001</v>
      </c>
      <c r="AN122" s="298">
        <f t="array" ref="AN122">INDEX(Demand_previous!$D$4:$AY$138, MATCH('Staging Table'!$A122, Demand_previous!$B$4:$B$138, 0), MATCH(AN$4&amp;AN$5,Demand_previous!$D$2:$AY$2&amp;Demand_previous!$D$3:$AY$3, 0))/1000</f>
        <v>4.0398437500000051E-2</v>
      </c>
      <c r="AO122" s="298">
        <f t="array" ref="AO122">INDEX(Demand_previous!$D$4:$AY$138, MATCH('Staging Table'!$A122, Demand_previous!$B$4:$B$138, 0), MATCH(AO$4&amp;AO$5,Demand_previous!$D$2:$AY$2&amp;Demand_previous!$D$3:$AY$3, 0))/1000</f>
        <v>0.2355347222222221</v>
      </c>
      <c r="AP122" s="298">
        <f t="array" ref="AP122">INDEX(Demand_previous!$D$4:$AY$138, MATCH('Staging Table'!$A122, Demand_previous!$B$4:$B$138, 0), MATCH(AP$4&amp;AP$5,Demand_previous!$D$2:$AY$2&amp;Demand_previous!$D$3:$AY$3, 0))/1000</f>
        <v>0.15202884615384621</v>
      </c>
      <c r="AQ122" s="298">
        <f t="array" ref="AQ122">INDEX(Demand_previous!$D$4:$AY$138, MATCH('Staging Table'!$A122, Demand_previous!$B$4:$B$138, 0), MATCH(AQ$4&amp;AQ$5,Demand_previous!$D$2:$AY$2&amp;Demand_previous!$D$3:$AY$3, 0))/1000</f>
        <v>3.1572500000000003E-2</v>
      </c>
      <c r="AR122" s="298">
        <f t="array" ref="AR122">INDEX(Demand_previous!$D$4:$AY$138, MATCH('Staging Table'!$A122, Demand_previous!$B$4:$B$138, 0), MATCH(AR$4&amp;AR$5,Demand_previous!$D$2:$AY$2&amp;Demand_previous!$D$3:$AY$3, 0))/1000</f>
        <v>7.2468750000000026E-2</v>
      </c>
      <c r="AS122" s="298">
        <f t="array" ref="AS122">INDEX(Demand_previous!$D$4:$AY$138, MATCH('Staging Table'!$A122, Demand_previous!$B$4:$B$138, 0), MATCH(AS$4&amp;AS$5,Demand_previous!$D$2:$AY$2&amp;Demand_previous!$D$3:$AY$3, 0))/1000</f>
        <v>0</v>
      </c>
      <c r="AT122" s="298">
        <f t="array" ref="AT122">INDEX(Demand_previous!$D$4:$AY$138, MATCH('Staging Table'!$A122, Demand_previous!$B$4:$B$138, 0), MATCH(AT$4&amp;AT$5,Demand_previous!$D$2:$AY$2&amp;Demand_previous!$D$3:$AY$3, 0))/1000</f>
        <v>0</v>
      </c>
      <c r="AU122" s="298">
        <f t="array" ref="AU122">INDEX(Demand_previous!$D$4:$AY$138, MATCH('Staging Table'!$A122, Demand_previous!$B$4:$B$138, 0), MATCH(AU$4&amp;AU$5,Demand_previous!$D$2:$AY$2&amp;Demand_previous!$D$3:$AY$3, 0))/1000</f>
        <v>5.5024999999999991E-2</v>
      </c>
      <c r="AV122" s="180">
        <f>$F122*(VLOOKUP(AV$4, Rates_previous!$G$6:$Q$29, 10, FALSE)+VLOOKUP(AV$4, Rates_previous!$G$6:$Q$29, 11, FALSE))</f>
        <v>295.5496949075187</v>
      </c>
      <c r="AW122" s="180">
        <f>$F122*(VLOOKUP(AW$4, Rates_previous!$G$6:$Q$29, 10, FALSE)+VLOOKUP(AW$4, Rates_previous!$G$6:$Q$29, 11, FALSE))</f>
        <v>374.17663998947495</v>
      </c>
      <c r="AX122" s="180">
        <f>$F122*(VLOOKUP(AX$4, Rates_previous!$G$6:$Q$29, 10, FALSE)+VLOOKUP(AX$4, Rates_previous!$G$6:$Q$29, 11, FALSE))</f>
        <v>366.24417633728768</v>
      </c>
      <c r="AY122" s="180">
        <f>$F122*(VLOOKUP(AY$4, Rates_previous!$G$6:$Q$29, 10, FALSE)+VLOOKUP(AY$4, Rates_previous!$G$6:$Q$29, 11, FALSE))</f>
        <v>302.50211517890432</v>
      </c>
      <c r="AZ122" s="180">
        <f>$F122*(VLOOKUP(AZ$4, Rates_previous!$G$6:$Q$29, 10, FALSE)+VLOOKUP(AZ$4, Rates_previous!$G$6:$Q$29, 11, FALSE))</f>
        <v>262.18521319110835</v>
      </c>
      <c r="BA122" s="180">
        <f>$F122*(VLOOKUP(BA$4, Rates_previous!$G$6:$Q$29, 10, FALSE)+VLOOKUP(BA$4, Rates_previous!$G$6:$Q$29, 11, FALSE))</f>
        <v>312.99619906567597</v>
      </c>
      <c r="BB122" s="180">
        <f>$F122*(VLOOKUP(BB$4, Rates_previous!$G$6:$Q$29, 10, FALSE)+VLOOKUP(BB$4, Rates_previous!$G$6:$Q$29, 11, FALSE))</f>
        <v>242.99987973500416</v>
      </c>
      <c r="BC122" s="180">
        <f>$F122*(VLOOKUP(BC$4, Rates_previous!$G$6:$Q$29, 10, FALSE)+VLOOKUP(BC$4, Rates_previous!$G$6:$Q$29, 11, FALSE))</f>
        <v>336.6781216051055</v>
      </c>
      <c r="BD122" s="180">
        <f>$F122*(VLOOKUP(BD$4, Rates_previous!$G$6:$Q$29, 10, FALSE)+VLOOKUP(BD$4, Rates_previous!$G$6:$Q$29, 11, FALSE))</f>
        <v>359.74762268917618</v>
      </c>
      <c r="BE122" s="180">
        <f>$F122*(VLOOKUP(BE$4, Rates_previous!$G$6:$Q$29, 10, FALSE)+VLOOKUP(BE$4, Rates_previous!$G$6:$Q$29, 11, FALSE))</f>
        <v>341.56407779587778</v>
      </c>
      <c r="BF122" s="180">
        <f>$F122*(VLOOKUP(BF$4, Rates_previous!$G$6:$Q$29, 10, FALSE)+VLOOKUP(BF$4, Rates_previous!$G$6:$Q$29, 11, FALSE))</f>
        <v>330.09533089211743</v>
      </c>
      <c r="BG122" s="180">
        <f>$F122*(VLOOKUP(BG$4, Rates_previous!$G$6:$Q$29, 10, FALSE)+VLOOKUP(BG$4, Rates_previous!$G$6:$Q$29, 11, FALSE))</f>
        <v>305.04249681885102</v>
      </c>
      <c r="BH122" s="298">
        <f>IF($D122=0,IF(C122=0, MAX(BJ122 - (VLOOKUP($A122,TOCA_previous!$A$2:$AI$137,MATCH("RHWM 2022",TOCA_previous!$A$2:$AI$2,0),FALSE)*$F$2*TOCA_previous!C119),0),0), 0)</f>
        <v>1996.8231959098985</v>
      </c>
      <c r="BI122" s="192">
        <f>MIN(VLOOKUP($A122,TOCA_previous!$A$2:$AI$137,MATCH("TRL - NLSL - Existing Resource "&amp;$F$1,TOCA_previous!$A$2:$AI$2,0),FALSE)*$F$2,(VLOOKUP($A122,TOCA_previous!$A$2:$AI$137,MATCH("RHWM 2022",TOCA_previous!$A$2:$AI$2,0),FALSE)*$F$2))</f>
        <v>3828.12</v>
      </c>
      <c r="BJ122" s="402">
        <f>SUM(L122:AI122)+(F122*RT1SC!$C$3*$F$2)</f>
        <v>5824.9431959098983</v>
      </c>
      <c r="BK122" s="401">
        <f>VLOOKUP($A122,TOCA_previous!$A$2:$AI$137,MATCH("Above RHWM Not Served with LS "&amp;$F$1,TOCA_previous!$A$2:$AI$2,0),FALSE)*$F$2</f>
        <v>0</v>
      </c>
      <c r="BL122" s="402">
        <f t="shared" si="27"/>
        <v>1996.8231959098985</v>
      </c>
      <c r="BM122" s="401">
        <f>(VLOOKUP($A122,TOCA_previous!$A$2:$AI$137,MATCH("RHWM 2022",TOCA_previous!$A$2:$AI$2,0),FALSE)*$F$2) - $BI122</f>
        <v>0</v>
      </c>
      <c r="BN122" s="402">
        <f t="shared" si="28"/>
        <v>0</v>
      </c>
      <c r="BO122" s="401">
        <f t="shared" si="29"/>
        <v>0</v>
      </c>
      <c r="BP122" s="402">
        <f t="shared" si="30"/>
        <v>0</v>
      </c>
      <c r="BQ122" s="401">
        <f t="shared" si="37"/>
        <v>0</v>
      </c>
      <c r="BR122" s="108">
        <f>VLOOKUP($A122,TOCA_current!$A$2:$AI$137,MATCH(BR$4,TOCA_current!$A$2:$AI$2,0),FALSE)</f>
        <v>6.4800000000000003E-5</v>
      </c>
      <c r="BS122" s="108">
        <f>VLOOKUP($A122,TOCA_current!$A$2:$AI$137,MATCH(BS$4,TOCA_current!$A$2:$AI$2,0),FALSE)</f>
        <v>6.4800000000000003E-5</v>
      </c>
      <c r="BT122" s="189">
        <f t="shared" si="31"/>
        <v>0</v>
      </c>
      <c r="BU122" s="108">
        <f>VLOOKUP($A122,TOCA_current!A118:BG253,MATCH(BU$4,TOCA_current!$A$2:$BG$2,0),FALSE)</f>
        <v>0</v>
      </c>
      <c r="BV122" s="108">
        <f t="shared" si="38"/>
        <v>0</v>
      </c>
      <c r="BW122" s="108">
        <f t="shared" si="39"/>
        <v>0</v>
      </c>
      <c r="BX122" s="179">
        <f>VLOOKUP($A122,IRD!$A$4:$G$139, 7, FALSE)</f>
        <v>0</v>
      </c>
      <c r="BY122" s="180">
        <f t="array" ref="BY122">IF($BT122=0, INDEX(LS_current!$D$4:$AY$138, MATCH('Staging Table'!$A122, LS_current!$B$4:$B$138, 0), MATCH(BY$4&amp;BY$5, LS_current!$D$2:$AY$2&amp;LS_current!$D$3:$AY$3, 0)),SUM(VLOOKUP($A122, LS_current!$B$4:$AY$138, LS_current!D$148, FALSE), VLOOKUP($A122, LS_current!$B$4:$AY$138,LS_current!AB$148, FALSE))/2)</f>
        <v>93.831626467199982</v>
      </c>
      <c r="BZ122" s="180">
        <f t="array" ref="BZ122">IF($BT122=0, INDEX(LS_current!$D$4:$AY$138, MATCH('Staging Table'!$A122, LS_current!$B$4:$B$138, 0), MATCH(BZ$4&amp;BZ$5, LS_current!$D$2:$AY$2&amp;LS_current!$D$3:$AY$3, 0)),SUM(VLOOKUP($A122, LS_current!$B$4:$AY$138, LS_current!E$148, FALSE), VLOOKUP($A122, LS_current!$B$4:$AY$138,LS_current!AC$148, FALSE))/2)</f>
        <v>87.288889787599999</v>
      </c>
      <c r="CA122" s="180">
        <f t="array" ref="CA122">IF($BT122=0, INDEX(LS_current!$D$4:$AY$138, MATCH('Staging Table'!$A122, LS_current!$B$4:$B$138, 0), MATCH(CA$4&amp;CA$5, LS_current!$D$2:$AY$2&amp;LS_current!$D$3:$AY$3, 0)),SUM(VLOOKUP($A122, LS_current!$B$4:$AY$138, LS_current!F$148, FALSE), VLOOKUP($A122, LS_current!$B$4:$AY$138,LS_current!AD$148, FALSE))/2)</f>
        <v>98.876221145599999</v>
      </c>
      <c r="CB122" s="180">
        <f t="array" ref="CB122">IF($BT122=0, INDEX(LS_current!$D$4:$AY$138, MATCH('Staging Table'!$A122, LS_current!$B$4:$B$138, 0), MATCH(CB$4&amp;CB$5, LS_current!$D$2:$AY$2&amp;LS_current!$D$3:$AY$3, 0)),SUM(VLOOKUP($A122, LS_current!$B$4:$AY$138, LS_current!G$148, FALSE), VLOOKUP($A122, LS_current!$B$4:$AY$138,LS_current!AE$148, FALSE))/2)</f>
        <v>110.28506471119999</v>
      </c>
      <c r="CC122" s="180">
        <f t="array" ref="CC122">IF($BT122=0, INDEX(LS_current!$D$4:$AY$138, MATCH('Staging Table'!$A122, LS_current!$B$4:$B$138, 0), MATCH(CC$4&amp;CC$5, LS_current!$D$2:$AY$2&amp;LS_current!$D$3:$AY$3, 0)),SUM(VLOOKUP($A122, LS_current!$B$4:$AY$138, LS_current!H$148, FALSE), VLOOKUP($A122, LS_current!$B$4:$AY$138,LS_current!AF$148, FALSE))/2)</f>
        <v>152.50352411279997</v>
      </c>
      <c r="CD122" s="180">
        <f t="array" ref="CD122">IF($BT122=0, INDEX(LS_current!$D$4:$AY$138, MATCH('Staging Table'!$A122, LS_current!$B$4:$B$138, 0), MATCH(CD$4&amp;CD$5, LS_current!$D$2:$AY$2&amp;LS_current!$D$3:$AY$3, 0)),SUM(VLOOKUP($A122, LS_current!$B$4:$AY$138, LS_current!I$148, FALSE), VLOOKUP($A122, LS_current!$B$4:$AY$138,LS_current!AG$148, FALSE))/2)</f>
        <v>173.98160849919998</v>
      </c>
      <c r="CE122" s="180">
        <f t="array" ref="CE122">IF($BT122=0, INDEX(LS_current!$D$4:$AY$138, MATCH('Staging Table'!$A122, LS_current!$B$4:$B$138, 0), MATCH(CE$4&amp;CE$5, LS_current!$D$2:$AY$2&amp;LS_current!$D$3:$AY$3, 0)),SUM(VLOOKUP($A122, LS_current!$B$4:$AY$138, LS_current!J$148, FALSE), VLOOKUP($A122, LS_current!$B$4:$AY$138,LS_current!AH$148, FALSE))/2)</f>
        <v>123.09017686800001</v>
      </c>
      <c r="CF122" s="180">
        <f t="array" ref="CF122">IF($BT122=0, INDEX(LS_current!$D$4:$AY$138, MATCH('Staging Table'!$A122, LS_current!$B$4:$B$138, 0), MATCH(CF$4&amp;CF$5, LS_current!$D$2:$AY$2&amp;LS_current!$D$3:$AY$3, 0)),SUM(VLOOKUP($A122, LS_current!$B$4:$AY$138, LS_current!K$148, FALSE), VLOOKUP($A122, LS_current!$B$4:$AY$138,LS_current!AI$148, FALSE))/2)</f>
        <v>137.64265572080001</v>
      </c>
      <c r="CG122" s="180">
        <f t="array" ref="CG122">IF($BT122=0, INDEX(LS_current!$D$4:$AY$138, MATCH('Staging Table'!$A122, LS_current!$B$4:$B$138, 0), MATCH(CG$4&amp;CG$5, LS_current!$D$2:$AY$2&amp;LS_current!$D$3:$AY$3, 0)),SUM(VLOOKUP($A122, LS_current!$B$4:$AY$138, LS_current!L$148, FALSE), VLOOKUP($A122, LS_current!$B$4:$AY$138,LS_current!AJ$148, FALSE))/2)</f>
        <v>158.10326704080001</v>
      </c>
      <c r="CH122" s="180">
        <f t="array" ref="CH122">IF($BT122=0, INDEX(LS_current!$D$4:$AY$138, MATCH('Staging Table'!$A122, LS_current!$B$4:$B$138, 0), MATCH(CH$4&amp;CH$5, LS_current!$D$2:$AY$2&amp;LS_current!$D$3:$AY$3, 0)),SUM(VLOOKUP($A122, LS_current!$B$4:$AY$138, LS_current!M$148, FALSE), VLOOKUP($A122, LS_current!$B$4:$AY$138,LS_current!AK$148, FALSE))/2)</f>
        <v>156.59135305680002</v>
      </c>
      <c r="CI122" s="180">
        <f t="array" ref="CI122">IF($BT122=0, INDEX(LS_current!$D$4:$AY$138, MATCH('Staging Table'!$A122, LS_current!$B$4:$B$138, 0), MATCH(CI$4&amp;CI$5, LS_current!$D$2:$AY$2&amp;LS_current!$D$3:$AY$3, 0)),SUM(VLOOKUP($A122, LS_current!$B$4:$AY$138, LS_current!N$148, FALSE), VLOOKUP($A122, LS_current!$B$4:$AY$138,LS_current!AL$148, FALSE))/2)</f>
        <v>98.486241477600004</v>
      </c>
      <c r="CJ122" s="180">
        <f t="array" ref="CJ122">IF($BT122=0, INDEX(LS_current!$D$4:$AY$138, MATCH('Staging Table'!$A122, LS_current!$B$4:$B$138, 0), MATCH(CJ$4&amp;CJ$5, LS_current!$D$2:$AY$2&amp;LS_current!$D$3:$AY$3, 0)),SUM(VLOOKUP($A122, LS_current!$B$4:$AY$138, LS_current!O$148, FALSE), VLOOKUP($A122, LS_current!$B$4:$AY$138,LS_current!AM$148, FALSE))/2)</f>
        <v>114.04486878559999</v>
      </c>
      <c r="CK122" s="180">
        <f t="array" ref="CK122">IF($BT122=0, INDEX(LS_current!$D$4:$AY$138, MATCH('Staging Table'!$A122, LS_current!$B$4:$B$138, 0), MATCH(CK$4&amp;CK$5, LS_current!$D$2:$AY$2&amp;LS_current!$D$3:$AY$3, 0)),SUM(VLOOKUP($A122, LS_current!$B$4:$AY$138, LS_current!P$148, FALSE), VLOOKUP($A122, LS_current!$B$4:$AY$138,LS_current!AN$148, FALSE))/2)</f>
        <v>83.159976018000009</v>
      </c>
      <c r="CL122" s="180">
        <f t="array" ref="CL122">IF($BT122=0, INDEX(LS_current!$D$4:$AY$138, MATCH('Staging Table'!$A122, LS_current!$B$4:$B$138, 0), MATCH(CL$4&amp;CL$5, LS_current!$D$2:$AY$2&amp;LS_current!$D$3:$AY$3, 0)),SUM(VLOOKUP($A122, LS_current!$B$4:$AY$138, LS_current!Q$148, FALSE), VLOOKUP($A122, LS_current!$B$4:$AY$138,LS_current!AO$148, FALSE))/2)</f>
        <v>78.699167678600006</v>
      </c>
      <c r="CM122" s="180">
        <f t="array" ref="CM122">IF($BT122=0, INDEX(LS_current!$D$4:$AY$138, MATCH('Staging Table'!$A122, LS_current!$B$4:$B$138, 0), MATCH(CM$4&amp;CM$5, LS_current!$D$2:$AY$2&amp;LS_current!$D$3:$AY$3, 0)),SUM(VLOOKUP($A122, LS_current!$B$4:$AY$138, LS_current!R$148, FALSE), VLOOKUP($A122, LS_current!$B$4:$AY$138,LS_current!AP$148, FALSE))/2)</f>
        <v>-4.3227317504000382</v>
      </c>
      <c r="CN122" s="180">
        <f t="array" ref="CN122">IF($BT122=0, INDEX(LS_current!$D$4:$AY$138, MATCH('Staging Table'!$A122, LS_current!$B$4:$B$138, 0), MATCH(CN$4&amp;CN$5, LS_current!$D$2:$AY$2&amp;LS_current!$D$3:$AY$3, 0)),SUM(VLOOKUP($A122, LS_current!$B$4:$AY$138, LS_current!S$148, FALSE), VLOOKUP($A122, LS_current!$B$4:$AY$138,LS_current!AQ$148, FALSE))/2)</f>
        <v>20.851918529199992</v>
      </c>
      <c r="CO122" s="180">
        <f t="array" ref="CO122">IF($BT122=0, INDEX(LS_current!$D$4:$AY$138, MATCH('Staging Table'!$A122, LS_current!$B$4:$B$138, 0), MATCH(CO$4&amp;CO$5, LS_current!$D$2:$AY$2&amp;LS_current!$D$3:$AY$3, 0)),SUM(VLOOKUP($A122, LS_current!$B$4:$AY$138, LS_current!T$148, FALSE), VLOOKUP($A122, LS_current!$B$4:$AY$138,LS_current!AR$148, FALSE))/2)</f>
        <v>-42.851513604800033</v>
      </c>
      <c r="CP122" s="180">
        <f t="array" ref="CP122">IF($BT122=0, INDEX(LS_current!$D$4:$AY$138, MATCH('Staging Table'!$A122, LS_current!$B$4:$B$138, 0), MATCH(CP$4&amp;CP$5, LS_current!$D$2:$AY$2&amp;LS_current!$D$3:$AY$3, 0)),SUM(VLOOKUP($A122, LS_current!$B$4:$AY$138, LS_current!U$148, FALSE), VLOOKUP($A122, LS_current!$B$4:$AY$138,LS_current!AS$148, FALSE))/2)</f>
        <v>2.4669764683999915</v>
      </c>
      <c r="CQ122" s="180">
        <f t="array" ref="CQ122">IF($BT122=0, INDEX(LS_current!$D$4:$AY$138, MATCH('Staging Table'!$A122, LS_current!$B$4:$B$138, 0), MATCH(CQ$4&amp;CQ$5, LS_current!$D$2:$AY$2&amp;LS_current!$D$3:$AY$3, 0)),SUM(VLOOKUP($A122, LS_current!$B$4:$AY$138, LS_current!V$148, FALSE), VLOOKUP($A122, LS_current!$B$4:$AY$138,LS_current!AT$148, FALSE))/2)</f>
        <v>11.311341692799999</v>
      </c>
      <c r="CR122" s="180">
        <f t="array" ref="CR122">IF($BT122=0, INDEX(LS_current!$D$4:$AY$138, MATCH('Staging Table'!$A122, LS_current!$B$4:$B$138, 0), MATCH(CR$4&amp;CR$5, LS_current!$D$2:$AY$2&amp;LS_current!$D$3:$AY$3, 0)),SUM(VLOOKUP($A122, LS_current!$B$4:$AY$138, LS_current!W$148, FALSE), VLOOKUP($A122, LS_current!$B$4:$AY$138,LS_current!AU$148, FALSE))/2)</f>
        <v>25.670973738000001</v>
      </c>
      <c r="CS122" s="180">
        <f t="array" ref="CS122">IF($BT122=0, INDEX(LS_current!$D$4:$AY$138, MATCH('Staging Table'!$A122, LS_current!$B$4:$B$138, 0), MATCH(CS$4&amp;CS$5, LS_current!$D$2:$AY$2&amp;LS_current!$D$3:$AY$3, 0)),SUM(VLOOKUP($A122, LS_current!$B$4:$AY$138, LS_current!X$148, FALSE), VLOOKUP($A122, LS_current!$B$4:$AY$138,LS_current!AV$148, FALSE))/2)</f>
        <v>28.397796886799995</v>
      </c>
      <c r="CT122" s="180">
        <f t="array" ref="CT122">IF($BT122=0, INDEX(LS_current!$D$4:$AY$138, MATCH('Staging Table'!$A122, LS_current!$B$4:$B$138, 0), MATCH(CT$4&amp;CT$5, LS_current!$D$2:$AY$2&amp;LS_current!$D$3:$AY$3, 0)),SUM(VLOOKUP($A122, LS_current!$B$4:$AY$138, LS_current!Y$148, FALSE), VLOOKUP($A122, LS_current!$B$4:$AY$138,LS_current!AW$148, FALSE))/2)</f>
        <v>28.798972425719995</v>
      </c>
      <c r="CU122" s="180">
        <f t="array" ref="CU122">IF($BT122=0, INDEX(LS_current!$D$4:$AY$138, MATCH('Staging Table'!$A122, LS_current!$B$4:$B$138, 0), MATCH(CU$4&amp;CU$5, LS_current!$D$2:$AY$2&amp;LS_current!$D$3:$AY$3, 0)),SUM(VLOOKUP($A122, LS_current!$B$4:$AY$138, LS_current!Z$148, FALSE), VLOOKUP($A122, LS_current!$B$4:$AY$138,LS_current!AX$148, FALSE))/2)</f>
        <v>25.341999844799972</v>
      </c>
      <c r="CV122" s="180">
        <f t="array" ref="CV122">IF($BT122=0, INDEX(LS_current!$D$4:$AY$138, MATCH('Staging Table'!$A122, LS_current!$B$4:$B$138, 0), MATCH(CV$4&amp;CV$5, LS_current!$D$2:$AY$2&amp;LS_current!$D$3:$AY$3, 0)),SUM(VLOOKUP($A122, LS_current!$B$4:$AY$138, LS_current!AA$148, FALSE), VLOOKUP($A122, LS_current!$B$4:$AY$138,LS_current!AY$148, FALSE))/2)</f>
        <v>42.202682060799987</v>
      </c>
      <c r="CW122" s="182">
        <f t="array" ref="CW122">INDEX(Demand_current!$D$4:$AY$138, MATCH($A122, Demand_current!$B$4:$B$138, 0), MATCH(CW$4&amp;CW$5,Demand_current!$D$2:$AY$2&amp;Demand_current!$D$3:$AY$3, 0))/1000</f>
        <v>7.3850961538461574E-2</v>
      </c>
      <c r="CX122" s="182">
        <f t="array" ref="CX122">INDEX(Demand_current!$D$4:$AY$138, MATCH($A122, Demand_current!$B$4:$B$138, 0), MATCH(CX$4&amp;CX$5,Demand_current!$D$2:$AY$2&amp;Demand_current!$D$3:$AY$3, 0))/1000</f>
        <v>0.15496249999999984</v>
      </c>
      <c r="CY122" s="182">
        <f t="array" ref="CY122">INDEX(Demand_current!$D$4:$AY$138, MATCH($A122, Demand_current!$B$4:$B$138, 0), MATCH(CY$4&amp;CY$5,Demand_current!$D$2:$AY$2&amp;Demand_current!$D$3:$AY$3, 0))/1000</f>
        <v>0</v>
      </c>
      <c r="CZ122" s="182">
        <f t="array" ref="CZ122">INDEX(Demand_current!$D$4:$AY$138, MATCH($A122, Demand_current!$B$4:$B$138, 0), MATCH(CZ$4&amp;CZ$5,Demand_current!$D$2:$AY$2&amp;Demand_current!$D$3:$AY$3, 0))/1000</f>
        <v>0.25220432692307704</v>
      </c>
      <c r="DA122" s="182">
        <f t="array" ref="DA122">INDEX(Demand_current!$D$4:$AY$138, MATCH($A122, Demand_current!$B$4:$B$138, 0), MATCH(DA$4&amp;DA$5,Demand_current!$D$2:$AY$2&amp;Demand_current!$D$3:$AY$3, 0))/1000</f>
        <v>7.9142500000000005E-2</v>
      </c>
      <c r="DB122" s="182">
        <f t="array" ref="DB122">INDEX(Demand_current!$D$4:$AY$138, MATCH($A122, Demand_current!$B$4:$B$138, 0), MATCH(DB$4&amp;DB$5,Demand_current!$D$2:$AY$2&amp;Demand_current!$D$3:$AY$3, 0))/1000</f>
        <v>0.20686298076923065</v>
      </c>
      <c r="DC122" s="182">
        <f t="array" ref="DC122">INDEX(Demand_current!$D$4:$AY$138, MATCH($A122, Demand_current!$B$4:$B$138, 0), MATCH(DC$4&amp;DC$5,Demand_current!$D$2:$AY$2&amp;Demand_current!$D$3:$AY$3, 0))/1000</f>
        <v>0.15202884615384621</v>
      </c>
      <c r="DD122" s="182">
        <f t="array" ref="DD122">INDEX(Demand_current!$D$4:$AY$138, MATCH($A122, Demand_current!$B$4:$B$138, 0), MATCH(DD$4&amp;DD$5,Demand_current!$D$2:$AY$2&amp;Demand_current!$D$3:$AY$3, 0))/1000</f>
        <v>5.2165865384615318E-2</v>
      </c>
      <c r="DE122" s="182">
        <f t="array" ref="DE122">INDEX(Demand_current!$D$4:$AY$138, MATCH($A122, Demand_current!$B$4:$B$138, 0), MATCH(DE$4&amp;DE$5,Demand_current!$D$2:$AY$2&amp;Demand_current!$D$3:$AY$3, 0))/1000</f>
        <v>5.4407500000000053E-2</v>
      </c>
      <c r="DF122" s="182">
        <f t="array" ref="DF122">INDEX(Demand_current!$D$4:$AY$138, MATCH($A122, Demand_current!$B$4:$B$138, 0), MATCH(DF$4&amp;DF$5,Demand_current!$D$2:$AY$2&amp;Demand_current!$D$3:$AY$3, 0))/1000</f>
        <v>0</v>
      </c>
      <c r="DG122" s="182">
        <f t="array" ref="DG122">INDEX(Demand_current!$D$4:$AY$138, MATCH($A122, Demand_current!$B$4:$B$138, 0), MATCH(DG$4&amp;DG$5,Demand_current!$D$2:$AY$2&amp;Demand_current!$D$3:$AY$3, 0))/1000</f>
        <v>0</v>
      </c>
      <c r="DH122" s="182">
        <f t="array" ref="DH122">INDEX(Demand_current!$D$4:$AY$138, MATCH($A122, Demand_current!$B$4:$B$138, 0), MATCH(DH$4&amp;DH$5,Demand_current!$D$2:$AY$2&amp;Demand_current!$D$3:$AY$3, 0))/1000</f>
        <v>3.473437500000004E-2</v>
      </c>
      <c r="DI122" s="180">
        <f>$BS122*(VLOOKUP(DI$4, Rates_current!$G$6:$Q$29, 10, FALSE)+VLOOKUP(DI$4, Rates_current!$G$6:$Q$29, 11, FALSE))</f>
        <v>273.37848374520001</v>
      </c>
      <c r="DJ122" s="180">
        <f>$BS122*(VLOOKUP(DJ$4, Rates_current!$G$6:$Q$29, 10, FALSE)+VLOOKUP(DJ$4, Rates_current!$G$6:$Q$29, 11, FALSE))</f>
        <v>348.64771414320006</v>
      </c>
      <c r="DK122" s="180">
        <f>$BS122*(VLOOKUP(DK$4, Rates_current!$G$6:$Q$29, 10, FALSE)+VLOOKUP(DK$4, Rates_current!$G$6:$Q$29, 11, FALSE))</f>
        <v>376.25986738800003</v>
      </c>
      <c r="DL122" s="180">
        <f>$BS122*(VLOOKUP(DL$4, Rates_current!$G$6:$Q$29, 10, FALSE)+VLOOKUP(DL$4, Rates_current!$G$6:$Q$29, 11, FALSE))</f>
        <v>390.9921674112</v>
      </c>
      <c r="DM122" s="180">
        <f>$BS122*(VLOOKUP(DM$4, Rates_current!$G$6:$Q$29, 10, FALSE)+VLOOKUP(DM$4, Rates_current!$G$6:$Q$29, 11, FALSE))</f>
        <v>336.30537990239998</v>
      </c>
      <c r="DN122" s="180">
        <f>$BS122*(VLOOKUP(DN$4, Rates_current!$G$6:$Q$29, 10, FALSE)+VLOOKUP(DN$4, Rates_current!$G$6:$Q$29, 11, FALSE))</f>
        <v>367.17888973679999</v>
      </c>
      <c r="DO122" s="180">
        <f>$BS122*(VLOOKUP(DO$4, Rates_current!$G$6:$Q$29, 10, FALSE)+VLOOKUP(DO$4, Rates_current!$G$6:$Q$29, 11, FALSE))</f>
        <v>289.82585630339997</v>
      </c>
      <c r="DP122" s="180">
        <f>$BS122*(VLOOKUP(DP$4, Rates_current!$G$6:$Q$29, 10, FALSE)+VLOOKUP(DP$4, Rates_current!$G$6:$Q$29, 11, FALSE))</f>
        <v>359.56781322120003</v>
      </c>
      <c r="DQ122" s="180">
        <f>$BS122*(VLOOKUP(DQ$4, Rates_current!$G$6:$Q$29, 10, FALSE)+VLOOKUP(DQ$4, Rates_current!$G$6:$Q$29, 11, FALSE))</f>
        <v>367.36953713639997</v>
      </c>
      <c r="DR122" s="180">
        <f>$BS122*(VLOOKUP(DR$4, Rates_current!$G$6:$Q$29, 10, FALSE)+VLOOKUP(DR$4, Rates_current!$G$6:$Q$29, 11, FALSE))</f>
        <v>318.92968456919999</v>
      </c>
      <c r="DS122" s="180">
        <f>$BS122*(VLOOKUP(DS$4, Rates_current!$G$6:$Q$29, 10, FALSE)+VLOOKUP(DS$4, Rates_current!$G$6:$Q$29, 11, FALSE))</f>
        <v>308.32023068748003</v>
      </c>
      <c r="DT122" s="180">
        <f>$BS122*(VLOOKUP(DT$4, Rates_current!$G$6:$Q$29, 10, FALSE)+VLOOKUP(DT$4, Rates_current!$G$6:$Q$29, 11, FALSE))</f>
        <v>283.71431809440003</v>
      </c>
      <c r="DU122" s="402">
        <f>IF(D122=0,IF(C122=0,MAX(0,DW122 - (VLOOKUP($A122,TOCA_current!$A$2:$AI$137,MATCH("RHWM 2024",TOCA_current!$A$2:$AI$2,0),FALSE)*$BS$2)), 0),0)</f>
        <v>1801.8710184291203</v>
      </c>
      <c r="DV122" s="403">
        <f>MIN(VLOOKUP($A122,TOCA_current!$A$2:$AI$137,MATCH("TRL - NLSL - Existing Resource "&amp;$BS$1,TOCA_current!$A$2:$AI$2,0),FALSE)*$BS$2, VLOOKUP($A122,TOCA_current!$A$2:$AI$137,MATCH("RHWM 2024",TOCA_current!$A$2:$AI$2,0),FALSE)*$BS$2)</f>
        <v>4023.0720000000001</v>
      </c>
      <c r="DW122" s="403">
        <f>SUM(BY122:CV122)+(BS122*RT1SC!$C$4*$BS$2)</f>
        <v>5824.9430184291205</v>
      </c>
      <c r="DX122" s="403">
        <f>VLOOKUP($A122,TOCA_current!$A$2:$AI$137,MATCH("Above RHWM Not Served with LS "&amp;$BS$1,TOCA_current!$A$2:$AI$2,0),FALSE)*$BS$2</f>
        <v>0</v>
      </c>
      <c r="DY122" s="403">
        <f t="shared" si="32"/>
        <v>1801.8710184291203</v>
      </c>
      <c r="DZ122" s="403">
        <f>(VLOOKUP($A122,TOCA_current!$A$2:$AI$137,MATCH("RHWM 2024",TOCA_current!$A$2:$AI$2,0),FALSE)*$BS$2) - $DV122</f>
        <v>0</v>
      </c>
      <c r="EA122" s="403">
        <f t="shared" si="33"/>
        <v>0</v>
      </c>
      <c r="EB122" s="403">
        <f t="shared" si="34"/>
        <v>0</v>
      </c>
      <c r="EC122" s="403">
        <f t="shared" si="35"/>
        <v>0</v>
      </c>
      <c r="ED122" s="403">
        <f t="shared" si="36"/>
        <v>0</v>
      </c>
    </row>
    <row r="123" spans="1:134">
      <c r="A123" s="123">
        <v>10408</v>
      </c>
      <c r="B123" s="124" t="s">
        <v>124</v>
      </c>
      <c r="C123" s="232">
        <f>VLOOKUP(A123, TOCA_current!$A$3:$D$137, 4, FALSE)</f>
        <v>0</v>
      </c>
      <c r="D123" s="191">
        <v>0</v>
      </c>
      <c r="E123" s="107">
        <f>VLOOKUP($A123,TOCA_previous!$A$2:$AI$137,MATCH(E$4,TOCA_previous!$A$2:$AI$2,0),FALSE)</f>
        <v>2.163E-4</v>
      </c>
      <c r="F123" s="108">
        <f>VLOOKUP($A123,TOCA_previous!$A$2:$AI$137,MATCH(F$4,TOCA_previous!$A$2:$AI$2,0),FALSE)</f>
        <v>2.163E-4</v>
      </c>
      <c r="G123" s="108">
        <f t="shared" si="24"/>
        <v>0</v>
      </c>
      <c r="H123" s="108">
        <f>VLOOKUP($A123,TOCA_previous!$A$2:$AI$137,MATCH(H$4,TOCA_previous!$A$2:$AI$2,0),FALSE)</f>
        <v>0</v>
      </c>
      <c r="I123" s="108">
        <f t="shared" si="25"/>
        <v>0</v>
      </c>
      <c r="J123" s="108">
        <f t="shared" si="26"/>
        <v>0</v>
      </c>
      <c r="K123" s="179">
        <f>VLOOKUP(A123, IRD!$A$5:$C$139, 3, FALSE)</f>
        <v>0</v>
      </c>
      <c r="L123" s="180">
        <f t="array" ref="L123">IF($G123=0, INDEX(LS_previous!$D$4:$AY$138, MATCH('Staging Table'!$A123, LS_previous!$B$4:$B$138, 0), MATCH(L$4&amp;L$5, LS_previous!$D$2:$AY$2&amp;LS_previous!$D$3:$AY$3, 0)),SUM(VLOOKUP($A123, LS_previous!$B$4:$AY$138, LS_previous!D$149, FALSE), VLOOKUP('Staging Table'!$A123, LS_previous!$B$4:$AY$138,LS_previous!AB$149, FALSE))/2)</f>
        <v>86.520065780971436</v>
      </c>
      <c r="M123" s="180">
        <f t="array" ref="M123">IF($G123=0, INDEX(LS_previous!$D$4:$AY$138, MATCH('Staging Table'!$A123, LS_previous!$B$4:$B$138, 0), MATCH(M$4&amp;M$5, LS_previous!$D$2:$AY$2&amp;LS_previous!$D$3:$AY$3, 0)),SUM(VLOOKUP($A123, LS_previous!$B$4:$AY$138, LS_previous!E$149, FALSE), VLOOKUP('Staging Table'!$A123, LS_previous!$B$4:$AY$138,LS_previous!AC$149, FALSE))/2)</f>
        <v>244.98808200799175</v>
      </c>
      <c r="N123" s="180">
        <f t="array" ref="N123">IF($G123=0, INDEX(LS_previous!$D$4:$AY$138, MATCH('Staging Table'!$A123, LS_previous!$B$4:$B$138, 0), MATCH(N$4&amp;N$5, LS_previous!$D$2:$AY$2&amp;LS_previous!$D$3:$AY$3, 0)),SUM(VLOOKUP($A123, LS_previous!$B$4:$AY$138, LS_previous!F$149, FALSE), VLOOKUP('Staging Table'!$A123, LS_previous!$B$4:$AY$138,LS_previous!AD$149, FALSE))/2)</f>
        <v>-62.604540391154728</v>
      </c>
      <c r="O123" s="180">
        <f t="array" ref="O123">IF($G123=0, INDEX(LS_previous!$D$4:$AY$138, MATCH('Staging Table'!$A123, LS_previous!$B$4:$B$138, 0), MATCH(O$4&amp;O$5, LS_previous!$D$2:$AY$2&amp;LS_previous!$D$3:$AY$3, 0)),SUM(VLOOKUP($A123, LS_previous!$B$4:$AY$138, LS_previous!G$149, FALSE), VLOOKUP('Staging Table'!$A123, LS_previous!$B$4:$AY$138,LS_previous!AE$149, FALSE))/2)</f>
        <v>92.445254879237666</v>
      </c>
      <c r="P123" s="180">
        <f t="array" ref="P123">IF($G123=0, INDEX(LS_previous!$D$4:$AY$138, MATCH('Staging Table'!$A123, LS_previous!$B$4:$B$138, 0), MATCH(P$4&amp;P$5, LS_previous!$D$2:$AY$2&amp;LS_previous!$D$3:$AY$3, 0)),SUM(VLOOKUP($A123, LS_previous!$B$4:$AY$138, LS_previous!H$149, FALSE), VLOOKUP('Staging Table'!$A123, LS_previous!$B$4:$AY$138,LS_previous!AF$149, FALSE))/2)</f>
        <v>42.063327272740366</v>
      </c>
      <c r="Q123" s="180">
        <f t="array" ref="Q123">IF($G123=0, INDEX(LS_previous!$D$4:$AY$138, MATCH('Staging Table'!$A123, LS_previous!$B$4:$B$138, 0), MATCH(Q$4&amp;Q$5, LS_previous!$D$2:$AY$2&amp;LS_previous!$D$3:$AY$3, 0)),SUM(VLOOKUP($A123, LS_previous!$B$4:$AY$138, LS_previous!I$149, FALSE), VLOOKUP('Staging Table'!$A123, LS_previous!$B$4:$AY$138,LS_previous!AG$149, FALSE))/2)</f>
        <v>150.91685852455839</v>
      </c>
      <c r="R123" s="180">
        <f t="array" ref="R123">IF($G123=0, INDEX(LS_previous!$D$4:$AY$138, MATCH('Staging Table'!$A123, LS_previous!$B$4:$B$138, 0), MATCH(R$4&amp;R$5, LS_previous!$D$2:$AY$2&amp;LS_previous!$D$3:$AY$3, 0)),SUM(VLOOKUP($A123, LS_previous!$B$4:$AY$138, LS_previous!J$149, FALSE), VLOOKUP('Staging Table'!$A123, LS_previous!$B$4:$AY$138,LS_previous!AH$149, FALSE))/2)</f>
        <v>195.38430543869936</v>
      </c>
      <c r="S123" s="180">
        <f t="array" ref="S123">IF($G123=0, INDEX(LS_previous!$D$4:$AY$138, MATCH('Staging Table'!$A123, LS_previous!$B$4:$B$138, 0), MATCH(S$4&amp;S$5, LS_previous!$D$2:$AY$2&amp;LS_previous!$D$3:$AY$3, 0)),SUM(VLOOKUP($A123, LS_previous!$B$4:$AY$138, LS_previous!K$149, FALSE), VLOOKUP('Staging Table'!$A123, LS_previous!$B$4:$AY$138,LS_previous!AI$149, FALSE))/2)</f>
        <v>196.87267894963662</v>
      </c>
      <c r="T123" s="180">
        <f t="array" ref="T123">IF($G123=0, INDEX(LS_previous!$D$4:$AY$138, MATCH('Staging Table'!$A123, LS_previous!$B$4:$B$138, 0), MATCH(T$4&amp;T$5, LS_previous!$D$2:$AY$2&amp;LS_previous!$D$3:$AY$3, 0)),SUM(VLOOKUP($A123, LS_previous!$B$4:$AY$138, LS_previous!L$149, FALSE), VLOOKUP('Staging Table'!$A123, LS_previous!$B$4:$AY$138,LS_previous!AJ$149, FALSE))/2)</f>
        <v>214.95692668429325</v>
      </c>
      <c r="U123" s="180">
        <f t="array" ref="U123">IF($G123=0, INDEX(LS_previous!$D$4:$AY$138, MATCH('Staging Table'!$A123, LS_previous!$B$4:$B$138, 0), MATCH(U$4&amp;U$5, LS_previous!$D$2:$AY$2&amp;LS_previous!$D$3:$AY$3, 0)),SUM(VLOOKUP($A123, LS_previous!$B$4:$AY$138, LS_previous!M$149, FALSE), VLOOKUP('Staging Table'!$A123, LS_previous!$B$4:$AY$138,LS_previous!AK$149, FALSE))/2)</f>
        <v>188.37002380512547</v>
      </c>
      <c r="V123" s="180">
        <f t="array" ref="V123">IF($G123=0, INDEX(LS_previous!$D$4:$AY$138, MATCH('Staging Table'!$A123, LS_previous!$B$4:$B$138, 0), MATCH(V$4&amp;V$5, LS_previous!$D$2:$AY$2&amp;LS_previous!$D$3:$AY$3, 0)),SUM(VLOOKUP($A123, LS_previous!$B$4:$AY$138, LS_previous!N$149, FALSE), VLOOKUP('Staging Table'!$A123, LS_previous!$B$4:$AY$138,LS_previous!AL$149, FALSE))/2)</f>
        <v>69.103169941322676</v>
      </c>
      <c r="W123" s="180">
        <f t="array" ref="W123">IF($G123=0, INDEX(LS_previous!$D$4:$AY$138, MATCH('Staging Table'!$A123, LS_previous!$B$4:$B$138, 0), MATCH(W$4&amp;W$5, LS_previous!$D$2:$AY$2&amp;LS_previous!$D$3:$AY$3, 0)),SUM(VLOOKUP($A123, LS_previous!$B$4:$AY$138, LS_previous!O$149, FALSE), VLOOKUP('Staging Table'!$A123, LS_previous!$B$4:$AY$138,LS_previous!AM$149, FALSE))/2)</f>
        <v>193.49492469803482</v>
      </c>
      <c r="X123" s="180">
        <f t="array" ref="X123">IF($G123=0, INDEX(LS_previous!$D$4:$AY$138, MATCH('Staging Table'!$A123, LS_previous!$B$4:$B$138, 0), MATCH(X$4&amp;X$5, LS_previous!$D$2:$AY$2&amp;LS_previous!$D$3:$AY$3, 0)),SUM(VLOOKUP($A123, LS_previous!$B$4:$AY$138, LS_previous!P$149, FALSE), VLOOKUP('Staging Table'!$A123, LS_previous!$B$4:$AY$138,LS_previous!AN$149, FALSE))/2)</f>
        <v>201.39006128776259</v>
      </c>
      <c r="Y123" s="180">
        <f t="array" ref="Y123">IF($G123=0, INDEX(LS_previous!$D$4:$AY$138, MATCH('Staging Table'!$A123, LS_previous!$B$4:$B$138, 0), MATCH(Y$4&amp;Y$5, LS_previous!$D$2:$AY$2&amp;LS_previous!$D$3:$AY$3, 0)),SUM(VLOOKUP($A123, LS_previous!$B$4:$AY$138, LS_previous!Q$149, FALSE), VLOOKUP('Staging Table'!$A123, LS_previous!$B$4:$AY$138,LS_previous!AO$149, FALSE))/2)</f>
        <v>228.33314692978132</v>
      </c>
      <c r="Z123" s="180">
        <f t="array" ref="Z123">IF($G123=0, INDEX(LS_previous!$D$4:$AY$138, MATCH('Staging Table'!$A123, LS_previous!$B$4:$B$138, 0), MATCH(Z$4&amp;Z$5, LS_previous!$D$2:$AY$2&amp;LS_previous!$D$3:$AY$3, 0)),SUM(VLOOKUP($A123, LS_previous!$B$4:$AY$138, LS_previous!R$149, FALSE), VLOOKUP('Staging Table'!$A123, LS_previous!$B$4:$AY$138,LS_previous!AP$149, FALSE))/2)</f>
        <v>-124.44400251421087</v>
      </c>
      <c r="AA123" s="180">
        <f t="array" ref="AA123">IF($G123=0, INDEX(LS_previous!$D$4:$AY$138, MATCH('Staging Table'!$A123, LS_previous!$B$4:$B$138, 0), MATCH(AA$4&amp;AA$5, LS_previous!$D$2:$AY$2&amp;LS_previous!$D$3:$AY$3, 0)),SUM(VLOOKUP($A123, LS_previous!$B$4:$AY$138, LS_previous!S$149, FALSE), VLOOKUP('Staging Table'!$A123, LS_previous!$B$4:$AY$138,LS_previous!AQ$149, FALSE))/2)</f>
        <v>153.36851864388228</v>
      </c>
      <c r="AB123" s="180">
        <f t="array" ref="AB123">IF($G123=0, INDEX(LS_previous!$D$4:$AY$138, MATCH('Staging Table'!$A123, LS_previous!$B$4:$B$138, 0), MATCH(AB$4&amp;AB$5, LS_previous!$D$2:$AY$2&amp;LS_previous!$D$3:$AY$3, 0)),SUM(VLOOKUP($A123, LS_previous!$B$4:$AY$138, LS_previous!T$149, FALSE), VLOOKUP('Staging Table'!$A123, LS_previous!$B$4:$AY$138,LS_previous!AR$149, FALSE))/2)</f>
        <v>-274.77438906481234</v>
      </c>
      <c r="AC123" s="180">
        <f t="array" ref="AC123">IF($G123=0, INDEX(LS_previous!$D$4:$AY$138, MATCH('Staging Table'!$A123, LS_previous!$B$4:$B$138, 0), MATCH(AC$4&amp;AC$5, LS_previous!$D$2:$AY$2&amp;LS_previous!$D$3:$AY$3, 0)),SUM(VLOOKUP($A123, LS_previous!$B$4:$AY$138, LS_previous!U$149, FALSE), VLOOKUP('Staging Table'!$A123, LS_previous!$B$4:$AY$138,LS_previous!AS$149, FALSE))/2)</f>
        <v>160.13841698979223</v>
      </c>
      <c r="AD123" s="180">
        <f t="array" ref="AD123">IF($G123=0, INDEX(LS_previous!$D$4:$AY$138, MATCH('Staging Table'!$A123, LS_previous!$B$4:$B$138, 0), MATCH(AD$4&amp;AD$5, LS_previous!$D$2:$AY$2&amp;LS_previous!$D$3:$AY$3, 0)),SUM(VLOOKUP($A123, LS_previous!$B$4:$AY$138, LS_previous!V$149, FALSE), VLOOKUP('Staging Table'!$A123, LS_previous!$B$4:$AY$138,LS_previous!AT$149, FALSE))/2)</f>
        <v>-149.76989277084476</v>
      </c>
      <c r="AE123" s="180">
        <f t="array" ref="AE123">IF($G123=0, INDEX(LS_previous!$D$4:$AY$138, MATCH('Staging Table'!$A123, LS_previous!$B$4:$B$138, 0), MATCH(AE$4&amp;AE$5, LS_previous!$D$2:$AY$2&amp;LS_previous!$D$3:$AY$3, 0)),SUM(VLOOKUP($A123, LS_previous!$B$4:$AY$138, LS_previous!W$149, FALSE), VLOOKUP('Staging Table'!$A123, LS_previous!$B$4:$AY$138,LS_previous!AU$149, FALSE))/2)</f>
        <v>122.74939774390549</v>
      </c>
      <c r="AF123" s="180">
        <f t="array" ref="AF123">IF($G123=0, INDEX(LS_previous!$D$4:$AY$138, MATCH('Staging Table'!$A123, LS_previous!$B$4:$B$138, 0), MATCH(AF$4&amp;AF$5, LS_previous!$D$2:$AY$2&amp;LS_previous!$D$3:$AY$3, 0)),SUM(VLOOKUP($A123, LS_previous!$B$4:$AY$138, LS_previous!X$149, FALSE), VLOOKUP('Staging Table'!$A123, LS_previous!$B$4:$AY$138,LS_previous!AV$149, FALSE))/2)</f>
        <v>-99.876554944120358</v>
      </c>
      <c r="AG123" s="180">
        <f t="array" ref="AG123">IF($G123=0, INDEX(LS_previous!$D$4:$AY$138, MATCH('Staging Table'!$A123, LS_previous!$B$4:$B$138, 0), MATCH(AG$4&amp;AG$5, LS_previous!$D$2:$AY$2&amp;LS_previous!$D$3:$AY$3, 0)),SUM(VLOOKUP($A123, LS_previous!$B$4:$AY$138, LS_previous!Y$149, FALSE), VLOOKUP('Staging Table'!$A123, LS_previous!$B$4:$AY$138,LS_previous!AW$149, FALSE))/2)</f>
        <v>112.42432579211726</v>
      </c>
      <c r="AH123" s="180">
        <f t="array" ref="AH123">IF($G123=0, INDEX(LS_previous!$D$4:$AY$138, MATCH('Staging Table'!$A123, LS_previous!$B$4:$B$138, 0), MATCH(AH$4&amp;AH$5, LS_previous!$D$2:$AY$2&amp;LS_previous!$D$3:$AY$3, 0)),SUM(VLOOKUP($A123, LS_previous!$B$4:$AY$138, LS_previous!Z$149, FALSE), VLOOKUP('Staging Table'!$A123, LS_previous!$B$4:$AY$138,LS_previous!AX$149, FALSE))/2)</f>
        <v>-290.13086415472219</v>
      </c>
      <c r="AI123" s="180">
        <f t="array" ref="AI123">IF($G123=0, INDEX(LS_previous!$D$4:$AY$138, MATCH('Staging Table'!$A123, LS_previous!$B$4:$B$138, 0), MATCH(AI$4&amp;AI$5, LS_previous!$D$2:$AY$2&amp;LS_previous!$D$3:$AY$3, 0)),SUM(VLOOKUP($A123, LS_previous!$B$4:$AY$138, LS_previous!AA$149, FALSE), VLOOKUP('Staging Table'!$A123, LS_previous!$B$4:$AY$138,LS_previous!AY$149, FALSE))/2)</f>
        <v>-22.767785489614766</v>
      </c>
      <c r="AJ123" s="298">
        <f t="array" ref="AJ123">INDEX(Demand_previous!$D$4:$AY$138, MATCH('Staging Table'!$A123, Demand_previous!$B$4:$B$138, 0), MATCH(AJ$4&amp;AJ$5,Demand_previous!$D$2:$AY$2&amp;Demand_previous!$D$3:$AY$3, 0))/1000</f>
        <v>0.13634855769230764</v>
      </c>
      <c r="AK123" s="298">
        <f t="array" ref="AK123">INDEX(Demand_previous!$D$4:$AY$138, MATCH('Staging Table'!$A123, Demand_previous!$B$4:$B$138, 0), MATCH(AK$4&amp;AK$5,Demand_previous!$D$2:$AY$2&amp;Demand_previous!$D$3:$AY$3, 0))/1000</f>
        <v>0.20636749999999981</v>
      </c>
      <c r="AL123" s="298">
        <f t="array" ref="AL123">INDEX(Demand_previous!$D$4:$AY$138, MATCH('Staging Table'!$A123, Demand_previous!$B$4:$B$138, 0), MATCH(AL$4&amp;AL$5,Demand_previous!$D$2:$AY$2&amp;Demand_previous!$D$3:$AY$3, 0))/1000</f>
        <v>0.31862740384615384</v>
      </c>
      <c r="AM123" s="298">
        <f t="array" ref="AM123">INDEX(Demand_previous!$D$4:$AY$138, MATCH('Staging Table'!$A123, Demand_previous!$B$4:$B$138, 0), MATCH(AM$4&amp;AM$5,Demand_previous!$D$2:$AY$2&amp;Demand_previous!$D$3:$AY$3, 0))/1000</f>
        <v>8.8697500000000082E-2</v>
      </c>
      <c r="AN123" s="298">
        <f t="array" ref="AN123">INDEX(Demand_previous!$D$4:$AY$138, MATCH('Staging Table'!$A123, Demand_previous!$B$4:$B$138, 0), MATCH(AN$4&amp;AN$5,Demand_previous!$D$2:$AY$2&amp;Demand_previous!$D$3:$AY$3, 0))/1000</f>
        <v>0.21836979166666642</v>
      </c>
      <c r="AO123" s="298">
        <f t="array" ref="AO123">INDEX(Demand_previous!$D$4:$AY$138, MATCH('Staging Table'!$A123, Demand_previous!$B$4:$B$138, 0), MATCH(AO$4&amp;AO$5,Demand_previous!$D$2:$AY$2&amp;Demand_previous!$D$3:$AY$3, 0))/1000</f>
        <v>0.39506249999999998</v>
      </c>
      <c r="AP123" s="298">
        <f t="array" ref="AP123">INDEX(Demand_previous!$D$4:$AY$138, MATCH('Staging Table'!$A123, Demand_previous!$B$4:$B$138, 0), MATCH(AP$4&amp;AP$5,Demand_previous!$D$2:$AY$2&amp;Demand_previous!$D$3:$AY$3, 0))/1000</f>
        <v>0.18519711538461558</v>
      </c>
      <c r="AQ123" s="298">
        <f t="array" ref="AQ123">INDEX(Demand_previous!$D$4:$AY$138, MATCH('Staging Table'!$A123, Demand_previous!$B$4:$B$138, 0), MATCH(AQ$4&amp;AQ$5,Demand_previous!$D$2:$AY$2&amp;Demand_previous!$D$3:$AY$3, 0))/1000</f>
        <v>0.13580500000000006</v>
      </c>
      <c r="AR123" s="298">
        <f t="array" ref="AR123">INDEX(Demand_previous!$D$4:$AY$138, MATCH('Staging Table'!$A123, Demand_previous!$B$4:$B$138, 0), MATCH(AR$4&amp;AR$5,Demand_previous!$D$2:$AY$2&amp;Demand_previous!$D$3:$AY$3, 0))/1000</f>
        <v>0.34918028846153853</v>
      </c>
      <c r="AS123" s="298">
        <f t="array" ref="AS123">INDEX(Demand_previous!$D$4:$AY$138, MATCH('Staging Table'!$A123, Demand_previous!$B$4:$B$138, 0), MATCH(AS$4&amp;AS$5,Demand_previous!$D$2:$AY$2&amp;Demand_previous!$D$3:$AY$3, 0))/1000</f>
        <v>0.13191250000000015</v>
      </c>
      <c r="AT123" s="298">
        <f t="array" ref="AT123">INDEX(Demand_previous!$D$4:$AY$138, MATCH('Staging Table'!$A123, Demand_previous!$B$4:$B$138, 0), MATCH(AT$4&amp;AT$5,Demand_previous!$D$2:$AY$2&amp;Demand_previous!$D$3:$AY$3, 0))/1000</f>
        <v>0.26718749999999997</v>
      </c>
      <c r="AU123" s="298">
        <f t="array" ref="AU123">INDEX(Demand_previous!$D$4:$AY$138, MATCH('Staging Table'!$A123, Demand_previous!$B$4:$B$138, 0), MATCH(AU$4&amp;AU$5,Demand_previous!$D$2:$AY$2&amp;Demand_previous!$D$3:$AY$3, 0))/1000</f>
        <v>0.19824749999999991</v>
      </c>
      <c r="AV123" s="180">
        <f>$F123*(VLOOKUP(AV$4, Rates_previous!$G$6:$Q$29, 10, FALSE)+VLOOKUP(AV$4, Rates_previous!$G$6:$Q$29, 11, FALSE))</f>
        <v>985.01385221103692</v>
      </c>
      <c r="AW123" s="180">
        <f>$F123*(VLOOKUP(AW$4, Rates_previous!$G$6:$Q$29, 10, FALSE)+VLOOKUP(AW$4, Rates_previous!$G$6:$Q$29, 11, FALSE))</f>
        <v>1247.063285511917</v>
      </c>
      <c r="AX123" s="180">
        <f>$F123*(VLOOKUP(AX$4, Rates_previous!$G$6:$Q$29, 10, FALSE)+VLOOKUP(AX$4, Rates_previous!$G$6:$Q$29, 11, FALSE))</f>
        <v>1220.6258142027013</v>
      </c>
      <c r="AY123" s="180">
        <f>$F123*(VLOOKUP(AY$4, Rates_previous!$G$6:$Q$29, 10, FALSE)+VLOOKUP(AY$4, Rates_previous!$G$6:$Q$29, 11, FALSE))</f>
        <v>1008.1850156116641</v>
      </c>
      <c r="AZ123" s="180">
        <f>$F123*(VLOOKUP(AZ$4, Rates_previous!$G$6:$Q$29, 10, FALSE)+VLOOKUP(AZ$4, Rates_previous!$G$6:$Q$29, 11, FALSE))</f>
        <v>873.81604951058137</v>
      </c>
      <c r="BA123" s="180">
        <f>$F123*(VLOOKUP(BA$4, Rates_previous!$G$6:$Q$29, 10, FALSE)+VLOOKUP(BA$4, Rates_previous!$G$6:$Q$29, 11, FALSE))</f>
        <v>1043.1599053606426</v>
      </c>
      <c r="BB123" s="180">
        <f>$F123*(VLOOKUP(BB$4, Rates_previous!$G$6:$Q$29, 10, FALSE)+VLOOKUP(BB$4, Rates_previous!$G$6:$Q$29, 11, FALSE))</f>
        <v>809.87479178245599</v>
      </c>
      <c r="BC123" s="180">
        <f>$F123*(VLOOKUP(BC$4, Rates_previous!$G$6:$Q$29, 10, FALSE)+VLOOKUP(BC$4, Rates_previous!$G$6:$Q$29, 11, FALSE))</f>
        <v>1122.0874838703285</v>
      </c>
      <c r="BD123" s="180">
        <f>$F123*(VLOOKUP(BD$4, Rates_previous!$G$6:$Q$29, 10, FALSE)+VLOOKUP(BD$4, Rates_previous!$G$6:$Q$29, 11, FALSE))</f>
        <v>1198.9739720750201</v>
      </c>
      <c r="BE123" s="180">
        <f>$F123*(VLOOKUP(BE$4, Rates_previous!$G$6:$Q$29, 10, FALSE)+VLOOKUP(BE$4, Rates_previous!$G$6:$Q$29, 11, FALSE))</f>
        <v>1138.3714950269393</v>
      </c>
      <c r="BF123" s="180">
        <f>$F123*(VLOOKUP(BF$4, Rates_previous!$G$6:$Q$29, 10, FALSE)+VLOOKUP(BF$4, Rates_previous!$G$6:$Q$29, 11, FALSE))</f>
        <v>1100.1482291520031</v>
      </c>
      <c r="BG123" s="180">
        <f>$F123*(VLOOKUP(BG$4, Rates_previous!$G$6:$Q$29, 10, FALSE)+VLOOKUP(BG$4, Rates_previous!$G$6:$Q$29, 11, FALSE))</f>
        <v>1016.651649644337</v>
      </c>
      <c r="BH123" s="298">
        <f>IF($D123=0,IF(C123=0, MAX(BJ123 - (VLOOKUP($A123,TOCA_previous!$A$2:$AI$137,MATCH("RHWM 2022",TOCA_previous!$A$2:$AI$2,0),FALSE)*$F$2*TOCA_previous!C120),0),0), 0)</f>
        <v>1629.8036529323708</v>
      </c>
      <c r="BI123" s="192">
        <f>MIN(VLOOKUP($A123,TOCA_previous!$A$2:$AI$137,MATCH("TRL - NLSL - Existing Resource "&amp;$F$1,TOCA_previous!$A$2:$AI$2,0),FALSE)*$F$2,(VLOOKUP($A123,TOCA_previous!$A$2:$AI$137,MATCH("RHWM 2022",TOCA_previous!$A$2:$AI$2,0),FALSE)*$F$2))</f>
        <v>12763.320000000002</v>
      </c>
      <c r="BJ123" s="402">
        <f>SUM(L123:AI123)+(F123*RT1SC!$C$3*$F$2)</f>
        <v>14393.123652932372</v>
      </c>
      <c r="BK123" s="401">
        <f>VLOOKUP($A123,TOCA_previous!$A$2:$AI$137,MATCH("Above RHWM Not Served with LS "&amp;$F$1,TOCA_previous!$A$2:$AI$2,0),FALSE)*$F$2</f>
        <v>0</v>
      </c>
      <c r="BL123" s="402">
        <f t="shared" si="27"/>
        <v>1629.8036529323708</v>
      </c>
      <c r="BM123" s="401">
        <f>(VLOOKUP($A123,TOCA_previous!$A$2:$AI$137,MATCH("RHWM 2022",TOCA_previous!$A$2:$AI$2,0),FALSE)*$F$2) - $BI123</f>
        <v>0</v>
      </c>
      <c r="BN123" s="402">
        <f t="shared" si="28"/>
        <v>0</v>
      </c>
      <c r="BO123" s="401">
        <f t="shared" si="29"/>
        <v>0</v>
      </c>
      <c r="BP123" s="402">
        <f t="shared" si="30"/>
        <v>0</v>
      </c>
      <c r="BQ123" s="401">
        <f t="shared" si="37"/>
        <v>0</v>
      </c>
      <c r="BR123" s="108">
        <f>VLOOKUP($A123,TOCA_current!$A$2:$AI$137,MATCH(BR$4,TOCA_current!$A$2:$AI$2,0),FALSE)</f>
        <v>2.162E-4</v>
      </c>
      <c r="BS123" s="108">
        <f>VLOOKUP($A123,TOCA_current!$A$2:$AI$137,MATCH(BS$4,TOCA_current!$A$2:$AI$2,0),FALSE)</f>
        <v>2.162E-4</v>
      </c>
      <c r="BT123" s="189">
        <f t="shared" si="31"/>
        <v>0</v>
      </c>
      <c r="BU123" s="108">
        <f>VLOOKUP($A123,TOCA_current!A119:BG254,MATCH(BU$4,TOCA_current!$A$2:$BG$2,0),FALSE)</f>
        <v>0</v>
      </c>
      <c r="BV123" s="108">
        <f t="shared" si="38"/>
        <v>0</v>
      </c>
      <c r="BW123" s="108">
        <f t="shared" si="39"/>
        <v>0</v>
      </c>
      <c r="BX123" s="179">
        <f>VLOOKUP($A123,IRD!$A$4:$G$139, 7, FALSE)</f>
        <v>0</v>
      </c>
      <c r="BY123" s="180">
        <f t="array" ref="BY123">IF($BT123=0, INDEX(LS_current!$D$4:$AY$138, MATCH('Staging Table'!$A123, LS_current!$B$4:$B$138, 0), MATCH(BY$4&amp;BY$5, LS_current!$D$2:$AY$2&amp;LS_current!$D$3:$AY$3, 0)),SUM(VLOOKUP($A123, LS_current!$B$4:$AY$138, LS_current!D$148, FALSE), VLOOKUP($A123, LS_current!$B$4:$AY$138,LS_current!AB$148, FALSE))/2)</f>
        <v>166.44859941679999</v>
      </c>
      <c r="BZ123" s="180">
        <f t="array" ref="BZ123">IF($BT123=0, INDEX(LS_current!$D$4:$AY$138, MATCH('Staging Table'!$A123, LS_current!$B$4:$B$138, 0), MATCH(BZ$4&amp;BZ$5, LS_current!$D$2:$AY$2&amp;LS_current!$D$3:$AY$3, 0)),SUM(VLOOKUP($A123, LS_current!$B$4:$AY$138, LS_current!E$148, FALSE), VLOOKUP($A123, LS_current!$B$4:$AY$138,LS_current!AC$148, FALSE))/2)</f>
        <v>237.96802734690004</v>
      </c>
      <c r="CA123" s="180">
        <f t="array" ref="CA123">IF($BT123=0, INDEX(LS_current!$D$4:$AY$138, MATCH('Staging Table'!$A123, LS_current!$B$4:$B$138, 0), MATCH(CA$4&amp;CA$5, LS_current!$D$2:$AY$2&amp;LS_current!$D$3:$AY$3, 0)),SUM(VLOOKUP($A123, LS_current!$B$4:$AY$138, LS_current!F$148, FALSE), VLOOKUP($A123, LS_current!$B$4:$AY$138,LS_current!AD$148, FALSE))/2)</f>
        <v>-3.1291603135999821</v>
      </c>
      <c r="CB123" s="180">
        <f t="array" ref="CB123">IF($BT123=0, INDEX(LS_current!$D$4:$AY$138, MATCH('Staging Table'!$A123, LS_current!$B$4:$B$138, 0), MATCH(CB$4&amp;CB$5, LS_current!$D$2:$AY$2&amp;LS_current!$D$3:$AY$3, 0)),SUM(VLOOKUP($A123, LS_current!$B$4:$AY$138, LS_current!G$148, FALSE), VLOOKUP($A123, LS_current!$B$4:$AY$138,LS_current!AE$148, FALSE))/2)</f>
        <v>116.79803997779999</v>
      </c>
      <c r="CC123" s="180">
        <f t="array" ref="CC123">IF($BT123=0, INDEX(LS_current!$D$4:$AY$138, MATCH('Staging Table'!$A123, LS_current!$B$4:$B$138, 0), MATCH(CC$4&amp;CC$5, LS_current!$D$2:$AY$2&amp;LS_current!$D$3:$AY$3, 0)),SUM(VLOOKUP($A123, LS_current!$B$4:$AY$138, LS_current!H$148, FALSE), VLOOKUP($A123, LS_current!$B$4:$AY$138,LS_current!AF$148, FALSE))/2)</f>
        <v>-21.742016771800081</v>
      </c>
      <c r="CD123" s="180">
        <f t="array" ref="CD123">IF($BT123=0, INDEX(LS_current!$D$4:$AY$138, MATCH('Staging Table'!$A123, LS_current!$B$4:$B$138, 0), MATCH(CD$4&amp;CD$5, LS_current!$D$2:$AY$2&amp;LS_current!$D$3:$AY$3, 0)),SUM(VLOOKUP($A123, LS_current!$B$4:$AY$138, LS_current!I$148, FALSE), VLOOKUP($A123, LS_current!$B$4:$AY$138,LS_current!AG$148, FALSE))/2)</f>
        <v>179.98716292480003</v>
      </c>
      <c r="CE123" s="180">
        <f t="array" ref="CE123">IF($BT123=0, INDEX(LS_current!$D$4:$AY$138, MATCH('Staging Table'!$A123, LS_current!$B$4:$B$138, 0), MATCH(CE$4&amp;CE$5, LS_current!$D$2:$AY$2&amp;LS_current!$D$3:$AY$3, 0)),SUM(VLOOKUP($A123, LS_current!$B$4:$AY$138, LS_current!J$148, FALSE), VLOOKUP($A123, LS_current!$B$4:$AY$138,LS_current!AH$148, FALSE))/2)</f>
        <v>-38.735548782999899</v>
      </c>
      <c r="CF123" s="180">
        <f t="array" ref="CF123">IF($BT123=0, INDEX(LS_current!$D$4:$AY$138, MATCH('Staging Table'!$A123, LS_current!$B$4:$B$138, 0), MATCH(CF$4&amp;CF$5, LS_current!$D$2:$AY$2&amp;LS_current!$D$3:$AY$3, 0)),SUM(VLOOKUP($A123, LS_current!$B$4:$AY$138, LS_current!K$148, FALSE), VLOOKUP($A123, LS_current!$B$4:$AY$138,LS_current!AI$148, FALSE))/2)</f>
        <v>134.66355813019993</v>
      </c>
      <c r="CG123" s="180">
        <f t="array" ref="CG123">IF($BT123=0, INDEX(LS_current!$D$4:$AY$138, MATCH('Staging Table'!$A123, LS_current!$B$4:$B$138, 0), MATCH(CG$4&amp;CG$5, LS_current!$D$2:$AY$2&amp;LS_current!$D$3:$AY$3, 0)),SUM(VLOOKUP($A123, LS_current!$B$4:$AY$138, LS_current!L$148, FALSE), VLOOKUP($A123, LS_current!$B$4:$AY$138,LS_current!AJ$148, FALSE))/2)</f>
        <v>9.086890960200094</v>
      </c>
      <c r="CH123" s="180">
        <f t="array" ref="CH123">IF($BT123=0, INDEX(LS_current!$D$4:$AY$138, MATCH('Staging Table'!$A123, LS_current!$B$4:$B$138, 0), MATCH(CH$4&amp;CH$5, LS_current!$D$2:$AY$2&amp;LS_current!$D$3:$AY$3, 0)),SUM(VLOOKUP($A123, LS_current!$B$4:$AY$138, LS_current!M$148, FALSE), VLOOKUP($A123, LS_current!$B$4:$AY$138,LS_current!AK$148, FALSE))/2)</f>
        <v>146.00019646419997</v>
      </c>
      <c r="CI123" s="180">
        <f t="array" ref="CI123">IF($BT123=0, INDEX(LS_current!$D$4:$AY$138, MATCH('Staging Table'!$A123, LS_current!$B$4:$B$138, 0), MATCH(CI$4&amp;CI$5, LS_current!$D$2:$AY$2&amp;LS_current!$D$3:$AY$3, 0)),SUM(VLOOKUP($A123, LS_current!$B$4:$AY$138, LS_current!N$148, FALSE), VLOOKUP($A123, LS_current!$B$4:$AY$138,LS_current!AL$148, FALSE))/2)</f>
        <v>-36.123512230599999</v>
      </c>
      <c r="CJ123" s="180">
        <f t="array" ref="CJ123">IF($BT123=0, INDEX(LS_current!$D$4:$AY$138, MATCH('Staging Table'!$A123, LS_current!$B$4:$B$138, 0), MATCH(CJ$4&amp;CJ$5, LS_current!$D$2:$AY$2&amp;LS_current!$D$3:$AY$3, 0)),SUM(VLOOKUP($A123, LS_current!$B$4:$AY$138, LS_current!O$148, FALSE), VLOOKUP($A123, LS_current!$B$4:$AY$138,LS_current!AM$148, FALSE))/2)</f>
        <v>116.81861159640005</v>
      </c>
      <c r="CK123" s="180">
        <f t="array" ref="CK123">IF($BT123=0, INDEX(LS_current!$D$4:$AY$138, MATCH('Staging Table'!$A123, LS_current!$B$4:$B$138, 0), MATCH(CK$4&amp;CK$5, LS_current!$D$2:$AY$2&amp;LS_current!$D$3:$AY$3, 0)),SUM(VLOOKUP($A123, LS_current!$B$4:$AY$138, LS_current!P$148, FALSE), VLOOKUP($A123, LS_current!$B$4:$AY$138,LS_current!AN$148, FALSE))/2)</f>
        <v>111.87743850449999</v>
      </c>
      <c r="CL123" s="180">
        <f t="array" ref="CL123">IF($BT123=0, INDEX(LS_current!$D$4:$AY$138, MATCH('Staging Table'!$A123, LS_current!$B$4:$B$138, 0), MATCH(CL$4&amp;CL$5, LS_current!$D$2:$AY$2&amp;LS_current!$D$3:$AY$3, 0)),SUM(VLOOKUP($A123, LS_current!$B$4:$AY$138, LS_current!Q$148, FALSE), VLOOKUP($A123, LS_current!$B$4:$AY$138,LS_current!AO$148, FALSE))/2)</f>
        <v>160.73984956965</v>
      </c>
      <c r="CM123" s="180">
        <f t="array" ref="CM123">IF($BT123=0, INDEX(LS_current!$D$4:$AY$138, MATCH('Staging Table'!$A123, LS_current!$B$4:$B$138, 0), MATCH(CM$4&amp;CM$5, LS_current!$D$2:$AY$2&amp;LS_current!$D$3:$AY$3, 0)),SUM(VLOOKUP($A123, LS_current!$B$4:$AY$138, LS_current!R$148, FALSE), VLOOKUP($A123, LS_current!$B$4:$AY$138,LS_current!AP$148, FALSE))/2)</f>
        <v>-97.308802537600059</v>
      </c>
      <c r="CN123" s="180">
        <f t="array" ref="CN123">IF($BT123=0, INDEX(LS_current!$D$4:$AY$138, MATCH('Staging Table'!$A123, LS_current!$B$4:$B$138, 0), MATCH(CN$4&amp;CN$5, LS_current!$D$2:$AY$2&amp;LS_current!$D$3:$AY$3, 0)),SUM(VLOOKUP($A123, LS_current!$B$4:$AY$138, LS_current!S$148, FALSE), VLOOKUP($A123, LS_current!$B$4:$AY$138,LS_current!AQ$148, FALSE))/2)</f>
        <v>48.651647932299966</v>
      </c>
      <c r="CO123" s="180">
        <f t="array" ref="CO123">IF($BT123=0, INDEX(LS_current!$D$4:$AY$138, MATCH('Staging Table'!$A123, LS_current!$B$4:$B$138, 0), MATCH(CO$4&amp;CO$5, LS_current!$D$2:$AY$2&amp;LS_current!$D$3:$AY$3, 0)),SUM(VLOOKUP($A123, LS_current!$B$4:$AY$138, LS_current!T$148, FALSE), VLOOKUP($A123, LS_current!$B$4:$AY$138,LS_current!AR$148, FALSE))/2)</f>
        <v>-189.4287136012</v>
      </c>
      <c r="CP123" s="180">
        <f t="array" ref="CP123">IF($BT123=0, INDEX(LS_current!$D$4:$AY$138, MATCH('Staging Table'!$A123, LS_current!$B$4:$B$138, 0), MATCH(CP$4&amp;CP$5, LS_current!$D$2:$AY$2&amp;LS_current!$D$3:$AY$3, 0)),SUM(VLOOKUP($A123, LS_current!$B$4:$AY$138, LS_current!U$148, FALSE), VLOOKUP($A123, LS_current!$B$4:$AY$138,LS_current!AS$148, FALSE))/2)</f>
        <v>48.067733217099999</v>
      </c>
      <c r="CQ123" s="180">
        <f t="array" ref="CQ123">IF($BT123=0, INDEX(LS_current!$D$4:$AY$138, MATCH('Staging Table'!$A123, LS_current!$B$4:$B$138, 0), MATCH(CQ$4&amp;CQ$5, LS_current!$D$2:$AY$2&amp;LS_current!$D$3:$AY$3, 0)),SUM(VLOOKUP($A123, LS_current!$B$4:$AY$138, LS_current!V$148, FALSE), VLOOKUP($A123, LS_current!$B$4:$AY$138,LS_current!AT$148, FALSE))/2)</f>
        <v>-54.657267376800064</v>
      </c>
      <c r="CR123" s="180">
        <f t="array" ref="CR123">IF($BT123=0, INDEX(LS_current!$D$4:$AY$138, MATCH('Staging Table'!$A123, LS_current!$B$4:$B$138, 0), MATCH(CR$4&amp;CR$5, LS_current!$D$2:$AY$2&amp;LS_current!$D$3:$AY$3, 0)),SUM(VLOOKUP($A123, LS_current!$B$4:$AY$138, LS_current!W$148, FALSE), VLOOKUP($A123, LS_current!$B$4:$AY$138,LS_current!AU$148, FALSE))/2)</f>
        <v>101.92496793449999</v>
      </c>
      <c r="CS123" s="180">
        <f t="array" ref="CS123">IF($BT123=0, INDEX(LS_current!$D$4:$AY$138, MATCH('Staging Table'!$A123, LS_current!$B$4:$B$138, 0), MATCH(CS$4&amp;CS$5, LS_current!$D$2:$AY$2&amp;LS_current!$D$3:$AY$3, 0)),SUM(VLOOKUP($A123, LS_current!$B$4:$AY$138, LS_current!X$148, FALSE), VLOOKUP($A123, LS_current!$B$4:$AY$138,LS_current!AV$148, FALSE))/2)</f>
        <v>-11.54733507830008</v>
      </c>
      <c r="CT123" s="180">
        <f t="array" ref="CT123">IF($BT123=0, INDEX(LS_current!$D$4:$AY$138, MATCH('Staging Table'!$A123, LS_current!$B$4:$B$138, 0), MATCH(CT$4&amp;CT$5, LS_current!$D$2:$AY$2&amp;LS_current!$D$3:$AY$3, 0)),SUM(VLOOKUP($A123, LS_current!$B$4:$AY$138, LS_current!Y$148, FALSE), VLOOKUP($A123, LS_current!$B$4:$AY$138,LS_current!AW$148, FALSE))/2)</f>
        <v>95.557627136430028</v>
      </c>
      <c r="CU123" s="180">
        <f t="array" ref="CU123">IF($BT123=0, INDEX(LS_current!$D$4:$AY$138, MATCH('Staging Table'!$A123, LS_current!$B$4:$B$138, 0), MATCH(CU$4&amp;CU$5, LS_current!$D$2:$AY$2&amp;LS_current!$D$3:$AY$3, 0)),SUM(VLOOKUP($A123, LS_current!$B$4:$AY$138, LS_current!Z$148, FALSE), VLOOKUP($A123, LS_current!$B$4:$AY$138,LS_current!AX$148, FALSE))/2)</f>
        <v>-206.64865483879998</v>
      </c>
      <c r="CV123" s="180">
        <f t="array" ref="CV123">IF($BT123=0, INDEX(LS_current!$D$4:$AY$138, MATCH('Staging Table'!$A123, LS_current!$B$4:$B$138, 0), MATCH(CV$4&amp;CV$5, LS_current!$D$2:$AY$2&amp;LS_current!$D$3:$AY$3, 0)),SUM(VLOOKUP($A123, LS_current!$B$4:$AY$138, LS_current!AA$148, FALSE), VLOOKUP($A123, LS_current!$B$4:$AY$138,LS_current!AY$148, FALSE))/2)</f>
        <v>-36.188400284799968</v>
      </c>
      <c r="CW123" s="182">
        <f t="array" ref="CW123">INDEX(Demand_current!$D$4:$AY$138, MATCH($A123, Demand_current!$B$4:$B$138, 0), MATCH(CW$4&amp;CW$5,Demand_current!$D$2:$AY$2&amp;Demand_current!$D$3:$AY$3, 0))/1000</f>
        <v>0.13634855769230764</v>
      </c>
      <c r="CX123" s="182">
        <f t="array" ref="CX123">INDEX(Demand_current!$D$4:$AY$138, MATCH($A123, Demand_current!$B$4:$B$138, 0), MATCH(CX$4&amp;CX$5,Demand_current!$D$2:$AY$2&amp;Demand_current!$D$3:$AY$3, 0))/1000</f>
        <v>0.20636749999999981</v>
      </c>
      <c r="CY123" s="182">
        <f t="array" ref="CY123">INDEX(Demand_current!$D$4:$AY$138, MATCH($A123, Demand_current!$B$4:$B$138, 0), MATCH(CY$4&amp;CY$5,Demand_current!$D$2:$AY$2&amp;Demand_current!$D$3:$AY$3, 0))/1000</f>
        <v>0.24753249999999991</v>
      </c>
      <c r="CZ123" s="182">
        <f t="array" ref="CZ123">INDEX(Demand_current!$D$4:$AY$138, MATCH($A123, Demand_current!$B$4:$B$138, 0), MATCH(CZ$4&amp;CZ$5,Demand_current!$D$2:$AY$2&amp;Demand_current!$D$3:$AY$3, 0))/1000</f>
        <v>0.16263221153846152</v>
      </c>
      <c r="DA123" s="182">
        <f t="array" ref="DA123">INDEX(Demand_current!$D$4:$AY$138, MATCH($A123, Demand_current!$B$4:$B$138, 0), MATCH(DA$4&amp;DA$5,Demand_current!$D$2:$AY$2&amp;Demand_current!$D$3:$AY$3, 0))/1000</f>
        <v>0.29363499999999959</v>
      </c>
      <c r="DB123" s="182">
        <f t="array" ref="DB123">INDEX(Demand_current!$D$4:$AY$138, MATCH($A123, Demand_current!$B$4:$B$138, 0), MATCH(DB$4&amp;DB$5,Demand_current!$D$2:$AY$2&amp;Demand_current!$D$3:$AY$3, 0))/1000</f>
        <v>0.33187259615384634</v>
      </c>
      <c r="DC123" s="182">
        <f t="array" ref="DC123">INDEX(Demand_current!$D$4:$AY$138, MATCH($A123, Demand_current!$B$4:$B$138, 0), MATCH(DC$4&amp;DC$5,Demand_current!$D$2:$AY$2&amp;Demand_current!$D$3:$AY$3, 0))/1000</f>
        <v>0.18519711538461558</v>
      </c>
      <c r="DD123" s="182">
        <f t="array" ref="DD123">INDEX(Demand_current!$D$4:$AY$138, MATCH($A123, Demand_current!$B$4:$B$138, 0), MATCH(DD$4&amp;DD$5,Demand_current!$D$2:$AY$2&amp;Demand_current!$D$3:$AY$3, 0))/1000</f>
        <v>0.19654326923076926</v>
      </c>
      <c r="DE123" s="182">
        <f t="array" ref="DE123">INDEX(Demand_current!$D$4:$AY$138, MATCH($A123, Demand_current!$B$4:$B$138, 0), MATCH(DE$4&amp;DE$5,Demand_current!$D$2:$AY$2&amp;Demand_current!$D$3:$AY$3, 0))/1000</f>
        <v>0.29338749999999997</v>
      </c>
      <c r="DF123" s="182">
        <f t="array" ref="DF123">INDEX(Demand_current!$D$4:$AY$138, MATCH($A123, Demand_current!$B$4:$B$138, 0), MATCH(DF$4&amp;DF$5,Demand_current!$D$2:$AY$2&amp;Demand_current!$D$3:$AY$3, 0))/1000</f>
        <v>0.19041586538461558</v>
      </c>
      <c r="DG123" s="182">
        <f t="array" ref="DG123">INDEX(Demand_current!$D$4:$AY$138, MATCH($A123, Demand_current!$B$4:$B$138, 0), MATCH(DG$4&amp;DG$5,Demand_current!$D$2:$AY$2&amp;Demand_current!$D$3:$AY$3, 0))/1000</f>
        <v>0.26718749999999997</v>
      </c>
      <c r="DH123" s="182">
        <f t="array" ref="DH123">INDEX(Demand_current!$D$4:$AY$138, MATCH($A123, Demand_current!$B$4:$B$138, 0), MATCH(DH$4&amp;DH$5,Demand_current!$D$2:$AY$2&amp;Demand_current!$D$3:$AY$3, 0))/1000</f>
        <v>0.16088281249999992</v>
      </c>
      <c r="DI123" s="180">
        <f>$BS123*(VLOOKUP(DI$4, Rates_current!$G$6:$Q$29, 10, FALSE)+VLOOKUP(DI$4, Rates_current!$G$6:$Q$29, 11, FALSE))</f>
        <v>912.10537323630001</v>
      </c>
      <c r="DJ123" s="180">
        <f>$BS123*(VLOOKUP(DJ$4, Rates_current!$G$6:$Q$29, 10, FALSE)+VLOOKUP(DJ$4, Rates_current!$G$6:$Q$29, 11, FALSE))</f>
        <v>1163.2351203358</v>
      </c>
      <c r="DK123" s="180">
        <f>$BS123*(VLOOKUP(DK$4, Rates_current!$G$6:$Q$29, 10, FALSE)+VLOOKUP(DK$4, Rates_current!$G$6:$Q$29, 11, FALSE))</f>
        <v>1255.360853847</v>
      </c>
      <c r="DL123" s="180">
        <f>$BS123*(VLOOKUP(DL$4, Rates_current!$G$6:$Q$29, 10, FALSE)+VLOOKUP(DL$4, Rates_current!$G$6:$Q$29, 11, FALSE))</f>
        <v>1304.5139906528</v>
      </c>
      <c r="DM123" s="180">
        <f>$BS123*(VLOOKUP(DM$4, Rates_current!$G$6:$Q$29, 10, FALSE)+VLOOKUP(DM$4, Rates_current!$G$6:$Q$29, 11, FALSE))</f>
        <v>1122.0559125755999</v>
      </c>
      <c r="DN123" s="180">
        <f>$BS123*(VLOOKUP(DN$4, Rates_current!$G$6:$Q$29, 10, FALSE)+VLOOKUP(DN$4, Rates_current!$G$6:$Q$29, 11, FALSE))</f>
        <v>1225.0629006341999</v>
      </c>
      <c r="DO123" s="180">
        <f>$BS123*(VLOOKUP(DO$4, Rates_current!$G$6:$Q$29, 10, FALSE)+VLOOKUP(DO$4, Rates_current!$G$6:$Q$29, 11, FALSE))</f>
        <v>966.98071192584996</v>
      </c>
      <c r="DP123" s="180">
        <f>$BS123*(VLOOKUP(DP$4, Rates_current!$G$6:$Q$29, 10, FALSE)+VLOOKUP(DP$4, Rates_current!$G$6:$Q$29, 11, FALSE))</f>
        <v>1199.6691546053</v>
      </c>
      <c r="DQ123" s="180">
        <f>$BS123*(VLOOKUP(DQ$4, Rates_current!$G$6:$Q$29, 10, FALSE)+VLOOKUP(DQ$4, Rates_current!$G$6:$Q$29, 11, FALSE))</f>
        <v>1225.6989803841</v>
      </c>
      <c r="DR123" s="180">
        <f>$BS123*(VLOOKUP(DR$4, Rates_current!$G$6:$Q$29, 10, FALSE)+VLOOKUP(DR$4, Rates_current!$G$6:$Q$29, 11, FALSE))</f>
        <v>1064.0832994422999</v>
      </c>
      <c r="DS123" s="180">
        <f>$BS123*(VLOOKUP(DS$4, Rates_current!$G$6:$Q$29, 10, FALSE)+VLOOKUP(DS$4, Rates_current!$G$6:$Q$29, 11, FALSE))</f>
        <v>1028.6857079418701</v>
      </c>
      <c r="DT123" s="180">
        <f>$BS123*(VLOOKUP(DT$4, Rates_current!$G$6:$Q$29, 10, FALSE)+VLOOKUP(DT$4, Rates_current!$G$6:$Q$29, 11, FALSE))</f>
        <v>946.59005512360011</v>
      </c>
      <c r="DU123" s="402">
        <f>IF(D123=0,IF(C123=0,MAX(0,DW123 - (VLOOKUP($A123,TOCA_current!$A$2:$AI$137,MATCH("RHWM 2024",TOCA_current!$A$2:$AI$2,0),FALSE)*$BS$2)), 0),0)</f>
        <v>979.95506148728055</v>
      </c>
      <c r="DV123" s="403">
        <f>MIN(VLOOKUP($A123,TOCA_current!$A$2:$AI$137,MATCH("TRL - NLSL - Existing Resource "&amp;$BS$1,TOCA_current!$A$2:$AI$2,0),FALSE)*$BS$2, VLOOKUP($A123,TOCA_current!$A$2:$AI$137,MATCH("RHWM 2024",TOCA_current!$A$2:$AI$2,0),FALSE)*$BS$2)</f>
        <v>13413.168</v>
      </c>
      <c r="DW123" s="403">
        <f>SUM(BY123:CV123)+(BS123*RT1SC!$C$4*$BS$2)</f>
        <v>14393.12306148728</v>
      </c>
      <c r="DX123" s="403">
        <f>VLOOKUP($A123,TOCA_current!$A$2:$AI$137,MATCH("Above RHWM Not Served with LS "&amp;$BS$1,TOCA_current!$A$2:$AI$2,0),FALSE)*$BS$2</f>
        <v>0</v>
      </c>
      <c r="DY123" s="403">
        <f t="shared" si="32"/>
        <v>979.95506148728055</v>
      </c>
      <c r="DZ123" s="403">
        <f>(VLOOKUP($A123,TOCA_current!$A$2:$AI$137,MATCH("RHWM 2024",TOCA_current!$A$2:$AI$2,0),FALSE)*$BS$2) - $DV123</f>
        <v>0</v>
      </c>
      <c r="EA123" s="403">
        <f t="shared" si="33"/>
        <v>0</v>
      </c>
      <c r="EB123" s="403">
        <f t="shared" si="34"/>
        <v>0</v>
      </c>
      <c r="EC123" s="403">
        <f t="shared" si="35"/>
        <v>0</v>
      </c>
      <c r="ED123" s="403">
        <f t="shared" si="36"/>
        <v>0</v>
      </c>
    </row>
    <row r="124" spans="1:134">
      <c r="A124" s="123">
        <v>10409</v>
      </c>
      <c r="B124" s="124" t="s">
        <v>125</v>
      </c>
      <c r="C124" s="232">
        <f>VLOOKUP(A124, TOCA_current!$A$3:$D$137, 4, FALSE)</f>
        <v>0</v>
      </c>
      <c r="D124" s="191">
        <v>0</v>
      </c>
      <c r="E124" s="107">
        <f>VLOOKUP($A124,TOCA_previous!$A$2:$AI$137,MATCH(E$4,TOCA_previous!$A$2:$AI$2,0),FALSE)</f>
        <v>2.8917999999999999E-3</v>
      </c>
      <c r="F124" s="108">
        <f>VLOOKUP($A124,TOCA_previous!$A$2:$AI$137,MATCH(F$4,TOCA_previous!$A$2:$AI$2,0),FALSE)</f>
        <v>2.8917999999999999E-3</v>
      </c>
      <c r="G124" s="108">
        <f t="shared" si="24"/>
        <v>0</v>
      </c>
      <c r="H124" s="108">
        <f>VLOOKUP($A124,TOCA_previous!$A$2:$AI$137,MATCH(H$4,TOCA_previous!$A$2:$AI$2,0),FALSE)</f>
        <v>0</v>
      </c>
      <c r="I124" s="108">
        <f t="shared" si="25"/>
        <v>0</v>
      </c>
      <c r="J124" s="108">
        <f t="shared" si="26"/>
        <v>0</v>
      </c>
      <c r="K124" s="179">
        <f>VLOOKUP(A124, IRD!$A$5:$C$139, 3, FALSE)</f>
        <v>0</v>
      </c>
      <c r="L124" s="180">
        <f t="array" ref="L124">IF($G124=0, INDEX(LS_previous!$D$4:$AY$138, MATCH('Staging Table'!$A124, LS_previous!$B$4:$B$138, 0), MATCH(L$4&amp;L$5, LS_previous!$D$2:$AY$2&amp;LS_previous!$D$3:$AY$3, 0)),SUM(VLOOKUP($A124, LS_previous!$B$4:$AY$138, LS_previous!D$149, FALSE), VLOOKUP('Staging Table'!$A124, LS_previous!$B$4:$AY$138,LS_previous!AB$149, FALSE))/2)</f>
        <v>728.09771301624278</v>
      </c>
      <c r="M124" s="180">
        <f t="array" ref="M124">IF($G124=0, INDEX(LS_previous!$D$4:$AY$138, MATCH('Staging Table'!$A124, LS_previous!$B$4:$B$138, 0), MATCH(M$4&amp;M$5, LS_previous!$D$2:$AY$2&amp;LS_previous!$D$3:$AY$3, 0)),SUM(VLOOKUP($A124, LS_previous!$B$4:$AY$138, LS_previous!E$149, FALSE), VLOOKUP('Staging Table'!$A124, LS_previous!$B$4:$AY$138,LS_previous!AC$149, FALSE))/2)</f>
        <v>1834.975647021316</v>
      </c>
      <c r="N124" s="180">
        <f t="array" ref="N124">IF($G124=0, INDEX(LS_previous!$D$4:$AY$138, MATCH('Staging Table'!$A124, LS_previous!$B$4:$B$138, 0), MATCH(N$4&amp;N$5, LS_previous!$D$2:$AY$2&amp;LS_previous!$D$3:$AY$3, 0)),SUM(VLOOKUP($A124, LS_previous!$B$4:$AY$138, LS_previous!F$149, FALSE), VLOOKUP('Staging Table'!$A124, LS_previous!$B$4:$AY$138,LS_previous!AD$149, FALSE))/2)</f>
        <v>-879.55584421239655</v>
      </c>
      <c r="O124" s="180">
        <f t="array" ref="O124">IF($G124=0, INDEX(LS_previous!$D$4:$AY$138, MATCH('Staging Table'!$A124, LS_previous!$B$4:$B$138, 0), MATCH(O$4&amp;O$5, LS_previous!$D$2:$AY$2&amp;LS_previous!$D$3:$AY$3, 0)),SUM(VLOOKUP($A124, LS_previous!$B$4:$AY$138, LS_previous!G$149, FALSE), VLOOKUP('Staging Table'!$A124, LS_previous!$B$4:$AY$138,LS_previous!AE$149, FALSE))/2)</f>
        <v>96.664988718352106</v>
      </c>
      <c r="P124" s="180">
        <f t="array" ref="P124">IF($G124=0, INDEX(LS_previous!$D$4:$AY$138, MATCH('Staging Table'!$A124, LS_previous!$B$4:$B$138, 0), MATCH(P$4&amp;P$5, LS_previous!$D$2:$AY$2&amp;LS_previous!$D$3:$AY$3, 0)),SUM(VLOOKUP($A124, LS_previous!$B$4:$AY$138, LS_previous!H$149, FALSE), VLOOKUP('Staging Table'!$A124, LS_previous!$B$4:$AY$138,LS_previous!AF$149, FALSE))/2)</f>
        <v>688.82982296491355</v>
      </c>
      <c r="Q124" s="180">
        <f t="array" ref="Q124">IF($G124=0, INDEX(LS_previous!$D$4:$AY$138, MATCH('Staging Table'!$A124, LS_previous!$B$4:$B$138, 0), MATCH(Q$4&amp;Q$5, LS_previous!$D$2:$AY$2&amp;LS_previous!$D$3:$AY$3, 0)),SUM(VLOOKUP($A124, LS_previous!$B$4:$AY$138, LS_previous!I$149, FALSE), VLOOKUP('Staging Table'!$A124, LS_previous!$B$4:$AY$138,LS_previous!AG$149, FALSE))/2)</f>
        <v>886.62630134682331</v>
      </c>
      <c r="R124" s="180">
        <f t="array" ref="R124">IF($G124=0, INDEX(LS_previous!$D$4:$AY$138, MATCH('Staging Table'!$A124, LS_previous!$B$4:$B$138, 0), MATCH(R$4&amp;R$5, LS_previous!$D$2:$AY$2&amp;LS_previous!$D$3:$AY$3, 0)),SUM(VLOOKUP($A124, LS_previous!$B$4:$AY$138, LS_previous!J$149, FALSE), VLOOKUP('Staging Table'!$A124, LS_previous!$B$4:$AY$138,LS_previous!AH$149, FALSE))/2)</f>
        <v>3075.2527506594115</v>
      </c>
      <c r="S124" s="180">
        <f t="array" ref="S124">IF($G124=0, INDEX(LS_previous!$D$4:$AY$138, MATCH('Staging Table'!$A124, LS_previous!$B$4:$B$138, 0), MATCH(S$4&amp;S$5, LS_previous!$D$2:$AY$2&amp;LS_previous!$D$3:$AY$3, 0)),SUM(VLOOKUP($A124, LS_previous!$B$4:$AY$138, LS_previous!K$149, FALSE), VLOOKUP('Staging Table'!$A124, LS_previous!$B$4:$AY$138,LS_previous!AI$149, FALSE))/2)</f>
        <v>2039.2211881024477</v>
      </c>
      <c r="T124" s="180">
        <f t="array" ref="T124">IF($G124=0, INDEX(LS_previous!$D$4:$AY$138, MATCH('Staging Table'!$A124, LS_previous!$B$4:$B$138, 0), MATCH(T$4&amp;T$5, LS_previous!$D$2:$AY$2&amp;LS_previous!$D$3:$AY$3, 0)),SUM(VLOOKUP($A124, LS_previous!$B$4:$AY$138, LS_previous!L$149, FALSE), VLOOKUP('Staging Table'!$A124, LS_previous!$B$4:$AY$138,LS_previous!AJ$149, FALSE))/2)</f>
        <v>2731.3735061749376</v>
      </c>
      <c r="U124" s="180">
        <f t="array" ref="U124">IF($G124=0, INDEX(LS_previous!$D$4:$AY$138, MATCH('Staging Table'!$A124, LS_previous!$B$4:$B$138, 0), MATCH(U$4&amp;U$5, LS_previous!$D$2:$AY$2&amp;LS_previous!$D$3:$AY$3, 0)),SUM(VLOOKUP($A124, LS_previous!$B$4:$AY$138, LS_previous!M$149, FALSE), VLOOKUP('Staging Table'!$A124, LS_previous!$B$4:$AY$138,LS_previous!AK$149, FALSE))/2)</f>
        <v>1607.9061300955236</v>
      </c>
      <c r="V124" s="180">
        <f t="array" ref="V124">IF($G124=0, INDEX(LS_previous!$D$4:$AY$138, MATCH('Staging Table'!$A124, LS_previous!$B$4:$B$138, 0), MATCH(V$4&amp;V$5, LS_previous!$D$2:$AY$2&amp;LS_previous!$D$3:$AY$3, 0)),SUM(VLOOKUP($A124, LS_previous!$B$4:$AY$138, LS_previous!N$149, FALSE), VLOOKUP('Staging Table'!$A124, LS_previous!$B$4:$AY$138,LS_previous!AL$149, FALSE))/2)</f>
        <v>881.69025305740615</v>
      </c>
      <c r="W124" s="180">
        <f t="array" ref="W124">IF($G124=0, INDEX(LS_previous!$D$4:$AY$138, MATCH('Staging Table'!$A124, LS_previous!$B$4:$B$138, 0), MATCH(W$4&amp;W$5, LS_previous!$D$2:$AY$2&amp;LS_previous!$D$3:$AY$3, 0)),SUM(VLOOKUP($A124, LS_previous!$B$4:$AY$138, LS_previous!O$149, FALSE), VLOOKUP('Staging Table'!$A124, LS_previous!$B$4:$AY$138,LS_previous!AM$149, FALSE))/2)</f>
        <v>1475.4525919638318</v>
      </c>
      <c r="X124" s="180">
        <f t="array" ref="X124">IF($G124=0, INDEX(LS_previous!$D$4:$AY$138, MATCH('Staging Table'!$A124, LS_previous!$B$4:$B$138, 0), MATCH(X$4&amp;X$5, LS_previous!$D$2:$AY$2&amp;LS_previous!$D$3:$AY$3, 0)),SUM(VLOOKUP($A124, LS_previous!$B$4:$AY$138, LS_previous!P$149, FALSE), VLOOKUP('Staging Table'!$A124, LS_previous!$B$4:$AY$138,LS_previous!AN$149, FALSE))/2)</f>
        <v>2542.7474375032452</v>
      </c>
      <c r="Y124" s="180">
        <f t="array" ref="Y124">IF($G124=0, INDEX(LS_previous!$D$4:$AY$138, MATCH('Staging Table'!$A124, LS_previous!$B$4:$B$138, 0), MATCH(Y$4&amp;Y$5, LS_previous!$D$2:$AY$2&amp;LS_previous!$D$3:$AY$3, 0)),SUM(VLOOKUP($A124, LS_previous!$B$4:$AY$138, LS_previous!Q$149, FALSE), VLOOKUP('Staging Table'!$A124, LS_previous!$B$4:$AY$138,LS_previous!AO$149, FALSE))/2)</f>
        <v>2153.5430891888209</v>
      </c>
      <c r="Z124" s="180">
        <f t="array" ref="Z124">IF($G124=0, INDEX(LS_previous!$D$4:$AY$138, MATCH('Staging Table'!$A124, LS_previous!$B$4:$B$138, 0), MATCH(Z$4&amp;Z$5, LS_previous!$D$2:$AY$2&amp;LS_previous!$D$3:$AY$3, 0)),SUM(VLOOKUP($A124, LS_previous!$B$4:$AY$138, LS_previous!R$149, FALSE), VLOOKUP('Staging Table'!$A124, LS_previous!$B$4:$AY$138,LS_previous!AP$149, FALSE))/2)</f>
        <v>-1698.8382356476868</v>
      </c>
      <c r="AA124" s="180">
        <f t="array" ref="AA124">IF($G124=0, INDEX(LS_previous!$D$4:$AY$138, MATCH('Staging Table'!$A124, LS_previous!$B$4:$B$138, 0), MATCH(AA$4&amp;AA$5, LS_previous!$D$2:$AY$2&amp;LS_previous!$D$3:$AY$3, 0)),SUM(VLOOKUP($A124, LS_previous!$B$4:$AY$138, LS_previous!S$149, FALSE), VLOOKUP('Staging Table'!$A124, LS_previous!$B$4:$AY$138,LS_previous!AQ$149, FALSE))/2)</f>
        <v>1294.8411577178877</v>
      </c>
      <c r="AB124" s="180">
        <f t="array" ref="AB124">IF($G124=0, INDEX(LS_previous!$D$4:$AY$138, MATCH('Staging Table'!$A124, LS_previous!$B$4:$B$138, 0), MATCH(AB$4&amp;AB$5, LS_previous!$D$2:$AY$2&amp;LS_previous!$D$3:$AY$3, 0)),SUM(VLOOKUP($A124, LS_previous!$B$4:$AY$138, LS_previous!T$149, FALSE), VLOOKUP('Staging Table'!$A124, LS_previous!$B$4:$AY$138,LS_previous!AR$149, FALSE))/2)</f>
        <v>-3181.5453975849487</v>
      </c>
      <c r="AC124" s="180">
        <f t="array" ref="AC124">IF($G124=0, INDEX(LS_previous!$D$4:$AY$138, MATCH('Staging Table'!$A124, LS_previous!$B$4:$B$138, 0), MATCH(AC$4&amp;AC$5, LS_previous!$D$2:$AY$2&amp;LS_previous!$D$3:$AY$3, 0)),SUM(VLOOKUP($A124, LS_previous!$B$4:$AY$138, LS_previous!U$149, FALSE), VLOOKUP('Staging Table'!$A124, LS_previous!$B$4:$AY$138,LS_previous!AS$149, FALSE))/2)</f>
        <v>1291.6775379153078</v>
      </c>
      <c r="AD124" s="180">
        <f t="array" ref="AD124">IF($G124=0, INDEX(LS_previous!$D$4:$AY$138, MATCH('Staging Table'!$A124, LS_previous!$B$4:$B$138, 0), MATCH(AD$4&amp;AD$5, LS_previous!$D$2:$AY$2&amp;LS_previous!$D$3:$AY$3, 0)),SUM(VLOOKUP($A124, LS_previous!$B$4:$AY$138, LS_previous!V$149, FALSE), VLOOKUP('Staging Table'!$A124, LS_previous!$B$4:$AY$138,LS_previous!AT$149, FALSE))/2)</f>
        <v>-1584.2292168965741</v>
      </c>
      <c r="AE124" s="180">
        <f t="array" ref="AE124">IF($G124=0, INDEX(LS_previous!$D$4:$AY$138, MATCH('Staging Table'!$A124, LS_previous!$B$4:$B$138, 0), MATCH(AE$4&amp;AE$5, LS_previous!$D$2:$AY$2&amp;LS_previous!$D$3:$AY$3, 0)),SUM(VLOOKUP($A124, LS_previous!$B$4:$AY$138, LS_previous!W$149, FALSE), VLOOKUP('Staging Table'!$A124, LS_previous!$B$4:$AY$138,LS_previous!AU$149, FALSE))/2)</f>
        <v>781.7547720565226</v>
      </c>
      <c r="AF124" s="180">
        <f t="array" ref="AF124">IF($G124=0, INDEX(LS_previous!$D$4:$AY$138, MATCH('Staging Table'!$A124, LS_previous!$B$4:$B$138, 0), MATCH(AF$4&amp;AF$5, LS_previous!$D$2:$AY$2&amp;LS_previous!$D$3:$AY$3, 0)),SUM(VLOOKUP($A124, LS_previous!$B$4:$AY$138, LS_previous!X$149, FALSE), VLOOKUP('Staging Table'!$A124, LS_previous!$B$4:$AY$138,LS_previous!AV$149, FALSE))/2)</f>
        <v>-1142.9964206537552</v>
      </c>
      <c r="AG124" s="180">
        <f t="array" ref="AG124">IF($G124=0, INDEX(LS_previous!$D$4:$AY$138, MATCH('Staging Table'!$A124, LS_previous!$B$4:$B$138, 0), MATCH(AG$4&amp;AG$5, LS_previous!$D$2:$AY$2&amp;LS_previous!$D$3:$AY$3, 0)),SUM(VLOOKUP($A124, LS_previous!$B$4:$AY$138, LS_previous!Y$149, FALSE), VLOOKUP('Staging Table'!$A124, LS_previous!$B$4:$AY$138,LS_previous!AW$149, FALSE))/2)</f>
        <v>1013.9428910108409</v>
      </c>
      <c r="AH124" s="180">
        <f t="array" ref="AH124">IF($G124=0, INDEX(LS_previous!$D$4:$AY$138, MATCH('Staging Table'!$A124, LS_previous!$B$4:$B$138, 0), MATCH(AH$4&amp;AH$5, LS_previous!$D$2:$AY$2&amp;LS_previous!$D$3:$AY$3, 0)),SUM(VLOOKUP($A124, LS_previous!$B$4:$AY$138, LS_previous!Z$149, FALSE), VLOOKUP('Staging Table'!$A124, LS_previous!$B$4:$AY$138,LS_previous!AX$149, FALSE))/2)</f>
        <v>-837.76006501444954</v>
      </c>
      <c r="AI124" s="180">
        <f t="array" ref="AI124">IF($G124=0, INDEX(LS_previous!$D$4:$AY$138, MATCH('Staging Table'!$A124, LS_previous!$B$4:$B$138, 0), MATCH(AI$4&amp;AI$5, LS_previous!$D$2:$AY$2&amp;LS_previous!$D$3:$AY$3, 0)),SUM(VLOOKUP($A124, LS_previous!$B$4:$AY$138, LS_previous!AA$149, FALSE), VLOOKUP('Staging Table'!$A124, LS_previous!$B$4:$AY$138,LS_previous!AY$149, FALSE))/2)</f>
        <v>1083.1392344943688</v>
      </c>
      <c r="AJ124" s="298">
        <f t="array" ref="AJ124">INDEX(Demand_previous!$D$4:$AY$138, MATCH('Staging Table'!$A124, Demand_previous!$B$4:$B$138, 0), MATCH(AJ$4&amp;AJ$5,Demand_previous!$D$2:$AY$2&amp;Demand_previous!$D$3:$AY$3, 0))/1000</f>
        <v>5.6970600961538427</v>
      </c>
      <c r="AK124" s="298">
        <f t="array" ref="AK124">INDEX(Demand_previous!$D$4:$AY$138, MATCH('Staging Table'!$A124, Demand_previous!$B$4:$B$138, 0), MATCH(AK$4&amp;AK$5,Demand_previous!$D$2:$AY$2&amp;Demand_previous!$D$3:$AY$3, 0))/1000</f>
        <v>4.8013150000000087</v>
      </c>
      <c r="AL124" s="298">
        <f t="array" ref="AL124">INDEX(Demand_previous!$D$4:$AY$138, MATCH('Staging Table'!$A124, Demand_previous!$B$4:$B$138, 0), MATCH(AL$4&amp;AL$5,Demand_previous!$D$2:$AY$2&amp;Demand_previous!$D$3:$AY$3, 0))/1000</f>
        <v>7.232593750000003</v>
      </c>
      <c r="AM124" s="298">
        <f t="array" ref="AM124">INDEX(Demand_previous!$D$4:$AY$138, MATCH('Staging Table'!$A124, Demand_previous!$B$4:$B$138, 0), MATCH(AM$4&amp;AM$5,Demand_previous!$D$2:$AY$2&amp;Demand_previous!$D$3:$AY$3, 0))/1000</f>
        <v>5.8732725000000023</v>
      </c>
      <c r="AN124" s="298">
        <f t="array" ref="AN124">INDEX(Demand_previous!$D$4:$AY$138, MATCH('Staging Table'!$A124, Demand_previous!$B$4:$B$138, 0), MATCH(AN$4&amp;AN$5,Demand_previous!$D$2:$AY$2&amp;Demand_previous!$D$3:$AY$3, 0))/1000</f>
        <v>5.3467604166666653</v>
      </c>
      <c r="AO124" s="298">
        <f t="array" ref="AO124">INDEX(Demand_previous!$D$4:$AY$138, MATCH('Staging Table'!$A124, Demand_previous!$B$4:$B$138, 0), MATCH(AO$4&amp;AO$5,Demand_previous!$D$2:$AY$2&amp;Demand_previous!$D$3:$AY$3, 0))/1000</f>
        <v>7.4455532407407379</v>
      </c>
      <c r="AP124" s="298">
        <f t="array" ref="AP124">INDEX(Demand_previous!$D$4:$AY$138, MATCH('Staging Table'!$A124, Demand_previous!$B$4:$B$138, 0), MATCH(AP$4&amp;AP$5,Demand_previous!$D$2:$AY$2&amp;Demand_previous!$D$3:$AY$3, 0))/1000</f>
        <v>5.6704687500000013</v>
      </c>
      <c r="AQ124" s="298">
        <f t="array" ref="AQ124">INDEX(Demand_previous!$D$4:$AY$138, MATCH('Staging Table'!$A124, Demand_previous!$B$4:$B$138, 0), MATCH(AQ$4&amp;AQ$5,Demand_previous!$D$2:$AY$2&amp;Demand_previous!$D$3:$AY$3, 0))/1000</f>
        <v>4.5718625000000017</v>
      </c>
      <c r="AR124" s="298">
        <f t="array" ref="AR124">INDEX(Demand_previous!$D$4:$AY$138, MATCH('Staging Table'!$A124, Demand_previous!$B$4:$B$138, 0), MATCH(AR$4&amp;AR$5,Demand_previous!$D$2:$AY$2&amp;Demand_previous!$D$3:$AY$3, 0))/1000</f>
        <v>7.6423605769230729</v>
      </c>
      <c r="AS124" s="298">
        <f t="array" ref="AS124">INDEX(Demand_previous!$D$4:$AY$138, MATCH('Staging Table'!$A124, Demand_previous!$B$4:$B$138, 0), MATCH(AS$4&amp;AS$5,Demand_previous!$D$2:$AY$2&amp;Demand_previous!$D$3:$AY$3, 0))/1000</f>
        <v>5.1747225000000014</v>
      </c>
      <c r="AT124" s="298">
        <f t="array" ref="AT124">INDEX(Demand_previous!$D$4:$AY$138, MATCH('Staging Table'!$A124, Demand_previous!$B$4:$B$138, 0), MATCH(AT$4&amp;AT$5,Demand_previous!$D$2:$AY$2&amp;Demand_previous!$D$3:$AY$3, 0))/1000</f>
        <v>6.7792037037037032</v>
      </c>
      <c r="AU124" s="298">
        <f t="array" ref="AU124">INDEX(Demand_previous!$D$4:$AY$138, MATCH('Staging Table'!$A124, Demand_previous!$B$4:$B$138, 0), MATCH(AU$4&amp;AU$5,Demand_previous!$D$2:$AY$2&amp;Demand_previous!$D$3:$AY$3, 0))/1000</f>
        <v>6.3701774999999987</v>
      </c>
      <c r="AV124" s="180">
        <f>$F124*(VLOOKUP(AV$4, Rates_previous!$G$6:$Q$29, 10, FALSE)+VLOOKUP(AV$4, Rates_previous!$G$6:$Q$29, 11, FALSE))</f>
        <v>13169.038639962442</v>
      </c>
      <c r="AW124" s="180">
        <f>$F124*(VLOOKUP(AW$4, Rates_previous!$G$6:$Q$29, 10, FALSE)+VLOOKUP(AW$4, Rates_previous!$G$6:$Q$29, 11, FALSE))</f>
        <v>16672.480855494043</v>
      </c>
      <c r="AX124" s="180">
        <f>$F124*(VLOOKUP(AX$4, Rates_previous!$G$6:$Q$29, 10, FALSE)+VLOOKUP(AX$4, Rates_previous!$G$6:$Q$29, 11, FALSE))</f>
        <v>16319.027875688265</v>
      </c>
      <c r="AY124" s="180">
        <f>$F124*(VLOOKUP(AY$4, Rates_previous!$G$6:$Q$29, 10, FALSE)+VLOOKUP(AY$4, Rates_previous!$G$6:$Q$29, 11, FALSE))</f>
        <v>13478.823061238141</v>
      </c>
      <c r="AZ124" s="180">
        <f>$F124*(VLOOKUP(AZ$4, Rates_previous!$G$6:$Q$29, 10, FALSE)+VLOOKUP(AZ$4, Rates_previous!$G$6:$Q$29, 11, FALSE))</f>
        <v>11682.391363729539</v>
      </c>
      <c r="BA124" s="180">
        <f>$F124*(VLOOKUP(BA$4, Rates_previous!$G$6:$Q$29, 10, FALSE)+VLOOKUP(BA$4, Rates_previous!$G$6:$Q$29, 11, FALSE))</f>
        <v>13946.416154978762</v>
      </c>
      <c r="BB124" s="180">
        <f>$F124*(VLOOKUP(BB$4, Rates_previous!$G$6:$Q$29, 10, FALSE)+VLOOKUP(BB$4, Rates_previous!$G$6:$Q$29, 11, FALSE))</f>
        <v>10827.535473307935</v>
      </c>
      <c r="BC124" s="180">
        <f>$F124*(VLOOKUP(BC$4, Rates_previous!$G$6:$Q$29, 10, FALSE)+VLOOKUP(BC$4, Rates_previous!$G$6:$Q$29, 11, FALSE))</f>
        <v>15001.6300779298</v>
      </c>
      <c r="BD124" s="180">
        <f>$F124*(VLOOKUP(BD$4, Rates_previous!$G$6:$Q$29, 10, FALSE)+VLOOKUP(BD$4, Rates_previous!$G$6:$Q$29, 11, FALSE))</f>
        <v>16029.555859669639</v>
      </c>
      <c r="BE124" s="180">
        <f>$F124*(VLOOKUP(BE$4, Rates_previous!$G$6:$Q$29, 10, FALSE)+VLOOKUP(BE$4, Rates_previous!$G$6:$Q$29, 11, FALSE))</f>
        <v>15219.337444840052</v>
      </c>
      <c r="BF124" s="180">
        <f>$F124*(VLOOKUP(BF$4, Rates_previous!$G$6:$Q$29, 10, FALSE)+VLOOKUP(BF$4, Rates_previous!$G$6:$Q$29, 11, FALSE))</f>
        <v>14708.315529642914</v>
      </c>
      <c r="BG124" s="180">
        <f>$F124*(VLOOKUP(BG$4, Rates_previous!$G$6:$Q$29, 10, FALSE)+VLOOKUP(BG$4, Rates_previous!$G$6:$Q$29, 11, FALSE))</f>
        <v>13592.016830520082</v>
      </c>
      <c r="BH124" s="298">
        <f>IF($D124=0,IF(C124=0, MAX(BJ124 - (VLOOKUP($A124,TOCA_previous!$A$2:$AI$137,MATCH("RHWM 2022",TOCA_previous!$A$2:$AI$2,0),FALSE)*$F$2*TOCA_previous!C121),0),0), 0)</f>
        <v>16884.589729310363</v>
      </c>
      <c r="BI124" s="192">
        <f>MIN(VLOOKUP($A124,TOCA_previous!$A$2:$AI$137,MATCH("TRL - NLSL - Existing Resource "&amp;$F$1,TOCA_previous!$A$2:$AI$2,0),FALSE)*$F$2,(VLOOKUP($A124,TOCA_previous!$A$2:$AI$137,MATCH("RHWM 2022",TOCA_previous!$A$2:$AI$2,0),FALSE)*$F$2))</f>
        <v>170644.80000000002</v>
      </c>
      <c r="BJ124" s="402">
        <f>SUM(L124:AI124)+(F124*RT1SC!$C$3*$F$2)</f>
        <v>187529.38972931038</v>
      </c>
      <c r="BK124" s="401">
        <f>VLOOKUP($A124,TOCA_previous!$A$2:$AI$137,MATCH("Above RHWM Not Served with LS "&amp;$F$1,TOCA_previous!$A$2:$AI$2,0),FALSE)*$F$2</f>
        <v>47058.720000000001</v>
      </c>
      <c r="BL124" s="402">
        <f t="shared" si="27"/>
        <v>16884.589729310363</v>
      </c>
      <c r="BM124" s="401">
        <f>(VLOOKUP($A124,TOCA_previous!$A$2:$AI$137,MATCH("RHWM 2022",TOCA_previous!$A$2:$AI$2,0),FALSE)*$F$2) - $BI124</f>
        <v>0</v>
      </c>
      <c r="BN124" s="402">
        <f t="shared" si="28"/>
        <v>0</v>
      </c>
      <c r="BO124" s="401">
        <f t="shared" si="29"/>
        <v>0</v>
      </c>
      <c r="BP124" s="402">
        <f t="shared" si="30"/>
        <v>0</v>
      </c>
      <c r="BQ124" s="401">
        <f t="shared" si="37"/>
        <v>0</v>
      </c>
      <c r="BR124" s="108">
        <f>VLOOKUP($A124,TOCA_current!$A$2:$AI$137,MATCH(BR$4,TOCA_current!$A$2:$AI$2,0),FALSE)</f>
        <v>2.8911000000000002E-3</v>
      </c>
      <c r="BS124" s="108">
        <f>VLOOKUP($A124,TOCA_current!$A$2:$AI$137,MATCH(BS$4,TOCA_current!$A$2:$AI$2,0),FALSE)</f>
        <v>2.8911000000000002E-3</v>
      </c>
      <c r="BT124" s="189">
        <f t="shared" si="31"/>
        <v>0</v>
      </c>
      <c r="BU124" s="108">
        <f>VLOOKUP($A124,TOCA_current!A120:BG255,MATCH(BU$4,TOCA_current!$A$2:$BG$2,0),FALSE)</f>
        <v>0</v>
      </c>
      <c r="BV124" s="108">
        <f t="shared" si="38"/>
        <v>0</v>
      </c>
      <c r="BW124" s="108">
        <f t="shared" si="39"/>
        <v>0</v>
      </c>
      <c r="BX124" s="179">
        <f>VLOOKUP($A124,IRD!$A$4:$G$139, 7, FALSE)</f>
        <v>0</v>
      </c>
      <c r="BY124" s="180">
        <f t="array" ref="BY124">IF($BT124=0, INDEX(LS_current!$D$4:$AY$138, MATCH('Staging Table'!$A124, LS_current!$B$4:$B$138, 0), MATCH(BY$4&amp;BY$5, LS_current!$D$2:$AY$2&amp;LS_current!$D$3:$AY$3, 0)),SUM(VLOOKUP($A124, LS_current!$B$4:$AY$138, LS_current!D$148, FALSE), VLOOKUP($A124, LS_current!$B$4:$AY$138,LS_current!AB$148, FALSE))/2)</f>
        <v>1415.2600475203999</v>
      </c>
      <c r="BZ124" s="180">
        <f t="array" ref="BZ124">IF($BT124=0, INDEX(LS_current!$D$4:$AY$138, MATCH('Staging Table'!$A124, LS_current!$B$4:$B$138, 0), MATCH(BZ$4&amp;BZ$5, LS_current!$D$2:$AY$2&amp;LS_current!$D$3:$AY$3, 0)),SUM(VLOOKUP($A124, LS_current!$B$4:$AY$138, LS_current!E$148, FALSE), VLOOKUP($A124, LS_current!$B$4:$AY$138,LS_current!AC$148, FALSE))/2)</f>
        <v>1440.5963976069506</v>
      </c>
      <c r="CA124" s="180">
        <f t="array" ref="CA124">IF($BT124=0, INDEX(LS_current!$D$4:$AY$138, MATCH('Staging Table'!$A124, LS_current!$B$4:$B$138, 0), MATCH(CA$4&amp;CA$5, LS_current!$D$2:$AY$2&amp;LS_current!$D$3:$AY$3, 0)),SUM(VLOOKUP($A124, LS_current!$B$4:$AY$138, LS_current!F$148, FALSE), VLOOKUP($A124, LS_current!$B$4:$AY$138,LS_current!AD$148, FALSE))/2)</f>
        <v>-451.68531398080268</v>
      </c>
      <c r="CB124" s="180">
        <f t="array" ref="CB124">IF($BT124=0, INDEX(LS_current!$D$4:$AY$138, MATCH('Staging Table'!$A124, LS_current!$B$4:$B$138, 0), MATCH(CB$4&amp;CB$5, LS_current!$D$2:$AY$2&amp;LS_current!$D$3:$AY$3, 0)),SUM(VLOOKUP($A124, LS_current!$B$4:$AY$138, LS_current!G$148, FALSE), VLOOKUP($A124, LS_current!$B$4:$AY$138,LS_current!AE$148, FALSE))/2)</f>
        <v>127.826289915899</v>
      </c>
      <c r="CC124" s="180">
        <f t="array" ref="CC124">IF($BT124=0, INDEX(LS_current!$D$4:$AY$138, MATCH('Staging Table'!$A124, LS_current!$B$4:$B$138, 0), MATCH(CC$4&amp;CC$5, LS_current!$D$2:$AY$2&amp;LS_current!$D$3:$AY$3, 0)),SUM(VLOOKUP($A124, LS_current!$B$4:$AY$138, LS_current!H$148, FALSE), VLOOKUP($A124, LS_current!$B$4:$AY$138,LS_current!AF$148, FALSE))/2)</f>
        <v>-445.69932002290079</v>
      </c>
      <c r="CD124" s="180">
        <f t="array" ref="CD124">IF($BT124=0, INDEX(LS_current!$D$4:$AY$138, MATCH('Staging Table'!$A124, LS_current!$B$4:$B$138, 0), MATCH(CD$4&amp;CD$5, LS_current!$D$2:$AY$2&amp;LS_current!$D$3:$AY$3, 0)),SUM(VLOOKUP($A124, LS_current!$B$4:$AY$138, LS_current!I$148, FALSE), VLOOKUP($A124, LS_current!$B$4:$AY$138,LS_current!AG$148, FALSE))/2)</f>
        <v>873.79862549439986</v>
      </c>
      <c r="CE124" s="180">
        <f t="array" ref="CE124">IF($BT124=0, INDEX(LS_current!$D$4:$AY$138, MATCH('Staging Table'!$A124, LS_current!$B$4:$B$138, 0), MATCH(CE$4&amp;CE$5, LS_current!$D$2:$AY$2&amp;LS_current!$D$3:$AY$3, 0)),SUM(VLOOKUP($A124, LS_current!$B$4:$AY$138, LS_current!J$148, FALSE), VLOOKUP($A124, LS_current!$B$4:$AY$138,LS_current!AH$148, FALSE))/2)</f>
        <v>-522.92731723649922</v>
      </c>
      <c r="CF124" s="180">
        <f t="array" ref="CF124">IF($BT124=0, INDEX(LS_current!$D$4:$AY$138, MATCH('Staging Table'!$A124, LS_current!$B$4:$B$138, 0), MATCH(CF$4&amp;CF$5, LS_current!$D$2:$AY$2&amp;LS_current!$D$3:$AY$3, 0)),SUM(VLOOKUP($A124, LS_current!$B$4:$AY$138, LS_current!K$148, FALSE), VLOOKUP($A124, LS_current!$B$4:$AY$138,LS_current!AI$148, FALSE))/2)</f>
        <v>992.54714435810092</v>
      </c>
      <c r="CG124" s="180">
        <f t="array" ref="CG124">IF($BT124=0, INDEX(LS_current!$D$4:$AY$138, MATCH('Staging Table'!$A124, LS_current!$B$4:$B$138, 0), MATCH(CG$4&amp;CG$5, LS_current!$D$2:$AY$2&amp;LS_current!$D$3:$AY$3, 0)),SUM(VLOOKUP($A124, LS_current!$B$4:$AY$138, LS_current!L$148, FALSE), VLOOKUP($A124, LS_current!$B$4:$AY$138,LS_current!AJ$148, FALSE))/2)</f>
        <v>-474.23808577690033</v>
      </c>
      <c r="CH124" s="180">
        <f t="array" ref="CH124">IF($BT124=0, INDEX(LS_current!$D$4:$AY$138, MATCH('Staging Table'!$A124, LS_current!$B$4:$B$138, 0), MATCH(CH$4&amp;CH$5, LS_current!$D$2:$AY$2&amp;LS_current!$D$3:$AY$3, 0)),SUM(VLOOKUP($A124, LS_current!$B$4:$AY$138, LS_current!M$148, FALSE), VLOOKUP($A124, LS_current!$B$4:$AY$138,LS_current!AK$148, FALSE))/2)</f>
        <v>727.01944633509902</v>
      </c>
      <c r="CI124" s="180">
        <f t="array" ref="CI124">IF($BT124=0, INDEX(LS_current!$D$4:$AY$138, MATCH('Staging Table'!$A124, LS_current!$B$4:$B$138, 0), MATCH(CI$4&amp;CI$5, LS_current!$D$2:$AY$2&amp;LS_current!$D$3:$AY$3, 0)),SUM(VLOOKUP($A124, LS_current!$B$4:$AY$138, LS_current!N$148, FALSE), VLOOKUP($A124, LS_current!$B$4:$AY$138,LS_current!AL$148, FALSE))/2)</f>
        <v>-821.18014759429934</v>
      </c>
      <c r="CJ124" s="180">
        <f t="array" ref="CJ124">IF($BT124=0, INDEX(LS_current!$D$4:$AY$138, MATCH('Staging Table'!$A124, LS_current!$B$4:$B$138, 0), MATCH(CJ$4&amp;CJ$5, LS_current!$D$2:$AY$2&amp;LS_current!$D$3:$AY$3, 0)),SUM(VLOOKUP($A124, LS_current!$B$4:$AY$138, LS_current!O$148, FALSE), VLOOKUP($A124, LS_current!$B$4:$AY$138,LS_current!AM$148, FALSE))/2)</f>
        <v>64.421997624199321</v>
      </c>
      <c r="CK124" s="180">
        <f t="array" ref="CK124">IF($BT124=0, INDEX(LS_current!$D$4:$AY$138, MATCH('Staging Table'!$A124, LS_current!$B$4:$B$138, 0), MATCH(CK$4&amp;CK$5, LS_current!$D$2:$AY$2&amp;LS_current!$D$3:$AY$3, 0)),SUM(VLOOKUP($A124, LS_current!$B$4:$AY$138, LS_current!P$148, FALSE), VLOOKUP($A124, LS_current!$B$4:$AY$138,LS_current!AN$148, FALSE))/2)</f>
        <v>964.47587446975103</v>
      </c>
      <c r="CL124" s="180">
        <f t="array" ref="CL124">IF($BT124=0, INDEX(LS_current!$D$4:$AY$138, MATCH('Staging Table'!$A124, LS_current!$B$4:$B$138, 0), MATCH(CL$4&amp;CL$5, LS_current!$D$2:$AY$2&amp;LS_current!$D$3:$AY$3, 0)),SUM(VLOOKUP($A124, LS_current!$B$4:$AY$138, LS_current!Q$148, FALSE), VLOOKUP($A124, LS_current!$B$4:$AY$138,LS_current!AO$148, FALSE))/2)</f>
        <v>971.19486073457574</v>
      </c>
      <c r="CM124" s="180">
        <f t="array" ref="CM124">IF($BT124=0, INDEX(LS_current!$D$4:$AY$138, MATCH('Staging Table'!$A124, LS_current!$B$4:$B$138, 0), MATCH(CM$4&amp;CM$5, LS_current!$D$2:$AY$2&amp;LS_current!$D$3:$AY$3, 0)),SUM(VLOOKUP($A124, LS_current!$B$4:$AY$138, LS_current!R$148, FALSE), VLOOKUP($A124, LS_current!$B$4:$AY$138,LS_current!AP$148, FALSE))/2)</f>
        <v>-1803.9646892528017</v>
      </c>
      <c r="CN124" s="180">
        <f t="array" ref="CN124">IF($BT124=0, INDEX(LS_current!$D$4:$AY$138, MATCH('Staging Table'!$A124, LS_current!$B$4:$B$138, 0), MATCH(CN$4&amp;CN$5, LS_current!$D$2:$AY$2&amp;LS_current!$D$3:$AY$3, 0)),SUM(VLOOKUP($A124, LS_current!$B$4:$AY$138, LS_current!S$148, FALSE), VLOOKUP($A124, LS_current!$B$4:$AY$138,LS_current!AQ$148, FALSE))/2)</f>
        <v>-320.05864413934978</v>
      </c>
      <c r="CO124" s="180">
        <f t="array" ref="CO124">IF($BT124=0, INDEX(LS_current!$D$4:$AY$138, MATCH('Staging Table'!$A124, LS_current!$B$4:$B$138, 0), MATCH(CO$4&amp;CO$5, LS_current!$D$2:$AY$2&amp;LS_current!$D$3:$AY$3, 0)),SUM(VLOOKUP($A124, LS_current!$B$4:$AY$138, LS_current!T$148, FALSE), VLOOKUP($A124, LS_current!$B$4:$AY$138,LS_current!AR$148, FALSE))/2)</f>
        <v>-2322.0409148586004</v>
      </c>
      <c r="CP124" s="180">
        <f t="array" ref="CP124">IF($BT124=0, INDEX(LS_current!$D$4:$AY$138, MATCH('Staging Table'!$A124, LS_current!$B$4:$B$138, 0), MATCH(CP$4&amp;CP$5, LS_current!$D$2:$AY$2&amp;LS_current!$D$3:$AY$3, 0)),SUM(VLOOKUP($A124, LS_current!$B$4:$AY$138, LS_current!U$148, FALSE), VLOOKUP($A124, LS_current!$B$4:$AY$138,LS_current!AS$148, FALSE))/2)</f>
        <v>-586.09511006495086</v>
      </c>
      <c r="CQ124" s="180">
        <f t="array" ref="CQ124">IF($BT124=0, INDEX(LS_current!$D$4:$AY$138, MATCH('Staging Table'!$A124, LS_current!$B$4:$B$138, 0), MATCH(CQ$4&amp;CQ$5, LS_current!$D$2:$AY$2&amp;LS_current!$D$3:$AY$3, 0)),SUM(VLOOKUP($A124, LS_current!$B$4:$AY$138, LS_current!V$148, FALSE), VLOOKUP($A124, LS_current!$B$4:$AY$138,LS_current!AT$148, FALSE))/2)</f>
        <v>-780.34453290040074</v>
      </c>
      <c r="CR124" s="180">
        <f t="array" ref="CR124">IF($BT124=0, INDEX(LS_current!$D$4:$AY$138, MATCH('Staging Table'!$A124, LS_current!$B$4:$B$138, 0), MATCH(CR$4&amp;CR$5, LS_current!$D$2:$AY$2&amp;LS_current!$D$3:$AY$3, 0)),SUM(VLOOKUP($A124, LS_current!$B$4:$AY$138, LS_current!W$148, FALSE), VLOOKUP($A124, LS_current!$B$4:$AY$138,LS_current!AU$148, FALSE))/2)</f>
        <v>288.65141163474982</v>
      </c>
      <c r="CS124" s="180">
        <f t="array" ref="CS124">IF($BT124=0, INDEX(LS_current!$D$4:$AY$138, MATCH('Staging Table'!$A124, LS_current!$B$4:$B$138, 0), MATCH(CS$4&amp;CS$5, LS_current!$D$2:$AY$2&amp;LS_current!$D$3:$AY$3, 0)),SUM(VLOOKUP($A124, LS_current!$B$4:$AY$138, LS_current!X$148, FALSE), VLOOKUP($A124, LS_current!$B$4:$AY$138,LS_current!AV$148, FALSE))/2)</f>
        <v>-358.4267148236504</v>
      </c>
      <c r="CT124" s="180">
        <f t="array" ref="CT124">IF($BT124=0, INDEX(LS_current!$D$4:$AY$138, MATCH('Staging Table'!$A124, LS_current!$B$4:$B$138, 0), MATCH(CT$4&amp;CT$5, LS_current!$D$2:$AY$2&amp;LS_current!$D$3:$AY$3, 0)),SUM(VLOOKUP($A124, LS_current!$B$4:$AY$138, LS_current!Y$148, FALSE), VLOOKUP($A124, LS_current!$B$4:$AY$138,LS_current!AW$148, FALSE))/2)</f>
        <v>502.48123734566525</v>
      </c>
      <c r="CU124" s="180">
        <f t="array" ref="CU124">IF($BT124=0, INDEX(LS_current!$D$4:$AY$138, MATCH('Staging Table'!$A124, LS_current!$B$4:$B$138, 0), MATCH(CU$4&amp;CU$5, LS_current!$D$2:$AY$2&amp;LS_current!$D$3:$AY$3, 0)),SUM(VLOOKUP($A124, LS_current!$B$4:$AY$138, LS_current!Z$148, FALSE), VLOOKUP($A124, LS_current!$B$4:$AY$138,LS_current!AX$148, FALSE))/2)</f>
        <v>12.040956038598779</v>
      </c>
      <c r="CV124" s="180">
        <f t="array" ref="CV124">IF($BT124=0, INDEX(LS_current!$D$4:$AY$138, MATCH('Staging Table'!$A124, LS_current!$B$4:$B$138, 0), MATCH(CV$4&amp;CV$5, LS_current!$D$2:$AY$2&amp;LS_current!$D$3:$AY$3, 0)),SUM(VLOOKUP($A124, LS_current!$B$4:$AY$138, LS_current!AA$148, FALSE), VLOOKUP($A124, LS_current!$B$4:$AY$138,LS_current!AY$148, FALSE))/2)</f>
        <v>509.87058342559976</v>
      </c>
      <c r="CW124" s="182">
        <f t="array" ref="CW124">INDEX(Demand_current!$D$4:$AY$138, MATCH($A124, Demand_current!$B$4:$B$138, 0), MATCH(CW$4&amp;CW$5,Demand_current!$D$2:$AY$2&amp;Demand_current!$D$3:$AY$3, 0))/1000</f>
        <v>5.6970600961538427</v>
      </c>
      <c r="CX124" s="182">
        <f t="array" ref="CX124">INDEX(Demand_current!$D$4:$AY$138, MATCH($A124, Demand_current!$B$4:$B$138, 0), MATCH(CX$4&amp;CX$5,Demand_current!$D$2:$AY$2&amp;Demand_current!$D$3:$AY$3, 0))/1000</f>
        <v>4.8013150000000051</v>
      </c>
      <c r="CY124" s="182">
        <f t="array" ref="CY124">INDEX(Demand_current!$D$4:$AY$138, MATCH($A124, Demand_current!$B$4:$B$138, 0), MATCH(CY$4&amp;CY$5,Demand_current!$D$2:$AY$2&amp;Demand_current!$D$3:$AY$3, 0))/1000</f>
        <v>6.0550575000000002</v>
      </c>
      <c r="CZ124" s="182">
        <f t="array" ref="CZ124">INDEX(Demand_current!$D$4:$AY$138, MATCH($A124, Demand_current!$B$4:$B$138, 0), MATCH(CZ$4&amp;CZ$5,Demand_current!$D$2:$AY$2&amp;Demand_current!$D$3:$AY$3, 0))/1000</f>
        <v>7.1128774038461522</v>
      </c>
      <c r="DA124" s="182">
        <f t="array" ref="DA124">INDEX(Demand_current!$D$4:$AY$138, MATCH($A124, Demand_current!$B$4:$B$138, 0), MATCH(DA$4&amp;DA$5,Demand_current!$D$2:$AY$2&amp;Demand_current!$D$3:$AY$3, 0))/1000</f>
        <v>6.5530499999999989</v>
      </c>
      <c r="DB124" s="182">
        <f t="array" ref="DB124">INDEX(Demand_current!$D$4:$AY$138, MATCH($A124, Demand_current!$B$4:$B$138, 0), MATCH(DB$4&amp;DB$5,Demand_current!$D$2:$AY$2&amp;Demand_current!$D$3:$AY$3, 0))/1000</f>
        <v>6.3978822115384606</v>
      </c>
      <c r="DC124" s="182">
        <f t="array" ref="DC124">INDEX(Demand_current!$D$4:$AY$138, MATCH($A124, Demand_current!$B$4:$B$138, 0), MATCH(DC$4&amp;DC$5,Demand_current!$D$2:$AY$2&amp;Demand_current!$D$3:$AY$3, 0))/1000</f>
        <v>5.6704687500000013</v>
      </c>
      <c r="DD124" s="182">
        <f t="array" ref="DD124">INDEX(Demand_current!$D$4:$AY$138, MATCH($A124, Demand_current!$B$4:$B$138, 0), MATCH(DD$4&amp;DD$5,Demand_current!$D$2:$AY$2&amp;Demand_current!$D$3:$AY$3, 0))/1000</f>
        <v>5.5871370192307701</v>
      </c>
      <c r="DE124" s="182">
        <f t="array" ref="DE124">INDEX(Demand_current!$D$4:$AY$138, MATCH($A124, Demand_current!$B$4:$B$138, 0), MATCH(DE$4&amp;DE$5,Demand_current!$D$2:$AY$2&amp;Demand_current!$D$3:$AY$3, 0))/1000</f>
        <v>6.6342549999999942</v>
      </c>
      <c r="DF124" s="182">
        <f t="array" ref="DF124">INDEX(Demand_current!$D$4:$AY$138, MATCH($A124, Demand_current!$B$4:$B$138, 0), MATCH(DF$4&amp;DF$5,Demand_current!$D$2:$AY$2&amp;Demand_current!$D$3:$AY$3, 0))/1000</f>
        <v>6.2036947115384606</v>
      </c>
      <c r="DG124" s="182">
        <f t="array" ref="DG124">INDEX(Demand_current!$D$4:$AY$138, MATCH($A124, Demand_current!$B$4:$B$138, 0), MATCH(DG$4&amp;DG$5,Demand_current!$D$2:$AY$2&amp;Demand_current!$D$3:$AY$3, 0))/1000</f>
        <v>6.7792037037037032</v>
      </c>
      <c r="DH124" s="182">
        <f t="array" ref="DH124">INDEX(Demand_current!$D$4:$AY$138, MATCH($A124, Demand_current!$B$4:$B$138, 0), MATCH(DH$4&amp;DH$5,Demand_current!$D$2:$AY$2&amp;Demand_current!$D$3:$AY$3, 0))/1000</f>
        <v>5.3300182291666669</v>
      </c>
      <c r="DI124" s="180">
        <f>$BS124*(VLOOKUP(DI$4, Rates_current!$G$6:$Q$29, 10, FALSE)+VLOOKUP(DI$4, Rates_current!$G$6:$Q$29, 11, FALSE))</f>
        <v>12196.983554872651</v>
      </c>
      <c r="DJ124" s="180">
        <f>$BS124*(VLOOKUP(DJ$4, Rates_current!$G$6:$Q$29, 10, FALSE)+VLOOKUP(DJ$4, Rates_current!$G$6:$Q$29, 11, FALSE))</f>
        <v>15555.176024064904</v>
      </c>
      <c r="DK124" s="180">
        <f>$BS124*(VLOOKUP(DK$4, Rates_current!$G$6:$Q$29, 10, FALSE)+VLOOKUP(DK$4, Rates_current!$G$6:$Q$29, 11, FALSE))</f>
        <v>16787.112694528503</v>
      </c>
      <c r="DL124" s="180">
        <f>$BS124*(VLOOKUP(DL$4, Rates_current!$G$6:$Q$29, 10, FALSE)+VLOOKUP(DL$4, Rates_current!$G$6:$Q$29, 11, FALSE))</f>
        <v>17444.4051728784</v>
      </c>
      <c r="DM124" s="180">
        <f>$BS124*(VLOOKUP(DM$4, Rates_current!$G$6:$Q$29, 10, FALSE)+VLOOKUP(DM$4, Rates_current!$G$6:$Q$29, 11, FALSE))</f>
        <v>15004.513639441799</v>
      </c>
      <c r="DN124" s="180">
        <f>$BS124*(VLOOKUP(DN$4, Rates_current!$G$6:$Q$29, 10, FALSE)+VLOOKUP(DN$4, Rates_current!$G$6:$Q$29, 11, FALSE))</f>
        <v>16381.9581499701</v>
      </c>
      <c r="DO124" s="180">
        <f>$BS124*(VLOOKUP(DO$4, Rates_current!$G$6:$Q$29, 10, FALSE)+VLOOKUP(DO$4, Rates_current!$G$6:$Q$29, 11, FALSE))</f>
        <v>12930.795264795675</v>
      </c>
      <c r="DP124" s="180">
        <f>$BS124*(VLOOKUP(DP$4, Rates_current!$G$6:$Q$29, 10, FALSE)+VLOOKUP(DP$4, Rates_current!$G$6:$Q$29, 11, FALSE))</f>
        <v>16042.384333392152</v>
      </c>
      <c r="DQ124" s="180">
        <f>$BS124*(VLOOKUP(DQ$4, Rates_current!$G$6:$Q$29, 10, FALSE)+VLOOKUP(DQ$4, Rates_current!$G$6:$Q$29, 11, FALSE))</f>
        <v>16390.464024923549</v>
      </c>
      <c r="DR124" s="180">
        <f>$BS124*(VLOOKUP(DR$4, Rates_current!$G$6:$Q$29, 10, FALSE)+VLOOKUP(DR$4, Rates_current!$G$6:$Q$29, 11, FALSE))</f>
        <v>14229.284121265651</v>
      </c>
      <c r="DS124" s="180">
        <f>$BS124*(VLOOKUP(DS$4, Rates_current!$G$6:$Q$29, 10, FALSE)+VLOOKUP(DS$4, Rates_current!$G$6:$Q$29, 11, FALSE))</f>
        <v>13755.935477477988</v>
      </c>
      <c r="DT124" s="180">
        <f>$BS124*(VLOOKUP(DT$4, Rates_current!$G$6:$Q$29, 10, FALSE)+VLOOKUP(DT$4, Rates_current!$G$6:$Q$29, 11, FALSE))</f>
        <v>12658.124460535802</v>
      </c>
      <c r="DU124" s="402">
        <f>IF(D124=0,IF(C124=0,MAX(0,DW124 - (VLOOKUP($A124,TOCA_current!$A$2:$AI$137,MATCH("RHWM 2024",TOCA_current!$A$2:$AI$2,0),FALSE)*$BS$2)), 0),0)</f>
        <v>2.5978222288831603</v>
      </c>
      <c r="DV124" s="403">
        <f>MIN(VLOOKUP($A124,TOCA_current!$A$2:$AI$137,MATCH("TRL - NLSL - Existing Resource "&amp;$BS$1,TOCA_current!$A$2:$AI$2,0),FALSE)*$BS$2, VLOOKUP($A124,TOCA_current!$A$2:$AI$137,MATCH("RHWM 2024",TOCA_current!$A$2:$AI$2,0),FALSE)*$BS$2)</f>
        <v>179378.06399999998</v>
      </c>
      <c r="DW124" s="403">
        <f>SUM(BY124:CV124)+(BS124*RT1SC!$C$4*$BS$2)</f>
        <v>179380.66182222887</v>
      </c>
      <c r="DX124" s="403">
        <f>VLOOKUP($A124,TOCA_current!$A$2:$AI$137,MATCH("Above RHWM Not Served with LS "&amp;$BS$1,TOCA_current!$A$2:$AI$2,0),FALSE)*$BS$2</f>
        <v>55207.44</v>
      </c>
      <c r="DY124" s="403">
        <f t="shared" si="32"/>
        <v>2.5978222288831603</v>
      </c>
      <c r="DZ124" s="403">
        <f>(VLOOKUP($A124,TOCA_current!$A$2:$AI$137,MATCH("RHWM 2024",TOCA_current!$A$2:$AI$2,0),FALSE)*$BS$2) - $DV124</f>
        <v>0</v>
      </c>
      <c r="EA124" s="403">
        <f t="shared" si="33"/>
        <v>0</v>
      </c>
      <c r="EB124" s="403">
        <f t="shared" si="34"/>
        <v>0</v>
      </c>
      <c r="EC124" s="403">
        <f t="shared" si="35"/>
        <v>0</v>
      </c>
      <c r="ED124" s="403">
        <f t="shared" si="36"/>
        <v>0</v>
      </c>
    </row>
    <row r="125" spans="1:134">
      <c r="A125" s="123">
        <v>10426</v>
      </c>
      <c r="B125" s="124" t="s">
        <v>126</v>
      </c>
      <c r="C125" s="232">
        <f>VLOOKUP(A125, TOCA_current!$A$3:$D$137, 4, FALSE)</f>
        <v>0</v>
      </c>
      <c r="D125" s="191">
        <v>0</v>
      </c>
      <c r="E125" s="107">
        <f>VLOOKUP($A125,TOCA_previous!$A$2:$AI$137,MATCH(E$4,TOCA_previous!$A$2:$AI$2,0),FALSE)</f>
        <v>2.4318999999999999E-3</v>
      </c>
      <c r="F125" s="108">
        <f>VLOOKUP($A125,TOCA_previous!$A$2:$AI$137,MATCH(F$4,TOCA_previous!$A$2:$AI$2,0),FALSE)</f>
        <v>2.4318999999999999E-3</v>
      </c>
      <c r="G125" s="108">
        <f t="shared" si="24"/>
        <v>0</v>
      </c>
      <c r="H125" s="108">
        <f>VLOOKUP($A125,TOCA_previous!$A$2:$AI$137,MATCH(H$4,TOCA_previous!$A$2:$AI$2,0),FALSE)</f>
        <v>0</v>
      </c>
      <c r="I125" s="108">
        <f t="shared" si="25"/>
        <v>0</v>
      </c>
      <c r="J125" s="108">
        <f t="shared" si="26"/>
        <v>0</v>
      </c>
      <c r="K125" s="179">
        <f>VLOOKUP(A125, IRD!$A$5:$C$139, 3, FALSE)</f>
        <v>0</v>
      </c>
      <c r="L125" s="180">
        <f t="array" ref="L125">IF($G125=0, INDEX(LS_previous!$D$4:$AY$138, MATCH('Staging Table'!$A125, LS_previous!$B$4:$B$138, 0), MATCH(L$4&amp;L$5, LS_previous!$D$2:$AY$2&amp;LS_previous!$D$3:$AY$3, 0)),SUM(VLOOKUP($A125, LS_previous!$B$4:$AY$138, LS_previous!D$149, FALSE), VLOOKUP('Staging Table'!$A125, LS_previous!$B$4:$AY$138,LS_previous!AB$149, FALSE))/2)</f>
        <v>5116.4931556761185</v>
      </c>
      <c r="M125" s="180">
        <f t="array" ref="M125">IF($G125=0, INDEX(LS_previous!$D$4:$AY$138, MATCH('Staging Table'!$A125, LS_previous!$B$4:$B$138, 0), MATCH(M$4&amp;M$5, LS_previous!$D$2:$AY$2&amp;LS_previous!$D$3:$AY$3, 0)),SUM(VLOOKUP($A125, LS_previous!$B$4:$AY$138, LS_previous!E$149, FALSE), VLOOKUP('Staging Table'!$A125, LS_previous!$B$4:$AY$138,LS_previous!AC$149, FALSE))/2)</f>
        <v>5177.026045470343</v>
      </c>
      <c r="N125" s="180">
        <f t="array" ref="N125">IF($G125=0, INDEX(LS_previous!$D$4:$AY$138, MATCH('Staging Table'!$A125, LS_previous!$B$4:$B$138, 0), MATCH(N$4&amp;N$5, LS_previous!$D$2:$AY$2&amp;LS_previous!$D$3:$AY$3, 0)),SUM(VLOOKUP($A125, LS_previous!$B$4:$AY$138, LS_previous!F$149, FALSE), VLOOKUP('Staging Table'!$A125, LS_previous!$B$4:$AY$138,LS_previous!AD$149, FALSE))/2)</f>
        <v>4438.3801397260777</v>
      </c>
      <c r="O125" s="180">
        <f t="array" ref="O125">IF($G125=0, INDEX(LS_previous!$D$4:$AY$138, MATCH('Staging Table'!$A125, LS_previous!$B$4:$B$138, 0), MATCH(O$4&amp;O$5, LS_previous!$D$2:$AY$2&amp;LS_previous!$D$3:$AY$3, 0)),SUM(VLOOKUP($A125, LS_previous!$B$4:$AY$138, LS_previous!G$149, FALSE), VLOOKUP('Staging Table'!$A125, LS_previous!$B$4:$AY$138,LS_previous!AE$149, FALSE))/2)</f>
        <v>5421.5199128100712</v>
      </c>
      <c r="P125" s="180">
        <f t="array" ref="P125">IF($G125=0, INDEX(LS_previous!$D$4:$AY$138, MATCH('Staging Table'!$A125, LS_previous!$B$4:$B$138, 0), MATCH(P$4&amp;P$5, LS_previous!$D$2:$AY$2&amp;LS_previous!$D$3:$AY$3, 0)),SUM(VLOOKUP($A125, LS_previous!$B$4:$AY$138, LS_previous!H$149, FALSE), VLOOKUP('Staging Table'!$A125, LS_previous!$B$4:$AY$138,LS_previous!AF$149, FALSE))/2)</f>
        <v>7193.5298941034553</v>
      </c>
      <c r="Q125" s="180">
        <f t="array" ref="Q125">IF($G125=0, INDEX(LS_previous!$D$4:$AY$138, MATCH('Staging Table'!$A125, LS_previous!$B$4:$B$138, 0), MATCH(Q$4&amp;Q$5, LS_previous!$D$2:$AY$2&amp;LS_previous!$D$3:$AY$3, 0)),SUM(VLOOKUP($A125, LS_previous!$B$4:$AY$138, LS_previous!I$149, FALSE), VLOOKUP('Staging Table'!$A125, LS_previous!$B$4:$AY$138,LS_previous!AG$149, FALSE))/2)</f>
        <v>7247.7084273965493</v>
      </c>
      <c r="R125" s="180">
        <f t="array" ref="R125">IF($G125=0, INDEX(LS_previous!$D$4:$AY$138, MATCH('Staging Table'!$A125, LS_previous!$B$4:$B$138, 0), MATCH(R$4&amp;R$5, LS_previous!$D$2:$AY$2&amp;LS_previous!$D$3:$AY$3, 0)),SUM(VLOOKUP($A125, LS_previous!$B$4:$AY$138, LS_previous!J$149, FALSE), VLOOKUP('Staging Table'!$A125, LS_previous!$B$4:$AY$138,LS_previous!AH$149, FALSE))/2)</f>
        <v>9251.8162662800405</v>
      </c>
      <c r="S125" s="180">
        <f t="array" ref="S125">IF($G125=0, INDEX(LS_previous!$D$4:$AY$138, MATCH('Staging Table'!$A125, LS_previous!$B$4:$B$138, 0), MATCH(S$4&amp;S$5, LS_previous!$D$2:$AY$2&amp;LS_previous!$D$3:$AY$3, 0)),SUM(VLOOKUP($A125, LS_previous!$B$4:$AY$138, LS_previous!K$149, FALSE), VLOOKUP('Staging Table'!$A125, LS_previous!$B$4:$AY$138,LS_previous!AI$149, FALSE))/2)</f>
        <v>7728.1233561609861</v>
      </c>
      <c r="T125" s="180">
        <f t="array" ref="T125">IF($G125=0, INDEX(LS_previous!$D$4:$AY$138, MATCH('Staging Table'!$A125, LS_previous!$B$4:$B$138, 0), MATCH(T$4&amp;T$5, LS_previous!$D$2:$AY$2&amp;LS_previous!$D$3:$AY$3, 0)),SUM(VLOOKUP($A125, LS_previous!$B$4:$AY$138, LS_previous!L$149, FALSE), VLOOKUP('Staging Table'!$A125, LS_previous!$B$4:$AY$138,LS_previous!AJ$149, FALSE))/2)</f>
        <v>7985.0382931277518</v>
      </c>
      <c r="U125" s="180">
        <f t="array" ref="U125">IF($G125=0, INDEX(LS_previous!$D$4:$AY$138, MATCH('Staging Table'!$A125, LS_previous!$B$4:$B$138, 0), MATCH(U$4&amp;U$5, LS_previous!$D$2:$AY$2&amp;LS_previous!$D$3:$AY$3, 0)),SUM(VLOOKUP($A125, LS_previous!$B$4:$AY$138, LS_previous!M$149, FALSE), VLOOKUP('Staging Table'!$A125, LS_previous!$B$4:$AY$138,LS_previous!AK$149, FALSE))/2)</f>
        <v>6866.7519047234618</v>
      </c>
      <c r="V125" s="180">
        <f t="array" ref="V125">IF($G125=0, INDEX(LS_previous!$D$4:$AY$138, MATCH('Staging Table'!$A125, LS_previous!$B$4:$B$138, 0), MATCH(V$4&amp;V$5, LS_previous!$D$2:$AY$2&amp;LS_previous!$D$3:$AY$3, 0)),SUM(VLOOKUP($A125, LS_previous!$B$4:$AY$138, LS_previous!N$149, FALSE), VLOOKUP('Staging Table'!$A125, LS_previous!$B$4:$AY$138,LS_previous!AL$149, FALSE))/2)</f>
        <v>5974.6711247355634</v>
      </c>
      <c r="W125" s="180">
        <f t="array" ref="W125">IF($G125=0, INDEX(LS_previous!$D$4:$AY$138, MATCH('Staging Table'!$A125, LS_previous!$B$4:$B$138, 0), MATCH(W$4&amp;W$5, LS_previous!$D$2:$AY$2&amp;LS_previous!$D$3:$AY$3, 0)),SUM(VLOOKUP($A125, LS_previous!$B$4:$AY$138, LS_previous!O$149, FALSE), VLOOKUP('Staging Table'!$A125, LS_previous!$B$4:$AY$138,LS_previous!AM$149, FALSE))/2)</f>
        <v>6357.7754899359734</v>
      </c>
      <c r="X125" s="180">
        <f t="array" ref="X125">IF($G125=0, INDEX(LS_previous!$D$4:$AY$138, MATCH('Staging Table'!$A125, LS_previous!$B$4:$B$138, 0), MATCH(X$4&amp;X$5, LS_previous!$D$2:$AY$2&amp;LS_previous!$D$3:$AY$3, 0)),SUM(VLOOKUP($A125, LS_previous!$B$4:$AY$138, LS_previous!P$149, FALSE), VLOOKUP('Staging Table'!$A125, LS_previous!$B$4:$AY$138,LS_previous!AN$149, FALSE))/2)</f>
        <v>6250.7019770952838</v>
      </c>
      <c r="Y125" s="180">
        <f t="array" ref="Y125">IF($G125=0, INDEX(LS_previous!$D$4:$AY$138, MATCH('Staging Table'!$A125, LS_previous!$B$4:$B$138, 0), MATCH(Y$4&amp;Y$5, LS_previous!$D$2:$AY$2&amp;LS_previous!$D$3:$AY$3, 0)),SUM(VLOOKUP($A125, LS_previous!$B$4:$AY$138, LS_previous!Q$149, FALSE), VLOOKUP('Staging Table'!$A125, LS_previous!$B$4:$AY$138,LS_previous!AO$149, FALSE))/2)</f>
        <v>6028.4003398915183</v>
      </c>
      <c r="Z125" s="180">
        <f t="array" ref="Z125">IF($G125=0, INDEX(LS_previous!$D$4:$AY$138, MATCH('Staging Table'!$A125, LS_previous!$B$4:$B$138, 0), MATCH(Z$4&amp;Z$5, LS_previous!$D$2:$AY$2&amp;LS_previous!$D$3:$AY$3, 0)),SUM(VLOOKUP($A125, LS_previous!$B$4:$AY$138, LS_previous!R$149, FALSE), VLOOKUP('Staging Table'!$A125, LS_previous!$B$4:$AY$138,LS_previous!AP$149, FALSE))/2)</f>
        <v>3016.5966434844686</v>
      </c>
      <c r="AA125" s="180">
        <f t="array" ref="AA125">IF($G125=0, INDEX(LS_previous!$D$4:$AY$138, MATCH('Staging Table'!$A125, LS_previous!$B$4:$B$138, 0), MATCH(AA$4&amp;AA$5, LS_previous!$D$2:$AY$2&amp;LS_previous!$D$3:$AY$3, 0)),SUM(VLOOKUP($A125, LS_previous!$B$4:$AY$138, LS_previous!S$149, FALSE), VLOOKUP('Staging Table'!$A125, LS_previous!$B$4:$AY$138,LS_previous!AQ$149, FALSE))/2)</f>
        <v>5001.5949384653604</v>
      </c>
      <c r="AB125" s="180">
        <f t="array" ref="AB125">IF($G125=0, INDEX(LS_previous!$D$4:$AY$138, MATCH('Staging Table'!$A125, LS_previous!$B$4:$B$138, 0), MATCH(AB$4&amp;AB$5, LS_previous!$D$2:$AY$2&amp;LS_previous!$D$3:$AY$3, 0)),SUM(VLOOKUP($A125, LS_previous!$B$4:$AY$138, LS_previous!T$149, FALSE), VLOOKUP('Staging Table'!$A125, LS_previous!$B$4:$AY$138,LS_previous!AR$149, FALSE))/2)</f>
        <v>2707.7814490674191</v>
      </c>
      <c r="AC125" s="180">
        <f t="array" ref="AC125">IF($G125=0, INDEX(LS_previous!$D$4:$AY$138, MATCH('Staging Table'!$A125, LS_previous!$B$4:$B$138, 0), MATCH(AC$4&amp;AC$5, LS_previous!$D$2:$AY$2&amp;LS_previous!$D$3:$AY$3, 0)),SUM(VLOOKUP($A125, LS_previous!$B$4:$AY$138, LS_previous!U$149, FALSE), VLOOKUP('Staging Table'!$A125, LS_previous!$B$4:$AY$138,LS_previous!AS$149, FALSE))/2)</f>
        <v>4731.4414474224486</v>
      </c>
      <c r="AD125" s="180">
        <f t="array" ref="AD125">IF($G125=0, INDEX(LS_previous!$D$4:$AY$138, MATCH('Staging Table'!$A125, LS_previous!$B$4:$B$138, 0), MATCH(AD$4&amp;AD$5, LS_previous!$D$2:$AY$2&amp;LS_previous!$D$3:$AY$3, 0)),SUM(VLOOKUP($A125, LS_previous!$B$4:$AY$138, LS_previous!V$149, FALSE), VLOOKUP('Staging Table'!$A125, LS_previous!$B$4:$AY$138,LS_previous!AT$149, FALSE))/2)</f>
        <v>4334.1003318103703</v>
      </c>
      <c r="AE125" s="180">
        <f t="array" ref="AE125">IF($G125=0, INDEX(LS_previous!$D$4:$AY$138, MATCH('Staging Table'!$A125, LS_previous!$B$4:$B$138, 0), MATCH(AE$4&amp;AE$5, LS_previous!$D$2:$AY$2&amp;LS_previous!$D$3:$AY$3, 0)),SUM(VLOOKUP($A125, LS_previous!$B$4:$AY$138, LS_previous!W$149, FALSE), VLOOKUP('Staging Table'!$A125, LS_previous!$B$4:$AY$138,LS_previous!AU$149, FALSE))/2)</f>
        <v>4896.9831690864712</v>
      </c>
      <c r="AF125" s="180">
        <f t="array" ref="AF125">IF($G125=0, INDEX(LS_previous!$D$4:$AY$138, MATCH('Staging Table'!$A125, LS_previous!$B$4:$B$138, 0), MATCH(AF$4&amp;AF$5, LS_previous!$D$2:$AY$2&amp;LS_previous!$D$3:$AY$3, 0)),SUM(VLOOKUP($A125, LS_previous!$B$4:$AY$138, LS_previous!X$149, FALSE), VLOOKUP('Staging Table'!$A125, LS_previous!$B$4:$AY$138,LS_previous!AV$149, FALSE))/2)</f>
        <v>5207.4162641303465</v>
      </c>
      <c r="AG125" s="180">
        <f t="array" ref="AG125">IF($G125=0, INDEX(LS_previous!$D$4:$AY$138, MATCH('Staging Table'!$A125, LS_previous!$B$4:$B$138, 0), MATCH(AG$4&amp;AG$5, LS_previous!$D$2:$AY$2&amp;LS_previous!$D$3:$AY$3, 0)),SUM(VLOOKUP($A125, LS_previous!$B$4:$AY$138, LS_previous!Y$149, FALSE), VLOOKUP('Staging Table'!$A125, LS_previous!$B$4:$AY$138,LS_previous!AW$149, FALSE))/2)</f>
        <v>4782.8443245208036</v>
      </c>
      <c r="AH125" s="180">
        <f t="array" ref="AH125">IF($G125=0, INDEX(LS_previous!$D$4:$AY$138, MATCH('Staging Table'!$A125, LS_previous!$B$4:$B$138, 0), MATCH(AH$4&amp;AH$5, LS_previous!$D$2:$AY$2&amp;LS_previous!$D$3:$AY$3, 0)),SUM(VLOOKUP($A125, LS_previous!$B$4:$AY$138, LS_previous!Z$149, FALSE), VLOOKUP('Staging Table'!$A125, LS_previous!$B$4:$AY$138,LS_previous!AX$149, FALSE))/2)</f>
        <v>4171.6570636252018</v>
      </c>
      <c r="AI125" s="180">
        <f t="array" ref="AI125">IF($G125=0, INDEX(LS_previous!$D$4:$AY$138, MATCH('Staging Table'!$A125, LS_previous!$B$4:$B$138, 0), MATCH(AI$4&amp;AI$5, LS_previous!$D$2:$AY$2&amp;LS_previous!$D$3:$AY$3, 0)),SUM(VLOOKUP($A125, LS_previous!$B$4:$AY$138, LS_previous!AA$149, FALSE), VLOOKUP('Staging Table'!$A125, LS_previous!$B$4:$AY$138,LS_previous!AY$149, FALSE))/2)</f>
        <v>5021.0836618946187</v>
      </c>
      <c r="AJ125" s="298">
        <f t="array" ref="AJ125">INDEX(Demand_previous!$D$4:$AY$138, MATCH('Staging Table'!$A125, Demand_previous!$B$4:$B$138, 0), MATCH(AJ$4&amp;AJ$5,Demand_previous!$D$2:$AY$2&amp;Demand_previous!$D$3:$AY$3, 0))/1000</f>
        <v>4.2550504807692286</v>
      </c>
      <c r="AK125" s="298">
        <f t="array" ref="AK125">INDEX(Demand_previous!$D$4:$AY$138, MATCH('Staging Table'!$A125, Demand_previous!$B$4:$B$138, 0), MATCH(AK$4&amp;AK$5,Demand_previous!$D$2:$AY$2&amp;Demand_previous!$D$3:$AY$3, 0))/1000</f>
        <v>2.9802274999999989</v>
      </c>
      <c r="AL125" s="298">
        <f t="array" ref="AL125">INDEX(Demand_previous!$D$4:$AY$138, MATCH('Staging Table'!$A125, Demand_previous!$B$4:$B$138, 0), MATCH(AL$4&amp;AL$5,Demand_previous!$D$2:$AY$2&amp;Demand_previous!$D$3:$AY$3, 0))/1000</f>
        <v>6.4853798076923113</v>
      </c>
      <c r="AM125" s="298">
        <f t="array" ref="AM125">INDEX(Demand_previous!$D$4:$AY$138, MATCH('Staging Table'!$A125, Demand_previous!$B$4:$B$138, 0), MATCH(AM$4&amp;AM$5,Demand_previous!$D$2:$AY$2&amp;Demand_previous!$D$3:$AY$3, 0))/1000</f>
        <v>4.3495175000000019</v>
      </c>
      <c r="AN125" s="298">
        <f t="array" ref="AN125">INDEX(Demand_previous!$D$4:$AY$138, MATCH('Staging Table'!$A125, Demand_previous!$B$4:$B$138, 0), MATCH(AN$4&amp;AN$5,Demand_previous!$D$2:$AY$2&amp;Demand_previous!$D$3:$AY$3, 0))/1000</f>
        <v>1.6018697916666707</v>
      </c>
      <c r="AO125" s="298">
        <f t="array" ref="AO125">INDEX(Demand_previous!$D$4:$AY$138, MATCH('Staging Table'!$A125, Demand_previous!$B$4:$B$138, 0), MATCH(AO$4&amp;AO$5,Demand_previous!$D$2:$AY$2&amp;Demand_previous!$D$3:$AY$3, 0))/1000</f>
        <v>8.397370370370373</v>
      </c>
      <c r="AP125" s="298">
        <f t="array" ref="AP125">INDEX(Demand_previous!$D$4:$AY$138, MATCH('Staging Table'!$A125, Demand_previous!$B$4:$B$138, 0), MATCH(AP$4&amp;AP$5,Demand_previous!$D$2:$AY$2&amp;Demand_previous!$D$3:$AY$3, 0))/1000</f>
        <v>6.9769182692307723</v>
      </c>
      <c r="AQ125" s="298">
        <f t="array" ref="AQ125">INDEX(Demand_previous!$D$4:$AY$138, MATCH('Staging Table'!$A125, Demand_previous!$B$4:$B$138, 0), MATCH(AQ$4&amp;AQ$5,Demand_previous!$D$2:$AY$2&amp;Demand_previous!$D$3:$AY$3, 0))/1000</f>
        <v>3.1584675000000044</v>
      </c>
      <c r="AR125" s="298">
        <f t="array" ref="AR125">INDEX(Demand_previous!$D$4:$AY$138, MATCH('Staging Table'!$A125, Demand_previous!$B$4:$B$138, 0), MATCH(AR$4&amp;AR$5,Demand_previous!$D$2:$AY$2&amp;Demand_previous!$D$3:$AY$3, 0))/1000</f>
        <v>3.6694062499999975</v>
      </c>
      <c r="AS125" s="298">
        <f t="array" ref="AS125">INDEX(Demand_previous!$D$4:$AY$138, MATCH('Staging Table'!$A125, Demand_previous!$B$4:$B$138, 0), MATCH(AS$4&amp;AS$5,Demand_previous!$D$2:$AY$2&amp;Demand_previous!$D$3:$AY$3, 0))/1000</f>
        <v>3.0761624999999997</v>
      </c>
      <c r="AT125" s="298">
        <f t="array" ref="AT125">INDEX(Demand_previous!$D$4:$AY$138, MATCH('Staging Table'!$A125, Demand_previous!$B$4:$B$138, 0), MATCH(AT$4&amp;AT$5,Demand_previous!$D$2:$AY$2&amp;Demand_previous!$D$3:$AY$3, 0))/1000</f>
        <v>5.3026481481481511</v>
      </c>
      <c r="AU125" s="298">
        <f t="array" ref="AU125">INDEX(Demand_previous!$D$4:$AY$138, MATCH('Staging Table'!$A125, Demand_previous!$B$4:$B$138, 0), MATCH(AU$4&amp;AU$5,Demand_previous!$D$2:$AY$2&amp;Demand_previous!$D$3:$AY$3, 0))/1000</f>
        <v>4.2255225000000021</v>
      </c>
      <c r="AV125" s="180">
        <f>$F125*(VLOOKUP(AV$4, Rates_previous!$G$6:$Q$29, 10, FALSE)+VLOOKUP(AV$4, Rates_previous!$G$6:$Q$29, 11, FALSE))</f>
        <v>11074.688798853538</v>
      </c>
      <c r="AW125" s="180">
        <f>$F125*(VLOOKUP(AW$4, Rates_previous!$G$6:$Q$29, 10, FALSE)+VLOOKUP(AW$4, Rates_previous!$G$6:$Q$29, 11, FALSE))</f>
        <v>14020.957947463852</v>
      </c>
      <c r="AX125" s="180">
        <f>$F125*(VLOOKUP(AX$4, Rates_previous!$G$6:$Q$29, 10, FALSE)+VLOOKUP(AX$4, Rates_previous!$G$6:$Q$29, 11, FALSE))</f>
        <v>13723.716678499997</v>
      </c>
      <c r="AY125" s="180">
        <f>$F125*(VLOOKUP(AY$4, Rates_previous!$G$6:$Q$29, 10, FALSE)+VLOOKUP(AY$4, Rates_previous!$G$6:$Q$29, 11, FALSE))</f>
        <v>11335.206377558972</v>
      </c>
      <c r="AZ125" s="180">
        <f>$F125*(VLOOKUP(AZ$4, Rates_previous!$G$6:$Q$29, 10, FALSE)+VLOOKUP(AZ$4, Rates_previous!$G$6:$Q$29, 11, FALSE))</f>
        <v>9824.4718021487879</v>
      </c>
      <c r="BA125" s="180">
        <f>$F125*(VLOOKUP(BA$4, Rates_previous!$G$6:$Q$29, 10, FALSE)+VLOOKUP(BA$4, Rates_previous!$G$6:$Q$29, 11, FALSE))</f>
        <v>11728.435385328465</v>
      </c>
      <c r="BB125" s="180">
        <f>$F125*(VLOOKUP(BB$4, Rates_previous!$G$6:$Q$29, 10, FALSE)+VLOOKUP(BB$4, Rates_previous!$G$6:$Q$29, 11, FALSE))</f>
        <v>9105.5686830131981</v>
      </c>
      <c r="BC125" s="180">
        <f>$F125*(VLOOKUP(BC$4, Rates_previous!$G$6:$Q$29, 10, FALSE)+VLOOKUP(BC$4, Rates_previous!$G$6:$Q$29, 11, FALSE))</f>
        <v>12615.83241805017</v>
      </c>
      <c r="BD125" s="180">
        <f>$F125*(VLOOKUP(BD$4, Rates_previous!$G$6:$Q$29, 10, FALSE)+VLOOKUP(BD$4, Rates_previous!$G$6:$Q$29, 11, FALSE))</f>
        <v>13480.281103510129</v>
      </c>
      <c r="BE125" s="180">
        <f>$F125*(VLOOKUP(BE$4, Rates_previous!$G$6:$Q$29, 10, FALSE)+VLOOKUP(BE$4, Rates_previous!$G$6:$Q$29, 11, FALSE))</f>
        <v>12798.916499103161</v>
      </c>
      <c r="BF125" s="180">
        <f>$F125*(VLOOKUP(BF$4, Rates_previous!$G$6:$Q$29, 10, FALSE)+VLOOKUP(BF$4, Rates_previous!$G$6:$Q$29, 11, FALSE))</f>
        <v>12369.165411348849</v>
      </c>
      <c r="BG125" s="180">
        <f>$F125*(VLOOKUP(BG$4, Rates_previous!$G$6:$Q$29, 10, FALSE)+VLOOKUP(BG$4, Rates_previous!$G$6:$Q$29, 11, FALSE))</f>
        <v>11430.39827448018</v>
      </c>
      <c r="BH125" s="298">
        <f>IF($D125=0,IF(C125=0, MAX(BJ125 - (VLOOKUP($A125,TOCA_previous!$A$2:$AI$137,MATCH("RHWM 2022",TOCA_previous!$A$2:$AI$2,0),FALSE)*$F$2*TOCA_previous!C122),0),0), 0)</f>
        <v>0</v>
      </c>
      <c r="BI125" s="192">
        <f>MIN(VLOOKUP($A125,TOCA_previous!$A$2:$AI$137,MATCH("TRL - NLSL - Existing Resource "&amp;$F$1,TOCA_previous!$A$2:$AI$2,0),FALSE)*$F$2,(VLOOKUP($A125,TOCA_previous!$A$2:$AI$137,MATCH("RHWM 2022",TOCA_previous!$A$2:$AI$2,0),FALSE)*$F$2))</f>
        <v>143506.32</v>
      </c>
      <c r="BJ125" s="402">
        <f>SUM(L125:AI125)+(F125*RT1SC!$C$3*$F$2)</f>
        <v>278417.0823410367</v>
      </c>
      <c r="BK125" s="401">
        <f>VLOOKUP($A125,TOCA_previous!$A$2:$AI$137,MATCH("Above RHWM Not Served with LS "&amp;$F$1,TOCA_previous!$A$2:$AI$2,0),FALSE)*$F$2</f>
        <v>0</v>
      </c>
      <c r="BL125" s="402">
        <f t="shared" si="27"/>
        <v>134910.76234103669</v>
      </c>
      <c r="BM125" s="401">
        <f>(VLOOKUP($A125,TOCA_previous!$A$2:$AI$137,MATCH("RHWM 2022",TOCA_previous!$A$2:$AI$2,0),FALSE)*$F$2) - $BI125</f>
        <v>149559.47999999998</v>
      </c>
      <c r="BN125" s="402">
        <f t="shared" si="28"/>
        <v>-134910.76234103669</v>
      </c>
      <c r="BO125" s="401">
        <f t="shared" si="29"/>
        <v>0</v>
      </c>
      <c r="BP125" s="402">
        <f t="shared" si="30"/>
        <v>0</v>
      </c>
      <c r="BQ125" s="401">
        <f t="shared" si="37"/>
        <v>-134910.76234103669</v>
      </c>
      <c r="BR125" s="108">
        <f>VLOOKUP($A125,TOCA_current!$A$2:$AI$137,MATCH(BR$4,TOCA_current!$A$2:$AI$2,0),FALSE)</f>
        <v>4.4873999999999999E-3</v>
      </c>
      <c r="BS125" s="108">
        <f>VLOOKUP($A125,TOCA_current!$A$2:$AI$137,MATCH(BS$4,TOCA_current!$A$2:$AI$2,0),FALSE)</f>
        <v>4.4873999999999999E-3</v>
      </c>
      <c r="BT125" s="189">
        <f t="shared" si="31"/>
        <v>0</v>
      </c>
      <c r="BU125" s="108">
        <f>VLOOKUP($A125,TOCA_current!A121:BG256,MATCH(BU$4,TOCA_current!$A$2:$BG$2,0),FALSE)</f>
        <v>0</v>
      </c>
      <c r="BV125" s="108">
        <f t="shared" si="38"/>
        <v>0</v>
      </c>
      <c r="BW125" s="108">
        <f t="shared" si="39"/>
        <v>0</v>
      </c>
      <c r="BX125" s="179">
        <f>VLOOKUP($A125,IRD!$A$4:$G$139, 7, FALSE)</f>
        <v>0</v>
      </c>
      <c r="BY125" s="180">
        <f t="array" ref="BY125">IF($BT125=0, INDEX(LS_current!$D$4:$AY$138, MATCH('Staging Table'!$A125, LS_current!$B$4:$B$138, 0), MATCH(BY$4&amp;BY$5, LS_current!$D$2:$AY$2&amp;LS_current!$D$3:$AY$3, 0)),SUM(VLOOKUP($A125, LS_current!$B$4:$AY$138, LS_current!D$148, FALSE), VLOOKUP($A125, LS_current!$B$4:$AY$138,LS_current!AB$148, FALSE))/2)</f>
        <v>765.72563285359865</v>
      </c>
      <c r="BZ125" s="180">
        <f t="array" ref="BZ125">IF($BT125=0, INDEX(LS_current!$D$4:$AY$138, MATCH('Staging Table'!$A125, LS_current!$B$4:$B$138, 0), MATCH(BZ$4&amp;BZ$5, LS_current!$D$2:$AY$2&amp;LS_current!$D$3:$AY$3, 0)),SUM(VLOOKUP($A125, LS_current!$B$4:$AY$138, LS_current!E$148, FALSE), VLOOKUP($A125, LS_current!$B$4:$AY$138,LS_current!AC$148, FALSE))/2)</f>
        <v>1671.0223677913009</v>
      </c>
      <c r="CA125" s="180">
        <f t="array" ref="CA125">IF($BT125=0, INDEX(LS_current!$D$4:$AY$138, MATCH('Staging Table'!$A125, LS_current!$B$4:$B$138, 0), MATCH(CA$4&amp;CA$5, LS_current!$D$2:$AY$2&amp;LS_current!$D$3:$AY$3, 0)),SUM(VLOOKUP($A125, LS_current!$B$4:$AY$138, LS_current!F$148, FALSE), VLOOKUP($A125, LS_current!$B$4:$AY$138,LS_current!AD$148, FALSE))/2)</f>
        <v>-1606.7514356672018</v>
      </c>
      <c r="CB125" s="180">
        <f t="array" ref="CB125">IF($BT125=0, INDEX(LS_current!$D$4:$AY$138, MATCH('Staging Table'!$A125, LS_current!$B$4:$B$138, 0), MATCH(CB$4&amp;CB$5, LS_current!$D$2:$AY$2&amp;LS_current!$D$3:$AY$3, 0)),SUM(VLOOKUP($A125, LS_current!$B$4:$AY$138, LS_current!G$148, FALSE), VLOOKUP($A125, LS_current!$B$4:$AY$138,LS_current!AE$148, FALSE))/2)</f>
        <v>1343.7552312506014</v>
      </c>
      <c r="CC125" s="180">
        <f t="array" ref="CC125">IF($BT125=0, INDEX(LS_current!$D$4:$AY$138, MATCH('Staging Table'!$A125, LS_current!$B$4:$B$138, 0), MATCH(CC$4&amp;CC$5, LS_current!$D$2:$AY$2&amp;LS_current!$D$3:$AY$3, 0)),SUM(VLOOKUP($A125, LS_current!$B$4:$AY$138, LS_current!H$148, FALSE), VLOOKUP($A125, LS_current!$B$4:$AY$138,LS_current!AF$148, FALSE))/2)</f>
        <v>-764.16170518860054</v>
      </c>
      <c r="CD125" s="180">
        <f t="array" ref="CD125">IF($BT125=0, INDEX(LS_current!$D$4:$AY$138, MATCH('Staging Table'!$A125, LS_current!$B$4:$B$138, 0), MATCH(CD$4&amp;CD$5, LS_current!$D$2:$AY$2&amp;LS_current!$D$3:$AY$3, 0)),SUM(VLOOKUP($A125, LS_current!$B$4:$AY$138, LS_current!I$148, FALSE), VLOOKUP($A125, LS_current!$B$4:$AY$138,LS_current!AG$148, FALSE))/2)</f>
        <v>2873.1208885696014</v>
      </c>
      <c r="CE125" s="180">
        <f t="array" ref="CE125">IF($BT125=0, INDEX(LS_current!$D$4:$AY$138, MATCH('Staging Table'!$A125, LS_current!$B$4:$B$138, 0), MATCH(CE$4&amp;CE$5, LS_current!$D$2:$AY$2&amp;LS_current!$D$3:$AY$3, 0)),SUM(VLOOKUP($A125, LS_current!$B$4:$AY$138, LS_current!J$148, FALSE), VLOOKUP($A125, LS_current!$B$4:$AY$138,LS_current!AH$148, FALSE))/2)</f>
        <v>-1063.3500018909981</v>
      </c>
      <c r="CF125" s="180">
        <f t="array" ref="CF125">IF($BT125=0, INDEX(LS_current!$D$4:$AY$138, MATCH('Staging Table'!$A125, LS_current!$B$4:$B$138, 0), MATCH(CF$4&amp;CF$5, LS_current!$D$2:$AY$2&amp;LS_current!$D$3:$AY$3, 0)),SUM(VLOOKUP($A125, LS_current!$B$4:$AY$138, LS_current!K$148, FALSE), VLOOKUP($A125, LS_current!$B$4:$AY$138,LS_current!AI$148, FALSE))/2)</f>
        <v>2302.2884086653994</v>
      </c>
      <c r="CG125" s="180">
        <f t="array" ref="CG125">IF($BT125=0, INDEX(LS_current!$D$4:$AY$138, MATCH('Staging Table'!$A125, LS_current!$B$4:$B$138, 0), MATCH(CG$4&amp;CG$5, LS_current!$D$2:$AY$2&amp;LS_current!$D$3:$AY$3, 0)),SUM(VLOOKUP($A125, LS_current!$B$4:$AY$138, LS_current!L$148, FALSE), VLOOKUP($A125, LS_current!$B$4:$AY$138,LS_current!AJ$148, FALSE))/2)</f>
        <v>-1116.4475074245984</v>
      </c>
      <c r="CH125" s="180">
        <f t="array" ref="CH125">IF($BT125=0, INDEX(LS_current!$D$4:$AY$138, MATCH('Staging Table'!$A125, LS_current!$B$4:$B$138, 0), MATCH(CH$4&amp;CH$5, LS_current!$D$2:$AY$2&amp;LS_current!$D$3:$AY$3, 0)),SUM(VLOOKUP($A125, LS_current!$B$4:$AY$138, LS_current!M$148, FALSE), VLOOKUP($A125, LS_current!$B$4:$AY$138,LS_current!AK$148, FALSE))/2)</f>
        <v>2503.5619491834004</v>
      </c>
      <c r="CI125" s="180">
        <f t="array" ref="CI125">IF($BT125=0, INDEX(LS_current!$D$4:$AY$138, MATCH('Staging Table'!$A125, LS_current!$B$4:$B$138, 0), MATCH(CI$4&amp;CI$5, LS_current!$D$2:$AY$2&amp;LS_current!$D$3:$AY$3, 0)),SUM(VLOOKUP($A125, LS_current!$B$4:$AY$138, LS_current!N$148, FALSE), VLOOKUP($A125, LS_current!$B$4:$AY$138,LS_current!AL$148, FALSE))/2)</f>
        <v>-2303.5990276762004</v>
      </c>
      <c r="CJ125" s="180">
        <f t="array" ref="CJ125">IF($BT125=0, INDEX(LS_current!$D$4:$AY$138, MATCH('Staging Table'!$A125, LS_current!$B$4:$B$138, 0), MATCH(CJ$4&amp;CJ$5, LS_current!$D$2:$AY$2&amp;LS_current!$D$3:$AY$3, 0)),SUM(VLOOKUP($A125, LS_current!$B$4:$AY$138, LS_current!O$148, FALSE), VLOOKUP($A125, LS_current!$B$4:$AY$138,LS_current!AM$148, FALSE))/2)</f>
        <v>937.34291340280106</v>
      </c>
      <c r="CK125" s="180">
        <f t="array" ref="CK125">IF($BT125=0, INDEX(LS_current!$D$4:$AY$138, MATCH('Staging Table'!$A125, LS_current!$B$4:$B$138, 0), MATCH(CK$4&amp;CK$5, LS_current!$D$2:$AY$2&amp;LS_current!$D$3:$AY$3, 0)),SUM(VLOOKUP($A125, LS_current!$B$4:$AY$138, LS_current!P$148, FALSE), VLOOKUP($A125, LS_current!$B$4:$AY$138,LS_current!AN$148, FALSE))/2)</f>
        <v>-354.67466075349876</v>
      </c>
      <c r="CL125" s="180">
        <f t="array" ref="CL125">IF($BT125=0, INDEX(LS_current!$D$4:$AY$138, MATCH('Staging Table'!$A125, LS_current!$B$4:$B$138, 0), MATCH(CL$4&amp;CL$5, LS_current!$D$2:$AY$2&amp;LS_current!$D$3:$AY$3, 0)),SUM(VLOOKUP($A125, LS_current!$B$4:$AY$138, LS_current!Q$148, FALSE), VLOOKUP($A125, LS_current!$B$4:$AY$138,LS_current!AO$148, FALSE))/2)</f>
        <v>1668.9051117430508</v>
      </c>
      <c r="CM125" s="180">
        <f t="array" ref="CM125">IF($BT125=0, INDEX(LS_current!$D$4:$AY$138, MATCH('Staging Table'!$A125, LS_current!$B$4:$B$138, 0), MATCH(CM$4&amp;CM$5, LS_current!$D$2:$AY$2&amp;LS_current!$D$3:$AY$3, 0)),SUM(VLOOKUP($A125, LS_current!$B$4:$AY$138, LS_current!R$148, FALSE), VLOOKUP($A125, LS_current!$B$4:$AY$138,LS_current!AP$148, FALSE))/2)</f>
        <v>-3612.8779237152012</v>
      </c>
      <c r="CN125" s="180">
        <f t="array" ref="CN125">IF($BT125=0, INDEX(LS_current!$D$4:$AY$138, MATCH('Staging Table'!$A125, LS_current!$B$4:$B$138, 0), MATCH(CN$4&amp;CN$5, LS_current!$D$2:$AY$2&amp;LS_current!$D$3:$AY$3, 0)),SUM(VLOOKUP($A125, LS_current!$B$4:$AY$138, LS_current!S$148, FALSE), VLOOKUP($A125, LS_current!$B$4:$AY$138,LS_current!AQ$148, FALSE))/2)</f>
        <v>-653.16914185290079</v>
      </c>
      <c r="CO125" s="180">
        <f t="array" ref="CO125">IF($BT125=0, INDEX(LS_current!$D$4:$AY$138, MATCH('Staging Table'!$A125, LS_current!$B$4:$B$138, 0), MATCH(CO$4&amp;CO$5, LS_current!$D$2:$AY$2&amp;LS_current!$D$3:$AY$3, 0)),SUM(VLOOKUP($A125, LS_current!$B$4:$AY$138, LS_current!T$148, FALSE), VLOOKUP($A125, LS_current!$B$4:$AY$138,LS_current!AR$148, FALSE))/2)</f>
        <v>-3654.2605671324</v>
      </c>
      <c r="CP125" s="180">
        <f t="array" ref="CP125">IF($BT125=0, INDEX(LS_current!$D$4:$AY$138, MATCH('Staging Table'!$A125, LS_current!$B$4:$B$138, 0), MATCH(CP$4&amp;CP$5, LS_current!$D$2:$AY$2&amp;LS_current!$D$3:$AY$3, 0)),SUM(VLOOKUP($A125, LS_current!$B$4:$AY$138, LS_current!U$148, FALSE), VLOOKUP($A125, LS_current!$B$4:$AY$138,LS_current!AS$148, FALSE))/2)</f>
        <v>-866.57587956330099</v>
      </c>
      <c r="CQ125" s="180">
        <f t="array" ref="CQ125">IF($BT125=0, INDEX(LS_current!$D$4:$AY$138, MATCH('Staging Table'!$A125, LS_current!$B$4:$B$138, 0), MATCH(CQ$4&amp;CQ$5, LS_current!$D$2:$AY$2&amp;LS_current!$D$3:$AY$3, 0)),SUM(VLOOKUP($A125, LS_current!$B$4:$AY$138, LS_current!V$148, FALSE), VLOOKUP($A125, LS_current!$B$4:$AY$138,LS_current!AT$148, FALSE))/2)</f>
        <v>-904.26333777359832</v>
      </c>
      <c r="CR125" s="180">
        <f t="array" ref="CR125">IF($BT125=0, INDEX(LS_current!$D$4:$AY$138, MATCH('Staging Table'!$A125, LS_current!$B$4:$B$138, 0), MATCH(CR$4&amp;CR$5, LS_current!$D$2:$AY$2&amp;LS_current!$D$3:$AY$3, 0)),SUM(VLOOKUP($A125, LS_current!$B$4:$AY$138, LS_current!W$148, FALSE), VLOOKUP($A125, LS_current!$B$4:$AY$138,LS_current!AU$148, FALSE))/2)</f>
        <v>848.38268135649923</v>
      </c>
      <c r="CS125" s="180">
        <f t="array" ref="CS125">IF($BT125=0, INDEX(LS_current!$D$4:$AY$138, MATCH('Staging Table'!$A125, LS_current!$B$4:$B$138, 0), MATCH(CS$4&amp;CS$5, LS_current!$D$2:$AY$2&amp;LS_current!$D$3:$AY$3, 0)),SUM(VLOOKUP($A125, LS_current!$B$4:$AY$138, LS_current!X$148, FALSE), VLOOKUP($A125, LS_current!$B$4:$AY$138,LS_current!AV$148, FALSE))/2)</f>
        <v>-6.9713155891004135</v>
      </c>
      <c r="CT125" s="180">
        <f t="array" ref="CT125">IF($BT125=0, INDEX(LS_current!$D$4:$AY$138, MATCH('Staging Table'!$A125, LS_current!$B$4:$B$138, 0), MATCH(CT$4&amp;CT$5, LS_current!$D$2:$AY$2&amp;LS_current!$D$3:$AY$3, 0)),SUM(VLOOKUP($A125, LS_current!$B$4:$AY$138, LS_current!Y$148, FALSE), VLOOKUP($A125, LS_current!$B$4:$AY$138,LS_current!AW$148, FALSE))/2)</f>
        <v>1015.22134048111</v>
      </c>
      <c r="CU125" s="180">
        <f t="array" ref="CU125">IF($BT125=0, INDEX(LS_current!$D$4:$AY$138, MATCH('Staging Table'!$A125, LS_current!$B$4:$B$138, 0), MATCH(CU$4&amp;CU$5, LS_current!$D$2:$AY$2&amp;LS_current!$D$3:$AY$3, 0)),SUM(VLOOKUP($A125, LS_current!$B$4:$AY$138, LS_current!Z$148, FALSE), VLOOKUP($A125, LS_current!$B$4:$AY$138,LS_current!AX$148, FALSE))/2)</f>
        <v>-267.68301074759984</v>
      </c>
      <c r="CV125" s="180">
        <f t="array" ref="CV125">IF($BT125=0, INDEX(LS_current!$D$4:$AY$138, MATCH('Staging Table'!$A125, LS_current!$B$4:$B$138, 0), MATCH(CV$4&amp;CV$5, LS_current!$D$2:$AY$2&amp;LS_current!$D$3:$AY$3, 0)),SUM(VLOOKUP($A125, LS_current!$B$4:$AY$138, LS_current!AA$148, FALSE), VLOOKUP($A125, LS_current!$B$4:$AY$138,LS_current!AY$148, FALSE))/2)</f>
        <v>1243.6054827104008</v>
      </c>
      <c r="CW125" s="182">
        <f t="array" ref="CW125">INDEX(Demand_current!$D$4:$AY$138, MATCH($A125, Demand_current!$B$4:$B$138, 0), MATCH(CW$4&amp;CW$5,Demand_current!$D$2:$AY$2&amp;Demand_current!$D$3:$AY$3, 0))/1000</f>
        <v>4.2550504807692286</v>
      </c>
      <c r="CX125" s="182">
        <f t="array" ref="CX125">INDEX(Demand_current!$D$4:$AY$138, MATCH($A125, Demand_current!$B$4:$B$138, 0), MATCH(CX$4&amp;CX$5,Demand_current!$D$2:$AY$2&amp;Demand_current!$D$3:$AY$3, 0))/1000</f>
        <v>2.9802274999999989</v>
      </c>
      <c r="CY125" s="182">
        <f t="array" ref="CY125">INDEX(Demand_current!$D$4:$AY$138, MATCH($A125, Demand_current!$B$4:$B$138, 0), MATCH(CY$4&amp;CY$5,Demand_current!$D$2:$AY$2&amp;Demand_current!$D$3:$AY$3, 0))/1000</f>
        <v>5.0398350000000036</v>
      </c>
      <c r="CZ125" s="182">
        <f t="array" ref="CZ125">INDEX(Demand_current!$D$4:$AY$138, MATCH($A125, Demand_current!$B$4:$B$138, 0), MATCH(CZ$4&amp;CZ$5,Demand_current!$D$2:$AY$2&amp;Demand_current!$D$3:$AY$3, 0))/1000</f>
        <v>5.859151442307696</v>
      </c>
      <c r="DA125" s="182">
        <f t="array" ref="DA125">INDEX(Demand_current!$D$4:$AY$138, MATCH($A125, Demand_current!$B$4:$B$138, 0), MATCH(DA$4&amp;DA$5,Demand_current!$D$2:$AY$2&amp;Demand_current!$D$3:$AY$3, 0))/1000</f>
        <v>3.028115000000005</v>
      </c>
      <c r="DB125" s="182">
        <f t="array" ref="DB125">INDEX(Demand_current!$D$4:$AY$138, MATCH($A125, Demand_current!$B$4:$B$138, 0), MATCH(DB$4&amp;DB$5,Demand_current!$D$2:$AY$2&amp;Demand_current!$D$3:$AY$3, 0))/1000</f>
        <v>7.2241538461538486</v>
      </c>
      <c r="DC125" s="182">
        <f t="array" ref="DC125">INDEX(Demand_current!$D$4:$AY$138, MATCH($A125, Demand_current!$B$4:$B$138, 0), MATCH(DC$4&amp;DC$5,Demand_current!$D$2:$AY$2&amp;Demand_current!$D$3:$AY$3, 0))/1000</f>
        <v>6.9769182692307723</v>
      </c>
      <c r="DD125" s="182">
        <f t="array" ref="DD125">INDEX(Demand_current!$D$4:$AY$138, MATCH($A125, Demand_current!$B$4:$B$138, 0), MATCH(DD$4&amp;DD$5,Demand_current!$D$2:$AY$2&amp;Demand_current!$D$3:$AY$3, 0))/1000</f>
        <v>4.265949519230773</v>
      </c>
      <c r="DE125" s="182">
        <f t="array" ref="DE125">INDEX(Demand_current!$D$4:$AY$138, MATCH($A125, Demand_current!$B$4:$B$138, 0), MATCH(DE$4&amp;DE$5,Demand_current!$D$2:$AY$2&amp;Demand_current!$D$3:$AY$3, 0))/1000</f>
        <v>2.4847025000000005</v>
      </c>
      <c r="DF125" s="182">
        <f t="array" ref="DF125">INDEX(Demand_current!$D$4:$AY$138, MATCH($A125, Demand_current!$B$4:$B$138, 0), MATCH(DF$4&amp;DF$5,Demand_current!$D$2:$AY$2&amp;Demand_current!$D$3:$AY$3, 0))/1000</f>
        <v>4.3125793269230792</v>
      </c>
      <c r="DG125" s="182">
        <f t="array" ref="DG125">INDEX(Demand_current!$D$4:$AY$138, MATCH($A125, Demand_current!$B$4:$B$138, 0), MATCH(DG$4&amp;DG$5,Demand_current!$D$2:$AY$2&amp;Demand_current!$D$3:$AY$3, 0))/1000</f>
        <v>5.3026481481481511</v>
      </c>
      <c r="DH125" s="182">
        <f t="array" ref="DH125">INDEX(Demand_current!$D$4:$AY$138, MATCH($A125, Demand_current!$B$4:$B$138, 0), MATCH(DH$4&amp;DH$5,Demand_current!$D$2:$AY$2&amp;Demand_current!$D$3:$AY$3, 0))/1000</f>
        <v>3.0310859374999999</v>
      </c>
      <c r="DI125" s="180">
        <f>$BS125*(VLOOKUP(DI$4, Rates_current!$G$6:$Q$29, 10, FALSE)+VLOOKUP(DI$4, Rates_current!$G$6:$Q$29, 11, FALSE))</f>
        <v>18931.459999355098</v>
      </c>
      <c r="DJ125" s="180">
        <f>$BS125*(VLOOKUP(DJ$4, Rates_current!$G$6:$Q$29, 10, FALSE)+VLOOKUP(DJ$4, Rates_current!$G$6:$Q$29, 11, FALSE))</f>
        <v>24143.854204416602</v>
      </c>
      <c r="DK125" s="180">
        <f>$BS125*(VLOOKUP(DK$4, Rates_current!$G$6:$Q$29, 10, FALSE)+VLOOKUP(DK$4, Rates_current!$G$6:$Q$29, 11, FALSE))</f>
        <v>26055.995816619001</v>
      </c>
      <c r="DL125" s="180">
        <f>$BS125*(VLOOKUP(DL$4, Rates_current!$G$6:$Q$29, 10, FALSE)+VLOOKUP(DL$4, Rates_current!$G$6:$Q$29, 11, FALSE))</f>
        <v>27076.207593225598</v>
      </c>
      <c r="DM125" s="180">
        <f>$BS125*(VLOOKUP(DM$4, Rates_current!$G$6:$Q$29, 10, FALSE)+VLOOKUP(DM$4, Rates_current!$G$6:$Q$29, 11, FALSE))</f>
        <v>23289.147558241199</v>
      </c>
      <c r="DN125" s="180">
        <f>$BS125*(VLOOKUP(DN$4, Rates_current!$G$6:$Q$29, 10, FALSE)+VLOOKUP(DN$4, Rates_current!$G$6:$Q$29, 11, FALSE))</f>
        <v>25427.138114273399</v>
      </c>
      <c r="DO125" s="180">
        <f>$BS125*(VLOOKUP(DO$4, Rates_current!$G$6:$Q$29, 10, FALSE)+VLOOKUP(DO$4, Rates_current!$G$6:$Q$29, 11, FALSE))</f>
        <v>20070.440549010447</v>
      </c>
      <c r="DP125" s="180">
        <f>$BS125*(VLOOKUP(DP$4, Rates_current!$G$6:$Q$29, 10, FALSE)+VLOOKUP(DP$4, Rates_current!$G$6:$Q$29, 11, FALSE))</f>
        <v>24900.0710655681</v>
      </c>
      <c r="DQ125" s="180">
        <f>$BS125*(VLOOKUP(DQ$4, Rates_current!$G$6:$Q$29, 10, FALSE)+VLOOKUP(DQ$4, Rates_current!$G$6:$Q$29, 11, FALSE))</f>
        <v>25440.340446695696</v>
      </c>
      <c r="DR125" s="180">
        <f>$BS125*(VLOOKUP(DR$4, Rates_current!$G$6:$Q$29, 10, FALSE)+VLOOKUP(DR$4, Rates_current!$G$6:$Q$29, 11, FALSE))</f>
        <v>22085.880656417099</v>
      </c>
      <c r="DS125" s="180">
        <f>$BS125*(VLOOKUP(DS$4, Rates_current!$G$6:$Q$29, 10, FALSE)+VLOOKUP(DS$4, Rates_current!$G$6:$Q$29, 11, FALSE))</f>
        <v>21351.175975107992</v>
      </c>
      <c r="DT125" s="180">
        <f>$BS125*(VLOOKUP(DT$4, Rates_current!$G$6:$Q$29, 10, FALSE)+VLOOKUP(DT$4, Rates_current!$G$6:$Q$29, 11, FALSE))</f>
        <v>19647.216528037203</v>
      </c>
      <c r="DU125" s="402">
        <f>IF(D125=0,IF(C125=0,MAX(0,DW125 - (VLOOKUP($A125,TOCA_current!$A$2:$AI$137,MATCH("RHWM 2024",TOCA_current!$A$2:$AI$2,0),FALSE)*$BS$2)), 0),0)</f>
        <v>0</v>
      </c>
      <c r="DV125" s="403">
        <f>MIN(VLOOKUP($A125,TOCA_current!$A$2:$AI$137,MATCH("TRL - NLSL - Existing Resource "&amp;$BS$1,TOCA_current!$A$2:$AI$2,0),FALSE)*$BS$2, VLOOKUP($A125,TOCA_current!$A$2:$AI$137,MATCH("RHWM 2024",TOCA_current!$A$2:$AI$2,0),FALSE)*$BS$2)</f>
        <v>278417.66399999999</v>
      </c>
      <c r="DW125" s="403">
        <f>SUM(BY125:CV125)+(BS125*RT1SC!$C$4*$BS$2)</f>
        <v>278417.07627621654</v>
      </c>
      <c r="DX125" s="403">
        <f>VLOOKUP($A125,TOCA_current!$A$2:$AI$137,MATCH("Above RHWM Not Served with LS "&amp;$BS$1,TOCA_current!$A$2:$AI$2,0),FALSE)*$BS$2</f>
        <v>0</v>
      </c>
      <c r="DY125" s="403">
        <f t="shared" si="32"/>
        <v>-0.58772378345020115</v>
      </c>
      <c r="DZ125" s="403">
        <f>(VLOOKUP($A125,TOCA_current!$A$2:$AI$137,MATCH("RHWM 2024",TOCA_current!$A$2:$AI$2,0),FALSE)*$BS$2) - $DV125</f>
        <v>42540.912000000011</v>
      </c>
      <c r="EA125" s="403">
        <f t="shared" si="33"/>
        <v>0</v>
      </c>
      <c r="EB125" s="403">
        <f t="shared" si="34"/>
        <v>0.58772378345020115</v>
      </c>
      <c r="EC125" s="403">
        <f t="shared" si="35"/>
        <v>0</v>
      </c>
      <c r="ED125" s="403">
        <f t="shared" si="36"/>
        <v>0.58772378345020115</v>
      </c>
    </row>
    <row r="126" spans="1:134">
      <c r="A126" s="123">
        <v>10434</v>
      </c>
      <c r="B126" s="124" t="s">
        <v>127</v>
      </c>
      <c r="C126" s="232">
        <f>VLOOKUP(A126, TOCA_current!$A$3:$D$137, 4, FALSE)</f>
        <v>0</v>
      </c>
      <c r="D126" s="191">
        <v>0</v>
      </c>
      <c r="E126" s="107">
        <f>VLOOKUP($A126,TOCA_previous!$A$2:$AI$137,MATCH(E$4,TOCA_previous!$A$2:$AI$2,0),FALSE)</f>
        <v>3.8455E-3</v>
      </c>
      <c r="F126" s="108">
        <f>VLOOKUP($A126,TOCA_previous!$A$2:$AI$137,MATCH(F$4,TOCA_previous!$A$2:$AI$2,0),FALSE)</f>
        <v>3.8455E-3</v>
      </c>
      <c r="G126" s="108">
        <f t="shared" si="24"/>
        <v>0</v>
      </c>
      <c r="H126" s="108">
        <f>VLOOKUP($A126,TOCA_previous!$A$2:$AI$137,MATCH(H$4,TOCA_previous!$A$2:$AI$2,0),FALSE)</f>
        <v>0</v>
      </c>
      <c r="I126" s="108">
        <f t="shared" si="25"/>
        <v>0</v>
      </c>
      <c r="J126" s="108">
        <f t="shared" si="26"/>
        <v>0</v>
      </c>
      <c r="K126" s="179">
        <f>VLOOKUP(A126, IRD!$A$5:$C$139, 3, FALSE)</f>
        <v>0</v>
      </c>
      <c r="L126" s="180">
        <f t="array" ref="L126">IF($G126=0, INDEX(LS_previous!$D$4:$AY$138, MATCH('Staging Table'!$A126, LS_previous!$B$4:$B$138, 0), MATCH(L$4&amp;L$5, LS_previous!$D$2:$AY$2&amp;LS_previous!$D$3:$AY$3, 0)),SUM(VLOOKUP($A126, LS_previous!$B$4:$AY$138, LS_previous!D$149, FALSE), VLOOKUP('Staging Table'!$A126, LS_previous!$B$4:$AY$138,LS_previous!AB$149, FALSE))/2)</f>
        <v>-738.76396227126315</v>
      </c>
      <c r="M126" s="180">
        <f t="array" ref="M126">IF($G126=0, INDEX(LS_previous!$D$4:$AY$138, MATCH('Staging Table'!$A126, LS_previous!$B$4:$B$138, 0), MATCH(M$4&amp;M$5, LS_previous!$D$2:$AY$2&amp;LS_previous!$D$3:$AY$3, 0)),SUM(VLOOKUP($A126, LS_previous!$B$4:$AY$138, LS_previous!E$149, FALSE), VLOOKUP('Staging Table'!$A126, LS_previous!$B$4:$AY$138,LS_previous!AC$149, FALSE))/2)</f>
        <v>-289.97639777285167</v>
      </c>
      <c r="N126" s="180">
        <f t="array" ref="N126">IF($G126=0, INDEX(LS_previous!$D$4:$AY$138, MATCH('Staging Table'!$A126, LS_previous!$B$4:$B$138, 0), MATCH(N$4&amp;N$5, LS_previous!$D$2:$AY$2&amp;LS_previous!$D$3:$AY$3, 0)),SUM(VLOOKUP($A126, LS_previous!$B$4:$AY$138, LS_previous!F$149, FALSE), VLOOKUP('Staging Table'!$A126, LS_previous!$B$4:$AY$138,LS_previous!AD$149, FALSE))/2)</f>
        <v>-2056.015153371176</v>
      </c>
      <c r="O126" s="180">
        <f t="array" ref="O126">IF($G126=0, INDEX(LS_previous!$D$4:$AY$138, MATCH('Staging Table'!$A126, LS_previous!$B$4:$B$138, 0), MATCH(O$4&amp;O$5, LS_previous!$D$2:$AY$2&amp;LS_previous!$D$3:$AY$3, 0)),SUM(VLOOKUP($A126, LS_previous!$B$4:$AY$138, LS_previous!G$149, FALSE), VLOOKUP('Staging Table'!$A126, LS_previous!$B$4:$AY$138,LS_previous!AE$149, FALSE))/2)</f>
        <v>-738.46371688345425</v>
      </c>
      <c r="P126" s="180">
        <f t="array" ref="P126">IF($G126=0, INDEX(LS_previous!$D$4:$AY$138, MATCH('Staging Table'!$A126, LS_previous!$B$4:$B$138, 0), MATCH(P$4&amp;P$5, LS_previous!$D$2:$AY$2&amp;LS_previous!$D$3:$AY$3, 0)),SUM(VLOOKUP($A126, LS_previous!$B$4:$AY$138, LS_previous!H$149, FALSE), VLOOKUP('Staging Table'!$A126, LS_previous!$B$4:$AY$138,LS_previous!AF$149, FALSE))/2)</f>
        <v>2528.3883949483297</v>
      </c>
      <c r="Q126" s="180">
        <f t="array" ref="Q126">IF($G126=0, INDEX(LS_previous!$D$4:$AY$138, MATCH('Staging Table'!$A126, LS_previous!$B$4:$B$138, 0), MATCH(Q$4&amp;Q$5, LS_previous!$D$2:$AY$2&amp;LS_previous!$D$3:$AY$3, 0)),SUM(VLOOKUP($A126, LS_previous!$B$4:$AY$138, LS_previous!I$149, FALSE), VLOOKUP('Staging Table'!$A126, LS_previous!$B$4:$AY$138,LS_previous!AG$149, FALSE))/2)</f>
        <v>668.60959572902721</v>
      </c>
      <c r="R126" s="180">
        <f t="array" ref="R126">IF($G126=0, INDEX(LS_previous!$D$4:$AY$138, MATCH('Staging Table'!$A126, LS_previous!$B$4:$B$138, 0), MATCH(R$4&amp;R$5, LS_previous!$D$2:$AY$2&amp;LS_previous!$D$3:$AY$3, 0)),SUM(VLOOKUP($A126, LS_previous!$B$4:$AY$138, LS_previous!J$149, FALSE), VLOOKUP('Staging Table'!$A126, LS_previous!$B$4:$AY$138,LS_previous!AH$149, FALSE))/2)</f>
        <v>4440.1411667337852</v>
      </c>
      <c r="S126" s="180">
        <f t="array" ref="S126">IF($G126=0, INDEX(LS_previous!$D$4:$AY$138, MATCH('Staging Table'!$A126, LS_previous!$B$4:$B$138, 0), MATCH(S$4&amp;S$5, LS_previous!$D$2:$AY$2&amp;LS_previous!$D$3:$AY$3, 0)),SUM(VLOOKUP($A126, LS_previous!$B$4:$AY$138, LS_previous!K$149, FALSE), VLOOKUP('Staging Table'!$A126, LS_previous!$B$4:$AY$138,LS_previous!AI$149, FALSE))/2)</f>
        <v>2050.9938252465454</v>
      </c>
      <c r="T126" s="180">
        <f t="array" ref="T126">IF($G126=0, INDEX(LS_previous!$D$4:$AY$138, MATCH('Staging Table'!$A126, LS_previous!$B$4:$B$138, 0), MATCH(T$4&amp;T$5, LS_previous!$D$2:$AY$2&amp;LS_previous!$D$3:$AY$3, 0)),SUM(VLOOKUP($A126, LS_previous!$B$4:$AY$138, LS_previous!L$149, FALSE), VLOOKUP('Staging Table'!$A126, LS_previous!$B$4:$AY$138,LS_previous!AJ$149, FALSE))/2)</f>
        <v>3843.914137144935</v>
      </c>
      <c r="U126" s="180">
        <f t="array" ref="U126">IF($G126=0, INDEX(LS_previous!$D$4:$AY$138, MATCH('Staging Table'!$A126, LS_previous!$B$4:$B$138, 0), MATCH(U$4&amp;U$5, LS_previous!$D$2:$AY$2&amp;LS_previous!$D$3:$AY$3, 0)),SUM(VLOOKUP($A126, LS_previous!$B$4:$AY$138, LS_previous!M$149, FALSE), VLOOKUP('Staging Table'!$A126, LS_previous!$B$4:$AY$138,LS_previous!AK$149, FALSE))/2)</f>
        <v>1446.7460103680532</v>
      </c>
      <c r="V126" s="180">
        <f t="array" ref="V126">IF($G126=0, INDEX(LS_previous!$D$4:$AY$138, MATCH('Staging Table'!$A126, LS_previous!$B$4:$B$138, 0), MATCH(V$4&amp;V$5, LS_previous!$D$2:$AY$2&amp;LS_previous!$D$3:$AY$3, 0)),SUM(VLOOKUP($A126, LS_previous!$B$4:$AY$138, LS_previous!N$149, FALSE), VLOOKUP('Staging Table'!$A126, LS_previous!$B$4:$AY$138,LS_previous!AL$149, FALSE))/2)</f>
        <v>732.90915908162606</v>
      </c>
      <c r="W126" s="180">
        <f t="array" ref="W126">IF($G126=0, INDEX(LS_previous!$D$4:$AY$138, MATCH('Staging Table'!$A126, LS_previous!$B$4:$B$138, 0), MATCH(W$4&amp;W$5, LS_previous!$D$2:$AY$2&amp;LS_previous!$D$3:$AY$3, 0)),SUM(VLOOKUP($A126, LS_previous!$B$4:$AY$138, LS_previous!O$149, FALSE), VLOOKUP('Staging Table'!$A126, LS_previous!$B$4:$AY$138,LS_previous!AM$149, FALSE))/2)</f>
        <v>425.16606577111816</v>
      </c>
      <c r="X126" s="180">
        <f t="array" ref="X126">IF($G126=0, INDEX(LS_previous!$D$4:$AY$138, MATCH('Staging Table'!$A126, LS_previous!$B$4:$B$138, 0), MATCH(X$4&amp;X$5, LS_previous!$D$2:$AY$2&amp;LS_previous!$D$3:$AY$3, 0)),SUM(VLOOKUP($A126, LS_previous!$B$4:$AY$138, LS_previous!P$149, FALSE), VLOOKUP('Staging Table'!$A126, LS_previous!$B$4:$AY$138,LS_previous!AN$149, FALSE))/2)</f>
        <v>1417.4364261770279</v>
      </c>
      <c r="Y126" s="180">
        <f t="array" ref="Y126">IF($G126=0, INDEX(LS_previous!$D$4:$AY$138, MATCH('Staging Table'!$A126, LS_previous!$B$4:$B$138, 0), MATCH(Y$4&amp;Y$5, LS_previous!$D$2:$AY$2&amp;LS_previous!$D$3:$AY$3, 0)),SUM(VLOOKUP($A126, LS_previous!$B$4:$AY$138, LS_previous!Q$149, FALSE), VLOOKUP('Staging Table'!$A126, LS_previous!$B$4:$AY$138,LS_previous!AO$149, FALSE))/2)</f>
        <v>663.81646101929891</v>
      </c>
      <c r="Z126" s="180">
        <f t="array" ref="Z126">IF($G126=0, INDEX(LS_previous!$D$4:$AY$138, MATCH('Staging Table'!$A126, LS_previous!$B$4:$B$138, 0), MATCH(Z$4&amp;Z$5, LS_previous!$D$2:$AY$2&amp;LS_previous!$D$3:$AY$3, 0)),SUM(VLOOKUP($A126, LS_previous!$B$4:$AY$138, LS_previous!R$149, FALSE), VLOOKUP('Staging Table'!$A126, LS_previous!$B$4:$AY$138,LS_previous!AP$149, FALSE))/2)</f>
        <v>-4074.8445518649933</v>
      </c>
      <c r="AA126" s="180">
        <f t="array" ref="AA126">IF($G126=0, INDEX(LS_previous!$D$4:$AY$138, MATCH('Staging Table'!$A126, LS_previous!$B$4:$B$138, 0), MATCH(AA$4&amp;AA$5, LS_previous!$D$2:$AY$2&amp;LS_previous!$D$3:$AY$3, 0)),SUM(VLOOKUP($A126, LS_previous!$B$4:$AY$138, LS_previous!S$149, FALSE), VLOOKUP('Staging Table'!$A126, LS_previous!$B$4:$AY$138,LS_previous!AQ$149, FALSE))/2)</f>
        <v>-566.26299100763026</v>
      </c>
      <c r="AB126" s="180">
        <f t="array" ref="AB126">IF($G126=0, INDEX(LS_previous!$D$4:$AY$138, MATCH('Staging Table'!$A126, LS_previous!$B$4:$B$138, 0), MATCH(AB$4&amp;AB$5, LS_previous!$D$2:$AY$2&amp;LS_previous!$D$3:$AY$3, 0)),SUM(VLOOKUP($A126, LS_previous!$B$4:$AY$138, LS_previous!T$149, FALSE), VLOOKUP('Staging Table'!$A126, LS_previous!$B$4:$AY$138,LS_previous!AR$149, FALSE))/2)</f>
        <v>-4938.2945166377049</v>
      </c>
      <c r="AC126" s="180">
        <f t="array" ref="AC126">IF($G126=0, INDEX(LS_previous!$D$4:$AY$138, MATCH('Staging Table'!$A126, LS_previous!$B$4:$B$138, 0), MATCH(AC$4&amp;AC$5, LS_previous!$D$2:$AY$2&amp;LS_previous!$D$3:$AY$3, 0)),SUM(VLOOKUP($A126, LS_previous!$B$4:$AY$138, LS_previous!U$149, FALSE), VLOOKUP('Staging Table'!$A126, LS_previous!$B$4:$AY$138,LS_previous!AS$149, FALSE))/2)</f>
        <v>-439.39017136270832</v>
      </c>
      <c r="AD126" s="180">
        <f t="array" ref="AD126">IF($G126=0, INDEX(LS_previous!$D$4:$AY$138, MATCH('Staging Table'!$A126, LS_previous!$B$4:$B$138, 0), MATCH(AD$4&amp;AD$5, LS_previous!$D$2:$AY$2&amp;LS_previous!$D$3:$AY$3, 0)),SUM(VLOOKUP($A126, LS_previous!$B$4:$AY$138, LS_previous!V$149, FALSE), VLOOKUP('Staging Table'!$A126, LS_previous!$B$4:$AY$138,LS_previous!AT$149, FALSE))/2)</f>
        <v>-1113.5843169222535</v>
      </c>
      <c r="AE126" s="180">
        <f t="array" ref="AE126">IF($G126=0, INDEX(LS_previous!$D$4:$AY$138, MATCH('Staging Table'!$A126, LS_previous!$B$4:$B$138, 0), MATCH(AE$4&amp;AE$5, LS_previous!$D$2:$AY$2&amp;LS_previous!$D$3:$AY$3, 0)),SUM(VLOOKUP($A126, LS_previous!$B$4:$AY$138, LS_previous!W$149, FALSE), VLOOKUP('Staging Table'!$A126, LS_previous!$B$4:$AY$138,LS_previous!AU$149, FALSE))/2)</f>
        <v>400.38469498006725</v>
      </c>
      <c r="AF126" s="180">
        <f t="array" ref="AF126">IF($G126=0, INDEX(LS_previous!$D$4:$AY$138, MATCH('Staging Table'!$A126, LS_previous!$B$4:$B$138, 0), MATCH(AF$4&amp;AF$5, LS_previous!$D$2:$AY$2&amp;LS_previous!$D$3:$AY$3, 0)),SUM(VLOOKUP($A126, LS_previous!$B$4:$AY$138, LS_previous!X$149, FALSE), VLOOKUP('Staging Table'!$A126, LS_previous!$B$4:$AY$138,LS_previous!AV$149, FALSE))/2)</f>
        <v>-1125.7990755321989</v>
      </c>
      <c r="AG126" s="180">
        <f t="array" ref="AG126">IF($G126=0, INDEX(LS_previous!$D$4:$AY$138, MATCH('Staging Table'!$A126, LS_previous!$B$4:$B$138, 0), MATCH(AG$4&amp;AG$5, LS_previous!$D$2:$AY$2&amp;LS_previous!$D$3:$AY$3, 0)),SUM(VLOOKUP($A126, LS_previous!$B$4:$AY$138, LS_previous!Y$149, FALSE), VLOOKUP('Staging Table'!$A126, LS_previous!$B$4:$AY$138,LS_previous!AW$149, FALSE))/2)</f>
        <v>94.106632610202723</v>
      </c>
      <c r="AH126" s="180">
        <f t="array" ref="AH126">IF($G126=0, INDEX(LS_previous!$D$4:$AY$138, MATCH('Staging Table'!$A126, LS_previous!$B$4:$B$138, 0), MATCH(AH$4&amp;AH$5, LS_previous!$D$2:$AY$2&amp;LS_previous!$D$3:$AY$3, 0)),SUM(VLOOKUP($A126, LS_previous!$B$4:$AY$138, LS_previous!Z$149, FALSE), VLOOKUP('Staging Table'!$A126, LS_previous!$B$4:$AY$138,LS_previous!AX$149, FALSE))/2)</f>
        <v>-2341.4866435829135</v>
      </c>
      <c r="AI126" s="180">
        <f t="array" ref="AI126">IF($G126=0, INDEX(LS_previous!$D$4:$AY$138, MATCH('Staging Table'!$A126, LS_previous!$B$4:$B$138, 0), MATCH(AI$4&amp;AI$5, LS_previous!$D$2:$AY$2&amp;LS_previous!$D$3:$AY$3, 0)),SUM(VLOOKUP($A126, LS_previous!$B$4:$AY$138, LS_previous!AA$149, FALSE), VLOOKUP('Staging Table'!$A126, LS_previous!$B$4:$AY$138,LS_previous!AY$149, FALSE))/2)</f>
        <v>-742.55182663113192</v>
      </c>
      <c r="AJ126" s="298">
        <f t="array" ref="AJ126">INDEX(Demand_previous!$D$4:$AY$138, MATCH('Staging Table'!$A126, Demand_previous!$B$4:$B$138, 0), MATCH(AJ$4&amp;AJ$5,Demand_previous!$D$2:$AY$2&amp;Demand_previous!$D$3:$AY$3, 0))/1000</f>
        <v>0</v>
      </c>
      <c r="AK126" s="298">
        <f t="array" ref="AK126">INDEX(Demand_previous!$D$4:$AY$138, MATCH('Staging Table'!$A126, Demand_previous!$B$4:$B$138, 0), MATCH(AK$4&amp;AK$5,Demand_previous!$D$2:$AY$2&amp;Demand_previous!$D$3:$AY$3, 0))/1000</f>
        <v>0.62311749999999755</v>
      </c>
      <c r="AL126" s="298">
        <f t="array" ref="AL126">INDEX(Demand_previous!$D$4:$AY$138, MATCH('Staging Table'!$A126, Demand_previous!$B$4:$B$138, 0), MATCH(AL$4&amp;AL$5,Demand_previous!$D$2:$AY$2&amp;Demand_previous!$D$3:$AY$3, 0))/1000</f>
        <v>3.2886947115384597</v>
      </c>
      <c r="AM126" s="298">
        <f t="array" ref="AM126">INDEX(Demand_previous!$D$4:$AY$138, MATCH('Staging Table'!$A126, Demand_previous!$B$4:$B$138, 0), MATCH(AM$4&amp;AM$5,Demand_previous!$D$2:$AY$2&amp;Demand_previous!$D$3:$AY$3, 0))/1000</f>
        <v>7.6270225000000025</v>
      </c>
      <c r="AN126" s="298">
        <f t="array" ref="AN126">INDEX(Demand_previous!$D$4:$AY$138, MATCH('Staging Table'!$A126, Demand_previous!$B$4:$B$138, 0), MATCH(AN$4&amp;AN$5,Demand_previous!$D$2:$AY$2&amp;Demand_previous!$D$3:$AY$3, 0))/1000</f>
        <v>0</v>
      </c>
      <c r="AO126" s="298">
        <f t="array" ref="AO126">INDEX(Demand_previous!$D$4:$AY$138, MATCH('Staging Table'!$A126, Demand_previous!$B$4:$B$138, 0), MATCH(AO$4&amp;AO$5,Demand_previous!$D$2:$AY$2&amp;Demand_previous!$D$3:$AY$3, 0))/1000</f>
        <v>1.7222824074074135</v>
      </c>
      <c r="AP126" s="298">
        <f t="array" ref="AP126">INDEX(Demand_previous!$D$4:$AY$138, MATCH('Staging Table'!$A126, Demand_previous!$B$4:$B$138, 0), MATCH(AP$4&amp;AP$5,Demand_previous!$D$2:$AY$2&amp;Demand_previous!$D$3:$AY$3, 0))/1000</f>
        <v>3.568915865384616</v>
      </c>
      <c r="AQ126" s="298">
        <f t="array" ref="AQ126">INDEX(Demand_previous!$D$4:$AY$138, MATCH('Staging Table'!$A126, Demand_previous!$B$4:$B$138, 0), MATCH(AQ$4&amp;AQ$5,Demand_previous!$D$2:$AY$2&amp;Demand_previous!$D$3:$AY$3, 0))/1000</f>
        <v>4.7772325000000029</v>
      </c>
      <c r="AR126" s="298">
        <f t="array" ref="AR126">INDEX(Demand_previous!$D$4:$AY$138, MATCH('Staging Table'!$A126, Demand_previous!$B$4:$B$138, 0), MATCH(AR$4&amp;AR$5,Demand_previous!$D$2:$AY$2&amp;Demand_previous!$D$3:$AY$3, 0))/1000</f>
        <v>8.5790264423076934</v>
      </c>
      <c r="AS126" s="298">
        <f t="array" ref="AS126">INDEX(Demand_previous!$D$4:$AY$138, MATCH('Staging Table'!$A126, Demand_previous!$B$4:$B$138, 0), MATCH(AS$4&amp;AS$5,Demand_previous!$D$2:$AY$2&amp;Demand_previous!$D$3:$AY$3, 0))/1000</f>
        <v>8.2205050000000028</v>
      </c>
      <c r="AT126" s="298">
        <f t="array" ref="AT126">INDEX(Demand_previous!$D$4:$AY$138, MATCH('Staging Table'!$A126, Demand_previous!$B$4:$B$138, 0), MATCH(AT$4&amp;AT$5,Demand_previous!$D$2:$AY$2&amp;Demand_previous!$D$3:$AY$3, 0))/1000</f>
        <v>13.942659722222222</v>
      </c>
      <c r="AU126" s="298">
        <f t="array" ref="AU126">INDEX(Demand_previous!$D$4:$AY$138, MATCH('Staging Table'!$A126, Demand_previous!$B$4:$B$138, 0), MATCH(AU$4&amp;AU$5,Demand_previous!$D$2:$AY$2&amp;Demand_previous!$D$3:$AY$3, 0))/1000</f>
        <v>8.0754950000000036</v>
      </c>
      <c r="AV126" s="180">
        <f>$F126*(VLOOKUP(AV$4, Rates_previous!$G$6:$Q$29, 10, FALSE)+VLOOKUP(AV$4, Rates_previous!$G$6:$Q$29, 11, FALSE))</f>
        <v>17512.116360044118</v>
      </c>
      <c r="AW126" s="180">
        <f>$F126*(VLOOKUP(AW$4, Rates_previous!$G$6:$Q$29, 10, FALSE)+VLOOKUP(AW$4, Rates_previous!$G$6:$Q$29, 11, FALSE))</f>
        <v>22170.974870254635</v>
      </c>
      <c r="AX126" s="180">
        <f>$F126*(VLOOKUP(AX$4, Rates_previous!$G$6:$Q$29, 10, FALSE)+VLOOKUP(AX$4, Rates_previous!$G$6:$Q$29, 11, FALSE))</f>
        <v>21700.955009322646</v>
      </c>
      <c r="AY126" s="180">
        <f>$F126*(VLOOKUP(AY$4, Rates_previous!$G$6:$Q$29, 10, FALSE)+VLOOKUP(AY$4, Rates_previous!$G$6:$Q$29, 11, FALSE))</f>
        <v>17924.066008019669</v>
      </c>
      <c r="AZ126" s="180">
        <f>$F126*(VLOOKUP(AZ$4, Rates_previous!$G$6:$Q$29, 10, FALSE)+VLOOKUP(AZ$4, Rates_previous!$G$6:$Q$29, 11, FALSE))</f>
        <v>15535.180852487012</v>
      </c>
      <c r="BA126" s="180">
        <f>$F126*(VLOOKUP(BA$4, Rates_previous!$G$6:$Q$29, 10, FALSE)+VLOOKUP(BA$4, Rates_previous!$G$6:$Q$29, 11, FALSE))</f>
        <v>18545.868775147257</v>
      </c>
      <c r="BB126" s="180">
        <f>$F126*(VLOOKUP(BB$4, Rates_previous!$G$6:$Q$29, 10, FALSE)+VLOOKUP(BB$4, Rates_previous!$G$6:$Q$29, 11, FALSE))</f>
        <v>14398.398112803674</v>
      </c>
      <c r="BC126" s="180">
        <f>$F126*(VLOOKUP(BC$4, Rates_previous!$G$6:$Q$29, 10, FALSE)+VLOOKUP(BC$4, Rates_previous!$G$6:$Q$29, 11, FALSE))</f>
        <v>19949.086542872621</v>
      </c>
      <c r="BD126" s="180">
        <f>$F126*(VLOOKUP(BD$4, Rates_previous!$G$6:$Q$29, 10, FALSE)+VLOOKUP(BD$4, Rates_previous!$G$6:$Q$29, 11, FALSE))</f>
        <v>21316.016688000414</v>
      </c>
      <c r="BE126" s="180">
        <f>$F126*(VLOOKUP(BE$4, Rates_previous!$G$6:$Q$29, 10, FALSE)+VLOOKUP(BE$4, Rates_previous!$G$6:$Q$29, 11, FALSE))</f>
        <v>20238.592621942189</v>
      </c>
      <c r="BF126" s="180">
        <f>$F126*(VLOOKUP(BF$4, Rates_previous!$G$6:$Q$29, 10, FALSE)+VLOOKUP(BF$4, Rates_previous!$G$6:$Q$29, 11, FALSE))</f>
        <v>19559.038442921996</v>
      </c>
      <c r="BG126" s="180">
        <f>$F126*(VLOOKUP(BG$4, Rates_previous!$G$6:$Q$29, 10, FALSE)+VLOOKUP(BG$4, Rates_previous!$G$6:$Q$29, 11, FALSE))</f>
        <v>18074.590470214047</v>
      </c>
      <c r="BH126" s="298">
        <f>IF($D126=0,IF(C126=0, MAX(BJ126 - (VLOOKUP($A126,TOCA_previous!$A$2:$AI$137,MATCH("RHWM 2022",TOCA_previous!$A$2:$AI$2,0),FALSE)*$F$2*TOCA_previous!C123),0),0), 0)</f>
        <v>0</v>
      </c>
      <c r="BI126" s="192">
        <f>MIN(VLOOKUP($A126,TOCA_previous!$A$2:$AI$137,MATCH("TRL - NLSL - Existing Resource "&amp;$F$1,TOCA_previous!$A$2:$AI$2,0),FALSE)*$F$2,(VLOOKUP($A126,TOCA_previous!$A$2:$AI$137,MATCH("RHWM 2022",TOCA_previous!$A$2:$AI$2,0),FALSE)*$F$2))</f>
        <v>226927.80000000002</v>
      </c>
      <c r="BJ126" s="402">
        <f>SUM(L126:AI126)+(F126*RT1SC!$C$3*$F$2)</f>
        <v>226472.07560818974</v>
      </c>
      <c r="BK126" s="401">
        <f>VLOOKUP($A126,TOCA_previous!$A$2:$AI$137,MATCH("Above RHWM Not Served with LS "&amp;$F$1,TOCA_previous!$A$2:$AI$2,0),FALSE)*$F$2</f>
        <v>12395.4</v>
      </c>
      <c r="BL126" s="402">
        <f t="shared" si="27"/>
        <v>-455.72439181027585</v>
      </c>
      <c r="BM126" s="401">
        <f>(VLOOKUP($A126,TOCA_previous!$A$2:$AI$137,MATCH("RHWM 2022",TOCA_previous!$A$2:$AI$2,0),FALSE)*$F$2) - $BI126</f>
        <v>0</v>
      </c>
      <c r="BN126" s="402">
        <f t="shared" si="28"/>
        <v>0</v>
      </c>
      <c r="BO126" s="401">
        <f t="shared" si="29"/>
        <v>0</v>
      </c>
      <c r="BP126" s="402">
        <f t="shared" si="30"/>
        <v>0</v>
      </c>
      <c r="BQ126" s="401">
        <f t="shared" si="37"/>
        <v>0</v>
      </c>
      <c r="BR126" s="108">
        <f>VLOOKUP($A126,TOCA_current!$A$2:$AI$137,MATCH(BR$4,TOCA_current!$A$2:$AI$2,0),FALSE)</f>
        <v>3.8448000000000002E-3</v>
      </c>
      <c r="BS126" s="108">
        <f>VLOOKUP($A126,TOCA_current!$A$2:$AI$137,MATCH(BS$4,TOCA_current!$A$2:$AI$2,0),FALSE)</f>
        <v>3.8448000000000002E-3</v>
      </c>
      <c r="BT126" s="189">
        <f t="shared" si="31"/>
        <v>0</v>
      </c>
      <c r="BU126" s="108">
        <f>VLOOKUP($A126,TOCA_current!A122:BG257,MATCH(BU$4,TOCA_current!$A$2:$BG$2,0),FALSE)</f>
        <v>0</v>
      </c>
      <c r="BV126" s="108">
        <f t="shared" si="38"/>
        <v>0</v>
      </c>
      <c r="BW126" s="108">
        <f t="shared" si="39"/>
        <v>0</v>
      </c>
      <c r="BX126" s="179">
        <f>VLOOKUP($A126,IRD!$A$4:$G$139, 7, FALSE)</f>
        <v>0</v>
      </c>
      <c r="BY126" s="180">
        <f t="array" ref="BY126">IF($BT126=0, INDEX(LS_current!$D$4:$AY$138, MATCH('Staging Table'!$A126, LS_current!$B$4:$B$138, 0), MATCH(BY$4&amp;BY$5, LS_current!$D$2:$AY$2&amp;LS_current!$D$3:$AY$3, 0)),SUM(VLOOKUP($A126, LS_current!$B$4:$AY$138, LS_current!D$148, FALSE), VLOOKUP($A126, LS_current!$B$4:$AY$138,LS_current!AB$148, FALSE))/2)</f>
        <v>1268.1381703871975</v>
      </c>
      <c r="BZ126" s="180">
        <f t="array" ref="BZ126">IF($BT126=0, INDEX(LS_current!$D$4:$AY$138, MATCH('Staging Table'!$A126, LS_current!$B$4:$B$138, 0), MATCH(BZ$4&amp;BZ$5, LS_current!$D$2:$AY$2&amp;LS_current!$D$3:$AY$3, 0)),SUM(VLOOKUP($A126, LS_current!$B$4:$AY$138, LS_current!E$148, FALSE), VLOOKUP($A126, LS_current!$B$4:$AY$138,LS_current!AC$148, FALSE))/2)</f>
        <v>47.541127397599666</v>
      </c>
      <c r="CA126" s="180">
        <f t="array" ref="CA126">IF($BT126=0, INDEX(LS_current!$D$4:$AY$138, MATCH('Staging Table'!$A126, LS_current!$B$4:$B$138, 0), MATCH(CA$4&amp;CA$5, LS_current!$D$2:$AY$2&amp;LS_current!$D$3:$AY$3, 0)),SUM(VLOOKUP($A126, LS_current!$B$4:$AY$138, LS_current!F$148, FALSE), VLOOKUP($A126, LS_current!$B$4:$AY$138,LS_current!AD$148, FALSE))/2)</f>
        <v>-436.14787869440079</v>
      </c>
      <c r="CB126" s="180">
        <f t="array" ref="CB126">IF($BT126=0, INDEX(LS_current!$D$4:$AY$138, MATCH('Staging Table'!$A126, LS_current!$B$4:$B$138, 0), MATCH(CB$4&amp;CB$5, LS_current!$D$2:$AY$2&amp;LS_current!$D$3:$AY$3, 0)),SUM(VLOOKUP($A126, LS_current!$B$4:$AY$138, LS_current!G$148, FALSE), VLOOKUP($A126, LS_current!$B$4:$AY$138,LS_current!AE$148, FALSE))/2)</f>
        <v>146.42783953120033</v>
      </c>
      <c r="CC126" s="180">
        <f t="array" ref="CC126">IF($BT126=0, INDEX(LS_current!$D$4:$AY$138, MATCH('Staging Table'!$A126, LS_current!$B$4:$B$138, 0), MATCH(CC$4&amp;CC$5, LS_current!$D$2:$AY$2&amp;LS_current!$D$3:$AY$3, 0)),SUM(VLOOKUP($A126, LS_current!$B$4:$AY$138, LS_current!H$148, FALSE), VLOOKUP($A126, LS_current!$B$4:$AY$138,LS_current!AF$148, FALSE))/2)</f>
        <v>1978.8674306927987</v>
      </c>
      <c r="CD126" s="180">
        <f t="array" ref="CD126">IF($BT126=0, INDEX(LS_current!$D$4:$AY$138, MATCH('Staging Table'!$A126, LS_current!$B$4:$B$138, 0), MATCH(CD$4&amp;CD$5, LS_current!$D$2:$AY$2&amp;LS_current!$D$3:$AY$3, 0)),SUM(VLOOKUP($A126, LS_current!$B$4:$AY$138, LS_current!I$148, FALSE), VLOOKUP($A126, LS_current!$B$4:$AY$138,LS_current!AG$148, FALSE))/2)</f>
        <v>1647.0934376191981</v>
      </c>
      <c r="CE126" s="180">
        <f t="array" ref="CE126">IF($BT126=0, INDEX(LS_current!$D$4:$AY$138, MATCH('Staging Table'!$A126, LS_current!$B$4:$B$138, 0), MATCH(CE$4&amp;CE$5, LS_current!$D$2:$AY$2&amp;LS_current!$D$3:$AY$3, 0)),SUM(VLOOKUP($A126, LS_current!$B$4:$AY$138, LS_current!J$148, FALSE), VLOOKUP($A126, LS_current!$B$4:$AY$138,LS_current!AH$148, FALSE))/2)</f>
        <v>839.80349416799982</v>
      </c>
      <c r="CF126" s="180">
        <f t="array" ref="CF126">IF($BT126=0, INDEX(LS_current!$D$4:$AY$138, MATCH('Staging Table'!$A126, LS_current!$B$4:$B$138, 0), MATCH(CF$4&amp;CF$5, LS_current!$D$2:$AY$2&amp;LS_current!$D$3:$AY$3, 0)),SUM(VLOOKUP($A126, LS_current!$B$4:$AY$138, LS_current!K$148, FALSE), VLOOKUP($A126, LS_current!$B$4:$AY$138,LS_current!AI$148, FALSE))/2)</f>
        <v>1429.2889061007991</v>
      </c>
      <c r="CG126" s="180">
        <f t="array" ref="CG126">IF($BT126=0, INDEX(LS_current!$D$4:$AY$138, MATCH('Staging Table'!$A126, LS_current!$B$4:$B$138, 0), MATCH(CG$4&amp;CG$5, LS_current!$D$2:$AY$2&amp;LS_current!$D$3:$AY$3, 0)),SUM(VLOOKUP($A126, LS_current!$B$4:$AY$138, LS_current!L$148, FALSE), VLOOKUP($A126, LS_current!$B$4:$AY$138,LS_current!AJ$148, FALSE))/2)</f>
        <v>723.64684442080033</v>
      </c>
      <c r="CH126" s="180">
        <f t="array" ref="CH126">IF($BT126=0, INDEX(LS_current!$D$4:$AY$138, MATCH('Staging Table'!$A126, LS_current!$B$4:$B$138, 0), MATCH(CH$4&amp;CH$5, LS_current!$D$2:$AY$2&amp;LS_current!$D$3:$AY$3, 0)),SUM(VLOOKUP($A126, LS_current!$B$4:$AY$138, LS_current!M$148, FALSE), VLOOKUP($A126, LS_current!$B$4:$AY$138,LS_current!AK$148, FALSE))/2)</f>
        <v>1098.9549480367996</v>
      </c>
      <c r="CI126" s="180">
        <f t="array" ref="CI126">IF($BT126=0, INDEX(LS_current!$D$4:$AY$138, MATCH('Staging Table'!$A126, LS_current!$B$4:$B$138, 0), MATCH(CI$4&amp;CI$5, LS_current!$D$2:$AY$2&amp;LS_current!$D$3:$AY$3, 0)),SUM(VLOOKUP($A126, LS_current!$B$4:$AY$138, LS_current!N$148, FALSE), VLOOKUP($A126, LS_current!$B$4:$AY$138,LS_current!AL$148, FALSE))/2)</f>
        <v>-530.30700566240193</v>
      </c>
      <c r="CJ126" s="180">
        <f t="array" ref="CJ126">IF($BT126=0, INDEX(LS_current!$D$4:$AY$138, MATCH('Staging Table'!$A126, LS_current!$B$4:$B$138, 0), MATCH(CJ$4&amp;CJ$5, LS_current!$D$2:$AY$2&amp;LS_current!$D$3:$AY$3, 0)),SUM(VLOOKUP($A126, LS_current!$B$4:$AY$138, LS_current!O$148, FALSE), VLOOKUP($A126, LS_current!$B$4:$AY$138,LS_current!AM$148, FALSE))/2)</f>
        <v>-500.35145205440131</v>
      </c>
      <c r="CK126" s="180">
        <f t="array" ref="CK126">IF($BT126=0, INDEX(LS_current!$D$4:$AY$138, MATCH('Staging Table'!$A126, LS_current!$B$4:$B$138, 0), MATCH(CK$4&amp;CK$5, LS_current!$D$2:$AY$2&amp;LS_current!$D$3:$AY$3, 0)),SUM(VLOOKUP($A126, LS_current!$B$4:$AY$138, LS_current!P$148, FALSE), VLOOKUP($A126, LS_current!$B$4:$AY$138,LS_current!AN$148, FALSE))/2)</f>
        <v>411.73757706800097</v>
      </c>
      <c r="CL126" s="180">
        <f t="array" ref="CL126">IF($BT126=0, INDEX(LS_current!$D$4:$AY$138, MATCH('Staging Table'!$A126, LS_current!$B$4:$B$138, 0), MATCH(CL$4&amp;CL$5, LS_current!$D$2:$AY$2&amp;LS_current!$D$3:$AY$3, 0)),SUM(VLOOKUP($A126, LS_current!$B$4:$AY$138, LS_current!Q$148, FALSE), VLOOKUP($A126, LS_current!$B$4:$AY$138,LS_current!AO$148, FALSE))/2)</f>
        <v>-109.62071773639946</v>
      </c>
      <c r="CM126" s="180">
        <f t="array" ref="CM126">IF($BT126=0, INDEX(LS_current!$D$4:$AY$138, MATCH('Staging Table'!$A126, LS_current!$B$4:$B$138, 0), MATCH(CM$4&amp;CM$5, LS_current!$D$2:$AY$2&amp;LS_current!$D$3:$AY$3, 0)),SUM(VLOOKUP($A126, LS_current!$B$4:$AY$138, LS_current!R$148, FALSE), VLOOKUP($A126, LS_current!$B$4:$AY$138,LS_current!AP$148, FALSE))/2)</f>
        <v>-3030.0544171904021</v>
      </c>
      <c r="CN126" s="180">
        <f t="array" ref="CN126">IF($BT126=0, INDEX(LS_current!$D$4:$AY$138, MATCH('Staging Table'!$A126, LS_current!$B$4:$B$138, 0), MATCH(CN$4&amp;CN$5, LS_current!$D$2:$AY$2&amp;LS_current!$D$3:$AY$3, 0)),SUM(VLOOKUP($A126, LS_current!$B$4:$AY$138, LS_current!S$148, FALSE), VLOOKUP($A126, LS_current!$B$4:$AY$138,LS_current!AQ$148, FALSE))/2)</f>
        <v>-1943.5635006007997</v>
      </c>
      <c r="CO126" s="180">
        <f t="array" ref="CO126">IF($BT126=0, INDEX(LS_current!$D$4:$AY$138, MATCH('Staging Table'!$A126, LS_current!$B$4:$B$138, 0), MATCH(CO$4&amp;CO$5, LS_current!$D$2:$AY$2&amp;LS_current!$D$3:$AY$3, 0)),SUM(VLOOKUP($A126, LS_current!$B$4:$AY$138, LS_current!T$148, FALSE), VLOOKUP($A126, LS_current!$B$4:$AY$138,LS_current!AR$148, FALSE))/2)</f>
        <v>-2836.1694738848</v>
      </c>
      <c r="CP126" s="180">
        <f t="array" ref="CP126">IF($BT126=0, INDEX(LS_current!$D$4:$AY$138, MATCH('Staging Table'!$A126, LS_current!$B$4:$B$138, 0), MATCH(CP$4&amp;CP$5, LS_current!$D$2:$AY$2&amp;LS_current!$D$3:$AY$3, 0)),SUM(VLOOKUP($A126, LS_current!$B$4:$AY$138, LS_current!U$148, FALSE), VLOOKUP($A126, LS_current!$B$4:$AY$138,LS_current!AS$148, FALSE))/2)</f>
        <v>-2003.9577295416002</v>
      </c>
      <c r="CQ126" s="180">
        <f t="array" ref="CQ126">IF($BT126=0, INDEX(LS_current!$D$4:$AY$138, MATCH('Staging Table'!$A126, LS_current!$B$4:$B$138, 0), MATCH(CQ$4&amp;CQ$5, LS_current!$D$2:$AY$2&amp;LS_current!$D$3:$AY$3, 0)),SUM(VLOOKUP($A126, LS_current!$B$4:$AY$138, LS_current!V$148, FALSE), VLOOKUP($A126, LS_current!$B$4:$AY$138,LS_current!AT$148, FALSE))/2)</f>
        <v>1140.0742737727996</v>
      </c>
      <c r="CR126" s="180">
        <f t="array" ref="CR126">IF($BT126=0, INDEX(LS_current!$D$4:$AY$138, MATCH('Staging Table'!$A126, LS_current!$B$4:$B$138, 0), MATCH(CR$4&amp;CR$5, LS_current!$D$2:$AY$2&amp;LS_current!$D$3:$AY$3, 0)),SUM(VLOOKUP($A126, LS_current!$B$4:$AY$138, LS_current!W$148, FALSE), VLOOKUP($A126, LS_current!$B$4:$AY$138,LS_current!AU$148, FALSE))/2)</f>
        <v>514.91744178799945</v>
      </c>
      <c r="CS126" s="180">
        <f t="array" ref="CS126">IF($BT126=0, INDEX(LS_current!$D$4:$AY$138, MATCH('Staging Table'!$A126, LS_current!$B$4:$B$138, 0), MATCH(CS$4&amp;CS$5, LS_current!$D$2:$AY$2&amp;LS_current!$D$3:$AY$3, 0)),SUM(VLOOKUP($A126, LS_current!$B$4:$AY$138, LS_current!X$148, FALSE), VLOOKUP($A126, LS_current!$B$4:$AY$138,LS_current!AV$148, FALSE))/2)</f>
        <v>1052.5929486167988</v>
      </c>
      <c r="CT126" s="180">
        <f t="array" ref="CT126">IF($BT126=0, INDEX(LS_current!$D$4:$AY$138, MATCH('Staging Table'!$A126, LS_current!$B$4:$B$138, 0), MATCH(CT$4&amp;CT$5, LS_current!$D$2:$AY$2&amp;LS_current!$D$3:$AY$3, 0)),SUM(VLOOKUP($A126, LS_current!$B$4:$AY$138, LS_current!Y$148, FALSE), VLOOKUP($A126, LS_current!$B$4:$AY$138,LS_current!AW$148, FALSE))/2)</f>
        <v>233.84603059272013</v>
      </c>
      <c r="CU126" s="180">
        <f t="array" ref="CU126">IF($BT126=0, INDEX(LS_current!$D$4:$AY$138, MATCH('Staging Table'!$A126, LS_current!$B$4:$B$138, 0), MATCH(CU$4&amp;CU$5, LS_current!$D$2:$AY$2&amp;LS_current!$D$3:$AY$3, 0)),SUM(VLOOKUP($A126, LS_current!$B$4:$AY$138, LS_current!Z$148, FALSE), VLOOKUP($A126, LS_current!$B$4:$AY$138,LS_current!AX$148, FALSE))/2)</f>
        <v>-294.1126758752016</v>
      </c>
      <c r="CV126" s="180">
        <f t="array" ref="CV126">IF($BT126=0, INDEX(LS_current!$D$4:$AY$138, MATCH('Staging Table'!$A126, LS_current!$B$4:$B$138, 0), MATCH(CV$4&amp;CV$5, LS_current!$D$2:$AY$2&amp;LS_current!$D$3:$AY$3, 0)),SUM(VLOOKUP($A126, LS_current!$B$4:$AY$138, LS_current!AA$148, FALSE), VLOOKUP($A126, LS_current!$B$4:$AY$138,LS_current!AY$148, FALSE))/2)</f>
        <v>-530.25153105920072</v>
      </c>
      <c r="CW126" s="182">
        <f t="array" ref="CW126">INDEX(Demand_current!$D$4:$AY$138, MATCH($A126, Demand_current!$B$4:$B$138, 0), MATCH(CW$4&amp;CW$5,Demand_current!$D$2:$AY$2&amp;Demand_current!$D$3:$AY$3, 0))/1000</f>
        <v>0</v>
      </c>
      <c r="CX126" s="182">
        <f t="array" ref="CX126">INDEX(Demand_current!$D$4:$AY$138, MATCH($A126, Demand_current!$B$4:$B$138, 0), MATCH(CX$4&amp;CX$5,Demand_current!$D$2:$AY$2&amp;Demand_current!$D$3:$AY$3, 0))/1000</f>
        <v>0.62311749999999755</v>
      </c>
      <c r="CY126" s="182">
        <f t="array" ref="CY126">INDEX(Demand_current!$D$4:$AY$138, MATCH($A126, Demand_current!$B$4:$B$138, 0), MATCH(CY$4&amp;CY$5,Demand_current!$D$2:$AY$2&amp;Demand_current!$D$3:$AY$3, 0))/1000</f>
        <v>1.796922499999992</v>
      </c>
      <c r="CZ126" s="182">
        <f t="array" ref="CZ126">INDEX(Demand_current!$D$4:$AY$138, MATCH($A126, Demand_current!$B$4:$B$138, 0), MATCH(CZ$4&amp;CZ$5,Demand_current!$D$2:$AY$2&amp;Demand_current!$D$3:$AY$3, 0))/1000</f>
        <v>9.0888293269230758</v>
      </c>
      <c r="DA126" s="182">
        <f t="array" ref="DA126">INDEX(Demand_current!$D$4:$AY$138, MATCH($A126, Demand_current!$B$4:$B$138, 0), MATCH(DA$4&amp;DA$5,Demand_current!$D$2:$AY$2&amp;Demand_current!$D$3:$AY$3, 0))/1000</f>
        <v>1.2013225000000016</v>
      </c>
      <c r="DB126" s="182">
        <f t="array" ref="DB126">INDEX(Demand_current!$D$4:$AY$138, MATCH($A126, Demand_current!$B$4:$B$138, 0), MATCH(DB$4&amp;DB$5,Demand_current!$D$2:$AY$2&amp;Demand_current!$D$3:$AY$3, 0))/1000</f>
        <v>0.58856250000000632</v>
      </c>
      <c r="DC126" s="182">
        <f t="array" ref="DC126">INDEX(Demand_current!$D$4:$AY$138, MATCH($A126, Demand_current!$B$4:$B$138, 0), MATCH(DC$4&amp;DC$5,Demand_current!$D$2:$AY$2&amp;Demand_current!$D$3:$AY$3, 0))/1000</f>
        <v>3.568915865384616</v>
      </c>
      <c r="DD126" s="182">
        <f t="array" ref="DD126">INDEX(Demand_current!$D$4:$AY$138, MATCH($A126, Demand_current!$B$4:$B$138, 0), MATCH(DD$4&amp;DD$5,Demand_current!$D$2:$AY$2&amp;Demand_current!$D$3:$AY$3, 0))/1000</f>
        <v>5.7324158653846196</v>
      </c>
      <c r="DE126" s="182">
        <f t="array" ref="DE126">INDEX(Demand_current!$D$4:$AY$138, MATCH($A126, Demand_current!$B$4:$B$138, 0), MATCH(DE$4&amp;DE$5,Demand_current!$D$2:$AY$2&amp;Demand_current!$D$3:$AY$3, 0))/1000</f>
        <v>7.5356275000000004</v>
      </c>
      <c r="DF126" s="182">
        <f t="array" ref="DF126">INDEX(Demand_current!$D$4:$AY$138, MATCH($A126, Demand_current!$B$4:$B$138, 0), MATCH(DF$4&amp;DF$5,Demand_current!$D$2:$AY$2&amp;Demand_current!$D$3:$AY$3, 0))/1000</f>
        <v>9.4639855769230792</v>
      </c>
      <c r="DG126" s="182">
        <f t="array" ref="DG126">INDEX(Demand_current!$D$4:$AY$138, MATCH($A126, Demand_current!$B$4:$B$138, 0), MATCH(DG$4&amp;DG$5,Demand_current!$D$2:$AY$2&amp;Demand_current!$D$3:$AY$3, 0))/1000</f>
        <v>13.942659722222222</v>
      </c>
      <c r="DH126" s="182">
        <f t="array" ref="DH126">INDEX(Demand_current!$D$4:$AY$138, MATCH($A126, Demand_current!$B$4:$B$138, 0), MATCH(DH$4&amp;DH$5,Demand_current!$D$2:$AY$2&amp;Demand_current!$D$3:$AY$3, 0))/1000</f>
        <v>7.0588489583333347</v>
      </c>
      <c r="DI126" s="180">
        <f>$BS126*(VLOOKUP(DI$4, Rates_current!$G$6:$Q$29, 10, FALSE)+VLOOKUP(DI$4, Rates_current!$G$6:$Q$29, 11, FALSE))</f>
        <v>16220.4567022152</v>
      </c>
      <c r="DJ126" s="180">
        <f>$BS126*(VLOOKUP(DJ$4, Rates_current!$G$6:$Q$29, 10, FALSE)+VLOOKUP(DJ$4, Rates_current!$G$6:$Q$29, 11, FALSE))</f>
        <v>20686.431039163203</v>
      </c>
      <c r="DK126" s="180">
        <f>$BS126*(VLOOKUP(DK$4, Rates_current!$G$6:$Q$29, 10, FALSE)+VLOOKUP(DK$4, Rates_current!$G$6:$Q$29, 11, FALSE))</f>
        <v>22324.752131688005</v>
      </c>
      <c r="DL126" s="180">
        <f>$BS126*(VLOOKUP(DL$4, Rates_current!$G$6:$Q$29, 10, FALSE)+VLOOKUP(DL$4, Rates_current!$G$6:$Q$29, 11, FALSE))</f>
        <v>23198.868599731202</v>
      </c>
      <c r="DM126" s="180">
        <f>$BS126*(VLOOKUP(DM$4, Rates_current!$G$6:$Q$29, 10, FALSE)+VLOOKUP(DM$4, Rates_current!$G$6:$Q$29, 11, FALSE))</f>
        <v>19954.119207542401</v>
      </c>
      <c r="DN126" s="180">
        <f>$BS126*(VLOOKUP(DN$4, Rates_current!$G$6:$Q$29, 10, FALSE)+VLOOKUP(DN$4, Rates_current!$G$6:$Q$29, 11, FALSE))</f>
        <v>21785.9474577168</v>
      </c>
      <c r="DO126" s="180">
        <f>$BS126*(VLOOKUP(DO$4, Rates_current!$G$6:$Q$29, 10, FALSE)+VLOOKUP(DO$4, Rates_current!$G$6:$Q$29, 11, FALSE))</f>
        <v>17196.334140668401</v>
      </c>
      <c r="DP126" s="180">
        <f>$BS126*(VLOOKUP(DP$4, Rates_current!$G$6:$Q$29, 10, FALSE)+VLOOKUP(DP$4, Rates_current!$G$6:$Q$29, 11, FALSE))</f>
        <v>21334.356917791203</v>
      </c>
      <c r="DQ126" s="180">
        <f>$BS126*(VLOOKUP(DQ$4, Rates_current!$G$6:$Q$29, 10, FALSE)+VLOOKUP(DQ$4, Rates_current!$G$6:$Q$29, 11, FALSE))</f>
        <v>21797.259203426398</v>
      </c>
      <c r="DR126" s="180">
        <f>$BS126*(VLOOKUP(DR$4, Rates_current!$G$6:$Q$29, 10, FALSE)+VLOOKUP(DR$4, Rates_current!$G$6:$Q$29, 11, FALSE))</f>
        <v>18923.1612844392</v>
      </c>
      <c r="DS126" s="180">
        <f>$BS126*(VLOOKUP(DS$4, Rates_current!$G$6:$Q$29, 10, FALSE)+VLOOKUP(DS$4, Rates_current!$G$6:$Q$29, 11, FALSE))</f>
        <v>18293.667020790483</v>
      </c>
      <c r="DT126" s="180">
        <f>$BS126*(VLOOKUP(DT$4, Rates_current!$G$6:$Q$29, 10, FALSE)+VLOOKUP(DT$4, Rates_current!$G$6:$Q$29, 11, FALSE))</f>
        <v>16833.716206934401</v>
      </c>
      <c r="DU126" s="402">
        <f>IF(D126=0,IF(C126=0,MAX(0,DW126 - (VLOOKUP($A126,TOCA_current!$A$2:$AI$137,MATCH("RHWM 2024",TOCA_current!$A$2:$AI$2,0),FALSE)*$BS$2)), 0),0)</f>
        <v>320.37709346113843</v>
      </c>
      <c r="DV126" s="403">
        <f>MIN(VLOOKUP($A126,TOCA_current!$A$2:$AI$137,MATCH("TRL - NLSL - Existing Resource "&amp;$BS$1,TOCA_current!$A$2:$AI$2,0),FALSE)*$BS$2, VLOOKUP($A126,TOCA_current!$A$2:$AI$137,MATCH("RHWM 2024",TOCA_current!$A$2:$AI$2,0),FALSE)*$BS$2)</f>
        <v>238547.08799999999</v>
      </c>
      <c r="DW126" s="403">
        <f>SUM(BY126:CV126)+(BS126*RT1SC!$C$4*$BS$2)</f>
        <v>238867.46509346113</v>
      </c>
      <c r="DX126" s="403">
        <f>VLOOKUP($A126,TOCA_current!$A$2:$AI$137,MATCH("Above RHWM Not Served with LS "&amp;$BS$1,TOCA_current!$A$2:$AI$2,0),FALSE)*$BS$2</f>
        <v>0</v>
      </c>
      <c r="DY126" s="403">
        <f t="shared" si="32"/>
        <v>320.37709346113843</v>
      </c>
      <c r="DZ126" s="403">
        <f>(VLOOKUP($A126,TOCA_current!$A$2:$AI$137,MATCH("RHWM 2024",TOCA_current!$A$2:$AI$2,0),FALSE)*$BS$2) - $DV126</f>
        <v>0</v>
      </c>
      <c r="EA126" s="403">
        <f t="shared" si="33"/>
        <v>0</v>
      </c>
      <c r="EB126" s="403">
        <f t="shared" si="34"/>
        <v>0</v>
      </c>
      <c r="EC126" s="403">
        <f t="shared" si="35"/>
        <v>0</v>
      </c>
      <c r="ED126" s="403">
        <f t="shared" si="36"/>
        <v>0</v>
      </c>
    </row>
    <row r="127" spans="1:134">
      <c r="A127" s="123">
        <v>10436</v>
      </c>
      <c r="B127" s="124" t="s">
        <v>128</v>
      </c>
      <c r="C127" s="232">
        <f>VLOOKUP(A127, TOCA_current!$A$3:$D$137, 4, FALSE)</f>
        <v>0</v>
      </c>
      <c r="D127" s="191">
        <v>0</v>
      </c>
      <c r="E127" s="107">
        <f>VLOOKUP($A127,TOCA_previous!$A$2:$AI$137,MATCH(E$4,TOCA_previous!$A$2:$AI$2,0),FALSE)</f>
        <v>2.712E-3</v>
      </c>
      <c r="F127" s="108">
        <f>VLOOKUP($A127,TOCA_previous!$A$2:$AI$137,MATCH(F$4,TOCA_previous!$A$2:$AI$2,0),FALSE)</f>
        <v>2.712E-3</v>
      </c>
      <c r="G127" s="108">
        <f t="shared" si="24"/>
        <v>0</v>
      </c>
      <c r="H127" s="108">
        <f>VLOOKUP($A127,TOCA_previous!$A$2:$AI$137,MATCH(H$4,TOCA_previous!$A$2:$AI$2,0),FALSE)</f>
        <v>8.1350000000000006E-2</v>
      </c>
      <c r="I127" s="108">
        <f t="shared" si="25"/>
        <v>0</v>
      </c>
      <c r="J127" s="108">
        <f t="shared" si="26"/>
        <v>0</v>
      </c>
      <c r="K127" s="179">
        <f>VLOOKUP(A127, IRD!$A$5:$C$139, 3, FALSE)</f>
        <v>38863.257999999994</v>
      </c>
      <c r="L127" s="180">
        <f t="array" ref="L127">IF($G127=0, INDEX(LS_previous!$D$4:$AY$138, MATCH('Staging Table'!$A127, LS_previous!$B$4:$B$138, 0), MATCH(L$4&amp;L$5, LS_previous!$D$2:$AY$2&amp;LS_previous!$D$3:$AY$3, 0)),SUM(VLOOKUP($A127, LS_previous!$B$4:$AY$138, LS_previous!D$149, FALSE), VLOOKUP('Staging Table'!$A127, LS_previous!$B$4:$AY$138,LS_previous!AB$149, FALSE))/2)</f>
        <v>-1111.0931974202749</v>
      </c>
      <c r="M127" s="180">
        <f t="array" ref="M127">IF($G127=0, INDEX(LS_previous!$D$4:$AY$138, MATCH('Staging Table'!$A127, LS_previous!$B$4:$B$138, 0), MATCH(M$4&amp;M$5, LS_previous!$D$2:$AY$2&amp;LS_previous!$D$3:$AY$3, 0)),SUM(VLOOKUP($A127, LS_previous!$B$4:$AY$138, LS_previous!E$149, FALSE), VLOOKUP('Staging Table'!$A127, LS_previous!$B$4:$AY$138,LS_previous!AC$149, FALSE))/2)</f>
        <v>55.154168311019021</v>
      </c>
      <c r="N127" s="180">
        <f t="array" ref="N127">IF($G127=0, INDEX(LS_previous!$D$4:$AY$138, MATCH('Staging Table'!$A127, LS_previous!$B$4:$B$138, 0), MATCH(N$4&amp;N$5, LS_previous!$D$2:$AY$2&amp;LS_previous!$D$3:$AY$3, 0)),SUM(VLOOKUP($A127, LS_previous!$B$4:$AY$138, LS_previous!F$149, FALSE), VLOOKUP('Staging Table'!$A127, LS_previous!$B$4:$AY$138,LS_previous!AD$149, FALSE))/2)</f>
        <v>-2780.3943025465169</v>
      </c>
      <c r="O127" s="180">
        <f t="array" ref="O127">IF($G127=0, INDEX(LS_previous!$D$4:$AY$138, MATCH('Staging Table'!$A127, LS_previous!$B$4:$B$138, 0), MATCH(O$4&amp;O$5, LS_previous!$D$2:$AY$2&amp;LS_previous!$D$3:$AY$3, 0)),SUM(VLOOKUP($A127, LS_previous!$B$4:$AY$138, LS_previous!G$149, FALSE), VLOOKUP('Staging Table'!$A127, LS_previous!$B$4:$AY$138,LS_previous!AE$149, FALSE))/2)</f>
        <v>-699.85059346975231</v>
      </c>
      <c r="P127" s="180">
        <f t="array" ref="P127">IF($G127=0, INDEX(LS_previous!$D$4:$AY$138, MATCH('Staging Table'!$A127, LS_previous!$B$4:$B$138, 0), MATCH(P$4&amp;P$5, LS_previous!$D$2:$AY$2&amp;LS_previous!$D$3:$AY$3, 0)),SUM(VLOOKUP($A127, LS_previous!$B$4:$AY$138, LS_previous!H$149, FALSE), VLOOKUP('Staging Table'!$A127, LS_previous!$B$4:$AY$138,LS_previous!AF$149, FALSE))/2)</f>
        <v>610.89114083990717</v>
      </c>
      <c r="Q127" s="180">
        <f t="array" ref="Q127">IF($G127=0, INDEX(LS_previous!$D$4:$AY$138, MATCH('Staging Table'!$A127, LS_previous!$B$4:$B$138, 0), MATCH(Q$4&amp;Q$5, LS_previous!$D$2:$AY$2&amp;LS_previous!$D$3:$AY$3, 0)),SUM(VLOOKUP($A127, LS_previous!$B$4:$AY$138, LS_previous!I$149, FALSE), VLOOKUP('Staging Table'!$A127, LS_previous!$B$4:$AY$138,LS_previous!AG$149, FALSE))/2)</f>
        <v>657.47671853260272</v>
      </c>
      <c r="R127" s="180">
        <f t="array" ref="R127">IF($G127=0, INDEX(LS_previous!$D$4:$AY$138, MATCH('Staging Table'!$A127, LS_previous!$B$4:$B$138, 0), MATCH(R$4&amp;R$5, LS_previous!$D$2:$AY$2&amp;LS_previous!$D$3:$AY$3, 0)),SUM(VLOOKUP($A127, LS_previous!$B$4:$AY$138, LS_previous!J$149, FALSE), VLOOKUP('Staging Table'!$A127, LS_previous!$B$4:$AY$138,LS_previous!AH$149, FALSE))/2)</f>
        <v>2006.7177852508203</v>
      </c>
      <c r="S127" s="180">
        <f t="array" ref="S127">IF($G127=0, INDEX(LS_previous!$D$4:$AY$138, MATCH('Staging Table'!$A127, LS_previous!$B$4:$B$138, 0), MATCH(S$4&amp;S$5, LS_previous!$D$2:$AY$2&amp;LS_previous!$D$3:$AY$3, 0)),SUM(VLOOKUP($A127, LS_previous!$B$4:$AY$138, LS_previous!K$149, FALSE), VLOOKUP('Staging Table'!$A127, LS_previous!$B$4:$AY$138,LS_previous!AI$149, FALSE))/2)</f>
        <v>1677.8298608941959</v>
      </c>
      <c r="T127" s="180">
        <f t="array" ref="T127">IF($G127=0, INDEX(LS_previous!$D$4:$AY$138, MATCH('Staging Table'!$A127, LS_previous!$B$4:$B$138, 0), MATCH(T$4&amp;T$5, LS_previous!$D$2:$AY$2&amp;LS_previous!$D$3:$AY$3, 0)),SUM(VLOOKUP($A127, LS_previous!$B$4:$AY$138, LS_previous!L$149, FALSE), VLOOKUP('Staging Table'!$A127, LS_previous!$B$4:$AY$138,LS_previous!AJ$149, FALSE))/2)</f>
        <v>1467.8293900499439</v>
      </c>
      <c r="U127" s="180">
        <f t="array" ref="U127">IF($G127=0, INDEX(LS_previous!$D$4:$AY$138, MATCH('Staging Table'!$A127, LS_previous!$B$4:$B$138, 0), MATCH(U$4&amp;U$5, LS_previous!$D$2:$AY$2&amp;LS_previous!$D$3:$AY$3, 0)),SUM(VLOOKUP($A127, LS_previous!$B$4:$AY$138, LS_previous!M$149, FALSE), VLOOKUP('Staging Table'!$A127, LS_previous!$B$4:$AY$138,LS_previous!AK$149, FALSE))/2)</f>
        <v>1080.9643622723088</v>
      </c>
      <c r="V127" s="180">
        <f t="array" ref="V127">IF($G127=0, INDEX(LS_previous!$D$4:$AY$138, MATCH('Staging Table'!$A127, LS_previous!$B$4:$B$138, 0), MATCH(V$4&amp;V$5, LS_previous!$D$2:$AY$2&amp;LS_previous!$D$3:$AY$3, 0)),SUM(VLOOKUP($A127, LS_previous!$B$4:$AY$138, LS_previous!N$149, FALSE), VLOOKUP('Staging Table'!$A127, LS_previous!$B$4:$AY$138,LS_previous!AL$149, FALSE))/2)</f>
        <v>-547.54504955678658</v>
      </c>
      <c r="W127" s="180">
        <f t="array" ref="W127">IF($G127=0, INDEX(LS_previous!$D$4:$AY$138, MATCH('Staging Table'!$A127, LS_previous!$B$4:$B$138, 0), MATCH(W$4&amp;W$5, LS_previous!$D$2:$AY$2&amp;LS_previous!$D$3:$AY$3, 0)),SUM(VLOOKUP($A127, LS_previous!$B$4:$AY$138, LS_previous!O$149, FALSE), VLOOKUP('Staging Table'!$A127, LS_previous!$B$4:$AY$138,LS_previous!AM$149, FALSE))/2)</f>
        <v>427.82558012515256</v>
      </c>
      <c r="X127" s="180">
        <f t="array" ref="X127">IF($G127=0, INDEX(LS_previous!$D$4:$AY$138, MATCH('Staging Table'!$A127, LS_previous!$B$4:$B$138, 0), MATCH(X$4&amp;X$5, LS_previous!$D$2:$AY$2&amp;LS_previous!$D$3:$AY$3, 0)),SUM(VLOOKUP($A127, LS_previous!$B$4:$AY$138, LS_previous!P$149, FALSE), VLOOKUP('Staging Table'!$A127, LS_previous!$B$4:$AY$138,LS_previous!AN$149, FALSE))/2)</f>
        <v>581.54542862881226</v>
      </c>
      <c r="Y127" s="180">
        <f t="array" ref="Y127">IF($G127=0, INDEX(LS_previous!$D$4:$AY$138, MATCH('Staging Table'!$A127, LS_previous!$B$4:$B$138, 0), MATCH(Y$4&amp;Y$5, LS_previous!$D$2:$AY$2&amp;LS_previous!$D$3:$AY$3, 0)),SUM(VLOOKUP($A127, LS_previous!$B$4:$AY$138, LS_previous!Q$149, FALSE), VLOOKUP('Staging Table'!$A127, LS_previous!$B$4:$AY$138,LS_previous!AO$149, FALSE))/2)</f>
        <v>883.53885886993567</v>
      </c>
      <c r="Z127" s="180">
        <f t="array" ref="Z127">IF($G127=0, INDEX(LS_previous!$D$4:$AY$138, MATCH('Staging Table'!$A127, LS_previous!$B$4:$B$138, 0), MATCH(Z$4&amp;Z$5, LS_previous!$D$2:$AY$2&amp;LS_previous!$D$3:$AY$3, 0)),SUM(VLOOKUP($A127, LS_previous!$B$4:$AY$138, LS_previous!R$149, FALSE), VLOOKUP('Staging Table'!$A127, LS_previous!$B$4:$AY$138,LS_previous!AP$149, FALSE))/2)</f>
        <v>-94.585636239205996</v>
      </c>
      <c r="AA127" s="180">
        <f t="array" ref="AA127">IF($G127=0, INDEX(LS_previous!$D$4:$AY$138, MATCH('Staging Table'!$A127, LS_previous!$B$4:$B$138, 0), MATCH(AA$4&amp;AA$5, LS_previous!$D$2:$AY$2&amp;LS_previous!$D$3:$AY$3, 0)),SUM(VLOOKUP($A127, LS_previous!$B$4:$AY$138, LS_previous!S$149, FALSE), VLOOKUP('Staging Table'!$A127, LS_previous!$B$4:$AY$138,LS_previous!AQ$149, FALSE))/2)</f>
        <v>2595.9550215543641</v>
      </c>
      <c r="AB127" s="180">
        <f t="array" ref="AB127">IF($G127=0, INDEX(LS_previous!$D$4:$AY$138, MATCH('Staging Table'!$A127, LS_previous!$B$4:$B$138, 0), MATCH(AB$4&amp;AB$5, LS_previous!$D$2:$AY$2&amp;LS_previous!$D$3:$AY$3, 0)),SUM(VLOOKUP($A127, LS_previous!$B$4:$AY$138, LS_previous!T$149, FALSE), VLOOKUP('Staging Table'!$A127, LS_previous!$B$4:$AY$138,LS_previous!AR$149, FALSE))/2)</f>
        <v>1683.1909401582452</v>
      </c>
      <c r="AC127" s="180">
        <f t="array" ref="AC127">IF($G127=0, INDEX(LS_previous!$D$4:$AY$138, MATCH('Staging Table'!$A127, LS_previous!$B$4:$B$138, 0), MATCH(AC$4&amp;AC$5, LS_previous!$D$2:$AY$2&amp;LS_previous!$D$3:$AY$3, 0)),SUM(VLOOKUP($A127, LS_previous!$B$4:$AY$138, LS_previous!U$149, FALSE), VLOOKUP('Staging Table'!$A127, LS_previous!$B$4:$AY$138,LS_previous!AS$149, FALSE))/2)</f>
        <v>4157.0907789011399</v>
      </c>
      <c r="AD127" s="180">
        <f t="array" ref="AD127">IF($G127=0, INDEX(LS_previous!$D$4:$AY$138, MATCH('Staging Table'!$A127, LS_previous!$B$4:$B$138, 0), MATCH(AD$4&amp;AD$5, LS_previous!$D$2:$AY$2&amp;LS_previous!$D$3:$AY$3, 0)),SUM(VLOOKUP($A127, LS_previous!$B$4:$AY$138, LS_previous!V$149, FALSE), VLOOKUP('Staging Table'!$A127, LS_previous!$B$4:$AY$138,LS_previous!AT$149, FALSE))/2)</f>
        <v>5535.656791056259</v>
      </c>
      <c r="AE127" s="180">
        <f t="array" ref="AE127">IF($G127=0, INDEX(LS_previous!$D$4:$AY$138, MATCH('Staging Table'!$A127, LS_previous!$B$4:$B$138, 0), MATCH(AE$4&amp;AE$5, LS_previous!$D$2:$AY$2&amp;LS_previous!$D$3:$AY$3, 0)),SUM(VLOOKUP($A127, LS_previous!$B$4:$AY$138, LS_previous!W$149, FALSE), VLOOKUP('Staging Table'!$A127, LS_previous!$B$4:$AY$138,LS_previous!AU$149, FALSE))/2)</f>
        <v>6244.0773586753203</v>
      </c>
      <c r="AF127" s="180">
        <f t="array" ref="AF127">IF($G127=0, INDEX(LS_previous!$D$4:$AY$138, MATCH('Staging Table'!$A127, LS_previous!$B$4:$B$138, 0), MATCH(AF$4&amp;AF$5, LS_previous!$D$2:$AY$2&amp;LS_previous!$D$3:$AY$3, 0)),SUM(VLOOKUP($A127, LS_previous!$B$4:$AY$138, LS_previous!X$149, FALSE), VLOOKUP('Staging Table'!$A127, LS_previous!$B$4:$AY$138,LS_previous!AV$149, FALSE))/2)</f>
        <v>2727.9021751805158</v>
      </c>
      <c r="AG127" s="180">
        <f t="array" ref="AG127">IF($G127=0, INDEX(LS_previous!$D$4:$AY$138, MATCH('Staging Table'!$A127, LS_previous!$B$4:$B$138, 0), MATCH(AG$4&amp;AG$5, LS_previous!$D$2:$AY$2&amp;LS_previous!$D$3:$AY$3, 0)),SUM(VLOOKUP($A127, LS_previous!$B$4:$AY$138, LS_previous!Y$149, FALSE), VLOOKUP('Staging Table'!$A127, LS_previous!$B$4:$AY$138,LS_previous!AW$149, FALSE))/2)</f>
        <v>3704.1096895433275</v>
      </c>
      <c r="AH127" s="180">
        <f t="array" ref="AH127">IF($G127=0, INDEX(LS_previous!$D$4:$AY$138, MATCH('Staging Table'!$A127, LS_previous!$B$4:$B$138, 0), MATCH(AH$4&amp;AH$5, LS_previous!$D$2:$AY$2&amp;LS_previous!$D$3:$AY$3, 0)),SUM(VLOOKUP($A127, LS_previous!$B$4:$AY$138, LS_previous!Z$149, FALSE), VLOOKUP('Staging Table'!$A127, LS_previous!$B$4:$AY$138,LS_previous!AX$149, FALSE))/2)</f>
        <v>177.71729686728486</v>
      </c>
      <c r="AI127" s="180">
        <f t="array" ref="AI127">IF($G127=0, INDEX(LS_previous!$D$4:$AY$138, MATCH('Staging Table'!$A127, LS_previous!$B$4:$B$138, 0), MATCH(AI$4&amp;AI$5, LS_previous!$D$2:$AY$2&amp;LS_previous!$D$3:$AY$3, 0)),SUM(VLOOKUP($A127, LS_previous!$B$4:$AY$138, LS_previous!AA$149, FALSE), VLOOKUP('Staging Table'!$A127, LS_previous!$B$4:$AY$138,LS_previous!AY$149, FALSE))/2)</f>
        <v>1674.7704939998357</v>
      </c>
      <c r="AJ127" s="298">
        <f t="array" ref="AJ127">INDEX(Demand_previous!$D$4:$AY$138, MATCH('Staging Table'!$A127, Demand_previous!$B$4:$B$138, 0), MATCH(AJ$4&amp;AJ$5,Demand_previous!$D$2:$AY$2&amp;Demand_previous!$D$3:$AY$3, 0))/1000</f>
        <v>2.420591346153846</v>
      </c>
      <c r="AK127" s="298">
        <f t="array" ref="AK127">INDEX(Demand_previous!$D$4:$AY$138, MATCH('Staging Table'!$A127, Demand_previous!$B$4:$B$138, 0), MATCH(AK$4&amp;AK$5,Demand_previous!$D$2:$AY$2&amp;Demand_previous!$D$3:$AY$3, 0))/1000</f>
        <v>0.45071749999999877</v>
      </c>
      <c r="AL127" s="298">
        <f t="array" ref="AL127">INDEX(Demand_previous!$D$4:$AY$138, MATCH('Staging Table'!$A127, Demand_previous!$B$4:$B$138, 0), MATCH(AL$4&amp;AL$5,Demand_previous!$D$2:$AY$2&amp;Demand_previous!$D$3:$AY$3, 0))/1000</f>
        <v>0.20834134615384858</v>
      </c>
      <c r="AM127" s="298">
        <f t="array" ref="AM127">INDEX(Demand_previous!$D$4:$AY$138, MATCH('Staging Table'!$A127, Demand_previous!$B$4:$B$138, 0), MATCH(AM$4&amp;AM$5,Demand_previous!$D$2:$AY$2&amp;Demand_previous!$D$3:$AY$3, 0))/1000</f>
        <v>0.70749500000000332</v>
      </c>
      <c r="AN127" s="298">
        <f t="array" ref="AN127">INDEX(Demand_previous!$D$4:$AY$138, MATCH('Staging Table'!$A127, Demand_previous!$B$4:$B$138, 0), MATCH(AN$4&amp;AN$5,Demand_previous!$D$2:$AY$2&amp;Demand_previous!$D$3:$AY$3, 0))/1000</f>
        <v>1.7028645833335077E-2</v>
      </c>
      <c r="AO127" s="298">
        <f t="array" ref="AO127">INDEX(Demand_previous!$D$4:$AY$138, MATCH('Staging Table'!$A127, Demand_previous!$B$4:$B$138, 0), MATCH(AO$4&amp;AO$5,Demand_previous!$D$2:$AY$2&amp;Demand_previous!$D$3:$AY$3, 0))/1000</f>
        <v>1.9326967592592572</v>
      </c>
      <c r="AP127" s="298">
        <f t="array" ref="AP127">INDEX(Demand_previous!$D$4:$AY$138, MATCH('Staging Table'!$A127, Demand_previous!$B$4:$B$138, 0), MATCH(AP$4&amp;AP$5,Demand_previous!$D$2:$AY$2&amp;Demand_previous!$D$3:$AY$3, 0))/1000</f>
        <v>3.4001442307692313</v>
      </c>
      <c r="AQ127" s="298">
        <f t="array" ref="AQ127">INDEX(Demand_previous!$D$4:$AY$138, MATCH('Staging Table'!$A127, Demand_previous!$B$4:$B$138, 0), MATCH(AQ$4&amp;AQ$5,Demand_previous!$D$2:$AY$2&amp;Demand_previous!$D$3:$AY$3, 0))/1000</f>
        <v>2.7525525000000037</v>
      </c>
      <c r="AR127" s="298">
        <f t="array" ref="AR127">INDEX(Demand_previous!$D$4:$AY$138, MATCH('Staging Table'!$A127, Demand_previous!$B$4:$B$138, 0), MATCH(AR$4&amp;AR$5,Demand_previous!$D$2:$AY$2&amp;Demand_previous!$D$3:$AY$3, 0))/1000</f>
        <v>3.8237860576923142</v>
      </c>
      <c r="AS127" s="298">
        <f t="array" ref="AS127">INDEX(Demand_previous!$D$4:$AY$138, MATCH('Staging Table'!$A127, Demand_previous!$B$4:$B$138, 0), MATCH(AS$4&amp;AS$5,Demand_previous!$D$2:$AY$2&amp;Demand_previous!$D$3:$AY$3, 0))/1000</f>
        <v>1.5416575000000079</v>
      </c>
      <c r="AT127" s="298">
        <f t="array" ref="AT127">INDEX(Demand_previous!$D$4:$AY$138, MATCH('Staging Table'!$A127, Demand_previous!$B$4:$B$138, 0), MATCH(AT$4&amp;AT$5,Demand_previous!$D$2:$AY$2&amp;Demand_previous!$D$3:$AY$3, 0))/1000</f>
        <v>4.7813958333333293</v>
      </c>
      <c r="AU127" s="298">
        <f t="array" ref="AU127">INDEX(Demand_previous!$D$4:$AY$138, MATCH('Staging Table'!$A127, Demand_previous!$B$4:$B$138, 0), MATCH(AU$4&amp;AU$5,Demand_previous!$D$2:$AY$2&amp;Demand_previous!$D$3:$AY$3, 0))/1000</f>
        <v>5.5598425000000038</v>
      </c>
      <c r="AV127" s="180">
        <f>$F127*(VLOOKUP(AV$4, Rates_previous!$G$6:$Q$29, 10, FALSE)+VLOOKUP(AV$4, Rates_previous!$G$6:$Q$29, 11, FALSE))</f>
        <v>12350.243029109255</v>
      </c>
      <c r="AW127" s="180">
        <f>$F127*(VLOOKUP(AW$4, Rates_previous!$G$6:$Q$29, 10, FALSE)+VLOOKUP(AW$4, Rates_previous!$G$6:$Q$29, 11, FALSE))</f>
        <v>15635.85589601627</v>
      </c>
      <c r="AX127" s="180">
        <f>$F127*(VLOOKUP(AX$4, Rates_previous!$G$6:$Q$29, 10, FALSE)+VLOOKUP(AX$4, Rates_previous!$G$6:$Q$29, 11, FALSE))</f>
        <v>15304.37914062749</v>
      </c>
      <c r="AY127" s="180">
        <f>$F127*(VLOOKUP(AY$4, Rates_previous!$G$6:$Q$29, 10, FALSE)+VLOOKUP(AY$4, Rates_previous!$G$6:$Q$29, 11, FALSE))</f>
        <v>12640.766353854984</v>
      </c>
      <c r="AZ127" s="180">
        <f>$F127*(VLOOKUP(AZ$4, Rates_previous!$G$6:$Q$29, 10, FALSE)+VLOOKUP(AZ$4, Rates_previous!$G$6:$Q$29, 11, FALSE))</f>
        <v>10956.029247677747</v>
      </c>
      <c r="BA127" s="180">
        <f>$F127*(VLOOKUP(BA$4, Rates_previous!$G$6:$Q$29, 10, FALSE)+VLOOKUP(BA$4, Rates_previous!$G$6:$Q$29, 11, FALSE))</f>
        <v>13079.286469431636</v>
      </c>
      <c r="BB127" s="180">
        <f>$F127*(VLOOKUP(BB$4, Rates_previous!$G$6:$Q$29, 10, FALSE)+VLOOKUP(BB$4, Rates_previous!$G$6:$Q$29, 11, FALSE))</f>
        <v>10154.324712501251</v>
      </c>
      <c r="BC127" s="180">
        <f>$F127*(VLOOKUP(BC$4, Rates_previous!$G$6:$Q$29, 10, FALSE)+VLOOKUP(BC$4, Rates_previous!$G$6:$Q$29, 11, FALSE))</f>
        <v>14068.891614684839</v>
      </c>
      <c r="BD127" s="180">
        <f>$F127*(VLOOKUP(BD$4, Rates_previous!$G$6:$Q$29, 10, FALSE)+VLOOKUP(BD$4, Rates_previous!$G$6:$Q$29, 11, FALSE))</f>
        <v>15032.905280940611</v>
      </c>
      <c r="BE127" s="180">
        <f>$F127*(VLOOKUP(BE$4, Rates_previous!$G$6:$Q$29, 10, FALSE)+VLOOKUP(BE$4, Rates_previous!$G$6:$Q$29, 11, FALSE))</f>
        <v>14273.062850268421</v>
      </c>
      <c r="BF127" s="180">
        <f>$F127*(VLOOKUP(BF$4, Rates_previous!$G$6:$Q$29, 10, FALSE)+VLOOKUP(BF$4, Rates_previous!$G$6:$Q$29, 11, FALSE))</f>
        <v>13793.814135276154</v>
      </c>
      <c r="BG127" s="180">
        <f>$F127*(VLOOKUP(BG$4, Rates_previous!$G$6:$Q$29, 10, FALSE)+VLOOKUP(BG$4, Rates_previous!$G$6:$Q$29, 11, FALSE))</f>
        <v>12746.922209132881</v>
      </c>
      <c r="BH127" s="298">
        <f>IF($D127=0,IF(C127=0, MAX(BJ127 - (VLOOKUP($A127,TOCA_previous!$A$2:$AI$137,MATCH("RHWM 2022",TOCA_previous!$A$2:$AI$2,0),FALSE)*$F$2*TOCA_previous!C124),0),0), 0)</f>
        <v>32716.824186558486</v>
      </c>
      <c r="BI127" s="192">
        <f>MIN(VLOOKUP($A127,TOCA_previous!$A$2:$AI$137,MATCH("TRL - NLSL - Existing Resource "&amp;$F$1,TOCA_previous!$A$2:$AI$2,0),FALSE)*$F$2,(VLOOKUP($A127,TOCA_previous!$A$2:$AI$137,MATCH("RHWM 2022",TOCA_previous!$A$2:$AI$2,0),FALSE)*$F$2))</f>
        <v>160036.43999999997</v>
      </c>
      <c r="BJ127" s="402">
        <f>SUM(L127:AI127)+(F127*RT1SC!$C$3*$F$2)</f>
        <v>192753.26418655846</v>
      </c>
      <c r="BK127" s="401">
        <f>VLOOKUP($A127,TOCA_previous!$A$2:$AI$137,MATCH("Above RHWM Not Served with LS "&amp;$F$1,TOCA_previous!$A$2:$AI$2,0),FALSE)*$F$2</f>
        <v>25947.120000000003</v>
      </c>
      <c r="BL127" s="402">
        <f t="shared" si="27"/>
        <v>32716.824186558486</v>
      </c>
      <c r="BM127" s="401">
        <f>(VLOOKUP($A127,TOCA_previous!$A$2:$AI$137,MATCH("RHWM 2022",TOCA_previous!$A$2:$AI$2,0),FALSE)*$F$2) - $BI127</f>
        <v>0</v>
      </c>
      <c r="BN127" s="402">
        <f t="shared" si="28"/>
        <v>0</v>
      </c>
      <c r="BO127" s="401">
        <f t="shared" si="29"/>
        <v>0</v>
      </c>
      <c r="BP127" s="402">
        <f t="shared" si="30"/>
        <v>0</v>
      </c>
      <c r="BQ127" s="401">
        <f t="shared" si="37"/>
        <v>0</v>
      </c>
      <c r="BR127" s="108">
        <f>VLOOKUP($A127,TOCA_current!$A$2:$AI$137,MATCH(BR$4,TOCA_current!$A$2:$AI$2,0),FALSE)</f>
        <v>2.7114999999999999E-3</v>
      </c>
      <c r="BS127" s="108">
        <f>VLOOKUP($A127,TOCA_current!$A$2:$AI$137,MATCH(BS$4,TOCA_current!$A$2:$AI$2,0),FALSE)</f>
        <v>2.7114999999999999E-3</v>
      </c>
      <c r="BT127" s="189">
        <f t="shared" si="31"/>
        <v>0</v>
      </c>
      <c r="BU127" s="108">
        <f>VLOOKUP($A127,TOCA_current!A123:BG258,MATCH(BU$4,TOCA_current!$A$2:$BG$2,0),FALSE)</f>
        <v>9.1001461988304097E-2</v>
      </c>
      <c r="BV127" s="108">
        <f t="shared" si="38"/>
        <v>0</v>
      </c>
      <c r="BW127" s="108">
        <f t="shared" si="39"/>
        <v>0</v>
      </c>
      <c r="BX127" s="179">
        <f>VLOOKUP($A127,IRD!$A$4:$G$139, 7, FALSE)</f>
        <v>38863.257999999994</v>
      </c>
      <c r="BY127" s="180">
        <f t="array" ref="BY127">IF($BT127=0, INDEX(LS_current!$D$4:$AY$138, MATCH('Staging Table'!$A127, LS_current!$B$4:$B$138, 0), MATCH(BY$4&amp;BY$5, LS_current!$D$2:$AY$2&amp;LS_current!$D$3:$AY$3, 0)),SUM(VLOOKUP($A127, LS_current!$B$4:$AY$138, LS_current!D$148, FALSE), VLOOKUP($A127, LS_current!$B$4:$AY$138,LS_current!AB$148, FALSE))/2)</f>
        <v>-1269.0060036140012</v>
      </c>
      <c r="BZ127" s="180">
        <f t="array" ref="BZ127">IF($BT127=0, INDEX(LS_current!$D$4:$AY$138, MATCH('Staging Table'!$A127, LS_current!$B$4:$B$138, 0), MATCH(BZ$4&amp;BZ$5, LS_current!$D$2:$AY$2&amp;LS_current!$D$3:$AY$3, 0)),SUM(VLOOKUP($A127, LS_current!$B$4:$AY$138, LS_current!E$148, FALSE), VLOOKUP($A127, LS_current!$B$4:$AY$138,LS_current!AC$148, FALSE))/2)</f>
        <v>-947.27239569324956</v>
      </c>
      <c r="CA127" s="180">
        <f t="array" ref="CA127">IF($BT127=0, INDEX(LS_current!$D$4:$AY$138, MATCH('Staging Table'!$A127, LS_current!$B$4:$B$138, 0), MATCH(CA$4&amp;CA$5, LS_current!$D$2:$AY$2&amp;LS_current!$D$3:$AY$3, 0)),SUM(VLOOKUP($A127, LS_current!$B$4:$AY$138, LS_current!F$148, FALSE), VLOOKUP($A127, LS_current!$B$4:$AY$138,LS_current!AD$148, FALSE))/2)</f>
        <v>-3150.7443898719994</v>
      </c>
      <c r="CB127" s="180">
        <f t="array" ref="CB127">IF($BT127=0, INDEX(LS_current!$D$4:$AY$138, MATCH('Staging Table'!$A127, LS_current!$B$4:$B$138, 0), MATCH(CB$4&amp;CB$5, LS_current!$D$2:$AY$2&amp;LS_current!$D$3:$AY$3, 0)),SUM(VLOOKUP($A127, LS_current!$B$4:$AY$138, LS_current!G$148, FALSE), VLOOKUP($A127, LS_current!$B$4:$AY$138,LS_current!AE$148, FALSE))/2)</f>
        <v>-1289.7709079565011</v>
      </c>
      <c r="CC127" s="180">
        <f t="array" ref="CC127">IF($BT127=0, INDEX(LS_current!$D$4:$AY$138, MATCH('Staging Table'!$A127, LS_current!$B$4:$B$138, 0), MATCH(CC$4&amp;CC$5, LS_current!$D$2:$AY$2&amp;LS_current!$D$3:$AY$3, 0)),SUM(VLOOKUP($A127, LS_current!$B$4:$AY$138, LS_current!H$148, FALSE), VLOOKUP($A127, LS_current!$B$4:$AY$138,LS_current!AF$148, FALSE))/2)</f>
        <v>-1257.9710812984995</v>
      </c>
      <c r="CD127" s="180">
        <f t="array" ref="CD127">IF($BT127=0, INDEX(LS_current!$D$4:$AY$138, MATCH('Staging Table'!$A127, LS_current!$B$4:$B$138, 0), MATCH(CD$4&amp;CD$5, LS_current!$D$2:$AY$2&amp;LS_current!$D$3:$AY$3, 0)),SUM(VLOOKUP($A127, LS_current!$B$4:$AY$138, LS_current!I$148, FALSE), VLOOKUP($A127, LS_current!$B$4:$AY$138,LS_current!AG$148, FALSE))/2)</f>
        <v>15.153093296000407</v>
      </c>
      <c r="CE127" s="180">
        <f t="array" ref="CE127">IF($BT127=0, INDEX(LS_current!$D$4:$AY$138, MATCH('Staging Table'!$A127, LS_current!$B$4:$B$138, 0), MATCH(CE$4&amp;CE$5, LS_current!$D$2:$AY$2&amp;LS_current!$D$3:$AY$3, 0)),SUM(VLOOKUP($A127, LS_current!$B$4:$AY$138, LS_current!J$148, FALSE), VLOOKUP($A127, LS_current!$B$4:$AY$138,LS_current!AH$148, FALSE))/2)</f>
        <v>-2137.0620852224993</v>
      </c>
      <c r="CF127" s="180">
        <f t="array" ref="CF127">IF($BT127=0, INDEX(LS_current!$D$4:$AY$138, MATCH('Staging Table'!$A127, LS_current!$B$4:$B$138, 0), MATCH(CF$4&amp;CF$5, LS_current!$D$2:$AY$2&amp;LS_current!$D$3:$AY$3, 0)),SUM(VLOOKUP($A127, LS_current!$B$4:$AY$138, LS_current!K$148, FALSE), VLOOKUP($A127, LS_current!$B$4:$AY$138,LS_current!AI$148, FALSE))/2)</f>
        <v>30.350734366499637</v>
      </c>
      <c r="CG127" s="180">
        <f t="array" ref="CG127">IF($BT127=0, INDEX(LS_current!$D$4:$AY$138, MATCH('Staging Table'!$A127, LS_current!$B$4:$B$138, 0), MATCH(CG$4&amp;CG$5, LS_current!$D$2:$AY$2&amp;LS_current!$D$3:$AY$3, 0)),SUM(VLOOKUP($A127, LS_current!$B$4:$AY$138, LS_current!L$148, FALSE), VLOOKUP($A127, LS_current!$B$4:$AY$138,LS_current!AJ$148, FALSE))/2)</f>
        <v>-2276.8778259084993</v>
      </c>
      <c r="CH127" s="180">
        <f t="array" ref="CH127">IF($BT127=0, INDEX(LS_current!$D$4:$AY$138, MATCH('Staging Table'!$A127, LS_current!$B$4:$B$138, 0), MATCH(CH$4&amp;CH$5, LS_current!$D$2:$AY$2&amp;LS_current!$D$3:$AY$3, 0)),SUM(VLOOKUP($A127, LS_current!$B$4:$AY$138, LS_current!M$148, FALSE), VLOOKUP($A127, LS_current!$B$4:$AY$138,LS_current!AK$148, FALSE))/2)</f>
        <v>-299.45916182849942</v>
      </c>
      <c r="CI127" s="180">
        <f t="array" ref="CI127">IF($BT127=0, INDEX(LS_current!$D$4:$AY$138, MATCH('Staging Table'!$A127, LS_current!$B$4:$B$138, 0), MATCH(CI$4&amp;CI$5, LS_current!$D$2:$AY$2&amp;LS_current!$D$3:$AY$3, 0)),SUM(VLOOKUP($A127, LS_current!$B$4:$AY$138, LS_current!N$148, FALSE), VLOOKUP($A127, LS_current!$B$4:$AY$138,LS_current!AL$148, FALSE))/2)</f>
        <v>-2980.2446748994998</v>
      </c>
      <c r="CJ127" s="180">
        <f t="array" ref="CJ127">IF($BT127=0, INDEX(LS_current!$D$4:$AY$138, MATCH('Staging Table'!$A127, LS_current!$B$4:$B$138, 0), MATCH(CJ$4&amp;CJ$5, LS_current!$D$2:$AY$2&amp;LS_current!$D$3:$AY$3, 0)),SUM(VLOOKUP($A127, LS_current!$B$4:$AY$138, LS_current!O$148, FALSE), VLOOKUP($A127, LS_current!$B$4:$AY$138,LS_current!AM$148, FALSE))/2)</f>
        <v>-1492.9836510469995</v>
      </c>
      <c r="CK127" s="180">
        <f t="array" ref="CK127">IF($BT127=0, INDEX(LS_current!$D$4:$AY$138, MATCH('Staging Table'!$A127, LS_current!$B$4:$B$138, 0), MATCH(CK$4&amp;CK$5, LS_current!$D$2:$AY$2&amp;LS_current!$D$3:$AY$3, 0)),SUM(VLOOKUP($A127, LS_current!$B$4:$AY$138, LS_current!P$148, FALSE), VLOOKUP($A127, LS_current!$B$4:$AY$138,LS_current!AN$148, FALSE))/2)</f>
        <v>-1700.9726886912504</v>
      </c>
      <c r="CL127" s="180">
        <f t="array" ref="CL127">IF($BT127=0, INDEX(LS_current!$D$4:$AY$138, MATCH('Staging Table'!$A127, LS_current!$B$4:$B$138, 0), MATCH(CL$4&amp;CL$5, LS_current!$D$2:$AY$2&amp;LS_current!$D$3:$AY$3, 0)),SUM(VLOOKUP($A127, LS_current!$B$4:$AY$138, LS_current!Q$148, FALSE), VLOOKUP($A127, LS_current!$B$4:$AY$138,LS_current!AO$148, FALSE))/2)</f>
        <v>-811.61080153512421</v>
      </c>
      <c r="CM127" s="180">
        <f t="array" ref="CM127">IF($BT127=0, INDEX(LS_current!$D$4:$AY$138, MATCH('Staging Table'!$A127, LS_current!$B$4:$B$138, 0), MATCH(CM$4&amp;CM$5, LS_current!$D$2:$AY$2&amp;LS_current!$D$3:$AY$3, 0)),SUM(VLOOKUP($A127, LS_current!$B$4:$AY$138, LS_current!R$148, FALSE), VLOOKUP($A127, LS_current!$B$4:$AY$138,LS_current!AP$148, FALSE))/2)</f>
        <v>-962.43838335200144</v>
      </c>
      <c r="CN127" s="180">
        <f t="array" ref="CN127">IF($BT127=0, INDEX(LS_current!$D$4:$AY$138, MATCH('Staging Table'!$A127, LS_current!$B$4:$B$138, 0), MATCH(CN$4&amp;CN$5, LS_current!$D$2:$AY$2&amp;LS_current!$D$3:$AY$3, 0)),SUM(VLOOKUP($A127, LS_current!$B$4:$AY$138, LS_current!S$148, FALSE), VLOOKUP($A127, LS_current!$B$4:$AY$138,LS_current!AQ$148, FALSE))/2)</f>
        <v>415.59897672725037</v>
      </c>
      <c r="CO127" s="180">
        <f t="array" ref="CO127">IF($BT127=0, INDEX(LS_current!$D$4:$AY$138, MATCH('Staging Table'!$A127, LS_current!$B$4:$B$138, 0), MATCH(CO$4&amp;CO$5, LS_current!$D$2:$AY$2&amp;LS_current!$D$3:$AY$3, 0)),SUM(VLOOKUP($A127, LS_current!$B$4:$AY$138, LS_current!T$148, FALSE), VLOOKUP($A127, LS_current!$B$4:$AY$138,LS_current!AR$148, FALSE))/2)</f>
        <v>1684.3755086509991</v>
      </c>
      <c r="CP127" s="180">
        <f t="array" ref="CP127">IF($BT127=0, INDEX(LS_current!$D$4:$AY$138, MATCH('Staging Table'!$A127, LS_current!$B$4:$B$138, 0), MATCH(CP$4&amp;CP$5, LS_current!$D$2:$AY$2&amp;LS_current!$D$3:$AY$3, 0)),SUM(VLOOKUP($A127, LS_current!$B$4:$AY$138, LS_current!U$148, FALSE), VLOOKUP($A127, LS_current!$B$4:$AY$138,LS_current!AS$148, FALSE))/2)</f>
        <v>1812.0706897232494</v>
      </c>
      <c r="CQ127" s="180">
        <f t="array" ref="CQ127">IF($BT127=0, INDEX(LS_current!$D$4:$AY$138, MATCH('Staging Table'!$A127, LS_current!$B$4:$B$138, 0), MATCH(CQ$4&amp;CQ$5, LS_current!$D$2:$AY$2&amp;LS_current!$D$3:$AY$3, 0)),SUM(VLOOKUP($A127, LS_current!$B$4:$AY$138, LS_current!V$148, FALSE), VLOOKUP($A127, LS_current!$B$4:$AY$138,LS_current!AT$148, FALSE))/2)</f>
        <v>5520.3443719139996</v>
      </c>
      <c r="CR127" s="180">
        <f t="array" ref="CR127">IF($BT127=0, INDEX(LS_current!$D$4:$AY$138, MATCH('Staging Table'!$A127, LS_current!$B$4:$B$138, 0), MATCH(CR$4&amp;CR$5, LS_current!$D$2:$AY$2&amp;LS_current!$D$3:$AY$3, 0)),SUM(VLOOKUP($A127, LS_current!$B$4:$AY$138, LS_current!W$148, FALSE), VLOOKUP($A127, LS_current!$B$4:$AY$138,LS_current!AU$148, FALSE))/2)</f>
        <v>5115.8195955337496</v>
      </c>
      <c r="CS127" s="180">
        <f t="array" ref="CS127">IF($BT127=0, INDEX(LS_current!$D$4:$AY$138, MATCH('Staging Table'!$A127, LS_current!$B$4:$B$138, 0), MATCH(CS$4&amp;CS$5, LS_current!$D$2:$AY$2&amp;LS_current!$D$3:$AY$3, 0)),SUM(VLOOKUP($A127, LS_current!$B$4:$AY$138, LS_current!X$148, FALSE), VLOOKUP($A127, LS_current!$B$4:$AY$138,LS_current!AV$148, FALSE))/2)</f>
        <v>2630.4231999777494</v>
      </c>
      <c r="CT127" s="180">
        <f t="array" ref="CT127">IF($BT127=0, INDEX(LS_current!$D$4:$AY$138, MATCH('Staging Table'!$A127, LS_current!$B$4:$B$138, 0), MATCH(CT$4&amp;CT$5, LS_current!$D$2:$AY$2&amp;LS_current!$D$3:$AY$3, 0)),SUM(VLOOKUP($A127, LS_current!$B$4:$AY$138, LS_current!Y$148, FALSE), VLOOKUP($A127, LS_current!$B$4:$AY$138,LS_current!AW$148, FALSE))/2)</f>
        <v>2622.7131964867249</v>
      </c>
      <c r="CU127" s="180">
        <f t="array" ref="CU127">IF($BT127=0, INDEX(LS_current!$D$4:$AY$138, MATCH('Staging Table'!$A127, LS_current!$B$4:$B$138, 0), MATCH(CU$4&amp;CU$5, LS_current!$D$2:$AY$2&amp;LS_current!$D$3:$AY$3, 0)),SUM(VLOOKUP($A127, LS_current!$B$4:$AY$138, LS_current!Z$148, FALSE), VLOOKUP($A127, LS_current!$B$4:$AY$138,LS_current!AX$148, FALSE))/2)</f>
        <v>200.79387004900036</v>
      </c>
      <c r="CV127" s="180">
        <f t="array" ref="CV127">IF($BT127=0, INDEX(LS_current!$D$4:$AY$138, MATCH('Staging Table'!$A127, LS_current!$B$4:$B$138, 0), MATCH(CV$4&amp;CV$5, LS_current!$D$2:$AY$2&amp;LS_current!$D$3:$AY$3, 0)),SUM(VLOOKUP($A127, LS_current!$B$4:$AY$138, LS_current!AA$148, FALSE), VLOOKUP($A127, LS_current!$B$4:$AY$138,LS_current!AY$148, FALSE))/2)</f>
        <v>522.35567450399958</v>
      </c>
      <c r="CW127" s="182">
        <f t="array" ref="CW127">INDEX(Demand_current!$D$4:$AY$138, MATCH($A127, Demand_current!$B$4:$B$138, 0), MATCH(CW$4&amp;CW$5,Demand_current!$D$2:$AY$2&amp;Demand_current!$D$3:$AY$3, 0))/1000</f>
        <v>2.420591346153846</v>
      </c>
      <c r="CX127" s="182">
        <f t="array" ref="CX127">INDEX(Demand_current!$D$4:$AY$138, MATCH($A127, Demand_current!$B$4:$B$138, 0), MATCH(CX$4&amp;CX$5,Demand_current!$D$2:$AY$2&amp;Demand_current!$D$3:$AY$3, 0))/1000</f>
        <v>0.45071749999999877</v>
      </c>
      <c r="CY127" s="182">
        <f t="array" ref="CY127">INDEX(Demand_current!$D$4:$AY$138, MATCH($A127, Demand_current!$B$4:$B$138, 0), MATCH(CY$4&amp;CY$5,Demand_current!$D$2:$AY$2&amp;Demand_current!$D$3:$AY$3, 0))/1000</f>
        <v>0</v>
      </c>
      <c r="CZ127" s="182">
        <f t="array" ref="CZ127">INDEX(Demand_current!$D$4:$AY$138, MATCH($A127, Demand_current!$B$4:$B$138, 0), MATCH(CZ$4&amp;CZ$5,Demand_current!$D$2:$AY$2&amp;Demand_current!$D$3:$AY$3, 0))/1000</f>
        <v>1.7058221153846116</v>
      </c>
      <c r="DA127" s="182">
        <f t="array" ref="DA127">INDEX(Demand_current!$D$4:$AY$138, MATCH($A127, Demand_current!$B$4:$B$138, 0), MATCH(DA$4&amp;DA$5,Demand_current!$D$2:$AY$2&amp;Demand_current!$D$3:$AY$3, 0))/1000</f>
        <v>0.95134750000000068</v>
      </c>
      <c r="DB127" s="182">
        <f t="array" ref="DB127">INDEX(Demand_current!$D$4:$AY$138, MATCH($A127, Demand_current!$B$4:$B$138, 0), MATCH(DB$4&amp;DB$5,Demand_current!$D$2:$AY$2&amp;Demand_current!$D$3:$AY$3, 0))/1000</f>
        <v>1.1523774038461516</v>
      </c>
      <c r="DC127" s="182">
        <f t="array" ref="DC127">INDEX(Demand_current!$D$4:$AY$138, MATCH($A127, Demand_current!$B$4:$B$138, 0), MATCH(DC$4&amp;DC$5,Demand_current!$D$2:$AY$2&amp;Demand_current!$D$3:$AY$3, 0))/1000</f>
        <v>3.4001442307692313</v>
      </c>
      <c r="DD127" s="182">
        <f t="array" ref="DD127">INDEX(Demand_current!$D$4:$AY$138, MATCH($A127, Demand_current!$B$4:$B$138, 0), MATCH(DD$4&amp;DD$5,Demand_current!$D$2:$AY$2&amp;Demand_current!$D$3:$AY$3, 0))/1000</f>
        <v>3.7689543269230761</v>
      </c>
      <c r="DE127" s="182">
        <f t="array" ref="DE127">INDEX(Demand_current!$D$4:$AY$138, MATCH($A127, Demand_current!$B$4:$B$138, 0), MATCH(DE$4&amp;DE$5,Demand_current!$D$2:$AY$2&amp;Demand_current!$D$3:$AY$3, 0))/1000</f>
        <v>2.5126575000000004</v>
      </c>
      <c r="DF127" s="182">
        <f t="array" ref="DF127">INDEX(Demand_current!$D$4:$AY$138, MATCH($A127, Demand_current!$B$4:$B$138, 0), MATCH(DF$4&amp;DF$5,Demand_current!$D$2:$AY$2&amp;Demand_current!$D$3:$AY$3, 0))/1000</f>
        <v>3.1019399038461599</v>
      </c>
      <c r="DG127" s="182">
        <f t="array" ref="DG127">INDEX(Demand_current!$D$4:$AY$138, MATCH($A127, Demand_current!$B$4:$B$138, 0), MATCH(DG$4&amp;DG$5,Demand_current!$D$2:$AY$2&amp;Demand_current!$D$3:$AY$3, 0))/1000</f>
        <v>4.7813958333333293</v>
      </c>
      <c r="DH127" s="182">
        <f t="array" ref="DH127">INDEX(Demand_current!$D$4:$AY$138, MATCH($A127, Demand_current!$B$4:$B$138, 0), MATCH(DH$4&amp;DH$5,Demand_current!$D$2:$AY$2&amp;Demand_current!$D$3:$AY$3, 0))/1000</f>
        <v>4.5705026041666681</v>
      </c>
      <c r="DI127" s="180">
        <f>$BS127*(VLOOKUP(DI$4, Rates_current!$G$6:$Q$29, 10, FALSE)+VLOOKUP(DI$4, Rates_current!$G$6:$Q$29, 11, FALSE))</f>
        <v>11439.28639930725</v>
      </c>
      <c r="DJ127" s="180">
        <f>$BS127*(VLOOKUP(DJ$4, Rates_current!$G$6:$Q$29, 10, FALSE)+VLOOKUP(DJ$4, Rates_current!$G$6:$Q$29, 11, FALSE))</f>
        <v>14588.862297828502</v>
      </c>
      <c r="DK127" s="180">
        <f>$BS127*(VLOOKUP(DK$4, Rates_current!$G$6:$Q$29, 10, FALSE)+VLOOKUP(DK$4, Rates_current!$G$6:$Q$29, 11, FALSE))</f>
        <v>15744.268988002501</v>
      </c>
      <c r="DL127" s="180">
        <f>$BS127*(VLOOKUP(DL$4, Rates_current!$G$6:$Q$29, 10, FALSE)+VLOOKUP(DL$4, Rates_current!$G$6:$Q$29, 11, FALSE))</f>
        <v>16360.729350856</v>
      </c>
      <c r="DM127" s="180">
        <f>$BS127*(VLOOKUP(DM$4, Rates_current!$G$6:$Q$29, 10, FALSE)+VLOOKUP(DM$4, Rates_current!$G$6:$Q$29, 11, FALSE))</f>
        <v>14072.407987736999</v>
      </c>
      <c r="DN127" s="180">
        <f>$BS127*(VLOOKUP(DN$4, Rates_current!$G$6:$Q$29, 10, FALSE)+VLOOKUP(DN$4, Rates_current!$G$6:$Q$29, 11, FALSE))</f>
        <v>15364.283325946499</v>
      </c>
      <c r="DO127" s="180">
        <f>$BS127*(VLOOKUP(DO$4, Rates_current!$G$6:$Q$29, 10, FALSE)+VLOOKUP(DO$4, Rates_current!$G$6:$Q$29, 11, FALSE))</f>
        <v>12127.512490226374</v>
      </c>
      <c r="DP127" s="180">
        <f>$BS127*(VLOOKUP(DP$4, Rates_current!$G$6:$Q$29, 10, FALSE)+VLOOKUP(DP$4, Rates_current!$G$6:$Q$29, 11, FALSE))</f>
        <v>15045.804406624749</v>
      </c>
      <c r="DQ127" s="180">
        <f>$BS127*(VLOOKUP(DQ$4, Rates_current!$G$6:$Q$29, 10, FALSE)+VLOOKUP(DQ$4, Rates_current!$G$6:$Q$29, 11, FALSE))</f>
        <v>15372.260801625749</v>
      </c>
      <c r="DR127" s="180">
        <f>$BS127*(VLOOKUP(DR$4, Rates_current!$G$6:$Q$29, 10, FALSE)+VLOOKUP(DR$4, Rates_current!$G$6:$Q$29, 11, FALSE))</f>
        <v>13345.33703255225</v>
      </c>
      <c r="DS127" s="180">
        <f>$BS127*(VLOOKUP(DS$4, Rates_current!$G$6:$Q$29, 10, FALSE)+VLOOKUP(DS$4, Rates_current!$G$6:$Q$29, 11, FALSE))</f>
        <v>12901.393603535525</v>
      </c>
      <c r="DT127" s="180">
        <f>$BS127*(VLOOKUP(DT$4, Rates_current!$G$6:$Q$29, 10, FALSE)+VLOOKUP(DT$4, Rates_current!$G$6:$Q$29, 11, FALSE))</f>
        <v>11871.780455447</v>
      </c>
      <c r="DU127" s="402">
        <f>IF(D127=0,IF(C127=0,MAX(0,DW127 - (VLOOKUP($A127,TOCA_current!$A$2:$AI$137,MATCH("RHWM 2024",TOCA_current!$A$2:$AI$2,0),FALSE)*$BS$2)), 0),0)</f>
        <v>0</v>
      </c>
      <c r="DV127" s="403">
        <f>MIN(VLOOKUP($A127,TOCA_current!$A$2:$AI$137,MATCH("TRL - NLSL - Existing Resource "&amp;$BS$1,TOCA_current!$A$2:$AI$2,0),FALSE)*$BS$2, VLOOKUP($A127,TOCA_current!$A$2:$AI$137,MATCH("RHWM 2024",TOCA_current!$A$2:$AI$2,0),FALSE)*$BS$2)</f>
        <v>168231.16800000001</v>
      </c>
      <c r="DW127" s="403">
        <f>SUM(BY127:CV127)+(BS127*RT1SC!$C$4*$BS$2)</f>
        <v>168227.51277115056</v>
      </c>
      <c r="DX127" s="403">
        <f>VLOOKUP($A127,TOCA_current!$A$2:$AI$137,MATCH("Above RHWM Not Served with LS "&amp;$BS$1,TOCA_current!$A$2:$AI$2,0),FALSE)*$BS$2</f>
        <v>50472.864000000001</v>
      </c>
      <c r="DY127" s="403">
        <f t="shared" si="32"/>
        <v>-3.65522884944221</v>
      </c>
      <c r="DZ127" s="403">
        <f>(VLOOKUP($A127,TOCA_current!$A$2:$AI$137,MATCH("RHWM 2024",TOCA_current!$A$2:$AI$2,0),FALSE)*$BS$2) - $DV127</f>
        <v>0</v>
      </c>
      <c r="EA127" s="403">
        <f t="shared" si="33"/>
        <v>0</v>
      </c>
      <c r="EB127" s="403">
        <f t="shared" si="34"/>
        <v>0</v>
      </c>
      <c r="EC127" s="403">
        <f t="shared" si="35"/>
        <v>0</v>
      </c>
      <c r="ED127" s="403">
        <f t="shared" si="36"/>
        <v>0</v>
      </c>
    </row>
    <row r="128" spans="1:134">
      <c r="A128" s="123">
        <v>10440</v>
      </c>
      <c r="B128" s="124" t="s">
        <v>129</v>
      </c>
      <c r="C128" s="232">
        <f>VLOOKUP(A128, TOCA_current!$A$3:$D$137, 4, FALSE)</f>
        <v>0</v>
      </c>
      <c r="D128" s="191">
        <v>0</v>
      </c>
      <c r="E128" s="107">
        <f>VLOOKUP($A128,TOCA_previous!$A$2:$AI$137,MATCH(E$4,TOCA_previous!$A$2:$AI$2,0),FALSE)</f>
        <v>7.0879999999999999E-4</v>
      </c>
      <c r="F128" s="108">
        <f>VLOOKUP($A128,TOCA_previous!$A$2:$AI$137,MATCH(F$4,TOCA_previous!$A$2:$AI$2,0),FALSE)</f>
        <v>7.0879999999999999E-4</v>
      </c>
      <c r="G128" s="108">
        <f t="shared" si="24"/>
        <v>0</v>
      </c>
      <c r="H128" s="108">
        <f>VLOOKUP($A128,TOCA_previous!$A$2:$AI$137,MATCH(H$4,TOCA_previous!$A$2:$AI$2,0),FALSE)</f>
        <v>5.6680000000000001E-2</v>
      </c>
      <c r="I128" s="108">
        <f t="shared" si="25"/>
        <v>0</v>
      </c>
      <c r="J128" s="108">
        <f t="shared" si="26"/>
        <v>0</v>
      </c>
      <c r="K128" s="179">
        <f>VLOOKUP(A128, IRD!$A$5:$C$139, 3, FALSE)</f>
        <v>0</v>
      </c>
      <c r="L128" s="180">
        <f t="array" ref="L128">IF($G128=0, INDEX(LS_previous!$D$4:$AY$138, MATCH('Staging Table'!$A128, LS_previous!$B$4:$B$138, 0), MATCH(L$4&amp;L$5, LS_previous!$D$2:$AY$2&amp;LS_previous!$D$3:$AY$3, 0)),SUM(VLOOKUP($A128, LS_previous!$B$4:$AY$138, LS_previous!D$149, FALSE), VLOOKUP('Staging Table'!$A128, LS_previous!$B$4:$AY$138,LS_previous!AB$149, FALSE))/2)</f>
        <v>75.374860497237478</v>
      </c>
      <c r="M128" s="180">
        <f t="array" ref="M128">IF($G128=0, INDEX(LS_previous!$D$4:$AY$138, MATCH('Staging Table'!$A128, LS_previous!$B$4:$B$138, 0), MATCH(M$4&amp;M$5, LS_previous!$D$2:$AY$2&amp;LS_previous!$D$3:$AY$3, 0)),SUM(VLOOKUP($A128, LS_previous!$B$4:$AY$138, LS_previous!E$149, FALSE), VLOOKUP('Staging Table'!$A128, LS_previous!$B$4:$AY$138,LS_previous!AC$149, FALSE))/2)</f>
        <v>216.83951006594793</v>
      </c>
      <c r="N128" s="180">
        <f t="array" ref="N128">IF($G128=0, INDEX(LS_previous!$D$4:$AY$138, MATCH('Staging Table'!$A128, LS_previous!$B$4:$B$138, 0), MATCH(N$4&amp;N$5, LS_previous!$D$2:$AY$2&amp;LS_previous!$D$3:$AY$3, 0)),SUM(VLOOKUP($A128, LS_previous!$B$4:$AY$138, LS_previous!F$149, FALSE), VLOOKUP('Staging Table'!$A128, LS_previous!$B$4:$AY$138,LS_previous!AD$149, FALSE))/2)</f>
        <v>87.265463110261408</v>
      </c>
      <c r="O128" s="180">
        <f t="array" ref="O128">IF($G128=0, INDEX(LS_previous!$D$4:$AY$138, MATCH('Staging Table'!$A128, LS_previous!$B$4:$B$138, 0), MATCH(O$4&amp;O$5, LS_previous!$D$2:$AY$2&amp;LS_previous!$D$3:$AY$3, 0)),SUM(VLOOKUP($A128, LS_previous!$B$4:$AY$138, LS_previous!G$149, FALSE), VLOOKUP('Staging Table'!$A128, LS_previous!$B$4:$AY$138,LS_previous!AE$149, FALSE))/2)</f>
        <v>179.54620831439547</v>
      </c>
      <c r="P128" s="180">
        <f t="array" ref="P128">IF($G128=0, INDEX(LS_previous!$D$4:$AY$138, MATCH('Staging Table'!$A128, LS_previous!$B$4:$B$138, 0), MATCH(P$4&amp;P$5, LS_previous!$D$2:$AY$2&amp;LS_previous!$D$3:$AY$3, 0)),SUM(VLOOKUP($A128, LS_previous!$B$4:$AY$138, LS_previous!H$149, FALSE), VLOOKUP('Staging Table'!$A128, LS_previous!$B$4:$AY$138,LS_previous!AF$149, FALSE))/2)</f>
        <v>966.59700495107927</v>
      </c>
      <c r="Q128" s="180">
        <f t="array" ref="Q128">IF($G128=0, INDEX(LS_previous!$D$4:$AY$138, MATCH('Staging Table'!$A128, LS_previous!$B$4:$B$138, 0), MATCH(Q$4&amp;Q$5, LS_previous!$D$2:$AY$2&amp;LS_previous!$D$3:$AY$3, 0)),SUM(VLOOKUP($A128, LS_previous!$B$4:$AY$138, LS_previous!I$149, FALSE), VLOOKUP('Staging Table'!$A128, LS_previous!$B$4:$AY$138,LS_previous!AG$149, FALSE))/2)</f>
        <v>667.07041434214943</v>
      </c>
      <c r="R128" s="180">
        <f t="array" ref="R128">IF($G128=0, INDEX(LS_previous!$D$4:$AY$138, MATCH('Staging Table'!$A128, LS_previous!$B$4:$B$138, 0), MATCH(R$4&amp;R$5, LS_previous!$D$2:$AY$2&amp;LS_previous!$D$3:$AY$3, 0)),SUM(VLOOKUP($A128, LS_previous!$B$4:$AY$138, LS_previous!J$149, FALSE), VLOOKUP('Staging Table'!$A128, LS_previous!$B$4:$AY$138,LS_previous!AH$149, FALSE))/2)</f>
        <v>1514.053290776468</v>
      </c>
      <c r="S128" s="180">
        <f t="array" ref="S128">IF($G128=0, INDEX(LS_previous!$D$4:$AY$138, MATCH('Staging Table'!$A128, LS_previous!$B$4:$B$138, 0), MATCH(S$4&amp;S$5, LS_previous!$D$2:$AY$2&amp;LS_previous!$D$3:$AY$3, 0)),SUM(VLOOKUP($A128, LS_previous!$B$4:$AY$138, LS_previous!K$149, FALSE), VLOOKUP('Staging Table'!$A128, LS_previous!$B$4:$AY$138,LS_previous!AI$149, FALSE))/2)</f>
        <v>889.69679491217039</v>
      </c>
      <c r="T128" s="180">
        <f t="array" ref="T128">IF($G128=0, INDEX(LS_previous!$D$4:$AY$138, MATCH('Staging Table'!$A128, LS_previous!$B$4:$B$138, 0), MATCH(T$4&amp;T$5, LS_previous!$D$2:$AY$2&amp;LS_previous!$D$3:$AY$3, 0)),SUM(VLOOKUP($A128, LS_previous!$B$4:$AY$138, LS_previous!L$149, FALSE), VLOOKUP('Staging Table'!$A128, LS_previous!$B$4:$AY$138,LS_previous!AJ$149, FALSE))/2)</f>
        <v>1431.8200417652661</v>
      </c>
      <c r="U128" s="180">
        <f t="array" ref="U128">IF($G128=0, INDEX(LS_previous!$D$4:$AY$138, MATCH('Staging Table'!$A128, LS_previous!$B$4:$B$138, 0), MATCH(U$4&amp;U$5, LS_previous!$D$2:$AY$2&amp;LS_previous!$D$3:$AY$3, 0)),SUM(VLOOKUP($A128, LS_previous!$B$4:$AY$138, LS_previous!M$149, FALSE), VLOOKUP('Staging Table'!$A128, LS_previous!$B$4:$AY$138,LS_previous!AK$149, FALSE))/2)</f>
        <v>776.87376547883923</v>
      </c>
      <c r="V128" s="180">
        <f t="array" ref="V128">IF($G128=0, INDEX(LS_previous!$D$4:$AY$138, MATCH('Staging Table'!$A128, LS_previous!$B$4:$B$138, 0), MATCH(V$4&amp;V$5, LS_previous!$D$2:$AY$2&amp;LS_previous!$D$3:$AY$3, 0)),SUM(VLOOKUP($A128, LS_previous!$B$4:$AY$138, LS_previous!N$149, FALSE), VLOOKUP('Staging Table'!$A128, LS_previous!$B$4:$AY$138,LS_previous!AL$149, FALSE))/2)</f>
        <v>451.94833867040916</v>
      </c>
      <c r="W128" s="180">
        <f t="array" ref="W128">IF($G128=0, INDEX(LS_previous!$D$4:$AY$138, MATCH('Staging Table'!$A128, LS_previous!$B$4:$B$138, 0), MATCH(W$4&amp;W$5, LS_previous!$D$2:$AY$2&amp;LS_previous!$D$3:$AY$3, 0)),SUM(VLOOKUP($A128, LS_previous!$B$4:$AY$138, LS_previous!O$149, FALSE), VLOOKUP('Staging Table'!$A128, LS_previous!$B$4:$AY$138,LS_previous!AM$149, FALSE))/2)</f>
        <v>421.85047492356489</v>
      </c>
      <c r="X128" s="180">
        <f t="array" ref="X128">IF($G128=0, INDEX(LS_previous!$D$4:$AY$138, MATCH('Staging Table'!$A128, LS_previous!$B$4:$B$138, 0), MATCH(X$4&amp;X$5, LS_previous!$D$2:$AY$2&amp;LS_previous!$D$3:$AY$3, 0)),SUM(VLOOKUP($A128, LS_previous!$B$4:$AY$138, LS_previous!P$149, FALSE), VLOOKUP('Staging Table'!$A128, LS_previous!$B$4:$AY$138,LS_previous!AN$149, FALSE))/2)</f>
        <v>778.71909727584898</v>
      </c>
      <c r="Y128" s="180">
        <f t="array" ref="Y128">IF($G128=0, INDEX(LS_previous!$D$4:$AY$138, MATCH('Staging Table'!$A128, LS_previous!$B$4:$B$138, 0), MATCH(Y$4&amp;Y$5, LS_previous!$D$2:$AY$2&amp;LS_previous!$D$3:$AY$3, 0)),SUM(VLOOKUP($A128, LS_previous!$B$4:$AY$138, LS_previous!Q$149, FALSE), VLOOKUP('Staging Table'!$A128, LS_previous!$B$4:$AY$138,LS_previous!AO$149, FALSE))/2)</f>
        <v>491.66274777544641</v>
      </c>
      <c r="Z128" s="180">
        <f t="array" ref="Z128">IF($G128=0, INDEX(LS_previous!$D$4:$AY$138, MATCH('Staging Table'!$A128, LS_previous!$B$4:$B$138, 0), MATCH(Z$4&amp;Z$5, LS_previous!$D$2:$AY$2&amp;LS_previous!$D$3:$AY$3, 0)),SUM(VLOOKUP($A128, LS_previous!$B$4:$AY$138, LS_previous!R$149, FALSE), VLOOKUP('Staging Table'!$A128, LS_previous!$B$4:$AY$138,LS_previous!AP$149, FALSE))/2)</f>
        <v>-658.29901702298957</v>
      </c>
      <c r="AA128" s="180">
        <f t="array" ref="AA128">IF($G128=0, INDEX(LS_previous!$D$4:$AY$138, MATCH('Staging Table'!$A128, LS_previous!$B$4:$B$138, 0), MATCH(AA$4&amp;AA$5, LS_previous!$D$2:$AY$2&amp;LS_previous!$D$3:$AY$3, 0)),SUM(VLOOKUP($A128, LS_previous!$B$4:$AY$138, LS_previous!S$149, FALSE), VLOOKUP('Staging Table'!$A128, LS_previous!$B$4:$AY$138,LS_previous!AQ$149, FALSE))/2)</f>
        <v>-24.758334189626567</v>
      </c>
      <c r="AB128" s="180">
        <f t="array" ref="AB128">IF($G128=0, INDEX(LS_previous!$D$4:$AY$138, MATCH('Staging Table'!$A128, LS_previous!$B$4:$B$138, 0), MATCH(AB$4&amp;AB$5, LS_previous!$D$2:$AY$2&amp;LS_previous!$D$3:$AY$3, 0)),SUM(VLOOKUP($A128, LS_previous!$B$4:$AY$138, LS_previous!T$149, FALSE), VLOOKUP('Staging Table'!$A128, LS_previous!$B$4:$AY$138,LS_previous!AR$149, FALSE))/2)</f>
        <v>-1154.7918486784051</v>
      </c>
      <c r="AC128" s="180">
        <f t="array" ref="AC128">IF($G128=0, INDEX(LS_previous!$D$4:$AY$138, MATCH('Staging Table'!$A128, LS_previous!$B$4:$B$138, 0), MATCH(AC$4&amp;AC$5, LS_previous!$D$2:$AY$2&amp;LS_previous!$D$3:$AY$3, 0)),SUM(VLOOKUP($A128, LS_previous!$B$4:$AY$138, LS_previous!U$149, FALSE), VLOOKUP('Staging Table'!$A128, LS_previous!$B$4:$AY$138,LS_previous!AS$149, FALSE))/2)</f>
        <v>-58.113156900764125</v>
      </c>
      <c r="AD128" s="180">
        <f t="array" ref="AD128">IF($G128=0, INDEX(LS_previous!$D$4:$AY$138, MATCH('Staging Table'!$A128, LS_previous!$B$4:$B$138, 0), MATCH(AD$4&amp;AD$5, LS_previous!$D$2:$AY$2&amp;LS_previous!$D$3:$AY$3, 0)),SUM(VLOOKUP($A128, LS_previous!$B$4:$AY$138, LS_previous!V$149, FALSE), VLOOKUP('Staging Table'!$A128, LS_previous!$B$4:$AY$138,LS_previous!AT$149, FALSE))/2)</f>
        <v>-865.02450298647591</v>
      </c>
      <c r="AE128" s="180">
        <f t="array" ref="AE128">IF($G128=0, INDEX(LS_previous!$D$4:$AY$138, MATCH('Staging Table'!$A128, LS_previous!$B$4:$B$138, 0), MATCH(AE$4&amp;AE$5, LS_previous!$D$2:$AY$2&amp;LS_previous!$D$3:$AY$3, 0)),SUM(VLOOKUP($A128, LS_previous!$B$4:$AY$138, LS_previous!W$149, FALSE), VLOOKUP('Staging Table'!$A128, LS_previous!$B$4:$AY$138,LS_previous!AU$149, FALSE))/2)</f>
        <v>-240.80641599223213</v>
      </c>
      <c r="AF128" s="180">
        <f t="array" ref="AF128">IF($G128=0, INDEX(LS_previous!$D$4:$AY$138, MATCH('Staging Table'!$A128, LS_previous!$B$4:$B$138, 0), MATCH(AF$4&amp;AF$5, LS_previous!$D$2:$AY$2&amp;LS_previous!$D$3:$AY$3, 0)),SUM(VLOOKUP($A128, LS_previous!$B$4:$AY$138, LS_previous!X$149, FALSE), VLOOKUP('Staging Table'!$A128, LS_previous!$B$4:$AY$138,LS_previous!AV$149, FALSE))/2)</f>
        <v>-701.40268813866146</v>
      </c>
      <c r="AG128" s="180">
        <f t="array" ref="AG128">IF($G128=0, INDEX(LS_previous!$D$4:$AY$138, MATCH('Staging Table'!$A128, LS_previous!$B$4:$B$138, 0), MATCH(AG$4&amp;AG$5, LS_previous!$D$2:$AY$2&amp;LS_previous!$D$3:$AY$3, 0)),SUM(VLOOKUP($A128, LS_previous!$B$4:$AY$138, LS_previous!Y$149, FALSE), VLOOKUP('Staging Table'!$A128, LS_previous!$B$4:$AY$138,LS_previous!AW$149, FALSE))/2)</f>
        <v>-231.77025695121267</v>
      </c>
      <c r="AH128" s="180">
        <f t="array" ref="AH128">IF($G128=0, INDEX(LS_previous!$D$4:$AY$138, MATCH('Staging Table'!$A128, LS_previous!$B$4:$B$138, 0), MATCH(AH$4&amp;AH$5, LS_previous!$D$2:$AY$2&amp;LS_previous!$D$3:$AY$3, 0)),SUM(VLOOKUP($A128, LS_previous!$B$4:$AY$138, LS_previous!Z$149, FALSE), VLOOKUP('Staging Table'!$A128, LS_previous!$B$4:$AY$138,LS_previous!AX$149, FALSE))/2)</f>
        <v>-575.32272359161857</v>
      </c>
      <c r="AI128" s="180">
        <f t="array" ref="AI128">IF($G128=0, INDEX(LS_previous!$D$4:$AY$138, MATCH('Staging Table'!$A128, LS_previous!$B$4:$B$138, 0), MATCH(AI$4&amp;AI$5, LS_previous!$D$2:$AY$2&amp;LS_previous!$D$3:$AY$3, 0)),SUM(VLOOKUP($A128, LS_previous!$B$4:$AY$138, LS_previous!AA$149, FALSE), VLOOKUP('Staging Table'!$A128, LS_previous!$B$4:$AY$138,LS_previous!AY$149, FALSE))/2)</f>
        <v>-133.22475938529351</v>
      </c>
      <c r="AJ128" s="298">
        <f t="array" ref="AJ128">INDEX(Demand_previous!$D$4:$AY$138, MATCH('Staging Table'!$A128, Demand_previous!$B$4:$B$138, 0), MATCH(AJ$4&amp;AJ$5,Demand_previous!$D$2:$AY$2&amp;Demand_previous!$D$3:$AY$3, 0))/1000</f>
        <v>0</v>
      </c>
      <c r="AK128" s="298">
        <f t="array" ref="AK128">INDEX(Demand_previous!$D$4:$AY$138, MATCH('Staging Table'!$A128, Demand_previous!$B$4:$B$138, 0), MATCH(AK$4&amp;AK$5,Demand_previous!$D$2:$AY$2&amp;Demand_previous!$D$3:$AY$3, 0))/1000</f>
        <v>0</v>
      </c>
      <c r="AL128" s="298">
        <f t="array" ref="AL128">INDEX(Demand_previous!$D$4:$AY$138, MATCH('Staging Table'!$A128, Demand_previous!$B$4:$B$138, 0), MATCH(AL$4&amp;AL$5,Demand_previous!$D$2:$AY$2&amp;Demand_previous!$D$3:$AY$3, 0))/1000</f>
        <v>0.51046634615384523</v>
      </c>
      <c r="AM128" s="298">
        <f t="array" ref="AM128">INDEX(Demand_previous!$D$4:$AY$138, MATCH('Staging Table'!$A128, Demand_previous!$B$4:$B$138, 0), MATCH(AM$4&amp;AM$5,Demand_previous!$D$2:$AY$2&amp;Demand_previous!$D$3:$AY$3, 0))/1000</f>
        <v>0</v>
      </c>
      <c r="AN128" s="298">
        <f t="array" ref="AN128">INDEX(Demand_previous!$D$4:$AY$138, MATCH('Staging Table'!$A128, Demand_previous!$B$4:$B$138, 0), MATCH(AN$4&amp;AN$5,Demand_previous!$D$2:$AY$2&amp;Demand_previous!$D$3:$AY$3, 0))/1000</f>
        <v>0.25870312499999981</v>
      </c>
      <c r="AO128" s="298">
        <f t="array" ref="AO128">INDEX(Demand_previous!$D$4:$AY$138, MATCH('Staging Table'!$A128, Demand_previous!$B$4:$B$138, 0), MATCH(AO$4&amp;AO$5,Demand_previous!$D$2:$AY$2&amp;Demand_previous!$D$3:$AY$3, 0))/1000</f>
        <v>2.1212129629629621</v>
      </c>
      <c r="AP128" s="298">
        <f t="array" ref="AP128">INDEX(Demand_previous!$D$4:$AY$138, MATCH('Staging Table'!$A128, Demand_previous!$B$4:$B$138, 0), MATCH(AP$4&amp;AP$5,Demand_previous!$D$2:$AY$2&amp;Demand_previous!$D$3:$AY$3, 0))/1000</f>
        <v>0.27677163461538346</v>
      </c>
      <c r="AQ128" s="298">
        <f t="array" ref="AQ128">INDEX(Demand_previous!$D$4:$AY$138, MATCH('Staging Table'!$A128, Demand_previous!$B$4:$B$138, 0), MATCH(AQ$4&amp;AQ$5,Demand_previous!$D$2:$AY$2&amp;Demand_previous!$D$3:$AY$3, 0))/1000</f>
        <v>0</v>
      </c>
      <c r="AR128" s="298">
        <f t="array" ref="AR128">INDEX(Demand_previous!$D$4:$AY$138, MATCH('Staging Table'!$A128, Demand_previous!$B$4:$B$138, 0), MATCH(AR$4&amp;AR$5,Demand_previous!$D$2:$AY$2&amp;Demand_previous!$D$3:$AY$3, 0))/1000</f>
        <v>0.19675240384615389</v>
      </c>
      <c r="AS128" s="298">
        <f t="array" ref="AS128">INDEX(Demand_previous!$D$4:$AY$138, MATCH('Staging Table'!$A128, Demand_previous!$B$4:$B$138, 0), MATCH(AS$4&amp;AS$5,Demand_previous!$D$2:$AY$2&amp;Demand_previous!$D$3:$AY$3, 0))/1000</f>
        <v>0.16309999999999991</v>
      </c>
      <c r="AT128" s="298">
        <f t="array" ref="AT128">INDEX(Demand_previous!$D$4:$AY$138, MATCH('Staging Table'!$A128, Demand_previous!$B$4:$B$138, 0), MATCH(AT$4&amp;AT$5,Demand_previous!$D$2:$AY$2&amp;Demand_previous!$D$3:$AY$3, 0))/1000</f>
        <v>0.54465509259259259</v>
      </c>
      <c r="AU128" s="298">
        <f t="array" ref="AU128">INDEX(Demand_previous!$D$4:$AY$138, MATCH('Staging Table'!$A128, Demand_previous!$B$4:$B$138, 0), MATCH(AU$4&amp;AU$5,Demand_previous!$D$2:$AY$2&amp;Demand_previous!$D$3:$AY$3, 0))/1000</f>
        <v>0.21786499999999998</v>
      </c>
      <c r="AV128" s="180">
        <f>$F128*(VLOOKUP(AV$4, Rates_previous!$G$6:$Q$29, 10, FALSE)+VLOOKUP(AV$4, Rates_previous!$G$6:$Q$29, 11, FALSE))</f>
        <v>3227.8216294368144</v>
      </c>
      <c r="AW128" s="180">
        <f>$F128*(VLOOKUP(AW$4, Rates_previous!$G$6:$Q$29, 10, FALSE)+VLOOKUP(AW$4, Rates_previous!$G$6:$Q$29, 11, FALSE))</f>
        <v>4086.5393285753435</v>
      </c>
      <c r="AX128" s="180">
        <f>$F128*(VLOOKUP(AX$4, Rates_previous!$G$6:$Q$29, 10, FALSE)+VLOOKUP(AX$4, Rates_previous!$G$6:$Q$29, 11, FALSE))</f>
        <v>3999.9055807067716</v>
      </c>
      <c r="AY128" s="180">
        <f>$F128*(VLOOKUP(AY$4, Rates_previous!$G$6:$Q$29, 10, FALSE)+VLOOKUP(AY$4, Rates_previous!$G$6:$Q$29, 11, FALSE))</f>
        <v>3303.7519143113614</v>
      </c>
      <c r="AZ128" s="180">
        <f>$F128*(VLOOKUP(AZ$4, Rates_previous!$G$6:$Q$29, 10, FALSE)+VLOOKUP(AZ$4, Rates_previous!$G$6:$Q$29, 11, FALSE))</f>
        <v>2863.4341927558949</v>
      </c>
      <c r="BA128" s="180">
        <f>$F128*(VLOOKUP(BA$4, Rates_previous!$G$6:$Q$29, 10, FALSE)+VLOOKUP(BA$4, Rates_previous!$G$6:$Q$29, 11, FALSE))</f>
        <v>3418.3621864060265</v>
      </c>
      <c r="BB128" s="180">
        <f>$F128*(VLOOKUP(BB$4, Rates_previous!$G$6:$Q$29, 10, FALSE)+VLOOKUP(BB$4, Rates_previous!$G$6:$Q$29, 11, FALSE))</f>
        <v>2653.9031549487049</v>
      </c>
      <c r="BC128" s="180">
        <f>$F128*(VLOOKUP(BC$4, Rates_previous!$G$6:$Q$29, 10, FALSE)+VLOOKUP(BC$4, Rates_previous!$G$6:$Q$29, 11, FALSE))</f>
        <v>3677.0023512126158</v>
      </c>
      <c r="BD128" s="180">
        <f>$F128*(VLOOKUP(BD$4, Rates_previous!$G$6:$Q$29, 10, FALSE)+VLOOKUP(BD$4, Rates_previous!$G$6:$Q$29, 11, FALSE))</f>
        <v>3928.9540055791686</v>
      </c>
      <c r="BE128" s="180">
        <f>$F128*(VLOOKUP(BE$4, Rates_previous!$G$6:$Q$29, 10, FALSE)+VLOOKUP(BE$4, Rates_previous!$G$6:$Q$29, 11, FALSE))</f>
        <v>3730.3639189787082</v>
      </c>
      <c r="BF128" s="180">
        <f>$F128*(VLOOKUP(BF$4, Rates_previous!$G$6:$Q$29, 10, FALSE)+VLOOKUP(BF$4, Rates_previous!$G$6:$Q$29, 11, FALSE))</f>
        <v>3605.1089450898739</v>
      </c>
      <c r="BG128" s="180">
        <f>$F128*(VLOOKUP(BG$4, Rates_previous!$G$6:$Q$29, 10, FALSE)+VLOOKUP(BG$4, Rates_previous!$G$6:$Q$29, 11, FALSE))</f>
        <v>3331.4964829769119</v>
      </c>
      <c r="BH128" s="298">
        <f>IF($D128=0,IF(C128=0, MAX(BJ128 - (VLOOKUP($A128,TOCA_previous!$A$2:$AI$137,MATCH("RHWM 2022",TOCA_previous!$A$2:$AI$2,0),FALSE)*$F$2*TOCA_previous!C125),0),0), 0)</f>
        <v>4303.4501396138076</v>
      </c>
      <c r="BI128" s="192">
        <f>MIN(VLOOKUP($A128,TOCA_previous!$A$2:$AI$137,MATCH("TRL - NLSL - Existing Resource "&amp;$F$1,TOCA_previous!$A$2:$AI$2,0),FALSE)*$F$2,(VLOOKUP($A128,TOCA_previous!$A$2:$AI$137,MATCH("RHWM 2022",TOCA_previous!$A$2:$AI$2,0),FALSE)*$F$2))</f>
        <v>41829</v>
      </c>
      <c r="BJ128" s="402">
        <f>SUM(L128:AI128)+(F128*RT1SC!$C$3*$F$2)</f>
        <v>46132.450139613808</v>
      </c>
      <c r="BK128" s="401">
        <f>VLOOKUP($A128,TOCA_previous!$A$2:$AI$137,MATCH("Above RHWM Not Served with LS "&amp;$F$1,TOCA_previous!$A$2:$AI$2,0),FALSE)*$F$2</f>
        <v>0</v>
      </c>
      <c r="BL128" s="402">
        <f t="shared" si="27"/>
        <v>4303.4501396138076</v>
      </c>
      <c r="BM128" s="401">
        <f>(VLOOKUP($A128,TOCA_previous!$A$2:$AI$137,MATCH("RHWM 2022",TOCA_previous!$A$2:$AI$2,0),FALSE)*$F$2) - $BI128</f>
        <v>0</v>
      </c>
      <c r="BN128" s="402">
        <f t="shared" si="28"/>
        <v>0</v>
      </c>
      <c r="BO128" s="401">
        <f t="shared" si="29"/>
        <v>0</v>
      </c>
      <c r="BP128" s="402">
        <f t="shared" si="30"/>
        <v>0</v>
      </c>
      <c r="BQ128" s="401">
        <f t="shared" si="37"/>
        <v>0</v>
      </c>
      <c r="BR128" s="108">
        <f>VLOOKUP($A128,TOCA_current!$A$2:$AI$137,MATCH(BR$4,TOCA_current!$A$2:$AI$2,0),FALSE)</f>
        <v>7.0859999999999999E-4</v>
      </c>
      <c r="BS128" s="108">
        <f>VLOOKUP($A128,TOCA_current!$A$2:$AI$137,MATCH(BS$4,TOCA_current!$A$2:$AI$2,0),FALSE)</f>
        <v>7.0859999999999999E-4</v>
      </c>
      <c r="BT128" s="189">
        <f t="shared" si="31"/>
        <v>0</v>
      </c>
      <c r="BU128" s="108">
        <f>VLOOKUP($A128,TOCA_current!A124:BG259,MATCH(BU$4,TOCA_current!$A$2:$BG$2,0),FALSE)</f>
        <v>5.7714285714285711E-2</v>
      </c>
      <c r="BV128" s="108">
        <f t="shared" si="38"/>
        <v>0</v>
      </c>
      <c r="BW128" s="108">
        <f t="shared" si="39"/>
        <v>0</v>
      </c>
      <c r="BX128" s="179">
        <f>VLOOKUP($A128,IRD!$A$4:$G$139, 7, FALSE)</f>
        <v>0</v>
      </c>
      <c r="BY128" s="180">
        <f t="array" ref="BY128">IF($BT128=0, INDEX(LS_current!$D$4:$AY$138, MATCH('Staging Table'!$A128, LS_current!$B$4:$B$138, 0), MATCH(BY$4&amp;BY$5, LS_current!$D$2:$AY$2&amp;LS_current!$D$3:$AY$3, 0)),SUM(VLOOKUP($A128, LS_current!$B$4:$AY$138, LS_current!D$148, FALSE), VLOOKUP($A128, LS_current!$B$4:$AY$138,LS_current!AB$148, FALSE))/2)</f>
        <v>336.96915609039957</v>
      </c>
      <c r="BZ128" s="180">
        <f t="array" ref="BZ128">IF($BT128=0, INDEX(LS_current!$D$4:$AY$138, MATCH('Staging Table'!$A128, LS_current!$B$4:$B$138, 0), MATCH(BZ$4&amp;BZ$5, LS_current!$D$2:$AY$2&amp;LS_current!$D$3:$AY$3, 0)),SUM(VLOOKUP($A128, LS_current!$B$4:$AY$138, LS_current!E$148, FALSE), VLOOKUP($A128, LS_current!$B$4:$AY$138,LS_current!AC$148, FALSE))/2)</f>
        <v>193.6224985107001</v>
      </c>
      <c r="CA128" s="180">
        <f t="array" ref="CA128">IF($BT128=0, INDEX(LS_current!$D$4:$AY$138, MATCH('Staging Table'!$A128, LS_current!$B$4:$B$138, 0), MATCH(CA$4&amp;CA$5, LS_current!$D$2:$AY$2&amp;LS_current!$D$3:$AY$3, 0)),SUM(VLOOKUP($A128, LS_current!$B$4:$AY$138, LS_current!F$148, FALSE), VLOOKUP($A128, LS_current!$B$4:$AY$138,LS_current!AD$148, FALSE))/2)</f>
        <v>281.74527937919947</v>
      </c>
      <c r="CB128" s="180">
        <f t="array" ref="CB128">IF($BT128=0, INDEX(LS_current!$D$4:$AY$138, MATCH('Staging Table'!$A128, LS_current!$B$4:$B$138, 0), MATCH(CB$4&amp;CB$5, LS_current!$D$2:$AY$2&amp;LS_current!$D$3:$AY$3, 0)),SUM(VLOOKUP($A128, LS_current!$B$4:$AY$138, LS_current!G$148, FALSE), VLOOKUP($A128, LS_current!$B$4:$AY$138,LS_current!AE$148, FALSE))/2)</f>
        <v>259.07840207340018</v>
      </c>
      <c r="CC128" s="180">
        <f t="array" ref="CC128">IF($BT128=0, INDEX(LS_current!$D$4:$AY$138, MATCH('Staging Table'!$A128, LS_current!$B$4:$B$138, 0), MATCH(CC$4&amp;CC$5, LS_current!$D$2:$AY$2&amp;LS_current!$D$3:$AY$3, 0)),SUM(VLOOKUP($A128, LS_current!$B$4:$AY$138, LS_current!H$148, FALSE), VLOOKUP($A128, LS_current!$B$4:$AY$138,LS_current!AF$148, FALSE))/2)</f>
        <v>757.06180534460009</v>
      </c>
      <c r="CD128" s="180">
        <f t="array" ref="CD128">IF($BT128=0, INDEX(LS_current!$D$4:$AY$138, MATCH('Staging Table'!$A128, LS_current!$B$4:$B$138, 0), MATCH(CD$4&amp;CD$5, LS_current!$D$2:$AY$2&amp;LS_current!$D$3:$AY$3, 0)),SUM(VLOOKUP($A128, LS_current!$B$4:$AY$138, LS_current!I$148, FALSE), VLOOKUP($A128, LS_current!$B$4:$AY$138,LS_current!AG$148, FALSE))/2)</f>
        <v>762.03986701439999</v>
      </c>
      <c r="CE128" s="180">
        <f t="array" ref="CE128">IF($BT128=0, INDEX(LS_current!$D$4:$AY$138, MATCH('Staging Table'!$A128, LS_current!$B$4:$B$138, 0), MATCH(CE$4&amp;CE$5, LS_current!$D$2:$AY$2&amp;LS_current!$D$3:$AY$3, 0)),SUM(VLOOKUP($A128, LS_current!$B$4:$AY$138, LS_current!J$148, FALSE), VLOOKUP($A128, LS_current!$B$4:$AY$138,LS_current!AH$148, FALSE))/2)</f>
        <v>746.381850751</v>
      </c>
      <c r="CF128" s="180">
        <f t="array" ref="CF128">IF($BT128=0, INDEX(LS_current!$D$4:$AY$138, MATCH('Staging Table'!$A128, LS_current!$B$4:$B$138, 0), MATCH(CF$4&amp;CF$5, LS_current!$D$2:$AY$2&amp;LS_current!$D$3:$AY$3, 0)),SUM(VLOOKUP($A128, LS_current!$B$4:$AY$138, LS_current!K$148, FALSE), VLOOKUP($A128, LS_current!$B$4:$AY$138,LS_current!AI$148, FALSE))/2)</f>
        <v>685.54839265059991</v>
      </c>
      <c r="CG128" s="180">
        <f t="array" ref="CG128">IF($BT128=0, INDEX(LS_current!$D$4:$AY$138, MATCH('Staging Table'!$A128, LS_current!$B$4:$B$138, 0), MATCH(CG$4&amp;CG$5, LS_current!$D$2:$AY$2&amp;LS_current!$D$3:$AY$3, 0)),SUM(VLOOKUP($A128, LS_current!$B$4:$AY$138, LS_current!L$148, FALSE), VLOOKUP($A128, LS_current!$B$4:$AY$138,LS_current!AJ$148, FALSE))/2)</f>
        <v>756.7769201406004</v>
      </c>
      <c r="CH128" s="180">
        <f t="array" ref="CH128">IF($BT128=0, INDEX(LS_current!$D$4:$AY$138, MATCH('Staging Table'!$A128, LS_current!$B$4:$B$138, 0), MATCH(CH$4&amp;CH$5, LS_current!$D$2:$AY$2&amp;LS_current!$D$3:$AY$3, 0)),SUM(VLOOKUP($A128, LS_current!$B$4:$AY$138, LS_current!M$148, FALSE), VLOOKUP($A128, LS_current!$B$4:$AY$138,LS_current!AK$148, FALSE))/2)</f>
        <v>637.78947185259995</v>
      </c>
      <c r="CI128" s="180">
        <f t="array" ref="CI128">IF($BT128=0, INDEX(LS_current!$D$4:$AY$138, MATCH('Staging Table'!$A128, LS_current!$B$4:$B$138, 0), MATCH(CI$4&amp;CI$5, LS_current!$D$2:$AY$2&amp;LS_current!$D$3:$AY$3, 0)),SUM(VLOOKUP($A128, LS_current!$B$4:$AY$138, LS_current!N$148, FALSE), VLOOKUP($A128, LS_current!$B$4:$AY$138,LS_current!AL$148, FALSE))/2)</f>
        <v>106.68731652820043</v>
      </c>
      <c r="CJ128" s="180">
        <f t="array" ref="CJ128">IF($BT128=0, INDEX(LS_current!$D$4:$AY$138, MATCH('Staging Table'!$A128, LS_current!$B$4:$B$138, 0), MATCH(CJ$4&amp;CJ$5, LS_current!$D$2:$AY$2&amp;LS_current!$D$3:$AY$3, 0)),SUM(VLOOKUP($A128, LS_current!$B$4:$AY$138, LS_current!O$148, FALSE), VLOOKUP($A128, LS_current!$B$4:$AY$138,LS_current!AM$148, FALSE))/2)</f>
        <v>170.30452810920019</v>
      </c>
      <c r="CK128" s="180">
        <f t="array" ref="CK128">IF($BT128=0, INDEX(LS_current!$D$4:$AY$138, MATCH('Staging Table'!$A128, LS_current!$B$4:$B$138, 0), MATCH(CK$4&amp;CK$5, LS_current!$D$2:$AY$2&amp;LS_current!$D$3:$AY$3, 0)),SUM(VLOOKUP($A128, LS_current!$B$4:$AY$138, LS_current!P$148, FALSE), VLOOKUP($A128, LS_current!$B$4:$AY$138,LS_current!AN$148, FALSE))/2)</f>
        <v>485.04484886350019</v>
      </c>
      <c r="CL128" s="180">
        <f t="array" ref="CL128">IF($BT128=0, INDEX(LS_current!$D$4:$AY$138, MATCH('Staging Table'!$A128, LS_current!$B$4:$B$138, 0), MATCH(CL$4&amp;CL$5, LS_current!$D$2:$AY$2&amp;LS_current!$D$3:$AY$3, 0)),SUM(VLOOKUP($A128, LS_current!$B$4:$AY$138, LS_current!Q$148, FALSE), VLOOKUP($A128, LS_current!$B$4:$AY$138,LS_current!AO$148, FALSE))/2)</f>
        <v>269.94074100395028</v>
      </c>
      <c r="CM128" s="180">
        <f t="array" ref="CM128">IF($BT128=0, INDEX(LS_current!$D$4:$AY$138, MATCH('Staging Table'!$A128, LS_current!$B$4:$B$138, 0), MATCH(CM$4&amp;CM$5, LS_current!$D$2:$AY$2&amp;LS_current!$D$3:$AY$3, 0)),SUM(VLOOKUP($A128, LS_current!$B$4:$AY$138, LS_current!R$148, FALSE), VLOOKUP($A128, LS_current!$B$4:$AY$138,LS_current!AP$148, FALSE))/2)</f>
        <v>-569.80941849279998</v>
      </c>
      <c r="CN128" s="180">
        <f t="array" ref="CN128">IF($BT128=0, INDEX(LS_current!$D$4:$AY$138, MATCH('Staging Table'!$A128, LS_current!$B$4:$B$138, 0), MATCH(CN$4&amp;CN$5, LS_current!$D$2:$AY$2&amp;LS_current!$D$3:$AY$3, 0)),SUM(VLOOKUP($A128, LS_current!$B$4:$AY$138, LS_current!S$148, FALSE), VLOOKUP($A128, LS_current!$B$4:$AY$138,LS_current!AQ$148, FALSE))/2)</f>
        <v>-368.18620571309998</v>
      </c>
      <c r="CO128" s="180">
        <f t="array" ref="CO128">IF($BT128=0, INDEX(LS_current!$D$4:$AY$138, MATCH('Staging Table'!$A128, LS_current!$B$4:$B$138, 0), MATCH(CO$4&amp;CO$5, LS_current!$D$2:$AY$2&amp;LS_current!$D$3:$AY$3, 0)),SUM(VLOOKUP($A128, LS_current!$B$4:$AY$138, LS_current!T$148, FALSE), VLOOKUP($A128, LS_current!$B$4:$AY$138,LS_current!AR$148, FALSE))/2)</f>
        <v>-875.57461636359994</v>
      </c>
      <c r="CP128" s="180">
        <f t="array" ref="CP128">IF($BT128=0, INDEX(LS_current!$D$4:$AY$138, MATCH('Staging Table'!$A128, LS_current!$B$4:$B$138, 0), MATCH(CP$4&amp;CP$5, LS_current!$D$2:$AY$2&amp;LS_current!$D$3:$AY$3, 0)),SUM(VLOOKUP($A128, LS_current!$B$4:$AY$138, LS_current!U$148, FALSE), VLOOKUP($A128, LS_current!$B$4:$AY$138,LS_current!AS$148, FALSE))/2)</f>
        <v>-425.63030361870005</v>
      </c>
      <c r="CQ128" s="180">
        <f t="array" ref="CQ128">IF($BT128=0, INDEX(LS_current!$D$4:$AY$138, MATCH('Staging Table'!$A128, LS_current!$B$4:$B$138, 0), MATCH(CQ$4&amp;CQ$5, LS_current!$D$2:$AY$2&amp;LS_current!$D$3:$AY$3, 0)),SUM(VLOOKUP($A128, LS_current!$B$4:$AY$138, LS_current!V$148, FALSE), VLOOKUP($A128, LS_current!$B$4:$AY$138,LS_current!AT$148, FALSE))/2)</f>
        <v>-553.7387079703999</v>
      </c>
      <c r="CR128" s="180">
        <f t="array" ref="CR128">IF($BT128=0, INDEX(LS_current!$D$4:$AY$138, MATCH('Staging Table'!$A128, LS_current!$B$4:$B$138, 0), MATCH(CR$4&amp;CR$5, LS_current!$D$2:$AY$2&amp;LS_current!$D$3:$AY$3, 0)),SUM(VLOOKUP($A128, LS_current!$B$4:$AY$138, LS_current!W$148, FALSE), VLOOKUP($A128, LS_current!$B$4:$AY$138,LS_current!AU$148, FALSE))/2)</f>
        <v>-309.28345384649992</v>
      </c>
      <c r="CS128" s="180">
        <f t="array" ref="CS128">IF($BT128=0, INDEX(LS_current!$D$4:$AY$138, MATCH('Staging Table'!$A128, LS_current!$B$4:$B$138, 0), MATCH(CS$4&amp;CS$5, LS_current!$D$2:$AY$2&amp;LS_current!$D$3:$AY$3, 0)),SUM(VLOOKUP($A128, LS_current!$B$4:$AY$138, LS_current!X$148, FALSE), VLOOKUP($A128, LS_current!$B$4:$AY$138,LS_current!AV$148, FALSE))/2)</f>
        <v>-412.33941552490001</v>
      </c>
      <c r="CT128" s="180">
        <f t="array" ref="CT128">IF($BT128=0, INDEX(LS_current!$D$4:$AY$138, MATCH('Staging Table'!$A128, LS_current!$B$4:$B$138, 0), MATCH(CT$4&amp;CT$5, LS_current!$D$2:$AY$2&amp;LS_current!$D$3:$AY$3, 0)),SUM(VLOOKUP($A128, LS_current!$B$4:$AY$138, LS_current!Y$148, FALSE), VLOOKUP($A128, LS_current!$B$4:$AY$138,LS_current!AW$148, FALSE))/2)</f>
        <v>-287.26340338170996</v>
      </c>
      <c r="CU128" s="180">
        <f t="array" ref="CU128">IF($BT128=0, INDEX(LS_current!$D$4:$AY$138, MATCH('Staging Table'!$A128, LS_current!$B$4:$B$138, 0), MATCH(CU$4&amp;CU$5, LS_current!$D$2:$AY$2&amp;LS_current!$D$3:$AY$3, 0)),SUM(VLOOKUP($A128, LS_current!$B$4:$AY$138, LS_current!Z$148, FALSE), VLOOKUP($A128, LS_current!$B$4:$AY$138,LS_current!AX$148, FALSE))/2)</f>
        <v>-302.09126095639999</v>
      </c>
      <c r="CV128" s="180">
        <f t="array" ref="CV128">IF($BT128=0, INDEX(LS_current!$D$4:$AY$138, MATCH('Staging Table'!$A128, LS_current!$B$4:$B$138, 0), MATCH(CV$4&amp;CV$5, LS_current!$D$2:$AY$2&amp;LS_current!$D$3:$AY$3, 0)),SUM(VLOOKUP($A128, LS_current!$B$4:$AY$138, LS_current!AA$148, FALSE), VLOOKUP($A128, LS_current!$B$4:$AY$138,LS_current!AY$148, FALSE))/2)</f>
        <v>-177.4283470943999</v>
      </c>
      <c r="CW128" s="182">
        <f t="array" ref="CW128">INDEX(Demand_current!$D$4:$AY$138, MATCH($A128, Demand_current!$B$4:$B$138, 0), MATCH(CW$4&amp;CW$5,Demand_current!$D$2:$AY$2&amp;Demand_current!$D$3:$AY$3, 0))/1000</f>
        <v>0</v>
      </c>
      <c r="CX128" s="182">
        <f t="array" ref="CX128">INDEX(Demand_current!$D$4:$AY$138, MATCH($A128, Demand_current!$B$4:$B$138, 0), MATCH(CX$4&amp;CX$5,Demand_current!$D$2:$AY$2&amp;Demand_current!$D$3:$AY$3, 0))/1000</f>
        <v>0</v>
      </c>
      <c r="CY128" s="182">
        <f t="array" ref="CY128">INDEX(Demand_current!$D$4:$AY$138, MATCH($A128, Demand_current!$B$4:$B$138, 0), MATCH(CY$4&amp;CY$5,Demand_current!$D$2:$AY$2&amp;Demand_current!$D$3:$AY$3, 0))/1000</f>
        <v>0.19780499999999979</v>
      </c>
      <c r="CZ128" s="182">
        <f t="array" ref="CZ128">INDEX(Demand_current!$D$4:$AY$138, MATCH($A128, Demand_current!$B$4:$B$138, 0), MATCH(CZ$4&amp;CZ$5,Demand_current!$D$2:$AY$2&amp;Demand_current!$D$3:$AY$3, 0))/1000</f>
        <v>0</v>
      </c>
      <c r="DA128" s="182">
        <f t="array" ref="DA128">INDEX(Demand_current!$D$4:$AY$138, MATCH($A128, Demand_current!$B$4:$B$138, 0), MATCH(DA$4&amp;DA$5,Demand_current!$D$2:$AY$2&amp;Demand_current!$D$3:$AY$3, 0))/1000</f>
        <v>0.58111500000000005</v>
      </c>
      <c r="DB128" s="182">
        <f t="array" ref="DB128">INDEX(Demand_current!$D$4:$AY$138, MATCH($A128, Demand_current!$B$4:$B$138, 0), MATCH(DB$4&amp;DB$5,Demand_current!$D$2:$AY$2&amp;Demand_current!$D$3:$AY$3, 0))/1000</f>
        <v>1.8940673076923074</v>
      </c>
      <c r="DC128" s="182">
        <f t="array" ref="DC128">INDEX(Demand_current!$D$4:$AY$138, MATCH($A128, Demand_current!$B$4:$B$138, 0), MATCH(DC$4&amp;DC$5,Demand_current!$D$2:$AY$2&amp;Demand_current!$D$3:$AY$3, 0))/1000</f>
        <v>0.27677163461538346</v>
      </c>
      <c r="DD128" s="182">
        <f t="array" ref="DD128">INDEX(Demand_current!$D$4:$AY$138, MATCH($A128, Demand_current!$B$4:$B$138, 0), MATCH(DD$4&amp;DD$5,Demand_current!$D$2:$AY$2&amp;Demand_current!$D$3:$AY$3, 0))/1000</f>
        <v>0</v>
      </c>
      <c r="DE128" s="182">
        <f t="array" ref="DE128">INDEX(Demand_current!$D$4:$AY$138, MATCH($A128, Demand_current!$B$4:$B$138, 0), MATCH(DE$4&amp;DE$5,Demand_current!$D$2:$AY$2&amp;Demand_current!$D$3:$AY$3, 0))/1000</f>
        <v>3.8382500000000437E-2</v>
      </c>
      <c r="DF128" s="182">
        <f t="array" ref="DF128">INDEX(Demand_current!$D$4:$AY$138, MATCH($A128, Demand_current!$B$4:$B$138, 0), MATCH(DF$4&amp;DF$5,Demand_current!$D$2:$AY$2&amp;Demand_current!$D$3:$AY$3, 0))/1000</f>
        <v>0.31882692307692284</v>
      </c>
      <c r="DG128" s="182">
        <f t="array" ref="DG128">INDEX(Demand_current!$D$4:$AY$138, MATCH($A128, Demand_current!$B$4:$B$138, 0), MATCH(DG$4&amp;DG$5,Demand_current!$D$2:$AY$2&amp;Demand_current!$D$3:$AY$3, 0))/1000</f>
        <v>0.54465509259259259</v>
      </c>
      <c r="DH128" s="182">
        <f t="array" ref="DH128">INDEX(Demand_current!$D$4:$AY$138, MATCH($A128, Demand_current!$B$4:$B$138, 0), MATCH(DH$4&amp;DH$5,Demand_current!$D$2:$AY$2&amp;Demand_current!$D$3:$AY$3, 0))/1000</f>
        <v>5.6317708333333494E-2</v>
      </c>
      <c r="DI128" s="180">
        <f>$BS128*(VLOOKUP(DI$4, Rates_current!$G$6:$Q$29, 10, FALSE)+VLOOKUP(DI$4, Rates_current!$G$6:$Q$29, 11, FALSE))</f>
        <v>2989.4443453989002</v>
      </c>
      <c r="DJ128" s="180">
        <f>$BS128*(VLOOKUP(DJ$4, Rates_current!$G$6:$Q$29, 10, FALSE)+VLOOKUP(DJ$4, Rates_current!$G$6:$Q$29, 11, FALSE))</f>
        <v>3812.5273185474002</v>
      </c>
      <c r="DK128" s="180">
        <f>$BS128*(VLOOKUP(DK$4, Rates_current!$G$6:$Q$29, 10, FALSE)+VLOOKUP(DK$4, Rates_current!$G$6:$Q$29, 11, FALSE))</f>
        <v>4114.4713276410002</v>
      </c>
      <c r="DL128" s="180">
        <f>$BS128*(VLOOKUP(DL$4, Rates_current!$G$6:$Q$29, 10, FALSE)+VLOOKUP(DL$4, Rates_current!$G$6:$Q$29, 11, FALSE))</f>
        <v>4275.5717565983996</v>
      </c>
      <c r="DM128" s="180">
        <f>$BS128*(VLOOKUP(DM$4, Rates_current!$G$6:$Q$29, 10, FALSE)+VLOOKUP(DM$4, Rates_current!$G$6:$Q$29, 11, FALSE))</f>
        <v>3677.5616080067994</v>
      </c>
      <c r="DN128" s="180">
        <f>$BS128*(VLOOKUP(DN$4, Rates_current!$G$6:$Q$29, 10, FALSE)+VLOOKUP(DN$4, Rates_current!$G$6:$Q$29, 11, FALSE))</f>
        <v>4015.1691553625997</v>
      </c>
      <c r="DO128" s="180">
        <f>$BS128*(VLOOKUP(DO$4, Rates_current!$G$6:$Q$29, 10, FALSE)+VLOOKUP(DO$4, Rates_current!$G$6:$Q$29, 11, FALSE))</f>
        <v>3169.2994101325498</v>
      </c>
      <c r="DP128" s="180">
        <f>$BS128*(VLOOKUP(DP$4, Rates_current!$G$6:$Q$29, 10, FALSE)+VLOOKUP(DP$4, Rates_current!$G$6:$Q$29, 11, FALSE))</f>
        <v>3931.9406242058999</v>
      </c>
      <c r="DQ128" s="180">
        <f>$BS128*(VLOOKUP(DQ$4, Rates_current!$G$6:$Q$29, 10, FALSE)+VLOOKUP(DQ$4, Rates_current!$G$6:$Q$29, 11, FALSE))</f>
        <v>4017.2539199822995</v>
      </c>
      <c r="DR128" s="180">
        <f>$BS128*(VLOOKUP(DR$4, Rates_current!$G$6:$Q$29, 10, FALSE)+VLOOKUP(DR$4, Rates_current!$G$6:$Q$29, 11, FALSE))</f>
        <v>3487.5551618168997</v>
      </c>
      <c r="DS128" s="180">
        <f>$BS128*(VLOOKUP(DS$4, Rates_current!$G$6:$Q$29, 10, FALSE)+VLOOKUP(DS$4, Rates_current!$G$6:$Q$29, 11, FALSE))</f>
        <v>3371.5388189066102</v>
      </c>
      <c r="DT128" s="180">
        <f>$BS128*(VLOOKUP(DT$4, Rates_current!$G$6:$Q$29, 10, FALSE)+VLOOKUP(DT$4, Rates_current!$G$6:$Q$29, 11, FALSE))</f>
        <v>3102.4686080508004</v>
      </c>
      <c r="DU128" s="402">
        <f>IF(D128=0,IF(C128=0,MAX(0,DW128 - (VLOOKUP($A128,TOCA_current!$A$2:$AI$137,MATCH("RHWM 2024",TOCA_current!$A$2:$AI$2,0),FALSE)*$BS$2)), 0),0)</f>
        <v>2168.5282015258344</v>
      </c>
      <c r="DV128" s="403">
        <f>MIN(VLOOKUP($A128,TOCA_current!$A$2:$AI$137,MATCH("TRL - NLSL - Existing Resource "&amp;$BS$1,TOCA_current!$A$2:$AI$2,0),FALSE)*$BS$2, VLOOKUP($A128,TOCA_current!$A$2:$AI$137,MATCH("RHWM 2024",TOCA_current!$A$2:$AI$2,0),FALSE)*$BS$2)</f>
        <v>43963.92</v>
      </c>
      <c r="DW128" s="403">
        <f>SUM(BY128:CV128)+(BS128*RT1SC!$C$4*$BS$2)</f>
        <v>46132.448201525833</v>
      </c>
      <c r="DX128" s="403">
        <f>VLOOKUP($A128,TOCA_current!$A$2:$AI$137,MATCH("Above RHWM Not Served with LS "&amp;$BS$1,TOCA_current!$A$2:$AI$2,0),FALSE)*$BS$2</f>
        <v>0</v>
      </c>
      <c r="DY128" s="403">
        <f t="shared" si="32"/>
        <v>2168.5282015258344</v>
      </c>
      <c r="DZ128" s="403">
        <f>(VLOOKUP($A128,TOCA_current!$A$2:$AI$137,MATCH("RHWM 2024",TOCA_current!$A$2:$AI$2,0),FALSE)*$BS$2) - $DV128</f>
        <v>0</v>
      </c>
      <c r="EA128" s="403">
        <f t="shared" si="33"/>
        <v>0</v>
      </c>
      <c r="EB128" s="403">
        <f t="shared" si="34"/>
        <v>0</v>
      </c>
      <c r="EC128" s="403">
        <f t="shared" si="35"/>
        <v>0</v>
      </c>
      <c r="ED128" s="403">
        <f t="shared" si="36"/>
        <v>0</v>
      </c>
    </row>
    <row r="129" spans="1:134">
      <c r="A129" s="123">
        <v>10442</v>
      </c>
      <c r="B129" s="124" t="s">
        <v>130</v>
      </c>
      <c r="C129" s="232">
        <f>VLOOKUP(A129, TOCA_current!$A$3:$D$137, 4, FALSE)</f>
        <v>0</v>
      </c>
      <c r="D129" s="191">
        <v>0</v>
      </c>
      <c r="E129" s="107">
        <f>VLOOKUP($A129,TOCA_previous!$A$2:$AI$137,MATCH(E$4,TOCA_previous!$A$2:$AI$2,0),FALSE)</f>
        <v>1.8883999999999999E-3</v>
      </c>
      <c r="F129" s="108">
        <f>VLOOKUP($A129,TOCA_previous!$A$2:$AI$137,MATCH(F$4,TOCA_previous!$A$2:$AI$2,0),FALSE)</f>
        <v>1.8883999999999999E-3</v>
      </c>
      <c r="G129" s="108">
        <f t="shared" si="24"/>
        <v>0</v>
      </c>
      <c r="H129" s="108">
        <f>VLOOKUP($A129,TOCA_previous!$A$2:$AI$137,MATCH(H$4,TOCA_previous!$A$2:$AI$2,0),FALSE)</f>
        <v>7.0000000000000007E-2</v>
      </c>
      <c r="I129" s="108">
        <f t="shared" si="25"/>
        <v>0</v>
      </c>
      <c r="J129" s="108">
        <f t="shared" si="26"/>
        <v>0</v>
      </c>
      <c r="K129" s="179">
        <f>VLOOKUP(A129, IRD!$A$5:$C$139, 3, FALSE)</f>
        <v>9733.33</v>
      </c>
      <c r="L129" s="180">
        <f t="array" ref="L129">IF($G129=0, INDEX(LS_previous!$D$4:$AY$138, MATCH('Staging Table'!$A129, LS_previous!$B$4:$B$138, 0), MATCH(L$4&amp;L$5, LS_previous!$D$2:$AY$2&amp;LS_previous!$D$3:$AY$3, 0)),SUM(VLOOKUP($A129, LS_previous!$B$4:$AY$138, LS_previous!D$149, FALSE), VLOOKUP('Staging Table'!$A129, LS_previous!$B$4:$AY$138,LS_previous!AB$149, FALSE))/2)</f>
        <v>-1359.9663355488374</v>
      </c>
      <c r="M129" s="180">
        <f t="array" ref="M129">IF($G129=0, INDEX(LS_previous!$D$4:$AY$138, MATCH('Staging Table'!$A129, LS_previous!$B$4:$B$138, 0), MATCH(M$4&amp;M$5, LS_previous!$D$2:$AY$2&amp;LS_previous!$D$3:$AY$3, 0)),SUM(VLOOKUP($A129, LS_previous!$B$4:$AY$138, LS_previous!E$149, FALSE), VLOOKUP('Staging Table'!$A129, LS_previous!$B$4:$AY$138,LS_previous!AC$149, FALSE))/2)</f>
        <v>-140.80054062001136</v>
      </c>
      <c r="N129" s="180">
        <f t="array" ref="N129">IF($G129=0, INDEX(LS_previous!$D$4:$AY$138, MATCH('Staging Table'!$A129, LS_previous!$B$4:$B$138, 0), MATCH(N$4&amp;N$5, LS_previous!$D$2:$AY$2&amp;LS_previous!$D$3:$AY$3, 0)),SUM(VLOOKUP($A129, LS_previous!$B$4:$AY$138, LS_previous!F$149, FALSE), VLOOKUP('Staging Table'!$A129, LS_previous!$B$4:$AY$138,LS_previous!AD$149, FALSE))/2)</f>
        <v>-1906.4976600770069</v>
      </c>
      <c r="O129" s="180">
        <f t="array" ref="O129">IF($G129=0, INDEX(LS_previous!$D$4:$AY$138, MATCH('Staging Table'!$A129, LS_previous!$B$4:$B$138, 0), MATCH(O$4&amp;O$5, LS_previous!$D$2:$AY$2&amp;LS_previous!$D$3:$AY$3, 0)),SUM(VLOOKUP($A129, LS_previous!$B$4:$AY$138, LS_previous!G$149, FALSE), VLOOKUP('Staging Table'!$A129, LS_previous!$B$4:$AY$138,LS_previous!AE$149, FALSE))/2)</f>
        <v>-636.46513123461591</v>
      </c>
      <c r="P129" s="180">
        <f t="array" ref="P129">IF($G129=0, INDEX(LS_previous!$D$4:$AY$138, MATCH('Staging Table'!$A129, LS_previous!$B$4:$B$138, 0), MATCH(P$4&amp;P$5, LS_previous!$D$2:$AY$2&amp;LS_previous!$D$3:$AY$3, 0)),SUM(VLOOKUP($A129, LS_previous!$B$4:$AY$138, LS_previous!H$149, FALSE), VLOOKUP('Staging Table'!$A129, LS_previous!$B$4:$AY$138,LS_previous!AF$149, FALSE))/2)</f>
        <v>957.70972594472096</v>
      </c>
      <c r="Q129" s="180">
        <f t="array" ref="Q129">IF($G129=0, INDEX(LS_previous!$D$4:$AY$138, MATCH('Staging Table'!$A129, LS_previous!$B$4:$B$138, 0), MATCH(Q$4&amp;Q$5, LS_previous!$D$2:$AY$2&amp;LS_previous!$D$3:$AY$3, 0)),SUM(VLOOKUP($A129, LS_previous!$B$4:$AY$138, LS_previous!I$149, FALSE), VLOOKUP('Staging Table'!$A129, LS_previous!$B$4:$AY$138,LS_previous!AG$149, FALSE))/2)</f>
        <v>1143.0699520932776</v>
      </c>
      <c r="R129" s="180">
        <f t="array" ref="R129">IF($G129=0, INDEX(LS_previous!$D$4:$AY$138, MATCH('Staging Table'!$A129, LS_previous!$B$4:$B$138, 0), MATCH(R$4&amp;R$5, LS_previous!$D$2:$AY$2&amp;LS_previous!$D$3:$AY$3, 0)),SUM(VLOOKUP($A129, LS_previous!$B$4:$AY$138, LS_previous!J$149, FALSE), VLOOKUP('Staging Table'!$A129, LS_previous!$B$4:$AY$138,LS_previous!AH$149, FALSE))/2)</f>
        <v>2023.1338469275997</v>
      </c>
      <c r="S129" s="180">
        <f t="array" ref="S129">IF($G129=0, INDEX(LS_previous!$D$4:$AY$138, MATCH('Staging Table'!$A129, LS_previous!$B$4:$B$138, 0), MATCH(S$4&amp;S$5, LS_previous!$D$2:$AY$2&amp;LS_previous!$D$3:$AY$3, 0)),SUM(VLOOKUP($A129, LS_previous!$B$4:$AY$138, LS_previous!K$149, FALSE), VLOOKUP('Staging Table'!$A129, LS_previous!$B$4:$AY$138,LS_previous!AI$149, FALSE))/2)</f>
        <v>1335.9582007789818</v>
      </c>
      <c r="T129" s="180">
        <f t="array" ref="T129">IF($G129=0, INDEX(LS_previous!$D$4:$AY$138, MATCH('Staging Table'!$A129, LS_previous!$B$4:$B$138, 0), MATCH(T$4&amp;T$5, LS_previous!$D$2:$AY$2&amp;LS_previous!$D$3:$AY$3, 0)),SUM(VLOOKUP($A129, LS_previous!$B$4:$AY$138, LS_previous!L$149, FALSE), VLOOKUP('Staging Table'!$A129, LS_previous!$B$4:$AY$138,LS_previous!AJ$149, FALSE))/2)</f>
        <v>341.02037425159233</v>
      </c>
      <c r="U129" s="180">
        <f t="array" ref="U129">IF($G129=0, INDEX(LS_previous!$D$4:$AY$138, MATCH('Staging Table'!$A129, LS_previous!$B$4:$B$138, 0), MATCH(U$4&amp;U$5, LS_previous!$D$2:$AY$2&amp;LS_previous!$D$3:$AY$3, 0)),SUM(VLOOKUP($A129, LS_previous!$B$4:$AY$138, LS_previous!M$149, FALSE), VLOOKUP('Staging Table'!$A129, LS_previous!$B$4:$AY$138,LS_previous!AK$149, FALSE))/2)</f>
        <v>100.756490307901</v>
      </c>
      <c r="V129" s="180">
        <f t="array" ref="V129">IF($G129=0, INDEX(LS_previous!$D$4:$AY$138, MATCH('Staging Table'!$A129, LS_previous!$B$4:$B$138, 0), MATCH(V$4&amp;V$5, LS_previous!$D$2:$AY$2&amp;LS_previous!$D$3:$AY$3, 0)),SUM(VLOOKUP($A129, LS_previous!$B$4:$AY$138, LS_previous!N$149, FALSE), VLOOKUP('Staging Table'!$A129, LS_previous!$B$4:$AY$138,LS_previous!AL$149, FALSE))/2)</f>
        <v>-720.0252421766354</v>
      </c>
      <c r="W129" s="180">
        <f t="array" ref="W129">IF($G129=0, INDEX(LS_previous!$D$4:$AY$138, MATCH('Staging Table'!$A129, LS_previous!$B$4:$B$138, 0), MATCH(W$4&amp;W$5, LS_previous!$D$2:$AY$2&amp;LS_previous!$D$3:$AY$3, 0)),SUM(VLOOKUP($A129, LS_previous!$B$4:$AY$138, LS_previous!O$149, FALSE), VLOOKUP('Staging Table'!$A129, LS_previous!$B$4:$AY$138,LS_previous!AM$149, FALSE))/2)</f>
        <v>150.49517105764653</v>
      </c>
      <c r="X129" s="180">
        <f t="array" ref="X129">IF($G129=0, INDEX(LS_previous!$D$4:$AY$138, MATCH('Staging Table'!$A129, LS_previous!$B$4:$B$138, 0), MATCH(X$4&amp;X$5, LS_previous!$D$2:$AY$2&amp;LS_previous!$D$3:$AY$3, 0)),SUM(VLOOKUP($A129, LS_previous!$B$4:$AY$138, LS_previous!P$149, FALSE), VLOOKUP('Staging Table'!$A129, LS_previous!$B$4:$AY$138,LS_previous!AN$149, FALSE))/2)</f>
        <v>371.11393636528373</v>
      </c>
      <c r="Y129" s="180">
        <f t="array" ref="Y129">IF($G129=0, INDEX(LS_previous!$D$4:$AY$138, MATCH('Staging Table'!$A129, LS_previous!$B$4:$B$138, 0), MATCH(Y$4&amp;Y$5, LS_previous!$D$2:$AY$2&amp;LS_previous!$D$3:$AY$3, 0)),SUM(VLOOKUP($A129, LS_previous!$B$4:$AY$138, LS_previous!Q$149, FALSE), VLOOKUP('Staging Table'!$A129, LS_previous!$B$4:$AY$138,LS_previous!AO$149, FALSE))/2)</f>
        <v>393.98496515117495</v>
      </c>
      <c r="Z129" s="180">
        <f t="array" ref="Z129">IF($G129=0, INDEX(LS_previous!$D$4:$AY$138, MATCH('Staging Table'!$A129, LS_previous!$B$4:$B$138, 0), MATCH(Z$4&amp;Z$5, LS_previous!$D$2:$AY$2&amp;LS_previous!$D$3:$AY$3, 0)),SUM(VLOOKUP($A129, LS_previous!$B$4:$AY$138, LS_previous!R$149, FALSE), VLOOKUP('Staging Table'!$A129, LS_previous!$B$4:$AY$138,LS_previous!AP$149, FALSE))/2)</f>
        <v>-1534.3941486261474</v>
      </c>
      <c r="AA129" s="180">
        <f t="array" ref="AA129">IF($G129=0, INDEX(LS_previous!$D$4:$AY$138, MATCH('Staging Table'!$A129, LS_previous!$B$4:$B$138, 0), MATCH(AA$4&amp;AA$5, LS_previous!$D$2:$AY$2&amp;LS_previous!$D$3:$AY$3, 0)),SUM(VLOOKUP($A129, LS_previous!$B$4:$AY$138, LS_previous!S$149, FALSE), VLOOKUP('Staging Table'!$A129, LS_previous!$B$4:$AY$138,LS_previous!AQ$149, FALSE))/2)</f>
        <v>239.03546235371005</v>
      </c>
      <c r="AB129" s="180">
        <f t="array" ref="AB129">IF($G129=0, INDEX(LS_previous!$D$4:$AY$138, MATCH('Staging Table'!$A129, LS_previous!$B$4:$B$138, 0), MATCH(AB$4&amp;AB$5, LS_previous!$D$2:$AY$2&amp;LS_previous!$D$3:$AY$3, 0)),SUM(VLOOKUP($A129, LS_previous!$B$4:$AY$138, LS_previous!T$149, FALSE), VLOOKUP('Staging Table'!$A129, LS_previous!$B$4:$AY$138,LS_previous!AR$149, FALSE))/2)</f>
        <v>-1882.8365127600173</v>
      </c>
      <c r="AC129" s="180">
        <f t="array" ref="AC129">IF($G129=0, INDEX(LS_previous!$D$4:$AY$138, MATCH('Staging Table'!$A129, LS_previous!$B$4:$B$138, 0), MATCH(AC$4&amp;AC$5, LS_previous!$D$2:$AY$2&amp;LS_previous!$D$3:$AY$3, 0)),SUM(VLOOKUP($A129, LS_previous!$B$4:$AY$138, LS_previous!U$149, FALSE), VLOOKUP('Staging Table'!$A129, LS_previous!$B$4:$AY$138,LS_previous!AS$149, FALSE))/2)</f>
        <v>715.13488277172291</v>
      </c>
      <c r="AD129" s="180">
        <f t="array" ref="AD129">IF($G129=0, INDEX(LS_previous!$D$4:$AY$138, MATCH('Staging Table'!$A129, LS_previous!$B$4:$B$138, 0), MATCH(AD$4&amp;AD$5, LS_previous!$D$2:$AY$2&amp;LS_previous!$D$3:$AY$3, 0)),SUM(VLOOKUP($A129, LS_previous!$B$4:$AY$138, LS_previous!V$149, FALSE), VLOOKUP('Staging Table'!$A129, LS_previous!$B$4:$AY$138,LS_previous!AT$149, FALSE))/2)</f>
        <v>-229.63175315979242</v>
      </c>
      <c r="AE129" s="180">
        <f t="array" ref="AE129">IF($G129=0, INDEX(LS_previous!$D$4:$AY$138, MATCH('Staging Table'!$A129, LS_previous!$B$4:$B$138, 0), MATCH(AE$4&amp;AE$5, LS_previous!$D$2:$AY$2&amp;LS_previous!$D$3:$AY$3, 0)),SUM(VLOOKUP($A129, LS_previous!$B$4:$AY$138, LS_previous!W$149, FALSE), VLOOKUP('Staging Table'!$A129, LS_previous!$B$4:$AY$138,LS_previous!AU$149, FALSE))/2)</f>
        <v>721.80504576787416</v>
      </c>
      <c r="AF129" s="180">
        <f t="array" ref="AF129">IF($G129=0, INDEX(LS_previous!$D$4:$AY$138, MATCH('Staging Table'!$A129, LS_previous!$B$4:$B$138, 0), MATCH(AF$4&amp;AF$5, LS_previous!$D$2:$AY$2&amp;LS_previous!$D$3:$AY$3, 0)),SUM(VLOOKUP($A129, LS_previous!$B$4:$AY$138, LS_previous!X$149, FALSE), VLOOKUP('Staging Table'!$A129, LS_previous!$B$4:$AY$138,LS_previous!AV$149, FALSE))/2)</f>
        <v>-346.60238583669252</v>
      </c>
      <c r="AG129" s="180">
        <f t="array" ref="AG129">IF($G129=0, INDEX(LS_previous!$D$4:$AY$138, MATCH('Staging Table'!$A129, LS_previous!$B$4:$B$138, 0), MATCH(AG$4&amp;AG$5, LS_previous!$D$2:$AY$2&amp;LS_previous!$D$3:$AY$3, 0)),SUM(VLOOKUP($A129, LS_previous!$B$4:$AY$138, LS_previous!Y$149, FALSE), VLOOKUP('Staging Table'!$A129, LS_previous!$B$4:$AY$138,LS_previous!AW$149, FALSE))/2)</f>
        <v>367.70563765988982</v>
      </c>
      <c r="AH129" s="180">
        <f t="array" ref="AH129">IF($G129=0, INDEX(LS_previous!$D$4:$AY$138, MATCH('Staging Table'!$A129, LS_previous!$B$4:$B$138, 0), MATCH(AH$4&amp;AH$5, LS_previous!$D$2:$AY$2&amp;LS_previous!$D$3:$AY$3, 0)),SUM(VLOOKUP($A129, LS_previous!$B$4:$AY$138, LS_previous!Z$149, FALSE), VLOOKUP('Staging Table'!$A129, LS_previous!$B$4:$AY$138,LS_previous!AX$149, FALSE))/2)</f>
        <v>-1198.4301422550961</v>
      </c>
      <c r="AI129" s="180">
        <f t="array" ref="AI129">IF($G129=0, INDEX(LS_previous!$D$4:$AY$138, MATCH('Staging Table'!$A129, LS_previous!$B$4:$B$138, 0), MATCH(AI$4&amp;AI$5, LS_previous!$D$2:$AY$2&amp;LS_previous!$D$3:$AY$3, 0)),SUM(VLOOKUP($A129, LS_previous!$B$4:$AY$138, LS_previous!AA$149, FALSE), VLOOKUP('Staging Table'!$A129, LS_previous!$B$4:$AY$138,LS_previous!AY$149, FALSE))/2)</f>
        <v>200.4595214119804</v>
      </c>
      <c r="AJ129" s="298">
        <f t="array" ref="AJ129">INDEX(Demand_previous!$D$4:$AY$138, MATCH('Staging Table'!$A129, Demand_previous!$B$4:$B$138, 0), MATCH(AJ$4&amp;AJ$5,Demand_previous!$D$2:$AY$2&amp;Demand_previous!$D$3:$AY$3, 0))/1000</f>
        <v>2.790447115384616</v>
      </c>
      <c r="AK129" s="298">
        <f t="array" ref="AK129">INDEX(Demand_previous!$D$4:$AY$138, MATCH('Staging Table'!$A129, Demand_previous!$B$4:$B$138, 0), MATCH(AK$4&amp;AK$5,Demand_previous!$D$2:$AY$2&amp;Demand_previous!$D$3:$AY$3, 0))/1000</f>
        <v>2.9936050000000023</v>
      </c>
      <c r="AL129" s="298">
        <f t="array" ref="AL129">INDEX(Demand_previous!$D$4:$AY$138, MATCH('Staging Table'!$A129, Demand_previous!$B$4:$B$138, 0), MATCH(AL$4&amp;AL$5,Demand_previous!$D$2:$AY$2&amp;Demand_previous!$D$3:$AY$3, 0))/1000</f>
        <v>4.7172908653846175</v>
      </c>
      <c r="AM129" s="298">
        <f t="array" ref="AM129">INDEX(Demand_previous!$D$4:$AY$138, MATCH('Staging Table'!$A129, Demand_previous!$B$4:$B$138, 0), MATCH(AM$4&amp;AM$5,Demand_previous!$D$2:$AY$2&amp;Demand_previous!$D$3:$AY$3, 0))/1000</f>
        <v>2.9300575000000011</v>
      </c>
      <c r="AN129" s="298">
        <f t="array" ref="AN129">INDEX(Demand_previous!$D$4:$AY$138, MATCH('Staging Table'!$A129, Demand_previous!$B$4:$B$138, 0), MATCH(AN$4&amp;AN$5,Demand_previous!$D$2:$AY$2&amp;Demand_previous!$D$3:$AY$3, 0))/1000</f>
        <v>3.3655885416666642</v>
      </c>
      <c r="AO129" s="298">
        <f t="array" ref="AO129">INDEX(Demand_previous!$D$4:$AY$138, MATCH('Staging Table'!$A129, Demand_previous!$B$4:$B$138, 0), MATCH(AO$4&amp;AO$5,Demand_previous!$D$2:$AY$2&amp;Demand_previous!$D$3:$AY$3, 0))/1000</f>
        <v>3.9386481481481468</v>
      </c>
      <c r="AP129" s="298">
        <f t="array" ref="AP129">INDEX(Demand_previous!$D$4:$AY$138, MATCH('Staging Table'!$A129, Demand_previous!$B$4:$B$138, 0), MATCH(AP$4&amp;AP$5,Demand_previous!$D$2:$AY$2&amp;Demand_previous!$D$3:$AY$3, 0))/1000</f>
        <v>1.3940264423076947</v>
      </c>
      <c r="AQ129" s="298">
        <f t="array" ref="AQ129">INDEX(Demand_previous!$D$4:$AY$138, MATCH('Staging Table'!$A129, Demand_previous!$B$4:$B$138, 0), MATCH(AQ$4&amp;AQ$5,Demand_previous!$D$2:$AY$2&amp;Demand_previous!$D$3:$AY$3, 0))/1000</f>
        <v>0.98273999999999839</v>
      </c>
      <c r="AR129" s="298">
        <f t="array" ref="AR129">INDEX(Demand_previous!$D$4:$AY$138, MATCH('Staging Table'!$A129, Demand_previous!$B$4:$B$138, 0), MATCH(AR$4&amp;AR$5,Demand_previous!$D$2:$AY$2&amp;Demand_previous!$D$3:$AY$3, 0))/1000</f>
        <v>3.8330144230769232</v>
      </c>
      <c r="AS129" s="298">
        <f t="array" ref="AS129">INDEX(Demand_previous!$D$4:$AY$138, MATCH('Staging Table'!$A129, Demand_previous!$B$4:$B$138, 0), MATCH(AS$4&amp;AS$5,Demand_previous!$D$2:$AY$2&amp;Demand_previous!$D$3:$AY$3, 0))/1000</f>
        <v>1.6943725000000005</v>
      </c>
      <c r="AT129" s="298">
        <f t="array" ref="AT129">INDEX(Demand_previous!$D$4:$AY$138, MATCH('Staging Table'!$A129, Demand_previous!$B$4:$B$138, 0), MATCH(AT$4&amp;AT$5,Demand_previous!$D$2:$AY$2&amp;Demand_previous!$D$3:$AY$3, 0))/1000</f>
        <v>2.8924976851851869</v>
      </c>
      <c r="AU129" s="298">
        <f t="array" ref="AU129">INDEX(Demand_previous!$D$4:$AY$138, MATCH('Staging Table'!$A129, Demand_previous!$B$4:$B$138, 0), MATCH(AU$4&amp;AU$5,Demand_previous!$D$2:$AY$2&amp;Demand_previous!$D$3:$AY$3, 0))/1000</f>
        <v>3.0625624999999999</v>
      </c>
      <c r="AV129" s="180">
        <f>$F129*(VLOOKUP(AV$4, Rates_previous!$G$6:$Q$29, 10, FALSE)+VLOOKUP(AV$4, Rates_previous!$G$6:$Q$29, 11, FALSE))</f>
        <v>8599.6308761688488</v>
      </c>
      <c r="AW129" s="180">
        <f>$F129*(VLOOKUP(AW$4, Rates_previous!$G$6:$Q$29, 10, FALSE)+VLOOKUP(AW$4, Rates_previous!$G$6:$Q$29, 11, FALSE))</f>
        <v>10887.444791311624</v>
      </c>
      <c r="AX129" s="180">
        <f>$F129*(VLOOKUP(AX$4, Rates_previous!$G$6:$Q$29, 10, FALSE)+VLOOKUP(AX$4, Rates_previous!$G$6:$Q$29, 11, FALSE))</f>
        <v>10656.633321962003</v>
      </c>
      <c r="AY129" s="180">
        <f>$F129*(VLOOKUP(AY$4, Rates_previous!$G$6:$Q$29, 10, FALSE)+VLOOKUP(AY$4, Rates_previous!$G$6:$Q$29, 11, FALSE))</f>
        <v>8801.925952293419</v>
      </c>
      <c r="AZ129" s="180">
        <f>$F129*(VLOOKUP(AZ$4, Rates_previous!$G$6:$Q$29, 10, FALSE)+VLOOKUP(AZ$4, Rates_previous!$G$6:$Q$29, 11, FALSE))</f>
        <v>7628.8221354405077</v>
      </c>
      <c r="BA129" s="180">
        <f>$F129*(VLOOKUP(BA$4, Rates_previous!$G$6:$Q$29, 10, FALSE)+VLOOKUP(BA$4, Rates_previous!$G$6:$Q$29, 11, FALSE))</f>
        <v>9107.2730711189906</v>
      </c>
      <c r="BB129" s="180">
        <f>$F129*(VLOOKUP(BB$4, Rates_previous!$G$6:$Q$29, 10, FALSE)+VLOOKUP(BB$4, Rates_previous!$G$6:$Q$29, 11, FALSE))</f>
        <v>7070.5850984835406</v>
      </c>
      <c r="BC129" s="180">
        <f>$F129*(VLOOKUP(BC$4, Rates_previous!$G$6:$Q$29, 10, FALSE)+VLOOKUP(BC$4, Rates_previous!$G$6:$Q$29, 11, FALSE))</f>
        <v>9796.3476862724365</v>
      </c>
      <c r="BD129" s="180">
        <f>$F129*(VLOOKUP(BD$4, Rates_previous!$G$6:$Q$29, 10, FALSE)+VLOOKUP(BD$4, Rates_previous!$G$6:$Q$29, 11, FALSE))</f>
        <v>10467.602629988292</v>
      </c>
      <c r="BE129" s="180">
        <f>$F129*(VLOOKUP(BE$4, Rates_previous!$G$6:$Q$29, 10, FALSE)+VLOOKUP(BE$4, Rates_previous!$G$6:$Q$29, 11, FALSE))</f>
        <v>9938.5147073919197</v>
      </c>
      <c r="BF129" s="180">
        <f>$F129*(VLOOKUP(BF$4, Rates_previous!$G$6:$Q$29, 10, FALSE)+VLOOKUP(BF$4, Rates_previous!$G$6:$Q$29, 11, FALSE))</f>
        <v>9604.8077481768032</v>
      </c>
      <c r="BG129" s="180">
        <f>$F129*(VLOOKUP(BG$4, Rates_previous!$G$6:$Q$29, 10, FALSE)+VLOOKUP(BG$4, Rates_previous!$G$6:$Q$29, 11, FALSE))</f>
        <v>8875.8436208431158</v>
      </c>
      <c r="BH129" s="298">
        <f>IF($D129=0,IF(C129=0, MAX(BJ129 - (VLOOKUP($A129,TOCA_previous!$A$2:$AI$137,MATCH("RHWM 2022",TOCA_previous!$A$2:$AI$2,0),FALSE)*$F$2*TOCA_previous!C126),0),0), 0)</f>
        <v>0</v>
      </c>
      <c r="BI129" s="192">
        <f>MIN(VLOOKUP($A129,TOCA_previous!$A$2:$AI$137,MATCH("TRL - NLSL - Existing Resource "&amp;$F$1,TOCA_previous!$A$2:$AI$2,0),FALSE)*$F$2,(VLOOKUP($A129,TOCA_previous!$A$2:$AI$137,MATCH("RHWM 2022",TOCA_previous!$A$2:$AI$2,0),FALSE)*$F$2))</f>
        <v>111435.96</v>
      </c>
      <c r="BJ129" s="402">
        <f>SUM(L129:AI129)+(F129*RT1SC!$C$3*$F$2)</f>
        <v>110541.1707004045</v>
      </c>
      <c r="BK129" s="401">
        <f>VLOOKUP($A129,TOCA_previous!$A$2:$AI$137,MATCH("Above RHWM Not Served with LS "&amp;$F$1,TOCA_previous!$A$2:$AI$2,0),FALSE)*$F$2</f>
        <v>0</v>
      </c>
      <c r="BL129" s="402">
        <f t="shared" si="27"/>
        <v>-894.78929959550442</v>
      </c>
      <c r="BM129" s="401">
        <f>(VLOOKUP($A129,TOCA_previous!$A$2:$AI$137,MATCH("RHWM 2022",TOCA_previous!$A$2:$AI$2,0),FALSE)*$F$2) - $BI129</f>
        <v>508.07999999998719</v>
      </c>
      <c r="BN129" s="402">
        <f t="shared" si="28"/>
        <v>0</v>
      </c>
      <c r="BO129" s="401">
        <f t="shared" si="29"/>
        <v>894.78929959550442</v>
      </c>
      <c r="BP129" s="402">
        <f t="shared" si="30"/>
        <v>0</v>
      </c>
      <c r="BQ129" s="401">
        <f t="shared" si="37"/>
        <v>894.78929959550442</v>
      </c>
      <c r="BR129" s="108">
        <f>VLOOKUP($A129,TOCA_current!$A$2:$AI$137,MATCH(BR$4,TOCA_current!$A$2:$AI$2,0),FALSE)</f>
        <v>1.7817E-3</v>
      </c>
      <c r="BS129" s="108">
        <f>VLOOKUP($A129,TOCA_current!$A$2:$AI$137,MATCH(BS$4,TOCA_current!$A$2:$AI$2,0),FALSE)</f>
        <v>1.7817E-3</v>
      </c>
      <c r="BT129" s="189">
        <f t="shared" si="31"/>
        <v>0</v>
      </c>
      <c r="BU129" s="108">
        <f>VLOOKUP($A129,TOCA_current!A125:BG260,MATCH(BU$4,TOCA_current!$A$2:$BG$2,0),FALSE)</f>
        <v>7.0000000000000007E-2</v>
      </c>
      <c r="BV129" s="108">
        <f t="shared" si="38"/>
        <v>0</v>
      </c>
      <c r="BW129" s="108">
        <f t="shared" si="39"/>
        <v>0</v>
      </c>
      <c r="BX129" s="179">
        <f>VLOOKUP($A129,IRD!$A$4:$G$139, 7, FALSE)</f>
        <v>9733.33</v>
      </c>
      <c r="BY129" s="180">
        <f t="array" ref="BY129">IF($BT129=0, INDEX(LS_current!$D$4:$AY$138, MATCH('Staging Table'!$A129, LS_current!$B$4:$B$138, 0), MATCH(BY$4&amp;BY$5, LS_current!$D$2:$AY$2&amp;LS_current!$D$3:$AY$3, 0)),SUM(VLOOKUP($A129, LS_current!$B$4:$AY$138, LS_current!D$148, FALSE), VLOOKUP($A129, LS_current!$B$4:$AY$138,LS_current!AB$148, FALSE))/2)</f>
        <v>-392.03553894119977</v>
      </c>
      <c r="BZ129" s="180">
        <f t="array" ref="BZ129">IF($BT129=0, INDEX(LS_current!$D$4:$AY$138, MATCH('Staging Table'!$A129, LS_current!$B$4:$B$138, 0), MATCH(BZ$4&amp;BZ$5, LS_current!$D$2:$AY$2&amp;LS_current!$D$3:$AY$3, 0)),SUM(VLOOKUP($A129, LS_current!$B$4:$AY$138, LS_current!E$148, FALSE), VLOOKUP($A129, LS_current!$B$4:$AY$138,LS_current!AC$148, FALSE))/2)</f>
        <v>-25.743122923349802</v>
      </c>
      <c r="CA129" s="180">
        <f t="array" ref="CA129">IF($BT129=0, INDEX(LS_current!$D$4:$AY$138, MATCH('Staging Table'!$A129, LS_current!$B$4:$B$138, 0), MATCH(CA$4&amp;CA$5, LS_current!$D$2:$AY$2&amp;LS_current!$D$3:$AY$3, 0)),SUM(VLOOKUP($A129, LS_current!$B$4:$AY$138, LS_current!F$148, FALSE), VLOOKUP($A129, LS_current!$B$4:$AY$138,LS_current!AD$148, FALSE))/2)</f>
        <v>-1041.7790722976006</v>
      </c>
      <c r="CB129" s="180">
        <f t="array" ref="CB129">IF($BT129=0, INDEX(LS_current!$D$4:$AY$138, MATCH('Staging Table'!$A129, LS_current!$B$4:$B$138, 0), MATCH(CB$4&amp;CB$5, LS_current!$D$2:$AY$2&amp;LS_current!$D$3:$AY$3, 0)),SUM(VLOOKUP($A129, LS_current!$B$4:$AY$138, LS_current!G$148, FALSE), VLOOKUP($A129, LS_current!$B$4:$AY$138,LS_current!AE$148, FALSE))/2)</f>
        <v>-199.93695685269995</v>
      </c>
      <c r="CC129" s="180">
        <f t="array" ref="CC129">IF($BT129=0, INDEX(LS_current!$D$4:$AY$138, MATCH('Staging Table'!$A129, LS_current!$B$4:$B$138, 0), MATCH(CC$4&amp;CC$5, LS_current!$D$2:$AY$2&amp;LS_current!$D$3:$AY$3, 0)),SUM(VLOOKUP($A129, LS_current!$B$4:$AY$138, LS_current!H$148, FALSE), VLOOKUP($A129, LS_current!$B$4:$AY$138,LS_current!AF$148, FALSE))/2)</f>
        <v>773.22155882370043</v>
      </c>
      <c r="CD129" s="180">
        <f t="array" ref="CD129">IF($BT129=0, INDEX(LS_current!$D$4:$AY$138, MATCH('Staging Table'!$A129, LS_current!$B$4:$B$138, 0), MATCH(CD$4&amp;CD$5, LS_current!$D$2:$AY$2&amp;LS_current!$D$3:$AY$3, 0)),SUM(VLOOKUP($A129, LS_current!$B$4:$AY$138, LS_current!I$148, FALSE), VLOOKUP($A129, LS_current!$B$4:$AY$138,LS_current!AG$148, FALSE))/2)</f>
        <v>1638.7870318368</v>
      </c>
      <c r="CE129" s="180">
        <f t="array" ref="CE129">IF($BT129=0, INDEX(LS_current!$D$4:$AY$138, MATCH('Staging Table'!$A129, LS_current!$B$4:$B$138, 0), MATCH(CE$4&amp;CE$5, LS_current!$D$2:$AY$2&amp;LS_current!$D$3:$AY$3, 0)),SUM(VLOOKUP($A129, LS_current!$B$4:$AY$138, LS_current!J$148, FALSE), VLOOKUP($A129, LS_current!$B$4:$AY$138,LS_current!AH$148, FALSE))/2)</f>
        <v>374.49507138450099</v>
      </c>
      <c r="CF129" s="180">
        <f t="array" ref="CF129">IF($BT129=0, INDEX(LS_current!$D$4:$AY$138, MATCH('Staging Table'!$A129, LS_current!$B$4:$B$138, 0), MATCH(CF$4&amp;CF$5, LS_current!$D$2:$AY$2&amp;LS_current!$D$3:$AY$3, 0)),SUM(VLOOKUP($A129, LS_current!$B$4:$AY$138, LS_current!K$148, FALSE), VLOOKUP($A129, LS_current!$B$4:$AY$138,LS_current!AI$148, FALSE))/2)</f>
        <v>1036.0484737306992</v>
      </c>
      <c r="CG129" s="180">
        <f t="array" ref="CG129">IF($BT129=0, INDEX(LS_current!$D$4:$AY$138, MATCH('Staging Table'!$A129, LS_current!$B$4:$B$138, 0), MATCH(CG$4&amp;CG$5, LS_current!$D$2:$AY$2&amp;LS_current!$D$3:$AY$3, 0)),SUM(VLOOKUP($A129, LS_current!$B$4:$AY$138, LS_current!L$148, FALSE), VLOOKUP($A129, LS_current!$B$4:$AY$138,LS_current!AJ$148, FALSE))/2)</f>
        <v>-1107.0926576142992</v>
      </c>
      <c r="CH129" s="180">
        <f t="array" ref="CH129">IF($BT129=0, INDEX(LS_current!$D$4:$AY$138, MATCH('Staging Table'!$A129, LS_current!$B$4:$B$138, 0), MATCH(CH$4&amp;CH$5, LS_current!$D$2:$AY$2&amp;LS_current!$D$3:$AY$3, 0)),SUM(VLOOKUP($A129, LS_current!$B$4:$AY$138, LS_current!M$148, FALSE), VLOOKUP($A129, LS_current!$B$4:$AY$138,LS_current!AK$148, FALSE))/2)</f>
        <v>-69.149320350300059</v>
      </c>
      <c r="CI129" s="180">
        <f t="array" ref="CI129">IF($BT129=0, INDEX(LS_current!$D$4:$AY$138, MATCH('Staging Table'!$A129, LS_current!$B$4:$B$138, 0), MATCH(CI$4&amp;CI$5, LS_current!$D$2:$AY$2&amp;LS_current!$D$3:$AY$3, 0)),SUM(VLOOKUP($A129, LS_current!$B$4:$AY$138, LS_current!N$148, FALSE), VLOOKUP($A129, LS_current!$B$4:$AY$138,LS_current!AL$148, FALSE))/2)</f>
        <v>-1273.6088836320996</v>
      </c>
      <c r="CJ129" s="180">
        <f t="array" ref="CJ129">IF($BT129=0, INDEX(LS_current!$D$4:$AY$138, MATCH('Staging Table'!$A129, LS_current!$B$4:$B$138, 0), MATCH(CJ$4&amp;CJ$5, LS_current!$D$2:$AY$2&amp;LS_current!$D$3:$AY$3, 0)),SUM(VLOOKUP($A129, LS_current!$B$4:$AY$138, LS_current!O$148, FALSE), VLOOKUP($A129, LS_current!$B$4:$AY$138,LS_current!AM$148, FALSE))/2)</f>
        <v>-284.36768186259997</v>
      </c>
      <c r="CK129" s="180">
        <f t="array" ref="CK129">IF($BT129=0, INDEX(LS_current!$D$4:$AY$138, MATCH('Staging Table'!$A129, LS_current!$B$4:$B$138, 0), MATCH(CK$4&amp;CK$5, LS_current!$D$2:$AY$2&amp;LS_current!$D$3:$AY$3, 0)),SUM(VLOOKUP($A129, LS_current!$B$4:$AY$138, LS_current!P$148, FALSE), VLOOKUP($A129, LS_current!$B$4:$AY$138,LS_current!AN$148, FALSE))/2)</f>
        <v>-122.26893717174971</v>
      </c>
      <c r="CL129" s="180">
        <f t="array" ref="CL129">IF($BT129=0, INDEX(LS_current!$D$4:$AY$138, MATCH('Staging Table'!$A129, LS_current!$B$4:$B$138, 0), MATCH(CL$4&amp;CL$5, LS_current!$D$2:$AY$2&amp;LS_current!$D$3:$AY$3, 0)),SUM(VLOOKUP($A129, LS_current!$B$4:$AY$138, LS_current!Q$148, FALSE), VLOOKUP($A129, LS_current!$B$4:$AY$138,LS_current!AO$148, FALSE))/2)</f>
        <v>-10.916324799974973</v>
      </c>
      <c r="CM129" s="180">
        <f t="array" ref="CM129">IF($BT129=0, INDEX(LS_current!$D$4:$AY$138, MATCH('Staging Table'!$A129, LS_current!$B$4:$B$138, 0), MATCH(CM$4&amp;CM$5, LS_current!$D$2:$AY$2&amp;LS_current!$D$3:$AY$3, 0)),SUM(VLOOKUP($A129, LS_current!$B$4:$AY$138, LS_current!R$148, FALSE), VLOOKUP($A129, LS_current!$B$4:$AY$138,LS_current!AP$148, FALSE))/2)</f>
        <v>-940.66207808160016</v>
      </c>
      <c r="CN129" s="180">
        <f t="array" ref="CN129">IF($BT129=0, INDEX(LS_current!$D$4:$AY$138, MATCH('Staging Table'!$A129, LS_current!$B$4:$B$138, 0), MATCH(CN$4&amp;CN$5, LS_current!$D$2:$AY$2&amp;LS_current!$D$3:$AY$3, 0)),SUM(VLOOKUP($A129, LS_current!$B$4:$AY$138, LS_current!S$148, FALSE), VLOOKUP($A129, LS_current!$B$4:$AY$138,LS_current!AQ$148, FALSE))/2)</f>
        <v>-444.79911969944988</v>
      </c>
      <c r="CO129" s="180">
        <f t="array" ref="CO129">IF($BT129=0, INDEX(LS_current!$D$4:$AY$138, MATCH('Staging Table'!$A129, LS_current!$B$4:$B$138, 0), MATCH(CO$4&amp;CO$5, LS_current!$D$2:$AY$2&amp;LS_current!$D$3:$AY$3, 0)),SUM(VLOOKUP($A129, LS_current!$B$4:$AY$138, LS_current!T$148, FALSE), VLOOKUP($A129, LS_current!$B$4:$AY$138,LS_current!AR$148, FALSE))/2)</f>
        <v>-760.98412175420071</v>
      </c>
      <c r="CP129" s="180">
        <f t="array" ref="CP129">IF($BT129=0, INDEX(LS_current!$D$4:$AY$138, MATCH('Staging Table'!$A129, LS_current!$B$4:$B$138, 0), MATCH(CP$4&amp;CP$5, LS_current!$D$2:$AY$2&amp;LS_current!$D$3:$AY$3, 0)),SUM(VLOOKUP($A129, LS_current!$B$4:$AY$138, LS_current!U$148, FALSE), VLOOKUP($A129, LS_current!$B$4:$AY$138,LS_current!AS$148, FALSE))/2)</f>
        <v>-40.076364602650301</v>
      </c>
      <c r="CQ129" s="180">
        <f t="array" ref="CQ129">IF($BT129=0, INDEX(LS_current!$D$4:$AY$138, MATCH('Staging Table'!$A129, LS_current!$B$4:$B$138, 0), MATCH(CQ$4&amp;CQ$5, LS_current!$D$2:$AY$2&amp;LS_current!$D$3:$AY$3, 0)),SUM(VLOOKUP($A129, LS_current!$B$4:$AY$138, LS_current!V$148, FALSE), VLOOKUP($A129, LS_current!$B$4:$AY$138,LS_current!AT$148, FALSE))/2)</f>
        <v>925.32050608119971</v>
      </c>
      <c r="CR129" s="180">
        <f t="array" ref="CR129">IF($BT129=0, INDEX(LS_current!$D$4:$AY$138, MATCH('Staging Table'!$A129, LS_current!$B$4:$B$138, 0), MATCH(CR$4&amp;CR$5, LS_current!$D$2:$AY$2&amp;LS_current!$D$3:$AY$3, 0)),SUM(VLOOKUP($A129, LS_current!$B$4:$AY$138, LS_current!W$148, FALSE), VLOOKUP($A129, LS_current!$B$4:$AY$138,LS_current!AU$148, FALSE))/2)</f>
        <v>736.2776945832502</v>
      </c>
      <c r="CS129" s="180">
        <f t="array" ref="CS129">IF($BT129=0, INDEX(LS_current!$D$4:$AY$138, MATCH('Staging Table'!$A129, LS_current!$B$4:$B$138, 0), MATCH(CS$4&amp;CS$5, LS_current!$D$2:$AY$2&amp;LS_current!$D$3:$AY$3, 0)),SUM(VLOOKUP($A129, LS_current!$B$4:$AY$138, LS_current!X$148, FALSE), VLOOKUP($A129, LS_current!$B$4:$AY$138,LS_current!AV$148, FALSE))/2)</f>
        <v>743.96940143844949</v>
      </c>
      <c r="CT129" s="180">
        <f t="array" ref="CT129">IF($BT129=0, INDEX(LS_current!$D$4:$AY$138, MATCH('Staging Table'!$A129, LS_current!$B$4:$B$138, 0), MATCH(CT$4&amp;CT$5, LS_current!$D$2:$AY$2&amp;LS_current!$D$3:$AY$3, 0)),SUM(VLOOKUP($A129, LS_current!$B$4:$AY$138, LS_current!Y$148, FALSE), VLOOKUP($A129, LS_current!$B$4:$AY$138,LS_current!AW$148, FALSE))/2)</f>
        <v>404.56266313125525</v>
      </c>
      <c r="CU129" s="180">
        <f t="array" ref="CU129">IF($BT129=0, INDEX(LS_current!$D$4:$AY$138, MATCH('Staging Table'!$A129, LS_current!$B$4:$B$138, 0), MATCH(CU$4&amp;CU$5, LS_current!$D$2:$AY$2&amp;LS_current!$D$3:$AY$3, 0)),SUM(VLOOKUP($A129, LS_current!$B$4:$AY$138, LS_current!Z$148, FALSE), VLOOKUP($A129, LS_current!$B$4:$AY$138,LS_current!AX$148, FALSE))/2)</f>
        <v>-192.86052278579973</v>
      </c>
      <c r="CV129" s="180">
        <f t="array" ref="CV129">IF($BT129=0, INDEX(LS_current!$D$4:$AY$138, MATCH('Staging Table'!$A129, LS_current!$B$4:$B$138, 0), MATCH(CV$4&amp;CV$5, LS_current!$D$2:$AY$2&amp;LS_current!$D$3:$AY$3, 0)),SUM(VLOOKUP($A129, LS_current!$B$4:$AY$138, LS_current!AA$148, FALSE), VLOOKUP($A129, LS_current!$B$4:$AY$138,LS_current!AY$148, FALSE))/2)</f>
        <v>269.90326740319961</v>
      </c>
      <c r="CW129" s="182">
        <f t="array" ref="CW129">INDEX(Demand_current!$D$4:$AY$138, MATCH($A129, Demand_current!$B$4:$B$138, 0), MATCH(CW$4&amp;CW$5,Demand_current!$D$2:$AY$2&amp;Demand_current!$D$3:$AY$3, 0))/1000</f>
        <v>2.790447115384616</v>
      </c>
      <c r="CX129" s="182">
        <f t="array" ref="CX129">INDEX(Demand_current!$D$4:$AY$138, MATCH($A129, Demand_current!$B$4:$B$138, 0), MATCH(CX$4&amp;CX$5,Demand_current!$D$2:$AY$2&amp;Demand_current!$D$3:$AY$3, 0))/1000</f>
        <v>2.9936050000000023</v>
      </c>
      <c r="CY129" s="182">
        <f t="array" ref="CY129">INDEX(Demand_current!$D$4:$AY$138, MATCH($A129, Demand_current!$B$4:$B$138, 0), MATCH(CY$4&amp;CY$5,Demand_current!$D$2:$AY$2&amp;Demand_current!$D$3:$AY$3, 0))/1000</f>
        <v>4.0398225000000005</v>
      </c>
      <c r="CZ129" s="182">
        <f t="array" ref="CZ129">INDEX(Demand_current!$D$4:$AY$138, MATCH($A129, Demand_current!$B$4:$B$138, 0), MATCH(CZ$4&amp;CZ$5,Demand_current!$D$2:$AY$2&amp;Demand_current!$D$3:$AY$3, 0))/1000</f>
        <v>3.6060552884615378</v>
      </c>
      <c r="DA129" s="182">
        <f t="array" ref="DA129">INDEX(Demand_current!$D$4:$AY$138, MATCH($A129, Demand_current!$B$4:$B$138, 0), MATCH(DA$4&amp;DA$5,Demand_current!$D$2:$AY$2&amp;Demand_current!$D$3:$AY$3, 0))/1000</f>
        <v>3.8627249999999975</v>
      </c>
      <c r="DB129" s="182">
        <f t="array" ref="DB129">INDEX(Demand_current!$D$4:$AY$138, MATCH($A129, Demand_current!$B$4:$B$138, 0), MATCH(DB$4&amp;DB$5,Demand_current!$D$2:$AY$2&amp;Demand_current!$D$3:$AY$3, 0))/1000</f>
        <v>3.5047884615384604</v>
      </c>
      <c r="DC129" s="182">
        <f t="array" ref="DC129">INDEX(Demand_current!$D$4:$AY$138, MATCH($A129, Demand_current!$B$4:$B$138, 0), MATCH(DC$4&amp;DC$5,Demand_current!$D$2:$AY$2&amp;Demand_current!$D$3:$AY$3, 0))/1000</f>
        <v>1.3940264423076947</v>
      </c>
      <c r="DD129" s="182">
        <f t="array" ref="DD129">INDEX(Demand_current!$D$4:$AY$138, MATCH($A129, Demand_current!$B$4:$B$138, 0), MATCH(DD$4&amp;DD$5,Demand_current!$D$2:$AY$2&amp;Demand_current!$D$3:$AY$3, 0))/1000</f>
        <v>1.4699423076923055</v>
      </c>
      <c r="DE129" s="182">
        <f t="array" ref="DE129">INDEX(Demand_current!$D$4:$AY$138, MATCH($A129, Demand_current!$B$4:$B$138, 0), MATCH(DE$4&amp;DE$5,Demand_current!$D$2:$AY$2&amp;Demand_current!$D$3:$AY$3, 0))/1000</f>
        <v>3.2962950000000006</v>
      </c>
      <c r="DF129" s="182">
        <f t="array" ref="DF129">INDEX(Demand_current!$D$4:$AY$138, MATCH($A129, Demand_current!$B$4:$B$138, 0), MATCH(DF$4&amp;DF$5,Demand_current!$D$2:$AY$2&amp;Demand_current!$D$3:$AY$3, 0))/1000</f>
        <v>2.3087812499999996</v>
      </c>
      <c r="DG129" s="182">
        <f t="array" ref="DG129">INDEX(Demand_current!$D$4:$AY$138, MATCH($A129, Demand_current!$B$4:$B$138, 0), MATCH(DG$4&amp;DG$5,Demand_current!$D$2:$AY$2&amp;Demand_current!$D$3:$AY$3, 0))/1000</f>
        <v>2.8924976851851869</v>
      </c>
      <c r="DH129" s="182">
        <f t="array" ref="DH129">INDEX(Demand_current!$D$4:$AY$138, MATCH($A129, Demand_current!$B$4:$B$138, 0), MATCH(DH$4&amp;DH$5,Demand_current!$D$2:$AY$2&amp;Demand_current!$D$3:$AY$3, 0))/1000</f>
        <v>2.5973359375</v>
      </c>
      <c r="DI129" s="180">
        <f>$BS129*(VLOOKUP(DI$4, Rates_current!$G$6:$Q$29, 10, FALSE)+VLOOKUP(DI$4, Rates_current!$G$6:$Q$29, 11, FALSE))</f>
        <v>7516.6426618645501</v>
      </c>
      <c r="DJ129" s="180">
        <f>$BS129*(VLOOKUP(DJ$4, Rates_current!$G$6:$Q$29, 10, FALSE)+VLOOKUP(DJ$4, Rates_current!$G$6:$Q$29, 11, FALSE))</f>
        <v>9586.1980291503005</v>
      </c>
      <c r="DK129" s="180">
        <f>$BS129*(VLOOKUP(DK$4, Rates_current!$G$6:$Q$29, 10, FALSE)+VLOOKUP(DK$4, Rates_current!$G$6:$Q$29, 11, FALSE))</f>
        <v>10345.4044093395</v>
      </c>
      <c r="DL129" s="180">
        <f>$BS129*(VLOOKUP(DL$4, Rates_current!$G$6:$Q$29, 10, FALSE)+VLOOKUP(DL$4, Rates_current!$G$6:$Q$29, 11, FALSE))</f>
        <v>10750.474454884799</v>
      </c>
      <c r="DM129" s="180">
        <f>$BS129*(VLOOKUP(DM$4, Rates_current!$G$6:$Q$29, 10, FALSE)+VLOOKUP(DM$4, Rates_current!$G$6:$Q$29, 11, FALSE))</f>
        <v>9246.840977964599</v>
      </c>
      <c r="DN129" s="180">
        <f>$BS129*(VLOOKUP(DN$4, Rates_current!$G$6:$Q$29, 10, FALSE)+VLOOKUP(DN$4, Rates_current!$G$6:$Q$29, 11, FALSE))</f>
        <v>10095.719565494699</v>
      </c>
      <c r="DO129" s="180">
        <f>$BS129*(VLOOKUP(DO$4, Rates_current!$G$6:$Q$29, 10, FALSE)+VLOOKUP(DO$4, Rates_current!$G$6:$Q$29, 11, FALSE))</f>
        <v>7968.869261971724</v>
      </c>
      <c r="DP129" s="180">
        <f>$BS129*(VLOOKUP(DP$4, Rates_current!$G$6:$Q$29, 10, FALSE)+VLOOKUP(DP$4, Rates_current!$G$6:$Q$29, 11, FALSE))</f>
        <v>9886.4501977810505</v>
      </c>
      <c r="DQ129" s="180">
        <f>$BS129*(VLOOKUP(DQ$4, Rates_current!$G$6:$Q$29, 10, FALSE)+VLOOKUP(DQ$4, Rates_current!$G$6:$Q$29, 11, FALSE))</f>
        <v>10100.961486356849</v>
      </c>
      <c r="DR129" s="180">
        <f>$BS129*(VLOOKUP(DR$4, Rates_current!$G$6:$Q$29, 10, FALSE)+VLOOKUP(DR$4, Rates_current!$G$6:$Q$29, 11, FALSE))</f>
        <v>8769.0897993355502</v>
      </c>
      <c r="DS129" s="180">
        <f>$BS129*(VLOOKUP(DS$4, Rates_current!$G$6:$Q$29, 10, FALSE)+VLOOKUP(DS$4, Rates_current!$G$6:$Q$29, 11, FALSE))</f>
        <v>8477.3789354302953</v>
      </c>
      <c r="DT129" s="180">
        <f>$BS129*(VLOOKUP(DT$4, Rates_current!$G$6:$Q$29, 10, FALSE)+VLOOKUP(DT$4, Rates_current!$G$6:$Q$29, 11, FALSE))</f>
        <v>7800.8302553826006</v>
      </c>
      <c r="DU129" s="402">
        <f>IF(D129=0,IF(C129=0,MAX(0,DW129 - (VLOOKUP($A129,TOCA_current!$A$2:$AI$137,MATCH("RHWM 2024",TOCA_current!$A$2:$AI$2,0),FALSE)*$BS$2)), 0),0)</f>
        <v>0</v>
      </c>
      <c r="DV129" s="403">
        <f>MIN(VLOOKUP($A129,TOCA_current!$A$2:$AI$137,MATCH("TRL - NLSL - Existing Resource "&amp;$BS$1,TOCA_current!$A$2:$AI$2,0),FALSE)*$BS$2, VLOOKUP($A129,TOCA_current!$A$2:$AI$137,MATCH("RHWM 2024",TOCA_current!$A$2:$AI$2,0),FALSE)*$BS$2)</f>
        <v>110546.64000000001</v>
      </c>
      <c r="DW129" s="403">
        <f>SUM(BY129:CV129)+(BS129*RT1SC!$C$4*$BS$2)</f>
        <v>110541.16550671548</v>
      </c>
      <c r="DX129" s="403">
        <f>VLOOKUP($A129,TOCA_current!$A$2:$AI$137,MATCH("Above RHWM Not Served with LS "&amp;$BS$1,TOCA_current!$A$2:$AI$2,0),FALSE)*$BS$2</f>
        <v>0</v>
      </c>
      <c r="DY129" s="403">
        <f t="shared" si="32"/>
        <v>-5.4744932845351286</v>
      </c>
      <c r="DZ129" s="403">
        <f>(VLOOKUP($A129,TOCA_current!$A$2:$AI$137,MATCH("RHWM 2024",TOCA_current!$A$2:$AI$2,0),FALSE)*$BS$2) - $DV129</f>
        <v>7123.8239999999932</v>
      </c>
      <c r="EA129" s="403">
        <f t="shared" si="33"/>
        <v>0</v>
      </c>
      <c r="EB129" s="403">
        <f t="shared" si="34"/>
        <v>5.4744932845351286</v>
      </c>
      <c r="EC129" s="403">
        <f t="shared" si="35"/>
        <v>0</v>
      </c>
      <c r="ED129" s="403">
        <f t="shared" si="36"/>
        <v>5.4744932845351286</v>
      </c>
    </row>
    <row r="130" spans="1:134">
      <c r="A130" s="123">
        <v>10446</v>
      </c>
      <c r="B130" s="124" t="s">
        <v>131</v>
      </c>
      <c r="C130" s="232">
        <f>VLOOKUP(A130, TOCA_current!$A$3:$D$137, 4, FALSE)</f>
        <v>0</v>
      </c>
      <c r="D130" s="191">
        <v>0</v>
      </c>
      <c r="E130" s="107">
        <f>VLOOKUP($A130,TOCA_previous!$A$2:$AI$137,MATCH(E$4,TOCA_previous!$A$2:$AI$2,0),FALSE)</f>
        <v>1.35616E-2</v>
      </c>
      <c r="F130" s="108">
        <f>VLOOKUP($A130,TOCA_previous!$A$2:$AI$137,MATCH(F$4,TOCA_previous!$A$2:$AI$2,0),FALSE)</f>
        <v>1.35616E-2</v>
      </c>
      <c r="G130" s="108">
        <f t="shared" si="24"/>
        <v>0</v>
      </c>
      <c r="H130" s="108">
        <f>VLOOKUP($A130,TOCA_previous!$A$2:$AI$137,MATCH(H$4,TOCA_previous!$A$2:$AI$2,0),FALSE)</f>
        <v>7.7200000000000005E-2</v>
      </c>
      <c r="I130" s="108">
        <f t="shared" si="25"/>
        <v>0</v>
      </c>
      <c r="J130" s="108">
        <f t="shared" si="26"/>
        <v>0</v>
      </c>
      <c r="K130" s="179">
        <f>VLOOKUP(A130, IRD!$A$5:$C$139, 3, FALSE)</f>
        <v>7171.34</v>
      </c>
      <c r="L130" s="180">
        <f t="array" ref="L130">IF($G130=0, INDEX(LS_previous!$D$4:$AY$138, MATCH('Staging Table'!$A130, LS_previous!$B$4:$B$138, 0), MATCH(L$4&amp;L$5, LS_previous!$D$2:$AY$2&amp;LS_previous!$D$3:$AY$3, 0)),SUM(VLOOKUP($A130, LS_previous!$B$4:$AY$138, LS_previous!D$149, FALSE), VLOOKUP('Staging Table'!$A130, LS_previous!$B$4:$AY$138,LS_previous!AB$149, FALSE))/2)</f>
        <v>-5128.7882515246311</v>
      </c>
      <c r="M130" s="180">
        <f t="array" ref="M130">IF($G130=0, INDEX(LS_previous!$D$4:$AY$138, MATCH('Staging Table'!$A130, LS_previous!$B$4:$B$138, 0), MATCH(M$4&amp;M$5, LS_previous!$D$2:$AY$2&amp;LS_previous!$D$3:$AY$3, 0)),SUM(VLOOKUP($A130, LS_previous!$B$4:$AY$138, LS_previous!E$149, FALSE), VLOOKUP('Staging Table'!$A130, LS_previous!$B$4:$AY$138,LS_previous!AC$149, FALSE))/2)</f>
        <v>5211.5628269051304</v>
      </c>
      <c r="N130" s="180">
        <f t="array" ref="N130">IF($G130=0, INDEX(LS_previous!$D$4:$AY$138, MATCH('Staging Table'!$A130, LS_previous!$B$4:$B$138, 0), MATCH(N$4&amp;N$5, LS_previous!$D$2:$AY$2&amp;LS_previous!$D$3:$AY$3, 0)),SUM(VLOOKUP($A130, LS_previous!$B$4:$AY$138, LS_previous!F$149, FALSE), VLOOKUP('Staging Table'!$A130, LS_previous!$B$4:$AY$138,LS_previous!AD$149, FALSE))/2)</f>
        <v>-14230.45922500547</v>
      </c>
      <c r="O130" s="180">
        <f t="array" ref="O130">IF($G130=0, INDEX(LS_previous!$D$4:$AY$138, MATCH('Staging Table'!$A130, LS_previous!$B$4:$B$138, 0), MATCH(O$4&amp;O$5, LS_previous!$D$2:$AY$2&amp;LS_previous!$D$3:$AY$3, 0)),SUM(VLOOKUP($A130, LS_previous!$B$4:$AY$138, LS_previous!G$149, FALSE), VLOOKUP('Staging Table'!$A130, LS_previous!$B$4:$AY$138,LS_previous!AE$149, FALSE))/2)</f>
        <v>-2308.0689488198368</v>
      </c>
      <c r="P130" s="180">
        <f t="array" ref="P130">IF($G130=0, INDEX(LS_previous!$D$4:$AY$138, MATCH('Staging Table'!$A130, LS_previous!$B$4:$B$138, 0), MATCH(P$4&amp;P$5, LS_previous!$D$2:$AY$2&amp;LS_previous!$D$3:$AY$3, 0)),SUM(VLOOKUP($A130, LS_previous!$B$4:$AY$138, LS_previous!H$149, FALSE), VLOOKUP('Staging Table'!$A130, LS_previous!$B$4:$AY$138,LS_previous!AF$149, FALSE))/2)</f>
        <v>-7320.2434921775421</v>
      </c>
      <c r="Q130" s="180">
        <f t="array" ref="Q130">IF($G130=0, INDEX(LS_previous!$D$4:$AY$138, MATCH('Staging Table'!$A130, LS_previous!$B$4:$B$138, 0), MATCH(Q$4&amp;Q$5, LS_previous!$D$2:$AY$2&amp;LS_previous!$D$3:$AY$3, 0)),SUM(VLOOKUP($A130, LS_previous!$B$4:$AY$138, LS_previous!I$149, FALSE), VLOOKUP('Staging Table'!$A130, LS_previous!$B$4:$AY$138,LS_previous!AG$149, FALSE))/2)</f>
        <v>-1051.6793431962578</v>
      </c>
      <c r="R130" s="180">
        <f t="array" ref="R130">IF($G130=0, INDEX(LS_previous!$D$4:$AY$138, MATCH('Staging Table'!$A130, LS_previous!$B$4:$B$138, 0), MATCH(R$4&amp;R$5, LS_previous!$D$2:$AY$2&amp;LS_previous!$D$3:$AY$3, 0)),SUM(VLOOKUP($A130, LS_previous!$B$4:$AY$138, LS_previous!J$149, FALSE), VLOOKUP('Staging Table'!$A130, LS_previous!$B$4:$AY$138,LS_previous!AH$149, FALSE))/2)</f>
        <v>1122.6793986937773</v>
      </c>
      <c r="S130" s="180">
        <f t="array" ref="S130">IF($G130=0, INDEX(LS_previous!$D$4:$AY$138, MATCH('Staging Table'!$A130, LS_previous!$B$4:$B$138, 0), MATCH(S$4&amp;S$5, LS_previous!$D$2:$AY$2&amp;LS_previous!$D$3:$AY$3, 0)),SUM(VLOOKUP($A130, LS_previous!$B$4:$AY$138, LS_previous!K$149, FALSE), VLOOKUP('Staging Table'!$A130, LS_previous!$B$4:$AY$138,LS_previous!AI$149, FALSE))/2)</f>
        <v>3325.6231527664931</v>
      </c>
      <c r="T130" s="180">
        <f t="array" ref="T130">IF($G130=0, INDEX(LS_previous!$D$4:$AY$138, MATCH('Staging Table'!$A130, LS_previous!$B$4:$B$138, 0), MATCH(T$4&amp;T$5, LS_previous!$D$2:$AY$2&amp;LS_previous!$D$3:$AY$3, 0)),SUM(VLOOKUP($A130, LS_previous!$B$4:$AY$138, LS_previous!L$149, FALSE), VLOOKUP('Staging Table'!$A130, LS_previous!$B$4:$AY$138,LS_previous!AJ$149, FALSE))/2)</f>
        <v>3358.6802460550643</v>
      </c>
      <c r="U130" s="180">
        <f t="array" ref="U130">IF($G130=0, INDEX(LS_previous!$D$4:$AY$138, MATCH('Staging Table'!$A130, LS_previous!$B$4:$B$138, 0), MATCH(U$4&amp;U$5, LS_previous!$D$2:$AY$2&amp;LS_previous!$D$3:$AY$3, 0)),SUM(VLOOKUP($A130, LS_previous!$B$4:$AY$138, LS_previous!M$149, FALSE), VLOOKUP('Staging Table'!$A130, LS_previous!$B$4:$AY$138,LS_previous!AK$149, FALSE))/2)</f>
        <v>3644.9767814867737</v>
      </c>
      <c r="V130" s="180">
        <f t="array" ref="V130">IF($G130=0, INDEX(LS_previous!$D$4:$AY$138, MATCH('Staging Table'!$A130, LS_previous!$B$4:$B$138, 0), MATCH(V$4&amp;V$5, LS_previous!$D$2:$AY$2&amp;LS_previous!$D$3:$AY$3, 0)),SUM(VLOOKUP($A130, LS_previous!$B$4:$AY$138, LS_previous!N$149, FALSE), VLOOKUP('Staging Table'!$A130, LS_previous!$B$4:$AY$138,LS_previous!AL$149, FALSE))/2)</f>
        <v>-5542.0901905860374</v>
      </c>
      <c r="W130" s="180">
        <f t="array" ref="W130">IF($G130=0, INDEX(LS_previous!$D$4:$AY$138, MATCH('Staging Table'!$A130, LS_previous!$B$4:$B$138, 0), MATCH(W$4&amp;W$5, LS_previous!$D$2:$AY$2&amp;LS_previous!$D$3:$AY$3, 0)),SUM(VLOOKUP($A130, LS_previous!$B$4:$AY$138, LS_previous!O$149, FALSE), VLOOKUP('Staging Table'!$A130, LS_previous!$B$4:$AY$138,LS_previous!AM$149, FALSE))/2)</f>
        <v>2884.3154502305515</v>
      </c>
      <c r="X130" s="180">
        <f t="array" ref="X130">IF($G130=0, INDEX(LS_previous!$D$4:$AY$138, MATCH('Staging Table'!$A130, LS_previous!$B$4:$B$138, 0), MATCH(X$4&amp;X$5, LS_previous!$D$2:$AY$2&amp;LS_previous!$D$3:$AY$3, 0)),SUM(VLOOKUP($A130, LS_previous!$B$4:$AY$138, LS_previous!P$149, FALSE), VLOOKUP('Staging Table'!$A130, LS_previous!$B$4:$AY$138,LS_previous!AN$149, FALSE))/2)</f>
        <v>721.89744133204294</v>
      </c>
      <c r="Y130" s="180">
        <f t="array" ref="Y130">IF($G130=0, INDEX(LS_previous!$D$4:$AY$138, MATCH('Staging Table'!$A130, LS_previous!$B$4:$B$138, 0), MATCH(Y$4&amp;Y$5, LS_previous!$D$2:$AY$2&amp;LS_previous!$D$3:$AY$3, 0)),SUM(VLOOKUP($A130, LS_previous!$B$4:$AY$138, LS_previous!Q$149, FALSE), VLOOKUP('Staging Table'!$A130, LS_previous!$B$4:$AY$138,LS_previous!AO$149, FALSE))/2)</f>
        <v>4237.5732441189211</v>
      </c>
      <c r="Z130" s="180">
        <f t="array" ref="Z130">IF($G130=0, INDEX(LS_previous!$D$4:$AY$138, MATCH('Staging Table'!$A130, LS_previous!$B$4:$B$138, 0), MATCH(Z$4&amp;Z$5, LS_previous!$D$2:$AY$2&amp;LS_previous!$D$3:$AY$3, 0)),SUM(VLOOKUP($A130, LS_previous!$B$4:$AY$138, LS_previous!R$149, FALSE), VLOOKUP('Staging Table'!$A130, LS_previous!$B$4:$AY$138,LS_previous!AP$149, FALSE))/2)</f>
        <v>-9949.3503166746232</v>
      </c>
      <c r="AA130" s="180">
        <f t="array" ref="AA130">IF($G130=0, INDEX(LS_previous!$D$4:$AY$138, MATCH('Staging Table'!$A130, LS_previous!$B$4:$B$138, 0), MATCH(AA$4&amp;AA$5, LS_previous!$D$2:$AY$2&amp;LS_previous!$D$3:$AY$3, 0)),SUM(VLOOKUP($A130, LS_previous!$B$4:$AY$138, LS_previous!S$149, FALSE), VLOOKUP('Staging Table'!$A130, LS_previous!$B$4:$AY$138,LS_previous!AQ$149, FALSE))/2)</f>
        <v>7572.7430122093174</v>
      </c>
      <c r="AB130" s="180">
        <f t="array" ref="AB130">IF($G130=0, INDEX(LS_previous!$D$4:$AY$138, MATCH('Staging Table'!$A130, LS_previous!$B$4:$B$138, 0), MATCH(AB$4&amp;AB$5, LS_previous!$D$2:$AY$2&amp;LS_previous!$D$3:$AY$3, 0)),SUM(VLOOKUP($A130, LS_previous!$B$4:$AY$138, LS_previous!T$149, FALSE), VLOOKUP('Staging Table'!$A130, LS_previous!$B$4:$AY$138,LS_previous!AR$149, FALSE))/2)</f>
        <v>-16649.316991869433</v>
      </c>
      <c r="AC130" s="180">
        <f t="array" ref="AC130">IF($G130=0, INDEX(LS_previous!$D$4:$AY$138, MATCH('Staging Table'!$A130, LS_previous!$B$4:$B$138, 0), MATCH(AC$4&amp;AC$5, LS_previous!$D$2:$AY$2&amp;LS_previous!$D$3:$AY$3, 0)),SUM(VLOOKUP($A130, LS_previous!$B$4:$AY$138, LS_previous!U$149, FALSE), VLOOKUP('Staging Table'!$A130, LS_previous!$B$4:$AY$138,LS_previous!AS$149, FALSE))/2)</f>
        <v>8075.3446164991474</v>
      </c>
      <c r="AD130" s="180">
        <f t="array" ref="AD130">IF($G130=0, INDEX(LS_previous!$D$4:$AY$138, MATCH('Staging Table'!$A130, LS_previous!$B$4:$B$138, 0), MATCH(AD$4&amp;AD$5, LS_previous!$D$2:$AY$2&amp;LS_previous!$D$3:$AY$3, 0)),SUM(VLOOKUP($A130, LS_previous!$B$4:$AY$138, LS_previous!V$149, FALSE), VLOOKUP('Staging Table'!$A130, LS_previous!$B$4:$AY$138,LS_previous!AT$149, FALSE))/2)</f>
        <v>-12896.768587614832</v>
      </c>
      <c r="AE130" s="180">
        <f t="array" ref="AE130">IF($G130=0, INDEX(LS_previous!$D$4:$AY$138, MATCH('Staging Table'!$A130, LS_previous!$B$4:$B$138, 0), MATCH(AE$4&amp;AE$5, LS_previous!$D$2:$AY$2&amp;LS_previous!$D$3:$AY$3, 0)),SUM(VLOOKUP($A130, LS_previous!$B$4:$AY$138, LS_previous!W$149, FALSE), VLOOKUP('Staging Table'!$A130, LS_previous!$B$4:$AY$138,LS_previous!AU$149, FALSE))/2)</f>
        <v>3024.4986502253778</v>
      </c>
      <c r="AF130" s="180">
        <f t="array" ref="AF130">IF($G130=0, INDEX(LS_previous!$D$4:$AY$138, MATCH('Staging Table'!$A130, LS_previous!$B$4:$B$138, 0), MATCH(AF$4&amp;AF$5, LS_previous!$D$2:$AY$2&amp;LS_previous!$D$3:$AY$3, 0)),SUM(VLOOKUP($A130, LS_previous!$B$4:$AY$138, LS_previous!X$149, FALSE), VLOOKUP('Staging Table'!$A130, LS_previous!$B$4:$AY$138,LS_previous!AV$149, FALSE))/2)</f>
        <v>-7347.6145387433207</v>
      </c>
      <c r="AG130" s="180">
        <f t="array" ref="AG130">IF($G130=0, INDEX(LS_previous!$D$4:$AY$138, MATCH('Staging Table'!$A130, LS_previous!$B$4:$B$138, 0), MATCH(AG$4&amp;AG$5, LS_previous!$D$2:$AY$2&amp;LS_previous!$D$3:$AY$3, 0)),SUM(VLOOKUP($A130, LS_previous!$B$4:$AY$138, LS_previous!Y$149, FALSE), VLOOKUP('Staging Table'!$A130, LS_previous!$B$4:$AY$138,LS_previous!AW$149, FALSE))/2)</f>
        <v>5791.7309189199113</v>
      </c>
      <c r="AH130" s="180">
        <f t="array" ref="AH130">IF($G130=0, INDEX(LS_previous!$D$4:$AY$138, MATCH('Staging Table'!$A130, LS_previous!$B$4:$B$138, 0), MATCH(AH$4&amp;AH$5, LS_previous!$D$2:$AY$2&amp;LS_previous!$D$3:$AY$3, 0)),SUM(VLOOKUP($A130, LS_previous!$B$4:$AY$138, LS_previous!Z$149, FALSE), VLOOKUP('Staging Table'!$A130, LS_previous!$B$4:$AY$138,LS_previous!AX$149, FALSE))/2)</f>
        <v>-5117.9190116536265</v>
      </c>
      <c r="AI130" s="180">
        <f t="array" ref="AI130">IF($G130=0, INDEX(LS_previous!$D$4:$AY$138, MATCH('Staging Table'!$A130, LS_previous!$B$4:$B$138, 0), MATCH(AI$4&amp;AI$5, LS_previous!$D$2:$AY$2&amp;LS_previous!$D$3:$AY$3, 0)),SUM(VLOOKUP($A130, LS_previous!$B$4:$AY$138, LS_previous!AA$149, FALSE), VLOOKUP('Staging Table'!$A130, LS_previous!$B$4:$AY$138,LS_previous!AY$149, FALSE))/2)</f>
        <v>8137.1956579012476</v>
      </c>
      <c r="AJ130" s="298">
        <f t="array" ref="AJ130">INDEX(Demand_previous!$D$4:$AY$138, MATCH('Staging Table'!$A130, Demand_previous!$B$4:$B$138, 0), MATCH(AJ$4&amp;AJ$5,Demand_previous!$D$2:$AY$2&amp;Demand_previous!$D$3:$AY$3, 0))/1000</f>
        <v>3.4110552884615428</v>
      </c>
      <c r="AK130" s="298">
        <f t="array" ref="AK130">INDEX(Demand_previous!$D$4:$AY$138, MATCH('Staging Table'!$A130, Demand_previous!$B$4:$B$138, 0), MATCH(AK$4&amp;AK$5,Demand_previous!$D$2:$AY$2&amp;Demand_previous!$D$3:$AY$3, 0))/1000</f>
        <v>4.4196549999999988</v>
      </c>
      <c r="AL130" s="298">
        <f t="array" ref="AL130">INDEX(Demand_previous!$D$4:$AY$138, MATCH('Staging Table'!$A130, Demand_previous!$B$4:$B$138, 0), MATCH(AL$4&amp;AL$5,Demand_previous!$D$2:$AY$2&amp;Demand_previous!$D$3:$AY$3, 0))/1000</f>
        <v>11.58048798076924</v>
      </c>
      <c r="AM130" s="298">
        <f t="array" ref="AM130">INDEX(Demand_previous!$D$4:$AY$138, MATCH('Staging Table'!$A130, Demand_previous!$B$4:$B$138, 0), MATCH(AM$4&amp;AM$5,Demand_previous!$D$2:$AY$2&amp;Demand_previous!$D$3:$AY$3, 0))/1000</f>
        <v>5.5301425000000108</v>
      </c>
      <c r="AN130" s="298">
        <f t="array" ref="AN130">INDEX(Demand_previous!$D$4:$AY$138, MATCH('Staging Table'!$A130, Demand_previous!$B$4:$B$138, 0), MATCH(AN$4&amp;AN$5,Demand_previous!$D$2:$AY$2&amp;Demand_previous!$D$3:$AY$3, 0))/1000</f>
        <v>4.8851640625000146</v>
      </c>
      <c r="AO130" s="298">
        <f t="array" ref="AO130">INDEX(Demand_previous!$D$4:$AY$138, MATCH('Staging Table'!$A130, Demand_previous!$B$4:$B$138, 0), MATCH(AO$4&amp;AO$5,Demand_previous!$D$2:$AY$2&amp;Demand_previous!$D$3:$AY$3, 0))/1000</f>
        <v>15.517099537037042</v>
      </c>
      <c r="AP130" s="298">
        <f t="array" ref="AP130">INDEX(Demand_previous!$D$4:$AY$138, MATCH('Staging Table'!$A130, Demand_previous!$B$4:$B$138, 0), MATCH(AP$4&amp;AP$5,Demand_previous!$D$2:$AY$2&amp;Demand_previous!$D$3:$AY$3, 0))/1000</f>
        <v>8.5292451923076893</v>
      </c>
      <c r="AQ130" s="298">
        <f t="array" ref="AQ130">INDEX(Demand_previous!$D$4:$AY$138, MATCH('Staging Table'!$A130, Demand_previous!$B$4:$B$138, 0), MATCH(AQ$4&amp;AQ$5,Demand_previous!$D$2:$AY$2&amp;Demand_previous!$D$3:$AY$3, 0))/1000</f>
        <v>0</v>
      </c>
      <c r="AR130" s="298">
        <f t="array" ref="AR130">INDEX(Demand_previous!$D$4:$AY$138, MATCH('Staging Table'!$A130, Demand_previous!$B$4:$B$138, 0), MATCH(AR$4&amp;AR$5,Demand_previous!$D$2:$AY$2&amp;Demand_previous!$D$3:$AY$3, 0))/1000</f>
        <v>4.8817836538461536</v>
      </c>
      <c r="AS130" s="298">
        <f t="array" ref="AS130">INDEX(Demand_previous!$D$4:$AY$138, MATCH('Staging Table'!$A130, Demand_previous!$B$4:$B$138, 0), MATCH(AS$4&amp;AS$5,Demand_previous!$D$2:$AY$2&amp;Demand_previous!$D$3:$AY$3, 0))/1000</f>
        <v>12.762897500000008</v>
      </c>
      <c r="AT130" s="298">
        <f t="array" ref="AT130">INDEX(Demand_previous!$D$4:$AY$138, MATCH('Staging Table'!$A130, Demand_previous!$B$4:$B$138, 0), MATCH(AT$4&amp;AT$5,Demand_previous!$D$2:$AY$2&amp;Demand_previous!$D$3:$AY$3, 0))/1000</f>
        <v>8.4046018518518366</v>
      </c>
      <c r="AU130" s="298">
        <f t="array" ref="AU130">INDEX(Demand_previous!$D$4:$AY$138, MATCH('Staging Table'!$A130, Demand_previous!$B$4:$B$138, 0), MATCH(AU$4&amp;AU$5,Demand_previous!$D$2:$AY$2&amp;Demand_previous!$D$3:$AY$3, 0))/1000</f>
        <v>7.1684774999999918</v>
      </c>
      <c r="AV130" s="180">
        <f>$F130*(VLOOKUP(AV$4, Rates_previous!$G$6:$Q$29, 10, FALSE)+VLOOKUP(AV$4, Rates_previous!$G$6:$Q$29, 11, FALSE))</f>
        <v>61758.501424619499</v>
      </c>
      <c r="AW130" s="180">
        <f>$F130*(VLOOKUP(AW$4, Rates_previous!$G$6:$Q$29, 10, FALSE)+VLOOKUP(AW$4, Rates_previous!$G$6:$Q$29, 11, FALSE))</f>
        <v>78188.504173825306</v>
      </c>
      <c r="AX130" s="180">
        <f>$F130*(VLOOKUP(AX$4, Rates_previous!$G$6:$Q$29, 10, FALSE)+VLOOKUP(AX$4, Rates_previous!$G$6:$Q$29, 11, FALSE))</f>
        <v>76530.924835373808</v>
      </c>
      <c r="AY130" s="180">
        <f>$F130*(VLOOKUP(AY$4, Rates_previous!$G$6:$Q$29, 10, FALSE)+VLOOKUP(AY$4, Rates_previous!$G$6:$Q$29, 11, FALSE))</f>
        <v>63211.289448539734</v>
      </c>
      <c r="AZ130" s="180">
        <f>$F130*(VLOOKUP(AZ$4, Rates_previous!$G$6:$Q$29, 10, FALSE)+VLOOKUP(AZ$4, Rates_previous!$G$6:$Q$29, 11, FALSE))</f>
        <v>54786.609972458165</v>
      </c>
      <c r="BA130" s="180">
        <f>$F130*(VLOOKUP(BA$4, Rates_previous!$G$6:$Q$29, 10, FALSE)+VLOOKUP(BA$4, Rates_previous!$G$6:$Q$29, 11, FALSE))</f>
        <v>65404.148740355486</v>
      </c>
      <c r="BB130" s="180">
        <f>$F130*(VLOOKUP(BB$4, Rates_previous!$G$6:$Q$29, 10, FALSE)+VLOOKUP(BB$4, Rates_previous!$G$6:$Q$29, 11, FALSE))</f>
        <v>50777.614314549035</v>
      </c>
      <c r="BC130" s="180">
        <f>$F130*(VLOOKUP(BC$4, Rates_previous!$G$6:$Q$29, 10, FALSE)+VLOOKUP(BC$4, Rates_previous!$G$6:$Q$29, 11, FALSE))</f>
        <v>70352.758304465315</v>
      </c>
      <c r="BD130" s="180">
        <f>$F130*(VLOOKUP(BD$4, Rates_previous!$G$6:$Q$29, 10, FALSE)+VLOOKUP(BD$4, Rates_previous!$G$6:$Q$29, 11, FALSE))</f>
        <v>75173.395375370281</v>
      </c>
      <c r="BE130" s="180">
        <f>$F130*(VLOOKUP(BE$4, Rates_previous!$G$6:$Q$29, 10, FALSE)+VLOOKUP(BE$4, Rates_previous!$G$6:$Q$29, 11, FALSE))</f>
        <v>71373.734937389454</v>
      </c>
      <c r="BF130" s="180">
        <f>$F130*(VLOOKUP(BF$4, Rates_previous!$G$6:$Q$29, 10, FALSE)+VLOOKUP(BF$4, Rates_previous!$G$6:$Q$29, 11, FALSE))</f>
        <v>68977.208619823417</v>
      </c>
      <c r="BG130" s="180">
        <f>$F130*(VLOOKUP(BG$4, Rates_previous!$G$6:$Q$29, 10, FALSE)+VLOOKUP(BG$4, Rates_previous!$G$6:$Q$29, 11, FALSE))</f>
        <v>63742.131353752382</v>
      </c>
      <c r="BH130" s="298">
        <f>IF($D130=0,IF(C130=0, MAX(BJ130 - (VLOOKUP($A130,TOCA_previous!$A$2:$AI$137,MATCH("RHWM 2022",TOCA_previous!$A$2:$AI$2,0),FALSE)*$F$2*TOCA_previous!C127),0),0), 0)</f>
        <v>0</v>
      </c>
      <c r="BI130" s="192">
        <f>MIN(VLOOKUP($A130,TOCA_previous!$A$2:$AI$137,MATCH("TRL - NLSL - Existing Resource "&amp;$F$1,TOCA_previous!$A$2:$AI$2,0),FALSE)*$F$2,(VLOOKUP($A130,TOCA_previous!$A$2:$AI$137,MATCH("RHWM 2022",TOCA_previous!$A$2:$AI$2,0),FALSE)*$F$2))</f>
        <v>800278.55999999994</v>
      </c>
      <c r="BJ130" s="402">
        <f>SUM(L130:AI130)+(F130*RT1SC!$C$3*$F$2)</f>
        <v>769843.38493762224</v>
      </c>
      <c r="BK130" s="401">
        <f>VLOOKUP($A130,TOCA_previous!$A$2:$AI$137,MATCH("Above RHWM Not Served with LS "&amp;$F$1,TOCA_previous!$A$2:$AI$2,0),FALSE)*$F$2</f>
        <v>82282.680000000008</v>
      </c>
      <c r="BL130" s="402">
        <f t="shared" si="27"/>
        <v>-30435.175062377704</v>
      </c>
      <c r="BM130" s="401">
        <f>(VLOOKUP($A130,TOCA_previous!$A$2:$AI$137,MATCH("RHWM 2022",TOCA_previous!$A$2:$AI$2,0),FALSE)*$F$2) - $BI130</f>
        <v>0</v>
      </c>
      <c r="BN130" s="402">
        <f t="shared" si="28"/>
        <v>0</v>
      </c>
      <c r="BO130" s="401">
        <f t="shared" si="29"/>
        <v>0</v>
      </c>
      <c r="BP130" s="402">
        <f t="shared" si="30"/>
        <v>0</v>
      </c>
      <c r="BQ130" s="401">
        <f t="shared" si="37"/>
        <v>0</v>
      </c>
      <c r="BR130" s="108">
        <f>VLOOKUP($A130,TOCA_current!$A$2:$AI$137,MATCH(BR$4,TOCA_current!$A$2:$AI$2,0),FALSE)</f>
        <v>1.3558799999999999E-2</v>
      </c>
      <c r="BS130" s="108">
        <f>VLOOKUP($A130,TOCA_current!$A$2:$AI$137,MATCH(BS$4,TOCA_current!$A$2:$AI$2,0),FALSE)</f>
        <v>1.3558799999999999E-2</v>
      </c>
      <c r="BT130" s="189">
        <f t="shared" si="31"/>
        <v>0</v>
      </c>
      <c r="BU130" s="108">
        <f>VLOOKUP($A130,TOCA_current!A126:BG261,MATCH(BU$4,TOCA_current!$A$2:$BG$2,0),FALSE)</f>
        <v>6.5840233473598478E-2</v>
      </c>
      <c r="BV130" s="108">
        <f t="shared" si="38"/>
        <v>0</v>
      </c>
      <c r="BW130" s="108">
        <f t="shared" si="39"/>
        <v>0</v>
      </c>
      <c r="BX130" s="179">
        <f>VLOOKUP($A130,IRD!$A$4:$G$139, 7, FALSE)</f>
        <v>7171.34</v>
      </c>
      <c r="BY130" s="180">
        <f t="array" ref="BY130">IF($BT130=0, INDEX(LS_current!$D$4:$AY$138, MATCH('Staging Table'!$A130, LS_current!$B$4:$B$138, 0), MATCH(BY$4&amp;BY$5, LS_current!$D$2:$AY$2&amp;LS_current!$D$3:$AY$3, 0)),SUM(VLOOKUP($A130, LS_current!$B$4:$AY$138, LS_current!D$148, FALSE), VLOOKUP($A130, LS_current!$B$4:$AY$138,LS_current!AB$148, FALSE))/2)</f>
        <v>3266.2028046831911</v>
      </c>
      <c r="BZ130" s="180">
        <f t="array" ref="BZ130">IF($BT130=0, INDEX(LS_current!$D$4:$AY$138, MATCH('Staging Table'!$A130, LS_current!$B$4:$B$138, 0), MATCH(BZ$4&amp;BZ$5, LS_current!$D$2:$AY$2&amp;LS_current!$D$3:$AY$3, 0)),SUM(VLOOKUP($A130, LS_current!$B$4:$AY$138, LS_current!E$148, FALSE), VLOOKUP($A130, LS_current!$B$4:$AY$138,LS_current!AC$148, FALSE))/2)</f>
        <v>7440.4767538906053</v>
      </c>
      <c r="CA130" s="180">
        <f t="array" ref="CA130">IF($BT130=0, INDEX(LS_current!$D$4:$AY$138, MATCH('Staging Table'!$A130, LS_current!$B$4:$B$138, 0), MATCH(CA$4&amp;CA$5, LS_current!$D$2:$AY$2&amp;LS_current!$D$3:$AY$3, 0)),SUM(VLOOKUP($A130, LS_current!$B$4:$AY$138, LS_current!F$148, FALSE), VLOOKUP($A130, LS_current!$B$4:$AY$138,LS_current!AD$148, FALSE))/2)</f>
        <v>-7250.7927828863976</v>
      </c>
      <c r="CB130" s="180">
        <f t="array" ref="CB130">IF($BT130=0, INDEX(LS_current!$D$4:$AY$138, MATCH('Staging Table'!$A130, LS_current!$B$4:$B$138, 0), MATCH(CB$4&amp;CB$5, LS_current!$D$2:$AY$2&amp;LS_current!$D$3:$AY$3, 0)),SUM(VLOOKUP($A130, LS_current!$B$4:$AY$138, LS_current!G$148, FALSE), VLOOKUP($A130, LS_current!$B$4:$AY$138,LS_current!AE$148, FALSE))/2)</f>
        <v>1829.2178179971997</v>
      </c>
      <c r="CC130" s="180">
        <f t="array" ref="CC130">IF($BT130=0, INDEX(LS_current!$D$4:$AY$138, MATCH('Staging Table'!$A130, LS_current!$B$4:$B$138, 0), MATCH(CC$4&amp;CC$5, LS_current!$D$2:$AY$2&amp;LS_current!$D$3:$AY$3, 0)),SUM(VLOOKUP($A130, LS_current!$B$4:$AY$138, LS_current!H$148, FALSE), VLOOKUP($A130, LS_current!$B$4:$AY$138,LS_current!AF$148, FALSE))/2)</f>
        <v>-7920.6450379531962</v>
      </c>
      <c r="CD130" s="180">
        <f t="array" ref="CD130">IF($BT130=0, INDEX(LS_current!$D$4:$AY$138, MATCH('Staging Table'!$A130, LS_current!$B$4:$B$138, 0), MATCH(CD$4&amp;CD$5, LS_current!$D$2:$AY$2&amp;LS_current!$D$3:$AY$3, 0)),SUM(VLOOKUP($A130, LS_current!$B$4:$AY$138, LS_current!I$148, FALSE), VLOOKUP($A130, LS_current!$B$4:$AY$138,LS_current!AG$148, FALSE))/2)</f>
        <v>3418.0736746752009</v>
      </c>
      <c r="CE130" s="180">
        <f t="array" ref="CE130">IF($BT130=0, INDEX(LS_current!$D$4:$AY$138, MATCH('Staging Table'!$A130, LS_current!$B$4:$B$138, 0), MATCH(CE$4&amp;CE$5, LS_current!$D$2:$AY$2&amp;LS_current!$D$3:$AY$3, 0)),SUM(VLOOKUP($A130, LS_current!$B$4:$AY$138, LS_current!J$148, FALSE), VLOOKUP($A130, LS_current!$B$4:$AY$138,LS_current!AH$148, FALSE))/2)</f>
        <v>-10326.961825341998</v>
      </c>
      <c r="CF130" s="180">
        <f t="array" ref="CF130">IF($BT130=0, INDEX(LS_current!$D$4:$AY$138, MATCH('Staging Table'!$A130, LS_current!$B$4:$B$138, 0), MATCH(CF$4&amp;CF$5, LS_current!$D$2:$AY$2&amp;LS_current!$D$3:$AY$3, 0)),SUM(VLOOKUP($A130, LS_current!$B$4:$AY$138, LS_current!K$148, FALSE), VLOOKUP($A130, LS_current!$B$4:$AY$138,LS_current!AI$148, FALSE))/2)</f>
        <v>2242.3830923948008</v>
      </c>
      <c r="CG130" s="180">
        <f t="array" ref="CG130">IF($BT130=0, INDEX(LS_current!$D$4:$AY$138, MATCH('Staging Table'!$A130, LS_current!$B$4:$B$138, 0), MATCH(CG$4&amp;CG$5, LS_current!$D$2:$AY$2&amp;LS_current!$D$3:$AY$3, 0)),SUM(VLOOKUP($A130, LS_current!$B$4:$AY$138, LS_current!L$148, FALSE), VLOOKUP($A130, LS_current!$B$4:$AY$138,LS_current!AJ$148, FALSE))/2)</f>
        <v>-6448.7191241851979</v>
      </c>
      <c r="CH130" s="180">
        <f t="array" ref="CH130">IF($BT130=0, INDEX(LS_current!$D$4:$AY$138, MATCH('Staging Table'!$A130, LS_current!$B$4:$B$138, 0), MATCH(CH$4&amp;CH$5, LS_current!$D$2:$AY$2&amp;LS_current!$D$3:$AY$3, 0)),SUM(VLOOKUP($A130, LS_current!$B$4:$AY$138, LS_current!M$148, FALSE), VLOOKUP($A130, LS_current!$B$4:$AY$138,LS_current!AK$148, FALSE))/2)</f>
        <v>3320.6473183108028</v>
      </c>
      <c r="CI130" s="180">
        <f t="array" ref="CI130">IF($BT130=0, INDEX(LS_current!$D$4:$AY$138, MATCH('Staging Table'!$A130, LS_current!$B$4:$B$138, 0), MATCH(CI$4&amp;CI$5, LS_current!$D$2:$AY$2&amp;LS_current!$D$3:$AY$3, 0)),SUM(VLOOKUP($A130, LS_current!$B$4:$AY$138, LS_current!N$148, FALSE), VLOOKUP($A130, LS_current!$B$4:$AY$138,LS_current!AL$148, FALSE))/2)</f>
        <v>-8608.8062693444008</v>
      </c>
      <c r="CJ130" s="180">
        <f t="array" ref="CJ130">IF($BT130=0, INDEX(LS_current!$D$4:$AY$138, MATCH('Staging Table'!$A130, LS_current!$B$4:$B$138, 0), MATCH(CJ$4&amp;CJ$5, LS_current!$D$2:$AY$2&amp;LS_current!$D$3:$AY$3, 0)),SUM(VLOOKUP($A130, LS_current!$B$4:$AY$138, LS_current!O$148, FALSE), VLOOKUP($A130, LS_current!$B$4:$AY$138,LS_current!AM$148, FALSE))/2)</f>
        <v>585.56239645360256</v>
      </c>
      <c r="CK130" s="180">
        <f t="array" ref="CK130">IF($BT130=0, INDEX(LS_current!$D$4:$AY$138, MATCH('Staging Table'!$A130, LS_current!$B$4:$B$138, 0), MATCH(CK$4&amp;CK$5, LS_current!$D$2:$AY$2&amp;LS_current!$D$3:$AY$3, 0)),SUM(VLOOKUP($A130, LS_current!$B$4:$AY$138, LS_current!P$148, FALSE), VLOOKUP($A130, LS_current!$B$4:$AY$138,LS_current!AN$148, FALSE))/2)</f>
        <v>-1507.3405735669949</v>
      </c>
      <c r="CL130" s="180">
        <f t="array" ref="CL130">IF($BT130=0, INDEX(LS_current!$D$4:$AY$138, MATCH('Staging Table'!$A130, LS_current!$B$4:$B$138, 0), MATCH(CL$4&amp;CL$5, LS_current!$D$2:$AY$2&amp;LS_current!$D$3:$AY$3, 0)),SUM(VLOOKUP($A130, LS_current!$B$4:$AY$138, LS_current!Q$148, FALSE), VLOOKUP($A130, LS_current!$B$4:$AY$138,LS_current!AO$148, FALSE))/2)</f>
        <v>2472.6487148241031</v>
      </c>
      <c r="CM130" s="180">
        <f t="array" ref="CM130">IF($BT130=0, INDEX(LS_current!$D$4:$AY$138, MATCH('Staging Table'!$A130, LS_current!$B$4:$B$138, 0), MATCH(CM$4&amp;CM$5, LS_current!$D$2:$AY$2&amp;LS_current!$D$3:$AY$3, 0)),SUM(VLOOKUP($A130, LS_current!$B$4:$AY$138, LS_current!R$148, FALSE), VLOOKUP($A130, LS_current!$B$4:$AY$138,LS_current!AP$148, FALSE))/2)</f>
        <v>-5017.5322786624019</v>
      </c>
      <c r="CN130" s="180">
        <f t="array" ref="CN130">IF($BT130=0, INDEX(LS_current!$D$4:$AY$138, MATCH('Staging Table'!$A130, LS_current!$B$4:$B$138, 0), MATCH(CN$4&amp;CN$5, LS_current!$D$2:$AY$2&amp;LS_current!$D$3:$AY$3, 0)),SUM(VLOOKUP($A130, LS_current!$B$4:$AY$138, LS_current!S$148, FALSE), VLOOKUP($A130, LS_current!$B$4:$AY$138,LS_current!AQ$148, FALSE))/2)</f>
        <v>3824.7676937302058</v>
      </c>
      <c r="CO130" s="180">
        <f t="array" ref="CO130">IF($BT130=0, INDEX(LS_current!$D$4:$AY$138, MATCH('Staging Table'!$A130, LS_current!$B$4:$B$138, 0), MATCH(CO$4&amp;CO$5, LS_current!$D$2:$AY$2&amp;LS_current!$D$3:$AY$3, 0)),SUM(VLOOKUP($A130, LS_current!$B$4:$AY$138, LS_current!T$148, FALSE), VLOOKUP($A130, LS_current!$B$4:$AY$138,LS_current!AR$148, FALSE))/2)</f>
        <v>-7898.3694670487894</v>
      </c>
      <c r="CP130" s="180">
        <f t="array" ref="CP130">IF($BT130=0, INDEX(LS_current!$D$4:$AY$138, MATCH('Staging Table'!$A130, LS_current!$B$4:$B$138, 0), MATCH(CP$4&amp;CP$5, LS_current!$D$2:$AY$2&amp;LS_current!$D$3:$AY$3, 0)),SUM(VLOOKUP($A130, LS_current!$B$4:$AY$138, LS_current!U$148, FALSE), VLOOKUP($A130, LS_current!$B$4:$AY$138,LS_current!AS$148, FALSE))/2)</f>
        <v>3500.7183910454005</v>
      </c>
      <c r="CQ130" s="180">
        <f t="array" ref="CQ130">IF($BT130=0, INDEX(LS_current!$D$4:$AY$138, MATCH('Staging Table'!$A130, LS_current!$B$4:$B$138, 0), MATCH(CQ$4&amp;CQ$5, LS_current!$D$2:$AY$2&amp;LS_current!$D$3:$AY$3, 0)),SUM(VLOOKUP($A130, LS_current!$B$4:$AY$138, LS_current!V$148, FALSE), VLOOKUP($A130, LS_current!$B$4:$AY$138,LS_current!AT$148, FALSE))/2)</f>
        <v>-3701.8372817232012</v>
      </c>
      <c r="CR130" s="180">
        <f t="array" ref="CR130">IF($BT130=0, INDEX(LS_current!$D$4:$AY$138, MATCH('Staging Table'!$A130, LS_current!$B$4:$B$138, 0), MATCH(CR$4&amp;CR$5, LS_current!$D$2:$AY$2&amp;LS_current!$D$3:$AY$3, 0)),SUM(VLOOKUP($A130, LS_current!$B$4:$AY$138, LS_current!W$148, FALSE), VLOOKUP($A130, LS_current!$B$4:$AY$138,LS_current!AU$148, FALSE))/2)</f>
        <v>4537.5388382530036</v>
      </c>
      <c r="CS130" s="180">
        <f t="array" ref="CS130">IF($BT130=0, INDEX(LS_current!$D$4:$AY$138, MATCH('Staging Table'!$A130, LS_current!$B$4:$B$138, 0), MATCH(CS$4&amp;CS$5, LS_current!$D$2:$AY$2&amp;LS_current!$D$3:$AY$3, 0)),SUM(VLOOKUP($A130, LS_current!$B$4:$AY$138, LS_current!X$148, FALSE), VLOOKUP($A130, LS_current!$B$4:$AY$138,LS_current!AV$148, FALSE))/2)</f>
        <v>1702.9472226658036</v>
      </c>
      <c r="CT130" s="180">
        <f t="array" ref="CT130">IF($BT130=0, INDEX(LS_current!$D$4:$AY$138, MATCH('Staging Table'!$A130, LS_current!$B$4:$B$138, 0), MATCH(CT$4&amp;CT$5, LS_current!$D$2:$AY$2&amp;LS_current!$D$3:$AY$3, 0)),SUM(VLOOKUP($A130, LS_current!$B$4:$AY$138, LS_current!Y$148, FALSE), VLOOKUP($A130, LS_current!$B$4:$AY$138,LS_current!AW$148, FALSE))/2)</f>
        <v>7272.5443229298216</v>
      </c>
      <c r="CU130" s="180">
        <f t="array" ref="CU130">IF($BT130=0, INDEX(LS_current!$D$4:$AY$138, MATCH('Staging Table'!$A130, LS_current!$B$4:$B$138, 0), MATCH(CU$4&amp;CU$5, LS_current!$D$2:$AY$2&amp;LS_current!$D$3:$AY$3, 0)),SUM(VLOOKUP($A130, LS_current!$B$4:$AY$138, LS_current!Z$148, FALSE), VLOOKUP($A130, LS_current!$B$4:$AY$138,LS_current!AX$148, FALSE))/2)</f>
        <v>3388.9919304888026</v>
      </c>
      <c r="CV130" s="180">
        <f t="array" ref="CV130">IF($BT130=0, INDEX(LS_current!$D$4:$AY$138, MATCH('Staging Table'!$A130, LS_current!$B$4:$B$138, 0), MATCH(CV$4&amp;CV$5, LS_current!$D$2:$AY$2&amp;LS_current!$D$3:$AY$3, 0)),SUM(VLOOKUP($A130, LS_current!$B$4:$AY$138, LS_current!AA$148, FALSE), VLOOKUP($A130, LS_current!$B$4:$AY$138,LS_current!AY$148, FALSE))/2)</f>
        <v>9879.4219926848018</v>
      </c>
      <c r="CW130" s="182">
        <f t="array" ref="CW130">INDEX(Demand_current!$D$4:$AY$138, MATCH($A130, Demand_current!$B$4:$B$138, 0), MATCH(CW$4&amp;CW$5,Demand_current!$D$2:$AY$2&amp;Demand_current!$D$3:$AY$3, 0))/1000</f>
        <v>3.4110552884615428</v>
      </c>
      <c r="CX130" s="182">
        <f t="array" ref="CX130">INDEX(Demand_current!$D$4:$AY$138, MATCH($A130, Demand_current!$B$4:$B$138, 0), MATCH(CX$4&amp;CX$5,Demand_current!$D$2:$AY$2&amp;Demand_current!$D$3:$AY$3, 0))/1000</f>
        <v>4.4196549999999988</v>
      </c>
      <c r="CY130" s="182">
        <f t="array" ref="CY130">INDEX(Demand_current!$D$4:$AY$138, MATCH($A130, Demand_current!$B$4:$B$138, 0), MATCH(CY$4&amp;CY$5,Demand_current!$D$2:$AY$2&amp;Demand_current!$D$3:$AY$3, 0))/1000</f>
        <v>7.704707500000004</v>
      </c>
      <c r="CZ130" s="182">
        <f t="array" ref="CZ130">INDEX(Demand_current!$D$4:$AY$138, MATCH($A130, Demand_current!$B$4:$B$138, 0), MATCH(CZ$4&amp;CZ$5,Demand_current!$D$2:$AY$2&amp;Demand_current!$D$3:$AY$3, 0))/1000</f>
        <v>9.4570216346154012</v>
      </c>
      <c r="DA130" s="182">
        <f t="array" ref="DA130">INDEX(Demand_current!$D$4:$AY$138, MATCH($A130, Demand_current!$B$4:$B$138, 0), MATCH(DA$4&amp;DA$5,Demand_current!$D$2:$AY$2&amp;Demand_current!$D$3:$AY$3, 0))/1000</f>
        <v>8.9258375000000179</v>
      </c>
      <c r="DB130" s="182">
        <f t="array" ref="DB130">INDEX(Demand_current!$D$4:$AY$138, MATCH($A130, Demand_current!$B$4:$B$138, 0), MATCH(DB$4&amp;DB$5,Demand_current!$D$2:$AY$2&amp;Demand_current!$D$3:$AY$3, 0))/1000</f>
        <v>12.073103365384613</v>
      </c>
      <c r="DC130" s="182">
        <f t="array" ref="DC130">INDEX(Demand_current!$D$4:$AY$138, MATCH($A130, Demand_current!$B$4:$B$138, 0), MATCH(DC$4&amp;DC$5,Demand_current!$D$2:$AY$2&amp;Demand_current!$D$3:$AY$3, 0))/1000</f>
        <v>8.5292451923076893</v>
      </c>
      <c r="DD130" s="182">
        <f t="array" ref="DD130">INDEX(Demand_current!$D$4:$AY$138, MATCH($A130, Demand_current!$B$4:$B$138, 0), MATCH(DD$4&amp;DD$5,Demand_current!$D$2:$AY$2&amp;Demand_current!$D$3:$AY$3, 0))/1000</f>
        <v>0</v>
      </c>
      <c r="DE130" s="182">
        <f t="array" ref="DE130">INDEX(Demand_current!$D$4:$AY$138, MATCH($A130, Demand_current!$B$4:$B$138, 0), MATCH(DE$4&amp;DE$5,Demand_current!$D$2:$AY$2&amp;Demand_current!$D$3:$AY$3, 0))/1000</f>
        <v>0.95233500000000237</v>
      </c>
      <c r="DF130" s="182">
        <f t="array" ref="DF130">INDEX(Demand_current!$D$4:$AY$138, MATCH($A130, Demand_current!$B$4:$B$138, 0), MATCH(DF$4&amp;DF$5,Demand_current!$D$2:$AY$2&amp;Demand_current!$D$3:$AY$3, 0))/1000</f>
        <v>16.455055288461537</v>
      </c>
      <c r="DG130" s="182">
        <f t="array" ref="DG130">INDEX(Demand_current!$D$4:$AY$138, MATCH($A130, Demand_current!$B$4:$B$138, 0), MATCH(DG$4&amp;DG$5,Demand_current!$D$2:$AY$2&amp;Demand_current!$D$3:$AY$3, 0))/1000</f>
        <v>8.4046018518518366</v>
      </c>
      <c r="DH130" s="182">
        <f t="array" ref="DH130">INDEX(Demand_current!$D$4:$AY$138, MATCH($A130, Demand_current!$B$4:$B$138, 0), MATCH(DH$4&amp;DH$5,Demand_current!$D$2:$AY$2&amp;Demand_current!$D$3:$AY$3, 0))/1000</f>
        <v>3.0726640624999932</v>
      </c>
      <c r="DI130" s="180">
        <f>$BS130*(VLOOKUP(DI$4, Rates_current!$G$6:$Q$29, 10, FALSE)+VLOOKUP(DI$4, Rates_current!$G$6:$Q$29, 11, FALSE))</f>
        <v>57201.916441426198</v>
      </c>
      <c r="DJ130" s="180">
        <f>$BS130*(VLOOKUP(DJ$4, Rates_current!$G$6:$Q$29, 10, FALSE)+VLOOKUP(DJ$4, Rates_current!$G$6:$Q$29, 11, FALSE))</f>
        <v>72951.305964889209</v>
      </c>
      <c r="DK130" s="180">
        <f>$BS130*(VLOOKUP(DK$4, Rates_current!$G$6:$Q$29, 10, FALSE)+VLOOKUP(DK$4, Rates_current!$G$6:$Q$29, 11, FALSE))</f>
        <v>78728.89336327801</v>
      </c>
      <c r="DL130" s="180">
        <f>$BS130*(VLOOKUP(DL$4, Rates_current!$G$6:$Q$29, 10, FALSE)+VLOOKUP(DL$4, Rates_current!$G$6:$Q$29, 11, FALSE))</f>
        <v>81811.49073294719</v>
      </c>
      <c r="DM130" s="180">
        <f>$BS130*(VLOOKUP(DM$4, Rates_current!$G$6:$Q$29, 10, FALSE)+VLOOKUP(DM$4, Rates_current!$G$6:$Q$29, 11, FALSE))</f>
        <v>70368.786805874392</v>
      </c>
      <c r="DN130" s="180">
        <f>$BS130*(VLOOKUP(DN$4, Rates_current!$G$6:$Q$29, 10, FALSE)+VLOOKUP(DN$4, Rates_current!$G$6:$Q$29, 11, FALSE))</f>
        <v>76828.782872890792</v>
      </c>
      <c r="DO130" s="180">
        <f>$BS130*(VLOOKUP(DO$4, Rates_current!$G$6:$Q$29, 10, FALSE)+VLOOKUP(DO$4, Rates_current!$G$6:$Q$29, 11, FALSE))</f>
        <v>60643.376858742893</v>
      </c>
      <c r="DP130" s="180">
        <f>$BS130*(VLOOKUP(DP$4, Rates_current!$G$6:$Q$29, 10, FALSE)+VLOOKUP(DP$4, Rates_current!$G$6:$Q$29, 11, FALSE))</f>
        <v>75236.235584932205</v>
      </c>
      <c r="DQ130" s="180">
        <f>$BS130*(VLOOKUP(DQ$4, Rates_current!$G$6:$Q$29, 10, FALSE)+VLOOKUP(DQ$4, Rates_current!$G$6:$Q$29, 11, FALSE))</f>
        <v>76868.674076003386</v>
      </c>
      <c r="DR130" s="180">
        <f>$BS130*(VLOOKUP(DR$4, Rates_current!$G$6:$Q$29, 10, FALSE)+VLOOKUP(DR$4, Rates_current!$G$6:$Q$29, 11, FALSE))</f>
        <v>66733.083443470197</v>
      </c>
      <c r="DS130" s="180">
        <f>$BS130*(VLOOKUP(DS$4, Rates_current!$G$6:$Q$29, 10, FALSE)+VLOOKUP(DS$4, Rates_current!$G$6:$Q$29, 11, FALSE))</f>
        <v>64513.153454404383</v>
      </c>
      <c r="DT130" s="180">
        <f>$BS130*(VLOOKUP(DT$4, Rates_current!$G$6:$Q$29, 10, FALSE)+VLOOKUP(DT$4, Rates_current!$G$6:$Q$29, 11, FALSE))</f>
        <v>59364.594076826404</v>
      </c>
      <c r="DU130" s="402">
        <f>IF(D130=0,IF(C130=0,MAX(0,DW130 - (VLOOKUP($A130,TOCA_current!$A$2:$AI$137,MATCH("RHWM 2024",TOCA_current!$A$2:$AI$2,0),FALSE)*$BS$2)), 0),0)</f>
        <v>0</v>
      </c>
      <c r="DV130" s="403">
        <f>MIN(VLOOKUP($A130,TOCA_current!$A$2:$AI$137,MATCH("TRL - NLSL - Existing Resource "&amp;$BS$1,TOCA_current!$A$2:$AI$2,0),FALSE)*$BS$2, VLOOKUP($A130,TOCA_current!$A$2:$AI$137,MATCH("RHWM 2024",TOCA_current!$A$2:$AI$2,0),FALSE)*$BS$2)</f>
        <v>841252.46400000004</v>
      </c>
      <c r="DW130" s="403">
        <f>SUM(BY130:CV130)+(BS130*RT1SC!$C$4*$BS$2)</f>
        <v>841251.43585612264</v>
      </c>
      <c r="DX130" s="403">
        <f>VLOOKUP($A130,TOCA_current!$A$2:$AI$137,MATCH("Above RHWM Not Served with LS "&amp;$BS$1,TOCA_current!$A$2:$AI$2,0),FALSE)*$BS$2</f>
        <v>10874.591999999997</v>
      </c>
      <c r="DY130" s="403">
        <f t="shared" si="32"/>
        <v>-1.02814387739636</v>
      </c>
      <c r="DZ130" s="403">
        <f>(VLOOKUP($A130,TOCA_current!$A$2:$AI$137,MATCH("RHWM 2024",TOCA_current!$A$2:$AI$2,0),FALSE)*$BS$2) - $DV130</f>
        <v>0</v>
      </c>
      <c r="EA130" s="403">
        <f t="shared" si="33"/>
        <v>0</v>
      </c>
      <c r="EB130" s="403">
        <f t="shared" si="34"/>
        <v>0</v>
      </c>
      <c r="EC130" s="403">
        <f t="shared" si="35"/>
        <v>0</v>
      </c>
      <c r="ED130" s="403">
        <f t="shared" si="36"/>
        <v>0</v>
      </c>
    </row>
    <row r="131" spans="1:134">
      <c r="A131" s="123">
        <v>10448</v>
      </c>
      <c r="B131" s="124" t="s">
        <v>132</v>
      </c>
      <c r="C131" s="232">
        <f>VLOOKUP(A131, TOCA_current!$A$3:$D$137, 4, FALSE)</f>
        <v>1</v>
      </c>
      <c r="D131" s="191">
        <v>0</v>
      </c>
      <c r="E131" s="107">
        <f>VLOOKUP($A131,TOCA_previous!$A$2:$AI$137,MATCH(E$4,TOCA_previous!$A$2:$AI$2,0),FALSE)</f>
        <v>1.2009E-3</v>
      </c>
      <c r="F131" s="108">
        <f>VLOOKUP($A131,TOCA_previous!$A$2:$AI$137,MATCH(F$4,TOCA_previous!$A$2:$AI$2,0),FALSE)</f>
        <v>1.2009E-3</v>
      </c>
      <c r="G131" s="108">
        <f t="shared" si="24"/>
        <v>0</v>
      </c>
      <c r="H131" s="108">
        <f>VLOOKUP($A131,TOCA_previous!$A$2:$AI$137,MATCH(H$4,TOCA_previous!$A$2:$AI$2,0),FALSE)</f>
        <v>7.1440000000000003E-2</v>
      </c>
      <c r="I131" s="108">
        <f t="shared" si="25"/>
        <v>7.1440000000000003E-2</v>
      </c>
      <c r="J131" s="108">
        <f t="shared" si="26"/>
        <v>1.2009E-3</v>
      </c>
      <c r="K131" s="179">
        <f>VLOOKUP(A131, IRD!$A$5:$C$139, 3, FALSE)</f>
        <v>0</v>
      </c>
      <c r="L131" s="180">
        <f t="array" ref="L131">IF($G131=0, INDEX(LS_previous!$D$4:$AY$138, MATCH('Staging Table'!$A131, LS_previous!$B$4:$B$138, 0), MATCH(L$4&amp;L$5, LS_previous!$D$2:$AY$2&amp;LS_previous!$D$3:$AY$3, 0)),SUM(VLOOKUP($A131, LS_previous!$B$4:$AY$138, LS_previous!D$149, FALSE), VLOOKUP('Staging Table'!$A131, LS_previous!$B$4:$AY$138,LS_previous!AB$149, FALSE))/2)</f>
        <v>0</v>
      </c>
      <c r="M131" s="180">
        <f t="array" ref="M131">IF($G131=0, INDEX(LS_previous!$D$4:$AY$138, MATCH('Staging Table'!$A131, LS_previous!$B$4:$B$138, 0), MATCH(M$4&amp;M$5, LS_previous!$D$2:$AY$2&amp;LS_previous!$D$3:$AY$3, 0)),SUM(VLOOKUP($A131, LS_previous!$B$4:$AY$138, LS_previous!E$149, FALSE), VLOOKUP('Staging Table'!$A131, LS_previous!$B$4:$AY$138,LS_previous!AC$149, FALSE))/2)</f>
        <v>0</v>
      </c>
      <c r="N131" s="180">
        <f t="array" ref="N131">IF($G131=0, INDEX(LS_previous!$D$4:$AY$138, MATCH('Staging Table'!$A131, LS_previous!$B$4:$B$138, 0), MATCH(N$4&amp;N$5, LS_previous!$D$2:$AY$2&amp;LS_previous!$D$3:$AY$3, 0)),SUM(VLOOKUP($A131, LS_previous!$B$4:$AY$138, LS_previous!F$149, FALSE), VLOOKUP('Staging Table'!$A131, LS_previous!$B$4:$AY$138,LS_previous!AD$149, FALSE))/2)</f>
        <v>0</v>
      </c>
      <c r="O131" s="180">
        <f t="array" ref="O131">IF($G131=0, INDEX(LS_previous!$D$4:$AY$138, MATCH('Staging Table'!$A131, LS_previous!$B$4:$B$138, 0), MATCH(O$4&amp;O$5, LS_previous!$D$2:$AY$2&amp;LS_previous!$D$3:$AY$3, 0)),SUM(VLOOKUP($A131, LS_previous!$B$4:$AY$138, LS_previous!G$149, FALSE), VLOOKUP('Staging Table'!$A131, LS_previous!$B$4:$AY$138,LS_previous!AE$149, FALSE))/2)</f>
        <v>0</v>
      </c>
      <c r="P131" s="180">
        <f t="array" ref="P131">IF($G131=0, INDEX(LS_previous!$D$4:$AY$138, MATCH('Staging Table'!$A131, LS_previous!$B$4:$B$138, 0), MATCH(P$4&amp;P$5, LS_previous!$D$2:$AY$2&amp;LS_previous!$D$3:$AY$3, 0)),SUM(VLOOKUP($A131, LS_previous!$B$4:$AY$138, LS_previous!H$149, FALSE), VLOOKUP('Staging Table'!$A131, LS_previous!$B$4:$AY$138,LS_previous!AF$149, FALSE))/2)</f>
        <v>0</v>
      </c>
      <c r="Q131" s="180">
        <f t="array" ref="Q131">IF($G131=0, INDEX(LS_previous!$D$4:$AY$138, MATCH('Staging Table'!$A131, LS_previous!$B$4:$B$138, 0), MATCH(Q$4&amp;Q$5, LS_previous!$D$2:$AY$2&amp;LS_previous!$D$3:$AY$3, 0)),SUM(VLOOKUP($A131, LS_previous!$B$4:$AY$138, LS_previous!I$149, FALSE), VLOOKUP('Staging Table'!$A131, LS_previous!$B$4:$AY$138,LS_previous!AG$149, FALSE))/2)</f>
        <v>0</v>
      </c>
      <c r="R131" s="180">
        <f t="array" ref="R131">IF($G131=0, INDEX(LS_previous!$D$4:$AY$138, MATCH('Staging Table'!$A131, LS_previous!$B$4:$B$138, 0), MATCH(R$4&amp;R$5, LS_previous!$D$2:$AY$2&amp;LS_previous!$D$3:$AY$3, 0)),SUM(VLOOKUP($A131, LS_previous!$B$4:$AY$138, LS_previous!J$149, FALSE), VLOOKUP('Staging Table'!$A131, LS_previous!$B$4:$AY$138,LS_previous!AH$149, FALSE))/2)</f>
        <v>0</v>
      </c>
      <c r="S131" s="180">
        <f t="array" ref="S131">IF($G131=0, INDEX(LS_previous!$D$4:$AY$138, MATCH('Staging Table'!$A131, LS_previous!$B$4:$B$138, 0), MATCH(S$4&amp;S$5, LS_previous!$D$2:$AY$2&amp;LS_previous!$D$3:$AY$3, 0)),SUM(VLOOKUP($A131, LS_previous!$B$4:$AY$138, LS_previous!K$149, FALSE), VLOOKUP('Staging Table'!$A131, LS_previous!$B$4:$AY$138,LS_previous!AI$149, FALSE))/2)</f>
        <v>0</v>
      </c>
      <c r="T131" s="180">
        <f t="array" ref="T131">IF($G131=0, INDEX(LS_previous!$D$4:$AY$138, MATCH('Staging Table'!$A131, LS_previous!$B$4:$B$138, 0), MATCH(T$4&amp;T$5, LS_previous!$D$2:$AY$2&amp;LS_previous!$D$3:$AY$3, 0)),SUM(VLOOKUP($A131, LS_previous!$B$4:$AY$138, LS_previous!L$149, FALSE), VLOOKUP('Staging Table'!$A131, LS_previous!$B$4:$AY$138,LS_previous!AJ$149, FALSE))/2)</f>
        <v>0</v>
      </c>
      <c r="U131" s="180">
        <f t="array" ref="U131">IF($G131=0, INDEX(LS_previous!$D$4:$AY$138, MATCH('Staging Table'!$A131, LS_previous!$B$4:$B$138, 0), MATCH(U$4&amp;U$5, LS_previous!$D$2:$AY$2&amp;LS_previous!$D$3:$AY$3, 0)),SUM(VLOOKUP($A131, LS_previous!$B$4:$AY$138, LS_previous!M$149, FALSE), VLOOKUP('Staging Table'!$A131, LS_previous!$B$4:$AY$138,LS_previous!AK$149, FALSE))/2)</f>
        <v>0</v>
      </c>
      <c r="V131" s="180">
        <f t="array" ref="V131">IF($G131=0, INDEX(LS_previous!$D$4:$AY$138, MATCH('Staging Table'!$A131, LS_previous!$B$4:$B$138, 0), MATCH(V$4&amp;V$5, LS_previous!$D$2:$AY$2&amp;LS_previous!$D$3:$AY$3, 0)),SUM(VLOOKUP($A131, LS_previous!$B$4:$AY$138, LS_previous!N$149, FALSE), VLOOKUP('Staging Table'!$A131, LS_previous!$B$4:$AY$138,LS_previous!AL$149, FALSE))/2)</f>
        <v>0</v>
      </c>
      <c r="W131" s="180">
        <f t="array" ref="W131">IF($G131=0, INDEX(LS_previous!$D$4:$AY$138, MATCH('Staging Table'!$A131, LS_previous!$B$4:$B$138, 0), MATCH(W$4&amp;W$5, LS_previous!$D$2:$AY$2&amp;LS_previous!$D$3:$AY$3, 0)),SUM(VLOOKUP($A131, LS_previous!$B$4:$AY$138, LS_previous!O$149, FALSE), VLOOKUP('Staging Table'!$A131, LS_previous!$B$4:$AY$138,LS_previous!AM$149, FALSE))/2)</f>
        <v>0</v>
      </c>
      <c r="X131" s="180">
        <f t="array" ref="X131">IF($G131=0, INDEX(LS_previous!$D$4:$AY$138, MATCH('Staging Table'!$A131, LS_previous!$B$4:$B$138, 0), MATCH(X$4&amp;X$5, LS_previous!$D$2:$AY$2&amp;LS_previous!$D$3:$AY$3, 0)),SUM(VLOOKUP($A131, LS_previous!$B$4:$AY$138, LS_previous!P$149, FALSE), VLOOKUP('Staging Table'!$A131, LS_previous!$B$4:$AY$138,LS_previous!AN$149, FALSE))/2)</f>
        <v>0</v>
      </c>
      <c r="Y131" s="180">
        <f t="array" ref="Y131">IF($G131=0, INDEX(LS_previous!$D$4:$AY$138, MATCH('Staging Table'!$A131, LS_previous!$B$4:$B$138, 0), MATCH(Y$4&amp;Y$5, LS_previous!$D$2:$AY$2&amp;LS_previous!$D$3:$AY$3, 0)),SUM(VLOOKUP($A131, LS_previous!$B$4:$AY$138, LS_previous!Q$149, FALSE), VLOOKUP('Staging Table'!$A131, LS_previous!$B$4:$AY$138,LS_previous!AO$149, FALSE))/2)</f>
        <v>0</v>
      </c>
      <c r="Z131" s="180">
        <f t="array" ref="Z131">IF($G131=0, INDEX(LS_previous!$D$4:$AY$138, MATCH('Staging Table'!$A131, LS_previous!$B$4:$B$138, 0), MATCH(Z$4&amp;Z$5, LS_previous!$D$2:$AY$2&amp;LS_previous!$D$3:$AY$3, 0)),SUM(VLOOKUP($A131, LS_previous!$B$4:$AY$138, LS_previous!R$149, FALSE), VLOOKUP('Staging Table'!$A131, LS_previous!$B$4:$AY$138,LS_previous!AP$149, FALSE))/2)</f>
        <v>0</v>
      </c>
      <c r="AA131" s="180">
        <f t="array" ref="AA131">IF($G131=0, INDEX(LS_previous!$D$4:$AY$138, MATCH('Staging Table'!$A131, LS_previous!$B$4:$B$138, 0), MATCH(AA$4&amp;AA$5, LS_previous!$D$2:$AY$2&amp;LS_previous!$D$3:$AY$3, 0)),SUM(VLOOKUP($A131, LS_previous!$B$4:$AY$138, LS_previous!S$149, FALSE), VLOOKUP('Staging Table'!$A131, LS_previous!$B$4:$AY$138,LS_previous!AQ$149, FALSE))/2)</f>
        <v>0</v>
      </c>
      <c r="AB131" s="180">
        <f t="array" ref="AB131">IF($G131=0, INDEX(LS_previous!$D$4:$AY$138, MATCH('Staging Table'!$A131, LS_previous!$B$4:$B$138, 0), MATCH(AB$4&amp;AB$5, LS_previous!$D$2:$AY$2&amp;LS_previous!$D$3:$AY$3, 0)),SUM(VLOOKUP($A131, LS_previous!$B$4:$AY$138, LS_previous!T$149, FALSE), VLOOKUP('Staging Table'!$A131, LS_previous!$B$4:$AY$138,LS_previous!AR$149, FALSE))/2)</f>
        <v>0</v>
      </c>
      <c r="AC131" s="180">
        <f t="array" ref="AC131">IF($G131=0, INDEX(LS_previous!$D$4:$AY$138, MATCH('Staging Table'!$A131, LS_previous!$B$4:$B$138, 0), MATCH(AC$4&amp;AC$5, LS_previous!$D$2:$AY$2&amp;LS_previous!$D$3:$AY$3, 0)),SUM(VLOOKUP($A131, LS_previous!$B$4:$AY$138, LS_previous!U$149, FALSE), VLOOKUP('Staging Table'!$A131, LS_previous!$B$4:$AY$138,LS_previous!AS$149, FALSE))/2)</f>
        <v>0</v>
      </c>
      <c r="AD131" s="180">
        <f t="array" ref="AD131">IF($G131=0, INDEX(LS_previous!$D$4:$AY$138, MATCH('Staging Table'!$A131, LS_previous!$B$4:$B$138, 0), MATCH(AD$4&amp;AD$5, LS_previous!$D$2:$AY$2&amp;LS_previous!$D$3:$AY$3, 0)),SUM(VLOOKUP($A131, LS_previous!$B$4:$AY$138, LS_previous!V$149, FALSE), VLOOKUP('Staging Table'!$A131, LS_previous!$B$4:$AY$138,LS_previous!AT$149, FALSE))/2)</f>
        <v>0</v>
      </c>
      <c r="AE131" s="180">
        <f t="array" ref="AE131">IF($G131=0, INDEX(LS_previous!$D$4:$AY$138, MATCH('Staging Table'!$A131, LS_previous!$B$4:$B$138, 0), MATCH(AE$4&amp;AE$5, LS_previous!$D$2:$AY$2&amp;LS_previous!$D$3:$AY$3, 0)),SUM(VLOOKUP($A131, LS_previous!$B$4:$AY$138, LS_previous!W$149, FALSE), VLOOKUP('Staging Table'!$A131, LS_previous!$B$4:$AY$138,LS_previous!AU$149, FALSE))/2)</f>
        <v>0</v>
      </c>
      <c r="AF131" s="180">
        <f t="array" ref="AF131">IF($G131=0, INDEX(LS_previous!$D$4:$AY$138, MATCH('Staging Table'!$A131, LS_previous!$B$4:$B$138, 0), MATCH(AF$4&amp;AF$5, LS_previous!$D$2:$AY$2&amp;LS_previous!$D$3:$AY$3, 0)),SUM(VLOOKUP($A131, LS_previous!$B$4:$AY$138, LS_previous!X$149, FALSE), VLOOKUP('Staging Table'!$A131, LS_previous!$B$4:$AY$138,LS_previous!AV$149, FALSE))/2)</f>
        <v>0</v>
      </c>
      <c r="AG131" s="180">
        <f t="array" ref="AG131">IF($G131=0, INDEX(LS_previous!$D$4:$AY$138, MATCH('Staging Table'!$A131, LS_previous!$B$4:$B$138, 0), MATCH(AG$4&amp;AG$5, LS_previous!$D$2:$AY$2&amp;LS_previous!$D$3:$AY$3, 0)),SUM(VLOOKUP($A131, LS_previous!$B$4:$AY$138, LS_previous!Y$149, FALSE), VLOOKUP('Staging Table'!$A131, LS_previous!$B$4:$AY$138,LS_previous!AW$149, FALSE))/2)</f>
        <v>0</v>
      </c>
      <c r="AH131" s="180">
        <f t="array" ref="AH131">IF($G131=0, INDEX(LS_previous!$D$4:$AY$138, MATCH('Staging Table'!$A131, LS_previous!$B$4:$B$138, 0), MATCH(AH$4&amp;AH$5, LS_previous!$D$2:$AY$2&amp;LS_previous!$D$3:$AY$3, 0)),SUM(VLOOKUP($A131, LS_previous!$B$4:$AY$138, LS_previous!Z$149, FALSE), VLOOKUP('Staging Table'!$A131, LS_previous!$B$4:$AY$138,LS_previous!AX$149, FALSE))/2)</f>
        <v>0</v>
      </c>
      <c r="AI131" s="180">
        <f t="array" ref="AI131">IF($G131=0, INDEX(LS_previous!$D$4:$AY$138, MATCH('Staging Table'!$A131, LS_previous!$B$4:$B$138, 0), MATCH(AI$4&amp;AI$5, LS_previous!$D$2:$AY$2&amp;LS_previous!$D$3:$AY$3, 0)),SUM(VLOOKUP($A131, LS_previous!$B$4:$AY$138, LS_previous!AA$149, FALSE), VLOOKUP('Staging Table'!$A131, LS_previous!$B$4:$AY$138,LS_previous!AY$149, FALSE))/2)</f>
        <v>0</v>
      </c>
      <c r="AJ131" s="298">
        <f t="array" ref="AJ131">INDEX(Demand_previous!$D$4:$AY$138, MATCH('Staging Table'!$A131, Demand_previous!$B$4:$B$138, 0), MATCH(AJ$4&amp;AJ$5,Demand_previous!$D$2:$AY$2&amp;Demand_previous!$D$3:$AY$3, 0))/1000</f>
        <v>0</v>
      </c>
      <c r="AK131" s="298">
        <f t="array" ref="AK131">INDEX(Demand_previous!$D$4:$AY$138, MATCH('Staging Table'!$A131, Demand_previous!$B$4:$B$138, 0), MATCH(AK$4&amp;AK$5,Demand_previous!$D$2:$AY$2&amp;Demand_previous!$D$3:$AY$3, 0))/1000</f>
        <v>0</v>
      </c>
      <c r="AL131" s="298">
        <f t="array" ref="AL131">INDEX(Demand_previous!$D$4:$AY$138, MATCH('Staging Table'!$A131, Demand_previous!$B$4:$B$138, 0), MATCH(AL$4&amp;AL$5,Demand_previous!$D$2:$AY$2&amp;Demand_previous!$D$3:$AY$3, 0))/1000</f>
        <v>0</v>
      </c>
      <c r="AM131" s="298">
        <f t="array" ref="AM131">INDEX(Demand_previous!$D$4:$AY$138, MATCH('Staging Table'!$A131, Demand_previous!$B$4:$B$138, 0), MATCH(AM$4&amp;AM$5,Demand_previous!$D$2:$AY$2&amp;Demand_previous!$D$3:$AY$3, 0))/1000</f>
        <v>0</v>
      </c>
      <c r="AN131" s="298">
        <f t="array" ref="AN131">INDEX(Demand_previous!$D$4:$AY$138, MATCH('Staging Table'!$A131, Demand_previous!$B$4:$B$138, 0), MATCH(AN$4&amp;AN$5,Demand_previous!$D$2:$AY$2&amp;Demand_previous!$D$3:$AY$3, 0))/1000</f>
        <v>0</v>
      </c>
      <c r="AO131" s="298">
        <f t="array" ref="AO131">INDEX(Demand_previous!$D$4:$AY$138, MATCH('Staging Table'!$A131, Demand_previous!$B$4:$B$138, 0), MATCH(AO$4&amp;AO$5,Demand_previous!$D$2:$AY$2&amp;Demand_previous!$D$3:$AY$3, 0))/1000</f>
        <v>0</v>
      </c>
      <c r="AP131" s="298">
        <f t="array" ref="AP131">INDEX(Demand_previous!$D$4:$AY$138, MATCH('Staging Table'!$A131, Demand_previous!$B$4:$B$138, 0), MATCH(AP$4&amp;AP$5,Demand_previous!$D$2:$AY$2&amp;Demand_previous!$D$3:$AY$3, 0))/1000</f>
        <v>0</v>
      </c>
      <c r="AQ131" s="298">
        <f t="array" ref="AQ131">INDEX(Demand_previous!$D$4:$AY$138, MATCH('Staging Table'!$A131, Demand_previous!$B$4:$B$138, 0), MATCH(AQ$4&amp;AQ$5,Demand_previous!$D$2:$AY$2&amp;Demand_previous!$D$3:$AY$3, 0))/1000</f>
        <v>0</v>
      </c>
      <c r="AR131" s="298">
        <f t="array" ref="AR131">INDEX(Demand_previous!$D$4:$AY$138, MATCH('Staging Table'!$A131, Demand_previous!$B$4:$B$138, 0), MATCH(AR$4&amp;AR$5,Demand_previous!$D$2:$AY$2&amp;Demand_previous!$D$3:$AY$3, 0))/1000</f>
        <v>0</v>
      </c>
      <c r="AS131" s="298">
        <f t="array" ref="AS131">INDEX(Demand_previous!$D$4:$AY$138, MATCH('Staging Table'!$A131, Demand_previous!$B$4:$B$138, 0), MATCH(AS$4&amp;AS$5,Demand_previous!$D$2:$AY$2&amp;Demand_previous!$D$3:$AY$3, 0))/1000</f>
        <v>0</v>
      </c>
      <c r="AT131" s="298">
        <f t="array" ref="AT131">INDEX(Demand_previous!$D$4:$AY$138, MATCH('Staging Table'!$A131, Demand_previous!$B$4:$B$138, 0), MATCH(AT$4&amp;AT$5,Demand_previous!$D$2:$AY$2&amp;Demand_previous!$D$3:$AY$3, 0))/1000</f>
        <v>0</v>
      </c>
      <c r="AU131" s="298">
        <f t="array" ref="AU131">INDEX(Demand_previous!$D$4:$AY$138, MATCH('Staging Table'!$A131, Demand_previous!$B$4:$B$138, 0), MATCH(AU$4&amp;AU$5,Demand_previous!$D$2:$AY$2&amp;Demand_previous!$D$3:$AY$3, 0))/1000</f>
        <v>0</v>
      </c>
      <c r="AV131" s="180">
        <f>$F131*(VLOOKUP(AV$4, Rates_previous!$G$6:$Q$29, 10, FALSE)+VLOOKUP(AV$4, Rates_previous!$G$6:$Q$29, 11, FALSE))</f>
        <v>5468.8078368942861</v>
      </c>
      <c r="AW131" s="180">
        <f>$F131*(VLOOKUP(AW$4, Rates_previous!$G$6:$Q$29, 10, FALSE)+VLOOKUP(AW$4, Rates_previous!$G$6:$Q$29, 11, FALSE))</f>
        <v>6923.7091982027796</v>
      </c>
      <c r="AX131" s="180">
        <f>$F131*(VLOOKUP(AX$4, Rates_previous!$G$6:$Q$29, 10, FALSE)+VLOOKUP(AX$4, Rates_previous!$G$6:$Q$29, 11, FALSE))</f>
        <v>6776.9280641517526</v>
      </c>
      <c r="AY131" s="180">
        <f>$F131*(VLOOKUP(AY$4, Rates_previous!$G$6:$Q$29, 10, FALSE)+VLOOKUP(AY$4, Rates_previous!$G$6:$Q$29, 11, FALSE))</f>
        <v>5597.4543931948565</v>
      </c>
      <c r="AZ131" s="180">
        <f>$F131*(VLOOKUP(AZ$4, Rates_previous!$G$6:$Q$29, 10, FALSE)+VLOOKUP(AZ$4, Rates_previous!$G$6:$Q$29, 11, FALSE))</f>
        <v>4851.4364024838515</v>
      </c>
      <c r="BA131" s="180">
        <f>$F131*(VLOOKUP(BA$4, Rates_previous!$G$6:$Q$29, 10, FALSE)+VLOOKUP(BA$4, Rates_previous!$G$6:$Q$29, 11, FALSE))</f>
        <v>5791.6353691520835</v>
      </c>
      <c r="BB131" s="180">
        <f>$F131*(VLOOKUP(BB$4, Rates_previous!$G$6:$Q$29, 10, FALSE)+VLOOKUP(BB$4, Rates_previous!$G$6:$Q$29, 11, FALSE))</f>
        <v>4496.4338301042599</v>
      </c>
      <c r="BC131" s="180">
        <f>$F131*(VLOOKUP(BC$4, Rates_previous!$G$6:$Q$29, 10, FALSE)+VLOOKUP(BC$4, Rates_previous!$G$6:$Q$29, 11, FALSE))</f>
        <v>6229.8421607946248</v>
      </c>
      <c r="BD131" s="180">
        <f>$F131*(VLOOKUP(BD$4, Rates_previous!$G$6:$Q$29, 10, FALSE)+VLOOKUP(BD$4, Rates_previous!$G$6:$Q$29, 11, FALSE))</f>
        <v>6656.7167964165119</v>
      </c>
      <c r="BE131" s="180">
        <f>$F131*(VLOOKUP(BE$4, Rates_previous!$G$6:$Q$29, 10, FALSE)+VLOOKUP(BE$4, Rates_previous!$G$6:$Q$29, 11, FALSE))</f>
        <v>6320.2511714186376</v>
      </c>
      <c r="BF131" s="180">
        <f>$F131*(VLOOKUP(BF$4, Rates_previous!$G$6:$Q$29, 10, FALSE)+VLOOKUP(BF$4, Rates_previous!$G$6:$Q$29, 11, FALSE))</f>
        <v>6108.0351751670851</v>
      </c>
      <c r="BG131" s="180">
        <f>$F131*(VLOOKUP(BG$4, Rates_previous!$G$6:$Q$29, 10, FALSE)+VLOOKUP(BG$4, Rates_previous!$G$6:$Q$29, 11, FALSE))</f>
        <v>5644.4612392874906</v>
      </c>
      <c r="BH131" s="298">
        <f>IF($D131=0,IF(C131=0, MAX(BJ131 - (VLOOKUP($A131,TOCA_previous!$A$2:$AI$137,MATCH("RHWM 2022",TOCA_previous!$A$2:$AI$2,0),FALSE)*$F$2*TOCA_previous!C128),0),0), 0)</f>
        <v>0</v>
      </c>
      <c r="BI131" s="192">
        <f>MIN(VLOOKUP($A131,TOCA_previous!$A$2:$AI$137,MATCH("TRL - NLSL - Existing Resource "&amp;$F$1,TOCA_previous!$A$2:$AI$2,0),FALSE)*$F$2,(VLOOKUP($A131,TOCA_previous!$A$2:$AI$137,MATCH("RHWM 2022",TOCA_previous!$A$2:$AI$2,0),FALSE)*$F$2))</f>
        <v>70868.399999999994</v>
      </c>
      <c r="BJ131" s="402">
        <f>SUM(L131:AI131)+(F131*RT1SC!$C$3*$F$2)</f>
        <v>70865.71526235601</v>
      </c>
      <c r="BK131" s="401">
        <f>VLOOKUP($A131,TOCA_previous!$A$2:$AI$137,MATCH("Above RHWM Not Served with LS "&amp;$F$1,TOCA_previous!$A$2:$AI$2,0),FALSE)*$F$2</f>
        <v>1454.16</v>
      </c>
      <c r="BL131" s="402">
        <f t="shared" si="27"/>
        <v>-2.6847376439836808</v>
      </c>
      <c r="BM131" s="401">
        <f>(VLOOKUP($A131,TOCA_previous!$A$2:$AI$137,MATCH("RHWM 2022",TOCA_previous!$A$2:$AI$2,0),FALSE)*$F$2) - $BI131</f>
        <v>0</v>
      </c>
      <c r="BN131" s="402">
        <f t="shared" si="28"/>
        <v>0</v>
      </c>
      <c r="BO131" s="401">
        <f t="shared" si="29"/>
        <v>0</v>
      </c>
      <c r="BP131" s="402">
        <f t="shared" si="30"/>
        <v>0</v>
      </c>
      <c r="BQ131" s="401">
        <f t="shared" si="37"/>
        <v>0</v>
      </c>
      <c r="BR131" s="108">
        <f>VLOOKUP($A131,TOCA_current!$A$2:$AI$137,MATCH(BR$4,TOCA_current!$A$2:$AI$2,0),FALSE)</f>
        <v>1.1666999999999999E-3</v>
      </c>
      <c r="BS131" s="108">
        <f>VLOOKUP($A131,TOCA_current!$A$2:$AI$137,MATCH(BS$4,TOCA_current!$A$2:$AI$2,0),FALSE)</f>
        <v>1.1666999999999999E-3</v>
      </c>
      <c r="BT131" s="189">
        <f t="shared" si="31"/>
        <v>0</v>
      </c>
      <c r="BU131" s="108">
        <f>VLOOKUP($A131,TOCA_current!A127:BG262,MATCH(BU$4,TOCA_current!$A$2:$BG$2,0),FALSE)</f>
        <v>7.0000000000000007E-2</v>
      </c>
      <c r="BV131" s="108">
        <f t="shared" si="38"/>
        <v>7.0000000000000007E-2</v>
      </c>
      <c r="BW131" s="108">
        <f t="shared" si="39"/>
        <v>1.1666999999999999E-3</v>
      </c>
      <c r="BX131" s="179">
        <f>VLOOKUP($A131,IRD!$A$4:$G$139, 7, FALSE)</f>
        <v>0</v>
      </c>
      <c r="BY131" s="180">
        <f t="array" ref="BY131">IF($BT131=0, INDEX(LS_current!$D$4:$AY$138, MATCH('Staging Table'!$A131, LS_current!$B$4:$B$138, 0), MATCH(BY$4&amp;BY$5, LS_current!$D$2:$AY$2&amp;LS_current!$D$3:$AY$3, 0)),SUM(VLOOKUP($A131, LS_current!$B$4:$AY$138, LS_current!D$148, FALSE), VLOOKUP($A131, LS_current!$B$4:$AY$138,LS_current!AB$148, FALSE))/2)</f>
        <v>0</v>
      </c>
      <c r="BZ131" s="180">
        <f t="array" ref="BZ131">IF($BT131=0, INDEX(LS_current!$D$4:$AY$138, MATCH('Staging Table'!$A131, LS_current!$B$4:$B$138, 0), MATCH(BZ$4&amp;BZ$5, LS_current!$D$2:$AY$2&amp;LS_current!$D$3:$AY$3, 0)),SUM(VLOOKUP($A131, LS_current!$B$4:$AY$138, LS_current!E$148, FALSE), VLOOKUP($A131, LS_current!$B$4:$AY$138,LS_current!AC$148, FALSE))/2)</f>
        <v>0</v>
      </c>
      <c r="CA131" s="180">
        <f t="array" ref="CA131">IF($BT131=0, INDEX(LS_current!$D$4:$AY$138, MATCH('Staging Table'!$A131, LS_current!$B$4:$B$138, 0), MATCH(CA$4&amp;CA$5, LS_current!$D$2:$AY$2&amp;LS_current!$D$3:$AY$3, 0)),SUM(VLOOKUP($A131, LS_current!$B$4:$AY$138, LS_current!F$148, FALSE), VLOOKUP($A131, LS_current!$B$4:$AY$138,LS_current!AD$148, FALSE))/2)</f>
        <v>0</v>
      </c>
      <c r="CB131" s="180">
        <f t="array" ref="CB131">IF($BT131=0, INDEX(LS_current!$D$4:$AY$138, MATCH('Staging Table'!$A131, LS_current!$B$4:$B$138, 0), MATCH(CB$4&amp;CB$5, LS_current!$D$2:$AY$2&amp;LS_current!$D$3:$AY$3, 0)),SUM(VLOOKUP($A131, LS_current!$B$4:$AY$138, LS_current!G$148, FALSE), VLOOKUP($A131, LS_current!$B$4:$AY$138,LS_current!AE$148, FALSE))/2)</f>
        <v>0</v>
      </c>
      <c r="CC131" s="180">
        <f t="array" ref="CC131">IF($BT131=0, INDEX(LS_current!$D$4:$AY$138, MATCH('Staging Table'!$A131, LS_current!$B$4:$B$138, 0), MATCH(CC$4&amp;CC$5, LS_current!$D$2:$AY$2&amp;LS_current!$D$3:$AY$3, 0)),SUM(VLOOKUP($A131, LS_current!$B$4:$AY$138, LS_current!H$148, FALSE), VLOOKUP($A131, LS_current!$B$4:$AY$138,LS_current!AF$148, FALSE))/2)</f>
        <v>0</v>
      </c>
      <c r="CD131" s="180">
        <f t="array" ref="CD131">IF($BT131=0, INDEX(LS_current!$D$4:$AY$138, MATCH('Staging Table'!$A131, LS_current!$B$4:$B$138, 0), MATCH(CD$4&amp;CD$5, LS_current!$D$2:$AY$2&amp;LS_current!$D$3:$AY$3, 0)),SUM(VLOOKUP($A131, LS_current!$B$4:$AY$138, LS_current!I$148, FALSE), VLOOKUP($A131, LS_current!$B$4:$AY$138,LS_current!AG$148, FALSE))/2)</f>
        <v>0</v>
      </c>
      <c r="CE131" s="180">
        <f t="array" ref="CE131">IF($BT131=0, INDEX(LS_current!$D$4:$AY$138, MATCH('Staging Table'!$A131, LS_current!$B$4:$B$138, 0), MATCH(CE$4&amp;CE$5, LS_current!$D$2:$AY$2&amp;LS_current!$D$3:$AY$3, 0)),SUM(VLOOKUP($A131, LS_current!$B$4:$AY$138, LS_current!J$148, FALSE), VLOOKUP($A131, LS_current!$B$4:$AY$138,LS_current!AH$148, FALSE))/2)</f>
        <v>0</v>
      </c>
      <c r="CF131" s="180">
        <f t="array" ref="CF131">IF($BT131=0, INDEX(LS_current!$D$4:$AY$138, MATCH('Staging Table'!$A131, LS_current!$B$4:$B$138, 0), MATCH(CF$4&amp;CF$5, LS_current!$D$2:$AY$2&amp;LS_current!$D$3:$AY$3, 0)),SUM(VLOOKUP($A131, LS_current!$B$4:$AY$138, LS_current!K$148, FALSE), VLOOKUP($A131, LS_current!$B$4:$AY$138,LS_current!AI$148, FALSE))/2)</f>
        <v>0</v>
      </c>
      <c r="CG131" s="180">
        <f t="array" ref="CG131">IF($BT131=0, INDEX(LS_current!$D$4:$AY$138, MATCH('Staging Table'!$A131, LS_current!$B$4:$B$138, 0), MATCH(CG$4&amp;CG$5, LS_current!$D$2:$AY$2&amp;LS_current!$D$3:$AY$3, 0)),SUM(VLOOKUP($A131, LS_current!$B$4:$AY$138, LS_current!L$148, FALSE), VLOOKUP($A131, LS_current!$B$4:$AY$138,LS_current!AJ$148, FALSE))/2)</f>
        <v>0</v>
      </c>
      <c r="CH131" s="180">
        <f t="array" ref="CH131">IF($BT131=0, INDEX(LS_current!$D$4:$AY$138, MATCH('Staging Table'!$A131, LS_current!$B$4:$B$138, 0), MATCH(CH$4&amp;CH$5, LS_current!$D$2:$AY$2&amp;LS_current!$D$3:$AY$3, 0)),SUM(VLOOKUP($A131, LS_current!$B$4:$AY$138, LS_current!M$148, FALSE), VLOOKUP($A131, LS_current!$B$4:$AY$138,LS_current!AK$148, FALSE))/2)</f>
        <v>0</v>
      </c>
      <c r="CI131" s="180">
        <f t="array" ref="CI131">IF($BT131=0, INDEX(LS_current!$D$4:$AY$138, MATCH('Staging Table'!$A131, LS_current!$B$4:$B$138, 0), MATCH(CI$4&amp;CI$5, LS_current!$D$2:$AY$2&amp;LS_current!$D$3:$AY$3, 0)),SUM(VLOOKUP($A131, LS_current!$B$4:$AY$138, LS_current!N$148, FALSE), VLOOKUP($A131, LS_current!$B$4:$AY$138,LS_current!AL$148, FALSE))/2)</f>
        <v>0</v>
      </c>
      <c r="CJ131" s="180">
        <f t="array" ref="CJ131">IF($BT131=0, INDEX(LS_current!$D$4:$AY$138, MATCH('Staging Table'!$A131, LS_current!$B$4:$B$138, 0), MATCH(CJ$4&amp;CJ$5, LS_current!$D$2:$AY$2&amp;LS_current!$D$3:$AY$3, 0)),SUM(VLOOKUP($A131, LS_current!$B$4:$AY$138, LS_current!O$148, FALSE), VLOOKUP($A131, LS_current!$B$4:$AY$138,LS_current!AM$148, FALSE))/2)</f>
        <v>0</v>
      </c>
      <c r="CK131" s="180">
        <f t="array" ref="CK131">IF($BT131=0, INDEX(LS_current!$D$4:$AY$138, MATCH('Staging Table'!$A131, LS_current!$B$4:$B$138, 0), MATCH(CK$4&amp;CK$5, LS_current!$D$2:$AY$2&amp;LS_current!$D$3:$AY$3, 0)),SUM(VLOOKUP($A131, LS_current!$B$4:$AY$138, LS_current!P$148, FALSE), VLOOKUP($A131, LS_current!$B$4:$AY$138,LS_current!AN$148, FALSE))/2)</f>
        <v>0</v>
      </c>
      <c r="CL131" s="180">
        <f t="array" ref="CL131">IF($BT131=0, INDEX(LS_current!$D$4:$AY$138, MATCH('Staging Table'!$A131, LS_current!$B$4:$B$138, 0), MATCH(CL$4&amp;CL$5, LS_current!$D$2:$AY$2&amp;LS_current!$D$3:$AY$3, 0)),SUM(VLOOKUP($A131, LS_current!$B$4:$AY$138, LS_current!Q$148, FALSE), VLOOKUP($A131, LS_current!$B$4:$AY$138,LS_current!AO$148, FALSE))/2)</f>
        <v>0</v>
      </c>
      <c r="CM131" s="180">
        <f t="array" ref="CM131">IF($BT131=0, INDEX(LS_current!$D$4:$AY$138, MATCH('Staging Table'!$A131, LS_current!$B$4:$B$138, 0), MATCH(CM$4&amp;CM$5, LS_current!$D$2:$AY$2&amp;LS_current!$D$3:$AY$3, 0)),SUM(VLOOKUP($A131, LS_current!$B$4:$AY$138, LS_current!R$148, FALSE), VLOOKUP($A131, LS_current!$B$4:$AY$138,LS_current!AP$148, FALSE))/2)</f>
        <v>0</v>
      </c>
      <c r="CN131" s="180">
        <f t="array" ref="CN131">IF($BT131=0, INDEX(LS_current!$D$4:$AY$138, MATCH('Staging Table'!$A131, LS_current!$B$4:$B$138, 0), MATCH(CN$4&amp;CN$5, LS_current!$D$2:$AY$2&amp;LS_current!$D$3:$AY$3, 0)),SUM(VLOOKUP($A131, LS_current!$B$4:$AY$138, LS_current!S$148, FALSE), VLOOKUP($A131, LS_current!$B$4:$AY$138,LS_current!AQ$148, FALSE))/2)</f>
        <v>0</v>
      </c>
      <c r="CO131" s="180">
        <f t="array" ref="CO131">IF($BT131=0, INDEX(LS_current!$D$4:$AY$138, MATCH('Staging Table'!$A131, LS_current!$B$4:$B$138, 0), MATCH(CO$4&amp;CO$5, LS_current!$D$2:$AY$2&amp;LS_current!$D$3:$AY$3, 0)),SUM(VLOOKUP($A131, LS_current!$B$4:$AY$138, LS_current!T$148, FALSE), VLOOKUP($A131, LS_current!$B$4:$AY$138,LS_current!AR$148, FALSE))/2)</f>
        <v>0</v>
      </c>
      <c r="CP131" s="180">
        <f t="array" ref="CP131">IF($BT131=0, INDEX(LS_current!$D$4:$AY$138, MATCH('Staging Table'!$A131, LS_current!$B$4:$B$138, 0), MATCH(CP$4&amp;CP$5, LS_current!$D$2:$AY$2&amp;LS_current!$D$3:$AY$3, 0)),SUM(VLOOKUP($A131, LS_current!$B$4:$AY$138, LS_current!U$148, FALSE), VLOOKUP($A131, LS_current!$B$4:$AY$138,LS_current!AS$148, FALSE))/2)</f>
        <v>0</v>
      </c>
      <c r="CQ131" s="180">
        <f t="array" ref="CQ131">IF($BT131=0, INDEX(LS_current!$D$4:$AY$138, MATCH('Staging Table'!$A131, LS_current!$B$4:$B$138, 0), MATCH(CQ$4&amp;CQ$5, LS_current!$D$2:$AY$2&amp;LS_current!$D$3:$AY$3, 0)),SUM(VLOOKUP($A131, LS_current!$B$4:$AY$138, LS_current!V$148, FALSE), VLOOKUP($A131, LS_current!$B$4:$AY$138,LS_current!AT$148, FALSE))/2)</f>
        <v>0</v>
      </c>
      <c r="CR131" s="180">
        <f t="array" ref="CR131">IF($BT131=0, INDEX(LS_current!$D$4:$AY$138, MATCH('Staging Table'!$A131, LS_current!$B$4:$B$138, 0), MATCH(CR$4&amp;CR$5, LS_current!$D$2:$AY$2&amp;LS_current!$D$3:$AY$3, 0)),SUM(VLOOKUP($A131, LS_current!$B$4:$AY$138, LS_current!W$148, FALSE), VLOOKUP($A131, LS_current!$B$4:$AY$138,LS_current!AU$148, FALSE))/2)</f>
        <v>0</v>
      </c>
      <c r="CS131" s="180">
        <f t="array" ref="CS131">IF($BT131=0, INDEX(LS_current!$D$4:$AY$138, MATCH('Staging Table'!$A131, LS_current!$B$4:$B$138, 0), MATCH(CS$4&amp;CS$5, LS_current!$D$2:$AY$2&amp;LS_current!$D$3:$AY$3, 0)),SUM(VLOOKUP($A131, LS_current!$B$4:$AY$138, LS_current!X$148, FALSE), VLOOKUP($A131, LS_current!$B$4:$AY$138,LS_current!AV$148, FALSE))/2)</f>
        <v>0</v>
      </c>
      <c r="CT131" s="180">
        <f t="array" ref="CT131">IF($BT131=0, INDEX(LS_current!$D$4:$AY$138, MATCH('Staging Table'!$A131, LS_current!$B$4:$B$138, 0), MATCH(CT$4&amp;CT$5, LS_current!$D$2:$AY$2&amp;LS_current!$D$3:$AY$3, 0)),SUM(VLOOKUP($A131, LS_current!$B$4:$AY$138, LS_current!Y$148, FALSE), VLOOKUP($A131, LS_current!$B$4:$AY$138,LS_current!AW$148, FALSE))/2)</f>
        <v>0</v>
      </c>
      <c r="CU131" s="180">
        <f t="array" ref="CU131">IF($BT131=0, INDEX(LS_current!$D$4:$AY$138, MATCH('Staging Table'!$A131, LS_current!$B$4:$B$138, 0), MATCH(CU$4&amp;CU$5, LS_current!$D$2:$AY$2&amp;LS_current!$D$3:$AY$3, 0)),SUM(VLOOKUP($A131, LS_current!$B$4:$AY$138, LS_current!Z$148, FALSE), VLOOKUP($A131, LS_current!$B$4:$AY$138,LS_current!AX$148, FALSE))/2)</f>
        <v>0</v>
      </c>
      <c r="CV131" s="180">
        <f t="array" ref="CV131">IF($BT131=0, INDEX(LS_current!$D$4:$AY$138, MATCH('Staging Table'!$A131, LS_current!$B$4:$B$138, 0), MATCH(CV$4&amp;CV$5, LS_current!$D$2:$AY$2&amp;LS_current!$D$3:$AY$3, 0)),SUM(VLOOKUP($A131, LS_current!$B$4:$AY$138, LS_current!AA$148, FALSE), VLOOKUP($A131, LS_current!$B$4:$AY$138,LS_current!AY$148, FALSE))/2)</f>
        <v>0</v>
      </c>
      <c r="CW131" s="182">
        <f t="array" ref="CW131">INDEX(Demand_current!$D$4:$AY$138, MATCH($A131, Demand_current!$B$4:$B$138, 0), MATCH(CW$4&amp;CW$5,Demand_current!$D$2:$AY$2&amp;Demand_current!$D$3:$AY$3, 0))/1000</f>
        <v>0</v>
      </c>
      <c r="CX131" s="182">
        <f t="array" ref="CX131">INDEX(Demand_current!$D$4:$AY$138, MATCH($A131, Demand_current!$B$4:$B$138, 0), MATCH(CX$4&amp;CX$5,Demand_current!$D$2:$AY$2&amp;Demand_current!$D$3:$AY$3, 0))/1000</f>
        <v>0</v>
      </c>
      <c r="CY131" s="182">
        <f t="array" ref="CY131">INDEX(Demand_current!$D$4:$AY$138, MATCH($A131, Demand_current!$B$4:$B$138, 0), MATCH(CY$4&amp;CY$5,Demand_current!$D$2:$AY$2&amp;Demand_current!$D$3:$AY$3, 0))/1000</f>
        <v>0</v>
      </c>
      <c r="CZ131" s="182">
        <f t="array" ref="CZ131">INDEX(Demand_current!$D$4:$AY$138, MATCH($A131, Demand_current!$B$4:$B$138, 0), MATCH(CZ$4&amp;CZ$5,Demand_current!$D$2:$AY$2&amp;Demand_current!$D$3:$AY$3, 0))/1000</f>
        <v>0</v>
      </c>
      <c r="DA131" s="182">
        <f t="array" ref="DA131">INDEX(Demand_current!$D$4:$AY$138, MATCH($A131, Demand_current!$B$4:$B$138, 0), MATCH(DA$4&amp;DA$5,Demand_current!$D$2:$AY$2&amp;Demand_current!$D$3:$AY$3, 0))/1000</f>
        <v>0</v>
      </c>
      <c r="DB131" s="182">
        <f t="array" ref="DB131">INDEX(Demand_current!$D$4:$AY$138, MATCH($A131, Demand_current!$B$4:$B$138, 0), MATCH(DB$4&amp;DB$5,Demand_current!$D$2:$AY$2&amp;Demand_current!$D$3:$AY$3, 0))/1000</f>
        <v>0</v>
      </c>
      <c r="DC131" s="182">
        <f t="array" ref="DC131">INDEX(Demand_current!$D$4:$AY$138, MATCH($A131, Demand_current!$B$4:$B$138, 0), MATCH(DC$4&amp;DC$5,Demand_current!$D$2:$AY$2&amp;Demand_current!$D$3:$AY$3, 0))/1000</f>
        <v>0</v>
      </c>
      <c r="DD131" s="182">
        <f t="array" ref="DD131">INDEX(Demand_current!$D$4:$AY$138, MATCH($A131, Demand_current!$B$4:$B$138, 0), MATCH(DD$4&amp;DD$5,Demand_current!$D$2:$AY$2&amp;Demand_current!$D$3:$AY$3, 0))/1000</f>
        <v>0</v>
      </c>
      <c r="DE131" s="182">
        <f t="array" ref="DE131">INDEX(Demand_current!$D$4:$AY$138, MATCH($A131, Demand_current!$B$4:$B$138, 0), MATCH(DE$4&amp;DE$5,Demand_current!$D$2:$AY$2&amp;Demand_current!$D$3:$AY$3, 0))/1000</f>
        <v>0</v>
      </c>
      <c r="DF131" s="182">
        <f t="array" ref="DF131">INDEX(Demand_current!$D$4:$AY$138, MATCH($A131, Demand_current!$B$4:$B$138, 0), MATCH(DF$4&amp;DF$5,Demand_current!$D$2:$AY$2&amp;Demand_current!$D$3:$AY$3, 0))/1000</f>
        <v>0</v>
      </c>
      <c r="DG131" s="182">
        <f t="array" ref="DG131">INDEX(Demand_current!$D$4:$AY$138, MATCH($A131, Demand_current!$B$4:$B$138, 0), MATCH(DG$4&amp;DG$5,Demand_current!$D$2:$AY$2&amp;Demand_current!$D$3:$AY$3, 0))/1000</f>
        <v>0</v>
      </c>
      <c r="DH131" s="182">
        <f t="array" ref="DH131">INDEX(Demand_current!$D$4:$AY$138, MATCH($A131, Demand_current!$B$4:$B$138, 0), MATCH(DH$4&amp;DH$5,Demand_current!$D$2:$AY$2&amp;Demand_current!$D$3:$AY$3, 0))/1000</f>
        <v>0</v>
      </c>
      <c r="DI131" s="180">
        <f>$BS131*(VLOOKUP(DI$4, Rates_current!$G$6:$Q$29, 10, FALSE)+VLOOKUP(DI$4, Rates_current!$G$6:$Q$29, 11, FALSE))</f>
        <v>4922.0783485420498</v>
      </c>
      <c r="DJ131" s="180">
        <f>$BS131*(VLOOKUP(DJ$4, Rates_current!$G$6:$Q$29, 10, FALSE)+VLOOKUP(DJ$4, Rates_current!$G$6:$Q$29, 11, FALSE))</f>
        <v>6277.2729643653001</v>
      </c>
      <c r="DK131" s="180">
        <f>$BS131*(VLOOKUP(DK$4, Rates_current!$G$6:$Q$29, 10, FALSE)+VLOOKUP(DK$4, Rates_current!$G$6:$Q$29, 11, FALSE))</f>
        <v>6774.4195568144996</v>
      </c>
      <c r="DL131" s="180">
        <f>$BS131*(VLOOKUP(DL$4, Rates_current!$G$6:$Q$29, 10, FALSE)+VLOOKUP(DL$4, Rates_current!$G$6:$Q$29, 11, FALSE))</f>
        <v>7039.6691623247989</v>
      </c>
      <c r="DM131" s="180">
        <f>$BS131*(VLOOKUP(DM$4, Rates_current!$G$6:$Q$29, 10, FALSE)+VLOOKUP(DM$4, Rates_current!$G$6:$Q$29, 11, FALSE))</f>
        <v>6055.0538075945988</v>
      </c>
      <c r="DN131" s="180">
        <f>$BS131*(VLOOKUP(DN$4, Rates_current!$G$6:$Q$29, 10, FALSE)+VLOOKUP(DN$4, Rates_current!$G$6:$Q$29, 11, FALSE))</f>
        <v>6610.919917529699</v>
      </c>
      <c r="DO131" s="180">
        <f>$BS131*(VLOOKUP(DO$4, Rates_current!$G$6:$Q$29, 10, FALSE)+VLOOKUP(DO$4, Rates_current!$G$6:$Q$29, 11, FALSE))</f>
        <v>5218.2071998329739</v>
      </c>
      <c r="DP131" s="180">
        <f>$BS131*(VLOOKUP(DP$4, Rates_current!$G$6:$Q$29, 10, FALSE)+VLOOKUP(DP$4, Rates_current!$G$6:$Q$29, 11, FALSE))</f>
        <v>6473.8853037835497</v>
      </c>
      <c r="DQ131" s="180">
        <f>$BS131*(VLOOKUP(DQ$4, Rates_current!$G$6:$Q$29, 10, FALSE)+VLOOKUP(DQ$4, Rates_current!$G$6:$Q$29, 11, FALSE))</f>
        <v>6614.3524533493492</v>
      </c>
      <c r="DR131" s="180">
        <f>$BS131*(VLOOKUP(DR$4, Rates_current!$G$6:$Q$29, 10, FALSE)+VLOOKUP(DR$4, Rates_current!$G$6:$Q$29, 11, FALSE))</f>
        <v>5742.2108485630497</v>
      </c>
      <c r="DS131" s="180">
        <f>$BS131*(VLOOKUP(DS$4, Rates_current!$G$6:$Q$29, 10, FALSE)+VLOOKUP(DS$4, Rates_current!$G$6:$Q$29, 11, FALSE))</f>
        <v>5551.1915608500449</v>
      </c>
      <c r="DT131" s="180">
        <f>$BS131*(VLOOKUP(DT$4, Rates_current!$G$6:$Q$29, 10, FALSE)+VLOOKUP(DT$4, Rates_current!$G$6:$Q$29, 11, FALSE))</f>
        <v>5108.1712179125998</v>
      </c>
      <c r="DU131" s="402">
        <f>IF(D131=0,IF(C131=0,MAX(0,DW131 - (VLOOKUP($A131,TOCA_current!$A$2:$AI$137,MATCH("RHWM 2024",TOCA_current!$A$2:$AI$2,0),FALSE)*$BS$2)), 0),0)</f>
        <v>0</v>
      </c>
      <c r="DV131" s="403">
        <f>MIN(VLOOKUP($A131,TOCA_current!$A$2:$AI$137,MATCH("TRL - NLSL - Existing Resource "&amp;$BS$1,TOCA_current!$A$2:$AI$2,0),FALSE)*$BS$2, VLOOKUP($A131,TOCA_current!$A$2:$AI$137,MATCH("RHWM 2024",TOCA_current!$A$2:$AI$2,0),FALSE)*$BS$2)</f>
        <v>72388.944000000003</v>
      </c>
      <c r="DW131" s="403">
        <f>SUM(BY131:CV131)+(BS131*RT1SC!$C$4*$BS$2)</f>
        <v>72387.432673271993</v>
      </c>
      <c r="DX131" s="403">
        <f>VLOOKUP($A131,TOCA_current!$A$2:$AI$137,MATCH("Above RHWM Not Served with LS "&amp;$BS$1,TOCA_current!$A$2:$AI$2,0),FALSE)*$BS$2</f>
        <v>0</v>
      </c>
      <c r="DY131" s="403">
        <f t="shared" si="32"/>
        <v>-1.5113267280103173</v>
      </c>
      <c r="DZ131" s="403">
        <f>(VLOOKUP($A131,TOCA_current!$A$2:$AI$137,MATCH("RHWM 2024",TOCA_current!$A$2:$AI$2,0),FALSE)*$BS$2) - $DV131</f>
        <v>2108.1599999999889</v>
      </c>
      <c r="EA131" s="403">
        <f t="shared" si="33"/>
        <v>0</v>
      </c>
      <c r="EB131" s="403">
        <f t="shared" si="34"/>
        <v>1.5113267280103173</v>
      </c>
      <c r="EC131" s="403">
        <f t="shared" si="35"/>
        <v>0</v>
      </c>
      <c r="ED131" s="403">
        <f t="shared" si="36"/>
        <v>1.5113267280103173</v>
      </c>
    </row>
    <row r="132" spans="1:134">
      <c r="A132" s="123">
        <v>10451</v>
      </c>
      <c r="B132" s="124" t="s">
        <v>133</v>
      </c>
      <c r="C132" s="232">
        <f>VLOOKUP(A132, TOCA_current!$A$3:$D$137, 4, FALSE)</f>
        <v>0</v>
      </c>
      <c r="D132" s="191">
        <v>0</v>
      </c>
      <c r="E132" s="107">
        <f>VLOOKUP($A132,TOCA_previous!$A$2:$AI$137,MATCH(E$4,TOCA_previous!$A$2:$AI$2,0),FALSE)</f>
        <v>3.7997E-3</v>
      </c>
      <c r="F132" s="108">
        <f>VLOOKUP($A132,TOCA_previous!$A$2:$AI$137,MATCH(F$4,TOCA_previous!$A$2:$AI$2,0),FALSE)</f>
        <v>3.7997E-3</v>
      </c>
      <c r="G132" s="108">
        <f t="shared" si="24"/>
        <v>0</v>
      </c>
      <c r="H132" s="108">
        <f>VLOOKUP($A132,TOCA_previous!$A$2:$AI$137,MATCH(H$4,TOCA_previous!$A$2:$AI$2,0),FALSE)</f>
        <v>0</v>
      </c>
      <c r="I132" s="108">
        <f t="shared" si="25"/>
        <v>0</v>
      </c>
      <c r="J132" s="108">
        <f t="shared" si="26"/>
        <v>0</v>
      </c>
      <c r="K132" s="179">
        <f>VLOOKUP(A132, IRD!$A$5:$C$139, 3, FALSE)</f>
        <v>0</v>
      </c>
      <c r="L132" s="180">
        <f t="array" ref="L132">IF($G132=0, INDEX(LS_previous!$D$4:$AY$138, MATCH('Staging Table'!$A132, LS_previous!$B$4:$B$138, 0), MATCH(L$4&amp;L$5, LS_previous!$D$2:$AY$2&amp;LS_previous!$D$3:$AY$3, 0)),SUM(VLOOKUP($A132, LS_previous!$B$4:$AY$138, LS_previous!D$149, FALSE), VLOOKUP('Staging Table'!$A132, LS_previous!$B$4:$AY$138,LS_previous!AB$149, FALSE))/2)</f>
        <v>-672.45476815553775</v>
      </c>
      <c r="M132" s="180">
        <f t="array" ref="M132">IF($G132=0, INDEX(LS_previous!$D$4:$AY$138, MATCH('Staging Table'!$A132, LS_previous!$B$4:$B$138, 0), MATCH(M$4&amp;M$5, LS_previous!$D$2:$AY$2&amp;LS_previous!$D$3:$AY$3, 0)),SUM(VLOOKUP($A132, LS_previous!$B$4:$AY$138, LS_previous!E$149, FALSE), VLOOKUP('Staging Table'!$A132, LS_previous!$B$4:$AY$138,LS_previous!AC$149, FALSE))/2)</f>
        <v>1971.4711465823684</v>
      </c>
      <c r="N132" s="180">
        <f t="array" ref="N132">IF($G132=0, INDEX(LS_previous!$D$4:$AY$138, MATCH('Staging Table'!$A132, LS_previous!$B$4:$B$138, 0), MATCH(N$4&amp;N$5, LS_previous!$D$2:$AY$2&amp;LS_previous!$D$3:$AY$3, 0)),SUM(VLOOKUP($A132, LS_previous!$B$4:$AY$138, LS_previous!F$149, FALSE), VLOOKUP('Staging Table'!$A132, LS_previous!$B$4:$AY$138,LS_previous!AD$149, FALSE))/2)</f>
        <v>-3272.4822645597342</v>
      </c>
      <c r="O132" s="180">
        <f t="array" ref="O132">IF($G132=0, INDEX(LS_previous!$D$4:$AY$138, MATCH('Staging Table'!$A132, LS_previous!$B$4:$B$138, 0), MATCH(O$4&amp;O$5, LS_previous!$D$2:$AY$2&amp;LS_previous!$D$3:$AY$3, 0)),SUM(VLOOKUP($A132, LS_previous!$B$4:$AY$138, LS_previous!G$149, FALSE), VLOOKUP('Staging Table'!$A132, LS_previous!$B$4:$AY$138,LS_previous!AE$149, FALSE))/2)</f>
        <v>-371.23974727397217</v>
      </c>
      <c r="P132" s="180">
        <f t="array" ref="P132">IF($G132=0, INDEX(LS_previous!$D$4:$AY$138, MATCH('Staging Table'!$A132, LS_previous!$B$4:$B$138, 0), MATCH(P$4&amp;P$5, LS_previous!$D$2:$AY$2&amp;LS_previous!$D$3:$AY$3, 0)),SUM(VLOOKUP($A132, LS_previous!$B$4:$AY$138, LS_previous!H$149, FALSE), VLOOKUP('Staging Table'!$A132, LS_previous!$B$4:$AY$138,LS_previous!AF$149, FALSE))/2)</f>
        <v>-2319.4952337575978</v>
      </c>
      <c r="Q132" s="180">
        <f t="array" ref="Q132">IF($G132=0, INDEX(LS_previous!$D$4:$AY$138, MATCH('Staging Table'!$A132, LS_previous!$B$4:$B$138, 0), MATCH(Q$4&amp;Q$5, LS_previous!$D$2:$AY$2&amp;LS_previous!$D$3:$AY$3, 0)),SUM(VLOOKUP($A132, LS_previous!$B$4:$AY$138, LS_previous!I$149, FALSE), VLOOKUP('Staging Table'!$A132, LS_previous!$B$4:$AY$138,LS_previous!AG$149, FALSE))/2)</f>
        <v>-666.28286529928664</v>
      </c>
      <c r="R132" s="180">
        <f t="array" ref="R132">IF($G132=0, INDEX(LS_previous!$D$4:$AY$138, MATCH('Staging Table'!$A132, LS_previous!$B$4:$B$138, 0), MATCH(R$4&amp;R$5, LS_previous!$D$2:$AY$2&amp;LS_previous!$D$3:$AY$3, 0)),SUM(VLOOKUP($A132, LS_previous!$B$4:$AY$138, LS_previous!J$149, FALSE), VLOOKUP('Staging Table'!$A132, LS_previous!$B$4:$AY$138,LS_previous!AH$149, FALSE))/2)</f>
        <v>586.56251814806092</v>
      </c>
      <c r="S132" s="180">
        <f t="array" ref="S132">IF($G132=0, INDEX(LS_previous!$D$4:$AY$138, MATCH('Staging Table'!$A132, LS_previous!$B$4:$B$138, 0), MATCH(S$4&amp;S$5, LS_previous!$D$2:$AY$2&amp;LS_previous!$D$3:$AY$3, 0)),SUM(VLOOKUP($A132, LS_previous!$B$4:$AY$138, LS_previous!K$149, FALSE), VLOOKUP('Staging Table'!$A132, LS_previous!$B$4:$AY$138,LS_previous!AI$149, FALSE))/2)</f>
        <v>649.03054278749187</v>
      </c>
      <c r="T132" s="180">
        <f t="array" ref="T132">IF($G132=0, INDEX(LS_previous!$D$4:$AY$138, MATCH('Staging Table'!$A132, LS_previous!$B$4:$B$138, 0), MATCH(T$4&amp;T$5, LS_previous!$D$2:$AY$2&amp;LS_previous!$D$3:$AY$3, 0)),SUM(VLOOKUP($A132, LS_previous!$B$4:$AY$138, LS_previous!L$149, FALSE), VLOOKUP('Staging Table'!$A132, LS_previous!$B$4:$AY$138,LS_previous!AJ$149, FALSE))/2)</f>
        <v>1303.0235447171017</v>
      </c>
      <c r="U132" s="180">
        <f t="array" ref="U132">IF($G132=0, INDEX(LS_previous!$D$4:$AY$138, MATCH('Staging Table'!$A132, LS_previous!$B$4:$B$138, 0), MATCH(U$4&amp;U$5, LS_previous!$D$2:$AY$2&amp;LS_previous!$D$3:$AY$3, 0)),SUM(VLOOKUP($A132, LS_previous!$B$4:$AY$138, LS_previous!M$149, FALSE), VLOOKUP('Staging Table'!$A132, LS_previous!$B$4:$AY$138,LS_previous!AK$149, FALSE))/2)</f>
        <v>1055.750990533219</v>
      </c>
      <c r="V132" s="180">
        <f t="array" ref="V132">IF($G132=0, INDEX(LS_previous!$D$4:$AY$138, MATCH('Staging Table'!$A132, LS_previous!$B$4:$B$138, 0), MATCH(V$4&amp;V$5, LS_previous!$D$2:$AY$2&amp;LS_previous!$D$3:$AY$3, 0)),SUM(VLOOKUP($A132, LS_previous!$B$4:$AY$138, LS_previous!N$149, FALSE), VLOOKUP('Staging Table'!$A132, LS_previous!$B$4:$AY$138,LS_previous!AL$149, FALSE))/2)</f>
        <v>-665.8646032083052</v>
      </c>
      <c r="W132" s="180">
        <f t="array" ref="W132">IF($G132=0, INDEX(LS_previous!$D$4:$AY$138, MATCH('Staging Table'!$A132, LS_previous!$B$4:$B$138, 0), MATCH(W$4&amp;W$5, LS_previous!$D$2:$AY$2&amp;LS_previous!$D$3:$AY$3, 0)),SUM(VLOOKUP($A132, LS_previous!$B$4:$AY$138, LS_previous!O$149, FALSE), VLOOKUP('Staging Table'!$A132, LS_previous!$B$4:$AY$138,LS_previous!AM$149, FALSE))/2)</f>
        <v>1219.9315833339024</v>
      </c>
      <c r="X132" s="180">
        <f t="array" ref="X132">IF($G132=0, INDEX(LS_previous!$D$4:$AY$138, MATCH('Staging Table'!$A132, LS_previous!$B$4:$B$138, 0), MATCH(X$4&amp;X$5, LS_previous!$D$2:$AY$2&amp;LS_previous!$D$3:$AY$3, 0)),SUM(VLOOKUP($A132, LS_previous!$B$4:$AY$138, LS_previous!P$149, FALSE), VLOOKUP('Staging Table'!$A132, LS_previous!$B$4:$AY$138,LS_previous!AN$149, FALSE))/2)</f>
        <v>1704.4333905460535</v>
      </c>
      <c r="Y132" s="180">
        <f t="array" ref="Y132">IF($G132=0, INDEX(LS_previous!$D$4:$AY$138, MATCH('Staging Table'!$A132, LS_previous!$B$4:$B$138, 0), MATCH(Y$4&amp;Y$5, LS_previous!$D$2:$AY$2&amp;LS_previous!$D$3:$AY$3, 0)),SUM(VLOOKUP($A132, LS_previous!$B$4:$AY$138, LS_previous!Q$149, FALSE), VLOOKUP('Staging Table'!$A132, LS_previous!$B$4:$AY$138,LS_previous!AO$149, FALSE))/2)</f>
        <v>2169.0597738746656</v>
      </c>
      <c r="Z132" s="180">
        <f t="array" ref="Z132">IF($G132=0, INDEX(LS_previous!$D$4:$AY$138, MATCH('Staging Table'!$A132, LS_previous!$B$4:$B$138, 0), MATCH(Z$4&amp;Z$5, LS_previous!$D$2:$AY$2&amp;LS_previous!$D$3:$AY$3, 0)),SUM(VLOOKUP($A132, LS_previous!$B$4:$AY$138, LS_previous!R$149, FALSE), VLOOKUP('Staging Table'!$A132, LS_previous!$B$4:$AY$138,LS_previous!AP$149, FALSE))/2)</f>
        <v>-2899.5900487898598</v>
      </c>
      <c r="AA132" s="180">
        <f t="array" ref="AA132">IF($G132=0, INDEX(LS_previous!$D$4:$AY$138, MATCH('Staging Table'!$A132, LS_previous!$B$4:$B$138, 0), MATCH(AA$4&amp;AA$5, LS_previous!$D$2:$AY$2&amp;LS_previous!$D$3:$AY$3, 0)),SUM(VLOOKUP($A132, LS_previous!$B$4:$AY$138, LS_previous!S$149, FALSE), VLOOKUP('Staging Table'!$A132, LS_previous!$B$4:$AY$138,LS_previous!AQ$149, FALSE))/2)</f>
        <v>1659.6266194690688</v>
      </c>
      <c r="AB132" s="180">
        <f t="array" ref="AB132">IF($G132=0, INDEX(LS_previous!$D$4:$AY$138, MATCH('Staging Table'!$A132, LS_previous!$B$4:$B$138, 0), MATCH(AB$4&amp;AB$5, LS_previous!$D$2:$AY$2&amp;LS_previous!$D$3:$AY$3, 0)),SUM(VLOOKUP($A132, LS_previous!$B$4:$AY$138, LS_previous!T$149, FALSE), VLOOKUP('Staging Table'!$A132, LS_previous!$B$4:$AY$138,LS_previous!AR$149, FALSE))/2)</f>
        <v>-5159.0331892259255</v>
      </c>
      <c r="AC132" s="180">
        <f t="array" ref="AC132">IF($G132=0, INDEX(LS_previous!$D$4:$AY$138, MATCH('Staging Table'!$A132, LS_previous!$B$4:$B$138, 0), MATCH(AC$4&amp;AC$5, LS_previous!$D$2:$AY$2&amp;LS_previous!$D$3:$AY$3, 0)),SUM(VLOOKUP($A132, LS_previous!$B$4:$AY$138, LS_previous!U$149, FALSE), VLOOKUP('Staging Table'!$A132, LS_previous!$B$4:$AY$138,LS_previous!AS$149, FALSE))/2)</f>
        <v>1844.5697865747279</v>
      </c>
      <c r="AD132" s="180">
        <f t="array" ref="AD132">IF($G132=0, INDEX(LS_previous!$D$4:$AY$138, MATCH('Staging Table'!$A132, LS_previous!$B$4:$B$138, 0), MATCH(AD$4&amp;AD$5, LS_previous!$D$2:$AY$2&amp;LS_previous!$D$3:$AY$3, 0)),SUM(VLOOKUP($A132, LS_previous!$B$4:$AY$138, LS_previous!V$149, FALSE), VLOOKUP('Staging Table'!$A132, LS_previous!$B$4:$AY$138,LS_previous!AT$149, FALSE))/2)</f>
        <v>-5486.6887765204747</v>
      </c>
      <c r="AE132" s="180">
        <f t="array" ref="AE132">IF($G132=0, INDEX(LS_previous!$D$4:$AY$138, MATCH('Staging Table'!$A132, LS_previous!$B$4:$B$138, 0), MATCH(AE$4&amp;AE$5, LS_previous!$D$2:$AY$2&amp;LS_previous!$D$3:$AY$3, 0)),SUM(VLOOKUP($A132, LS_previous!$B$4:$AY$138, LS_previous!W$149, FALSE), VLOOKUP('Staging Table'!$A132, LS_previous!$B$4:$AY$138,LS_previous!AU$149, FALSE))/2)</f>
        <v>-631.82170731614588</v>
      </c>
      <c r="AF132" s="180">
        <f t="array" ref="AF132">IF($G132=0, INDEX(LS_previous!$D$4:$AY$138, MATCH('Staging Table'!$A132, LS_previous!$B$4:$B$138, 0), MATCH(AF$4&amp;AF$5, LS_previous!$D$2:$AY$2&amp;LS_previous!$D$3:$AY$3, 0)),SUM(VLOOKUP($A132, LS_previous!$B$4:$AY$138, LS_previous!X$149, FALSE), VLOOKUP('Staging Table'!$A132, LS_previous!$B$4:$AY$138,LS_previous!AV$149, FALSE))/2)</f>
        <v>-1759.1962062929906</v>
      </c>
      <c r="AG132" s="180">
        <f t="array" ref="AG132">IF($G132=0, INDEX(LS_previous!$D$4:$AY$138, MATCH('Staging Table'!$A132, LS_previous!$B$4:$B$138, 0), MATCH(AG$4&amp;AG$5, LS_previous!$D$2:$AY$2&amp;LS_previous!$D$3:$AY$3, 0)),SUM(VLOOKUP($A132, LS_previous!$B$4:$AY$138, LS_previous!Y$149, FALSE), VLOOKUP('Staging Table'!$A132, LS_previous!$B$4:$AY$138,LS_previous!AW$149, FALSE))/2)</f>
        <v>1699.4703944165885</v>
      </c>
      <c r="AH132" s="180">
        <f t="array" ref="AH132">IF($G132=0, INDEX(LS_previous!$D$4:$AY$138, MATCH('Staging Table'!$A132, LS_previous!$B$4:$B$138, 0), MATCH(AH$4&amp;AH$5, LS_previous!$D$2:$AY$2&amp;LS_previous!$D$3:$AY$3, 0)),SUM(VLOOKUP($A132, LS_previous!$B$4:$AY$138, LS_previous!Z$149, FALSE), VLOOKUP('Staging Table'!$A132, LS_previous!$B$4:$AY$138,LS_previous!AX$149, FALSE))/2)</f>
        <v>-1848.3100708677666</v>
      </c>
      <c r="AI132" s="180">
        <f t="array" ref="AI132">IF($G132=0, INDEX(LS_previous!$D$4:$AY$138, MATCH('Staging Table'!$A132, LS_previous!$B$4:$B$138, 0), MATCH(AI$4&amp;AI$5, LS_previous!$D$2:$AY$2&amp;LS_previous!$D$3:$AY$3, 0)),SUM(VLOOKUP($A132, LS_previous!$B$4:$AY$138, LS_previous!AA$149, FALSE), VLOOKUP('Staging Table'!$A132, LS_previous!$B$4:$AY$138,LS_previous!AY$149, FALSE))/2)</f>
        <v>1926.3184196722641</v>
      </c>
      <c r="AJ132" s="298">
        <f t="array" ref="AJ132">INDEX(Demand_previous!$D$4:$AY$138, MATCH('Staging Table'!$A132, Demand_previous!$B$4:$B$138, 0), MATCH(AJ$4&amp;AJ$5,Demand_previous!$D$2:$AY$2&amp;Demand_previous!$D$3:$AY$3, 0))/1000</f>
        <v>2.9782884615384617</v>
      </c>
      <c r="AK132" s="298">
        <f t="array" ref="AK132">INDEX(Demand_previous!$D$4:$AY$138, MATCH('Staging Table'!$A132, Demand_previous!$B$4:$B$138, 0), MATCH(AK$4&amp;AK$5,Demand_previous!$D$2:$AY$2&amp;Demand_previous!$D$3:$AY$3, 0))/1000</f>
        <v>3.0893799999999985</v>
      </c>
      <c r="AL132" s="298">
        <f t="array" ref="AL132">INDEX(Demand_previous!$D$4:$AY$138, MATCH('Staging Table'!$A132, Demand_previous!$B$4:$B$138, 0), MATCH(AL$4&amp;AL$5,Demand_previous!$D$2:$AY$2&amp;Demand_previous!$D$3:$AY$3, 0))/1000</f>
        <v>4.2911971153846196</v>
      </c>
      <c r="AM132" s="298">
        <f t="array" ref="AM132">INDEX(Demand_previous!$D$4:$AY$138, MATCH('Staging Table'!$A132, Demand_previous!$B$4:$B$138, 0), MATCH(AM$4&amp;AM$5,Demand_previous!$D$2:$AY$2&amp;Demand_previous!$D$3:$AY$3, 0))/1000</f>
        <v>1.6325750000000028</v>
      </c>
      <c r="AN132" s="298">
        <f t="array" ref="AN132">INDEX(Demand_previous!$D$4:$AY$138, MATCH('Staging Table'!$A132, Demand_previous!$B$4:$B$138, 0), MATCH(AN$4&amp;AN$5,Demand_previous!$D$2:$AY$2&amp;Demand_previous!$D$3:$AY$3, 0))/1000</f>
        <v>0</v>
      </c>
      <c r="AO132" s="298">
        <f t="array" ref="AO132">INDEX(Demand_previous!$D$4:$AY$138, MATCH('Staging Table'!$A132, Demand_previous!$B$4:$B$138, 0), MATCH(AO$4&amp;AO$5,Demand_previous!$D$2:$AY$2&amp;Demand_previous!$D$3:$AY$3, 0))/1000</f>
        <v>0.76819444444444107</v>
      </c>
      <c r="AP132" s="298">
        <f t="array" ref="AP132">INDEX(Demand_previous!$D$4:$AY$138, MATCH('Staging Table'!$A132, Demand_previous!$B$4:$B$138, 0), MATCH(AP$4&amp;AP$5,Demand_previous!$D$2:$AY$2&amp;Demand_previous!$D$3:$AY$3, 0))/1000</f>
        <v>2.805045673076922</v>
      </c>
      <c r="AQ132" s="298">
        <f t="array" ref="AQ132">INDEX(Demand_previous!$D$4:$AY$138, MATCH('Staging Table'!$A132, Demand_previous!$B$4:$B$138, 0), MATCH(AQ$4&amp;AQ$5,Demand_previous!$D$2:$AY$2&amp;Demand_previous!$D$3:$AY$3, 0))/1000</f>
        <v>1.631354999999999</v>
      </c>
      <c r="AR132" s="298">
        <f t="array" ref="AR132">INDEX(Demand_previous!$D$4:$AY$138, MATCH('Staging Table'!$A132, Demand_previous!$B$4:$B$138, 0), MATCH(AR$4&amp;AR$5,Demand_previous!$D$2:$AY$2&amp;Demand_previous!$D$3:$AY$3, 0))/1000</f>
        <v>4.3248509615384592</v>
      </c>
      <c r="AS132" s="298">
        <f t="array" ref="AS132">INDEX(Demand_previous!$D$4:$AY$138, MATCH('Staging Table'!$A132, Demand_previous!$B$4:$B$138, 0), MATCH(AS$4&amp;AS$5,Demand_previous!$D$2:$AY$2&amp;Demand_previous!$D$3:$AY$3, 0))/1000</f>
        <v>8.9166275000000006</v>
      </c>
      <c r="AT132" s="298">
        <f t="array" ref="AT132">INDEX(Demand_previous!$D$4:$AY$138, MATCH('Staging Table'!$A132, Demand_previous!$B$4:$B$138, 0), MATCH(AT$4&amp;AT$5,Demand_previous!$D$2:$AY$2&amp;Demand_previous!$D$3:$AY$3, 0))/1000</f>
        <v>2.7959976851851884</v>
      </c>
      <c r="AU132" s="298">
        <f t="array" ref="AU132">INDEX(Demand_previous!$D$4:$AY$138, MATCH('Staging Table'!$A132, Demand_previous!$B$4:$B$138, 0), MATCH(AU$4&amp;AU$5,Demand_previous!$D$2:$AY$2&amp;Demand_previous!$D$3:$AY$3, 0))/1000</f>
        <v>4.6320174999999999</v>
      </c>
      <c r="AV132" s="180">
        <f>$F132*(VLOOKUP(AV$4, Rates_previous!$G$6:$Q$29, 10, FALSE)+VLOOKUP(AV$4, Rates_previous!$G$6:$Q$29, 11, FALSE))</f>
        <v>17303.546621573172</v>
      </c>
      <c r="AW132" s="180">
        <f>$F132*(VLOOKUP(AW$4, Rates_previous!$G$6:$Q$29, 10, FALSE)+VLOOKUP(AW$4, Rates_previous!$G$6:$Q$29, 11, FALSE))</f>
        <v>21906.91801183371</v>
      </c>
      <c r="AX132" s="180">
        <f>$F132*(VLOOKUP(AX$4, Rates_previous!$G$6:$Q$29, 10, FALSE)+VLOOKUP(AX$4, Rates_previous!$G$6:$Q$29, 11, FALSE))</f>
        <v>21442.496099056887</v>
      </c>
      <c r="AY132" s="180">
        <f>$F132*(VLOOKUP(AY$4, Rates_previous!$G$6:$Q$29, 10, FALSE)+VLOOKUP(AY$4, Rates_previous!$G$6:$Q$29, 11, FALSE))</f>
        <v>17710.589939064448</v>
      </c>
      <c r="AZ132" s="180">
        <f>$F132*(VLOOKUP(AZ$4, Rates_previous!$G$6:$Q$29, 10, FALSE)+VLOOKUP(AZ$4, Rates_previous!$G$6:$Q$29, 11, FALSE))</f>
        <v>15350.156464749682</v>
      </c>
      <c r="BA132" s="180">
        <f>$F132*(VLOOKUP(BA$4, Rates_previous!$G$6:$Q$29, 10, FALSE)+VLOOKUP(BA$4, Rates_previous!$G$6:$Q$29, 11, FALSE))</f>
        <v>18324.987019874407</v>
      </c>
      <c r="BB132" s="180">
        <f>$F132*(VLOOKUP(BB$4, Rates_previous!$G$6:$Q$29, 10, FALSE)+VLOOKUP(BB$4, Rates_previous!$G$6:$Q$29, 11, FALSE))</f>
        <v>14226.91283557928</v>
      </c>
      <c r="BC132" s="180">
        <f>$F132*(VLOOKUP(BC$4, Rates_previous!$G$6:$Q$29, 10, FALSE)+VLOOKUP(BC$4, Rates_previous!$G$6:$Q$29, 11, FALSE))</f>
        <v>19711.492429320791</v>
      </c>
      <c r="BD132" s="180">
        <f>$F132*(VLOOKUP(BD$4, Rates_previous!$G$6:$Q$29, 10, FALSE)+VLOOKUP(BD$4, Rates_previous!$G$6:$Q$29, 11, FALSE))</f>
        <v>21062.142402651196</v>
      </c>
      <c r="BE132" s="180">
        <f>$F132*(VLOOKUP(BE$4, Rates_previous!$G$6:$Q$29, 10, FALSE)+VLOOKUP(BE$4, Rates_previous!$G$6:$Q$29, 11, FALSE))</f>
        <v>19997.550483836621</v>
      </c>
      <c r="BF132" s="180">
        <f>$F132*(VLOOKUP(BF$4, Rates_previous!$G$6:$Q$29, 10, FALSE)+VLOOKUP(BF$4, Rates_previous!$G$6:$Q$29, 11, FALSE))</f>
        <v>19326.089811876402</v>
      </c>
      <c r="BG132" s="180">
        <f>$F132*(VLOOKUP(BG$4, Rates_previous!$G$6:$Q$29, 10, FALSE)+VLOOKUP(BG$4, Rates_previous!$G$6:$Q$29, 11, FALSE))</f>
        <v>17859.321651195503</v>
      </c>
      <c r="BH132" s="298">
        <f>IF($D132=0,IF(C132=0, MAX(BJ132 - (VLOOKUP($A132,TOCA_previous!$A$2:$AI$137,MATCH("RHWM 2022",TOCA_previous!$A$2:$AI$2,0),FALSE)*$F$2*TOCA_previous!C129),0),0), 0)</f>
        <v>0</v>
      </c>
      <c r="BI132" s="192">
        <f>MIN(VLOOKUP($A132,TOCA_previous!$A$2:$AI$137,MATCH("TRL - NLSL - Existing Resource "&amp;$F$1,TOCA_previous!$A$2:$AI$2,0),FALSE)*$F$2,(VLOOKUP($A132,TOCA_previous!$A$2:$AI$137,MATCH("RHWM 2022",TOCA_previous!$A$2:$AI$2,0),FALSE)*$F$2))</f>
        <v>224220.96</v>
      </c>
      <c r="BJ132" s="402">
        <f>SUM(L132:AI132)+(F132*RT1SC!$C$3*$F$2)</f>
        <v>216259.00446993593</v>
      </c>
      <c r="BK132" s="401">
        <f>VLOOKUP($A132,TOCA_previous!$A$2:$AI$137,MATCH("Above RHWM Not Served with LS "&amp;$F$1,TOCA_previous!$A$2:$AI$2,0),FALSE)*$F$2</f>
        <v>14252.52</v>
      </c>
      <c r="BL132" s="402">
        <f t="shared" si="27"/>
        <v>-7961.9555300640641</v>
      </c>
      <c r="BM132" s="401">
        <f>(VLOOKUP($A132,TOCA_previous!$A$2:$AI$137,MATCH("RHWM 2022",TOCA_previous!$A$2:$AI$2,0),FALSE)*$F$2) - $BI132</f>
        <v>0</v>
      </c>
      <c r="BN132" s="402">
        <f t="shared" si="28"/>
        <v>0</v>
      </c>
      <c r="BO132" s="401">
        <f t="shared" si="29"/>
        <v>0</v>
      </c>
      <c r="BP132" s="402">
        <f t="shared" si="30"/>
        <v>0</v>
      </c>
      <c r="BQ132" s="401">
        <f t="shared" si="37"/>
        <v>0</v>
      </c>
      <c r="BR132" s="108">
        <f>VLOOKUP($A132,TOCA_current!$A$2:$AI$137,MATCH(BR$4,TOCA_current!$A$2:$AI$2,0),FALSE)</f>
        <v>3.7152000000000001E-3</v>
      </c>
      <c r="BS132" s="108">
        <f>VLOOKUP($A132,TOCA_current!$A$2:$AI$137,MATCH(BS$4,TOCA_current!$A$2:$AI$2,0),FALSE)</f>
        <v>3.7152000000000001E-3</v>
      </c>
      <c r="BT132" s="189">
        <f t="shared" si="31"/>
        <v>0</v>
      </c>
      <c r="BU132" s="108">
        <f>VLOOKUP($A132,TOCA_current!A128:BG263,MATCH(BU$4,TOCA_current!$A$2:$BG$2,0),FALSE)</f>
        <v>0</v>
      </c>
      <c r="BV132" s="108">
        <f t="shared" si="38"/>
        <v>0</v>
      </c>
      <c r="BW132" s="108">
        <f t="shared" si="39"/>
        <v>0</v>
      </c>
      <c r="BX132" s="179">
        <f>VLOOKUP($A132,IRD!$A$4:$G$139, 7, FALSE)</f>
        <v>0</v>
      </c>
      <c r="BY132" s="180">
        <f t="array" ref="BY132">IF($BT132=0, INDEX(LS_current!$D$4:$AY$138, MATCH('Staging Table'!$A132, LS_current!$B$4:$B$138, 0), MATCH(BY$4&amp;BY$5, LS_current!$D$2:$AY$2&amp;LS_current!$D$3:$AY$3, 0)),SUM(VLOOKUP($A132, LS_current!$B$4:$AY$138, LS_current!D$148, FALSE), VLOOKUP($A132, LS_current!$B$4:$AY$138,LS_current!AB$148, FALSE))/2)</f>
        <v>1619.6639174527991</v>
      </c>
      <c r="BZ132" s="180">
        <f t="array" ref="BZ132">IF($BT132=0, INDEX(LS_current!$D$4:$AY$138, MATCH('Staging Table'!$A132, LS_current!$B$4:$B$138, 0), MATCH(BZ$4&amp;BZ$5, LS_current!$D$2:$AY$2&amp;LS_current!$D$3:$AY$3, 0)),SUM(VLOOKUP($A132, LS_current!$B$4:$AY$138, LS_current!E$148, FALSE), VLOOKUP($A132, LS_current!$B$4:$AY$138,LS_current!AC$148, FALSE))/2)</f>
        <v>2519.6873478224006</v>
      </c>
      <c r="CA132" s="180">
        <f t="array" ref="CA132">IF($BT132=0, INDEX(LS_current!$D$4:$AY$138, MATCH('Staging Table'!$A132, LS_current!$B$4:$B$138, 0), MATCH(CA$4&amp;CA$5, LS_current!$D$2:$AY$2&amp;LS_current!$D$3:$AY$3, 0)),SUM(VLOOKUP($A132, LS_current!$B$4:$AY$138, LS_current!F$148, FALSE), VLOOKUP($A132, LS_current!$B$4:$AY$138,LS_current!AD$148, FALSE))/2)</f>
        <v>-1306.7753209856</v>
      </c>
      <c r="CB132" s="180">
        <f t="array" ref="CB132">IF($BT132=0, INDEX(LS_current!$D$4:$AY$138, MATCH('Staging Table'!$A132, LS_current!$B$4:$B$138, 0), MATCH(CB$4&amp;CB$5, LS_current!$D$2:$AY$2&amp;LS_current!$D$3:$AY$3, 0)),SUM(VLOOKUP($A132, LS_current!$B$4:$AY$138, LS_current!G$148, FALSE), VLOOKUP($A132, LS_current!$B$4:$AY$138,LS_current!AE$148, FALSE))/2)</f>
        <v>753.90271010880042</v>
      </c>
      <c r="CC132" s="180">
        <f t="array" ref="CC132">IF($BT132=0, INDEX(LS_current!$D$4:$AY$138, MATCH('Staging Table'!$A132, LS_current!$B$4:$B$138, 0), MATCH(CC$4&amp;CC$5, LS_current!$D$2:$AY$2&amp;LS_current!$D$3:$AY$3, 0)),SUM(VLOOKUP($A132, LS_current!$B$4:$AY$138, LS_current!H$148, FALSE), VLOOKUP($A132, LS_current!$B$4:$AY$138,LS_current!AF$148, FALSE))/2)</f>
        <v>-2472.2226175328015</v>
      </c>
      <c r="CD132" s="180">
        <f t="array" ref="CD132">IF($BT132=0, INDEX(LS_current!$D$4:$AY$138, MATCH('Staging Table'!$A132, LS_current!$B$4:$B$138, 0), MATCH(CD$4&amp;CD$5, LS_current!$D$2:$AY$2&amp;LS_current!$D$3:$AY$3, 0)),SUM(VLOOKUP($A132, LS_current!$B$4:$AY$138, LS_current!I$148, FALSE), VLOOKUP($A132, LS_current!$B$4:$AY$138,LS_current!AG$148, FALSE))/2)</f>
        <v>567.19622062080089</v>
      </c>
      <c r="CE132" s="180">
        <f t="array" ref="CE132">IF($BT132=0, INDEX(LS_current!$D$4:$AY$138, MATCH('Staging Table'!$A132, LS_current!$B$4:$B$138, 0), MATCH(CE$4&amp;CE$5, LS_current!$D$2:$AY$2&amp;LS_current!$D$3:$AY$3, 0)),SUM(VLOOKUP($A132, LS_current!$B$4:$AY$138, LS_current!J$148, FALSE), VLOOKUP($A132, LS_current!$B$4:$AY$138,LS_current!AH$148, FALSE))/2)</f>
        <v>-2566.2718595679999</v>
      </c>
      <c r="CF132" s="180">
        <f t="array" ref="CF132">IF($BT132=0, INDEX(LS_current!$D$4:$AY$138, MATCH('Staging Table'!$A132, LS_current!$B$4:$B$138, 0), MATCH(CF$4&amp;CF$5, LS_current!$D$2:$AY$2&amp;LS_current!$D$3:$AY$3, 0)),SUM(VLOOKUP($A132, LS_current!$B$4:$AY$138, LS_current!K$148, FALSE), VLOOKUP($A132, LS_current!$B$4:$AY$138,LS_current!AI$148, FALSE))/2)</f>
        <v>306.05859465920003</v>
      </c>
      <c r="CG132" s="180">
        <f t="array" ref="CG132">IF($BT132=0, INDEX(LS_current!$D$4:$AY$138, MATCH('Staging Table'!$A132, LS_current!$B$4:$B$138, 0), MATCH(CG$4&amp;CG$5, LS_current!$D$2:$AY$2&amp;LS_current!$D$3:$AY$3, 0)),SUM(VLOOKUP($A132, LS_current!$B$4:$AY$138, LS_current!L$148, FALSE), VLOOKUP($A132, LS_current!$B$4:$AY$138,LS_current!AJ$148, FALSE))/2)</f>
        <v>-1415.6346896607993</v>
      </c>
      <c r="CH132" s="180">
        <f t="array" ref="CH132">IF($BT132=0, INDEX(LS_current!$D$4:$AY$138, MATCH('Staging Table'!$A132, LS_current!$B$4:$B$138, 0), MATCH(CH$4&amp;CH$5, LS_current!$D$2:$AY$2&amp;LS_current!$D$3:$AY$3, 0)),SUM(VLOOKUP($A132, LS_current!$B$4:$AY$138, LS_current!M$148, FALSE), VLOOKUP($A132, LS_current!$B$4:$AY$138,LS_current!AK$148, FALSE))/2)</f>
        <v>936.40124192320036</v>
      </c>
      <c r="CI132" s="180">
        <f t="array" ref="CI132">IF($BT132=0, INDEX(LS_current!$D$4:$AY$138, MATCH('Staging Table'!$A132, LS_current!$B$4:$B$138, 0), MATCH(CI$4&amp;CI$5, LS_current!$D$2:$AY$2&amp;LS_current!$D$3:$AY$3, 0)),SUM(VLOOKUP($A132, LS_current!$B$4:$AY$138, LS_current!N$148, FALSE), VLOOKUP($A132, LS_current!$B$4:$AY$138,LS_current!AL$148, FALSE))/2)</f>
        <v>-1526.0394886176</v>
      </c>
      <c r="CJ132" s="180">
        <f t="array" ref="CJ132">IF($BT132=0, INDEX(LS_current!$D$4:$AY$138, MATCH('Staging Table'!$A132, LS_current!$B$4:$B$138, 0), MATCH(CJ$4&amp;CJ$5, LS_current!$D$2:$AY$2&amp;LS_current!$D$3:$AY$3, 0)),SUM(VLOOKUP($A132, LS_current!$B$4:$AY$138, LS_current!O$148, FALSE), VLOOKUP($A132, LS_current!$B$4:$AY$138,LS_current!AM$148, FALSE))/2)</f>
        <v>562.36481037439989</v>
      </c>
      <c r="CK132" s="180">
        <f t="array" ref="CK132">IF($BT132=0, INDEX(LS_current!$D$4:$AY$138, MATCH('Staging Table'!$A132, LS_current!$B$4:$B$138, 0), MATCH(CK$4&amp;CK$5, LS_current!$D$2:$AY$2&amp;LS_current!$D$3:$AY$3, 0)),SUM(VLOOKUP($A132, LS_current!$B$4:$AY$138, LS_current!P$148, FALSE), VLOOKUP($A132, LS_current!$B$4:$AY$138,LS_current!AN$148, FALSE))/2)</f>
        <v>1034.075625032001</v>
      </c>
      <c r="CL132" s="180">
        <f t="array" ref="CL132">IF($BT132=0, INDEX(LS_current!$D$4:$AY$138, MATCH('Staging Table'!$A132, LS_current!$B$4:$B$138, 0), MATCH(CL$4&amp;CL$5, LS_current!$D$2:$AY$2&amp;LS_current!$D$3:$AY$3, 0)),SUM(VLOOKUP($A132, LS_current!$B$4:$AY$138, LS_current!Q$148, FALSE), VLOOKUP($A132, LS_current!$B$4:$AY$138,LS_current!AO$148, FALSE))/2)</f>
        <v>1621.0879469064002</v>
      </c>
      <c r="CM132" s="180">
        <f t="array" ref="CM132">IF($BT132=0, INDEX(LS_current!$D$4:$AY$138, MATCH('Staging Table'!$A132, LS_current!$B$4:$B$138, 0), MATCH(CM$4&amp;CM$5, LS_current!$D$2:$AY$2&amp;LS_current!$D$3:$AY$3, 0)),SUM(VLOOKUP($A132, LS_current!$B$4:$AY$138, LS_current!R$148, FALSE), VLOOKUP($A132, LS_current!$B$4:$AY$138,LS_current!AP$148, FALSE))/2)</f>
        <v>-1493.1159536896012</v>
      </c>
      <c r="CN132" s="180">
        <f t="array" ref="CN132">IF($BT132=0, INDEX(LS_current!$D$4:$AY$138, MATCH('Staging Table'!$A132, LS_current!$B$4:$B$138, 0), MATCH(CN$4&amp;CN$5, LS_current!$D$2:$AY$2&amp;LS_current!$D$3:$AY$3, 0)),SUM(VLOOKUP($A132, LS_current!$B$4:$AY$138, LS_current!S$148, FALSE), VLOOKUP($A132, LS_current!$B$4:$AY$138,LS_current!AQ$148, FALSE))/2)</f>
        <v>559.91166234079992</v>
      </c>
      <c r="CO132" s="180">
        <f t="array" ref="CO132">IF($BT132=0, INDEX(LS_current!$D$4:$AY$138, MATCH('Staging Table'!$A132, LS_current!$B$4:$B$138, 0), MATCH(CO$4&amp;CO$5, LS_current!$D$2:$AY$2&amp;LS_current!$D$3:$AY$3, 0)),SUM(VLOOKUP($A132, LS_current!$B$4:$AY$138, LS_current!T$148, FALSE), VLOOKUP($A132, LS_current!$B$4:$AY$138,LS_current!AR$148, FALSE))/2)</f>
        <v>-2688.3834466751996</v>
      </c>
      <c r="CP132" s="180">
        <f t="array" ref="CP132">IF($BT132=0, INDEX(LS_current!$D$4:$AY$138, MATCH('Staging Table'!$A132, LS_current!$B$4:$B$138, 0), MATCH(CP$4&amp;CP$5, LS_current!$D$2:$AY$2&amp;LS_current!$D$3:$AY$3, 0)),SUM(VLOOKUP($A132, LS_current!$B$4:$AY$138, LS_current!U$148, FALSE), VLOOKUP($A132, LS_current!$B$4:$AY$138,LS_current!AS$148, FALSE))/2)</f>
        <v>544.98231752160063</v>
      </c>
      <c r="CQ132" s="180">
        <f t="array" ref="CQ132">IF($BT132=0, INDEX(LS_current!$D$4:$AY$138, MATCH('Staging Table'!$A132, LS_current!$B$4:$B$138, 0), MATCH(CQ$4&amp;CQ$5, LS_current!$D$2:$AY$2&amp;LS_current!$D$3:$AY$3, 0)),SUM(VLOOKUP($A132, LS_current!$B$4:$AY$138, LS_current!V$148, FALSE), VLOOKUP($A132, LS_current!$B$4:$AY$138,LS_current!AT$148, FALSE))/2)</f>
        <v>-2911.2874096127998</v>
      </c>
      <c r="CR132" s="180">
        <f t="array" ref="CR132">IF($BT132=0, INDEX(LS_current!$D$4:$AY$138, MATCH('Staging Table'!$A132, LS_current!$B$4:$B$138, 0), MATCH(CR$4&amp;CR$5, LS_current!$D$2:$AY$2&amp;LS_current!$D$3:$AY$3, 0)),SUM(VLOOKUP($A132, LS_current!$B$4:$AY$138, LS_current!W$148, FALSE), VLOOKUP($A132, LS_current!$B$4:$AY$138,LS_current!AU$148, FALSE))/2)</f>
        <v>-284.48650568799985</v>
      </c>
      <c r="CS132" s="180">
        <f t="array" ref="CS132">IF($BT132=0, INDEX(LS_current!$D$4:$AY$138, MATCH('Staging Table'!$A132, LS_current!$B$4:$B$138, 0), MATCH(CS$4&amp;CS$5, LS_current!$D$2:$AY$2&amp;LS_current!$D$3:$AY$3, 0)),SUM(VLOOKUP($A132, LS_current!$B$4:$AY$138, LS_current!X$148, FALSE), VLOOKUP($A132, LS_current!$B$4:$AY$138,LS_current!AV$148, FALSE))/2)</f>
        <v>745.07335484319992</v>
      </c>
      <c r="CT132" s="180">
        <f t="array" ref="CT132">IF($BT132=0, INDEX(LS_current!$D$4:$AY$138, MATCH('Staging Table'!$A132, LS_current!$B$4:$B$138, 0), MATCH(CT$4&amp;CT$5, LS_current!$D$2:$AY$2&amp;LS_current!$D$3:$AY$3, 0)),SUM(VLOOKUP($A132, LS_current!$B$4:$AY$138, LS_current!Y$148, FALSE), VLOOKUP($A132, LS_current!$B$4:$AY$138,LS_current!AW$148, FALSE))/2)</f>
        <v>2054.752085741281</v>
      </c>
      <c r="CU132" s="180">
        <f t="array" ref="CU132">IF($BT132=0, INDEX(LS_current!$D$4:$AY$138, MATCH('Staging Table'!$A132, LS_current!$B$4:$B$138, 0), MATCH(CU$4&amp;CU$5, LS_current!$D$2:$AY$2&amp;LS_current!$D$3:$AY$3, 0)),SUM(VLOOKUP($A132, LS_current!$B$4:$AY$138, LS_current!Z$148, FALSE), VLOOKUP($A132, LS_current!$B$4:$AY$138,LS_current!AX$148, FALSE))/2)</f>
        <v>485.37432443519901</v>
      </c>
      <c r="CV132" s="180">
        <f t="array" ref="CV132">IF($BT132=0, INDEX(LS_current!$D$4:$AY$138, MATCH('Staging Table'!$A132, LS_current!$B$4:$B$138, 0), MATCH(CV$4&amp;CV$5, LS_current!$D$2:$AY$2&amp;LS_current!$D$3:$AY$3, 0)),SUM(VLOOKUP($A132, LS_current!$B$4:$AY$138, LS_current!AA$148, FALSE), VLOOKUP($A132, LS_current!$B$4:$AY$138,LS_current!AY$148, FALSE))/2)</f>
        <v>2357.1081048192</v>
      </c>
      <c r="CW132" s="182">
        <f t="array" ref="CW132">INDEX(Demand_current!$D$4:$AY$138, MATCH($A132, Demand_current!$B$4:$B$138, 0), MATCH(CW$4&amp;CW$5,Demand_current!$D$2:$AY$2&amp;Demand_current!$D$3:$AY$3, 0))/1000</f>
        <v>2.9782884615384617</v>
      </c>
      <c r="CX132" s="182">
        <f t="array" ref="CX132">INDEX(Demand_current!$D$4:$AY$138, MATCH($A132, Demand_current!$B$4:$B$138, 0), MATCH(CX$4&amp;CX$5,Demand_current!$D$2:$AY$2&amp;Demand_current!$D$3:$AY$3, 0))/1000</f>
        <v>3.0893799999999985</v>
      </c>
      <c r="CY132" s="182">
        <f t="array" ref="CY132">INDEX(Demand_current!$D$4:$AY$138, MATCH($A132, Demand_current!$B$4:$B$138, 0), MATCH(CY$4&amp;CY$5,Demand_current!$D$2:$AY$2&amp;Demand_current!$D$3:$AY$3, 0))/1000</f>
        <v>3.2712850000000024</v>
      </c>
      <c r="CZ132" s="182">
        <f t="array" ref="CZ132">INDEX(Demand_current!$D$4:$AY$138, MATCH($A132, Demand_current!$B$4:$B$138, 0), MATCH(CZ$4&amp;CZ$5,Demand_current!$D$2:$AY$2&amp;Demand_current!$D$3:$AY$3, 0))/1000</f>
        <v>2.7203221153846191</v>
      </c>
      <c r="DA132" s="182">
        <f t="array" ref="DA132">INDEX(Demand_current!$D$4:$AY$138, MATCH($A132, Demand_current!$B$4:$B$138, 0), MATCH(DA$4&amp;DA$5,Demand_current!$D$2:$AY$2&amp;Demand_current!$D$3:$AY$3, 0))/1000</f>
        <v>0</v>
      </c>
      <c r="DB132" s="182">
        <f t="array" ref="DB132">INDEX(Demand_current!$D$4:$AY$138, MATCH($A132, Demand_current!$B$4:$B$138, 0), MATCH(DB$4&amp;DB$5,Demand_current!$D$2:$AY$2&amp;Demand_current!$D$3:$AY$3, 0))/1000</f>
        <v>0</v>
      </c>
      <c r="DC132" s="182">
        <f t="array" ref="DC132">INDEX(Demand_current!$D$4:$AY$138, MATCH($A132, Demand_current!$B$4:$B$138, 0), MATCH(DC$4&amp;DC$5,Demand_current!$D$2:$AY$2&amp;Demand_current!$D$3:$AY$3, 0))/1000</f>
        <v>2.805045673076922</v>
      </c>
      <c r="DD132" s="182">
        <f t="array" ref="DD132">INDEX(Demand_current!$D$4:$AY$138, MATCH($A132, Demand_current!$B$4:$B$138, 0), MATCH(DD$4&amp;DD$5,Demand_current!$D$2:$AY$2&amp;Demand_current!$D$3:$AY$3, 0))/1000</f>
        <v>2.6923028846153869</v>
      </c>
      <c r="DE132" s="182">
        <f t="array" ref="DE132">INDEX(Demand_current!$D$4:$AY$138, MATCH($A132, Demand_current!$B$4:$B$138, 0), MATCH(DE$4&amp;DE$5,Demand_current!$D$2:$AY$2&amp;Demand_current!$D$3:$AY$3, 0))/1000</f>
        <v>3.3116050000000001</v>
      </c>
      <c r="DF132" s="182">
        <f t="array" ref="DF132">INDEX(Demand_current!$D$4:$AY$138, MATCH($A132, Demand_current!$B$4:$B$138, 0), MATCH(DF$4&amp;DF$5,Demand_current!$D$2:$AY$2&amp;Demand_current!$D$3:$AY$3, 0))/1000</f>
        <v>9.7323341346153853</v>
      </c>
      <c r="DG132" s="182">
        <f t="array" ref="DG132">INDEX(Demand_current!$D$4:$AY$138, MATCH($A132, Demand_current!$B$4:$B$138, 0), MATCH(DG$4&amp;DG$5,Demand_current!$D$2:$AY$2&amp;Demand_current!$D$3:$AY$3, 0))/1000</f>
        <v>2.7959976851851884</v>
      </c>
      <c r="DH132" s="182">
        <f t="array" ref="DH132">INDEX(Demand_current!$D$4:$AY$138, MATCH($A132, Demand_current!$B$4:$B$138, 0), MATCH(DH$4&amp;DH$5,Demand_current!$D$2:$AY$2&amp;Demand_current!$D$3:$AY$3, 0))/1000</f>
        <v>3.5694765624999998</v>
      </c>
      <c r="DI132" s="180">
        <f>$BS132*(VLOOKUP(DI$4, Rates_current!$G$6:$Q$29, 10, FALSE)+VLOOKUP(DI$4, Rates_current!$G$6:$Q$29, 11, FALSE))</f>
        <v>15673.6997347248</v>
      </c>
      <c r="DJ132" s="180">
        <f>$BS132*(VLOOKUP(DJ$4, Rates_current!$G$6:$Q$29, 10, FALSE)+VLOOKUP(DJ$4, Rates_current!$G$6:$Q$29, 11, FALSE))</f>
        <v>19989.135610876805</v>
      </c>
      <c r="DK132" s="180">
        <f>$BS132*(VLOOKUP(DK$4, Rates_current!$G$6:$Q$29, 10, FALSE)+VLOOKUP(DK$4, Rates_current!$G$6:$Q$29, 11, FALSE))</f>
        <v>21572.232396912004</v>
      </c>
      <c r="DL132" s="180">
        <f>$BS132*(VLOOKUP(DL$4, Rates_current!$G$6:$Q$29, 10, FALSE)+VLOOKUP(DL$4, Rates_current!$G$6:$Q$29, 11, FALSE))</f>
        <v>22416.8842649088</v>
      </c>
      <c r="DM132" s="180">
        <f>$BS132*(VLOOKUP(DM$4, Rates_current!$G$6:$Q$29, 10, FALSE)+VLOOKUP(DM$4, Rates_current!$G$6:$Q$29, 11, FALSE))</f>
        <v>19281.5084477376</v>
      </c>
      <c r="DN132" s="180">
        <f>$BS132*(VLOOKUP(DN$4, Rates_current!$G$6:$Q$29, 10, FALSE)+VLOOKUP(DN$4, Rates_current!$G$6:$Q$29, 11, FALSE))</f>
        <v>21051.589678243199</v>
      </c>
      <c r="DO132" s="180">
        <f>$BS132*(VLOOKUP(DO$4, Rates_current!$G$6:$Q$29, 10, FALSE)+VLOOKUP(DO$4, Rates_current!$G$6:$Q$29, 11, FALSE))</f>
        <v>16616.682428061598</v>
      </c>
      <c r="DP132" s="180">
        <f>$BS132*(VLOOKUP(DP$4, Rates_current!$G$6:$Q$29, 10, FALSE)+VLOOKUP(DP$4, Rates_current!$G$6:$Q$29, 11, FALSE))</f>
        <v>20615.2212913488</v>
      </c>
      <c r="DQ132" s="180">
        <f>$BS132*(VLOOKUP(DQ$4, Rates_current!$G$6:$Q$29, 10, FALSE)+VLOOKUP(DQ$4, Rates_current!$G$6:$Q$29, 11, FALSE))</f>
        <v>21062.5201291536</v>
      </c>
      <c r="DR132" s="180">
        <f>$BS132*(VLOOKUP(DR$4, Rates_current!$G$6:$Q$29, 10, FALSE)+VLOOKUP(DR$4, Rates_current!$G$6:$Q$29, 11, FALSE))</f>
        <v>18285.301915300799</v>
      </c>
      <c r="DS132" s="180">
        <f>$BS132*(VLOOKUP(DS$4, Rates_current!$G$6:$Q$29, 10, FALSE)+VLOOKUP(DS$4, Rates_current!$G$6:$Q$29, 11, FALSE))</f>
        <v>17677.026559415521</v>
      </c>
      <c r="DT132" s="180">
        <f>$BS132*(VLOOKUP(DT$4, Rates_current!$G$6:$Q$29, 10, FALSE)+VLOOKUP(DT$4, Rates_current!$G$6:$Q$29, 11, FALSE))</f>
        <v>16266.287570745602</v>
      </c>
      <c r="DU132" s="402">
        <f>IF(D132=0,IF(C132=0,MAX(0,DW132 - (VLOOKUP($A132,TOCA_current!$A$2:$AI$137,MATCH("RHWM 2024",TOCA_current!$A$2:$AI$2,0),FALSE)*$BS$2)), 0),0)</f>
        <v>0</v>
      </c>
      <c r="DV132" s="403">
        <f>MIN(VLOOKUP($A132,TOCA_current!$A$2:$AI$137,MATCH("TRL - NLSL - Existing Resource "&amp;$BS$1,TOCA_current!$A$2:$AI$2,0),FALSE)*$BS$2, VLOOKUP($A132,TOCA_current!$A$2:$AI$137,MATCH("RHWM 2024",TOCA_current!$A$2:$AI$2,0),FALSE)*$BS$2)</f>
        <v>230509.728</v>
      </c>
      <c r="DW132" s="403">
        <f>SUM(BY132:CV132)+(BS132*RT1SC!$C$4*$BS$2)</f>
        <v>230511.51405660287</v>
      </c>
      <c r="DX132" s="403">
        <f>VLOOKUP($A132,TOCA_current!$A$2:$AI$137,MATCH("Above RHWM Not Served with LS "&amp;$BS$1,TOCA_current!$A$2:$AI$2,0),FALSE)*$BS$2</f>
        <v>0</v>
      </c>
      <c r="DY132" s="403">
        <f t="shared" si="32"/>
        <v>1.7860566028684843</v>
      </c>
      <c r="DZ132" s="403">
        <f>(VLOOKUP($A132,TOCA_current!$A$2:$AI$137,MATCH("RHWM 2024",TOCA_current!$A$2:$AI$2,0),FALSE)*$BS$2) - $DV132</f>
        <v>5191.3439999999828</v>
      </c>
      <c r="EA132" s="403">
        <f t="shared" si="33"/>
        <v>-1.7860566028684843</v>
      </c>
      <c r="EB132" s="403">
        <f t="shared" si="34"/>
        <v>0</v>
      </c>
      <c r="EC132" s="403">
        <f t="shared" si="35"/>
        <v>0</v>
      </c>
      <c r="ED132" s="403">
        <f t="shared" si="36"/>
        <v>-1.7860566028684843</v>
      </c>
    </row>
    <row r="133" spans="1:134">
      <c r="A133" s="123">
        <v>10482</v>
      </c>
      <c r="B133" s="124" t="s">
        <v>134</v>
      </c>
      <c r="C133" s="232">
        <f>VLOOKUP(A133, TOCA_current!$A$3:$D$137, 4, FALSE)</f>
        <v>0</v>
      </c>
      <c r="D133" s="191">
        <v>0</v>
      </c>
      <c r="E133" s="107">
        <f>VLOOKUP($A133,TOCA_previous!$A$2:$AI$137,MATCH(E$4,TOCA_previous!$A$2:$AI$2,0),FALSE)</f>
        <v>4.1649999999999999E-4</v>
      </c>
      <c r="F133" s="108">
        <f>VLOOKUP($A133,TOCA_previous!$A$2:$AI$137,MATCH(F$4,TOCA_previous!$A$2:$AI$2,0),FALSE)</f>
        <v>4.1649999999999999E-4</v>
      </c>
      <c r="G133" s="108">
        <f t="shared" si="24"/>
        <v>0</v>
      </c>
      <c r="H133" s="108">
        <f>VLOOKUP($A133,TOCA_previous!$A$2:$AI$137,MATCH(H$4,TOCA_previous!$A$2:$AI$2,0),FALSE)</f>
        <v>0</v>
      </c>
      <c r="I133" s="108">
        <f t="shared" si="25"/>
        <v>0</v>
      </c>
      <c r="J133" s="108">
        <f t="shared" si="26"/>
        <v>0</v>
      </c>
      <c r="K133" s="179">
        <f>VLOOKUP(A133, IRD!$A$5:$C$139, 3, FALSE)</f>
        <v>0</v>
      </c>
      <c r="L133" s="180">
        <f t="array" ref="L133">IF($G133=0, INDEX(LS_previous!$D$4:$AY$138, MATCH('Staging Table'!$A133, LS_previous!$B$4:$B$138, 0), MATCH(L$4&amp;L$5, LS_previous!$D$2:$AY$2&amp;LS_previous!$D$3:$AY$3, 0)),SUM(VLOOKUP($A133, LS_previous!$B$4:$AY$138, LS_previous!D$149, FALSE), VLOOKUP('Staging Table'!$A133, LS_previous!$B$4:$AY$138,LS_previous!AB$149, FALSE))/2)</f>
        <v>-103.06714517903561</v>
      </c>
      <c r="M133" s="180">
        <f t="array" ref="M133">IF($G133=0, INDEX(LS_previous!$D$4:$AY$138, MATCH('Staging Table'!$A133, LS_previous!$B$4:$B$138, 0), MATCH(M$4&amp;M$5, LS_previous!$D$2:$AY$2&amp;LS_previous!$D$3:$AY$3, 0)),SUM(VLOOKUP($A133, LS_previous!$B$4:$AY$138, LS_previous!E$149, FALSE), VLOOKUP('Staging Table'!$A133, LS_previous!$B$4:$AY$138,LS_previous!AC$149, FALSE))/2)</f>
        <v>170.34362393124616</v>
      </c>
      <c r="N133" s="180">
        <f t="array" ref="N133">IF($G133=0, INDEX(LS_previous!$D$4:$AY$138, MATCH('Staging Table'!$A133, LS_previous!$B$4:$B$138, 0), MATCH(N$4&amp;N$5, LS_previous!$D$2:$AY$2&amp;LS_previous!$D$3:$AY$3, 0)),SUM(VLOOKUP($A133, LS_previous!$B$4:$AY$138, LS_previous!F$149, FALSE), VLOOKUP('Staging Table'!$A133, LS_previous!$B$4:$AY$138,LS_previous!AD$149, FALSE))/2)</f>
        <v>-338.22316353636597</v>
      </c>
      <c r="O133" s="180">
        <f t="array" ref="O133">IF($G133=0, INDEX(LS_previous!$D$4:$AY$138, MATCH('Staging Table'!$A133, LS_previous!$B$4:$B$138, 0), MATCH(O$4&amp;O$5, LS_previous!$D$2:$AY$2&amp;LS_previous!$D$3:$AY$3, 0)),SUM(VLOOKUP($A133, LS_previous!$B$4:$AY$138, LS_previous!G$149, FALSE), VLOOKUP('Staging Table'!$A133, LS_previous!$B$4:$AY$138,LS_previous!AE$149, FALSE))/2)</f>
        <v>-59.058926688846441</v>
      </c>
      <c r="P133" s="180">
        <f t="array" ref="P133">IF($G133=0, INDEX(LS_previous!$D$4:$AY$138, MATCH('Staging Table'!$A133, LS_previous!$B$4:$B$138, 0), MATCH(P$4&amp;P$5, LS_previous!$D$2:$AY$2&amp;LS_previous!$D$3:$AY$3, 0)),SUM(VLOOKUP($A133, LS_previous!$B$4:$AY$138, LS_previous!H$149, FALSE), VLOOKUP('Staging Table'!$A133, LS_previous!$B$4:$AY$138,LS_previous!AF$149, FALSE))/2)</f>
        <v>-166.4549944100952</v>
      </c>
      <c r="Q133" s="180">
        <f t="array" ref="Q133">IF($G133=0, INDEX(LS_previous!$D$4:$AY$138, MATCH('Staging Table'!$A133, LS_previous!$B$4:$B$138, 0), MATCH(Q$4&amp;Q$5, LS_previous!$D$2:$AY$2&amp;LS_previous!$D$3:$AY$3, 0)),SUM(VLOOKUP($A133, LS_previous!$B$4:$AY$138, LS_previous!I$149, FALSE), VLOOKUP('Staging Table'!$A133, LS_previous!$B$4:$AY$138,LS_previous!AG$149, FALSE))/2)</f>
        <v>-34.535990866950897</v>
      </c>
      <c r="R133" s="180">
        <f t="array" ref="R133">IF($G133=0, INDEX(LS_previous!$D$4:$AY$138, MATCH('Staging Table'!$A133, LS_previous!$B$4:$B$138, 0), MATCH(R$4&amp;R$5, LS_previous!$D$2:$AY$2&amp;LS_previous!$D$3:$AY$3, 0)),SUM(VLOOKUP($A133, LS_previous!$B$4:$AY$138, LS_previous!J$149, FALSE), VLOOKUP('Staging Table'!$A133, LS_previous!$B$4:$AY$138,LS_previous!AH$149, FALSE))/2)</f>
        <v>132.18504445315875</v>
      </c>
      <c r="S133" s="180">
        <f t="array" ref="S133">IF($G133=0, INDEX(LS_previous!$D$4:$AY$138, MATCH('Staging Table'!$A133, LS_previous!$B$4:$B$138, 0), MATCH(S$4&amp;S$5, LS_previous!$D$2:$AY$2&amp;LS_previous!$D$3:$AY$3, 0)),SUM(VLOOKUP($A133, LS_previous!$B$4:$AY$138, LS_previous!K$149, FALSE), VLOOKUP('Staging Table'!$A133, LS_previous!$B$4:$AY$138,LS_previous!AI$149, FALSE))/2)</f>
        <v>99.664821925675824</v>
      </c>
      <c r="T133" s="180">
        <f t="array" ref="T133">IF($G133=0, INDEX(LS_previous!$D$4:$AY$138, MATCH('Staging Table'!$A133, LS_previous!$B$4:$B$138, 0), MATCH(T$4&amp;T$5, LS_previous!$D$2:$AY$2&amp;LS_previous!$D$3:$AY$3, 0)),SUM(VLOOKUP($A133, LS_previous!$B$4:$AY$138, LS_previous!L$149, FALSE), VLOOKUP('Staging Table'!$A133, LS_previous!$B$4:$AY$138,LS_previous!AJ$149, FALSE))/2)</f>
        <v>177.3475643273606</v>
      </c>
      <c r="U133" s="180">
        <f t="array" ref="U133">IF($G133=0, INDEX(LS_previous!$D$4:$AY$138, MATCH('Staging Table'!$A133, LS_previous!$B$4:$B$138, 0), MATCH(U$4&amp;U$5, LS_previous!$D$2:$AY$2&amp;LS_previous!$D$3:$AY$3, 0)),SUM(VLOOKUP($A133, LS_previous!$B$4:$AY$138, LS_previous!M$149, FALSE), VLOOKUP('Staging Table'!$A133, LS_previous!$B$4:$AY$138,LS_previous!AK$149, FALSE))/2)</f>
        <v>123.02066072507978</v>
      </c>
      <c r="V133" s="180">
        <f t="array" ref="V133">IF($G133=0, INDEX(LS_previous!$D$4:$AY$138, MATCH('Staging Table'!$A133, LS_previous!$B$4:$B$138, 0), MATCH(V$4&amp;V$5, LS_previous!$D$2:$AY$2&amp;LS_previous!$D$3:$AY$3, 0)),SUM(VLOOKUP($A133, LS_previous!$B$4:$AY$138, LS_previous!N$149, FALSE), VLOOKUP('Staging Table'!$A133, LS_previous!$B$4:$AY$138,LS_previous!AL$149, FALSE))/2)</f>
        <v>-44.169048171239638</v>
      </c>
      <c r="W133" s="180">
        <f t="array" ref="W133">IF($G133=0, INDEX(LS_previous!$D$4:$AY$138, MATCH('Staging Table'!$A133, LS_previous!$B$4:$B$138, 0), MATCH(W$4&amp;W$5, LS_previous!$D$2:$AY$2&amp;LS_previous!$D$3:$AY$3, 0)),SUM(VLOOKUP($A133, LS_previous!$B$4:$AY$138, LS_previous!O$149, FALSE), VLOOKUP('Staging Table'!$A133, LS_previous!$B$4:$AY$138,LS_previous!AM$149, FALSE))/2)</f>
        <v>143.94044399783411</v>
      </c>
      <c r="X133" s="180">
        <f t="array" ref="X133">IF($G133=0, INDEX(LS_previous!$D$4:$AY$138, MATCH('Staging Table'!$A133, LS_previous!$B$4:$B$138, 0), MATCH(X$4&amp;X$5, LS_previous!$D$2:$AY$2&amp;LS_previous!$D$3:$AY$3, 0)),SUM(VLOOKUP($A133, LS_previous!$B$4:$AY$138, LS_previous!P$149, FALSE), VLOOKUP('Staging Table'!$A133, LS_previous!$B$4:$AY$138,LS_previous!AN$149, FALSE))/2)</f>
        <v>205.06587205896028</v>
      </c>
      <c r="Y133" s="180">
        <f t="array" ref="Y133">IF($G133=0, INDEX(LS_previous!$D$4:$AY$138, MATCH('Staging Table'!$A133, LS_previous!$B$4:$B$138, 0), MATCH(Y$4&amp;Y$5, LS_previous!$D$2:$AY$2&amp;LS_previous!$D$3:$AY$3, 0)),SUM(VLOOKUP($A133, LS_previous!$B$4:$AY$138, LS_previous!Q$149, FALSE), VLOOKUP('Staging Table'!$A133, LS_previous!$B$4:$AY$138,LS_previous!AO$149, FALSE))/2)</f>
        <v>228.01948680653697</v>
      </c>
      <c r="Z133" s="180">
        <f t="array" ref="Z133">IF($G133=0, INDEX(LS_previous!$D$4:$AY$138, MATCH('Staging Table'!$A133, LS_previous!$B$4:$B$138, 0), MATCH(Z$4&amp;Z$5, LS_previous!$D$2:$AY$2&amp;LS_previous!$D$3:$AY$3, 0)),SUM(VLOOKUP($A133, LS_previous!$B$4:$AY$138, LS_previous!R$149, FALSE), VLOOKUP('Staging Table'!$A133, LS_previous!$B$4:$AY$138,LS_previous!AP$149, FALSE))/2)</f>
        <v>-317.09007927493667</v>
      </c>
      <c r="AA133" s="180">
        <f t="array" ref="AA133">IF($G133=0, INDEX(LS_previous!$D$4:$AY$138, MATCH('Staging Table'!$A133, LS_previous!$B$4:$B$138, 0), MATCH(AA$4&amp;AA$5, LS_previous!$D$2:$AY$2&amp;LS_previous!$D$3:$AY$3, 0)),SUM(VLOOKUP($A133, LS_previous!$B$4:$AY$138, LS_previous!S$149, FALSE), VLOOKUP('Staging Table'!$A133, LS_previous!$B$4:$AY$138,LS_previous!AQ$149, FALSE))/2)</f>
        <v>149.85918638546923</v>
      </c>
      <c r="AB133" s="180">
        <f t="array" ref="AB133">IF($G133=0, INDEX(LS_previous!$D$4:$AY$138, MATCH('Staging Table'!$A133, LS_previous!$B$4:$B$138, 0), MATCH(AB$4&amp;AB$5, LS_previous!$D$2:$AY$2&amp;LS_previous!$D$3:$AY$3, 0)),SUM(VLOOKUP($A133, LS_previous!$B$4:$AY$138, LS_previous!T$149, FALSE), VLOOKUP('Staging Table'!$A133, LS_previous!$B$4:$AY$138,LS_previous!AR$149, FALSE))/2)</f>
        <v>-508.28055823159661</v>
      </c>
      <c r="AC133" s="180">
        <f t="array" ref="AC133">IF($G133=0, INDEX(LS_previous!$D$4:$AY$138, MATCH('Staging Table'!$A133, LS_previous!$B$4:$B$138, 0), MATCH(AC$4&amp;AC$5, LS_previous!$D$2:$AY$2&amp;LS_previous!$D$3:$AY$3, 0)),SUM(VLOOKUP($A133, LS_previous!$B$4:$AY$138, LS_previous!U$149, FALSE), VLOOKUP('Staging Table'!$A133, LS_previous!$B$4:$AY$138,LS_previous!AS$149, FALSE))/2)</f>
        <v>180.33863142047369</v>
      </c>
      <c r="AD133" s="180">
        <f t="array" ref="AD133">IF($G133=0, INDEX(LS_previous!$D$4:$AY$138, MATCH('Staging Table'!$A133, LS_previous!$B$4:$B$138, 0), MATCH(AD$4&amp;AD$5, LS_previous!$D$2:$AY$2&amp;LS_previous!$D$3:$AY$3, 0)),SUM(VLOOKUP($A133, LS_previous!$B$4:$AY$138, LS_previous!V$149, FALSE), VLOOKUP('Staging Table'!$A133, LS_previous!$B$4:$AY$138,LS_previous!AT$149, FALSE))/2)</f>
        <v>-227.00582264936111</v>
      </c>
      <c r="AE133" s="180">
        <f t="array" ref="AE133">IF($G133=0, INDEX(LS_previous!$D$4:$AY$138, MATCH('Staging Table'!$A133, LS_previous!$B$4:$B$138, 0), MATCH(AE$4&amp;AE$5, LS_previous!$D$2:$AY$2&amp;LS_previous!$D$3:$AY$3, 0)),SUM(VLOOKUP($A133, LS_previous!$B$4:$AY$138, LS_previous!W$149, FALSE), VLOOKUP('Staging Table'!$A133, LS_previous!$B$4:$AY$138,LS_previous!AU$149, FALSE))/2)</f>
        <v>114.44298594700251</v>
      </c>
      <c r="AF133" s="180">
        <f t="array" ref="AF133">IF($G133=0, INDEX(LS_previous!$D$4:$AY$138, MATCH('Staging Table'!$A133, LS_previous!$B$4:$B$138, 0), MATCH(AF$4&amp;AF$5, LS_previous!$D$2:$AY$2&amp;LS_previous!$D$3:$AY$3, 0)),SUM(VLOOKUP($A133, LS_previous!$B$4:$AY$138, LS_previous!X$149, FALSE), VLOOKUP('Staging Table'!$A133, LS_previous!$B$4:$AY$138,LS_previous!AV$149, FALSE))/2)</f>
        <v>-170.27343751375906</v>
      </c>
      <c r="AG133" s="180">
        <f t="array" ref="AG133">IF($G133=0, INDEX(LS_previous!$D$4:$AY$138, MATCH('Staging Table'!$A133, LS_previous!$B$4:$B$138, 0), MATCH(AG$4&amp;AG$5, LS_previous!$D$2:$AY$2&amp;LS_previous!$D$3:$AY$3, 0)),SUM(VLOOKUP($A133, LS_previous!$B$4:$AY$138, LS_previous!Y$149, FALSE), VLOOKUP('Staging Table'!$A133, LS_previous!$B$4:$AY$138,LS_previous!AW$149, FALSE))/2)</f>
        <v>84.64503510132613</v>
      </c>
      <c r="AH133" s="180">
        <f t="array" ref="AH133">IF($G133=0, INDEX(LS_previous!$D$4:$AY$138, MATCH('Staging Table'!$A133, LS_previous!$B$4:$B$138, 0), MATCH(AH$4&amp;AH$5, LS_previous!$D$2:$AY$2&amp;LS_previous!$D$3:$AY$3, 0)),SUM(VLOOKUP($A133, LS_previous!$B$4:$AY$138, LS_previous!Z$149, FALSE), VLOOKUP('Staging Table'!$A133, LS_previous!$B$4:$AY$138,LS_previous!AX$149, FALSE))/2)</f>
        <v>-192.18179990957833</v>
      </c>
      <c r="AI133" s="180">
        <f t="array" ref="AI133">IF($G133=0, INDEX(LS_previous!$D$4:$AY$138, MATCH('Staging Table'!$A133, LS_previous!$B$4:$B$138, 0), MATCH(AI$4&amp;AI$5, LS_previous!$D$2:$AY$2&amp;LS_previous!$D$3:$AY$3, 0)),SUM(VLOOKUP($A133, LS_previous!$B$4:$AY$138, LS_previous!AA$149, FALSE), VLOOKUP('Staging Table'!$A133, LS_previous!$B$4:$AY$138,LS_previous!AY$149, FALSE))/2)</f>
        <v>153.22560075624335</v>
      </c>
      <c r="AJ133" s="298">
        <f t="array" ref="AJ133">INDEX(Demand_previous!$D$4:$AY$138, MATCH('Staging Table'!$A133, Demand_previous!$B$4:$B$138, 0), MATCH(AJ$4&amp;AJ$5,Demand_previous!$D$2:$AY$2&amp;Demand_previous!$D$3:$AY$3, 0))/1000</f>
        <v>0.14545673076923071</v>
      </c>
      <c r="AK133" s="298">
        <f t="array" ref="AK133">INDEX(Demand_previous!$D$4:$AY$138, MATCH('Staging Table'!$A133, Demand_previous!$B$4:$B$138, 0), MATCH(AK$4&amp;AK$5,Demand_previous!$D$2:$AY$2&amp;Demand_previous!$D$3:$AY$3, 0))/1000</f>
        <v>0.27367250000000054</v>
      </c>
      <c r="AL133" s="298">
        <f t="array" ref="AL133">INDEX(Demand_previous!$D$4:$AY$138, MATCH('Staging Table'!$A133, Demand_previous!$B$4:$B$138, 0), MATCH(AL$4&amp;AL$5,Demand_previous!$D$2:$AY$2&amp;Demand_previous!$D$3:$AY$3, 0))/1000</f>
        <v>0.42738461538461536</v>
      </c>
      <c r="AM133" s="298">
        <f t="array" ref="AM133">INDEX(Demand_previous!$D$4:$AY$138, MATCH('Staging Table'!$A133, Demand_previous!$B$4:$B$138, 0), MATCH(AM$4&amp;AM$5,Demand_previous!$D$2:$AY$2&amp;Demand_previous!$D$3:$AY$3, 0))/1000</f>
        <v>0.18658000000000011</v>
      </c>
      <c r="AN133" s="298">
        <f t="array" ref="AN133">INDEX(Demand_previous!$D$4:$AY$138, MATCH('Staging Table'!$A133, Demand_previous!$B$4:$B$138, 0), MATCH(AN$4&amp;AN$5,Demand_previous!$D$2:$AY$2&amp;Demand_previous!$D$3:$AY$3, 0))/1000</f>
        <v>7.8854166666667114E-2</v>
      </c>
      <c r="AO133" s="298">
        <f t="array" ref="AO133">INDEX(Demand_previous!$D$4:$AY$138, MATCH('Staging Table'!$A133, Demand_previous!$B$4:$B$138, 0), MATCH(AO$4&amp;AO$5,Demand_previous!$D$2:$AY$2&amp;Demand_previous!$D$3:$AY$3, 0))/1000</f>
        <v>0.30767361111111136</v>
      </c>
      <c r="AP133" s="298">
        <f t="array" ref="AP133">INDEX(Demand_previous!$D$4:$AY$138, MATCH('Staging Table'!$A133, Demand_previous!$B$4:$B$138, 0), MATCH(AP$4&amp;AP$5,Demand_previous!$D$2:$AY$2&amp;Demand_previous!$D$3:$AY$3, 0))/1000</f>
        <v>0.1789663461538461</v>
      </c>
      <c r="AQ133" s="298">
        <f t="array" ref="AQ133">INDEX(Demand_previous!$D$4:$AY$138, MATCH('Staging Table'!$A133, Demand_previous!$B$4:$B$138, 0), MATCH(AQ$4&amp;AQ$5,Demand_previous!$D$2:$AY$2&amp;Demand_previous!$D$3:$AY$3, 0))/1000</f>
        <v>0.13281749999999992</v>
      </c>
      <c r="AR133" s="298">
        <f t="array" ref="AR133">INDEX(Demand_previous!$D$4:$AY$138, MATCH('Staging Table'!$A133, Demand_previous!$B$4:$B$138, 0), MATCH(AR$4&amp;AR$5,Demand_previous!$D$2:$AY$2&amp;Demand_previous!$D$3:$AY$3, 0))/1000</f>
        <v>0.57514423076923094</v>
      </c>
      <c r="AS133" s="298">
        <f t="array" ref="AS133">INDEX(Demand_previous!$D$4:$AY$138, MATCH('Staging Table'!$A133, Demand_previous!$B$4:$B$138, 0), MATCH(AS$4&amp;AS$5,Demand_previous!$D$2:$AY$2&amp;Demand_previous!$D$3:$AY$3, 0))/1000</f>
        <v>0.1955799999999997</v>
      </c>
      <c r="AT133" s="298">
        <f t="array" ref="AT133">INDEX(Demand_previous!$D$4:$AY$138, MATCH('Staging Table'!$A133, Demand_previous!$B$4:$B$138, 0), MATCH(AT$4&amp;AT$5,Demand_previous!$D$2:$AY$2&amp;Demand_previous!$D$3:$AY$3, 0))/1000</f>
        <v>0.5797893518518521</v>
      </c>
      <c r="AU133" s="298">
        <f t="array" ref="AU133">INDEX(Demand_previous!$D$4:$AY$138, MATCH('Staging Table'!$A133, Demand_previous!$B$4:$B$138, 0), MATCH(AU$4&amp;AU$5,Demand_previous!$D$2:$AY$2&amp;Demand_previous!$D$3:$AY$3, 0))/1000</f>
        <v>0.43203250000000049</v>
      </c>
      <c r="AV133" s="180">
        <f>$F133*(VLOOKUP(AV$4, Rates_previous!$G$6:$Q$29, 10, FALSE)+VLOOKUP(AV$4, Rates_previous!$G$6:$Q$29, 11, FALSE))</f>
        <v>1896.7095212477893</v>
      </c>
      <c r="AW133" s="180">
        <f>$F133*(VLOOKUP(AW$4, Rates_previous!$G$6:$Q$29, 10, FALSE)+VLOOKUP(AW$4, Rates_previous!$G$6:$Q$29, 11, FALSE))</f>
        <v>2401.3030902252126</v>
      </c>
      <c r="AX133" s="180">
        <f>$F133*(VLOOKUP(AX$4, Rates_previous!$G$6:$Q$29, 10, FALSE)+VLOOKUP(AX$4, Rates_previous!$G$6:$Q$29, 11, FALSE))</f>
        <v>2350.3959852770463</v>
      </c>
      <c r="AY133" s="180">
        <f>$F133*(VLOOKUP(AY$4, Rates_previous!$G$6:$Q$29, 10, FALSE)+VLOOKUP(AY$4, Rates_previous!$G$6:$Q$29, 11, FALSE))</f>
        <v>1941.3271336211653</v>
      </c>
      <c r="AZ133" s="180">
        <f>$F133*(VLOOKUP(AZ$4, Rates_previous!$G$6:$Q$29, 10, FALSE)+VLOOKUP(AZ$4, Rates_previous!$G$6:$Q$29, 11, FALSE))</f>
        <v>1682.5907749475596</v>
      </c>
      <c r="BA133" s="180">
        <f>$F133*(VLOOKUP(BA$4, Rates_previous!$G$6:$Q$29, 10, FALSE)+VLOOKUP(BA$4, Rates_previous!$G$6:$Q$29, 11, FALSE))</f>
        <v>2008.6736041734057</v>
      </c>
      <c r="BB133" s="180">
        <f>$F133*(VLOOKUP(BB$4, Rates_previous!$G$6:$Q$29, 10, FALSE)+VLOOKUP(BB$4, Rates_previous!$G$6:$Q$29, 11, FALSE))</f>
        <v>1559.4676411345026</v>
      </c>
      <c r="BC133" s="180">
        <f>$F133*(VLOOKUP(BC$4, Rates_previous!$G$6:$Q$29, 10, FALSE)+VLOOKUP(BC$4, Rates_previous!$G$6:$Q$29, 11, FALSE))</f>
        <v>2160.6538928894674</v>
      </c>
      <c r="BD133" s="180">
        <f>$F133*(VLOOKUP(BD$4, Rates_previous!$G$6:$Q$29, 10, FALSE)+VLOOKUP(BD$4, Rates_previous!$G$6:$Q$29, 11, FALSE))</f>
        <v>2308.7039268111225</v>
      </c>
      <c r="BE133" s="180">
        <f>$F133*(VLOOKUP(BE$4, Rates_previous!$G$6:$Q$29, 10, FALSE)+VLOOKUP(BE$4, Rates_previous!$G$6:$Q$29, 11, FALSE))</f>
        <v>2192.0098367023588</v>
      </c>
      <c r="BF133" s="180">
        <f>$F133*(VLOOKUP(BF$4, Rates_previous!$G$6:$Q$29, 10, FALSE)+VLOOKUP(BF$4, Rates_previous!$G$6:$Q$29, 11, FALSE))</f>
        <v>2118.4084024124331</v>
      </c>
      <c r="BG133" s="180">
        <f>$F133*(VLOOKUP(BG$4, Rates_previous!$G$6:$Q$29, 10, FALSE)+VLOOKUP(BG$4, Rates_previous!$G$6:$Q$29, 11, FALSE))</f>
        <v>1957.6301991533351</v>
      </c>
      <c r="BH133" s="298">
        <f>IF($D133=0,IF(C133=0, MAX(BJ133 - (VLOOKUP($A133,TOCA_previous!$A$2:$AI$137,MATCH("RHWM 2022",TOCA_previous!$A$2:$AI$2,0),FALSE)*$F$2*TOCA_previous!C130),0),0), 0)</f>
        <v>0</v>
      </c>
      <c r="BI133" s="192">
        <f>MIN(VLOOKUP($A133,TOCA_previous!$A$2:$AI$137,MATCH("TRL - NLSL - Existing Resource "&amp;$F$1,TOCA_previous!$A$2:$AI$2,0),FALSE)*$F$2,(VLOOKUP($A133,TOCA_previous!$A$2:$AI$137,MATCH("RHWM 2022",TOCA_previous!$A$2:$AI$2,0),FALSE)*$F$2))</f>
        <v>24580.560000000001</v>
      </c>
      <c r="BJ133" s="402">
        <f>SUM(L133:AI133)+(F133*RT1SC!$C$3*$F$2)</f>
        <v>24379.633257264599</v>
      </c>
      <c r="BK133" s="401">
        <f>VLOOKUP($A133,TOCA_previous!$A$2:$AI$137,MATCH("Above RHWM Not Served with LS "&amp;$F$1,TOCA_previous!$A$2:$AI$2,0),FALSE)*$F$2</f>
        <v>0</v>
      </c>
      <c r="BL133" s="402">
        <f t="shared" si="27"/>
        <v>-200.92674273540251</v>
      </c>
      <c r="BM133" s="401">
        <f>(VLOOKUP($A133,TOCA_previous!$A$2:$AI$137,MATCH("RHWM 2022",TOCA_previous!$A$2:$AI$2,0),FALSE)*$F$2) - $BI133</f>
        <v>9793.6799999999967</v>
      </c>
      <c r="BN133" s="402">
        <f t="shared" si="28"/>
        <v>0</v>
      </c>
      <c r="BO133" s="401">
        <f t="shared" si="29"/>
        <v>200.92674273540251</v>
      </c>
      <c r="BP133" s="402">
        <f t="shared" si="30"/>
        <v>0</v>
      </c>
      <c r="BQ133" s="401">
        <f t="shared" si="37"/>
        <v>200.92674273540251</v>
      </c>
      <c r="BR133" s="108">
        <f>VLOOKUP($A133,TOCA_current!$A$2:$AI$137,MATCH(BR$4,TOCA_current!$A$2:$AI$2,0),FALSE)</f>
        <v>3.9290000000000001E-4</v>
      </c>
      <c r="BS133" s="108">
        <f>VLOOKUP($A133,TOCA_current!$A$2:$AI$137,MATCH(BS$4,TOCA_current!$A$2:$AI$2,0),FALSE)</f>
        <v>3.9290000000000001E-4</v>
      </c>
      <c r="BT133" s="189">
        <f t="shared" si="31"/>
        <v>0</v>
      </c>
      <c r="BU133" s="108">
        <f>VLOOKUP($A133,TOCA_current!A129:BG264,MATCH(BU$4,TOCA_current!$A$2:$BG$2,0),FALSE)</f>
        <v>0</v>
      </c>
      <c r="BV133" s="108">
        <f t="shared" si="38"/>
        <v>0</v>
      </c>
      <c r="BW133" s="108">
        <f t="shared" si="39"/>
        <v>0</v>
      </c>
      <c r="BX133" s="179">
        <f>VLOOKUP($A133,IRD!$A$4:$G$139, 7, FALSE)</f>
        <v>0</v>
      </c>
      <c r="BY133" s="180">
        <f t="array" ref="BY133">IF($BT133=0, INDEX(LS_current!$D$4:$AY$138, MATCH('Staging Table'!$A133, LS_current!$B$4:$B$138, 0), MATCH(BY$4&amp;BY$5, LS_current!$D$2:$AY$2&amp;LS_current!$D$3:$AY$3, 0)),SUM(VLOOKUP($A133, LS_current!$B$4:$AY$138, LS_current!D$148, FALSE), VLOOKUP($A133, LS_current!$B$4:$AY$138,LS_current!AB$148, FALSE))/2)</f>
        <v>110.58673825559981</v>
      </c>
      <c r="BZ133" s="180">
        <f t="array" ref="BZ133">IF($BT133=0, INDEX(LS_current!$D$4:$AY$138, MATCH('Staging Table'!$A133, LS_current!$B$4:$B$138, 0), MATCH(BZ$4&amp;BZ$5, LS_current!$D$2:$AY$2&amp;LS_current!$D$3:$AY$3, 0)),SUM(VLOOKUP($A133, LS_current!$B$4:$AY$138, LS_current!E$148, FALSE), VLOOKUP($A133, LS_current!$B$4:$AY$138,LS_current!AC$148, FALSE))/2)</f>
        <v>195.83126385105004</v>
      </c>
      <c r="CA133" s="180">
        <f t="array" ref="CA133">IF($BT133=0, INDEX(LS_current!$D$4:$AY$138, MATCH('Staging Table'!$A133, LS_current!$B$4:$B$138, 0), MATCH(CA$4&amp;CA$5, LS_current!$D$2:$AY$2&amp;LS_current!$D$3:$AY$3, 0)),SUM(VLOOKUP($A133, LS_current!$B$4:$AY$138, LS_current!F$148, FALSE), VLOOKUP($A133, LS_current!$B$4:$AY$138,LS_current!AD$148, FALSE))/2)</f>
        <v>-147.28607117120032</v>
      </c>
      <c r="CB133" s="180">
        <f t="array" ref="CB133">IF($BT133=0, INDEX(LS_current!$D$4:$AY$138, MATCH('Staging Table'!$A133, LS_current!$B$4:$B$138, 0), MATCH(CB$4&amp;CB$5, LS_current!$D$2:$AY$2&amp;LS_current!$D$3:$AY$3, 0)),SUM(VLOOKUP($A133, LS_current!$B$4:$AY$138, LS_current!G$148, FALSE), VLOOKUP($A133, LS_current!$B$4:$AY$138,LS_current!AE$148, FALSE))/2)</f>
        <v>37.361285880100013</v>
      </c>
      <c r="CC133" s="180">
        <f t="array" ref="CC133">IF($BT133=0, INDEX(LS_current!$D$4:$AY$138, MATCH('Staging Table'!$A133, LS_current!$B$4:$B$138, 0), MATCH(CC$4&amp;CC$5, LS_current!$D$2:$AY$2&amp;LS_current!$D$3:$AY$3, 0)),SUM(VLOOKUP($A133, LS_current!$B$4:$AY$138, LS_current!H$148, FALSE), VLOOKUP($A133, LS_current!$B$4:$AY$138,LS_current!AF$148, FALSE))/2)</f>
        <v>-206.91084685310011</v>
      </c>
      <c r="CD133" s="180">
        <f t="array" ref="CD133">IF($BT133=0, INDEX(LS_current!$D$4:$AY$138, MATCH('Staging Table'!$A133, LS_current!$B$4:$B$138, 0), MATCH(CD$4&amp;CD$5, LS_current!$D$2:$AY$2&amp;LS_current!$D$3:$AY$3, 0)),SUM(VLOOKUP($A133, LS_current!$B$4:$AY$138, LS_current!I$148, FALSE), VLOOKUP($A133, LS_current!$B$4:$AY$138,LS_current!AG$148, FALSE))/2)</f>
        <v>74.95007684159998</v>
      </c>
      <c r="CE133" s="180">
        <f t="array" ref="CE133">IF($BT133=0, INDEX(LS_current!$D$4:$AY$138, MATCH('Staging Table'!$A133, LS_current!$B$4:$B$138, 0), MATCH(CE$4&amp;CE$5, LS_current!$D$2:$AY$2&amp;LS_current!$D$3:$AY$3, 0)),SUM(VLOOKUP($A133, LS_current!$B$4:$AY$138, LS_current!J$148, FALSE), VLOOKUP($A133, LS_current!$B$4:$AY$138,LS_current!AH$148, FALSE))/2)</f>
        <v>-231.18527482350009</v>
      </c>
      <c r="CF133" s="180">
        <f t="array" ref="CF133">IF($BT133=0, INDEX(LS_current!$D$4:$AY$138, MATCH('Staging Table'!$A133, LS_current!$B$4:$B$138, 0), MATCH(CF$4&amp;CF$5, LS_current!$D$2:$AY$2&amp;LS_current!$D$3:$AY$3, 0)),SUM(VLOOKUP($A133, LS_current!$B$4:$AY$138, LS_current!K$148, FALSE), VLOOKUP($A133, LS_current!$B$4:$AY$138,LS_current!AI$148, FALSE))/2)</f>
        <v>33.670568405899985</v>
      </c>
      <c r="CG133" s="180">
        <f t="array" ref="CG133">IF($BT133=0, INDEX(LS_current!$D$4:$AY$138, MATCH('Staging Table'!$A133, LS_current!$B$4:$B$138, 0), MATCH(CG$4&amp;CG$5, LS_current!$D$2:$AY$2&amp;LS_current!$D$3:$AY$3, 0)),SUM(VLOOKUP($A133, LS_current!$B$4:$AY$138, LS_current!L$148, FALSE), VLOOKUP($A133, LS_current!$B$4:$AY$138,LS_current!AJ$148, FALSE))/2)</f>
        <v>-141.82438085910007</v>
      </c>
      <c r="CH133" s="180">
        <f t="array" ref="CH133">IF($BT133=0, INDEX(LS_current!$D$4:$AY$138, MATCH('Staging Table'!$A133, LS_current!$B$4:$B$138, 0), MATCH(CH$4&amp;CH$5, LS_current!$D$2:$AY$2&amp;LS_current!$D$3:$AY$3, 0)),SUM(VLOOKUP($A133, LS_current!$B$4:$AY$138, LS_current!M$148, FALSE), VLOOKUP($A133, LS_current!$B$4:$AY$138,LS_current!AK$148, FALSE))/2)</f>
        <v>85.672520308899948</v>
      </c>
      <c r="CI133" s="180">
        <f t="array" ref="CI133">IF($BT133=0, INDEX(LS_current!$D$4:$AY$138, MATCH('Staging Table'!$A133, LS_current!$B$4:$B$138, 0), MATCH(CI$4&amp;CI$5, LS_current!$D$2:$AY$2&amp;LS_current!$D$3:$AY$3, 0)),SUM(VLOOKUP($A133, LS_current!$B$4:$AY$138, LS_current!N$148, FALSE), VLOOKUP($A133, LS_current!$B$4:$AY$138,LS_current!AL$148, FALSE))/2)</f>
        <v>-166.03621949770013</v>
      </c>
      <c r="CJ133" s="180">
        <f t="array" ref="CJ133">IF($BT133=0, INDEX(LS_current!$D$4:$AY$138, MATCH('Staging Table'!$A133, LS_current!$B$4:$B$138, 0), MATCH(CJ$4&amp;CJ$5, LS_current!$D$2:$AY$2&amp;LS_current!$D$3:$AY$3, 0)),SUM(VLOOKUP($A133, LS_current!$B$4:$AY$138, LS_current!O$148, FALSE), VLOOKUP($A133, LS_current!$B$4:$AY$138,LS_current!AM$148, FALSE))/2)</f>
        <v>48.175883423800087</v>
      </c>
      <c r="CK133" s="180">
        <f t="array" ref="CK133">IF($BT133=0, INDEX(LS_current!$D$4:$AY$138, MATCH('Staging Table'!$A133, LS_current!$B$4:$B$138, 0), MATCH(CK$4&amp;CK$5, LS_current!$D$2:$AY$2&amp;LS_current!$D$3:$AY$3, 0)),SUM(VLOOKUP($A133, LS_current!$B$4:$AY$138, LS_current!P$148, FALSE), VLOOKUP($A133, LS_current!$B$4:$AY$138,LS_current!AN$148, FALSE))/2)</f>
        <v>96.427984220249982</v>
      </c>
      <c r="CL133" s="180">
        <f t="array" ref="CL133">IF($BT133=0, INDEX(LS_current!$D$4:$AY$138, MATCH('Staging Table'!$A133, LS_current!$B$4:$B$138, 0), MATCH(CL$4&amp;CL$5, LS_current!$D$2:$AY$2&amp;LS_current!$D$3:$AY$3, 0)),SUM(VLOOKUP($A133, LS_current!$B$4:$AY$138, LS_current!Q$148, FALSE), VLOOKUP($A133, LS_current!$B$4:$AY$138,LS_current!AO$148, FALSE))/2)</f>
        <v>138.832130878425</v>
      </c>
      <c r="CM133" s="180">
        <f t="array" ref="CM133">IF($BT133=0, INDEX(LS_current!$D$4:$AY$138, MATCH('Staging Table'!$A133, LS_current!$B$4:$B$138, 0), MATCH(CM$4&amp;CM$5, LS_current!$D$2:$AY$2&amp;LS_current!$D$3:$AY$3, 0)),SUM(VLOOKUP($A133, LS_current!$B$4:$AY$138, LS_current!R$148, FALSE), VLOOKUP($A133, LS_current!$B$4:$AY$138,LS_current!AP$148, FALSE))/2)</f>
        <v>-185.91383957920016</v>
      </c>
      <c r="CN133" s="180">
        <f t="array" ref="CN133">IF($BT133=0, INDEX(LS_current!$D$4:$AY$138, MATCH('Staging Table'!$A133, LS_current!$B$4:$B$138, 0), MATCH(CN$4&amp;CN$5, LS_current!$D$2:$AY$2&amp;LS_current!$D$3:$AY$3, 0)),SUM(VLOOKUP($A133, LS_current!$B$4:$AY$138, LS_current!S$148, FALSE), VLOOKUP($A133, LS_current!$B$4:$AY$138,LS_current!AQ$148, FALSE))/2)</f>
        <v>-0.82047237465008038</v>
      </c>
      <c r="CO133" s="180">
        <f t="array" ref="CO133">IF($BT133=0, INDEX(LS_current!$D$4:$AY$138, MATCH('Staging Table'!$A133, LS_current!$B$4:$B$138, 0), MATCH(CO$4&amp;CO$5, LS_current!$D$2:$AY$2&amp;LS_current!$D$3:$AY$3, 0)),SUM(VLOOKUP($A133, LS_current!$B$4:$AY$138, LS_current!T$148, FALSE), VLOOKUP($A133, LS_current!$B$4:$AY$138,LS_current!AR$148, FALSE))/2)</f>
        <v>-260.61111412540004</v>
      </c>
      <c r="CP133" s="180">
        <f t="array" ref="CP133">IF($BT133=0, INDEX(LS_current!$D$4:$AY$138, MATCH('Staging Table'!$A133, LS_current!$B$4:$B$138, 0), MATCH(CP$4&amp;CP$5, LS_current!$D$2:$AY$2&amp;LS_current!$D$3:$AY$3, 0)),SUM(VLOOKUP($A133, LS_current!$B$4:$AY$138, LS_current!U$148, FALSE), VLOOKUP($A133, LS_current!$B$4:$AY$138,LS_current!AS$148, FALSE))/2)</f>
        <v>13.91183108694986</v>
      </c>
      <c r="CQ133" s="180">
        <f t="array" ref="CQ133">IF($BT133=0, INDEX(LS_current!$D$4:$AY$138, MATCH('Staging Table'!$A133, LS_current!$B$4:$B$138, 0), MATCH(CQ$4&amp;CQ$5, LS_current!$D$2:$AY$2&amp;LS_current!$D$3:$AY$3, 0)),SUM(VLOOKUP($A133, LS_current!$B$4:$AY$138, LS_current!V$148, FALSE), VLOOKUP($A133, LS_current!$B$4:$AY$138,LS_current!AT$148, FALSE))/2)</f>
        <v>27.931219924400011</v>
      </c>
      <c r="CR133" s="180">
        <f t="array" ref="CR133">IF($BT133=0, INDEX(LS_current!$D$4:$AY$138, MATCH('Staging Table'!$A133, LS_current!$B$4:$B$138, 0), MATCH(CR$4&amp;CR$5, LS_current!$D$2:$AY$2&amp;LS_current!$D$3:$AY$3, 0)),SUM(VLOOKUP($A133, LS_current!$B$4:$AY$138, LS_current!W$148, FALSE), VLOOKUP($A133, LS_current!$B$4:$AY$138,LS_current!AU$148, FALSE))/2)</f>
        <v>117.75847965525008</v>
      </c>
      <c r="CS133" s="180">
        <f t="array" ref="CS133">IF($BT133=0, INDEX(LS_current!$D$4:$AY$138, MATCH('Staging Table'!$A133, LS_current!$B$4:$B$138, 0), MATCH(CS$4&amp;CS$5, LS_current!$D$2:$AY$2&amp;LS_current!$D$3:$AY$3, 0)),SUM(VLOOKUP($A133, LS_current!$B$4:$AY$138, LS_current!X$148, FALSE), VLOOKUP($A133, LS_current!$B$4:$AY$138,LS_current!AV$148, FALSE))/2)</f>
        <v>70.460791617649875</v>
      </c>
      <c r="CT133" s="180">
        <f t="array" ref="CT133">IF($BT133=0, INDEX(LS_current!$D$4:$AY$138, MATCH('Staging Table'!$A133, LS_current!$B$4:$B$138, 0), MATCH(CT$4&amp;CT$5, LS_current!$D$2:$AY$2&amp;LS_current!$D$3:$AY$3, 0)),SUM(VLOOKUP($A133, LS_current!$B$4:$AY$138, LS_current!Y$148, FALSE), VLOOKUP($A133, LS_current!$B$4:$AY$138,LS_current!AW$148, FALSE))/2)</f>
        <v>92.889908426934994</v>
      </c>
      <c r="CU133" s="180">
        <f t="array" ref="CU133">IF($BT133=0, INDEX(LS_current!$D$4:$AY$138, MATCH('Staging Table'!$A133, LS_current!$B$4:$B$138, 0), MATCH(CU$4&amp;CU$5, LS_current!$D$2:$AY$2&amp;LS_current!$D$3:$AY$3, 0)),SUM(VLOOKUP($A133, LS_current!$B$4:$AY$138, LS_current!Z$148, FALSE), VLOOKUP($A133, LS_current!$B$4:$AY$138,LS_current!AX$148, FALSE))/2)</f>
        <v>29.777752145399745</v>
      </c>
      <c r="CV133" s="180">
        <f t="array" ref="CV133">IF($BT133=0, INDEX(LS_current!$D$4:$AY$138, MATCH('Staging Table'!$A133, LS_current!$B$4:$B$138, 0), MATCH(CV$4&amp;CV$5, LS_current!$D$2:$AY$2&amp;LS_current!$D$3:$AY$3, 0)),SUM(VLOOKUP($A133, LS_current!$B$4:$AY$138, LS_current!AA$148, FALSE), VLOOKUP($A133, LS_current!$B$4:$AY$138,LS_current!AY$148, FALSE))/2)</f>
        <v>168.65927903839997</v>
      </c>
      <c r="CW133" s="182">
        <f t="array" ref="CW133">INDEX(Demand_current!$D$4:$AY$138, MATCH($A133, Demand_current!$B$4:$B$138, 0), MATCH(CW$4&amp;CW$5,Demand_current!$D$2:$AY$2&amp;Demand_current!$D$3:$AY$3, 0))/1000</f>
        <v>0.14545673076923071</v>
      </c>
      <c r="CX133" s="182">
        <f t="array" ref="CX133">INDEX(Demand_current!$D$4:$AY$138, MATCH($A133, Demand_current!$B$4:$B$138, 0), MATCH(CX$4&amp;CX$5,Demand_current!$D$2:$AY$2&amp;Demand_current!$D$3:$AY$3, 0))/1000</f>
        <v>0.27367250000000054</v>
      </c>
      <c r="CY133" s="182">
        <f t="array" ref="CY133">INDEX(Demand_current!$D$4:$AY$138, MATCH($A133, Demand_current!$B$4:$B$138, 0), MATCH(CY$4&amp;CY$5,Demand_current!$D$2:$AY$2&amp;Demand_current!$D$3:$AY$3, 0))/1000</f>
        <v>0.31427999999999978</v>
      </c>
      <c r="CZ133" s="182">
        <f t="array" ref="CZ133">INDEX(Demand_current!$D$4:$AY$138, MATCH($A133, Demand_current!$B$4:$B$138, 0), MATCH(CZ$4&amp;CZ$5,Demand_current!$D$2:$AY$2&amp;Demand_current!$D$3:$AY$3, 0))/1000</f>
        <v>0.30548076923076939</v>
      </c>
      <c r="DA133" s="182">
        <f t="array" ref="DA133">INDEX(Demand_current!$D$4:$AY$138, MATCH($A133, Demand_current!$B$4:$B$138, 0), MATCH(DA$4&amp;DA$5,Demand_current!$D$2:$AY$2&amp;Demand_current!$D$3:$AY$3, 0))/1000</f>
        <v>0.19914000000000009</v>
      </c>
      <c r="DB133" s="182">
        <f t="array" ref="DB133">INDEX(Demand_current!$D$4:$AY$138, MATCH($A133, Demand_current!$B$4:$B$138, 0), MATCH(DB$4&amp;DB$5,Demand_current!$D$2:$AY$2&amp;Demand_current!$D$3:$AY$3, 0))/1000</f>
        <v>0.20177644230769243</v>
      </c>
      <c r="DC133" s="182">
        <f t="array" ref="DC133">INDEX(Demand_current!$D$4:$AY$138, MATCH($A133, Demand_current!$B$4:$B$138, 0), MATCH(DC$4&amp;DC$5,Demand_current!$D$2:$AY$2&amp;Demand_current!$D$3:$AY$3, 0))/1000</f>
        <v>0.1789663461538461</v>
      </c>
      <c r="DD133" s="182">
        <f t="array" ref="DD133">INDEX(Demand_current!$D$4:$AY$138, MATCH($A133, Demand_current!$B$4:$B$138, 0), MATCH(DD$4&amp;DD$5,Demand_current!$D$2:$AY$2&amp;Demand_current!$D$3:$AY$3, 0))/1000</f>
        <v>0.24232451923076914</v>
      </c>
      <c r="DE133" s="182">
        <f t="array" ref="DE133">INDEX(Demand_current!$D$4:$AY$138, MATCH($A133, Demand_current!$B$4:$B$138, 0), MATCH(DE$4&amp;DE$5,Demand_current!$D$2:$AY$2&amp;Demand_current!$D$3:$AY$3, 0))/1000</f>
        <v>0.46571000000000018</v>
      </c>
      <c r="DF133" s="182">
        <f t="array" ref="DF133">INDEX(Demand_current!$D$4:$AY$138, MATCH($A133, Demand_current!$B$4:$B$138, 0), MATCH(DF$4&amp;DF$5,Demand_current!$D$2:$AY$2&amp;Demand_current!$D$3:$AY$3, 0))/1000</f>
        <v>0.31413461538461546</v>
      </c>
      <c r="DG133" s="182">
        <f t="array" ref="DG133">INDEX(Demand_current!$D$4:$AY$138, MATCH($A133, Demand_current!$B$4:$B$138, 0), MATCH(DG$4&amp;DG$5,Demand_current!$D$2:$AY$2&amp;Demand_current!$D$3:$AY$3, 0))/1000</f>
        <v>0.5797893518518521</v>
      </c>
      <c r="DH133" s="182">
        <f t="array" ref="DH133">INDEX(Demand_current!$D$4:$AY$138, MATCH($A133, Demand_current!$B$4:$B$138, 0), MATCH(DH$4&amp;DH$5,Demand_current!$D$2:$AY$2&amp;Demand_current!$D$3:$AY$3, 0))/1000</f>
        <v>0.32190885416666726</v>
      </c>
      <c r="DI133" s="180">
        <f>$BS133*(VLOOKUP(DI$4, Rates_current!$G$6:$Q$29, 10, FALSE)+VLOOKUP(DI$4, Rates_current!$G$6:$Q$29, 11, FALSE))</f>
        <v>1657.5679978933501</v>
      </c>
      <c r="DJ133" s="180">
        <f>$BS133*(VLOOKUP(DJ$4, Rates_current!$G$6:$Q$29, 10, FALSE)+VLOOKUP(DJ$4, Rates_current!$G$6:$Q$29, 11, FALSE))</f>
        <v>2113.9457852911005</v>
      </c>
      <c r="DK133" s="180">
        <f>$BS133*(VLOOKUP(DK$4, Rates_current!$G$6:$Q$29, 10, FALSE)+VLOOKUP(DK$4, Rates_current!$G$6:$Q$29, 11, FALSE))</f>
        <v>2281.3657700115004</v>
      </c>
      <c r="DL133" s="180">
        <f>$BS133*(VLOOKUP(DL$4, Rates_current!$G$6:$Q$29, 10, FALSE)+VLOOKUP(DL$4, Rates_current!$G$6:$Q$29, 11, FALSE))</f>
        <v>2370.6917064176</v>
      </c>
      <c r="DM133" s="180">
        <f>$BS133*(VLOOKUP(DM$4, Rates_current!$G$6:$Q$29, 10, FALSE)+VLOOKUP(DM$4, Rates_current!$G$6:$Q$29, 11, FALSE))</f>
        <v>2039.1108605502</v>
      </c>
      <c r="DN133" s="180">
        <f>$BS133*(VLOOKUP(DN$4, Rates_current!$G$6:$Q$29, 10, FALSE)+VLOOKUP(DN$4, Rates_current!$G$6:$Q$29, 11, FALSE))</f>
        <v>2226.3053360739</v>
      </c>
      <c r="DO133" s="180">
        <f>$BS133*(VLOOKUP(DO$4, Rates_current!$G$6:$Q$29, 10, FALSE)+VLOOKUP(DO$4, Rates_current!$G$6:$Q$29, 11, FALSE))</f>
        <v>1757.2928849013249</v>
      </c>
      <c r="DP133" s="180">
        <f>$BS133*(VLOOKUP(DP$4, Rates_current!$G$6:$Q$29, 10, FALSE)+VLOOKUP(DP$4, Rates_current!$G$6:$Q$29, 11, FALSE))</f>
        <v>2180.1573119538502</v>
      </c>
      <c r="DQ133" s="180">
        <f>$BS133*(VLOOKUP(DQ$4, Rates_current!$G$6:$Q$29, 10, FALSE)+VLOOKUP(DQ$4, Rates_current!$G$6:$Q$29, 11, FALSE))</f>
        <v>2227.4612830384499</v>
      </c>
      <c r="DR133" s="180">
        <f>$BS133*(VLOOKUP(DR$4, Rates_current!$G$6:$Q$29, 10, FALSE)+VLOOKUP(DR$4, Rates_current!$G$6:$Q$29, 11, FALSE))</f>
        <v>1933.75730042035</v>
      </c>
      <c r="DS133" s="180">
        <f>$BS133*(VLOOKUP(DS$4, Rates_current!$G$6:$Q$29, 10, FALSE)+VLOOKUP(DS$4, Rates_current!$G$6:$Q$29, 11, FALSE))</f>
        <v>1869.4292999554152</v>
      </c>
      <c r="DT133" s="180">
        <f>$BS133*(VLOOKUP(DT$4, Rates_current!$G$6:$Q$29, 10, FALSE)+VLOOKUP(DT$4, Rates_current!$G$6:$Q$29, 11, FALSE))</f>
        <v>1720.2369688162003</v>
      </c>
      <c r="DU133" s="402">
        <f>IF(D133=0,IF(C133=0,MAX(0,DW133 - (VLOOKUP($A133,TOCA_current!$A$2:$AI$137,MATCH("RHWM 2024",TOCA_current!$A$2:$AI$2,0),FALSE)*$BS$2)), 0),0)</f>
        <v>0</v>
      </c>
      <c r="DV133" s="403">
        <f>MIN(VLOOKUP($A133,TOCA_current!$A$2:$AI$137,MATCH("TRL - NLSL - Existing Resource "&amp;$BS$1,TOCA_current!$A$2:$AI$2,0),FALSE)*$BS$2, VLOOKUP($A133,TOCA_current!$A$2:$AI$137,MATCH("RHWM 2024",TOCA_current!$A$2:$AI$2,0),FALSE)*$BS$2)</f>
        <v>24375.599999999999</v>
      </c>
      <c r="DW133" s="403">
        <f>SUM(BY133:CV133)+(BS133*RT1SC!$C$4*$BS$2)</f>
        <v>24379.632111740757</v>
      </c>
      <c r="DX133" s="403">
        <f>VLOOKUP($A133,TOCA_current!$A$2:$AI$137,MATCH("Above RHWM Not Served with LS "&amp;$BS$1,TOCA_current!$A$2:$AI$2,0),FALSE)*$BS$2</f>
        <v>0</v>
      </c>
      <c r="DY133" s="403">
        <f t="shared" si="32"/>
        <v>4.0321117407584097</v>
      </c>
      <c r="DZ133" s="403">
        <f>(VLOOKUP($A133,TOCA_current!$A$2:$AI$137,MATCH("RHWM 2024",TOCA_current!$A$2:$AI$2,0),FALSE)*$BS$2) - $DV133</f>
        <v>11761.775999999998</v>
      </c>
      <c r="EA133" s="403">
        <f t="shared" si="33"/>
        <v>-4.0321117407584097</v>
      </c>
      <c r="EB133" s="403">
        <f t="shared" si="34"/>
        <v>0</v>
      </c>
      <c r="EC133" s="403">
        <f t="shared" si="35"/>
        <v>0</v>
      </c>
      <c r="ED133" s="403">
        <f t="shared" si="36"/>
        <v>-4.0321117407584097</v>
      </c>
    </row>
    <row r="134" spans="1:134">
      <c r="A134" s="123">
        <v>10502</v>
      </c>
      <c r="B134" s="124" t="s">
        <v>135</v>
      </c>
      <c r="C134" s="232">
        <f>VLOOKUP(A134, TOCA_current!$A$3:$D$137, 4, FALSE)</f>
        <v>0</v>
      </c>
      <c r="D134" s="191">
        <v>0</v>
      </c>
      <c r="E134" s="107">
        <f>VLOOKUP($A134,TOCA_previous!$A$2:$AI$137,MATCH(E$4,TOCA_previous!$A$2:$AI$2,0),FALSE)</f>
        <v>2.6491000000000002E-3</v>
      </c>
      <c r="F134" s="108">
        <f>VLOOKUP($A134,TOCA_previous!$A$2:$AI$137,MATCH(F$4,TOCA_previous!$A$2:$AI$2,0),FALSE)</f>
        <v>2.6491000000000002E-3</v>
      </c>
      <c r="G134" s="108">
        <f t="shared" si="24"/>
        <v>0</v>
      </c>
      <c r="H134" s="108">
        <f>VLOOKUP($A134,TOCA_previous!$A$2:$AI$137,MATCH(H$4,TOCA_previous!$A$2:$AI$2,0),FALSE)</f>
        <v>7.2249999999999995E-2</v>
      </c>
      <c r="I134" s="108">
        <f t="shared" si="25"/>
        <v>0</v>
      </c>
      <c r="J134" s="108">
        <f t="shared" si="26"/>
        <v>0</v>
      </c>
      <c r="K134" s="179">
        <f>VLOOKUP(A134, IRD!$A$5:$C$139, 3, FALSE)</f>
        <v>7189.6969999999992</v>
      </c>
      <c r="L134" s="180">
        <f t="array" ref="L134">IF($G134=0, INDEX(LS_previous!$D$4:$AY$138, MATCH('Staging Table'!$A134, LS_previous!$B$4:$B$138, 0), MATCH(L$4&amp;L$5, LS_previous!$D$2:$AY$2&amp;LS_previous!$D$3:$AY$3, 0)),SUM(VLOOKUP($A134, LS_previous!$B$4:$AY$138, LS_previous!D$149, FALSE), VLOOKUP('Staging Table'!$A134, LS_previous!$B$4:$AY$138,LS_previous!AB$149, FALSE))/2)</f>
        <v>-1395.0904897809924</v>
      </c>
      <c r="M134" s="180">
        <f t="array" ref="M134">IF($G134=0, INDEX(LS_previous!$D$4:$AY$138, MATCH('Staging Table'!$A134, LS_previous!$B$4:$B$138, 0), MATCH(M$4&amp;M$5, LS_previous!$D$2:$AY$2&amp;LS_previous!$D$3:$AY$3, 0)),SUM(VLOOKUP($A134, LS_previous!$B$4:$AY$138, LS_previous!E$149, FALSE), VLOOKUP('Staging Table'!$A134, LS_previous!$B$4:$AY$138,LS_previous!AC$149, FALSE))/2)</f>
        <v>-379.76069326227116</v>
      </c>
      <c r="N134" s="180">
        <f t="array" ref="N134">IF($G134=0, INDEX(LS_previous!$D$4:$AY$138, MATCH('Staging Table'!$A134, LS_previous!$B$4:$B$138, 0), MATCH(N$4&amp;N$5, LS_previous!$D$2:$AY$2&amp;LS_previous!$D$3:$AY$3, 0)),SUM(VLOOKUP($A134, LS_previous!$B$4:$AY$138, LS_previous!F$149, FALSE), VLOOKUP('Staging Table'!$A134, LS_previous!$B$4:$AY$138,LS_previous!AD$149, FALSE))/2)</f>
        <v>-4157.3495513185762</v>
      </c>
      <c r="O134" s="180">
        <f t="array" ref="O134">IF($G134=0, INDEX(LS_previous!$D$4:$AY$138, MATCH('Staging Table'!$A134, LS_previous!$B$4:$B$138, 0), MATCH(O$4&amp;O$5, LS_previous!$D$2:$AY$2&amp;LS_previous!$D$3:$AY$3, 0)),SUM(VLOOKUP($A134, LS_previous!$B$4:$AY$138, LS_previous!G$149, FALSE), VLOOKUP('Staging Table'!$A134, LS_previous!$B$4:$AY$138,LS_previous!AE$149, FALSE))/2)</f>
        <v>-2189.4405718881712</v>
      </c>
      <c r="P134" s="180">
        <f t="array" ref="P134">IF($G134=0, INDEX(LS_previous!$D$4:$AY$138, MATCH('Staging Table'!$A134, LS_previous!$B$4:$B$138, 0), MATCH(P$4&amp;P$5, LS_previous!$D$2:$AY$2&amp;LS_previous!$D$3:$AY$3, 0)),SUM(VLOOKUP($A134, LS_previous!$B$4:$AY$138, LS_previous!H$149, FALSE), VLOOKUP('Staging Table'!$A134, LS_previous!$B$4:$AY$138,LS_previous!AF$149, FALSE))/2)</f>
        <v>-2292.2692640859159</v>
      </c>
      <c r="Q134" s="180">
        <f t="array" ref="Q134">IF($G134=0, INDEX(LS_previous!$D$4:$AY$138, MATCH('Staging Table'!$A134, LS_previous!$B$4:$B$138, 0), MATCH(Q$4&amp;Q$5, LS_previous!$D$2:$AY$2&amp;LS_previous!$D$3:$AY$3, 0)),SUM(VLOOKUP($A134, LS_previous!$B$4:$AY$138, LS_previous!I$149, FALSE), VLOOKUP('Staging Table'!$A134, LS_previous!$B$4:$AY$138,LS_previous!AG$149, FALSE))/2)</f>
        <v>-1897.427115499735</v>
      </c>
      <c r="R134" s="180">
        <f t="array" ref="R134">IF($G134=0, INDEX(LS_previous!$D$4:$AY$138, MATCH('Staging Table'!$A134, LS_previous!$B$4:$B$138, 0), MATCH(R$4&amp;R$5, LS_previous!$D$2:$AY$2&amp;LS_previous!$D$3:$AY$3, 0)),SUM(VLOOKUP($A134, LS_previous!$B$4:$AY$138, LS_previous!J$149, FALSE), VLOOKUP('Staging Table'!$A134, LS_previous!$B$4:$AY$138,LS_previous!AH$149, FALSE))/2)</f>
        <v>-1050.3048500339428</v>
      </c>
      <c r="S134" s="180">
        <f t="array" ref="S134">IF($G134=0, INDEX(LS_previous!$D$4:$AY$138, MATCH('Staging Table'!$A134, LS_previous!$B$4:$B$138, 0), MATCH(S$4&amp;S$5, LS_previous!$D$2:$AY$2&amp;LS_previous!$D$3:$AY$3, 0)),SUM(VLOOKUP($A134, LS_previous!$B$4:$AY$138, LS_previous!K$149, FALSE), VLOOKUP('Staging Table'!$A134, LS_previous!$B$4:$AY$138,LS_previous!AI$149, FALSE))/2)</f>
        <v>-1062.7524877231517</v>
      </c>
      <c r="T134" s="180">
        <f t="array" ref="T134">IF($G134=0, INDEX(LS_previous!$D$4:$AY$138, MATCH('Staging Table'!$A134, LS_previous!$B$4:$B$138, 0), MATCH(T$4&amp;T$5, LS_previous!$D$2:$AY$2&amp;LS_previous!$D$3:$AY$3, 0)),SUM(VLOOKUP($A134, LS_previous!$B$4:$AY$138, LS_previous!L$149, FALSE), VLOOKUP('Staging Table'!$A134, LS_previous!$B$4:$AY$138,LS_previous!AJ$149, FALSE))/2)</f>
        <v>-412.41380129745176</v>
      </c>
      <c r="U134" s="180">
        <f t="array" ref="U134">IF($G134=0, INDEX(LS_previous!$D$4:$AY$138, MATCH('Staging Table'!$A134, LS_previous!$B$4:$B$138, 0), MATCH(U$4&amp;U$5, LS_previous!$D$2:$AY$2&amp;LS_previous!$D$3:$AY$3, 0)),SUM(VLOOKUP($A134, LS_previous!$B$4:$AY$138, LS_previous!M$149, FALSE), VLOOKUP('Staging Table'!$A134, LS_previous!$B$4:$AY$138,LS_previous!AK$149, FALSE))/2)</f>
        <v>-631.73590077596964</v>
      </c>
      <c r="V134" s="180">
        <f t="array" ref="V134">IF($G134=0, INDEX(LS_previous!$D$4:$AY$138, MATCH('Staging Table'!$A134, LS_previous!$B$4:$B$138, 0), MATCH(V$4&amp;V$5, LS_previous!$D$2:$AY$2&amp;LS_previous!$D$3:$AY$3, 0)),SUM(VLOOKUP($A134, LS_previous!$B$4:$AY$138, LS_previous!N$149, FALSE), VLOOKUP('Staging Table'!$A134, LS_previous!$B$4:$AY$138,LS_previous!AL$149, FALSE))/2)</f>
        <v>-2498.9313606492942</v>
      </c>
      <c r="W134" s="180">
        <f t="array" ref="W134">IF($G134=0, INDEX(LS_previous!$D$4:$AY$138, MATCH('Staging Table'!$A134, LS_previous!$B$4:$B$138, 0), MATCH(W$4&amp;W$5, LS_previous!$D$2:$AY$2&amp;LS_previous!$D$3:$AY$3, 0)),SUM(VLOOKUP($A134, LS_previous!$B$4:$AY$138, LS_previous!O$149, FALSE), VLOOKUP('Staging Table'!$A134, LS_previous!$B$4:$AY$138,LS_previous!AM$149, FALSE))/2)</f>
        <v>-1421.9674012132964</v>
      </c>
      <c r="X134" s="180">
        <f t="array" ref="X134">IF($G134=0, INDEX(LS_previous!$D$4:$AY$138, MATCH('Staging Table'!$A134, LS_previous!$B$4:$B$138, 0), MATCH(X$4&amp;X$5, LS_previous!$D$2:$AY$2&amp;LS_previous!$D$3:$AY$3, 0)),SUM(VLOOKUP($A134, LS_previous!$B$4:$AY$138, LS_previous!P$149, FALSE), VLOOKUP('Staging Table'!$A134, LS_previous!$B$4:$AY$138,LS_previous!AN$149, FALSE))/2)</f>
        <v>489.90445611378527</v>
      </c>
      <c r="Y134" s="180">
        <f t="array" ref="Y134">IF($G134=0, INDEX(LS_previous!$D$4:$AY$138, MATCH('Staging Table'!$A134, LS_previous!$B$4:$B$138, 0), MATCH(Y$4&amp;Y$5, LS_previous!$D$2:$AY$2&amp;LS_previous!$D$3:$AY$3, 0)),SUM(VLOOKUP($A134, LS_previous!$B$4:$AY$138, LS_previous!Q$149, FALSE), VLOOKUP('Staging Table'!$A134, LS_previous!$B$4:$AY$138,LS_previous!AO$149, FALSE))/2)</f>
        <v>382.51527106649974</v>
      </c>
      <c r="Z134" s="180">
        <f t="array" ref="Z134">IF($G134=0, INDEX(LS_previous!$D$4:$AY$138, MATCH('Staging Table'!$A134, LS_previous!$B$4:$B$138, 0), MATCH(Z$4&amp;Z$5, LS_previous!$D$2:$AY$2&amp;LS_previous!$D$3:$AY$3, 0)),SUM(VLOOKUP($A134, LS_previous!$B$4:$AY$138, LS_previous!R$149, FALSE), VLOOKUP('Staging Table'!$A134, LS_previous!$B$4:$AY$138,LS_previous!AP$149, FALSE))/2)</f>
        <v>-366.27649773645862</v>
      </c>
      <c r="AA134" s="180">
        <f t="array" ref="AA134">IF($G134=0, INDEX(LS_previous!$D$4:$AY$138, MATCH('Staging Table'!$A134, LS_previous!$B$4:$B$138, 0), MATCH(AA$4&amp;AA$5, LS_previous!$D$2:$AY$2&amp;LS_previous!$D$3:$AY$3, 0)),SUM(VLOOKUP($A134, LS_previous!$B$4:$AY$138, LS_previous!S$149, FALSE), VLOOKUP('Staging Table'!$A134, LS_previous!$B$4:$AY$138,LS_previous!AQ$149, FALSE))/2)</f>
        <v>1649.7767158553343</v>
      </c>
      <c r="AB134" s="180">
        <f t="array" ref="AB134">IF($G134=0, INDEX(LS_previous!$D$4:$AY$138, MATCH('Staging Table'!$A134, LS_previous!$B$4:$B$138, 0), MATCH(AB$4&amp;AB$5, LS_previous!$D$2:$AY$2&amp;LS_previous!$D$3:$AY$3, 0)),SUM(VLOOKUP($A134, LS_previous!$B$4:$AY$138, LS_previous!T$149, FALSE), VLOOKUP('Staging Table'!$A134, LS_previous!$B$4:$AY$138,LS_previous!AR$149, FALSE))/2)</f>
        <v>685.26642038097816</v>
      </c>
      <c r="AC134" s="180">
        <f t="array" ref="AC134">IF($G134=0, INDEX(LS_previous!$D$4:$AY$138, MATCH('Staging Table'!$A134, LS_previous!$B$4:$B$138, 0), MATCH(AC$4&amp;AC$5, LS_previous!$D$2:$AY$2&amp;LS_previous!$D$3:$AY$3, 0)),SUM(VLOOKUP($A134, LS_previous!$B$4:$AY$138, LS_previous!U$149, FALSE), VLOOKUP('Staging Table'!$A134, LS_previous!$B$4:$AY$138,LS_previous!AS$149, FALSE))/2)</f>
        <v>2785.2947080335571</v>
      </c>
      <c r="AD134" s="180">
        <f t="array" ref="AD134">IF($G134=0, INDEX(LS_previous!$D$4:$AY$138, MATCH('Staging Table'!$A134, LS_previous!$B$4:$B$138, 0), MATCH(AD$4&amp;AD$5, LS_previous!$D$2:$AY$2&amp;LS_previous!$D$3:$AY$3, 0)),SUM(VLOOKUP($A134, LS_previous!$B$4:$AY$138, LS_previous!V$149, FALSE), VLOOKUP('Staging Table'!$A134, LS_previous!$B$4:$AY$138,LS_previous!AT$149, FALSE))/2)</f>
        <v>4097.7566336604486</v>
      </c>
      <c r="AE134" s="180">
        <f t="array" ref="AE134">IF($G134=0, INDEX(LS_previous!$D$4:$AY$138, MATCH('Staging Table'!$A134, LS_previous!$B$4:$B$138, 0), MATCH(AE$4&amp;AE$5, LS_previous!$D$2:$AY$2&amp;LS_previous!$D$3:$AY$3, 0)),SUM(VLOOKUP($A134, LS_previous!$B$4:$AY$138, LS_previous!W$149, FALSE), VLOOKUP('Staging Table'!$A134, LS_previous!$B$4:$AY$138,LS_previous!AU$149, FALSE))/2)</f>
        <v>4653.8097363078132</v>
      </c>
      <c r="AF134" s="180">
        <f t="array" ref="AF134">IF($G134=0, INDEX(LS_previous!$D$4:$AY$138, MATCH('Staging Table'!$A134, LS_previous!$B$4:$B$138, 0), MATCH(AF$4&amp;AF$5, LS_previous!$D$2:$AY$2&amp;LS_previous!$D$3:$AY$3, 0)),SUM(VLOOKUP($A134, LS_previous!$B$4:$AY$138, LS_previous!X$149, FALSE), VLOOKUP('Staging Table'!$A134, LS_previous!$B$4:$AY$138,LS_previous!AV$149, FALSE))/2)</f>
        <v>4967.9289759478997</v>
      </c>
      <c r="AG134" s="180">
        <f t="array" ref="AG134">IF($G134=0, INDEX(LS_previous!$D$4:$AY$138, MATCH('Staging Table'!$A134, LS_previous!$B$4:$B$138, 0), MATCH(AG$4&amp;AG$5, LS_previous!$D$2:$AY$2&amp;LS_previous!$D$3:$AY$3, 0)),SUM(VLOOKUP($A134, LS_previous!$B$4:$AY$138, LS_previous!Y$149, FALSE), VLOOKUP('Staging Table'!$A134, LS_previous!$B$4:$AY$138,LS_previous!AW$149, FALSE))/2)</f>
        <v>4406.3607903647599</v>
      </c>
      <c r="AH134" s="180">
        <f t="array" ref="AH134">IF($G134=0, INDEX(LS_previous!$D$4:$AY$138, MATCH('Staging Table'!$A134, LS_previous!$B$4:$B$138, 0), MATCH(AH$4&amp;AH$5, LS_previous!$D$2:$AY$2&amp;LS_previous!$D$3:$AY$3, 0)),SUM(VLOOKUP($A134, LS_previous!$B$4:$AY$138, LS_previous!Z$149, FALSE), VLOOKUP('Staging Table'!$A134, LS_previous!$B$4:$AY$138,LS_previous!AX$149, FALSE))/2)</f>
        <v>1020.1194829760752</v>
      </c>
      <c r="AI134" s="180">
        <f t="array" ref="AI134">IF($G134=0, INDEX(LS_previous!$D$4:$AY$138, MATCH('Staging Table'!$A134, LS_previous!$B$4:$B$138, 0), MATCH(AI$4&amp;AI$5, LS_previous!$D$2:$AY$2&amp;LS_previous!$D$3:$AY$3, 0)),SUM(VLOOKUP($A134, LS_previous!$B$4:$AY$138, LS_previous!AA$149, FALSE), VLOOKUP('Staging Table'!$A134, LS_previous!$B$4:$AY$138,LS_previous!AY$149, FALSE))/2)</f>
        <v>1807.4074195999137</v>
      </c>
      <c r="AJ134" s="298">
        <f t="array" ref="AJ134">INDEX(Demand_previous!$D$4:$AY$138, MATCH('Staging Table'!$A134, Demand_previous!$B$4:$B$138, 0), MATCH(AJ$4&amp;AJ$5,Demand_previous!$D$2:$AY$2&amp;Demand_previous!$D$3:$AY$3, 0))/1000</f>
        <v>2.5669062500000006</v>
      </c>
      <c r="AK134" s="298">
        <f t="array" ref="AK134">INDEX(Demand_previous!$D$4:$AY$138, MATCH('Staging Table'!$A134, Demand_previous!$B$4:$B$138, 0), MATCH(AK$4&amp;AK$5,Demand_previous!$D$2:$AY$2&amp;Demand_previous!$D$3:$AY$3, 0))/1000</f>
        <v>3.2934475000000023</v>
      </c>
      <c r="AL134" s="298">
        <f t="array" ref="AL134">INDEX(Demand_previous!$D$4:$AY$138, MATCH('Staging Table'!$A134, Demand_previous!$B$4:$B$138, 0), MATCH(AL$4&amp;AL$5,Demand_previous!$D$2:$AY$2&amp;Demand_previous!$D$3:$AY$3, 0))/1000</f>
        <v>1.4535480769230773</v>
      </c>
      <c r="AM134" s="298">
        <f t="array" ref="AM134">INDEX(Demand_previous!$D$4:$AY$138, MATCH('Staging Table'!$A134, Demand_previous!$B$4:$B$138, 0), MATCH(AM$4&amp;AM$5,Demand_previous!$D$2:$AY$2&amp;Demand_previous!$D$3:$AY$3, 0))/1000</f>
        <v>1.739012499999999</v>
      </c>
      <c r="AN134" s="298">
        <f t="array" ref="AN134">INDEX(Demand_previous!$D$4:$AY$138, MATCH('Staging Table'!$A134, Demand_previous!$B$4:$B$138, 0), MATCH(AN$4&amp;AN$5,Demand_previous!$D$2:$AY$2&amp;Demand_previous!$D$3:$AY$3, 0))/1000</f>
        <v>1.1038880208333306</v>
      </c>
      <c r="AO134" s="298">
        <f t="array" ref="AO134">INDEX(Demand_previous!$D$4:$AY$138, MATCH('Staging Table'!$A134, Demand_previous!$B$4:$B$138, 0), MATCH(AO$4&amp;AO$5,Demand_previous!$D$2:$AY$2&amp;Demand_previous!$D$3:$AY$3, 0))/1000</f>
        <v>1.9420439814814805</v>
      </c>
      <c r="AP134" s="298">
        <f t="array" ref="AP134">INDEX(Demand_previous!$D$4:$AY$138, MATCH('Staging Table'!$A134, Demand_previous!$B$4:$B$138, 0), MATCH(AP$4&amp;AP$5,Demand_previous!$D$2:$AY$2&amp;Demand_previous!$D$3:$AY$3, 0))/1000</f>
        <v>3.8473052884615404</v>
      </c>
      <c r="AQ134" s="298">
        <f t="array" ref="AQ134">INDEX(Demand_previous!$D$4:$AY$138, MATCH('Staging Table'!$A134, Demand_previous!$B$4:$B$138, 0), MATCH(AQ$4&amp;AQ$5,Demand_previous!$D$2:$AY$2&amp;Demand_previous!$D$3:$AY$3, 0))/1000</f>
        <v>2.6304800000000004</v>
      </c>
      <c r="AR134" s="298">
        <f t="array" ref="AR134">INDEX(Demand_previous!$D$4:$AY$138, MATCH('Staging Table'!$A134, Demand_previous!$B$4:$B$138, 0), MATCH(AR$4&amp;AR$5,Demand_previous!$D$2:$AY$2&amp;Demand_previous!$D$3:$AY$3, 0))/1000</f>
        <v>4.6153341346153862</v>
      </c>
      <c r="AS134" s="298">
        <f t="array" ref="AS134">INDEX(Demand_previous!$D$4:$AY$138, MATCH('Staging Table'!$A134, Demand_previous!$B$4:$B$138, 0), MATCH(AS$4&amp;AS$5,Demand_previous!$D$2:$AY$2&amp;Demand_previous!$D$3:$AY$3, 0))/1000</f>
        <v>1.4066224999999966</v>
      </c>
      <c r="AT134" s="298">
        <f t="array" ref="AT134">INDEX(Demand_previous!$D$4:$AY$138, MATCH('Staging Table'!$A134, Demand_previous!$B$4:$B$138, 0), MATCH(AT$4&amp;AT$5,Demand_previous!$D$2:$AY$2&amp;Demand_previous!$D$3:$AY$3, 0))/1000</f>
        <v>0.69487268518518253</v>
      </c>
      <c r="AU134" s="298">
        <f t="array" ref="AU134">INDEX(Demand_previous!$D$4:$AY$138, MATCH('Staging Table'!$A134, Demand_previous!$B$4:$B$138, 0), MATCH(AU$4&amp;AU$5,Demand_previous!$D$2:$AY$2&amp;Demand_previous!$D$3:$AY$3, 0))/1000</f>
        <v>5.2655375000000024</v>
      </c>
      <c r="AV134" s="180">
        <f>$F134*(VLOOKUP(AV$4, Rates_previous!$G$6:$Q$29, 10, FALSE)+VLOOKUP(AV$4, Rates_previous!$G$6:$Q$29, 11, FALSE))</f>
        <v>12063.801183043264</v>
      </c>
      <c r="AW134" s="180">
        <f>$F134*(VLOOKUP(AW$4, Rates_previous!$G$6:$Q$29, 10, FALSE)+VLOOKUP(AW$4, Rates_previous!$G$6:$Q$29, 11, FALSE))</f>
        <v>15273.210123206749</v>
      </c>
      <c r="AX134" s="180">
        <f>$F134*(VLOOKUP(AX$4, Rates_previous!$G$6:$Q$29, 10, FALSE)+VLOOKUP(AX$4, Rates_previous!$G$6:$Q$29, 11, FALSE))</f>
        <v>14949.42137958565</v>
      </c>
      <c r="AY134" s="180">
        <f>$F134*(VLOOKUP(AY$4, Rates_previous!$G$6:$Q$29, 10, FALSE)+VLOOKUP(AY$4, Rates_previous!$G$6:$Q$29, 11, FALSE))</f>
        <v>12347.586337757095</v>
      </c>
      <c r="AZ134" s="180">
        <f>$F134*(VLOOKUP(AZ$4, Rates_previous!$G$6:$Q$29, 10, FALSE)+VLOOKUP(AZ$4, Rates_previous!$G$6:$Q$29, 11, FALSE))</f>
        <v>10701.923702073422</v>
      </c>
      <c r="BA134" s="180">
        <f>$F134*(VLOOKUP(BA$4, Rates_previous!$G$6:$Q$29, 10, FALSE)+VLOOKUP(BA$4, Rates_previous!$G$6:$Q$29, 11, FALSE))</f>
        <v>12775.935761862593</v>
      </c>
      <c r="BB134" s="180">
        <f>$F134*(VLOOKUP(BB$4, Rates_previous!$G$6:$Q$29, 10, FALSE)+VLOOKUP(BB$4, Rates_previous!$G$6:$Q$29, 11, FALSE))</f>
        <v>9918.8132728197161</v>
      </c>
      <c r="BC134" s="180">
        <f>$F134*(VLOOKUP(BC$4, Rates_previous!$G$6:$Q$29, 10, FALSE)+VLOOKUP(BC$4, Rates_previous!$G$6:$Q$29, 11, FALSE))</f>
        <v>13742.588781881124</v>
      </c>
      <c r="BD134" s="180">
        <f>$F134*(VLOOKUP(BD$4, Rates_previous!$G$6:$Q$29, 10, FALSE)+VLOOKUP(BD$4, Rates_previous!$G$6:$Q$29, 11, FALSE))</f>
        <v>14684.243871585464</v>
      </c>
      <c r="BE134" s="180">
        <f>$F134*(VLOOKUP(BE$4, Rates_previous!$G$6:$Q$29, 10, FALSE)+VLOOKUP(BE$4, Rates_previous!$G$6:$Q$29, 11, FALSE))</f>
        <v>13942.024630031739</v>
      </c>
      <c r="BF134" s="180">
        <f>$F134*(VLOOKUP(BF$4, Rates_previous!$G$6:$Q$29, 10, FALSE)+VLOOKUP(BF$4, Rates_previous!$G$6:$Q$29, 11, FALSE))</f>
        <v>13473.89123368734</v>
      </c>
      <c r="BG134" s="180">
        <f>$F134*(VLOOKUP(BG$4, Rates_previous!$G$6:$Q$29, 10, FALSE)+VLOOKUP(BG$4, Rates_previous!$G$6:$Q$29, 11, FALSE))</f>
        <v>12451.280097424011</v>
      </c>
      <c r="BH134" s="298">
        <f>IF($D134=0,IF(C134=0, MAX(BJ134 - (VLOOKUP($A134,TOCA_previous!$A$2:$AI$137,MATCH("RHWM 2022",TOCA_previous!$A$2:$AI$2,0),FALSE)*$F$2*TOCA_previous!C131),0),0), 0)</f>
        <v>7192.9489966858528</v>
      </c>
      <c r="BI134" s="192">
        <f>MIN(VLOOKUP($A134,TOCA_previous!$A$2:$AI$137,MATCH("TRL - NLSL - Existing Resource "&amp;$F$1,TOCA_previous!$A$2:$AI$2,0),FALSE)*$F$2,(VLOOKUP($A134,TOCA_previous!$A$2:$AI$137,MATCH("RHWM 2022",TOCA_previous!$A$2:$AI$2,0),FALSE)*$F$2))</f>
        <v>156322.19999999998</v>
      </c>
      <c r="BJ134" s="402">
        <f>SUM(L134:AI134)+(F134*RT1SC!$C$3*$F$2)</f>
        <v>163515.14899668584</v>
      </c>
      <c r="BK134" s="401">
        <f>VLOOKUP($A134,TOCA_previous!$A$2:$AI$137,MATCH("Above RHWM Not Served with LS "&amp;$F$1,TOCA_previous!$A$2:$AI$2,0),FALSE)*$F$2</f>
        <v>0</v>
      </c>
      <c r="BL134" s="402">
        <f t="shared" si="27"/>
        <v>7192.9489966858528</v>
      </c>
      <c r="BM134" s="401">
        <f>(VLOOKUP($A134,TOCA_previous!$A$2:$AI$137,MATCH("RHWM 2022",TOCA_previous!$A$2:$AI$2,0),FALSE)*$F$2) - $BI134</f>
        <v>0</v>
      </c>
      <c r="BN134" s="402">
        <f t="shared" si="28"/>
        <v>0</v>
      </c>
      <c r="BO134" s="401">
        <f t="shared" si="29"/>
        <v>0</v>
      </c>
      <c r="BP134" s="402">
        <f t="shared" si="30"/>
        <v>0</v>
      </c>
      <c r="BQ134" s="401">
        <f t="shared" ref="BQ134:BQ140" si="40">IF($D134=0,SUM($BN134:$BP134),0)</f>
        <v>0</v>
      </c>
      <c r="BR134" s="108">
        <f>VLOOKUP($A134,TOCA_current!$A$2:$AI$137,MATCH(BR$4,TOCA_current!$A$2:$AI$2,0),FALSE)</f>
        <v>2.6354E-3</v>
      </c>
      <c r="BS134" s="108">
        <f>VLOOKUP($A134,TOCA_current!$A$2:$AI$137,MATCH(BS$4,TOCA_current!$A$2:$AI$2,0),FALSE)</f>
        <v>2.6354E-3</v>
      </c>
      <c r="BT134" s="189">
        <f t="shared" si="31"/>
        <v>0</v>
      </c>
      <c r="BU134" s="108">
        <f>VLOOKUP($A134,TOCA_current!A130:BG265,MATCH(BU$4,TOCA_current!$A$2:$BG$2,0),FALSE)</f>
        <v>7.0000000000000007E-2</v>
      </c>
      <c r="BV134" s="108">
        <f t="shared" ref="BV134:BV140" si="41">IF(C134=0,0,BU134)</f>
        <v>0</v>
      </c>
      <c r="BW134" s="108">
        <f t="shared" ref="BW134:BW140" si="42">IF(C134=0,0,BR134)</f>
        <v>0</v>
      </c>
      <c r="BX134" s="179">
        <f>VLOOKUP($A134,IRD!$A$4:$G$139, 7, FALSE)</f>
        <v>7189.6969999999992</v>
      </c>
      <c r="BY134" s="180">
        <f t="array" ref="BY134">IF($BT134=0, INDEX(LS_current!$D$4:$AY$138, MATCH('Staging Table'!$A134, LS_current!$B$4:$B$138, 0), MATCH(BY$4&amp;BY$5, LS_current!$D$2:$AY$2&amp;LS_current!$D$3:$AY$3, 0)),SUM(VLOOKUP($A134, LS_current!$B$4:$AY$138, LS_current!D$148, FALSE), VLOOKUP($A134, LS_current!$B$4:$AY$138,LS_current!AB$148, FALSE))/2)</f>
        <v>-384.33601247440038</v>
      </c>
      <c r="BZ134" s="180">
        <f t="array" ref="BZ134">IF($BT134=0, INDEX(LS_current!$D$4:$AY$138, MATCH('Staging Table'!$A134, LS_current!$B$4:$B$138, 0), MATCH(BZ$4&amp;BZ$5, LS_current!$D$2:$AY$2&amp;LS_current!$D$3:$AY$3, 0)),SUM(VLOOKUP($A134, LS_current!$B$4:$AY$138, LS_current!E$148, FALSE), VLOOKUP($A134, LS_current!$B$4:$AY$138,LS_current!AC$148, FALSE))/2)</f>
        <v>-444.94942058270044</v>
      </c>
      <c r="CA134" s="180">
        <f t="array" ref="CA134">IF($BT134=0, INDEX(LS_current!$D$4:$AY$138, MATCH('Staging Table'!$A134, LS_current!$B$4:$B$138, 0), MATCH(CA$4&amp;CA$5, LS_current!$D$2:$AY$2&amp;LS_current!$D$3:$AY$3, 0)),SUM(VLOOKUP($A134, LS_current!$B$4:$AY$138, LS_current!F$148, FALSE), VLOOKUP($A134, LS_current!$B$4:$AY$138,LS_current!AD$148, FALSE))/2)</f>
        <v>-3388.2089042112011</v>
      </c>
      <c r="CB134" s="180">
        <f t="array" ref="CB134">IF($BT134=0, INDEX(LS_current!$D$4:$AY$138, MATCH('Staging Table'!$A134, LS_current!$B$4:$B$138, 0), MATCH(CB$4&amp;CB$5, LS_current!$D$2:$AY$2&amp;LS_current!$D$3:$AY$3, 0)),SUM(VLOOKUP($A134, LS_current!$B$4:$AY$138, LS_current!G$148, FALSE), VLOOKUP($A134, LS_current!$B$4:$AY$138,LS_current!AE$148, FALSE))/2)</f>
        <v>-1864.7875441374003</v>
      </c>
      <c r="CC134" s="180">
        <f t="array" ref="CC134">IF($BT134=0, INDEX(LS_current!$D$4:$AY$138, MATCH('Staging Table'!$A134, LS_current!$B$4:$B$138, 0), MATCH(CC$4&amp;CC$5, LS_current!$D$2:$AY$2&amp;LS_current!$D$3:$AY$3, 0)),SUM(VLOOKUP($A134, LS_current!$B$4:$AY$138, LS_current!H$148, FALSE), VLOOKUP($A134, LS_current!$B$4:$AY$138,LS_current!AF$148, FALSE))/2)</f>
        <v>-3029.7961165606002</v>
      </c>
      <c r="CD134" s="180">
        <f t="array" ref="CD134">IF($BT134=0, INDEX(LS_current!$D$4:$AY$138, MATCH('Staging Table'!$A134, LS_current!$B$4:$B$138, 0), MATCH(CD$4&amp;CD$5, LS_current!$D$2:$AY$2&amp;LS_current!$D$3:$AY$3, 0)),SUM(VLOOKUP($A134, LS_current!$B$4:$AY$138, LS_current!I$148, FALSE), VLOOKUP($A134, LS_current!$B$4:$AY$138,LS_current!AG$148, FALSE))/2)</f>
        <v>-1512.8747864384004</v>
      </c>
      <c r="CE134" s="180">
        <f t="array" ref="CE134">IF($BT134=0, INDEX(LS_current!$D$4:$AY$138, MATCH('Staging Table'!$A134, LS_current!$B$4:$B$138, 0), MATCH(CE$4&amp;CE$5, LS_current!$D$2:$AY$2&amp;LS_current!$D$3:$AY$3, 0)),SUM(VLOOKUP($A134, LS_current!$B$4:$AY$138, LS_current!J$148, FALSE), VLOOKUP($A134, LS_current!$B$4:$AY$138,LS_current!AH$148, FALSE))/2)</f>
        <v>-3871.0469457110003</v>
      </c>
      <c r="CF134" s="180">
        <f t="array" ref="CF134">IF($BT134=0, INDEX(LS_current!$D$4:$AY$138, MATCH('Staging Table'!$A134, LS_current!$B$4:$B$138, 0), MATCH(CF$4&amp;CF$5, LS_current!$D$2:$AY$2&amp;LS_current!$D$3:$AY$3, 0)),SUM(VLOOKUP($A134, LS_current!$B$4:$AY$138, LS_current!K$148, FALSE), VLOOKUP($A134, LS_current!$B$4:$AY$138,LS_current!AI$148, FALSE))/2)</f>
        <v>-1795.9789616266007</v>
      </c>
      <c r="CG134" s="180">
        <f t="array" ref="CG134">IF($BT134=0, INDEX(LS_current!$D$4:$AY$138, MATCH('Staging Table'!$A134, LS_current!$B$4:$B$138, 0), MATCH(CG$4&amp;CG$5, LS_current!$D$2:$AY$2&amp;LS_current!$D$3:$AY$3, 0)),SUM(VLOOKUP($A134, LS_current!$B$4:$AY$138, LS_current!L$148, FALSE), VLOOKUP($A134, LS_current!$B$4:$AY$138,LS_current!AJ$148, FALSE))/2)</f>
        <v>-2892.6061395165989</v>
      </c>
      <c r="CH134" s="180">
        <f t="array" ref="CH134">IF($BT134=0, INDEX(LS_current!$D$4:$AY$138, MATCH('Staging Table'!$A134, LS_current!$B$4:$B$138, 0), MATCH(CH$4&amp;CH$5, LS_current!$D$2:$AY$2&amp;LS_current!$D$3:$AY$3, 0)),SUM(VLOOKUP($A134, LS_current!$B$4:$AY$138, LS_current!M$148, FALSE), VLOOKUP($A134, LS_current!$B$4:$AY$138,LS_current!AK$148, FALSE))/2)</f>
        <v>-1127.0766227486001</v>
      </c>
      <c r="CI134" s="180">
        <f t="array" ref="CI134">IF($BT134=0, INDEX(LS_current!$D$4:$AY$138, MATCH('Staging Table'!$A134, LS_current!$B$4:$B$138, 0), MATCH(CI$4&amp;CI$5, LS_current!$D$2:$AY$2&amp;LS_current!$D$3:$AY$3, 0)),SUM(VLOOKUP($A134, LS_current!$B$4:$AY$138, LS_current!N$148, FALSE), VLOOKUP($A134, LS_current!$B$4:$AY$138,LS_current!AL$148, FALSE))/2)</f>
        <v>-3744.6398304001996</v>
      </c>
      <c r="CJ134" s="180">
        <f t="array" ref="CJ134">IF($BT134=0, INDEX(LS_current!$D$4:$AY$138, MATCH('Staging Table'!$A134, LS_current!$B$4:$B$138, 0), MATCH(CJ$4&amp;CJ$5, LS_current!$D$2:$AY$2&amp;LS_current!$D$3:$AY$3, 0)),SUM(VLOOKUP($A134, LS_current!$B$4:$AY$138, LS_current!O$148, FALSE), VLOOKUP($A134, LS_current!$B$4:$AY$138,LS_current!AM$148, FALSE))/2)</f>
        <v>-2333.3979537411997</v>
      </c>
      <c r="CK134" s="180">
        <f t="array" ref="CK134">IF($BT134=0, INDEX(LS_current!$D$4:$AY$138, MATCH('Staging Table'!$A134, LS_current!$B$4:$B$138, 0), MATCH(CK$4&amp;CK$5, LS_current!$D$2:$AY$2&amp;LS_current!$D$3:$AY$3, 0)),SUM(VLOOKUP($A134, LS_current!$B$4:$AY$138, LS_current!P$148, FALSE), VLOOKUP($A134, LS_current!$B$4:$AY$138,LS_current!AN$148, FALSE))/2)</f>
        <v>-572.4244568234999</v>
      </c>
      <c r="CL134" s="180">
        <f t="array" ref="CL134">IF($BT134=0, INDEX(LS_current!$D$4:$AY$138, MATCH('Staging Table'!$A134, LS_current!$B$4:$B$138, 0), MATCH(CL$4&amp;CL$5, LS_current!$D$2:$AY$2&amp;LS_current!$D$3:$AY$3, 0)),SUM(VLOOKUP($A134, LS_current!$B$4:$AY$138, LS_current!Q$148, FALSE), VLOOKUP($A134, LS_current!$B$4:$AY$138,LS_current!AO$148, FALSE))/2)</f>
        <v>-423.48855709594864</v>
      </c>
      <c r="CM134" s="180">
        <f t="array" ref="CM134">IF($BT134=0, INDEX(LS_current!$D$4:$AY$138, MATCH('Staging Table'!$A134, LS_current!$B$4:$B$138, 0), MATCH(CM$4&amp;CM$5, LS_current!$D$2:$AY$2&amp;LS_current!$D$3:$AY$3, 0)),SUM(VLOOKUP($A134, LS_current!$B$4:$AY$138, LS_current!R$148, FALSE), VLOOKUP($A134, LS_current!$B$4:$AY$138,LS_current!AP$148, FALSE))/2)</f>
        <v>8.1218787807993067</v>
      </c>
      <c r="CN134" s="180">
        <f t="array" ref="CN134">IF($BT134=0, INDEX(LS_current!$D$4:$AY$138, MATCH('Staging Table'!$A134, LS_current!$B$4:$B$138, 0), MATCH(CN$4&amp;CN$5, LS_current!$D$2:$AY$2&amp;LS_current!$D$3:$AY$3, 0)),SUM(VLOOKUP($A134, LS_current!$B$4:$AY$138, LS_current!S$148, FALSE), VLOOKUP($A134, LS_current!$B$4:$AY$138,LS_current!AQ$148, FALSE))/2)</f>
        <v>394.43293968910075</v>
      </c>
      <c r="CO134" s="180">
        <f t="array" ref="CO134">IF($BT134=0, INDEX(LS_current!$D$4:$AY$138, MATCH('Staging Table'!$A134, LS_current!$B$4:$B$138, 0), MATCH(CO$4&amp;CO$5, LS_current!$D$2:$AY$2&amp;LS_current!$D$3:$AY$3, 0)),SUM(VLOOKUP($A134, LS_current!$B$4:$AY$138, LS_current!T$148, FALSE), VLOOKUP($A134, LS_current!$B$4:$AY$138,LS_current!AR$148, FALSE))/2)</f>
        <v>1774.9361118195993</v>
      </c>
      <c r="CP134" s="180">
        <f t="array" ref="CP134">IF($BT134=0, INDEX(LS_current!$D$4:$AY$138, MATCH('Staging Table'!$A134, LS_current!$B$4:$B$138, 0), MATCH(CP$4&amp;CP$5, LS_current!$D$2:$AY$2&amp;LS_current!$D$3:$AY$3, 0)),SUM(VLOOKUP($A134, LS_current!$B$4:$AY$138, LS_current!U$148, FALSE), VLOOKUP($A134, LS_current!$B$4:$AY$138,LS_current!AS$148, FALSE))/2)</f>
        <v>1439.040521370699</v>
      </c>
      <c r="CQ134" s="180">
        <f t="array" ref="CQ134">IF($BT134=0, INDEX(LS_current!$D$4:$AY$138, MATCH('Staging Table'!$A134, LS_current!$B$4:$B$138, 0), MATCH(CQ$4&amp;CQ$5, LS_current!$D$2:$AY$2&amp;LS_current!$D$3:$AY$3, 0)),SUM(VLOOKUP($A134, LS_current!$B$4:$AY$138, LS_current!V$148, FALSE), VLOOKUP($A134, LS_current!$B$4:$AY$138,LS_current!AT$148, FALSE))/2)</f>
        <v>5300.8954891543999</v>
      </c>
      <c r="CR134" s="180">
        <f t="array" ref="CR134">IF($BT134=0, INDEX(LS_current!$D$4:$AY$138, MATCH('Staging Table'!$A134, LS_current!$B$4:$B$138, 0), MATCH(CR$4&amp;CR$5, LS_current!$D$2:$AY$2&amp;LS_current!$D$3:$AY$3, 0)),SUM(VLOOKUP($A134, LS_current!$B$4:$AY$138, LS_current!W$148, FALSE), VLOOKUP($A134, LS_current!$B$4:$AY$138,LS_current!AU$148, FALSE))/2)</f>
        <v>4421.9039874865002</v>
      </c>
      <c r="CS134" s="180">
        <f t="array" ref="CS134">IF($BT134=0, INDEX(LS_current!$D$4:$AY$138, MATCH('Staging Table'!$A134, LS_current!$B$4:$B$138, 0), MATCH(CS$4&amp;CS$5, LS_current!$D$2:$AY$2&amp;LS_current!$D$3:$AY$3, 0)),SUM(VLOOKUP($A134, LS_current!$B$4:$AY$138, LS_current!X$148, FALSE), VLOOKUP($A134, LS_current!$B$4:$AY$138,LS_current!AV$148, FALSE))/2)</f>
        <v>6087.3810820288991</v>
      </c>
      <c r="CT134" s="180">
        <f t="array" ref="CT134">IF($BT134=0, INDEX(LS_current!$D$4:$AY$138, MATCH('Staging Table'!$A134, LS_current!$B$4:$B$138, 0), MATCH(CT$4&amp;CT$5, LS_current!$D$2:$AY$2&amp;LS_current!$D$3:$AY$3, 0)),SUM(VLOOKUP($A134, LS_current!$B$4:$AY$138, LS_current!Y$148, FALSE), VLOOKUP($A134, LS_current!$B$4:$AY$138,LS_current!AW$148, FALSE))/2)</f>
        <v>4221.4922643633099</v>
      </c>
      <c r="CU134" s="180">
        <f t="array" ref="CU134">IF($BT134=0, INDEX(LS_current!$D$4:$AY$138, MATCH('Staging Table'!$A134, LS_current!$B$4:$B$138, 0), MATCH(CU$4&amp;CU$5, LS_current!$D$2:$AY$2&amp;LS_current!$D$3:$AY$3, 0)),SUM(VLOOKUP($A134, LS_current!$B$4:$AY$138, LS_current!Z$148, FALSE), VLOOKUP($A134, LS_current!$B$4:$AY$138,LS_current!AX$148, FALSE))/2)</f>
        <v>2075.1766727003987</v>
      </c>
      <c r="CV134" s="180">
        <f t="array" ref="CV134">IF($BT134=0, INDEX(LS_current!$D$4:$AY$138, MATCH('Staging Table'!$A134, LS_current!$B$4:$B$138, 0), MATCH(CV$4&amp;CV$5, LS_current!$D$2:$AY$2&amp;LS_current!$D$3:$AY$3, 0)),SUM(VLOOKUP($A134, LS_current!$B$4:$AY$138, LS_current!AA$148, FALSE), VLOOKUP($A134, LS_current!$B$4:$AY$138,LS_current!AY$148, FALSE))/2)</f>
        <v>1665.0390633183997</v>
      </c>
      <c r="CW134" s="182">
        <f t="array" ref="CW134">INDEX(Demand_current!$D$4:$AY$138, MATCH($A134, Demand_current!$B$4:$B$138, 0), MATCH(CW$4&amp;CW$5,Demand_current!$D$2:$AY$2&amp;Demand_current!$D$3:$AY$3, 0))/1000</f>
        <v>2.5669062500000006</v>
      </c>
      <c r="CX134" s="182">
        <f t="array" ref="CX134">INDEX(Demand_current!$D$4:$AY$138, MATCH($A134, Demand_current!$B$4:$B$138, 0), MATCH(CX$4&amp;CX$5,Demand_current!$D$2:$AY$2&amp;Demand_current!$D$3:$AY$3, 0))/1000</f>
        <v>3.2934475000000023</v>
      </c>
      <c r="CY134" s="182">
        <f t="array" ref="CY134">INDEX(Demand_current!$D$4:$AY$138, MATCH($A134, Demand_current!$B$4:$B$138, 0), MATCH(CY$4&amp;CY$5,Demand_current!$D$2:$AY$2&amp;Demand_current!$D$3:$AY$3, 0))/1000</f>
        <v>0.85276999999999947</v>
      </c>
      <c r="CZ134" s="182">
        <f t="array" ref="CZ134">INDEX(Demand_current!$D$4:$AY$138, MATCH($A134, Demand_current!$B$4:$B$138, 0), MATCH(CZ$4&amp;CZ$5,Demand_current!$D$2:$AY$2&amp;Demand_current!$D$3:$AY$3, 0))/1000</f>
        <v>2.3134350961538455</v>
      </c>
      <c r="DA134" s="182">
        <f t="array" ref="DA134">INDEX(Demand_current!$D$4:$AY$138, MATCH($A134, Demand_current!$B$4:$B$138, 0), MATCH(DA$4&amp;DA$5,Demand_current!$D$2:$AY$2&amp;Demand_current!$D$3:$AY$3, 0))/1000</f>
        <v>1.708492499999998</v>
      </c>
      <c r="DB134" s="182">
        <f t="array" ref="DB134">INDEX(Demand_current!$D$4:$AY$138, MATCH($A134, Demand_current!$B$4:$B$138, 0), MATCH(DB$4&amp;DB$5,Demand_current!$D$2:$AY$2&amp;Demand_current!$D$3:$AY$3, 0))/1000</f>
        <v>1.4659687499999996</v>
      </c>
      <c r="DC134" s="182">
        <f t="array" ref="DC134">INDEX(Demand_current!$D$4:$AY$138, MATCH($A134, Demand_current!$B$4:$B$138, 0), MATCH(DC$4&amp;DC$5,Demand_current!$D$2:$AY$2&amp;Demand_current!$D$3:$AY$3, 0))/1000</f>
        <v>3.8473052884615404</v>
      </c>
      <c r="DD134" s="182">
        <f t="array" ref="DD134">INDEX(Demand_current!$D$4:$AY$138, MATCH($A134, Demand_current!$B$4:$B$138, 0), MATCH(DD$4&amp;DD$5,Demand_current!$D$2:$AY$2&amp;Demand_current!$D$3:$AY$3, 0))/1000</f>
        <v>3.4856923076923092</v>
      </c>
      <c r="DE134" s="182">
        <f t="array" ref="DE134">INDEX(Demand_current!$D$4:$AY$138, MATCH($A134, Demand_current!$B$4:$B$138, 0), MATCH(DE$4&amp;DE$5,Demand_current!$D$2:$AY$2&amp;Demand_current!$D$3:$AY$3, 0))/1000</f>
        <v>3.5425474999999991</v>
      </c>
      <c r="DF134" s="182">
        <f t="array" ref="DF134">INDEX(Demand_current!$D$4:$AY$138, MATCH($A134, Demand_current!$B$4:$B$138, 0), MATCH(DF$4&amp;DF$5,Demand_current!$D$2:$AY$2&amp;Demand_current!$D$3:$AY$3, 0))/1000</f>
        <v>2.6935216346153856</v>
      </c>
      <c r="DG134" s="182">
        <f t="array" ref="DG134">INDEX(Demand_current!$D$4:$AY$138, MATCH($A134, Demand_current!$B$4:$B$138, 0), MATCH(DG$4&amp;DG$5,Demand_current!$D$2:$AY$2&amp;Demand_current!$D$3:$AY$3, 0))/1000</f>
        <v>0.69487268518518253</v>
      </c>
      <c r="DH134" s="182">
        <f t="array" ref="DH134">INDEX(Demand_current!$D$4:$AY$138, MATCH($A134, Demand_current!$B$4:$B$138, 0), MATCH(DH$4&amp;DH$5,Demand_current!$D$2:$AY$2&amp;Demand_current!$D$3:$AY$3, 0))/1000</f>
        <v>4.3315182291666705</v>
      </c>
      <c r="DI134" s="180">
        <f>$BS134*(VLOOKUP(DI$4, Rates_current!$G$6:$Q$29, 10, FALSE)+VLOOKUP(DI$4, Rates_current!$G$6:$Q$29, 11, FALSE))</f>
        <v>11118.2354330571</v>
      </c>
      <c r="DJ134" s="180">
        <f>$BS134*(VLOOKUP(DJ$4, Rates_current!$G$6:$Q$29, 10, FALSE)+VLOOKUP(DJ$4, Rates_current!$G$6:$Q$29, 11, FALSE))</f>
        <v>14179.416448348602</v>
      </c>
      <c r="DK134" s="180">
        <f>$BS134*(VLOOKUP(DK$4, Rates_current!$G$6:$Q$29, 10, FALSE)+VLOOKUP(DK$4, Rates_current!$G$6:$Q$29, 11, FALSE))</f>
        <v>15302.395902999002</v>
      </c>
      <c r="DL134" s="180">
        <f>$BS134*(VLOOKUP(DL$4, Rates_current!$G$6:$Q$29, 10, FALSE)+VLOOKUP(DL$4, Rates_current!$G$6:$Q$29, 11, FALSE))</f>
        <v>15901.554907337601</v>
      </c>
      <c r="DM134" s="180">
        <f>$BS134*(VLOOKUP(DM$4, Rates_current!$G$6:$Q$29, 10, FALSE)+VLOOKUP(DM$4, Rates_current!$G$6:$Q$29, 11, FALSE))</f>
        <v>13677.456762265199</v>
      </c>
      <c r="DN134" s="180">
        <f>$BS134*(VLOOKUP(DN$4, Rates_current!$G$6:$Q$29, 10, FALSE)+VLOOKUP(DN$4, Rates_current!$G$6:$Q$29, 11, FALSE))</f>
        <v>14933.0747841414</v>
      </c>
      <c r="DO134" s="180">
        <f>$BS134*(VLOOKUP(DO$4, Rates_current!$G$6:$Q$29, 10, FALSE)+VLOOKUP(DO$4, Rates_current!$G$6:$Q$29, 11, FALSE))</f>
        <v>11787.14601391945</v>
      </c>
      <c r="DP134" s="180">
        <f>$BS134*(VLOOKUP(DP$4, Rates_current!$G$6:$Q$29, 10, FALSE)+VLOOKUP(DP$4, Rates_current!$G$6:$Q$29, 11, FALSE))</f>
        <v>14623.5341815301</v>
      </c>
      <c r="DQ134" s="180">
        <f>$BS134*(VLOOKUP(DQ$4, Rates_current!$G$6:$Q$29, 10, FALSE)+VLOOKUP(DQ$4, Rates_current!$G$6:$Q$29, 11, FALSE))</f>
        <v>14940.828366809699</v>
      </c>
      <c r="DR134" s="180">
        <f>$BS134*(VLOOKUP(DR$4, Rates_current!$G$6:$Q$29, 10, FALSE)+VLOOKUP(DR$4, Rates_current!$G$6:$Q$29, 11, FALSE))</f>
        <v>12970.791523359099</v>
      </c>
      <c r="DS134" s="180">
        <f>$BS134*(VLOOKUP(DS$4, Rates_current!$G$6:$Q$29, 10, FALSE)+VLOOKUP(DS$4, Rates_current!$G$6:$Q$29, 11, FALSE))</f>
        <v>12539.307653607792</v>
      </c>
      <c r="DT134" s="180">
        <f>$BS134*(VLOOKUP(DT$4, Rates_current!$G$6:$Q$29, 10, FALSE)+VLOOKUP(DT$4, Rates_current!$G$6:$Q$29, 11, FALSE))</f>
        <v>11538.591263981201</v>
      </c>
      <c r="DU134" s="402">
        <f>IF(D134=0,IF(C134=0,MAX(0,DW134 - (VLOOKUP($A134,TOCA_current!$A$2:$AI$137,MATCH("RHWM 2024",TOCA_current!$A$2:$AI$2,0),FALSE)*$BS$2)), 0),0)</f>
        <v>0</v>
      </c>
      <c r="DV134" s="403">
        <f>MIN(VLOOKUP($A134,TOCA_current!$A$2:$AI$137,MATCH("TRL - NLSL - Existing Resource "&amp;$BS$1,TOCA_current!$A$2:$AI$2,0),FALSE)*$BS$2, VLOOKUP($A134,TOCA_current!$A$2:$AI$137,MATCH("RHWM 2024",TOCA_current!$A$2:$AI$2,0),FALSE)*$BS$2)</f>
        <v>163514.15999999997</v>
      </c>
      <c r="DW134" s="403">
        <f>SUM(BY134:CV134)+(BS134*RT1SC!$C$4*$BS$2)</f>
        <v>163515.14174950778</v>
      </c>
      <c r="DX134" s="403">
        <f>VLOOKUP($A134,TOCA_current!$A$2:$AI$137,MATCH("Above RHWM Not Served with LS "&amp;$BS$1,TOCA_current!$A$2:$AI$2,0),FALSE)*$BS$2</f>
        <v>0</v>
      </c>
      <c r="DY134" s="403">
        <f t="shared" si="32"/>
        <v>0.98174950780230574</v>
      </c>
      <c r="DZ134" s="403">
        <f>(VLOOKUP($A134,TOCA_current!$A$2:$AI$137,MATCH("RHWM 2024",TOCA_current!$A$2:$AI$2,0),FALSE)*$BS$2) - $DV134</f>
        <v>808.12800000002608</v>
      </c>
      <c r="EA134" s="403">
        <f t="shared" si="33"/>
        <v>-0.98174950780230574</v>
      </c>
      <c r="EB134" s="403">
        <f t="shared" si="34"/>
        <v>0</v>
      </c>
      <c r="EC134" s="403">
        <f t="shared" si="35"/>
        <v>0</v>
      </c>
      <c r="ED134" s="403">
        <f t="shared" si="36"/>
        <v>-0.98174950780230574</v>
      </c>
    </row>
    <row r="135" spans="1:134">
      <c r="A135" s="143">
        <v>13927</v>
      </c>
      <c r="B135" s="144" t="s">
        <v>238</v>
      </c>
      <c r="C135" s="232">
        <f>VLOOKUP(A135, TOCA_current!$A$3:$D$137, 4, FALSE)</f>
        <v>0</v>
      </c>
      <c r="D135" s="191">
        <v>0</v>
      </c>
      <c r="E135" s="107">
        <f>VLOOKUP($A135,TOCA_previous!$A$2:$AI$137,MATCH(E$4,TOCA_previous!$A$2:$AI$2,0),FALSE)</f>
        <v>5.6130000000000004E-4</v>
      </c>
      <c r="F135" s="108">
        <f>VLOOKUP($A135,TOCA_previous!$A$2:$AI$137,MATCH(F$4,TOCA_previous!$A$2:$AI$2,0),FALSE)</f>
        <v>5.6130000000000004E-4</v>
      </c>
      <c r="G135" s="108">
        <f t="shared" ref="G135:G140" si="43">E135-F135</f>
        <v>0</v>
      </c>
      <c r="H135" s="108">
        <f>VLOOKUP($A135,TOCA_previous!$A$2:$AI$137,MATCH(H$4,TOCA_previous!$A$2:$AI$2,0),FALSE)</f>
        <v>0</v>
      </c>
      <c r="I135" s="108">
        <f t="shared" ref="I135:I140" si="44">IF(C135=0,0,H135)</f>
        <v>0</v>
      </c>
      <c r="J135" s="108">
        <f t="shared" ref="J135:J140" si="45">IF(C135=0,0,E135)</f>
        <v>0</v>
      </c>
      <c r="K135" s="179">
        <f>VLOOKUP(A135, IRD!$A$5:$C$139, 3, FALSE)</f>
        <v>0</v>
      </c>
      <c r="L135" s="180">
        <f t="array" ref="L135">IF($G135=0, INDEX(LS_previous!$D$4:$AY$138, MATCH('Staging Table'!$A135, LS_previous!$B$4:$B$138, 0), MATCH(L$4&amp;L$5, LS_previous!$D$2:$AY$2&amp;LS_previous!$D$3:$AY$3, 0)),SUM(VLOOKUP($A135, LS_previous!$B$4:$AY$138, LS_previous!D$149, FALSE), VLOOKUP('Staging Table'!$A135, LS_previous!$B$4:$AY$138,LS_previous!AB$149, FALSE))/2)</f>
        <v>-184.06057548377612</v>
      </c>
      <c r="M135" s="180">
        <f t="array" ref="M135">IF($G135=0, INDEX(LS_previous!$D$4:$AY$138, MATCH('Staging Table'!$A135, LS_previous!$B$4:$B$138, 0), MATCH(M$4&amp;M$5, LS_previous!$D$2:$AY$2&amp;LS_previous!$D$3:$AY$3, 0)),SUM(VLOOKUP($A135, LS_previous!$B$4:$AY$138, LS_previous!E$149, FALSE), VLOOKUP('Staging Table'!$A135, LS_previous!$B$4:$AY$138,LS_previous!AC$149, FALSE))/2)</f>
        <v>110.32379810950408</v>
      </c>
      <c r="N135" s="180">
        <f t="array" ref="N135">IF($G135=0, INDEX(LS_previous!$D$4:$AY$138, MATCH('Staging Table'!$A135, LS_previous!$B$4:$B$138, 0), MATCH(N$4&amp;N$5, LS_previous!$D$2:$AY$2&amp;LS_previous!$D$3:$AY$3, 0)),SUM(VLOOKUP($A135, LS_previous!$B$4:$AY$138, LS_previous!F$149, FALSE), VLOOKUP('Staging Table'!$A135, LS_previous!$B$4:$AY$138,LS_previous!AD$149, FALSE))/2)</f>
        <v>-598.83062423280239</v>
      </c>
      <c r="O135" s="180">
        <f t="array" ref="O135">IF($G135=0, INDEX(LS_previous!$D$4:$AY$138, MATCH('Staging Table'!$A135, LS_previous!$B$4:$B$138, 0), MATCH(O$4&amp;O$5, LS_previous!$D$2:$AY$2&amp;LS_previous!$D$3:$AY$3, 0)),SUM(VLOOKUP($A135, LS_previous!$B$4:$AY$138, LS_previous!G$149, FALSE), VLOOKUP('Staging Table'!$A135, LS_previous!$B$4:$AY$138,LS_previous!AE$149, FALSE))/2)</f>
        <v>-144.86824982100734</v>
      </c>
      <c r="P135" s="180">
        <f t="array" ref="P135">IF($G135=0, INDEX(LS_previous!$D$4:$AY$138, MATCH('Staging Table'!$A135, LS_previous!$B$4:$B$138, 0), MATCH(P$4&amp;P$5, LS_previous!$D$2:$AY$2&amp;LS_previous!$D$3:$AY$3, 0)),SUM(VLOOKUP($A135, LS_previous!$B$4:$AY$138, LS_previous!H$149, FALSE), VLOOKUP('Staging Table'!$A135, LS_previous!$B$4:$AY$138,LS_previous!AF$149, FALSE))/2)</f>
        <v>-268.26276653634227</v>
      </c>
      <c r="Q135" s="180">
        <f t="array" ref="Q135">IF($G135=0, INDEX(LS_previous!$D$4:$AY$138, MATCH('Staging Table'!$A135, LS_previous!$B$4:$B$138, 0), MATCH(Q$4&amp;Q$5, LS_previous!$D$2:$AY$2&amp;LS_previous!$D$3:$AY$3, 0)),SUM(VLOOKUP($A135, LS_previous!$B$4:$AY$138, LS_previous!I$149, FALSE), VLOOKUP('Staging Table'!$A135, LS_previous!$B$4:$AY$138,LS_previous!AG$149, FALSE))/2)</f>
        <v>-138.62168613113931</v>
      </c>
      <c r="R135" s="180">
        <f t="array" ref="R135">IF($G135=0, INDEX(LS_previous!$D$4:$AY$138, MATCH('Staging Table'!$A135, LS_previous!$B$4:$B$138, 0), MATCH(R$4&amp;R$5, LS_previous!$D$2:$AY$2&amp;LS_previous!$D$3:$AY$3, 0)),SUM(VLOOKUP($A135, LS_previous!$B$4:$AY$138, LS_previous!J$149, FALSE), VLOOKUP('Staging Table'!$A135, LS_previous!$B$4:$AY$138,LS_previous!AH$149, FALSE))/2)</f>
        <v>-10.929699756163245</v>
      </c>
      <c r="S135" s="180">
        <f t="array" ref="S135">IF($G135=0, INDEX(LS_previous!$D$4:$AY$138, MATCH('Staging Table'!$A135, LS_previous!$B$4:$B$138, 0), MATCH(S$4&amp;S$5, LS_previous!$D$2:$AY$2&amp;LS_previous!$D$3:$AY$3, 0)),SUM(VLOOKUP($A135, LS_previous!$B$4:$AY$138, LS_previous!K$149, FALSE), VLOOKUP('Staging Table'!$A135, LS_previous!$B$4:$AY$138,LS_previous!AI$149, FALSE))/2)</f>
        <v>43.605592669583984</v>
      </c>
      <c r="T135" s="180">
        <f t="array" ref="T135">IF($G135=0, INDEX(LS_previous!$D$4:$AY$138, MATCH('Staging Table'!$A135, LS_previous!$B$4:$B$138, 0), MATCH(T$4&amp;T$5, LS_previous!$D$2:$AY$2&amp;LS_previous!$D$3:$AY$3, 0)),SUM(VLOOKUP($A135, LS_previous!$B$4:$AY$138, LS_previous!L$149, FALSE), VLOOKUP('Staging Table'!$A135, LS_previous!$B$4:$AY$138,LS_previous!AJ$149, FALSE))/2)</f>
        <v>122.50283471055832</v>
      </c>
      <c r="U135" s="180">
        <f t="array" ref="U135">IF($G135=0, INDEX(LS_previous!$D$4:$AY$138, MATCH('Staging Table'!$A135, LS_previous!$B$4:$B$138, 0), MATCH(U$4&amp;U$5, LS_previous!$D$2:$AY$2&amp;LS_previous!$D$3:$AY$3, 0)),SUM(VLOOKUP($A135, LS_previous!$B$4:$AY$138, LS_previous!M$149, FALSE), VLOOKUP('Staging Table'!$A135, LS_previous!$B$4:$AY$138,LS_previous!AK$149, FALSE))/2)</f>
        <v>118.96445705879296</v>
      </c>
      <c r="V135" s="180">
        <f t="array" ref="V135">IF($G135=0, INDEX(LS_previous!$D$4:$AY$138, MATCH('Staging Table'!$A135, LS_previous!$B$4:$B$138, 0), MATCH(V$4&amp;V$5, LS_previous!$D$2:$AY$2&amp;LS_previous!$D$3:$AY$3, 0)),SUM(VLOOKUP($A135, LS_previous!$B$4:$AY$138, LS_previous!N$149, FALSE), VLOOKUP('Staging Table'!$A135, LS_previous!$B$4:$AY$138,LS_previous!AL$149, FALSE))/2)</f>
        <v>-224.02137176114479</v>
      </c>
      <c r="W135" s="180">
        <f t="array" ref="W135">IF($G135=0, INDEX(LS_previous!$D$4:$AY$138, MATCH('Staging Table'!$A135, LS_previous!$B$4:$B$138, 0), MATCH(W$4&amp;W$5, LS_previous!$D$2:$AY$2&amp;LS_previous!$D$3:$AY$3, 0)),SUM(VLOOKUP($A135, LS_previous!$B$4:$AY$138, LS_previous!O$149, FALSE), VLOOKUP('Staging Table'!$A135, LS_previous!$B$4:$AY$138,LS_previous!AM$149, FALSE))/2)</f>
        <v>-3.7518167683451793</v>
      </c>
      <c r="X135" s="180">
        <f t="array" ref="X135">IF($G135=0, INDEX(LS_previous!$D$4:$AY$138, MATCH('Staging Table'!$A135, LS_previous!$B$4:$B$138, 0), MATCH(X$4&amp;X$5, LS_previous!$D$2:$AY$2&amp;LS_previous!$D$3:$AY$3, 0)),SUM(VLOOKUP($A135, LS_previous!$B$4:$AY$138, LS_previous!P$149, FALSE), VLOOKUP('Staging Table'!$A135, LS_previous!$B$4:$AY$138,LS_previous!AN$149, FALSE))/2)</f>
        <v>68.126858071295146</v>
      </c>
      <c r="Y135" s="180">
        <f t="array" ref="Y135">IF($G135=0, INDEX(LS_previous!$D$4:$AY$138, MATCH('Staging Table'!$A135, LS_previous!$B$4:$B$138, 0), MATCH(Y$4&amp;Y$5, LS_previous!$D$2:$AY$2&amp;LS_previous!$D$3:$AY$3, 0)),SUM(VLOOKUP($A135, LS_previous!$B$4:$AY$138, LS_previous!Q$149, FALSE), VLOOKUP('Staging Table'!$A135, LS_previous!$B$4:$AY$138,LS_previous!AO$149, FALSE))/2)</f>
        <v>175.07344092319136</v>
      </c>
      <c r="Z135" s="180">
        <f t="array" ref="Z135">IF($G135=0, INDEX(LS_previous!$D$4:$AY$138, MATCH('Staging Table'!$A135, LS_previous!$B$4:$B$138, 0), MATCH(Z$4&amp;Z$5, LS_previous!$D$2:$AY$2&amp;LS_previous!$D$3:$AY$3, 0)),SUM(VLOOKUP($A135, LS_previous!$B$4:$AY$138, LS_previous!R$149, FALSE), VLOOKUP('Staging Table'!$A135, LS_previous!$B$4:$AY$138,LS_previous!AP$149, FALSE))/2)</f>
        <v>-547.19884008888857</v>
      </c>
      <c r="AA135" s="180">
        <f t="array" ref="AA135">IF($G135=0, INDEX(LS_previous!$D$4:$AY$138, MATCH('Staging Table'!$A135, LS_previous!$B$4:$B$138, 0), MATCH(AA$4&amp;AA$5, LS_previous!$D$2:$AY$2&amp;LS_previous!$D$3:$AY$3, 0)),SUM(VLOOKUP($A135, LS_previous!$B$4:$AY$138, LS_previous!S$149, FALSE), VLOOKUP('Staging Table'!$A135, LS_previous!$B$4:$AY$138,LS_previous!AQ$149, FALSE))/2)</f>
        <v>148.57503797878485</v>
      </c>
      <c r="AB135" s="180">
        <f t="array" ref="AB135">IF($G135=0, INDEX(LS_previous!$D$4:$AY$138, MATCH('Staging Table'!$A135, LS_previous!$B$4:$B$138, 0), MATCH(AB$4&amp;AB$5, LS_previous!$D$2:$AY$2&amp;LS_previous!$D$3:$AY$3, 0)),SUM(VLOOKUP($A135, LS_previous!$B$4:$AY$138, LS_previous!T$149, FALSE), VLOOKUP('Staging Table'!$A135, LS_previous!$B$4:$AY$138,LS_previous!AR$149, FALSE))/2)</f>
        <v>-679.10324402255742</v>
      </c>
      <c r="AC135" s="180">
        <f t="array" ref="AC135">IF($G135=0, INDEX(LS_previous!$D$4:$AY$138, MATCH('Staging Table'!$A135, LS_previous!$B$4:$B$138, 0), MATCH(AC$4&amp;AC$5, LS_previous!$D$2:$AY$2&amp;LS_previous!$D$3:$AY$3, 0)),SUM(VLOOKUP($A135, LS_previous!$B$4:$AY$138, LS_previous!U$149, FALSE), VLOOKUP('Staging Table'!$A135, LS_previous!$B$4:$AY$138,LS_previous!AS$149, FALSE))/2)</f>
        <v>142.62147182787953</v>
      </c>
      <c r="AD135" s="180">
        <f t="array" ref="AD135">IF($G135=0, INDEX(LS_previous!$D$4:$AY$138, MATCH('Staging Table'!$A135, LS_previous!$B$4:$B$138, 0), MATCH(AD$4&amp;AD$5, LS_previous!$D$2:$AY$2&amp;LS_previous!$D$3:$AY$3, 0)),SUM(VLOOKUP($A135, LS_previous!$B$4:$AY$138, LS_previous!V$149, FALSE), VLOOKUP('Staging Table'!$A135, LS_previous!$B$4:$AY$138,LS_previous!AT$149, FALSE))/2)</f>
        <v>-316.90495474930731</v>
      </c>
      <c r="AE135" s="180">
        <f t="array" ref="AE135">IF($G135=0, INDEX(LS_previous!$D$4:$AY$138, MATCH('Staging Table'!$A135, LS_previous!$B$4:$B$138, 0), MATCH(AE$4&amp;AE$5, LS_previous!$D$2:$AY$2&amp;LS_previous!$D$3:$AY$3, 0)),SUM(VLOOKUP($A135, LS_previous!$B$4:$AY$138, LS_previous!W$149, FALSE), VLOOKUP('Staging Table'!$A135, LS_previous!$B$4:$AY$138,LS_previous!AU$149, FALSE))/2)</f>
        <v>211.0910307612304</v>
      </c>
      <c r="AF135" s="180">
        <f t="array" ref="AF135">IF($G135=0, INDEX(LS_previous!$D$4:$AY$138, MATCH('Staging Table'!$A135, LS_previous!$B$4:$B$138, 0), MATCH(AF$4&amp;AF$5, LS_previous!$D$2:$AY$2&amp;LS_previous!$D$3:$AY$3, 0)),SUM(VLOOKUP($A135, LS_previous!$B$4:$AY$138, LS_previous!X$149, FALSE), VLOOKUP('Staging Table'!$A135, LS_previous!$B$4:$AY$138,LS_previous!AV$149, FALSE))/2)</f>
        <v>-127.48596296872279</v>
      </c>
      <c r="AG135" s="180">
        <f t="array" ref="AG135">IF($G135=0, INDEX(LS_previous!$D$4:$AY$138, MATCH('Staging Table'!$A135, LS_previous!$B$4:$B$138, 0), MATCH(AG$4&amp;AG$5, LS_previous!$D$2:$AY$2&amp;LS_previous!$D$3:$AY$3, 0)),SUM(VLOOKUP($A135, LS_previous!$B$4:$AY$138, LS_previous!Y$149, FALSE), VLOOKUP('Staging Table'!$A135, LS_previous!$B$4:$AY$138,LS_previous!AW$149, FALSE))/2)</f>
        <v>261.73467899729724</v>
      </c>
      <c r="AH135" s="180">
        <f t="array" ref="AH135">IF($G135=0, INDEX(LS_previous!$D$4:$AY$138, MATCH('Staging Table'!$A135, LS_previous!$B$4:$B$138, 0), MATCH(AH$4&amp;AH$5, LS_previous!$D$2:$AY$2&amp;LS_previous!$D$3:$AY$3, 0)),SUM(VLOOKUP($A135, LS_previous!$B$4:$AY$138, LS_previous!Z$149, FALSE), VLOOKUP('Staging Table'!$A135, LS_previous!$B$4:$AY$138,LS_previous!AX$149, FALSE))/2)</f>
        <v>-155.58718700899499</v>
      </c>
      <c r="AI135" s="180">
        <f t="array" ref="AI135">IF($G135=0, INDEX(LS_previous!$D$4:$AY$138, MATCH('Staging Table'!$A135, LS_previous!$B$4:$B$138, 0), MATCH(AI$4&amp;AI$5, LS_previous!$D$2:$AY$2&amp;LS_previous!$D$3:$AY$3, 0)),SUM(VLOOKUP($A135, LS_previous!$B$4:$AY$138, LS_previous!AA$149, FALSE), VLOOKUP('Staging Table'!$A135, LS_previous!$B$4:$AY$138,LS_previous!AY$149, FALSE))/2)</f>
        <v>201.29510589310769</v>
      </c>
      <c r="AJ135" s="298">
        <f t="array" ref="AJ135">INDEX(Demand_previous!$D$4:$AY$138, MATCH('Staging Table'!$A135, Demand_previous!$B$4:$B$138, 0), MATCH(AJ$4&amp;AJ$5,Demand_previous!$D$2:$AY$2&amp;Demand_previous!$D$3:$AY$3, 0))/1000</f>
        <v>0</v>
      </c>
      <c r="AK135" s="298">
        <f t="array" ref="AK135">INDEX(Demand_previous!$D$4:$AY$138, MATCH('Staging Table'!$A135, Demand_previous!$B$4:$B$138, 0), MATCH(AK$4&amp;AK$5,Demand_previous!$D$2:$AY$2&amp;Demand_previous!$D$3:$AY$3, 0))/1000</f>
        <v>0</v>
      </c>
      <c r="AL135" s="298">
        <f t="array" ref="AL135">INDEX(Demand_previous!$D$4:$AY$138, MATCH('Staging Table'!$A135, Demand_previous!$B$4:$B$138, 0), MATCH(AL$4&amp;AL$5,Demand_previous!$D$2:$AY$2&amp;Demand_previous!$D$3:$AY$3, 0))/1000</f>
        <v>0</v>
      </c>
      <c r="AM135" s="298">
        <f t="array" ref="AM135">INDEX(Demand_previous!$D$4:$AY$138, MATCH('Staging Table'!$A135, Demand_previous!$B$4:$B$138, 0), MATCH(AM$4&amp;AM$5,Demand_previous!$D$2:$AY$2&amp;Demand_previous!$D$3:$AY$3, 0))/1000</f>
        <v>0</v>
      </c>
      <c r="AN135" s="298">
        <f t="array" ref="AN135">INDEX(Demand_previous!$D$4:$AY$138, MATCH('Staging Table'!$A135, Demand_previous!$B$4:$B$138, 0), MATCH(AN$4&amp;AN$5,Demand_previous!$D$2:$AY$2&amp;Demand_previous!$D$3:$AY$3, 0))/1000</f>
        <v>0</v>
      </c>
      <c r="AO135" s="298">
        <f t="array" ref="AO135">INDEX(Demand_previous!$D$4:$AY$138, MATCH('Staging Table'!$A135, Demand_previous!$B$4:$B$138, 0), MATCH(AO$4&amp;AO$5,Demand_previous!$D$2:$AY$2&amp;Demand_previous!$D$3:$AY$3, 0))/1000</f>
        <v>0</v>
      </c>
      <c r="AP135" s="298">
        <f t="array" ref="AP135">INDEX(Demand_previous!$D$4:$AY$138, MATCH('Staging Table'!$A135, Demand_previous!$B$4:$B$138, 0), MATCH(AP$4&amp;AP$5,Demand_previous!$D$2:$AY$2&amp;Demand_previous!$D$3:$AY$3, 0))/1000</f>
        <v>0</v>
      </c>
      <c r="AQ135" s="298">
        <f t="array" ref="AQ135">INDEX(Demand_previous!$D$4:$AY$138, MATCH('Staging Table'!$A135, Demand_previous!$B$4:$B$138, 0), MATCH(AQ$4&amp;AQ$5,Demand_previous!$D$2:$AY$2&amp;Demand_previous!$D$3:$AY$3, 0))/1000</f>
        <v>0</v>
      </c>
      <c r="AR135" s="298">
        <f t="array" ref="AR135">INDEX(Demand_previous!$D$4:$AY$138, MATCH('Staging Table'!$A135, Demand_previous!$B$4:$B$138, 0), MATCH(AR$4&amp;AR$5,Demand_previous!$D$2:$AY$2&amp;Demand_previous!$D$3:$AY$3, 0))/1000</f>
        <v>0</v>
      </c>
      <c r="AS135" s="298">
        <f t="array" ref="AS135">INDEX(Demand_previous!$D$4:$AY$138, MATCH('Staging Table'!$A135, Demand_previous!$B$4:$B$138, 0), MATCH(AS$4&amp;AS$5,Demand_previous!$D$2:$AY$2&amp;Demand_previous!$D$3:$AY$3, 0))/1000</f>
        <v>4.7394999999999077E-2</v>
      </c>
      <c r="AT135" s="298">
        <f t="array" ref="AT135">INDEX(Demand_previous!$D$4:$AY$138, MATCH('Staging Table'!$A135, Demand_previous!$B$4:$B$138, 0), MATCH(AT$4&amp;AT$5,Demand_previous!$D$2:$AY$2&amp;Demand_previous!$D$3:$AY$3, 0))/1000</f>
        <v>0.73364814814814805</v>
      </c>
      <c r="AU135" s="298">
        <f t="array" ref="AU135">INDEX(Demand_previous!$D$4:$AY$138, MATCH('Staging Table'!$A135, Demand_previous!$B$4:$B$138, 0), MATCH(AU$4&amp;AU$5,Demand_previous!$D$2:$AY$2&amp;Demand_previous!$D$3:$AY$3, 0))/1000</f>
        <v>8.965999999999974E-2</v>
      </c>
      <c r="AV135" s="180">
        <f>$F135*(VLOOKUP(AV$4, Rates_previous!$G$6:$Q$29, 10, FALSE)+VLOOKUP(AV$4, Rates_previous!$G$6:$Q$29, 11, FALSE))</f>
        <v>2556.117777374272</v>
      </c>
      <c r="AW135" s="180">
        <f>$F135*(VLOOKUP(AW$4, Rates_previous!$G$6:$Q$29, 10, FALSE)+VLOOKUP(AW$4, Rates_previous!$G$6:$Q$29, 11, FALSE))</f>
        <v>3236.1378740538103</v>
      </c>
      <c r="AX135" s="180">
        <f>$F135*(VLOOKUP(AX$4, Rates_previous!$G$6:$Q$29, 10, FALSE)+VLOOKUP(AX$4, Rates_previous!$G$6:$Q$29, 11, FALSE))</f>
        <v>3167.5324526674817</v>
      </c>
      <c r="AY135" s="180">
        <f>$F135*(VLOOKUP(AY$4, Rates_previous!$G$6:$Q$29, 10, FALSE)+VLOOKUP(AY$4, Rates_previous!$G$6:$Q$29, 11, FALSE))</f>
        <v>2616.247107086579</v>
      </c>
      <c r="AZ135" s="180">
        <f>$F135*(VLOOKUP(AZ$4, Rates_previous!$G$6:$Q$29, 10, FALSE)+VLOOKUP(AZ$4, Rates_previous!$G$6:$Q$29, 11, FALSE))</f>
        <v>2267.5587082306488</v>
      </c>
      <c r="BA135" s="180">
        <f>$F135*(VLOOKUP(BA$4, Rates_previous!$G$6:$Q$29, 10, FALSE)+VLOOKUP(BA$4, Rates_previous!$G$6:$Q$29, 11, FALSE))</f>
        <v>2707.0071885294906</v>
      </c>
      <c r="BB135" s="180">
        <f>$F135*(VLOOKUP(BB$4, Rates_previous!$G$6:$Q$29, 10, FALSE)+VLOOKUP(BB$4, Rates_previous!$G$6:$Q$29, 11, FALSE))</f>
        <v>2101.6307010055139</v>
      </c>
      <c r="BC135" s="180">
        <f>$F135*(VLOOKUP(BC$4, Rates_previous!$G$6:$Q$29, 10, FALSE)+VLOOKUP(BC$4, Rates_previous!$G$6:$Q$29, 11, FALSE))</f>
        <v>2911.8248021101035</v>
      </c>
      <c r="BD135" s="180">
        <f>$F135*(VLOOKUP(BD$4, Rates_previous!$G$6:$Q$29, 10, FALSE)+VLOOKUP(BD$4, Rates_previous!$G$6:$Q$29, 11, FALSE))</f>
        <v>3111.3457721946775</v>
      </c>
      <c r="BE135" s="180">
        <f>$F135*(VLOOKUP(BE$4, Rates_previous!$G$6:$Q$29, 10, FALSE)+VLOOKUP(BE$4, Rates_previous!$G$6:$Q$29, 11, FALSE))</f>
        <v>2954.0819239880771</v>
      </c>
      <c r="BF135" s="180">
        <f>$F135*(VLOOKUP(BF$4, Rates_previous!$G$6:$Q$29, 10, FALSE)+VLOOKUP(BF$4, Rates_previous!$G$6:$Q$29, 11, FALSE))</f>
        <v>2854.8922839714255</v>
      </c>
      <c r="BG135" s="180">
        <f>$F135*(VLOOKUP(BG$4, Rates_previous!$G$6:$Q$29, 10, FALSE)+VLOOKUP(BG$4, Rates_previous!$G$6:$Q$29, 11, FALSE))</f>
        <v>2638.2180811158873</v>
      </c>
      <c r="BH135" s="298">
        <f>IF($D135=0,IF(C135=0, MAX(BJ135 - (VLOOKUP($A135,TOCA_previous!$A$2:$AI$137,MATCH("RHWM 2022",TOCA_previous!$A$2:$AI$2,0),FALSE)*$F$2*TOCA_previous!C132),0),0), 0)</f>
        <v>0</v>
      </c>
      <c r="BI135" s="192">
        <f>MIN(VLOOKUP($A135,TOCA_previous!$A$2:$AI$137,MATCH("TRL - NLSL - Existing Resource "&amp;$F$1,TOCA_previous!$A$2:$AI$2,0),FALSE)*$F$2,(VLOOKUP($A135,TOCA_previous!$A$2:$AI$137,MATCH("RHWM 2022",TOCA_previous!$A$2:$AI$2,0),FALSE)*$F$2))</f>
        <v>33121.56</v>
      </c>
      <c r="BJ135" s="402">
        <f>SUM(L135:AI135)+(F135*RT1SC!$C$3*$F$2)</f>
        <v>31326.883694364034</v>
      </c>
      <c r="BK135" s="401">
        <f>VLOOKUP($A135,TOCA_previous!$A$2:$AI$137,MATCH("Above RHWM Not Served with LS "&amp;$F$1,TOCA_previous!$A$2:$AI$2,0),FALSE)*$F$2</f>
        <v>0</v>
      </c>
      <c r="BL135" s="402">
        <f t="shared" ref="BL135:BL140" si="46">BJ135-BI135</f>
        <v>-1794.6763056359632</v>
      </c>
      <c r="BM135" s="401">
        <f>(VLOOKUP($A135,TOCA_previous!$A$2:$AI$137,MATCH("RHWM 2022",TOCA_previous!$A$2:$AI$2,0),FALSE)*$F$2) - $BI135</f>
        <v>911.04000000000087</v>
      </c>
      <c r="BN135" s="402">
        <f t="shared" ref="BN135:BN140" si="47">IF(BL135&gt;0,IF(BM135&gt;0,(-1)*MIN(BL135,BM135),0),0)</f>
        <v>0</v>
      </c>
      <c r="BO135" s="401">
        <f t="shared" ref="BO135:BO140" si="48">IF(BL135&lt;0,IF(BK135&lt;ABS(BL135),MAX(0,ABS($BL135)-(BK135)),0),0)</f>
        <v>1794.6763056359632</v>
      </c>
      <c r="BP135" s="402">
        <f t="shared" ref="BP135:BP140" si="49">IF(AND(BK135&gt;0,BM135&gt;0),IF(AND(BL135&lt;=0,ABS(BL135)&lt;BK135),(-1)*MIN(BK135,BK135-ABS(BL135),BM135),IF(AND(BL135&gt;0,BL135&lt;BM135),(-1)*MIN(BK135,BM135-BL135),0)),0)</f>
        <v>0</v>
      </c>
      <c r="BQ135" s="401">
        <f t="shared" si="40"/>
        <v>1794.6763056359632</v>
      </c>
      <c r="BR135" s="108">
        <f>VLOOKUP($A135,TOCA_current!$A$2:$AI$137,MATCH(BR$4,TOCA_current!$A$2:$AI$2,0),FALSE)</f>
        <v>5.0489999999999997E-4</v>
      </c>
      <c r="BS135" s="108">
        <f>VLOOKUP($A135,TOCA_current!$A$2:$AI$137,MATCH(BS$4,TOCA_current!$A$2:$AI$2,0),FALSE)</f>
        <v>5.0489999999999997E-4</v>
      </c>
      <c r="BT135" s="189">
        <f t="shared" ref="BT135:BT140" si="50">BR135-BS135</f>
        <v>0</v>
      </c>
      <c r="BU135" s="108">
        <f>VLOOKUP($A135,TOCA_current!A131:BG266,MATCH(BU$4,TOCA_current!$A$2:$BG$2,0),FALSE)</f>
        <v>0</v>
      </c>
      <c r="BV135" s="108">
        <f t="shared" si="41"/>
        <v>0</v>
      </c>
      <c r="BW135" s="108">
        <f t="shared" si="42"/>
        <v>0</v>
      </c>
      <c r="BX135" s="179">
        <f>VLOOKUP($A135,IRD!$A$4:$G$139, 7, FALSE)</f>
        <v>0</v>
      </c>
      <c r="BY135" s="180">
        <f t="array" ref="BY135">IF($BT135=0, INDEX(LS_current!$D$4:$AY$138, MATCH('Staging Table'!$A135, LS_current!$B$4:$B$138, 0), MATCH(BY$4&amp;BY$5, LS_current!$D$2:$AY$2&amp;LS_current!$D$3:$AY$3, 0)),SUM(VLOOKUP($A135, LS_current!$B$4:$AY$138, LS_current!D$148, FALSE), VLOOKUP($A135, LS_current!$B$4:$AY$138,LS_current!AB$148, FALSE))/2)</f>
        <v>166.6500062235998</v>
      </c>
      <c r="BZ135" s="180">
        <f t="array" ref="BZ135">IF($BT135=0, INDEX(LS_current!$D$4:$AY$138, MATCH('Staging Table'!$A135, LS_current!$B$4:$B$138, 0), MATCH(BZ$4&amp;BZ$5, LS_current!$D$2:$AY$2&amp;LS_current!$D$3:$AY$3, 0)),SUM(VLOOKUP($A135, LS_current!$B$4:$AY$138, LS_current!E$148, FALSE), VLOOKUP($A135, LS_current!$B$4:$AY$138,LS_current!AC$148, FALSE))/2)</f>
        <v>185.65697459505009</v>
      </c>
      <c r="CA135" s="180">
        <f t="array" ref="CA135">IF($BT135=0, INDEX(LS_current!$D$4:$AY$138, MATCH('Staging Table'!$A135, LS_current!$B$4:$B$138, 0), MATCH(CA$4&amp;CA$5, LS_current!$D$2:$AY$2&amp;LS_current!$D$3:$AY$3, 0)),SUM(VLOOKUP($A135, LS_current!$B$4:$AY$138, LS_current!F$148, FALSE), VLOOKUP($A135, LS_current!$B$4:$AY$138,LS_current!AD$148, FALSE))/2)</f>
        <v>-261.22165190719988</v>
      </c>
      <c r="CB135" s="180">
        <f t="array" ref="CB135">IF($BT135=0, INDEX(LS_current!$D$4:$AY$138, MATCH('Staging Table'!$A135, LS_current!$B$4:$B$138, 0), MATCH(CB$4&amp;CB$5, LS_current!$D$2:$AY$2&amp;LS_current!$D$3:$AY$3, 0)),SUM(VLOOKUP($A135, LS_current!$B$4:$AY$138, LS_current!G$148, FALSE), VLOOKUP($A135, LS_current!$B$4:$AY$138,LS_current!AE$148, FALSE))/2)</f>
        <v>37.113879208100116</v>
      </c>
      <c r="CC135" s="180">
        <f t="array" ref="CC135">IF($BT135=0, INDEX(LS_current!$D$4:$AY$138, MATCH('Staging Table'!$A135, LS_current!$B$4:$B$138, 0), MATCH(CC$4&amp;CC$5, LS_current!$D$2:$AY$2&amp;LS_current!$D$3:$AY$3, 0)),SUM(VLOOKUP($A135, LS_current!$B$4:$AY$138, LS_current!H$148, FALSE), VLOOKUP($A135, LS_current!$B$4:$AY$138,LS_current!AF$148, FALSE))/2)</f>
        <v>-236.19624962109992</v>
      </c>
      <c r="CD135" s="180">
        <f t="array" ref="CD135">IF($BT135=0, INDEX(LS_current!$D$4:$AY$138, MATCH('Staging Table'!$A135, LS_current!$B$4:$B$138, 0), MATCH(CD$4&amp;CD$5, LS_current!$D$2:$AY$2&amp;LS_current!$D$3:$AY$3, 0)),SUM(VLOOKUP($A135, LS_current!$B$4:$AY$138, LS_current!I$148, FALSE), VLOOKUP($A135, LS_current!$B$4:$AY$138,LS_current!AG$148, FALSE))/2)</f>
        <v>65.152782889600303</v>
      </c>
      <c r="CE135" s="180">
        <f t="array" ref="CE135">IF($BT135=0, INDEX(LS_current!$D$4:$AY$138, MATCH('Staging Table'!$A135, LS_current!$B$4:$B$138, 0), MATCH(CE$4&amp;CE$5, LS_current!$D$2:$AY$2&amp;LS_current!$D$3:$AY$3, 0)),SUM(VLOOKUP($A135, LS_current!$B$4:$AY$138, LS_current!J$148, FALSE), VLOOKUP($A135, LS_current!$B$4:$AY$138,LS_current!AH$148, FALSE))/2)</f>
        <v>-408.74874690349975</v>
      </c>
      <c r="CF135" s="180">
        <f t="array" ref="CF135">IF($BT135=0, INDEX(LS_current!$D$4:$AY$138, MATCH('Staging Table'!$A135, LS_current!$B$4:$B$138, 0), MATCH(CF$4&amp;CF$5, LS_current!$D$2:$AY$2&amp;LS_current!$D$3:$AY$3, 0)),SUM(VLOOKUP($A135, LS_current!$B$4:$AY$138, LS_current!K$148, FALSE), VLOOKUP($A135, LS_current!$B$4:$AY$138,LS_current!AI$148, FALSE))/2)</f>
        <v>11.191109157899973</v>
      </c>
      <c r="CG135" s="180">
        <f t="array" ref="CG135">IF($BT135=0, INDEX(LS_current!$D$4:$AY$138, MATCH('Staging Table'!$A135, LS_current!$B$4:$B$138, 0), MATCH(CG$4&amp;CG$5, LS_current!$D$2:$AY$2&amp;LS_current!$D$3:$AY$3, 0)),SUM(VLOOKUP($A135, LS_current!$B$4:$AY$138, LS_current!L$148, FALSE), VLOOKUP($A135, LS_current!$B$4:$AY$138,LS_current!AJ$148, FALSE))/2)</f>
        <v>-226.46791930709969</v>
      </c>
      <c r="CH135" s="180">
        <f t="array" ref="CH135">IF($BT135=0, INDEX(LS_current!$D$4:$AY$138, MATCH('Staging Table'!$A135, LS_current!$B$4:$B$138, 0), MATCH(CH$4&amp;CH$5, LS_current!$D$2:$AY$2&amp;LS_current!$D$3:$AY$3, 0)),SUM(VLOOKUP($A135, LS_current!$B$4:$AY$138, LS_current!M$148, FALSE), VLOOKUP($A135, LS_current!$B$4:$AY$138,LS_current!AK$148, FALSE))/2)</f>
        <v>115.11450090090011</v>
      </c>
      <c r="CI135" s="180">
        <f t="array" ref="CI135">IF($BT135=0, INDEX(LS_current!$D$4:$AY$138, MATCH('Staging Table'!$A135, LS_current!$B$4:$B$138, 0), MATCH(CI$4&amp;CI$5, LS_current!$D$2:$AY$2&amp;LS_current!$D$3:$AY$3, 0)),SUM(VLOOKUP($A135, LS_current!$B$4:$AY$138, LS_current!N$148, FALSE), VLOOKUP($A135, LS_current!$B$4:$AY$138,LS_current!AL$148, FALSE))/2)</f>
        <v>-303.40516015369985</v>
      </c>
      <c r="CJ135" s="180">
        <f t="array" ref="CJ135">IF($BT135=0, INDEX(LS_current!$D$4:$AY$138, MATCH('Staging Table'!$A135, LS_current!$B$4:$B$138, 0), MATCH(CJ$4&amp;CJ$5, LS_current!$D$2:$AY$2&amp;LS_current!$D$3:$AY$3, 0)),SUM(VLOOKUP($A135, LS_current!$B$4:$AY$138, LS_current!O$148, FALSE), VLOOKUP($A135, LS_current!$B$4:$AY$138,LS_current!AM$148, FALSE))/2)</f>
        <v>-78.296355712199784</v>
      </c>
      <c r="CK135" s="180">
        <f t="array" ref="CK135">IF($BT135=0, INDEX(LS_current!$D$4:$AY$138, MATCH('Staging Table'!$A135, LS_current!$B$4:$B$138, 0), MATCH(CK$4&amp;CK$5, LS_current!$D$2:$AY$2&amp;LS_current!$D$3:$AY$3, 0)),SUM(VLOOKUP($A135, LS_current!$B$4:$AY$138, LS_current!P$148, FALSE), VLOOKUP($A135, LS_current!$B$4:$AY$138,LS_current!AN$148, FALSE))/2)</f>
        <v>-11.321686859749889</v>
      </c>
      <c r="CL135" s="180">
        <f t="array" ref="CL135">IF($BT135=0, INDEX(LS_current!$D$4:$AY$138, MATCH('Staging Table'!$A135, LS_current!$B$4:$B$138, 0), MATCH(CL$4&amp;CL$5, LS_current!$D$2:$AY$2&amp;LS_current!$D$3:$AY$3, 0)),SUM(VLOOKUP($A135, LS_current!$B$4:$AY$138, LS_current!Q$148, FALSE), VLOOKUP($A135, LS_current!$B$4:$AY$138,LS_current!AO$148, FALSE))/2)</f>
        <v>97.926223162425231</v>
      </c>
      <c r="CM135" s="180">
        <f t="array" ref="CM135">IF($BT135=0, INDEX(LS_current!$D$4:$AY$138, MATCH('Staging Table'!$A135, LS_current!$B$4:$B$138, 0), MATCH(CM$4&amp;CM$5, LS_current!$D$2:$AY$2&amp;LS_current!$D$3:$AY$3, 0)),SUM(VLOOKUP($A135, LS_current!$B$4:$AY$138, LS_current!R$148, FALSE), VLOOKUP($A135, LS_current!$B$4:$AY$138,LS_current!AP$148, FALSE))/2)</f>
        <v>-287.48732655520007</v>
      </c>
      <c r="CN135" s="180">
        <f t="array" ref="CN135">IF($BT135=0, INDEX(LS_current!$D$4:$AY$138, MATCH('Staging Table'!$A135, LS_current!$B$4:$B$138, 0), MATCH(CN$4&amp;CN$5, LS_current!$D$2:$AY$2&amp;LS_current!$D$3:$AY$3, 0)),SUM(VLOOKUP($A135, LS_current!$B$4:$AY$138, LS_current!S$148, FALSE), VLOOKUP($A135, LS_current!$B$4:$AY$138,LS_current!AQ$148, FALSE))/2)</f>
        <v>-0.94421812664973004</v>
      </c>
      <c r="CO135" s="180">
        <f t="array" ref="CO135">IF($BT135=0, INDEX(LS_current!$D$4:$AY$138, MATCH('Staging Table'!$A135, LS_current!$B$4:$B$138, 0), MATCH(CO$4&amp;CO$5, LS_current!$D$2:$AY$2&amp;LS_current!$D$3:$AY$3, 0)),SUM(VLOOKUP($A135, LS_current!$B$4:$AY$138, LS_current!T$148, FALSE), VLOOKUP($A135, LS_current!$B$4:$AY$138,LS_current!AR$148, FALSE))/2)</f>
        <v>-257.77000183739983</v>
      </c>
      <c r="CP135" s="180">
        <f t="array" ref="CP135">IF($BT135=0, INDEX(LS_current!$D$4:$AY$138, MATCH('Staging Table'!$A135, LS_current!$B$4:$B$138, 0), MATCH(CP$4&amp;CP$5, LS_current!$D$2:$AY$2&amp;LS_current!$D$3:$AY$3, 0)),SUM(VLOOKUP($A135, LS_current!$B$4:$AY$138, LS_current!U$148, FALSE), VLOOKUP($A135, LS_current!$B$4:$AY$138,LS_current!AS$148, FALSE))/2)</f>
        <v>-29.786975017050054</v>
      </c>
      <c r="CQ135" s="180">
        <f t="array" ref="CQ135">IF($BT135=0, INDEX(LS_current!$D$4:$AY$138, MATCH('Staging Table'!$A135, LS_current!$B$4:$B$138, 0), MATCH(CQ$4&amp;CQ$5, LS_current!$D$2:$AY$2&amp;LS_current!$D$3:$AY$3, 0)),SUM(VLOOKUP($A135, LS_current!$B$4:$AY$138, LS_current!V$148, FALSE), VLOOKUP($A135, LS_current!$B$4:$AY$138,LS_current!AT$148, FALSE))/2)</f>
        <v>102.09766235640018</v>
      </c>
      <c r="CR135" s="180">
        <f t="array" ref="CR135">IF($BT135=0, INDEX(LS_current!$D$4:$AY$138, MATCH('Staging Table'!$A135, LS_current!$B$4:$B$138, 0), MATCH(CR$4&amp;CR$5, LS_current!$D$2:$AY$2&amp;LS_current!$D$3:$AY$3, 0)),SUM(VLOOKUP($A135, LS_current!$B$4:$AY$138, LS_current!W$148, FALSE), VLOOKUP($A135, LS_current!$B$4:$AY$138,LS_current!AU$148, FALSE))/2)</f>
        <v>261.17654537525004</v>
      </c>
      <c r="CS135" s="180">
        <f t="array" ref="CS135">IF($BT135=0, INDEX(LS_current!$D$4:$AY$138, MATCH('Staging Table'!$A135, LS_current!$B$4:$B$138, 0), MATCH(CS$4&amp;CS$5, LS_current!$D$2:$AY$2&amp;LS_current!$D$3:$AY$3, 0)),SUM(VLOOKUP($A135, LS_current!$B$4:$AY$138, LS_current!X$148, FALSE), VLOOKUP($A135, LS_current!$B$4:$AY$138,LS_current!AV$148, FALSE))/2)</f>
        <v>271.17729240965014</v>
      </c>
      <c r="CT135" s="180">
        <f t="array" ref="CT135">IF($BT135=0, INDEX(LS_current!$D$4:$AY$138, MATCH('Staging Table'!$A135, LS_current!$B$4:$B$138, 0), MATCH(CT$4&amp;CT$5, LS_current!$D$2:$AY$2&amp;LS_current!$D$3:$AY$3, 0)),SUM(VLOOKUP($A135, LS_current!$B$4:$AY$138, LS_current!Y$148, FALSE), VLOOKUP($A135, LS_current!$B$4:$AY$138,LS_current!AW$148, FALSE))/2)</f>
        <v>315.63524348373517</v>
      </c>
      <c r="CU135" s="180">
        <f t="array" ref="CU135">IF($BT135=0, INDEX(LS_current!$D$4:$AY$138, MATCH('Staging Table'!$A135, LS_current!$B$4:$B$138, 0), MATCH(CU$4&amp;CU$5, LS_current!$D$2:$AY$2&amp;LS_current!$D$3:$AY$3, 0)),SUM(VLOOKUP($A135, LS_current!$B$4:$AY$138, LS_current!Z$148, FALSE), VLOOKUP($A135, LS_current!$B$4:$AY$138,LS_current!AX$148, FALSE))/2)</f>
        <v>207.85366545739998</v>
      </c>
      <c r="CV135" s="180">
        <f t="array" ref="CV135">IF($BT135=0, INDEX(LS_current!$D$4:$AY$138, MATCH('Staging Table'!$A135, LS_current!$B$4:$B$138, 0), MATCH(CV$4&amp;CV$5, LS_current!$D$2:$AY$2&amp;LS_current!$D$3:$AY$3, 0)),SUM(VLOOKUP($A135, LS_current!$B$4:$AY$138, LS_current!AA$148, FALSE), VLOOKUP($A135, LS_current!$B$4:$AY$138,LS_current!AY$148, FALSE))/2)</f>
        <v>265.46493939039999</v>
      </c>
      <c r="CW135" s="182">
        <f t="array" ref="CW135">INDEX(Demand_current!$D$4:$AY$138, MATCH($A135, Demand_current!$B$4:$B$138, 0), MATCH(CW$4&amp;CW$5,Demand_current!$D$2:$AY$2&amp;Demand_current!$D$3:$AY$3, 0))/1000</f>
        <v>0</v>
      </c>
      <c r="CX135" s="182">
        <f t="array" ref="CX135">INDEX(Demand_current!$D$4:$AY$138, MATCH($A135, Demand_current!$B$4:$B$138, 0), MATCH(CX$4&amp;CX$5,Demand_current!$D$2:$AY$2&amp;Demand_current!$D$3:$AY$3, 0))/1000</f>
        <v>0</v>
      </c>
      <c r="CY135" s="182">
        <f t="array" ref="CY135">INDEX(Demand_current!$D$4:$AY$138, MATCH($A135, Demand_current!$B$4:$B$138, 0), MATCH(CY$4&amp;CY$5,Demand_current!$D$2:$AY$2&amp;Demand_current!$D$3:$AY$3, 0))/1000</f>
        <v>0</v>
      </c>
      <c r="CZ135" s="182">
        <f t="array" ref="CZ135">INDEX(Demand_current!$D$4:$AY$138, MATCH($A135, Demand_current!$B$4:$B$138, 0), MATCH(CZ$4&amp;CZ$5,Demand_current!$D$2:$AY$2&amp;Demand_current!$D$3:$AY$3, 0))/1000</f>
        <v>0</v>
      </c>
      <c r="DA135" s="182">
        <f t="array" ref="DA135">INDEX(Demand_current!$D$4:$AY$138, MATCH($A135, Demand_current!$B$4:$B$138, 0), MATCH(DA$4&amp;DA$5,Demand_current!$D$2:$AY$2&amp;Demand_current!$D$3:$AY$3, 0))/1000</f>
        <v>0</v>
      </c>
      <c r="DB135" s="182">
        <f t="array" ref="DB135">INDEX(Demand_current!$D$4:$AY$138, MATCH($A135, Demand_current!$B$4:$B$138, 0), MATCH(DB$4&amp;DB$5,Demand_current!$D$2:$AY$2&amp;Demand_current!$D$3:$AY$3, 0))/1000</f>
        <v>0</v>
      </c>
      <c r="DC135" s="182">
        <f t="array" ref="DC135">INDEX(Demand_current!$D$4:$AY$138, MATCH($A135, Demand_current!$B$4:$B$138, 0), MATCH(DC$4&amp;DC$5,Demand_current!$D$2:$AY$2&amp;Demand_current!$D$3:$AY$3, 0))/1000</f>
        <v>0</v>
      </c>
      <c r="DD135" s="182">
        <f t="array" ref="DD135">INDEX(Demand_current!$D$4:$AY$138, MATCH($A135, Demand_current!$B$4:$B$138, 0), MATCH(DD$4&amp;DD$5,Demand_current!$D$2:$AY$2&amp;Demand_current!$D$3:$AY$3, 0))/1000</f>
        <v>0</v>
      </c>
      <c r="DE135" s="182">
        <f t="array" ref="DE135">INDEX(Demand_current!$D$4:$AY$138, MATCH($A135, Demand_current!$B$4:$B$138, 0), MATCH(DE$4&amp;DE$5,Demand_current!$D$2:$AY$2&amp;Demand_current!$D$3:$AY$3, 0))/1000</f>
        <v>0</v>
      </c>
      <c r="DF135" s="182">
        <f t="array" ref="DF135">INDEX(Demand_current!$D$4:$AY$138, MATCH($A135, Demand_current!$B$4:$B$138, 0), MATCH(DF$4&amp;DF$5,Demand_current!$D$2:$AY$2&amp;Demand_current!$D$3:$AY$3, 0))/1000</f>
        <v>0.20611057692307633</v>
      </c>
      <c r="DG135" s="182">
        <f t="array" ref="DG135">INDEX(Demand_current!$D$4:$AY$138, MATCH($A135, Demand_current!$B$4:$B$138, 0), MATCH(DG$4&amp;DG$5,Demand_current!$D$2:$AY$2&amp;Demand_current!$D$3:$AY$3, 0))/1000</f>
        <v>0.73364814814814805</v>
      </c>
      <c r="DH135" s="182">
        <f t="array" ref="DH135">INDEX(Demand_current!$D$4:$AY$138, MATCH($A135, Demand_current!$B$4:$B$138, 0), MATCH(DH$4&amp;DH$5,Demand_current!$D$2:$AY$2&amp;Demand_current!$D$3:$AY$3, 0))/1000</f>
        <v>0</v>
      </c>
      <c r="DI135" s="180">
        <f>$BS135*(VLOOKUP(DI$4, Rates_current!$G$6:$Q$29, 10, FALSE)+VLOOKUP(DI$4, Rates_current!$G$6:$Q$29, 11, FALSE))</f>
        <v>2130.0740191813497</v>
      </c>
      <c r="DJ135" s="180">
        <f>$BS135*(VLOOKUP(DJ$4, Rates_current!$G$6:$Q$29, 10, FALSE)+VLOOKUP(DJ$4, Rates_current!$G$6:$Q$29, 11, FALSE))</f>
        <v>2716.5467726991001</v>
      </c>
      <c r="DK135" s="180">
        <f>$BS135*(VLOOKUP(DK$4, Rates_current!$G$6:$Q$29, 10, FALSE)+VLOOKUP(DK$4, Rates_current!$G$6:$Q$29, 11, FALSE))</f>
        <v>2931.6914667315</v>
      </c>
      <c r="DL135" s="180">
        <f>$BS135*(VLOOKUP(DL$4, Rates_current!$G$6:$Q$29, 10, FALSE)+VLOOKUP(DL$4, Rates_current!$G$6:$Q$29, 11, FALSE))</f>
        <v>3046.4806377455998</v>
      </c>
      <c r="DM135" s="180">
        <f>$BS135*(VLOOKUP(DM$4, Rates_current!$G$6:$Q$29, 10, FALSE)+VLOOKUP(DM$4, Rates_current!$G$6:$Q$29, 11, FALSE))</f>
        <v>2620.3794184061994</v>
      </c>
      <c r="DN135" s="180">
        <f>$BS135*(VLOOKUP(DN$4, Rates_current!$G$6:$Q$29, 10, FALSE)+VLOOKUP(DN$4, Rates_current!$G$6:$Q$29, 11, FALSE))</f>
        <v>2860.9355158658996</v>
      </c>
      <c r="DO135" s="180">
        <f>$BS135*(VLOOKUP(DO$4, Rates_current!$G$6:$Q$29, 10, FALSE)+VLOOKUP(DO$4, Rates_current!$G$6:$Q$29, 11, FALSE))</f>
        <v>2258.2264636973246</v>
      </c>
      <c r="DP135" s="180">
        <f>$BS135*(VLOOKUP(DP$4, Rates_current!$G$6:$Q$29, 10, FALSE)+VLOOKUP(DP$4, Rates_current!$G$6:$Q$29, 11, FALSE))</f>
        <v>2801.63254468185</v>
      </c>
      <c r="DQ135" s="180">
        <f>$BS135*(VLOOKUP(DQ$4, Rates_current!$G$6:$Q$29, 10, FALSE)+VLOOKUP(DQ$4, Rates_current!$G$6:$Q$29, 11, FALSE))</f>
        <v>2862.4209768544497</v>
      </c>
      <c r="DR135" s="180">
        <f>$BS135*(VLOOKUP(DR$4, Rates_current!$G$6:$Q$29, 10, FALSE)+VLOOKUP(DR$4, Rates_current!$G$6:$Q$29, 11, FALSE))</f>
        <v>2484.9937922683498</v>
      </c>
      <c r="DS135" s="180">
        <f>$BS135*(VLOOKUP(DS$4, Rates_current!$G$6:$Q$29, 10, FALSE)+VLOOKUP(DS$4, Rates_current!$G$6:$Q$29, 11, FALSE))</f>
        <v>2402.3284641066152</v>
      </c>
      <c r="DT135" s="180">
        <f>$BS135*(VLOOKUP(DT$4, Rates_current!$G$6:$Q$29, 10, FALSE)+VLOOKUP(DT$4, Rates_current!$G$6:$Q$29, 11, FALSE))</f>
        <v>2210.6073951522003</v>
      </c>
      <c r="DU135" s="402">
        <f>IF(D135=0,IF(C135=0,MAX(0,DW135 - (VLOOKUP($A135,TOCA_current!$A$2:$AI$137,MATCH("RHWM 2024",TOCA_current!$A$2:$AI$2,0),FALSE)*$BS$2)), 0),0)</f>
        <v>0</v>
      </c>
      <c r="DV135" s="403">
        <f>MIN(VLOOKUP($A135,TOCA_current!$A$2:$AI$137,MATCH("TRL - NLSL - Existing Resource "&amp;$BS$1,TOCA_current!$A$2:$AI$2,0),FALSE)*$BS$2, VLOOKUP($A135,TOCA_current!$A$2:$AI$137,MATCH("RHWM 2024",TOCA_current!$A$2:$AI$2,0),FALSE)*$BS$2)</f>
        <v>31323.743999999999</v>
      </c>
      <c r="DW135" s="403">
        <f>SUM(BY135:CV135)+(BS135*RT1SC!$C$4*$BS$2)</f>
        <v>31326.882143593561</v>
      </c>
      <c r="DX135" s="403">
        <f>VLOOKUP($A135,TOCA_current!$A$2:$AI$137,MATCH("Above RHWM Not Served with LS "&amp;$BS$1,TOCA_current!$A$2:$AI$2,0),FALSE)*$BS$2</f>
        <v>0</v>
      </c>
      <c r="DY135" s="403">
        <f t="shared" ref="DY135:DY140" si="51">DW135-DV135</f>
        <v>3.1381435935618356</v>
      </c>
      <c r="DZ135" s="403">
        <f>(VLOOKUP($A135,TOCA_current!$A$2:$AI$137,MATCH("RHWM 2024",TOCA_current!$A$2:$AI$2,0),FALSE)*$BS$2) - $DV135</f>
        <v>4453.4880000000048</v>
      </c>
      <c r="EA135" s="403">
        <f t="shared" ref="EA135:EA140" si="52">IF(DY135&gt;0,IF(DZ135&gt;0,(-1)*MIN(DY135,DZ135),0),0)</f>
        <v>-3.1381435935618356</v>
      </c>
      <c r="EB135" s="403">
        <f t="shared" ref="EB135:EB140" si="53">IF(DY135&lt;0,IF(DX135&lt;ABS(DY135),MAX(0,ABS($DY135)-(DX135)),0),0)</f>
        <v>0</v>
      </c>
      <c r="EC135" s="403">
        <f t="shared" ref="EC135:EC140" si="54">IF(AND(DX135&gt;0,DZ135&gt;0),IF(AND(DY135&lt;=0,ABS(DY135)&lt;DX135),(-1)*MIN(DX135,DX135-ABS(DY135),DZ135),IF(AND(DY135&gt;0,DY135&lt;DZ135),(-1)*MIN(DX135,DZ135-DY135),0)),0)</f>
        <v>0</v>
      </c>
      <c r="ED135" s="403">
        <f t="shared" ref="ED135:ED140" si="55">IF($D135=0,SUM(EA135:EC135),0)</f>
        <v>-3.1381435935618356</v>
      </c>
    </row>
    <row r="136" spans="1:134">
      <c r="A136" s="123">
        <v>10597</v>
      </c>
      <c r="B136" s="124" t="s">
        <v>136</v>
      </c>
      <c r="C136" s="232">
        <f>VLOOKUP(A136, TOCA_current!$A$3:$D$137, 4, FALSE)</f>
        <v>0</v>
      </c>
      <c r="D136" s="191">
        <v>0</v>
      </c>
      <c r="E136" s="107">
        <f>VLOOKUP($A136,TOCA_previous!$A$2:$AI$137,MATCH(E$4,TOCA_previous!$A$2:$AI$2,0),FALSE)</f>
        <v>1.8270000000000001E-3</v>
      </c>
      <c r="F136" s="108">
        <f>VLOOKUP($A136,TOCA_previous!$A$2:$AI$137,MATCH(F$4,TOCA_previous!$A$2:$AI$2,0),FALSE)</f>
        <v>1.8270000000000001E-3</v>
      </c>
      <c r="G136" s="108">
        <f t="shared" si="43"/>
        <v>0</v>
      </c>
      <c r="H136" s="108">
        <f>VLOOKUP($A136,TOCA_previous!$A$2:$AI$137,MATCH(H$4,TOCA_previous!$A$2:$AI$2,0),FALSE)</f>
        <v>0</v>
      </c>
      <c r="I136" s="108">
        <f t="shared" si="44"/>
        <v>0</v>
      </c>
      <c r="J136" s="108">
        <f t="shared" si="45"/>
        <v>0</v>
      </c>
      <c r="K136" s="179">
        <f>VLOOKUP(A136, IRD!$A$5:$C$139, 3, FALSE)</f>
        <v>0</v>
      </c>
      <c r="L136" s="180">
        <f t="array" ref="L136">IF($G136=0, INDEX(LS_previous!$D$4:$AY$138, MATCH('Staging Table'!$A136, LS_previous!$B$4:$B$138, 0), MATCH(L$4&amp;L$5, LS_previous!$D$2:$AY$2&amp;LS_previous!$D$3:$AY$3, 0)),SUM(VLOOKUP($A136, LS_previous!$B$4:$AY$138, LS_previous!D$149, FALSE), VLOOKUP('Staging Table'!$A136, LS_previous!$B$4:$AY$138,LS_previous!AB$149, FALSE))/2)</f>
        <v>-421.20981330635823</v>
      </c>
      <c r="M136" s="180">
        <f t="array" ref="M136">IF($G136=0, INDEX(LS_previous!$D$4:$AY$138, MATCH('Staging Table'!$A136, LS_previous!$B$4:$B$138, 0), MATCH(M$4&amp;M$5, LS_previous!$D$2:$AY$2&amp;LS_previous!$D$3:$AY$3, 0)),SUM(VLOOKUP($A136, LS_previous!$B$4:$AY$138, LS_previous!E$149, FALSE), VLOOKUP('Staging Table'!$A136, LS_previous!$B$4:$AY$138,LS_previous!AC$149, FALSE))/2)</f>
        <v>-137.73410342764282</v>
      </c>
      <c r="N136" s="180">
        <f t="array" ref="N136">IF($G136=0, INDEX(LS_previous!$D$4:$AY$138, MATCH('Staging Table'!$A136, LS_previous!$B$4:$B$138, 0), MATCH(N$4&amp;N$5, LS_previous!$D$2:$AY$2&amp;LS_previous!$D$3:$AY$3, 0)),SUM(VLOOKUP($A136, LS_previous!$B$4:$AY$138, LS_previous!F$149, FALSE), VLOOKUP('Staging Table'!$A136, LS_previous!$B$4:$AY$138,LS_previous!AD$149, FALSE))/2)</f>
        <v>-1076.8338266048995</v>
      </c>
      <c r="O136" s="180">
        <f t="array" ref="O136">IF($G136=0, INDEX(LS_previous!$D$4:$AY$138, MATCH('Staging Table'!$A136, LS_previous!$B$4:$B$138, 0), MATCH(O$4&amp;O$5, LS_previous!$D$2:$AY$2&amp;LS_previous!$D$3:$AY$3, 0)),SUM(VLOOKUP($A136, LS_previous!$B$4:$AY$138, LS_previous!G$149, FALSE), VLOOKUP('Staging Table'!$A136, LS_previous!$B$4:$AY$138,LS_previous!AE$149, FALSE))/2)</f>
        <v>-384.24034228216715</v>
      </c>
      <c r="P136" s="180">
        <f t="array" ref="P136">IF($G136=0, INDEX(LS_previous!$D$4:$AY$138, MATCH('Staging Table'!$A136, LS_previous!$B$4:$B$138, 0), MATCH(P$4&amp;P$5, LS_previous!$D$2:$AY$2&amp;LS_previous!$D$3:$AY$3, 0)),SUM(VLOOKUP($A136, LS_previous!$B$4:$AY$138, LS_previous!H$149, FALSE), VLOOKUP('Staging Table'!$A136, LS_previous!$B$4:$AY$138,LS_previous!AF$149, FALSE))/2)</f>
        <v>457.75951191538024</v>
      </c>
      <c r="Q136" s="180">
        <f t="array" ref="Q136">IF($G136=0, INDEX(LS_previous!$D$4:$AY$138, MATCH('Staging Table'!$A136, LS_previous!$B$4:$B$138, 0), MATCH(Q$4&amp;Q$5, LS_previous!$D$2:$AY$2&amp;LS_previous!$D$3:$AY$3, 0)),SUM(VLOOKUP($A136, LS_previous!$B$4:$AY$138, LS_previous!I$149, FALSE), VLOOKUP('Staging Table'!$A136, LS_previous!$B$4:$AY$138,LS_previous!AG$149, FALSE))/2)</f>
        <v>37.328115692871506</v>
      </c>
      <c r="R136" s="180">
        <f t="array" ref="R136">IF($G136=0, INDEX(LS_previous!$D$4:$AY$138, MATCH('Staging Table'!$A136, LS_previous!$B$4:$B$138, 0), MATCH(R$4&amp;R$5, LS_previous!$D$2:$AY$2&amp;LS_previous!$D$3:$AY$3, 0)),SUM(VLOOKUP($A136, LS_previous!$B$4:$AY$138, LS_previous!J$149, FALSE), VLOOKUP('Staging Table'!$A136, LS_previous!$B$4:$AY$138,LS_previous!AH$149, FALSE))/2)</f>
        <v>1703.9978420550324</v>
      </c>
      <c r="S136" s="180">
        <f t="array" ref="S136">IF($G136=0, INDEX(LS_previous!$D$4:$AY$138, MATCH('Staging Table'!$A136, LS_previous!$B$4:$B$138, 0), MATCH(S$4&amp;S$5, LS_previous!$D$2:$AY$2&amp;LS_previous!$D$3:$AY$3, 0)),SUM(VLOOKUP($A136, LS_previous!$B$4:$AY$138, LS_previous!K$149, FALSE), VLOOKUP('Staging Table'!$A136, LS_previous!$B$4:$AY$138,LS_previous!AI$149, FALSE))/2)</f>
        <v>765.08964743867773</v>
      </c>
      <c r="T136" s="180">
        <f t="array" ref="T136">IF($G136=0, INDEX(LS_previous!$D$4:$AY$138, MATCH('Staging Table'!$A136, LS_previous!$B$4:$B$138, 0), MATCH(T$4&amp;T$5, LS_previous!$D$2:$AY$2&amp;LS_previous!$D$3:$AY$3, 0)),SUM(VLOOKUP($A136, LS_previous!$B$4:$AY$138, LS_previous!L$149, FALSE), VLOOKUP('Staging Table'!$A136, LS_previous!$B$4:$AY$138,LS_previous!AJ$149, FALSE))/2)</f>
        <v>1420.7811477217001</v>
      </c>
      <c r="U136" s="180">
        <f t="array" ref="U136">IF($G136=0, INDEX(LS_previous!$D$4:$AY$138, MATCH('Staging Table'!$A136, LS_previous!$B$4:$B$138, 0), MATCH(U$4&amp;U$5, LS_previous!$D$2:$AY$2&amp;LS_previous!$D$3:$AY$3, 0)),SUM(VLOOKUP($A136, LS_previous!$B$4:$AY$138, LS_previous!M$149, FALSE), VLOOKUP('Staging Table'!$A136, LS_previous!$B$4:$AY$138,LS_previous!AK$149, FALSE))/2)</f>
        <v>601.45651175203056</v>
      </c>
      <c r="V136" s="180">
        <f t="array" ref="V136">IF($G136=0, INDEX(LS_previous!$D$4:$AY$138, MATCH('Staging Table'!$A136, LS_previous!$B$4:$B$138, 0), MATCH(V$4&amp;V$5, LS_previous!$D$2:$AY$2&amp;LS_previous!$D$3:$AY$3, 0)),SUM(VLOOKUP($A136, LS_previous!$B$4:$AY$138, LS_previous!N$149, FALSE), VLOOKUP('Staging Table'!$A136, LS_previous!$B$4:$AY$138,LS_previous!AL$149, FALSE))/2)</f>
        <v>-356.80731214611023</v>
      </c>
      <c r="W136" s="180">
        <f t="array" ref="W136">IF($G136=0, INDEX(LS_previous!$D$4:$AY$138, MATCH('Staging Table'!$A136, LS_previous!$B$4:$B$138, 0), MATCH(W$4&amp;W$5, LS_previous!$D$2:$AY$2&amp;LS_previous!$D$3:$AY$3, 0)),SUM(VLOOKUP($A136, LS_previous!$B$4:$AY$138, LS_previous!O$149, FALSE), VLOOKUP('Staging Table'!$A136, LS_previous!$B$4:$AY$138,LS_previous!AM$149, FALSE))/2)</f>
        <v>-276.34417002630789</v>
      </c>
      <c r="X136" s="180">
        <f t="array" ref="X136">IF($G136=0, INDEX(LS_previous!$D$4:$AY$138, MATCH('Staging Table'!$A136, LS_previous!$B$4:$B$138, 0), MATCH(X$4&amp;X$5, LS_previous!$D$2:$AY$2&amp;LS_previous!$D$3:$AY$3, 0)),SUM(VLOOKUP($A136, LS_previous!$B$4:$AY$138, LS_previous!P$149, FALSE), VLOOKUP('Staging Table'!$A136, LS_previous!$B$4:$AY$138,LS_previous!AN$149, FALSE))/2)</f>
        <v>488.38899340148964</v>
      </c>
      <c r="Y136" s="180">
        <f t="array" ref="Y136">IF($G136=0, INDEX(LS_previous!$D$4:$AY$138, MATCH('Staging Table'!$A136, LS_previous!$B$4:$B$138, 0), MATCH(Y$4&amp;Y$5, LS_previous!$D$2:$AY$2&amp;LS_previous!$D$3:$AY$3, 0)),SUM(VLOOKUP($A136, LS_previous!$B$4:$AY$138, LS_previous!Q$149, FALSE), VLOOKUP('Staging Table'!$A136, LS_previous!$B$4:$AY$138,LS_previous!AO$149, FALSE))/2)</f>
        <v>114.13801775640559</v>
      </c>
      <c r="Z136" s="180">
        <f t="array" ref="Z136">IF($G136=0, INDEX(LS_previous!$D$4:$AY$138, MATCH('Staging Table'!$A136, LS_previous!$B$4:$B$138, 0), MATCH(Z$4&amp;Z$5, LS_previous!$D$2:$AY$2&amp;LS_previous!$D$3:$AY$3, 0)),SUM(VLOOKUP($A136, LS_previous!$B$4:$AY$138, LS_previous!R$149, FALSE), VLOOKUP('Staging Table'!$A136, LS_previous!$B$4:$AY$138,LS_previous!AP$149, FALSE))/2)</f>
        <v>-1491.0385746345974</v>
      </c>
      <c r="AA136" s="180">
        <f t="array" ref="AA136">IF($G136=0, INDEX(LS_previous!$D$4:$AY$138, MATCH('Staging Table'!$A136, LS_previous!$B$4:$B$138, 0), MATCH(AA$4&amp;AA$5, LS_previous!$D$2:$AY$2&amp;LS_previous!$D$3:$AY$3, 0)),SUM(VLOOKUP($A136, LS_previous!$B$4:$AY$138, LS_previous!S$149, FALSE), VLOOKUP('Staging Table'!$A136, LS_previous!$B$4:$AY$138,LS_previous!AQ$149, FALSE))/2)</f>
        <v>-98.837745435168472</v>
      </c>
      <c r="AB136" s="180">
        <f t="array" ref="AB136">IF($G136=0, INDEX(LS_previous!$D$4:$AY$138, MATCH('Staging Table'!$A136, LS_previous!$B$4:$B$138, 0), MATCH(AB$4&amp;AB$5, LS_previous!$D$2:$AY$2&amp;LS_previous!$D$3:$AY$3, 0)),SUM(VLOOKUP($A136, LS_previous!$B$4:$AY$138, LS_previous!T$149, FALSE), VLOOKUP('Staging Table'!$A136, LS_previous!$B$4:$AY$138,LS_previous!AR$149, FALSE))/2)</f>
        <v>-1837.2674319066682</v>
      </c>
      <c r="AC136" s="180">
        <f t="array" ref="AC136">IF($G136=0, INDEX(LS_previous!$D$4:$AY$138, MATCH('Staging Table'!$A136, LS_previous!$B$4:$B$138, 0), MATCH(AC$4&amp;AC$5, LS_previous!$D$2:$AY$2&amp;LS_previous!$D$3:$AY$3, 0)),SUM(VLOOKUP($A136, LS_previous!$B$4:$AY$138, LS_previous!U$149, FALSE), VLOOKUP('Staging Table'!$A136, LS_previous!$B$4:$AY$138,LS_previous!AS$149, FALSE))/2)</f>
        <v>33.239551273002235</v>
      </c>
      <c r="AD136" s="180">
        <f t="array" ref="AD136">IF($G136=0, INDEX(LS_previous!$D$4:$AY$138, MATCH('Staging Table'!$A136, LS_previous!$B$4:$B$138, 0), MATCH(AD$4&amp;AD$5, LS_previous!$D$2:$AY$2&amp;LS_previous!$D$3:$AY$3, 0)),SUM(VLOOKUP($A136, LS_previous!$B$4:$AY$138, LS_previous!V$149, FALSE), VLOOKUP('Staging Table'!$A136, LS_previous!$B$4:$AY$138,LS_previous!AT$149, FALSE))/2)</f>
        <v>111.2610804792721</v>
      </c>
      <c r="AE136" s="180">
        <f t="array" ref="AE136">IF($G136=0, INDEX(LS_previous!$D$4:$AY$138, MATCH('Staging Table'!$A136, LS_previous!$B$4:$B$138, 0), MATCH(AE$4&amp;AE$5, LS_previous!$D$2:$AY$2&amp;LS_previous!$D$3:$AY$3, 0)),SUM(VLOOKUP($A136, LS_previous!$B$4:$AY$138, LS_previous!W$149, FALSE), VLOOKUP('Staging Table'!$A136, LS_previous!$B$4:$AY$138,LS_previous!AU$149, FALSE))/2)</f>
        <v>603.13603919609477</v>
      </c>
      <c r="AF136" s="180">
        <f t="array" ref="AF136">IF($G136=0, INDEX(LS_previous!$D$4:$AY$138, MATCH('Staging Table'!$A136, LS_previous!$B$4:$B$138, 0), MATCH(AF$4&amp;AF$5, LS_previous!$D$2:$AY$2&amp;LS_previous!$D$3:$AY$3, 0)),SUM(VLOOKUP($A136, LS_previous!$B$4:$AY$138, LS_previous!X$149, FALSE), VLOOKUP('Staging Table'!$A136, LS_previous!$B$4:$AY$138,LS_previous!AV$149, FALSE))/2)</f>
        <v>297.38252620014919</v>
      </c>
      <c r="AG136" s="180">
        <f t="array" ref="AG136">IF($G136=0, INDEX(LS_previous!$D$4:$AY$138, MATCH('Staging Table'!$A136, LS_previous!$B$4:$B$138, 0), MATCH(AG$4&amp;AG$5, LS_previous!$D$2:$AY$2&amp;LS_previous!$D$3:$AY$3, 0)),SUM(VLOOKUP($A136, LS_previous!$B$4:$AY$138, LS_previous!Y$149, FALSE), VLOOKUP('Staging Table'!$A136, LS_previous!$B$4:$AY$138,LS_previous!AW$149, FALSE))/2)</f>
        <v>424.00530523438829</v>
      </c>
      <c r="AH136" s="180">
        <f t="array" ref="AH136">IF($G136=0, INDEX(LS_previous!$D$4:$AY$138, MATCH('Staging Table'!$A136, LS_previous!$B$4:$B$138, 0), MATCH(AH$4&amp;AH$5, LS_previous!$D$2:$AY$2&amp;LS_previous!$D$3:$AY$3, 0)),SUM(VLOOKUP($A136, LS_previous!$B$4:$AY$138, LS_previous!Z$149, FALSE), VLOOKUP('Staging Table'!$A136, LS_previous!$B$4:$AY$138,LS_previous!AX$149, FALSE))/2)</f>
        <v>-512.5494836369744</v>
      </c>
      <c r="AI136" s="180">
        <f t="array" ref="AI136">IF($G136=0, INDEX(LS_previous!$D$4:$AY$138, MATCH('Staging Table'!$A136, LS_previous!$B$4:$B$138, 0), MATCH(AI$4&amp;AI$5, LS_previous!$D$2:$AY$2&amp;LS_previous!$D$3:$AY$3, 0)),SUM(VLOOKUP($A136, LS_previous!$B$4:$AY$138, LS_previous!AA$149, FALSE), VLOOKUP('Staging Table'!$A136, LS_previous!$B$4:$AY$138,LS_previous!AY$149, FALSE))/2)</f>
        <v>-103.21131432975653</v>
      </c>
      <c r="AJ136" s="298">
        <f t="array" ref="AJ136">INDEX(Demand_previous!$D$4:$AY$138, MATCH('Staging Table'!$A136, Demand_previous!$B$4:$B$138, 0), MATCH(AJ$4&amp;AJ$5,Demand_previous!$D$2:$AY$2&amp;Demand_previous!$D$3:$AY$3, 0))/1000</f>
        <v>1.7749182692307715</v>
      </c>
      <c r="AK136" s="298">
        <f t="array" ref="AK136">INDEX(Demand_previous!$D$4:$AY$138, MATCH('Staging Table'!$A136, Demand_previous!$B$4:$B$138, 0), MATCH(AK$4&amp;AK$5,Demand_previous!$D$2:$AY$2&amp;Demand_previous!$D$3:$AY$3, 0))/1000</f>
        <v>1.1725199999999991</v>
      </c>
      <c r="AL136" s="298">
        <f t="array" ref="AL136">INDEX(Demand_previous!$D$4:$AY$138, MATCH('Staging Table'!$A136, Demand_previous!$B$4:$B$138, 0), MATCH(AL$4&amp;AL$5,Demand_previous!$D$2:$AY$2&amp;Demand_previous!$D$3:$AY$3, 0))/1000</f>
        <v>2.6989254807692324</v>
      </c>
      <c r="AM136" s="298">
        <f t="array" ref="AM136">INDEX(Demand_previous!$D$4:$AY$138, MATCH('Staging Table'!$A136, Demand_previous!$B$4:$B$138, 0), MATCH(AM$4&amp;AM$5,Demand_previous!$D$2:$AY$2&amp;Demand_previous!$D$3:$AY$3, 0))/1000</f>
        <v>1.2429149999999995</v>
      </c>
      <c r="AN136" s="298">
        <f t="array" ref="AN136">INDEX(Demand_previous!$D$4:$AY$138, MATCH('Staging Table'!$A136, Demand_previous!$B$4:$B$138, 0), MATCH(AN$4&amp;AN$5,Demand_previous!$D$2:$AY$2&amp;Demand_previous!$D$3:$AY$3, 0))/1000</f>
        <v>0.60393749999999891</v>
      </c>
      <c r="AO136" s="298">
        <f t="array" ref="AO136">INDEX(Demand_previous!$D$4:$AY$138, MATCH('Staging Table'!$A136, Demand_previous!$B$4:$B$138, 0), MATCH(AO$4&amp;AO$5,Demand_previous!$D$2:$AY$2&amp;Demand_previous!$D$3:$AY$3, 0))/1000</f>
        <v>2.2208310185185205</v>
      </c>
      <c r="AP136" s="298">
        <f t="array" ref="AP136">INDEX(Demand_previous!$D$4:$AY$138, MATCH('Staging Table'!$A136, Demand_previous!$B$4:$B$138, 0), MATCH(AP$4&amp;AP$5,Demand_previous!$D$2:$AY$2&amp;Demand_previous!$D$3:$AY$3, 0))/1000</f>
        <v>1.6306658653846158</v>
      </c>
      <c r="AQ136" s="298">
        <f t="array" ref="AQ136">INDEX(Demand_previous!$D$4:$AY$138, MATCH('Staging Table'!$A136, Demand_previous!$B$4:$B$138, 0), MATCH(AQ$4&amp;AQ$5,Demand_previous!$D$2:$AY$2&amp;Demand_previous!$D$3:$AY$3, 0))/1000</f>
        <v>0.75294249999999874</v>
      </c>
      <c r="AR136" s="298">
        <f t="array" ref="AR136">INDEX(Demand_previous!$D$4:$AY$138, MATCH('Staging Table'!$A136, Demand_previous!$B$4:$B$138, 0), MATCH(AR$4&amp;AR$5,Demand_previous!$D$2:$AY$2&amp;Demand_previous!$D$3:$AY$3, 0))/1000</f>
        <v>2.2639110576923072</v>
      </c>
      <c r="AS136" s="298">
        <f t="array" ref="AS136">INDEX(Demand_previous!$D$4:$AY$138, MATCH('Staging Table'!$A136, Demand_previous!$B$4:$B$138, 0), MATCH(AS$4&amp;AS$5,Demand_previous!$D$2:$AY$2&amp;Demand_previous!$D$3:$AY$3, 0))/1000</f>
        <v>2.5152099999999997</v>
      </c>
      <c r="AT136" s="298">
        <f t="array" ref="AT136">INDEX(Demand_previous!$D$4:$AY$138, MATCH('Staging Table'!$A136, Demand_previous!$B$4:$B$138, 0), MATCH(AT$4&amp;AT$5,Demand_previous!$D$2:$AY$2&amp;Demand_previous!$D$3:$AY$3, 0))/1000</f>
        <v>2.2946226851851828</v>
      </c>
      <c r="AU136" s="298">
        <f t="array" ref="AU136">INDEX(Demand_previous!$D$4:$AY$138, MATCH('Staging Table'!$A136, Demand_previous!$B$4:$B$138, 0), MATCH(AU$4&amp;AU$5,Demand_previous!$D$2:$AY$2&amp;Demand_previous!$D$3:$AY$3, 0))/1000</f>
        <v>1.6993125000000004</v>
      </c>
      <c r="AV136" s="180">
        <f>$F136*(VLOOKUP(AV$4, Rates_previous!$G$6:$Q$29, 10, FALSE)+VLOOKUP(AV$4, Rates_previous!$G$6:$Q$29, 11, FALSE))</f>
        <v>8320.0199167340015</v>
      </c>
      <c r="AW136" s="180">
        <f>$F136*(VLOOKUP(AW$4, Rates_previous!$G$6:$Q$29, 10, FALSE)+VLOOKUP(AW$4, Rates_previous!$G$6:$Q$29, 11, FALSE))</f>
        <v>10533.447168887067</v>
      </c>
      <c r="AX136" s="180">
        <f>$F136*(VLOOKUP(AX$4, Rates_previous!$G$6:$Q$29, 10, FALSE)+VLOOKUP(AX$4, Rates_previous!$G$6:$Q$29, 11, FALSE))</f>
        <v>10310.14037239175</v>
      </c>
      <c r="AY136" s="180">
        <f>$F136*(VLOOKUP(AY$4, Rates_previous!$G$6:$Q$29, 10, FALSE)+VLOOKUP(AY$4, Rates_previous!$G$6:$Q$29, 11, FALSE))</f>
        <v>8515.7375105062893</v>
      </c>
      <c r="AZ136" s="180">
        <f>$F136*(VLOOKUP(AZ$4, Rates_previous!$G$6:$Q$29, 10, FALSE)+VLOOKUP(AZ$4, Rates_previous!$G$6:$Q$29, 11, FALSE))</f>
        <v>7380.7763405262704</v>
      </c>
      <c r="BA136" s="180">
        <f>$F136*(VLOOKUP(BA$4, Rates_previous!$G$6:$Q$29, 10, FALSE)+VLOOKUP(BA$4, Rates_previous!$G$6:$Q$29, 11, FALSE))</f>
        <v>8811.1564821724187</v>
      </c>
      <c r="BB136" s="180">
        <f>$F136*(VLOOKUP(BB$4, Rates_previous!$G$6:$Q$29, 10, FALSE)+VLOOKUP(BB$4, Rates_previous!$G$6:$Q$29, 11, FALSE))</f>
        <v>6840.6899888421049</v>
      </c>
      <c r="BC136" s="180">
        <f>$F136*(VLOOKUP(BC$4, Rates_previous!$G$6:$Q$29, 10, FALSE)+VLOOKUP(BC$4, Rates_previous!$G$6:$Q$29, 11, FALSE))</f>
        <v>9477.8263200697656</v>
      </c>
      <c r="BD136" s="180">
        <f>$F136*(VLOOKUP(BD$4, Rates_previous!$G$6:$Q$29, 10, FALSE)+VLOOKUP(BD$4, Rates_previous!$G$6:$Q$29, 11, FALSE))</f>
        <v>10127.255880633664</v>
      </c>
      <c r="BE136" s="180">
        <f>$F136*(VLOOKUP(BE$4, Rates_previous!$G$6:$Q$29, 10, FALSE)+VLOOKUP(BE$4, Rates_previous!$G$6:$Q$29, 11, FALSE))</f>
        <v>9615.3708803246336</v>
      </c>
      <c r="BF136" s="180">
        <f>$F136*(VLOOKUP(BF$4, Rates_previous!$G$6:$Q$29, 10, FALSE)+VLOOKUP(BF$4, Rates_previous!$G$6:$Q$29, 11, FALSE))</f>
        <v>9292.5141685654635</v>
      </c>
      <c r="BG136" s="180">
        <f>$F136*(VLOOKUP(BG$4, Rates_previous!$G$6:$Q$29, 10, FALSE)+VLOOKUP(BG$4, Rates_previous!$G$6:$Q$29, 11, FALSE))</f>
        <v>8587.25179796673</v>
      </c>
      <c r="BH136" s="298">
        <f>IF($D136=0,IF(C136=0, MAX(BJ136 - (VLOOKUP($A136,TOCA_previous!$A$2:$AI$137,MATCH("RHWM 2022",TOCA_previous!$A$2:$AI$2,0),FALSE)*$F$2*TOCA_previous!C133),0),0), 0)</f>
        <v>66.922515059879515</v>
      </c>
      <c r="BI136" s="192">
        <f>MIN(VLOOKUP($A136,TOCA_previous!$A$2:$AI$137,MATCH("TRL - NLSL - Existing Resource "&amp;$F$1,TOCA_previous!$A$2:$AI$2,0),FALSE)*$F$2,(VLOOKUP($A136,TOCA_previous!$A$2:$AI$137,MATCH("RHWM 2022",TOCA_previous!$A$2:$AI$2,0),FALSE)*$F$2))</f>
        <v>107809.32</v>
      </c>
      <c r="BJ136" s="402">
        <f>SUM(L136:AI136)+(F136*RT1SC!$C$3*$F$2)</f>
        <v>108174.08251505987</v>
      </c>
      <c r="BK136" s="401">
        <f>VLOOKUP($A136,TOCA_previous!$A$2:$AI$137,MATCH("Above RHWM Not Served with LS "&amp;$F$1,TOCA_previous!$A$2:$AI$2,0),FALSE)*$F$2</f>
        <v>0</v>
      </c>
      <c r="BL136" s="402">
        <f t="shared" si="46"/>
        <v>364.76251505986147</v>
      </c>
      <c r="BM136" s="401">
        <f>(VLOOKUP($A136,TOCA_previous!$A$2:$AI$137,MATCH("RHWM 2022",TOCA_previous!$A$2:$AI$2,0),FALSE)*$F$2) - $BI136</f>
        <v>297.83999999998196</v>
      </c>
      <c r="BN136" s="402">
        <f t="shared" si="47"/>
        <v>-297.83999999998196</v>
      </c>
      <c r="BO136" s="401">
        <f t="shared" si="48"/>
        <v>0</v>
      </c>
      <c r="BP136" s="402">
        <f t="shared" si="49"/>
        <v>0</v>
      </c>
      <c r="BQ136" s="401">
        <f t="shared" si="40"/>
        <v>-297.83999999998196</v>
      </c>
      <c r="BR136" s="108">
        <f>VLOOKUP($A136,TOCA_current!$A$2:$AI$137,MATCH(BR$4,TOCA_current!$A$2:$AI$2,0),FALSE)</f>
        <v>1.7435E-3</v>
      </c>
      <c r="BS136" s="108">
        <f>VLOOKUP($A136,TOCA_current!$A$2:$AI$137,MATCH(BS$4,TOCA_current!$A$2:$AI$2,0),FALSE)</f>
        <v>1.7435E-3</v>
      </c>
      <c r="BT136" s="189">
        <f t="shared" si="50"/>
        <v>0</v>
      </c>
      <c r="BU136" s="108">
        <f>VLOOKUP($A136,TOCA_current!A132:BG267,MATCH(BU$4,TOCA_current!$A$2:$BG$2,0),FALSE)</f>
        <v>0</v>
      </c>
      <c r="BV136" s="108">
        <f t="shared" si="41"/>
        <v>0</v>
      </c>
      <c r="BW136" s="108">
        <f t="shared" si="42"/>
        <v>0</v>
      </c>
      <c r="BX136" s="179">
        <f>VLOOKUP($A136,IRD!$A$4:$G$139, 7, FALSE)</f>
        <v>0</v>
      </c>
      <c r="BY136" s="180">
        <f t="array" ref="BY136">IF($BT136=0, INDEX(LS_current!$D$4:$AY$138, MATCH('Staging Table'!$A136, LS_current!$B$4:$B$138, 0), MATCH(BY$4&amp;BY$5, LS_current!$D$2:$AY$2&amp;LS_current!$D$3:$AY$3, 0)),SUM(VLOOKUP($A136, LS_current!$B$4:$AY$138, LS_current!D$148, FALSE), VLOOKUP($A136, LS_current!$B$4:$AY$138,LS_current!AB$148, FALSE))/2)</f>
        <v>464.88782323399937</v>
      </c>
      <c r="BZ136" s="180">
        <f t="array" ref="BZ136">IF($BT136=0, INDEX(LS_current!$D$4:$AY$138, MATCH('Staging Table'!$A136, LS_current!$B$4:$B$138, 0), MATCH(BZ$4&amp;BZ$5, LS_current!$D$2:$AY$2&amp;LS_current!$D$3:$AY$3, 0)),SUM(VLOOKUP($A136, LS_current!$B$4:$AY$138, LS_current!E$148, FALSE), VLOOKUP($A136, LS_current!$B$4:$AY$138,LS_current!AC$148, FALSE))/2)</f>
        <v>-59.296181409250039</v>
      </c>
      <c r="CA136" s="180">
        <f t="array" ref="CA136">IF($BT136=0, INDEX(LS_current!$D$4:$AY$138, MATCH('Staging Table'!$A136, LS_current!$B$4:$B$138, 0), MATCH(CA$4&amp;CA$5, LS_current!$D$2:$AY$2&amp;LS_current!$D$3:$AY$3, 0)),SUM(VLOOKUP($A136, LS_current!$B$4:$AY$138, LS_current!F$148, FALSE), VLOOKUP($A136, LS_current!$B$4:$AY$138,LS_current!AD$148, FALSE))/2)</f>
        <v>-304.64165636800044</v>
      </c>
      <c r="CB136" s="180">
        <f t="array" ref="CB136">IF($BT136=0, INDEX(LS_current!$D$4:$AY$138, MATCH('Staging Table'!$A136, LS_current!$B$4:$B$138, 0), MATCH(CB$4&amp;CB$5, LS_current!$D$2:$AY$2&amp;LS_current!$D$3:$AY$3, 0)),SUM(VLOOKUP($A136, LS_current!$B$4:$AY$138, LS_current!G$148, FALSE), VLOOKUP($A136, LS_current!$B$4:$AY$138,LS_current!AE$148, FALSE))/2)</f>
        <v>-3.6533931485005269</v>
      </c>
      <c r="CC136" s="180">
        <f t="array" ref="CC136">IF($BT136=0, INDEX(LS_current!$D$4:$AY$138, MATCH('Staging Table'!$A136, LS_current!$B$4:$B$138, 0), MATCH(CC$4&amp;CC$5, LS_current!$D$2:$AY$2&amp;LS_current!$D$3:$AY$3, 0)),SUM(VLOOKUP($A136, LS_current!$B$4:$AY$138, LS_current!H$148, FALSE), VLOOKUP($A136, LS_current!$B$4:$AY$138,LS_current!AF$148, FALSE))/2)</f>
        <v>209.80811405349959</v>
      </c>
      <c r="CD136" s="180">
        <f t="array" ref="CD136">IF($BT136=0, INDEX(LS_current!$D$4:$AY$138, MATCH('Staging Table'!$A136, LS_current!$B$4:$B$138, 0), MATCH(CD$4&amp;CD$5, LS_current!$D$2:$AY$2&amp;LS_current!$D$3:$AY$3, 0)),SUM(VLOOKUP($A136, LS_current!$B$4:$AY$138, LS_current!I$148, FALSE), VLOOKUP($A136, LS_current!$B$4:$AY$138,LS_current!AG$148, FALSE))/2)</f>
        <v>471.8229910240002</v>
      </c>
      <c r="CE136" s="180">
        <f t="array" ref="CE136">IF($BT136=0, INDEX(LS_current!$D$4:$AY$138, MATCH('Staging Table'!$A136, LS_current!$B$4:$B$138, 0), MATCH(CE$4&amp;CE$5, LS_current!$D$2:$AY$2&amp;LS_current!$D$3:$AY$3, 0)),SUM(VLOOKUP($A136, LS_current!$B$4:$AY$138, LS_current!J$148, FALSE), VLOOKUP($A136, LS_current!$B$4:$AY$138,LS_current!AH$148, FALSE))/2)</f>
        <v>35.255494897500284</v>
      </c>
      <c r="CF136" s="180">
        <f t="array" ref="CF136">IF($BT136=0, INDEX(LS_current!$D$4:$AY$138, MATCH('Staging Table'!$A136, LS_current!$B$4:$B$138, 0), MATCH(CF$4&amp;CF$5, LS_current!$D$2:$AY$2&amp;LS_current!$D$3:$AY$3, 0)),SUM(VLOOKUP($A136, LS_current!$B$4:$AY$138, LS_current!K$148, FALSE), VLOOKUP($A136, LS_current!$B$4:$AY$138,LS_current!AI$148, FALSE))/2)</f>
        <v>429.58734643849948</v>
      </c>
      <c r="CG136" s="180">
        <f t="array" ref="CG136">IF($BT136=0, INDEX(LS_current!$D$4:$AY$138, MATCH('Staging Table'!$A136, LS_current!$B$4:$B$138, 0), MATCH(CG$4&amp;CG$5, LS_current!$D$2:$AY$2&amp;LS_current!$D$3:$AY$3, 0)),SUM(VLOOKUP($A136, LS_current!$B$4:$AY$138, LS_current!L$148, FALSE), VLOOKUP($A136, LS_current!$B$4:$AY$138,LS_current!AJ$148, FALSE))/2)</f>
        <v>-45.358815036499436</v>
      </c>
      <c r="CH136" s="180">
        <f t="array" ref="CH136">IF($BT136=0, INDEX(LS_current!$D$4:$AY$138, MATCH('Staging Table'!$A136, LS_current!$B$4:$B$138, 0), MATCH(CH$4&amp;CH$5, LS_current!$D$2:$AY$2&amp;LS_current!$D$3:$AY$3, 0)),SUM(VLOOKUP($A136, LS_current!$B$4:$AY$138, LS_current!M$148, FALSE), VLOOKUP($A136, LS_current!$B$4:$AY$138,LS_current!AK$148, FALSE))/2)</f>
        <v>399.78593448349966</v>
      </c>
      <c r="CI136" s="180">
        <f t="array" ref="CI136">IF($BT136=0, INDEX(LS_current!$D$4:$AY$138, MATCH('Staging Table'!$A136, LS_current!$B$4:$B$138, 0), MATCH(CI$4&amp;CI$5, LS_current!$D$2:$AY$2&amp;LS_current!$D$3:$AY$3, 0)),SUM(VLOOKUP($A136, LS_current!$B$4:$AY$138, LS_current!N$148, FALSE), VLOOKUP($A136, LS_current!$B$4:$AY$138,LS_current!AL$148, FALSE))/2)</f>
        <v>-960.46097351549997</v>
      </c>
      <c r="CJ136" s="180">
        <f t="array" ref="CJ136">IF($BT136=0, INDEX(LS_current!$D$4:$AY$138, MATCH('Staging Table'!$A136, LS_current!$B$4:$B$138, 0), MATCH(CJ$4&amp;CJ$5, LS_current!$D$2:$AY$2&amp;LS_current!$D$3:$AY$3, 0)),SUM(VLOOKUP($A136, LS_current!$B$4:$AY$138, LS_current!O$148, FALSE), VLOOKUP($A136, LS_current!$B$4:$AY$138,LS_current!AM$148, FALSE))/2)</f>
        <v>-740.79936994299987</v>
      </c>
      <c r="CK136" s="180">
        <f t="array" ref="CK136">IF($BT136=0, INDEX(LS_current!$D$4:$AY$138, MATCH('Staging Table'!$A136, LS_current!$B$4:$B$138, 0), MATCH(CK$4&amp;CK$5, LS_current!$D$2:$AY$2&amp;LS_current!$D$3:$AY$3, 0)),SUM(VLOOKUP($A136, LS_current!$B$4:$AY$138, LS_current!P$148, FALSE), VLOOKUP($A136, LS_current!$B$4:$AY$138,LS_current!AN$148, FALSE))/2)</f>
        <v>-42.666960071250287</v>
      </c>
      <c r="CL136" s="180">
        <f t="array" ref="CL136">IF($BT136=0, INDEX(LS_current!$D$4:$AY$138, MATCH('Staging Table'!$A136, LS_current!$B$4:$B$138, 0), MATCH(CL$4&amp;CL$5, LS_current!$D$2:$AY$2&amp;LS_current!$D$3:$AY$3, 0)),SUM(VLOOKUP($A136, LS_current!$B$4:$AY$138, LS_current!Q$148, FALSE), VLOOKUP($A136, LS_current!$B$4:$AY$138,LS_current!AO$148, FALSE))/2)</f>
        <v>-312.13117056112469</v>
      </c>
      <c r="CM136" s="180">
        <f t="array" ref="CM136">IF($BT136=0, INDEX(LS_current!$D$4:$AY$138, MATCH('Staging Table'!$A136, LS_current!$B$4:$B$138, 0), MATCH(CM$4&amp;CM$5, LS_current!$D$2:$AY$2&amp;LS_current!$D$3:$AY$3, 0)),SUM(VLOOKUP($A136, LS_current!$B$4:$AY$138, LS_current!R$148, FALSE), VLOOKUP($A136, LS_current!$B$4:$AY$138,LS_current!AP$148, FALSE))/2)</f>
        <v>-983.13967448800122</v>
      </c>
      <c r="CN136" s="180">
        <f t="array" ref="CN136">IF($BT136=0, INDEX(LS_current!$D$4:$AY$138, MATCH('Staging Table'!$A136, LS_current!$B$4:$B$138, 0), MATCH(CN$4&amp;CN$5, LS_current!$D$2:$AY$2&amp;LS_current!$D$3:$AY$3, 0)),SUM(VLOOKUP($A136, LS_current!$B$4:$AY$138, LS_current!S$148, FALSE), VLOOKUP($A136, LS_current!$B$4:$AY$138,LS_current!AQ$148, FALSE))/2)</f>
        <v>-803.39307784474977</v>
      </c>
      <c r="CO136" s="180">
        <f t="array" ref="CO136">IF($BT136=0, INDEX(LS_current!$D$4:$AY$138, MATCH('Staging Table'!$A136, LS_current!$B$4:$B$138, 0), MATCH(CO$4&amp;CO$5, LS_current!$D$2:$AY$2&amp;LS_current!$D$3:$AY$3, 0)),SUM(VLOOKUP($A136, LS_current!$B$4:$AY$138, LS_current!T$148, FALSE), VLOOKUP($A136, LS_current!$B$4:$AY$138,LS_current!AR$148, FALSE))/2)</f>
        <v>-822.13281898100013</v>
      </c>
      <c r="CP136" s="180">
        <f t="array" ref="CP136">IF($BT136=0, INDEX(LS_current!$D$4:$AY$138, MATCH('Staging Table'!$A136, LS_current!$B$4:$B$138, 0), MATCH(CP$4&amp;CP$5, LS_current!$D$2:$AY$2&amp;LS_current!$D$3:$AY$3, 0)),SUM(VLOOKUP($A136, LS_current!$B$4:$AY$138, LS_current!U$148, FALSE), VLOOKUP($A136, LS_current!$B$4:$AY$138,LS_current!AS$148, FALSE))/2)</f>
        <v>-739.03405752075014</v>
      </c>
      <c r="CQ136" s="180">
        <f t="array" ref="CQ136">IF($BT136=0, INDEX(LS_current!$D$4:$AY$138, MATCH('Staging Table'!$A136, LS_current!$B$4:$B$138, 0), MATCH(CQ$4&amp;CQ$5, LS_current!$D$2:$AY$2&amp;LS_current!$D$3:$AY$3, 0)),SUM(VLOOKUP($A136, LS_current!$B$4:$AY$138, LS_current!V$148, FALSE), VLOOKUP($A136, LS_current!$B$4:$AY$138,LS_current!AT$148, FALSE))/2)</f>
        <v>1168.1461194659996</v>
      </c>
      <c r="CR136" s="180">
        <f t="array" ref="CR136">IF($BT136=0, INDEX(LS_current!$D$4:$AY$138, MATCH('Staging Table'!$A136, LS_current!$B$4:$B$138, 0), MATCH(CR$4&amp;CR$5, LS_current!$D$2:$AY$2&amp;LS_current!$D$3:$AY$3, 0)),SUM(VLOOKUP($A136, LS_current!$B$4:$AY$138, LS_current!W$148, FALSE), VLOOKUP($A136, LS_current!$B$4:$AY$138,LS_current!AU$148, FALSE))/2)</f>
        <v>580.5430989537499</v>
      </c>
      <c r="CS136" s="180">
        <f t="array" ref="CS136">IF($BT136=0, INDEX(LS_current!$D$4:$AY$138, MATCH('Staging Table'!$A136, LS_current!$B$4:$B$138, 0), MATCH(CS$4&amp;CS$5, LS_current!$D$2:$AY$2&amp;LS_current!$D$3:$AY$3, 0)),SUM(VLOOKUP($A136, LS_current!$B$4:$AY$138, LS_current!X$148, FALSE), VLOOKUP($A136, LS_current!$B$4:$AY$138,LS_current!AV$148, FALSE))/2)</f>
        <v>1292.94208598975</v>
      </c>
      <c r="CT136" s="180">
        <f t="array" ref="CT136">IF($BT136=0, INDEX(LS_current!$D$4:$AY$138, MATCH('Staging Table'!$A136, LS_current!$B$4:$B$138, 0), MATCH(CT$4&amp;CT$5, LS_current!$D$2:$AY$2&amp;LS_current!$D$3:$AY$3, 0)),SUM(VLOOKUP($A136, LS_current!$B$4:$AY$138, LS_current!Y$148, FALSE), VLOOKUP($A136, LS_current!$B$4:$AY$138,LS_current!AW$148, FALSE))/2)</f>
        <v>425.33765778152519</v>
      </c>
      <c r="CU136" s="180">
        <f t="array" ref="CU136">IF($BT136=0, INDEX(LS_current!$D$4:$AY$138, MATCH('Staging Table'!$A136, LS_current!$B$4:$B$138, 0), MATCH(CU$4&amp;CU$5, LS_current!$D$2:$AY$2&amp;LS_current!$D$3:$AY$3, 0)),SUM(VLOOKUP($A136, LS_current!$B$4:$AY$138, LS_current!Z$148, FALSE), VLOOKUP($A136, LS_current!$B$4:$AY$138,LS_current!AX$148, FALSE))/2)</f>
        <v>408.73011928099913</v>
      </c>
      <c r="CV136" s="180">
        <f t="array" ref="CV136">IF($BT136=0, INDEX(LS_current!$D$4:$AY$138, MATCH('Staging Table'!$A136, LS_current!$B$4:$B$138, 0), MATCH(CV$4&amp;CV$5, LS_current!$D$2:$AY$2&amp;LS_current!$D$3:$AY$3, 0)),SUM(VLOOKUP($A136, LS_current!$B$4:$AY$138, LS_current!AA$148, FALSE), VLOOKUP($A136, LS_current!$B$4:$AY$138,LS_current!AY$148, FALSE))/2)</f>
        <v>-70.818032824000056</v>
      </c>
      <c r="CW136" s="182">
        <f t="array" ref="CW136">INDEX(Demand_current!$D$4:$AY$138, MATCH($A136, Demand_current!$B$4:$B$138, 0), MATCH(CW$4&amp;CW$5,Demand_current!$D$2:$AY$2&amp;Demand_current!$D$3:$AY$3, 0))/1000</f>
        <v>1.7749182692307715</v>
      </c>
      <c r="CX136" s="182">
        <f t="array" ref="CX136">INDEX(Demand_current!$D$4:$AY$138, MATCH($A136, Demand_current!$B$4:$B$138, 0), MATCH(CX$4&amp;CX$5,Demand_current!$D$2:$AY$2&amp;Demand_current!$D$3:$AY$3, 0))/1000</f>
        <v>1.1725199999999991</v>
      </c>
      <c r="CY136" s="182">
        <f t="array" ref="CY136">INDEX(Demand_current!$D$4:$AY$138, MATCH($A136, Demand_current!$B$4:$B$138, 0), MATCH(CY$4&amp;CY$5,Demand_current!$D$2:$AY$2&amp;Demand_current!$D$3:$AY$3, 0))/1000</f>
        <v>2.0885625000000028</v>
      </c>
      <c r="CZ136" s="182">
        <f t="array" ref="CZ136">INDEX(Demand_current!$D$4:$AY$138, MATCH($A136, Demand_current!$B$4:$B$138, 0), MATCH(CZ$4&amp;CZ$5,Demand_current!$D$2:$AY$2&amp;Demand_current!$D$3:$AY$3, 0))/1000</f>
        <v>1.8725721153846151</v>
      </c>
      <c r="DA136" s="182">
        <f t="array" ref="DA136">INDEX(Demand_current!$D$4:$AY$138, MATCH($A136, Demand_current!$B$4:$B$138, 0), MATCH(DA$4&amp;DA$5,Demand_current!$D$2:$AY$2&amp;Demand_current!$D$3:$AY$3, 0))/1000</f>
        <v>1.1985399999999995</v>
      </c>
      <c r="DB136" s="182">
        <f t="array" ref="DB136">INDEX(Demand_current!$D$4:$AY$138, MATCH($A136, Demand_current!$B$4:$B$138, 0), MATCH(DB$4&amp;DB$5,Demand_current!$D$2:$AY$2&amp;Demand_current!$D$3:$AY$3, 0))/1000</f>
        <v>1.7708245192307694</v>
      </c>
      <c r="DC136" s="182">
        <f t="array" ref="DC136">INDEX(Demand_current!$D$4:$AY$138, MATCH($A136, Demand_current!$B$4:$B$138, 0), MATCH(DC$4&amp;DC$5,Demand_current!$D$2:$AY$2&amp;Demand_current!$D$3:$AY$3, 0))/1000</f>
        <v>1.6306658653846158</v>
      </c>
      <c r="DD136" s="182">
        <f t="array" ref="DD136">INDEX(Demand_current!$D$4:$AY$138, MATCH($A136, Demand_current!$B$4:$B$138, 0), MATCH(DD$4&amp;DD$5,Demand_current!$D$2:$AY$2&amp;Demand_current!$D$3:$AY$3, 0))/1000</f>
        <v>1.2236754807692298</v>
      </c>
      <c r="DE136" s="182">
        <f t="array" ref="DE136">INDEX(Demand_current!$D$4:$AY$138, MATCH($A136, Demand_current!$B$4:$B$138, 0), MATCH(DE$4&amp;DE$5,Demand_current!$D$2:$AY$2&amp;Demand_current!$D$3:$AY$3, 0))/1000</f>
        <v>1.7461475000000002</v>
      </c>
      <c r="DF136" s="182">
        <f t="array" ref="DF136">INDEX(Demand_current!$D$4:$AY$138, MATCH($A136, Demand_current!$B$4:$B$138, 0), MATCH(DF$4&amp;DF$5,Demand_current!$D$2:$AY$2&amp;Demand_current!$D$3:$AY$3, 0))/1000</f>
        <v>3.1417019230769228</v>
      </c>
      <c r="DG136" s="182">
        <f t="array" ref="DG136">INDEX(Demand_current!$D$4:$AY$138, MATCH($A136, Demand_current!$B$4:$B$138, 0), MATCH(DG$4&amp;DG$5,Demand_current!$D$2:$AY$2&amp;Demand_current!$D$3:$AY$3, 0))/1000</f>
        <v>2.2946226851851828</v>
      </c>
      <c r="DH136" s="182">
        <f t="array" ref="DH136">INDEX(Demand_current!$D$4:$AY$138, MATCH($A136, Demand_current!$B$4:$B$138, 0), MATCH(DH$4&amp;DH$5,Demand_current!$D$2:$AY$2&amp;Demand_current!$D$3:$AY$3, 0))/1000</f>
        <v>1.1818255208333346</v>
      </c>
      <c r="DI136" s="180">
        <f>$BS136*(VLOOKUP(DI$4, Rates_current!$G$6:$Q$29, 10, FALSE)+VLOOKUP(DI$4, Rates_current!$G$6:$Q$29, 11, FALSE))</f>
        <v>7355.4843581752502</v>
      </c>
      <c r="DJ136" s="180">
        <f>$BS136*(VLOOKUP(DJ$4, Rates_current!$G$6:$Q$29, 10, FALSE)+VLOOKUP(DJ$4, Rates_current!$G$6:$Q$29, 11, FALSE))</f>
        <v>9380.6680495165019</v>
      </c>
      <c r="DK136" s="180">
        <f>$BS136*(VLOOKUP(DK$4, Rates_current!$G$6:$Q$29, 10, FALSE)+VLOOKUP(DK$4, Rates_current!$G$6:$Q$29, 11, FALSE))</f>
        <v>10123.596894922501</v>
      </c>
      <c r="DL136" s="180">
        <f>$BS136*(VLOOKUP(DL$4, Rates_current!$G$6:$Q$29, 10, FALSE)+VLOOKUP(DL$4, Rates_current!$G$6:$Q$29, 11, FALSE))</f>
        <v>10519.982158664001</v>
      </c>
      <c r="DM136" s="180">
        <f>$BS136*(VLOOKUP(DM$4, Rates_current!$G$6:$Q$29, 10, FALSE)+VLOOKUP(DM$4, Rates_current!$G$6:$Q$29, 11, FALSE))</f>
        <v>9048.586880552999</v>
      </c>
      <c r="DN136" s="180">
        <f>$BS136*(VLOOKUP(DN$4, Rates_current!$G$6:$Q$29, 10, FALSE)+VLOOKUP(DN$4, Rates_current!$G$6:$Q$29, 11, FALSE))</f>
        <v>9879.265343458499</v>
      </c>
      <c r="DO136" s="180">
        <f>$BS136*(VLOOKUP(DO$4, Rates_current!$G$6:$Q$29, 10, FALSE)+VLOOKUP(DO$4, Rates_current!$G$6:$Q$29, 11, FALSE))</f>
        <v>7798.0151306323742</v>
      </c>
      <c r="DP136" s="180">
        <f>$BS136*(VLOOKUP(DP$4, Rates_current!$G$6:$Q$29, 10, FALSE)+VLOOKUP(DP$4, Rates_current!$G$6:$Q$29, 11, FALSE))</f>
        <v>9674.4827523327513</v>
      </c>
      <c r="DQ136" s="180">
        <f>$BS136*(VLOOKUP(DQ$4, Rates_current!$G$6:$Q$29, 10, FALSE)+VLOOKUP(DQ$4, Rates_current!$G$6:$Q$29, 11, FALSE))</f>
        <v>9884.3948765017503</v>
      </c>
      <c r="DR136" s="180">
        <f>$BS136*(VLOOKUP(DR$4, Rates_current!$G$6:$Q$29, 10, FALSE)+VLOOKUP(DR$4, Rates_current!$G$6:$Q$29, 11, FALSE))</f>
        <v>8581.0787815802505</v>
      </c>
      <c r="DS136" s="180">
        <f>$BS136*(VLOOKUP(DS$4, Rates_current!$G$6:$Q$29, 10, FALSE)+VLOOKUP(DS$4, Rates_current!$G$6:$Q$29, 11, FALSE))</f>
        <v>8295.6222562287257</v>
      </c>
      <c r="DT136" s="180">
        <f>$BS136*(VLOOKUP(DT$4, Rates_current!$G$6:$Q$29, 10, FALSE)+VLOOKUP(DT$4, Rates_current!$G$6:$Q$29, 11, FALSE))</f>
        <v>7633.5789135430014</v>
      </c>
      <c r="DU136" s="402">
        <f>IF(D136=0,IF(C136=0,MAX(0,DW136 - (VLOOKUP($A136,TOCA_current!$A$2:$AI$137,MATCH("RHWM 2024",TOCA_current!$A$2:$AI$2,0),FALSE)*$BS$2)), 0),0)</f>
        <v>0</v>
      </c>
      <c r="DV136" s="403">
        <f>MIN(VLOOKUP($A136,TOCA_current!$A$2:$AI$137,MATCH("TRL - NLSL - Existing Resource "&amp;$BS$1,TOCA_current!$A$2:$AI$2,0),FALSE)*$BS$2, VLOOKUP($A136,TOCA_current!$A$2:$AI$137,MATCH("RHWM 2024",TOCA_current!$A$2:$AI$2,0),FALSE)*$BS$2)</f>
        <v>108174.95999999999</v>
      </c>
      <c r="DW136" s="403">
        <f>SUM(BY136:CV136)+(BS136*RT1SC!$C$4*$BS$2)</f>
        <v>108174.07749585139</v>
      </c>
      <c r="DX136" s="403">
        <f>VLOOKUP($A136,TOCA_current!$A$2:$AI$137,MATCH("Above RHWM Not Served with LS "&amp;$BS$1,TOCA_current!$A$2:$AI$2,0),FALSE)*$BS$2</f>
        <v>0</v>
      </c>
      <c r="DY136" s="403">
        <f t="shared" si="51"/>
        <v>-0.88250414859794546</v>
      </c>
      <c r="DZ136" s="403">
        <f>(VLOOKUP($A136,TOCA_current!$A$2:$AI$137,MATCH("RHWM 2024",TOCA_current!$A$2:$AI$2,0),FALSE)*$BS$2) - $DV136</f>
        <v>5463.648000000001</v>
      </c>
      <c r="EA136" s="403">
        <f t="shared" si="52"/>
        <v>0</v>
      </c>
      <c r="EB136" s="403">
        <f t="shared" si="53"/>
        <v>0.88250414859794546</v>
      </c>
      <c r="EC136" s="403">
        <f t="shared" si="54"/>
        <v>0</v>
      </c>
      <c r="ED136" s="403">
        <f t="shared" si="55"/>
        <v>0.88250414859794546</v>
      </c>
    </row>
    <row r="137" spans="1:134">
      <c r="A137" s="123">
        <v>10706</v>
      </c>
      <c r="B137" s="124" t="s">
        <v>137</v>
      </c>
      <c r="C137" s="232">
        <f>VLOOKUP(A137, TOCA_current!$A$3:$D$137, 4, FALSE)</f>
        <v>0</v>
      </c>
      <c r="D137" s="191">
        <v>0</v>
      </c>
      <c r="E137" s="107">
        <f>VLOOKUP($A137,TOCA_previous!$A$2:$AI$137,MATCH(E$4,TOCA_previous!$A$2:$AI$2,0),FALSE)</f>
        <v>2.4467E-3</v>
      </c>
      <c r="F137" s="108">
        <f>VLOOKUP($A137,TOCA_previous!$A$2:$AI$137,MATCH(F$4,TOCA_previous!$A$2:$AI$2,0),FALSE)</f>
        <v>2.4467E-3</v>
      </c>
      <c r="G137" s="108">
        <f t="shared" si="43"/>
        <v>0</v>
      </c>
      <c r="H137" s="108">
        <f>VLOOKUP($A137,TOCA_previous!$A$2:$AI$137,MATCH(H$4,TOCA_previous!$A$2:$AI$2,0),FALSE)</f>
        <v>0</v>
      </c>
      <c r="I137" s="108">
        <f t="shared" si="44"/>
        <v>0</v>
      </c>
      <c r="J137" s="108">
        <f t="shared" si="45"/>
        <v>0</v>
      </c>
      <c r="K137" s="179">
        <f>VLOOKUP(A137, IRD!$A$5:$C$139, 3, FALSE)</f>
        <v>0</v>
      </c>
      <c r="L137" s="180">
        <f t="array" ref="L137">IF($G137=0, INDEX(LS_previous!$D$4:$AY$138, MATCH('Staging Table'!$A137, LS_previous!$B$4:$B$138, 0), MATCH(L$4&amp;L$5, LS_previous!$D$2:$AY$2&amp;LS_previous!$D$3:$AY$3, 0)),SUM(VLOOKUP($A137, LS_previous!$B$4:$AY$138, LS_previous!D$149, FALSE), VLOOKUP('Staging Table'!$A137, LS_previous!$B$4:$AY$138,LS_previous!AB$149, FALSE))/2)</f>
        <v>-53.861540239007809</v>
      </c>
      <c r="M137" s="180">
        <f t="array" ref="M137">IF($G137=0, INDEX(LS_previous!$D$4:$AY$138, MATCH('Staging Table'!$A137, LS_previous!$B$4:$B$138, 0), MATCH(M$4&amp;M$5, LS_previous!$D$2:$AY$2&amp;LS_previous!$D$3:$AY$3, 0)),SUM(VLOOKUP($A137, LS_previous!$B$4:$AY$138, LS_previous!E$149, FALSE), VLOOKUP('Staging Table'!$A137, LS_previous!$B$4:$AY$138,LS_previous!AC$149, FALSE))/2)</f>
        <v>1064.6036599581753</v>
      </c>
      <c r="N137" s="180">
        <f t="array" ref="N137">IF($G137=0, INDEX(LS_previous!$D$4:$AY$138, MATCH('Staging Table'!$A137, LS_previous!$B$4:$B$138, 0), MATCH(N$4&amp;N$5, LS_previous!$D$2:$AY$2&amp;LS_previous!$D$3:$AY$3, 0)),SUM(VLOOKUP($A137, LS_previous!$B$4:$AY$138, LS_previous!F$149, FALSE), VLOOKUP('Staging Table'!$A137, LS_previous!$B$4:$AY$138,LS_previous!AD$149, FALSE))/2)</f>
        <v>-2128.1984487981435</v>
      </c>
      <c r="O137" s="180">
        <f t="array" ref="O137">IF($G137=0, INDEX(LS_previous!$D$4:$AY$138, MATCH('Staging Table'!$A137, LS_previous!$B$4:$B$138, 0), MATCH(O$4&amp;O$5, LS_previous!$D$2:$AY$2&amp;LS_previous!$D$3:$AY$3, 0)),SUM(VLOOKUP($A137, LS_previous!$B$4:$AY$138, LS_previous!G$149, FALSE), VLOOKUP('Staging Table'!$A137, LS_previous!$B$4:$AY$138,LS_previous!AE$149, FALSE))/2)</f>
        <v>-269.15891579736035</v>
      </c>
      <c r="P137" s="180">
        <f t="array" ref="P137">IF($G137=0, INDEX(LS_previous!$D$4:$AY$138, MATCH('Staging Table'!$A137, LS_previous!$B$4:$B$138, 0), MATCH(P$4&amp;P$5, LS_previous!$D$2:$AY$2&amp;LS_previous!$D$3:$AY$3, 0)),SUM(VLOOKUP($A137, LS_previous!$B$4:$AY$138, LS_previous!H$149, FALSE), VLOOKUP('Staging Table'!$A137, LS_previous!$B$4:$AY$138,LS_previous!AF$149, FALSE))/2)</f>
        <v>-1087.146422384586</v>
      </c>
      <c r="Q137" s="180">
        <f t="array" ref="Q137">IF($G137=0, INDEX(LS_previous!$D$4:$AY$138, MATCH('Staging Table'!$A137, LS_previous!$B$4:$B$138, 0), MATCH(Q$4&amp;Q$5, LS_previous!$D$2:$AY$2&amp;LS_previous!$D$3:$AY$3, 0)),SUM(VLOOKUP($A137, LS_previous!$B$4:$AY$138, LS_previous!I$149, FALSE), VLOOKUP('Staging Table'!$A137, LS_previous!$B$4:$AY$138,LS_previous!AG$149, FALSE))/2)</f>
        <v>-578.86772930172538</v>
      </c>
      <c r="R137" s="180">
        <f t="array" ref="R137">IF($G137=0, INDEX(LS_previous!$D$4:$AY$138, MATCH('Staging Table'!$A137, LS_previous!$B$4:$B$138, 0), MATCH(R$4&amp;R$5, LS_previous!$D$2:$AY$2&amp;LS_previous!$D$3:$AY$3, 0)),SUM(VLOOKUP($A137, LS_previous!$B$4:$AY$138, LS_previous!J$149, FALSE), VLOOKUP('Staging Table'!$A137, LS_previous!$B$4:$AY$138,LS_previous!AH$149, FALSE))/2)</f>
        <v>344.72288634704364</v>
      </c>
      <c r="S137" s="180">
        <f t="array" ref="S137">IF($G137=0, INDEX(LS_previous!$D$4:$AY$138, MATCH('Staging Table'!$A137, LS_previous!$B$4:$B$138, 0), MATCH(S$4&amp;S$5, LS_previous!$D$2:$AY$2&amp;LS_previous!$D$3:$AY$3, 0)),SUM(VLOOKUP($A137, LS_previous!$B$4:$AY$138, LS_previous!K$149, FALSE), VLOOKUP('Staging Table'!$A137, LS_previous!$B$4:$AY$138,LS_previous!AI$149, FALSE))/2)</f>
        <v>464.53320289447947</v>
      </c>
      <c r="T137" s="180">
        <f t="array" ref="T137">IF($G137=0, INDEX(LS_previous!$D$4:$AY$138, MATCH('Staging Table'!$A137, LS_previous!$B$4:$B$138, 0), MATCH(T$4&amp;T$5, LS_previous!$D$2:$AY$2&amp;LS_previous!$D$3:$AY$3, 0)),SUM(VLOOKUP($A137, LS_previous!$B$4:$AY$138, LS_previous!L$149, FALSE), VLOOKUP('Staging Table'!$A137, LS_previous!$B$4:$AY$138,LS_previous!AJ$149, FALSE))/2)</f>
        <v>776.08227932713908</v>
      </c>
      <c r="U137" s="180">
        <f t="array" ref="U137">IF($G137=0, INDEX(LS_previous!$D$4:$AY$138, MATCH('Staging Table'!$A137, LS_previous!$B$4:$B$138, 0), MATCH(U$4&amp;U$5, LS_previous!$D$2:$AY$2&amp;LS_previous!$D$3:$AY$3, 0)),SUM(VLOOKUP($A137, LS_previous!$B$4:$AY$138, LS_previous!M$149, FALSE), VLOOKUP('Staging Table'!$A137, LS_previous!$B$4:$AY$138,LS_previous!AK$149, FALSE))/2)</f>
        <v>639.60437838187954</v>
      </c>
      <c r="V137" s="180">
        <f t="array" ref="V137">IF($G137=0, INDEX(LS_previous!$D$4:$AY$138, MATCH('Staging Table'!$A137, LS_previous!$B$4:$B$138, 0), MATCH(V$4&amp;V$5, LS_previous!$D$2:$AY$2&amp;LS_previous!$D$3:$AY$3, 0)),SUM(VLOOKUP($A137, LS_previous!$B$4:$AY$138, LS_previous!N$149, FALSE), VLOOKUP('Staging Table'!$A137, LS_previous!$B$4:$AY$138,LS_previous!AL$149, FALSE))/2)</f>
        <v>-332.53909618384569</v>
      </c>
      <c r="W137" s="180">
        <f t="array" ref="W137">IF($G137=0, INDEX(LS_previous!$D$4:$AY$138, MATCH('Staging Table'!$A137, LS_previous!$B$4:$B$138, 0), MATCH(W$4&amp;W$5, LS_previous!$D$2:$AY$2&amp;LS_previous!$D$3:$AY$3, 0)),SUM(VLOOKUP($A137, LS_previous!$B$4:$AY$138, LS_previous!O$149, FALSE), VLOOKUP('Staging Table'!$A137, LS_previous!$B$4:$AY$138,LS_previous!AM$149, FALSE))/2)</f>
        <v>454.4050737803127</v>
      </c>
      <c r="X137" s="180">
        <f t="array" ref="X137">IF($G137=0, INDEX(LS_previous!$D$4:$AY$138, MATCH('Staging Table'!$A137, LS_previous!$B$4:$B$138, 0), MATCH(X$4&amp;X$5, LS_previous!$D$2:$AY$2&amp;LS_previous!$D$3:$AY$3, 0)),SUM(VLOOKUP($A137, LS_previous!$B$4:$AY$138, LS_previous!P$149, FALSE), VLOOKUP('Staging Table'!$A137, LS_previous!$B$4:$AY$138,LS_previous!AN$149, FALSE))/2)</f>
        <v>1082.480735334113</v>
      </c>
      <c r="Y137" s="180">
        <f t="array" ref="Y137">IF($G137=0, INDEX(LS_previous!$D$4:$AY$138, MATCH('Staging Table'!$A137, LS_previous!$B$4:$B$138, 0), MATCH(Y$4&amp;Y$5, LS_previous!$D$2:$AY$2&amp;LS_previous!$D$3:$AY$3, 0)),SUM(VLOOKUP($A137, LS_previous!$B$4:$AY$138, LS_previous!Q$149, FALSE), VLOOKUP('Staging Table'!$A137, LS_previous!$B$4:$AY$138,LS_previous!AO$149, FALSE))/2)</f>
        <v>1341.9611252570326</v>
      </c>
      <c r="Z137" s="180">
        <f t="array" ref="Z137">IF($G137=0, INDEX(LS_previous!$D$4:$AY$138, MATCH('Staging Table'!$A137, LS_previous!$B$4:$B$138, 0), MATCH(Z$4&amp;Z$5, LS_previous!$D$2:$AY$2&amp;LS_previous!$D$3:$AY$3, 0)),SUM(VLOOKUP($A137, LS_previous!$B$4:$AY$138, LS_previous!R$149, FALSE), VLOOKUP('Staging Table'!$A137, LS_previous!$B$4:$AY$138,LS_previous!AP$149, FALSE))/2)</f>
        <v>-1813.1258596926482</v>
      </c>
      <c r="AA137" s="180">
        <f t="array" ref="AA137">IF($G137=0, INDEX(LS_previous!$D$4:$AY$138, MATCH('Staging Table'!$A137, LS_previous!$B$4:$B$138, 0), MATCH(AA$4&amp;AA$5, LS_previous!$D$2:$AY$2&amp;LS_previous!$D$3:$AY$3, 0)),SUM(VLOOKUP($A137, LS_previous!$B$4:$AY$138, LS_previous!S$149, FALSE), VLOOKUP('Staging Table'!$A137, LS_previous!$B$4:$AY$138,LS_previous!AQ$149, FALSE))/2)</f>
        <v>1243.8373045121907</v>
      </c>
      <c r="AB137" s="180">
        <f t="array" ref="AB137">IF($G137=0, INDEX(LS_previous!$D$4:$AY$138, MATCH('Staging Table'!$A137, LS_previous!$B$4:$B$138, 0), MATCH(AB$4&amp;AB$5, LS_previous!$D$2:$AY$2&amp;LS_previous!$D$3:$AY$3, 0)),SUM(VLOOKUP($A137, LS_previous!$B$4:$AY$138, LS_previous!T$149, FALSE), VLOOKUP('Staging Table'!$A137, LS_previous!$B$4:$AY$138,LS_previous!AR$149, FALSE))/2)</f>
        <v>-2503.1949580438122</v>
      </c>
      <c r="AC137" s="180">
        <f t="array" ref="AC137">IF($G137=0, INDEX(LS_previous!$D$4:$AY$138, MATCH('Staging Table'!$A137, LS_previous!$B$4:$B$138, 0), MATCH(AC$4&amp;AC$5, LS_previous!$D$2:$AY$2&amp;LS_previous!$D$3:$AY$3, 0)),SUM(VLOOKUP($A137, LS_previous!$B$4:$AY$138, LS_previous!U$149, FALSE), VLOOKUP('Staging Table'!$A137, LS_previous!$B$4:$AY$138,LS_previous!AS$149, FALSE))/2)</f>
        <v>1261.4998758618799</v>
      </c>
      <c r="AD137" s="180">
        <f t="array" ref="AD137">IF($G137=0, INDEX(LS_previous!$D$4:$AY$138, MATCH('Staging Table'!$A137, LS_previous!$B$4:$B$138, 0), MATCH(AD$4&amp;AD$5, LS_previous!$D$2:$AY$2&amp;LS_previous!$D$3:$AY$3, 0)),SUM(VLOOKUP($A137, LS_previous!$B$4:$AY$138, LS_previous!V$149, FALSE), VLOOKUP('Staging Table'!$A137, LS_previous!$B$4:$AY$138,LS_previous!AT$149, FALSE))/2)</f>
        <v>-1051.9006899788519</v>
      </c>
      <c r="AE137" s="180">
        <f t="array" ref="AE137">IF($G137=0, INDEX(LS_previous!$D$4:$AY$138, MATCH('Staging Table'!$A137, LS_previous!$B$4:$B$138, 0), MATCH(AE$4&amp;AE$5, LS_previous!$D$2:$AY$2&amp;LS_previous!$D$3:$AY$3, 0)),SUM(VLOOKUP($A137, LS_previous!$B$4:$AY$138, LS_previous!W$149, FALSE), VLOOKUP('Staging Table'!$A137, LS_previous!$B$4:$AY$138,LS_previous!AU$149, FALSE))/2)</f>
        <v>1588.7208449376494</v>
      </c>
      <c r="AF137" s="180">
        <f t="array" ref="AF137">IF($G137=0, INDEX(LS_previous!$D$4:$AY$138, MATCH('Staging Table'!$A137, LS_previous!$B$4:$B$138, 0), MATCH(AF$4&amp;AF$5, LS_previous!$D$2:$AY$2&amp;LS_previous!$D$3:$AY$3, 0)),SUM(VLOOKUP($A137, LS_previous!$B$4:$AY$138, LS_previous!X$149, FALSE), VLOOKUP('Staging Table'!$A137, LS_previous!$B$4:$AY$138,LS_previous!AV$149, FALSE))/2)</f>
        <v>-436.93557134433195</v>
      </c>
      <c r="AG137" s="180">
        <f t="array" ref="AG137">IF($G137=0, INDEX(LS_previous!$D$4:$AY$138, MATCH('Staging Table'!$A137, LS_previous!$B$4:$B$138, 0), MATCH(AG$4&amp;AG$5, LS_previous!$D$2:$AY$2&amp;LS_previous!$D$3:$AY$3, 0)),SUM(VLOOKUP($A137, LS_previous!$B$4:$AY$138, LS_previous!Y$149, FALSE), VLOOKUP('Staging Table'!$A137, LS_previous!$B$4:$AY$138,LS_previous!AW$149, FALSE))/2)</f>
        <v>1681.0691831510553</v>
      </c>
      <c r="AH137" s="180">
        <f t="array" ref="AH137">IF($G137=0, INDEX(LS_previous!$D$4:$AY$138, MATCH('Staging Table'!$A137, LS_previous!$B$4:$B$138, 0), MATCH(AH$4&amp;AH$5, LS_previous!$D$2:$AY$2&amp;LS_previous!$D$3:$AY$3, 0)),SUM(VLOOKUP($A137, LS_previous!$B$4:$AY$138, LS_previous!Z$149, FALSE), VLOOKUP('Staging Table'!$A137, LS_previous!$B$4:$AY$138,LS_previous!AX$149, FALSE))/2)</f>
        <v>-337.59927428275023</v>
      </c>
      <c r="AI137" s="180">
        <f t="array" ref="AI137">IF($G137=0, INDEX(LS_previous!$D$4:$AY$138, MATCH('Staging Table'!$A137, LS_previous!$B$4:$B$138, 0), MATCH(AI$4&amp;AI$5, LS_previous!$D$2:$AY$2&amp;LS_previous!$D$3:$AY$3, 0)),SUM(VLOOKUP($A137, LS_previous!$B$4:$AY$138, LS_previous!AA$149, FALSE), VLOOKUP('Staging Table'!$A137, LS_previous!$B$4:$AY$138,LS_previous!AY$149, FALSE))/2)</f>
        <v>1422.198149988717</v>
      </c>
      <c r="AJ137" s="298">
        <f t="array" ref="AJ137">INDEX(Demand_previous!$D$4:$AY$138, MATCH('Staging Table'!$A137, Demand_previous!$B$4:$B$138, 0), MATCH(AJ$4&amp;AJ$5,Demand_previous!$D$2:$AY$2&amp;Demand_previous!$D$3:$AY$3, 0))/1000</f>
        <v>1.3718749999999993</v>
      </c>
      <c r="AK137" s="298">
        <f t="array" ref="AK137">INDEX(Demand_previous!$D$4:$AY$138, MATCH('Staging Table'!$A137, Demand_previous!$B$4:$B$138, 0), MATCH(AK$4&amp;AK$5,Demand_previous!$D$2:$AY$2&amp;Demand_previous!$D$3:$AY$3, 0))/1000</f>
        <v>1.9807699999999997</v>
      </c>
      <c r="AL137" s="298">
        <f t="array" ref="AL137">INDEX(Demand_previous!$D$4:$AY$138, MATCH('Staging Table'!$A137, Demand_previous!$B$4:$B$138, 0), MATCH(AL$4&amp;AL$5,Demand_previous!$D$2:$AY$2&amp;Demand_previous!$D$3:$AY$3, 0))/1000</f>
        <v>2.3441562499999971</v>
      </c>
      <c r="AM137" s="298">
        <f t="array" ref="AM137">INDEX(Demand_previous!$D$4:$AY$138, MATCH('Staging Table'!$A137, Demand_previous!$B$4:$B$138, 0), MATCH(AM$4&amp;AM$5,Demand_previous!$D$2:$AY$2&amp;Demand_previous!$D$3:$AY$3, 0))/1000</f>
        <v>1.6451424999999986</v>
      </c>
      <c r="AN137" s="298">
        <f t="array" ref="AN137">INDEX(Demand_previous!$D$4:$AY$138, MATCH('Staging Table'!$A137, Demand_previous!$B$4:$B$138, 0), MATCH(AN$4&amp;AN$5,Demand_previous!$D$2:$AY$2&amp;Demand_previous!$D$3:$AY$3, 0))/1000</f>
        <v>1.383747395833332</v>
      </c>
      <c r="AO137" s="298">
        <f t="array" ref="AO137">INDEX(Demand_previous!$D$4:$AY$138, MATCH('Staging Table'!$A137, Demand_previous!$B$4:$B$138, 0), MATCH(AO$4&amp;AO$5,Demand_previous!$D$2:$AY$2&amp;Demand_previous!$D$3:$AY$3, 0))/1000</f>
        <v>2.5029236111111111</v>
      </c>
      <c r="AP137" s="298">
        <f t="array" ref="AP137">INDEX(Demand_previous!$D$4:$AY$138, MATCH('Staging Table'!$A137, Demand_previous!$B$4:$B$138, 0), MATCH(AP$4&amp;AP$5,Demand_previous!$D$2:$AY$2&amp;Demand_previous!$D$3:$AY$3, 0))/1000</f>
        <v>2.0184399038461551</v>
      </c>
      <c r="AQ137" s="298">
        <f t="array" ref="AQ137">INDEX(Demand_previous!$D$4:$AY$138, MATCH('Staging Table'!$A137, Demand_previous!$B$4:$B$138, 0), MATCH(AQ$4&amp;AQ$5,Demand_previous!$D$2:$AY$2&amp;Demand_previous!$D$3:$AY$3, 0))/1000</f>
        <v>1.289432500000002</v>
      </c>
      <c r="AR137" s="298">
        <f t="array" ref="AR137">INDEX(Demand_previous!$D$4:$AY$138, MATCH('Staging Table'!$A137, Demand_previous!$B$4:$B$138, 0), MATCH(AR$4&amp;AR$5,Demand_previous!$D$2:$AY$2&amp;Demand_previous!$D$3:$AY$3, 0))/1000</f>
        <v>2.6491586538461549</v>
      </c>
      <c r="AS137" s="298">
        <f t="array" ref="AS137">INDEX(Demand_previous!$D$4:$AY$138, MATCH('Staging Table'!$A137, Demand_previous!$B$4:$B$138, 0), MATCH(AS$4&amp;AS$5,Demand_previous!$D$2:$AY$2&amp;Demand_previous!$D$3:$AY$3, 0))/1000</f>
        <v>1.2234674999999982</v>
      </c>
      <c r="AT137" s="298">
        <f t="array" ref="AT137">INDEX(Demand_previous!$D$4:$AY$138, MATCH('Staging Table'!$A137, Demand_previous!$B$4:$B$138, 0), MATCH(AT$4&amp;AT$5,Demand_previous!$D$2:$AY$2&amp;Demand_previous!$D$3:$AY$3, 0))/1000</f>
        <v>3.0129305555555548</v>
      </c>
      <c r="AU137" s="298">
        <f t="array" ref="AU137">INDEX(Demand_previous!$D$4:$AY$138, MATCH('Staging Table'!$A137, Demand_previous!$B$4:$B$138, 0), MATCH(AU$4&amp;AU$5,Demand_previous!$D$2:$AY$2&amp;Demand_previous!$D$3:$AY$3, 0))/1000</f>
        <v>2.2056750000000012</v>
      </c>
      <c r="AV137" s="180">
        <f>$F137*(VLOOKUP(AV$4, Rates_previous!$G$6:$Q$29, 10, FALSE)+VLOOKUP(AV$4, Rates_previous!$G$6:$Q$29, 11, FALSE))</f>
        <v>11142.086880280833</v>
      </c>
      <c r="AW137" s="180">
        <f>$F137*(VLOOKUP(AW$4, Rates_previous!$G$6:$Q$29, 10, FALSE)+VLOOKUP(AW$4, Rates_previous!$G$6:$Q$29, 11, FALSE))</f>
        <v>14106.286364595504</v>
      </c>
      <c r="AX137" s="180">
        <f>$F137*(VLOOKUP(AX$4, Rates_previous!$G$6:$Q$29, 10, FALSE)+VLOOKUP(AX$4, Rates_previous!$G$6:$Q$29, 11, FALSE))</f>
        <v>13807.236151686313</v>
      </c>
      <c r="AY137" s="180">
        <f>$F137*(VLOOKUP(AY$4, Rates_previous!$G$6:$Q$29, 10, FALSE)+VLOOKUP(AY$4, Rates_previous!$G$6:$Q$29, 11, FALSE))</f>
        <v>11404.189910758476</v>
      </c>
      <c r="AZ137" s="180">
        <f>$F137*(VLOOKUP(AZ$4, Rates_previous!$G$6:$Q$29, 10, FALSE)+VLOOKUP(AZ$4, Rates_previous!$G$6:$Q$29, 11, FALSE))</f>
        <v>9884.2613422909817</v>
      </c>
      <c r="BA137" s="180">
        <f>$F137*(VLOOKUP(BA$4, Rates_previous!$G$6:$Q$29, 10, FALSE)+VLOOKUP(BA$4, Rates_previous!$G$6:$Q$29, 11, FALSE))</f>
        <v>11799.812022403534</v>
      </c>
      <c r="BB137" s="180">
        <f>$F137*(VLOOKUP(BB$4, Rates_previous!$G$6:$Q$29, 10, FALSE)+VLOOKUP(BB$4, Rates_previous!$G$6:$Q$29, 11, FALSE))</f>
        <v>9160.9831394088542</v>
      </c>
      <c r="BC137" s="180">
        <f>$F137*(VLOOKUP(BC$4, Rates_previous!$G$6:$Q$29, 10, FALSE)+VLOOKUP(BC$4, Rates_previous!$G$6:$Q$29, 11, FALSE))</f>
        <v>12692.609555180456</v>
      </c>
      <c r="BD137" s="180">
        <f>$F137*(VLOOKUP(BD$4, Rates_previous!$G$6:$Q$29, 10, FALSE)+VLOOKUP(BD$4, Rates_previous!$G$6:$Q$29, 11, FALSE))</f>
        <v>13562.31908218193</v>
      </c>
      <c r="BE137" s="180">
        <f>$F137*(VLOOKUP(BE$4, Rates_previous!$G$6:$Q$29, 10, FALSE)+VLOOKUP(BE$4, Rates_previous!$G$6:$Q$29, 11, FALSE))</f>
        <v>12876.807845041205</v>
      </c>
      <c r="BF137" s="180">
        <f>$F137*(VLOOKUP(BF$4, Rates_previous!$G$6:$Q$29, 10, FALSE)+VLOOKUP(BF$4, Rates_previous!$G$6:$Q$29, 11, FALSE))</f>
        <v>12444.441388193278</v>
      </c>
      <c r="BG137" s="180">
        <f>$F137*(VLOOKUP(BG$4, Rates_previous!$G$6:$Q$29, 10, FALSE)+VLOOKUP(BG$4, Rates_previous!$G$6:$Q$29, 11, FALSE))</f>
        <v>11499.961124294034</v>
      </c>
      <c r="BH137" s="298">
        <f>IF($D137=0,IF(C137=0, MAX(BJ137 - (VLOOKUP($A137,TOCA_previous!$A$2:$AI$137,MATCH("RHWM 2022",TOCA_previous!$A$2:$AI$2,0),FALSE)*$F$2*TOCA_previous!C134),0),0), 0)</f>
        <v>2771.8723857125733</v>
      </c>
      <c r="BI137" s="192">
        <f>MIN(VLOOKUP($A137,TOCA_previous!$A$2:$AI$137,MATCH("TRL - NLSL - Existing Resource "&amp;$F$1,TOCA_previous!$A$2:$AI$2,0),FALSE)*$F$2,(VLOOKUP($A137,TOCA_previous!$A$2:$AI$137,MATCH("RHWM 2022",TOCA_previous!$A$2:$AI$2,0),FALSE)*$F$2))</f>
        <v>144382.32</v>
      </c>
      <c r="BJ137" s="402">
        <f>SUM(L137:AI137)+(F137*RT1SC!$C$3*$F$2)</f>
        <v>147154.19238571258</v>
      </c>
      <c r="BK137" s="401">
        <f>VLOOKUP($A137,TOCA_previous!$A$2:$AI$137,MATCH("Above RHWM Not Served with LS "&amp;$F$1,TOCA_previous!$A$2:$AI$2,0),FALSE)*$F$2</f>
        <v>0</v>
      </c>
      <c r="BL137" s="402">
        <f t="shared" si="46"/>
        <v>2771.8723857125733</v>
      </c>
      <c r="BM137" s="401">
        <f>(VLOOKUP($A137,TOCA_previous!$A$2:$AI$137,MATCH("RHWM 2022",TOCA_previous!$A$2:$AI$2,0),FALSE)*$F$2) - $BI137</f>
        <v>0</v>
      </c>
      <c r="BN137" s="402">
        <f t="shared" si="47"/>
        <v>0</v>
      </c>
      <c r="BO137" s="401">
        <f t="shared" si="48"/>
        <v>0</v>
      </c>
      <c r="BP137" s="402">
        <f t="shared" si="49"/>
        <v>0</v>
      </c>
      <c r="BQ137" s="401">
        <f t="shared" si="40"/>
        <v>0</v>
      </c>
      <c r="BR137" s="108">
        <f>VLOOKUP($A137,TOCA_current!$A$2:$AI$137,MATCH(BR$4,TOCA_current!$A$2:$AI$2,0),FALSE)</f>
        <v>2.3717999999999999E-3</v>
      </c>
      <c r="BS137" s="108">
        <f>VLOOKUP($A137,TOCA_current!$A$2:$AI$137,MATCH(BS$4,TOCA_current!$A$2:$AI$2,0),FALSE)</f>
        <v>2.3717999999999999E-3</v>
      </c>
      <c r="BT137" s="189">
        <f t="shared" si="50"/>
        <v>0</v>
      </c>
      <c r="BU137" s="108">
        <f>VLOOKUP($A137,TOCA_current!A133:BG268,MATCH(BU$4,TOCA_current!$A$2:$BG$2,0),FALSE)</f>
        <v>0</v>
      </c>
      <c r="BV137" s="108">
        <f t="shared" si="41"/>
        <v>0</v>
      </c>
      <c r="BW137" s="108">
        <f t="shared" si="42"/>
        <v>0</v>
      </c>
      <c r="BX137" s="179">
        <f>VLOOKUP($A137,IRD!$A$4:$G$139, 7, FALSE)</f>
        <v>0</v>
      </c>
      <c r="BY137" s="180">
        <f t="array" ref="BY137">IF($BT137=0, INDEX(LS_current!$D$4:$AY$138, MATCH('Staging Table'!$A137, LS_current!$B$4:$B$138, 0), MATCH(BY$4&amp;BY$5, LS_current!$D$2:$AY$2&amp;LS_current!$D$3:$AY$3, 0)),SUM(VLOOKUP($A137, LS_current!$B$4:$AY$138, LS_current!D$148, FALSE), VLOOKUP($A137, LS_current!$B$4:$AY$138,LS_current!AB$148, FALSE))/2)</f>
        <v>1038.5492354151993</v>
      </c>
      <c r="BZ137" s="180">
        <f t="array" ref="BZ137">IF($BT137=0, INDEX(LS_current!$D$4:$AY$138, MATCH('Staging Table'!$A137, LS_current!$B$4:$B$138, 0), MATCH(BZ$4&amp;BZ$5, LS_current!$D$2:$AY$2&amp;LS_current!$D$3:$AY$3, 0)),SUM(VLOOKUP($A137, LS_current!$B$4:$AY$138, LS_current!E$148, FALSE), VLOOKUP($A137, LS_current!$B$4:$AY$138,LS_current!AC$148, FALSE))/2)</f>
        <v>1108.1210030591005</v>
      </c>
      <c r="CA137" s="180">
        <f t="array" ref="CA137">IF($BT137=0, INDEX(LS_current!$D$4:$AY$138, MATCH('Staging Table'!$A137, LS_current!$B$4:$B$138, 0), MATCH(CA$4&amp;CA$5, LS_current!$D$2:$AY$2&amp;LS_current!$D$3:$AY$3, 0)),SUM(VLOOKUP($A137, LS_current!$B$4:$AY$138, LS_current!F$148, FALSE), VLOOKUP($A137, LS_current!$B$4:$AY$138,LS_current!AD$148, FALSE))/2)</f>
        <v>-1214.6190445504008</v>
      </c>
      <c r="CB137" s="180">
        <f t="array" ref="CB137">IF($BT137=0, INDEX(LS_current!$D$4:$AY$138, MATCH('Staging Table'!$A137, LS_current!$B$4:$B$138, 0), MATCH(CB$4&amp;CB$5, LS_current!$D$2:$AY$2&amp;LS_current!$D$3:$AY$3, 0)),SUM(VLOOKUP($A137, LS_current!$B$4:$AY$138, LS_current!G$148, FALSE), VLOOKUP($A137, LS_current!$B$4:$AY$138,LS_current!AE$148, FALSE))/2)</f>
        <v>162.39606299420029</v>
      </c>
      <c r="CC137" s="180">
        <f t="array" ref="CC137">IF($BT137=0, INDEX(LS_current!$D$4:$AY$138, MATCH('Staging Table'!$A137, LS_current!$B$4:$B$138, 0), MATCH(CC$4&amp;CC$5, LS_current!$D$2:$AY$2&amp;LS_current!$D$3:$AY$3, 0)),SUM(VLOOKUP($A137, LS_current!$B$4:$AY$138, LS_current!H$148, FALSE), VLOOKUP($A137, LS_current!$B$4:$AY$138,LS_current!AF$148, FALSE))/2)</f>
        <v>-1549.1850757601997</v>
      </c>
      <c r="CD137" s="180">
        <f t="array" ref="CD137">IF($BT137=0, INDEX(LS_current!$D$4:$AY$138, MATCH('Staging Table'!$A137, LS_current!$B$4:$B$138, 0), MATCH(CD$4&amp;CD$5, LS_current!$D$2:$AY$2&amp;LS_current!$D$3:$AY$3, 0)),SUM(VLOOKUP($A137, LS_current!$B$4:$AY$138, LS_current!I$148, FALSE), VLOOKUP($A137, LS_current!$B$4:$AY$138,LS_current!AG$148, FALSE))/2)</f>
        <v>-81.40084817279967</v>
      </c>
      <c r="CE137" s="180">
        <f t="array" ref="CE137">IF($BT137=0, INDEX(LS_current!$D$4:$AY$138, MATCH('Staging Table'!$A137, LS_current!$B$4:$B$138, 0), MATCH(CE$4&amp;CE$5, LS_current!$D$2:$AY$2&amp;LS_current!$D$3:$AY$3, 0)),SUM(VLOOKUP($A137, LS_current!$B$4:$AY$138, LS_current!J$148, FALSE), VLOOKUP($A137, LS_current!$B$4:$AY$138,LS_current!AH$148, FALSE))/2)</f>
        <v>-2027.9706096370001</v>
      </c>
      <c r="CF137" s="180">
        <f t="array" ref="CF137">IF($BT137=0, INDEX(LS_current!$D$4:$AY$138, MATCH('Staging Table'!$A137, LS_current!$B$4:$B$138, 0), MATCH(CF$4&amp;CF$5, LS_current!$D$2:$AY$2&amp;LS_current!$D$3:$AY$3, 0)),SUM(VLOOKUP($A137, LS_current!$B$4:$AY$138, LS_current!K$148, FALSE), VLOOKUP($A137, LS_current!$B$4:$AY$138,LS_current!AI$148, FALSE))/2)</f>
        <v>-69.620777182200072</v>
      </c>
      <c r="CG137" s="180">
        <f t="array" ref="CG137">IF($BT137=0, INDEX(LS_current!$D$4:$AY$138, MATCH('Staging Table'!$A137, LS_current!$B$4:$B$138, 0), MATCH(CG$4&amp;CG$5, LS_current!$D$2:$AY$2&amp;LS_current!$D$3:$AY$3, 0)),SUM(VLOOKUP($A137, LS_current!$B$4:$AY$138, LS_current!L$148, FALSE), VLOOKUP($A137, LS_current!$B$4:$AY$138,LS_current!AJ$148, FALSE))/2)</f>
        <v>-1309.2012258121986</v>
      </c>
      <c r="CH137" s="180">
        <f t="array" ref="CH137">IF($BT137=0, INDEX(LS_current!$D$4:$AY$138, MATCH('Staging Table'!$A137, LS_current!$B$4:$B$138, 0), MATCH(CH$4&amp;CH$5, LS_current!$D$2:$AY$2&amp;LS_current!$D$3:$AY$3, 0)),SUM(VLOOKUP($A137, LS_current!$B$4:$AY$138, LS_current!M$148, FALSE), VLOOKUP($A137, LS_current!$B$4:$AY$138,LS_current!AK$148, FALSE))/2)</f>
        <v>299.74953364380053</v>
      </c>
      <c r="CI137" s="180">
        <f t="array" ref="CI137">IF($BT137=0, INDEX(LS_current!$D$4:$AY$138, MATCH('Staging Table'!$A137, LS_current!$B$4:$B$138, 0), MATCH(CI$4&amp;CI$5, LS_current!$D$2:$AY$2&amp;LS_current!$D$3:$AY$3, 0)),SUM(VLOOKUP($A137, LS_current!$B$4:$AY$138, LS_current!N$148, FALSE), VLOOKUP($A137, LS_current!$B$4:$AY$138,LS_current!AL$148, FALSE))/2)</f>
        <v>-1268.3251522133987</v>
      </c>
      <c r="CJ137" s="180">
        <f t="array" ref="CJ137">IF($BT137=0, INDEX(LS_current!$D$4:$AY$138, MATCH('Staging Table'!$A137, LS_current!$B$4:$B$138, 0), MATCH(CJ$4&amp;CJ$5, LS_current!$D$2:$AY$2&amp;LS_current!$D$3:$AY$3, 0)),SUM(VLOOKUP($A137, LS_current!$B$4:$AY$138, LS_current!O$148, FALSE), VLOOKUP($A137, LS_current!$B$4:$AY$138,LS_current!AM$148, FALSE))/2)</f>
        <v>-249.42417306039988</v>
      </c>
      <c r="CK137" s="180">
        <f t="array" ref="CK137">IF($BT137=0, INDEX(LS_current!$D$4:$AY$138, MATCH('Staging Table'!$A137, LS_current!$B$4:$B$138, 0), MATCH(CK$4&amp;CK$5, LS_current!$D$2:$AY$2&amp;LS_current!$D$3:$AY$3, 0)),SUM(VLOOKUP($A137, LS_current!$B$4:$AY$138, LS_current!P$148, FALSE), VLOOKUP($A137, LS_current!$B$4:$AY$138,LS_current!AN$148, FALSE))/2)</f>
        <v>270.77823332550088</v>
      </c>
      <c r="CL137" s="180">
        <f t="array" ref="CL137">IF($BT137=0, INDEX(LS_current!$D$4:$AY$138, MATCH('Staging Table'!$A137, LS_current!$B$4:$B$138, 0), MATCH(CL$4&amp;CL$5, LS_current!$D$2:$AY$2&amp;LS_current!$D$3:$AY$3, 0)),SUM(VLOOKUP($A137, LS_current!$B$4:$AY$138, LS_current!Q$148, FALSE), VLOOKUP($A137, LS_current!$B$4:$AY$138,LS_current!AO$148, FALSE))/2)</f>
        <v>706.48371142135147</v>
      </c>
      <c r="CM137" s="180">
        <f t="array" ref="CM137">IF($BT137=0, INDEX(LS_current!$D$4:$AY$138, MATCH('Staging Table'!$A137, LS_current!$B$4:$B$138, 0), MATCH(CM$4&amp;CM$5, LS_current!$D$2:$AY$2&amp;LS_current!$D$3:$AY$3, 0)),SUM(VLOOKUP($A137, LS_current!$B$4:$AY$138, LS_current!R$148, FALSE), VLOOKUP($A137, LS_current!$B$4:$AY$138,LS_current!AP$148, FALSE))/2)</f>
        <v>-1257.4482000864</v>
      </c>
      <c r="CN137" s="180">
        <f t="array" ref="CN137">IF($BT137=0, INDEX(LS_current!$D$4:$AY$138, MATCH('Staging Table'!$A137, LS_current!$B$4:$B$138, 0), MATCH(CN$4&amp;CN$5, LS_current!$D$2:$AY$2&amp;LS_current!$D$3:$AY$3, 0)),SUM(VLOOKUP($A137, LS_current!$B$4:$AY$138, LS_current!S$148, FALSE), VLOOKUP($A137, LS_current!$B$4:$AY$138,LS_current!AQ$148, FALSE))/2)</f>
        <v>219.92136986970036</v>
      </c>
      <c r="CO137" s="180">
        <f t="array" ref="CO137">IF($BT137=0, INDEX(LS_current!$D$4:$AY$138, MATCH('Staging Table'!$A137, LS_current!$B$4:$B$138, 0), MATCH(CO$4&amp;CO$5, LS_current!$D$2:$AY$2&amp;LS_current!$D$3:$AY$3, 0)),SUM(VLOOKUP($A137, LS_current!$B$4:$AY$138, LS_current!T$148, FALSE), VLOOKUP($A137, LS_current!$B$4:$AY$138,LS_current!AR$148, FALSE))/2)</f>
        <v>-1275.1807988868004</v>
      </c>
      <c r="CP137" s="180">
        <f t="array" ref="CP137">IF($BT137=0, INDEX(LS_current!$D$4:$AY$138, MATCH('Staging Table'!$A137, LS_current!$B$4:$B$138, 0), MATCH(CP$4&amp;CP$5, LS_current!$D$2:$AY$2&amp;LS_current!$D$3:$AY$3, 0)),SUM(VLOOKUP($A137, LS_current!$B$4:$AY$138, LS_current!U$148, FALSE), VLOOKUP($A137, LS_current!$B$4:$AY$138,LS_current!AS$148, FALSE))/2)</f>
        <v>149.39942573690041</v>
      </c>
      <c r="CQ137" s="180">
        <f t="array" ref="CQ137">IF($BT137=0, INDEX(LS_current!$D$4:$AY$138, MATCH('Staging Table'!$A137, LS_current!$B$4:$B$138, 0), MATCH(CQ$4&amp;CQ$5, LS_current!$D$2:$AY$2&amp;LS_current!$D$3:$AY$3, 0)),SUM(VLOOKUP($A137, LS_current!$B$4:$AY$138, LS_current!V$148, FALSE), VLOOKUP($A137, LS_current!$B$4:$AY$138,LS_current!AT$148, FALSE))/2)</f>
        <v>250.22706214480058</v>
      </c>
      <c r="CR137" s="180">
        <f t="array" ref="CR137">IF($BT137=0, INDEX(LS_current!$D$4:$AY$138, MATCH('Staging Table'!$A137, LS_current!$B$4:$B$138, 0), MATCH(CR$4&amp;CR$5, LS_current!$D$2:$AY$2&amp;LS_current!$D$3:$AY$3, 0)),SUM(VLOOKUP($A137, LS_current!$B$4:$AY$138, LS_current!W$148, FALSE), VLOOKUP($A137, LS_current!$B$4:$AY$138,LS_current!AU$148, FALSE))/2)</f>
        <v>1489.9838720955004</v>
      </c>
      <c r="CS137" s="180">
        <f t="array" ref="CS137">IF($BT137=0, INDEX(LS_current!$D$4:$AY$138, MATCH('Staging Table'!$A137, LS_current!$B$4:$B$138, 0), MATCH(CS$4&amp;CS$5, LS_current!$D$2:$AY$2&amp;LS_current!$D$3:$AY$3, 0)),SUM(VLOOKUP($A137, LS_current!$B$4:$AY$138, LS_current!X$148, FALSE), VLOOKUP($A137, LS_current!$B$4:$AY$138,LS_current!AV$148, FALSE))/2)</f>
        <v>784.86537123629932</v>
      </c>
      <c r="CT137" s="180">
        <f t="array" ref="CT137">IF($BT137=0, INDEX(LS_current!$D$4:$AY$138, MATCH('Staging Table'!$A137, LS_current!$B$4:$B$138, 0), MATCH(CT$4&amp;CT$5, LS_current!$D$2:$AY$2&amp;LS_current!$D$3:$AY$3, 0)),SUM(VLOOKUP($A137, LS_current!$B$4:$AY$138, LS_current!Y$148, FALSE), VLOOKUP($A137, LS_current!$B$4:$AY$138,LS_current!AW$148, FALSE))/2)</f>
        <v>1618.6182222117704</v>
      </c>
      <c r="CU137" s="180">
        <f t="array" ref="CU137">IF($BT137=0, INDEX(LS_current!$D$4:$AY$138, MATCH('Staging Table'!$A137, LS_current!$B$4:$B$138, 0), MATCH(CU$4&amp;CU$5, LS_current!$D$2:$AY$2&amp;LS_current!$D$3:$AY$3, 0)),SUM(VLOOKUP($A137, LS_current!$B$4:$AY$138, LS_current!Z$148, FALSE), VLOOKUP($A137, LS_current!$B$4:$AY$138,LS_current!AX$148, FALSE))/2)</f>
        <v>799.61940172679988</v>
      </c>
      <c r="CV137" s="180">
        <f t="array" ref="CV137">IF($BT137=0, INDEX(LS_current!$D$4:$AY$138, MATCH('Staging Table'!$A137, LS_current!$B$4:$B$138, 0), MATCH(CV$4&amp;CV$5, LS_current!$D$2:$AY$2&amp;LS_current!$D$3:$AY$3, 0)),SUM(VLOOKUP($A137, LS_current!$B$4:$AY$138, LS_current!AA$148, FALSE), VLOOKUP($A137, LS_current!$B$4:$AY$138,LS_current!AY$148, FALSE))/2)</f>
        <v>1400.4711591328005</v>
      </c>
      <c r="CW137" s="182">
        <f t="array" ref="CW137">INDEX(Demand_current!$D$4:$AY$138, MATCH($A137, Demand_current!$B$4:$B$138, 0), MATCH(CW$4&amp;CW$5,Demand_current!$D$2:$AY$2&amp;Demand_current!$D$3:$AY$3, 0))/1000</f>
        <v>1.3718749999999993</v>
      </c>
      <c r="CX137" s="182">
        <f t="array" ref="CX137">INDEX(Demand_current!$D$4:$AY$138, MATCH($A137, Demand_current!$B$4:$B$138, 0), MATCH(CX$4&amp;CX$5,Demand_current!$D$2:$AY$2&amp;Demand_current!$D$3:$AY$3, 0))/1000</f>
        <v>1.9807699999999997</v>
      </c>
      <c r="CY137" s="182">
        <f t="array" ref="CY137">INDEX(Demand_current!$D$4:$AY$138, MATCH($A137, Demand_current!$B$4:$B$138, 0), MATCH(CY$4&amp;CY$5,Demand_current!$D$2:$AY$2&amp;Demand_current!$D$3:$AY$3, 0))/1000</f>
        <v>1.6902425000000001</v>
      </c>
      <c r="CZ137" s="182">
        <f t="array" ref="CZ137">INDEX(Demand_current!$D$4:$AY$138, MATCH($A137, Demand_current!$B$4:$B$138, 0), MATCH(CZ$4&amp;CZ$5,Demand_current!$D$2:$AY$2&amp;Demand_current!$D$3:$AY$3, 0))/1000</f>
        <v>2.3020985576923074</v>
      </c>
      <c r="DA137" s="182">
        <f t="array" ref="DA137">INDEX(Demand_current!$D$4:$AY$138, MATCH($A137, Demand_current!$B$4:$B$138, 0), MATCH(DA$4&amp;DA$5,Demand_current!$D$2:$AY$2&amp;Demand_current!$D$3:$AY$3, 0))/1000</f>
        <v>2.0626774999999995</v>
      </c>
      <c r="DB137" s="182">
        <f t="array" ref="DB137">INDEX(Demand_current!$D$4:$AY$138, MATCH($A137, Demand_current!$B$4:$B$138, 0), MATCH(DB$4&amp;DB$5,Demand_current!$D$2:$AY$2&amp;Demand_current!$D$3:$AY$3, 0))/1000</f>
        <v>1.8873437499999997</v>
      </c>
      <c r="DC137" s="182">
        <f t="array" ref="DC137">INDEX(Demand_current!$D$4:$AY$138, MATCH($A137, Demand_current!$B$4:$B$138, 0), MATCH(DC$4&amp;DC$5,Demand_current!$D$2:$AY$2&amp;Demand_current!$D$3:$AY$3, 0))/1000</f>
        <v>2.0184399038461551</v>
      </c>
      <c r="DD137" s="182">
        <f t="array" ref="DD137">INDEX(Demand_current!$D$4:$AY$138, MATCH($A137, Demand_current!$B$4:$B$138, 0), MATCH(DD$4&amp;DD$5,Demand_current!$D$2:$AY$2&amp;Demand_current!$D$3:$AY$3, 0))/1000</f>
        <v>1.9374927884615385</v>
      </c>
      <c r="DE137" s="182">
        <f t="array" ref="DE137">INDEX(Demand_current!$D$4:$AY$138, MATCH($A137, Demand_current!$B$4:$B$138, 0), MATCH(DE$4&amp;DE$5,Demand_current!$D$2:$AY$2&amp;Demand_current!$D$3:$AY$3, 0))/1000</f>
        <v>1.9598850000000005</v>
      </c>
      <c r="DF137" s="182">
        <f t="array" ref="DF137">INDEX(Demand_current!$D$4:$AY$138, MATCH($A137, Demand_current!$B$4:$B$138, 0), MATCH(DF$4&amp;DF$5,Demand_current!$D$2:$AY$2&amp;Demand_current!$D$3:$AY$3, 0))/1000</f>
        <v>1.9469879807692294</v>
      </c>
      <c r="DG137" s="182">
        <f t="array" ref="DG137">INDEX(Demand_current!$D$4:$AY$138, MATCH($A137, Demand_current!$B$4:$B$138, 0), MATCH(DG$4&amp;DG$5,Demand_current!$D$2:$AY$2&amp;Demand_current!$D$3:$AY$3, 0))/1000</f>
        <v>3.0129305555555548</v>
      </c>
      <c r="DH137" s="182">
        <f t="array" ref="DH137">INDEX(Demand_current!$D$4:$AY$138, MATCH($A137, Demand_current!$B$4:$B$138, 0), MATCH(DH$4&amp;DH$5,Demand_current!$D$2:$AY$2&amp;Demand_current!$D$3:$AY$3, 0))/1000</f>
        <v>1.4763281250000004</v>
      </c>
      <c r="DI137" s="180">
        <f>$BS137*(VLOOKUP(DI$4, Rates_current!$G$6:$Q$29, 10, FALSE)+VLOOKUP(DI$4, Rates_current!$G$6:$Q$29, 11, FALSE))</f>
        <v>10006.158761525699</v>
      </c>
      <c r="DJ137" s="180">
        <f>$BS137*(VLOOKUP(DJ$4, Rates_current!$G$6:$Q$29, 10, FALSE)+VLOOKUP(DJ$4, Rates_current!$G$6:$Q$29, 11, FALSE))</f>
        <v>12761.151981556201</v>
      </c>
      <c r="DK137" s="180">
        <f>$BS137*(VLOOKUP(DK$4, Rates_current!$G$6:$Q$29, 10, FALSE)+VLOOKUP(DK$4, Rates_current!$G$6:$Q$29, 11, FALSE))</f>
        <v>13771.807923933</v>
      </c>
      <c r="DL137" s="180">
        <f>$BS137*(VLOOKUP(DL$4, Rates_current!$G$6:$Q$29, 10, FALSE)+VLOOKUP(DL$4, Rates_current!$G$6:$Q$29, 11, FALSE))</f>
        <v>14311.037386819198</v>
      </c>
      <c r="DM137" s="180">
        <f>$BS137*(VLOOKUP(DM$4, Rates_current!$G$6:$Q$29, 10, FALSE)+VLOOKUP(DM$4, Rates_current!$G$6:$Q$29, 11, FALSE))</f>
        <v>12309.399692168397</v>
      </c>
      <c r="DN137" s="180">
        <f>$BS137*(VLOOKUP(DN$4, Rates_current!$G$6:$Q$29, 10, FALSE)+VLOOKUP(DN$4, Rates_current!$G$6:$Q$29, 11, FALSE))</f>
        <v>13439.427325273798</v>
      </c>
      <c r="DO137" s="180">
        <f>$BS137*(VLOOKUP(DO$4, Rates_current!$G$6:$Q$29, 10, FALSE)+VLOOKUP(DO$4, Rates_current!$G$6:$Q$29, 11, FALSE))</f>
        <v>10608.163055253148</v>
      </c>
      <c r="DP137" s="180">
        <f>$BS137*(VLOOKUP(DP$4, Rates_current!$G$6:$Q$29, 10, FALSE)+VLOOKUP(DP$4, Rates_current!$G$6:$Q$29, 11, FALSE))</f>
        <v>13160.8478302167</v>
      </c>
      <c r="DQ137" s="180">
        <f>$BS137*(VLOOKUP(DQ$4, Rates_current!$G$6:$Q$29, 10, FALSE)+VLOOKUP(DQ$4, Rates_current!$G$6:$Q$29, 11, FALSE))</f>
        <v>13446.405373149899</v>
      </c>
      <c r="DR137" s="180">
        <f>$BS137*(VLOOKUP(DR$4, Rates_current!$G$6:$Q$29, 10, FALSE)+VLOOKUP(DR$4, Rates_current!$G$6:$Q$29, 11, FALSE))</f>
        <v>11673.417065759699</v>
      </c>
      <c r="DS137" s="180">
        <f>$BS137*(VLOOKUP(DS$4, Rates_current!$G$6:$Q$29, 10, FALSE)+VLOOKUP(DS$4, Rates_current!$G$6:$Q$29, 11, FALSE))</f>
        <v>11285.09140655193</v>
      </c>
      <c r="DT137" s="180">
        <f>$BS137*(VLOOKUP(DT$4, Rates_current!$G$6:$Q$29, 10, FALSE)+VLOOKUP(DT$4, Rates_current!$G$6:$Q$29, 11, FALSE))</f>
        <v>10384.469439140401</v>
      </c>
      <c r="DU137" s="402">
        <f>IF(D137=0,IF(C137=0,MAX(0,DW137 - (VLOOKUP($A137,TOCA_current!$A$2:$AI$137,MATCH("RHWM 2024",TOCA_current!$A$2:$AI$2,0),FALSE)*$BS$2)), 0),0)</f>
        <v>0</v>
      </c>
      <c r="DV137" s="403">
        <f>MIN(VLOOKUP($A137,TOCA_current!$A$2:$AI$137,MATCH("TRL - NLSL - Existing Resource "&amp;$BS$1,TOCA_current!$A$2:$AI$2,0),FALSE)*$BS$2, VLOOKUP($A137,TOCA_current!$A$2:$AI$137,MATCH("RHWM 2024",TOCA_current!$A$2:$AI$2,0),FALSE)*$BS$2)</f>
        <v>147158.35200000001</v>
      </c>
      <c r="DW137" s="403">
        <f>SUM(BY137:CV137)+(BS137*RT1SC!$C$4*$BS$2)</f>
        <v>147154.18567453991</v>
      </c>
      <c r="DX137" s="403">
        <f>VLOOKUP($A137,TOCA_current!$A$2:$AI$137,MATCH("Above RHWM Not Served with LS "&amp;$BS$1,TOCA_current!$A$2:$AI$2,0),FALSE)*$BS$2</f>
        <v>0</v>
      </c>
      <c r="DY137" s="403">
        <f t="shared" si="51"/>
        <v>-4.1663254601007793</v>
      </c>
      <c r="DZ137" s="403">
        <f>(VLOOKUP($A137,TOCA_current!$A$2:$AI$137,MATCH("RHWM 2024",TOCA_current!$A$2:$AI$2,0),FALSE)*$BS$2) - $DV137</f>
        <v>4611.5999999999767</v>
      </c>
      <c r="EA137" s="403">
        <f t="shared" si="52"/>
        <v>0</v>
      </c>
      <c r="EB137" s="403">
        <f t="shared" si="53"/>
        <v>4.1663254601007793</v>
      </c>
      <c r="EC137" s="403">
        <f t="shared" si="54"/>
        <v>0</v>
      </c>
      <c r="ED137" s="403">
        <f t="shared" si="55"/>
        <v>4.1663254601007793</v>
      </c>
    </row>
    <row r="138" spans="1:134">
      <c r="A138" s="123">
        <v>11680</v>
      </c>
      <c r="B138" s="124" t="s">
        <v>138</v>
      </c>
      <c r="C138" s="232">
        <f>VLOOKUP(A138, TOCA_current!$A$3:$D$137, 4, FALSE)</f>
        <v>0</v>
      </c>
      <c r="D138" s="191">
        <v>0</v>
      </c>
      <c r="E138" s="107">
        <f>VLOOKUP($A138,TOCA_previous!$A$2:$AI$137,MATCH(E$4,TOCA_previous!$A$2:$AI$2,0),FALSE)</f>
        <v>8.9619999999999999E-4</v>
      </c>
      <c r="F138" s="108">
        <f>VLOOKUP($A138,TOCA_previous!$A$2:$AI$137,MATCH(F$4,TOCA_previous!$A$2:$AI$2,0),FALSE)</f>
        <v>8.9619999999999999E-4</v>
      </c>
      <c r="G138" s="108">
        <f t="shared" si="43"/>
        <v>0</v>
      </c>
      <c r="H138" s="108">
        <f>VLOOKUP($A138,TOCA_previous!$A$2:$AI$137,MATCH(H$4,TOCA_previous!$A$2:$AI$2,0),FALSE)</f>
        <v>0</v>
      </c>
      <c r="I138" s="108">
        <f t="shared" si="44"/>
        <v>0</v>
      </c>
      <c r="J138" s="108">
        <f t="shared" si="45"/>
        <v>0</v>
      </c>
      <c r="K138" s="179">
        <f>VLOOKUP(A138, IRD!$A$5:$C$139, 3, FALSE)</f>
        <v>0</v>
      </c>
      <c r="L138" s="180">
        <f t="array" ref="L138">IF($G138=0, INDEX(LS_previous!$D$4:$AY$138, MATCH('Staging Table'!$A138, LS_previous!$B$4:$B$138, 0), MATCH(L$4&amp;L$5, LS_previous!$D$2:$AY$2&amp;LS_previous!$D$3:$AY$3, 0)),SUM(VLOOKUP($A138, LS_previous!$B$4:$AY$138, LS_previous!D$149, FALSE), VLOOKUP('Staging Table'!$A138, LS_previous!$B$4:$AY$138,LS_previous!AB$149, FALSE))/2)</f>
        <v>57.272764923285195</v>
      </c>
      <c r="M138" s="180">
        <f t="array" ref="M138">IF($G138=0, INDEX(LS_previous!$D$4:$AY$138, MATCH('Staging Table'!$A138, LS_previous!$B$4:$B$138, 0), MATCH(M$4&amp;M$5, LS_previous!$D$2:$AY$2&amp;LS_previous!$D$3:$AY$3, 0)),SUM(VLOOKUP($A138, LS_previous!$B$4:$AY$138, LS_previous!E$149, FALSE), VLOOKUP('Staging Table'!$A138, LS_previous!$B$4:$AY$138,LS_previous!AC$149, FALSE))/2)</f>
        <v>122.09416918891452</v>
      </c>
      <c r="N138" s="180">
        <f t="array" ref="N138">IF($G138=0, INDEX(LS_previous!$D$4:$AY$138, MATCH('Staging Table'!$A138, LS_previous!$B$4:$B$138, 0), MATCH(N$4&amp;N$5, LS_previous!$D$2:$AY$2&amp;LS_previous!$D$3:$AY$3, 0)),SUM(VLOOKUP($A138, LS_previous!$B$4:$AY$138, LS_previous!F$149, FALSE), VLOOKUP('Staging Table'!$A138, LS_previous!$B$4:$AY$138,LS_previous!AD$149, FALSE))/2)</f>
        <v>-258.2854618518395</v>
      </c>
      <c r="O138" s="180">
        <f t="array" ref="O138">IF($G138=0, INDEX(LS_previous!$D$4:$AY$138, MATCH('Staging Table'!$A138, LS_previous!$B$4:$B$138, 0), MATCH(O$4&amp;O$5, LS_previous!$D$2:$AY$2&amp;LS_previous!$D$3:$AY$3, 0)),SUM(VLOOKUP($A138, LS_previous!$B$4:$AY$138, LS_previous!G$149, FALSE), VLOOKUP('Staging Table'!$A138, LS_previous!$B$4:$AY$138,LS_previous!AE$149, FALSE))/2)</f>
        <v>-138.80412148510004</v>
      </c>
      <c r="P138" s="180">
        <f t="array" ref="P138">IF($G138=0, INDEX(LS_previous!$D$4:$AY$138, MATCH('Staging Table'!$A138, LS_previous!$B$4:$B$138, 0), MATCH(P$4&amp;P$5, LS_previous!$D$2:$AY$2&amp;LS_previous!$D$3:$AY$3, 0)),SUM(VLOOKUP($A138, LS_previous!$B$4:$AY$138, LS_previous!H$149, FALSE), VLOOKUP('Staging Table'!$A138, LS_previous!$B$4:$AY$138,LS_previous!AF$149, FALSE))/2)</f>
        <v>459.53525428492821</v>
      </c>
      <c r="Q138" s="180">
        <f t="array" ref="Q138">IF($G138=0, INDEX(LS_previous!$D$4:$AY$138, MATCH('Staging Table'!$A138, LS_previous!$B$4:$B$138, 0), MATCH(Q$4&amp;Q$5, LS_previous!$D$2:$AY$2&amp;LS_previous!$D$3:$AY$3, 0)),SUM(VLOOKUP($A138, LS_previous!$B$4:$AY$138, LS_previous!I$149, FALSE), VLOOKUP('Staging Table'!$A138, LS_previous!$B$4:$AY$138,LS_previous!AG$149, FALSE))/2)</f>
        <v>167.44805182482287</v>
      </c>
      <c r="R138" s="180">
        <f t="array" ref="R138">IF($G138=0, INDEX(LS_previous!$D$4:$AY$138, MATCH('Staging Table'!$A138, LS_previous!$B$4:$B$138, 0), MATCH(R$4&amp;R$5, LS_previous!$D$2:$AY$2&amp;LS_previous!$D$3:$AY$3, 0)),SUM(VLOOKUP($A138, LS_previous!$B$4:$AY$138, LS_previous!J$149, FALSE), VLOOKUP('Staging Table'!$A138, LS_previous!$B$4:$AY$138,LS_previous!AH$149, FALSE))/2)</f>
        <v>1210.3192502735196</v>
      </c>
      <c r="S138" s="180">
        <f t="array" ref="S138">IF($G138=0, INDEX(LS_previous!$D$4:$AY$138, MATCH('Staging Table'!$A138, LS_previous!$B$4:$B$138, 0), MATCH(S$4&amp;S$5, LS_previous!$D$2:$AY$2&amp;LS_previous!$D$3:$AY$3, 0)),SUM(VLOOKUP($A138, LS_previous!$B$4:$AY$138, LS_previous!K$149, FALSE), VLOOKUP('Staging Table'!$A138, LS_previous!$B$4:$AY$138,LS_previous!AI$149, FALSE))/2)</f>
        <v>496.30415152410683</v>
      </c>
      <c r="T138" s="180">
        <f t="array" ref="T138">IF($G138=0, INDEX(LS_previous!$D$4:$AY$138, MATCH('Staging Table'!$A138, LS_previous!$B$4:$B$138, 0), MATCH(T$4&amp;T$5, LS_previous!$D$2:$AY$2&amp;LS_previous!$D$3:$AY$3, 0)),SUM(VLOOKUP($A138, LS_previous!$B$4:$AY$138, LS_previous!L$149, FALSE), VLOOKUP('Staging Table'!$A138, LS_previous!$B$4:$AY$138,LS_previous!AJ$149, FALSE))/2)</f>
        <v>986.72631296561985</v>
      </c>
      <c r="U138" s="180">
        <f t="array" ref="U138">IF($G138=0, INDEX(LS_previous!$D$4:$AY$138, MATCH('Staging Table'!$A138, LS_previous!$B$4:$B$138, 0), MATCH(U$4&amp;U$5, LS_previous!$D$2:$AY$2&amp;LS_previous!$D$3:$AY$3, 0)),SUM(VLOOKUP($A138, LS_previous!$B$4:$AY$138, LS_previous!M$149, FALSE), VLOOKUP('Staging Table'!$A138, LS_previous!$B$4:$AY$138,LS_previous!AK$149, FALSE))/2)</f>
        <v>318.6046413969184</v>
      </c>
      <c r="V138" s="180">
        <f t="array" ref="V138">IF($G138=0, INDEX(LS_previous!$D$4:$AY$138, MATCH('Staging Table'!$A138, LS_previous!$B$4:$B$138, 0), MATCH(V$4&amp;V$5, LS_previous!$D$2:$AY$2&amp;LS_previous!$D$3:$AY$3, 0)),SUM(VLOOKUP($A138, LS_previous!$B$4:$AY$138, LS_previous!N$149, FALSE), VLOOKUP('Staging Table'!$A138, LS_previous!$B$4:$AY$138,LS_previous!AL$149, FALSE))/2)</f>
        <v>164.17266297463402</v>
      </c>
      <c r="W138" s="180">
        <f t="array" ref="W138">IF($G138=0, INDEX(LS_previous!$D$4:$AY$138, MATCH('Staging Table'!$A138, LS_previous!$B$4:$B$138, 0), MATCH(W$4&amp;W$5, LS_previous!$D$2:$AY$2&amp;LS_previous!$D$3:$AY$3, 0)),SUM(VLOOKUP($A138, LS_previous!$B$4:$AY$138, LS_previous!O$149, FALSE), VLOOKUP('Staging Table'!$A138, LS_previous!$B$4:$AY$138,LS_previous!AM$149, FALSE))/2)</f>
        <v>76.365597385015008</v>
      </c>
      <c r="X138" s="180">
        <f t="array" ref="X138">IF($G138=0, INDEX(LS_previous!$D$4:$AY$138, MATCH('Staging Table'!$A138, LS_previous!$B$4:$B$138, 0), MATCH(X$4&amp;X$5, LS_previous!$D$2:$AY$2&amp;LS_previous!$D$3:$AY$3, 0)),SUM(VLOOKUP($A138, LS_previous!$B$4:$AY$138, LS_previous!P$149, FALSE), VLOOKUP('Staging Table'!$A138, LS_previous!$B$4:$AY$138,LS_previous!AN$149, FALSE))/2)</f>
        <v>537.14952254319405</v>
      </c>
      <c r="Y138" s="180">
        <f t="array" ref="Y138">IF($G138=0, INDEX(LS_previous!$D$4:$AY$138, MATCH('Staging Table'!$A138, LS_previous!$B$4:$B$138, 0), MATCH(Y$4&amp;Y$5, LS_previous!$D$2:$AY$2&amp;LS_previous!$D$3:$AY$3, 0)),SUM(VLOOKUP($A138, LS_previous!$B$4:$AY$138, LS_previous!Q$149, FALSE), VLOOKUP('Staging Table'!$A138, LS_previous!$B$4:$AY$138,LS_previous!AO$149, FALSE))/2)</f>
        <v>142.45248949824349</v>
      </c>
      <c r="Z138" s="180">
        <f t="array" ref="Z138">IF($G138=0, INDEX(LS_previous!$D$4:$AY$138, MATCH('Staging Table'!$A138, LS_previous!$B$4:$B$138, 0), MATCH(Z$4&amp;Z$5, LS_previous!$D$2:$AY$2&amp;LS_previous!$D$3:$AY$3, 0)),SUM(VLOOKUP($A138, LS_previous!$B$4:$AY$138, LS_previous!R$149, FALSE), VLOOKUP('Staging Table'!$A138, LS_previous!$B$4:$AY$138,LS_previous!AP$149, FALSE))/2)</f>
        <v>-582.99000995485812</v>
      </c>
      <c r="AA138" s="180">
        <f t="array" ref="AA138">IF($G138=0, INDEX(LS_previous!$D$4:$AY$138, MATCH('Staging Table'!$A138, LS_previous!$B$4:$B$138, 0), MATCH(AA$4&amp;AA$5, LS_previous!$D$2:$AY$2&amp;LS_previous!$D$3:$AY$3, 0)),SUM(VLOOKUP($A138, LS_previous!$B$4:$AY$138, LS_previous!S$149, FALSE), VLOOKUP('Staging Table'!$A138, LS_previous!$B$4:$AY$138,LS_previous!AQ$149, FALSE))/2)</f>
        <v>-63.52090194800121</v>
      </c>
      <c r="AB138" s="180">
        <f t="array" ref="AB138">IF($G138=0, INDEX(LS_previous!$D$4:$AY$138, MATCH('Staging Table'!$A138, LS_previous!$B$4:$B$138, 0), MATCH(AB$4&amp;AB$5, LS_previous!$D$2:$AY$2&amp;LS_previous!$D$3:$AY$3, 0)),SUM(VLOOKUP($A138, LS_previous!$B$4:$AY$138, LS_previous!T$149, FALSE), VLOOKUP('Staging Table'!$A138, LS_previous!$B$4:$AY$138,LS_previous!AR$149, FALSE))/2)</f>
        <v>-762.32747655980029</v>
      </c>
      <c r="AC138" s="180">
        <f t="array" ref="AC138">IF($G138=0, INDEX(LS_previous!$D$4:$AY$138, MATCH('Staging Table'!$A138, LS_previous!$B$4:$B$138, 0), MATCH(AC$4&amp;AC$5, LS_previous!$D$2:$AY$2&amp;LS_previous!$D$3:$AY$3, 0)),SUM(VLOOKUP($A138, LS_previous!$B$4:$AY$138, LS_previous!U$149, FALSE), VLOOKUP('Staging Table'!$A138, LS_previous!$B$4:$AY$138,LS_previous!AS$149, FALSE))/2)</f>
        <v>155.52328158230148</v>
      </c>
      <c r="AD138" s="180">
        <f t="array" ref="AD138">IF($G138=0, INDEX(LS_previous!$D$4:$AY$138, MATCH('Staging Table'!$A138, LS_previous!$B$4:$B$138, 0), MATCH(AD$4&amp;AD$5, LS_previous!$D$2:$AY$2&amp;LS_previous!$D$3:$AY$3, 0)),SUM(VLOOKUP($A138, LS_previous!$B$4:$AY$138, LS_previous!V$149, FALSE), VLOOKUP('Staging Table'!$A138, LS_previous!$B$4:$AY$138,LS_previous!AT$149, FALSE))/2)</f>
        <v>488.92991030406347</v>
      </c>
      <c r="AE138" s="180">
        <f t="array" ref="AE138">IF($G138=0, INDEX(LS_previous!$D$4:$AY$138, MATCH('Staging Table'!$A138, LS_previous!$B$4:$B$138, 0), MATCH(AE$4&amp;AE$5, LS_previous!$D$2:$AY$2&amp;LS_previous!$D$3:$AY$3, 0)),SUM(VLOOKUP($A138, LS_previous!$B$4:$AY$138, LS_previous!W$149, FALSE), VLOOKUP('Staging Table'!$A138, LS_previous!$B$4:$AY$138,LS_previous!AU$149, FALSE))/2)</f>
        <v>411.39631742065694</v>
      </c>
      <c r="AF138" s="180">
        <f t="array" ref="AF138">IF($G138=0, INDEX(LS_previous!$D$4:$AY$138, MATCH('Staging Table'!$A138, LS_previous!$B$4:$B$138, 0), MATCH(AF$4&amp;AF$5, LS_previous!$D$2:$AY$2&amp;LS_previous!$D$3:$AY$3, 0)),SUM(VLOOKUP($A138, LS_previous!$B$4:$AY$138, LS_previous!X$149, FALSE), VLOOKUP('Staging Table'!$A138, LS_previous!$B$4:$AY$138,LS_previous!AV$149, FALSE))/2)</f>
        <v>479.76474645898952</v>
      </c>
      <c r="AG138" s="180">
        <f t="array" ref="AG138">IF($G138=0, INDEX(LS_previous!$D$4:$AY$138, MATCH('Staging Table'!$A138, LS_previous!$B$4:$B$138, 0), MATCH(AG$4&amp;AG$5, LS_previous!$D$2:$AY$2&amp;LS_previous!$D$3:$AY$3, 0)),SUM(VLOOKUP($A138, LS_previous!$B$4:$AY$138, LS_previous!Y$149, FALSE), VLOOKUP('Staging Table'!$A138, LS_previous!$B$4:$AY$138,LS_previous!AW$149, FALSE))/2)</f>
        <v>271.41368273183298</v>
      </c>
      <c r="AH138" s="180">
        <f t="array" ref="AH138">IF($G138=0, INDEX(LS_previous!$D$4:$AY$138, MATCH('Staging Table'!$A138, LS_previous!$B$4:$B$138, 0), MATCH(AH$4&amp;AH$5, LS_previous!$D$2:$AY$2&amp;LS_previous!$D$3:$AY$3, 0)),SUM(VLOOKUP($A138, LS_previous!$B$4:$AY$138, LS_previous!Z$149, FALSE), VLOOKUP('Staging Table'!$A138, LS_previous!$B$4:$AY$138,LS_previous!AX$149, FALSE))/2)</f>
        <v>-233.33269142608424</v>
      </c>
      <c r="AI138" s="180">
        <f t="array" ref="AI138">IF($G138=0, INDEX(LS_previous!$D$4:$AY$138, MATCH('Staging Table'!$A138, LS_previous!$B$4:$B$138, 0), MATCH(AI$4&amp;AI$5, LS_previous!$D$2:$AY$2&amp;LS_previous!$D$3:$AY$3, 0)),SUM(VLOOKUP($A138, LS_previous!$B$4:$AY$138, LS_previous!AA$149, FALSE), VLOOKUP('Staging Table'!$A138, LS_previous!$B$4:$AY$138,LS_previous!AY$149, FALSE))/2)</f>
        <v>9.8831236440462362</v>
      </c>
      <c r="AJ138" s="298">
        <f t="array" ref="AJ138">INDEX(Demand_previous!$D$4:$AY$138, MATCH('Staging Table'!$A138, Demand_previous!$B$4:$B$138, 0), MATCH(AJ$4&amp;AJ$5,Demand_previous!$D$2:$AY$2&amp;Demand_previous!$D$3:$AY$3, 0))/1000</f>
        <v>0.45998798076923131</v>
      </c>
      <c r="AK138" s="298">
        <f t="array" ref="AK138">INDEX(Demand_previous!$D$4:$AY$138, MATCH('Staging Table'!$A138, Demand_previous!$B$4:$B$138, 0), MATCH(AK$4&amp;AK$5,Demand_previous!$D$2:$AY$2&amp;Demand_previous!$D$3:$AY$3, 0))/1000</f>
        <v>0.5699475000000005</v>
      </c>
      <c r="AL138" s="298">
        <f t="array" ref="AL138">INDEX(Demand_previous!$D$4:$AY$138, MATCH('Staging Table'!$A138, Demand_previous!$B$4:$B$138, 0), MATCH(AL$4&amp;AL$5,Demand_previous!$D$2:$AY$2&amp;Demand_previous!$D$3:$AY$3, 0))/1000</f>
        <v>0.94507211538461622</v>
      </c>
      <c r="AM138" s="298">
        <f t="array" ref="AM138">INDEX(Demand_previous!$D$4:$AY$138, MATCH('Staging Table'!$A138, Demand_previous!$B$4:$B$138, 0), MATCH(AM$4&amp;AM$5,Demand_previous!$D$2:$AY$2&amp;Demand_previous!$D$3:$AY$3, 0))/1000</f>
        <v>0</v>
      </c>
      <c r="AN138" s="298">
        <f t="array" ref="AN138">INDEX(Demand_previous!$D$4:$AY$138, MATCH('Staging Table'!$A138, Demand_previous!$B$4:$B$138, 0), MATCH(AN$4&amp;AN$5,Demand_previous!$D$2:$AY$2&amp;Demand_previous!$D$3:$AY$3, 0))/1000</f>
        <v>0</v>
      </c>
      <c r="AO138" s="298">
        <f t="array" ref="AO138">INDEX(Demand_previous!$D$4:$AY$138, MATCH('Staging Table'!$A138, Demand_previous!$B$4:$B$138, 0), MATCH(AO$4&amp;AO$5,Demand_previous!$D$2:$AY$2&amp;Demand_previous!$D$3:$AY$3, 0))/1000</f>
        <v>0.96852546296296316</v>
      </c>
      <c r="AP138" s="298">
        <f t="array" ref="AP138">INDEX(Demand_previous!$D$4:$AY$138, MATCH('Staging Table'!$A138, Demand_previous!$B$4:$B$138, 0), MATCH(AP$4&amp;AP$5,Demand_previous!$D$2:$AY$2&amp;Demand_previous!$D$3:$AY$3, 0))/1000</f>
        <v>0.88706730769230835</v>
      </c>
      <c r="AQ138" s="298">
        <f t="array" ref="AQ138">INDEX(Demand_previous!$D$4:$AY$138, MATCH('Staging Table'!$A138, Demand_previous!$B$4:$B$138, 0), MATCH(AQ$4&amp;AQ$5,Demand_previous!$D$2:$AY$2&amp;Demand_previous!$D$3:$AY$3, 0))/1000</f>
        <v>0</v>
      </c>
      <c r="AR138" s="298">
        <f t="array" ref="AR138">INDEX(Demand_previous!$D$4:$AY$138, MATCH('Staging Table'!$A138, Demand_previous!$B$4:$B$138, 0), MATCH(AR$4&amp;AR$5,Demand_previous!$D$2:$AY$2&amp;Demand_previous!$D$3:$AY$3, 0))/1000</f>
        <v>1.6466081730769226</v>
      </c>
      <c r="AS138" s="298">
        <f t="array" ref="AS138">INDEX(Demand_previous!$D$4:$AY$138, MATCH('Staging Table'!$A138, Demand_previous!$B$4:$B$138, 0), MATCH(AS$4&amp;AS$5,Demand_previous!$D$2:$AY$2&amp;Demand_previous!$D$3:$AY$3, 0))/1000</f>
        <v>0.62496250000000009</v>
      </c>
      <c r="AT138" s="298">
        <f t="array" ref="AT138">INDEX(Demand_previous!$D$4:$AY$138, MATCH('Staging Table'!$A138, Demand_previous!$B$4:$B$138, 0), MATCH(AT$4&amp;AT$5,Demand_previous!$D$2:$AY$2&amp;Demand_previous!$D$3:$AY$3, 0))/1000</f>
        <v>0.27560648148148204</v>
      </c>
      <c r="AU138" s="298">
        <f t="array" ref="AU138">INDEX(Demand_previous!$D$4:$AY$138, MATCH('Staging Table'!$A138, Demand_previous!$B$4:$B$138, 0), MATCH(AU$4&amp;AU$5,Demand_previous!$D$2:$AY$2&amp;Demand_previous!$D$3:$AY$3, 0))/1000</f>
        <v>9.1537500000000285E-2</v>
      </c>
      <c r="AV138" s="180">
        <f>$F138*(VLOOKUP(AV$4, Rates_previous!$G$6:$Q$29, 10, FALSE)+VLOOKUP(AV$4, Rates_previous!$G$6:$Q$29, 11, FALSE))</f>
        <v>4081.2270658878006</v>
      </c>
      <c r="AW138" s="180">
        <f>$F138*(VLOOKUP(AW$4, Rates_previous!$G$6:$Q$29, 10, FALSE)+VLOOKUP(AW$4, Rates_previous!$G$6:$Q$29, 11, FALSE))</f>
        <v>5166.9815833369403</v>
      </c>
      <c r="AX138" s="180">
        <f>$F138*(VLOOKUP(AX$4, Rates_previous!$G$6:$Q$29, 10, FALSE)+VLOOKUP(AX$4, Rates_previous!$G$6:$Q$29, 11, FALSE))</f>
        <v>5057.4426938902498</v>
      </c>
      <c r="AY138" s="180">
        <f>$F138*(VLOOKUP(AY$4, Rates_previous!$G$6:$Q$29, 10, FALSE)+VLOOKUP(AY$4, Rates_previous!$G$6:$Q$29, 11, FALSE))</f>
        <v>4177.2325982023731</v>
      </c>
      <c r="AZ138" s="180">
        <f>$F138*(VLOOKUP(AZ$4, Rates_previous!$G$6:$Q$29, 10, FALSE)+VLOOKUP(AZ$4, Rates_previous!$G$6:$Q$29, 11, FALSE))</f>
        <v>3620.4990456374621</v>
      </c>
      <c r="BA138" s="180">
        <f>$F138*(VLOOKUP(BA$4, Rates_previous!$G$6:$Q$29, 10, FALSE)+VLOOKUP(BA$4, Rates_previous!$G$6:$Q$29, 11, FALSE))</f>
        <v>4322.144739640351</v>
      </c>
      <c r="BB138" s="180">
        <f>$F138*(VLOOKUP(BB$4, Rates_previous!$G$6:$Q$29, 10, FALSE)+VLOOKUP(BB$4, Rates_previous!$G$6:$Q$29, 11, FALSE))</f>
        <v>3355.5699879585627</v>
      </c>
      <c r="BC138" s="180">
        <f>$F138*(VLOOKUP(BC$4, Rates_previous!$G$6:$Q$29, 10, FALSE)+VLOOKUP(BC$4, Rates_previous!$G$6:$Q$29, 11, FALSE))</f>
        <v>4649.1669119028584</v>
      </c>
      <c r="BD138" s="180">
        <f>$F138*(VLOOKUP(BD$4, Rates_previous!$G$6:$Q$29, 10, FALSE)+VLOOKUP(BD$4, Rates_previous!$G$6:$Q$29, 11, FALSE))</f>
        <v>4967.7321949774987</v>
      </c>
      <c r="BE138" s="180">
        <f>$F138*(VLOOKUP(BE$4, Rates_previous!$G$6:$Q$29, 10, FALSE)+VLOOKUP(BE$4, Rates_previous!$G$6:$Q$29, 11, FALSE))</f>
        <v>4716.6367722752793</v>
      </c>
      <c r="BF138" s="180">
        <f>$F138*(VLOOKUP(BF$4, Rates_previous!$G$6:$Q$29, 10, FALSE)+VLOOKUP(BF$4, Rates_previous!$G$6:$Q$29, 11, FALSE))</f>
        <v>4558.2655708091779</v>
      </c>
      <c r="BG138" s="180">
        <f>$F138*(VLOOKUP(BG$4, Rates_previous!$G$6:$Q$29, 10, FALSE)+VLOOKUP(BG$4, Rates_previous!$G$6:$Q$29, 11, FALSE))</f>
        <v>4212.3125677820381</v>
      </c>
      <c r="BH138" s="298">
        <f>IF($D138=0,IF(C138=0, MAX(BJ138 - (VLOOKUP($A138,TOCA_previous!$A$2:$AI$137,MATCH("RHWM 2022",TOCA_previous!$A$2:$AI$2,0),FALSE)*$F$2*TOCA_previous!C135),0),0), 0)</f>
        <v>4517.1897053074135</v>
      </c>
      <c r="BI138" s="192">
        <f>MIN(VLOOKUP($A138,TOCA_previous!$A$2:$AI$137,MATCH("TRL - NLSL - Existing Resource "&amp;$F$1,TOCA_previous!$A$2:$AI$2,0),FALSE)*$F$2,(VLOOKUP($A138,TOCA_previous!$A$2:$AI$137,MATCH("RHWM 2022",TOCA_previous!$A$2:$AI$2,0),FALSE)*$F$2))</f>
        <v>52884.12</v>
      </c>
      <c r="BJ138" s="402">
        <f>SUM(L138:AI138)+(F138*RT1SC!$C$3*$F$2)</f>
        <v>57401.309705307416</v>
      </c>
      <c r="BK138" s="401">
        <f>VLOOKUP($A138,TOCA_previous!$A$2:$AI$137,MATCH("Above RHWM Not Served with LS "&amp;$F$1,TOCA_previous!$A$2:$AI$2,0),FALSE)*$F$2</f>
        <v>0</v>
      </c>
      <c r="BL138" s="402">
        <f t="shared" si="46"/>
        <v>4517.1897053074135</v>
      </c>
      <c r="BM138" s="401">
        <f>(VLOOKUP($A138,TOCA_previous!$A$2:$AI$137,MATCH("RHWM 2022",TOCA_previous!$A$2:$AI$2,0),FALSE)*$F$2) - $BI138</f>
        <v>0</v>
      </c>
      <c r="BN138" s="402">
        <f t="shared" si="47"/>
        <v>0</v>
      </c>
      <c r="BO138" s="401">
        <f t="shared" si="48"/>
        <v>0</v>
      </c>
      <c r="BP138" s="402">
        <f t="shared" si="49"/>
        <v>0</v>
      </c>
      <c r="BQ138" s="401">
        <f t="shared" si="40"/>
        <v>0</v>
      </c>
      <c r="BR138" s="108">
        <f>VLOOKUP($A138,TOCA_current!$A$2:$AI$137,MATCH(BR$4,TOCA_current!$A$2:$AI$2,0),FALSE)</f>
        <v>8.9599999999999999E-4</v>
      </c>
      <c r="BS138" s="108">
        <f>VLOOKUP($A138,TOCA_current!$A$2:$AI$137,MATCH(BS$4,TOCA_current!$A$2:$AI$2,0),FALSE)</f>
        <v>8.9599999999999999E-4</v>
      </c>
      <c r="BT138" s="189">
        <f t="shared" si="50"/>
        <v>0</v>
      </c>
      <c r="BU138" s="108">
        <f>VLOOKUP($A138,TOCA_current!A134:BG269,MATCH(BU$4,TOCA_current!$A$2:$BG$2,0),FALSE)</f>
        <v>0</v>
      </c>
      <c r="BV138" s="108">
        <f t="shared" si="41"/>
        <v>0</v>
      </c>
      <c r="BW138" s="108">
        <f t="shared" si="42"/>
        <v>0</v>
      </c>
      <c r="BX138" s="179">
        <f>VLOOKUP($A138,IRD!$A$4:$G$139, 7, FALSE)</f>
        <v>0</v>
      </c>
      <c r="BY138" s="180">
        <f t="array" ref="BY138">IF($BT138=0, INDEX(LS_current!$D$4:$AY$138, MATCH('Staging Table'!$A138, LS_current!$B$4:$B$138, 0), MATCH(BY$4&amp;BY$5, LS_current!$D$2:$AY$2&amp;LS_current!$D$3:$AY$3, 0)),SUM(VLOOKUP($A138, LS_current!$B$4:$AY$138, LS_current!D$148, FALSE), VLOOKUP($A138, LS_current!$B$4:$AY$138,LS_current!AB$148, FALSE))/2)</f>
        <v>387.89514374400005</v>
      </c>
      <c r="BZ138" s="180">
        <f t="array" ref="BZ138">IF($BT138=0, INDEX(LS_current!$D$4:$AY$138, MATCH('Staging Table'!$A138, LS_current!$B$4:$B$138, 0), MATCH(BZ$4&amp;BZ$5, LS_current!$D$2:$AY$2&amp;LS_current!$D$3:$AY$3, 0)),SUM(VLOOKUP($A138, LS_current!$B$4:$AY$138, LS_current!E$148, FALSE), VLOOKUP($A138, LS_current!$B$4:$AY$138,LS_current!AC$148, FALSE))/2)</f>
        <v>92.650685952000231</v>
      </c>
      <c r="CA138" s="180">
        <f t="array" ref="CA138">IF($BT138=0, INDEX(LS_current!$D$4:$AY$138, MATCH('Staging Table'!$A138, LS_current!$B$4:$B$138, 0), MATCH(CA$4&amp;CA$5, LS_current!$D$2:$AY$2&amp;LS_current!$D$3:$AY$3, 0)),SUM(VLOOKUP($A138, LS_current!$B$4:$AY$138, LS_current!F$148, FALSE), VLOOKUP($A138, LS_current!$B$4:$AY$138,LS_current!AD$148, FALSE))/2)</f>
        <v>-12.559645888000432</v>
      </c>
      <c r="CB138" s="180">
        <f t="array" ref="CB138">IF($BT138=0, INDEX(LS_current!$D$4:$AY$138, MATCH('Staging Table'!$A138, LS_current!$B$4:$B$138, 0), MATCH(CB$4&amp;CB$5, LS_current!$D$2:$AY$2&amp;LS_current!$D$3:$AY$3, 0)),SUM(VLOOKUP($A138, LS_current!$B$4:$AY$138, LS_current!G$148, FALSE), VLOOKUP($A138, LS_current!$B$4:$AY$138,LS_current!AE$148, FALSE))/2)</f>
        <v>-38.356253376000041</v>
      </c>
      <c r="CC138" s="180">
        <f t="array" ref="CC138">IF($BT138=0, INDEX(LS_current!$D$4:$AY$138, MATCH('Staging Table'!$A138, LS_current!$B$4:$B$138, 0), MATCH(CC$4&amp;CC$5, LS_current!$D$2:$AY$2&amp;LS_current!$D$3:$AY$3, 0)),SUM(VLOOKUP($A138, LS_current!$B$4:$AY$138, LS_current!H$148, FALSE), VLOOKUP($A138, LS_current!$B$4:$AY$138,LS_current!AF$148, FALSE))/2)</f>
        <v>194.414777856</v>
      </c>
      <c r="CD138" s="180">
        <f t="array" ref="CD138">IF($BT138=0, INDEX(LS_current!$D$4:$AY$138, MATCH('Staging Table'!$A138, LS_current!$B$4:$B$138, 0), MATCH(CD$4&amp;CD$5, LS_current!$D$2:$AY$2&amp;LS_current!$D$3:$AY$3, 0)),SUM(VLOOKUP($A138, LS_current!$B$4:$AY$138, LS_current!I$148, FALSE), VLOOKUP($A138, LS_current!$B$4:$AY$138,LS_current!AG$148, FALSE))/2)</f>
        <v>287.40564838399996</v>
      </c>
      <c r="CE138" s="180">
        <f t="array" ref="CE138">IF($BT138=0, INDEX(LS_current!$D$4:$AY$138, MATCH('Staging Table'!$A138, LS_current!$B$4:$B$138, 0), MATCH(CE$4&amp;CE$5, LS_current!$D$2:$AY$2&amp;LS_current!$D$3:$AY$3, 0)),SUM(VLOOKUP($A138, LS_current!$B$4:$AY$138, LS_current!J$148, FALSE), VLOOKUP($A138, LS_current!$B$4:$AY$138,LS_current!AH$148, FALSE))/2)</f>
        <v>239.48522335999996</v>
      </c>
      <c r="CF138" s="180">
        <f t="array" ref="CF138">IF($BT138=0, INDEX(LS_current!$D$4:$AY$138, MATCH('Staging Table'!$A138, LS_current!$B$4:$B$138, 0), MATCH(CF$4&amp;CF$5, LS_current!$D$2:$AY$2&amp;LS_current!$D$3:$AY$3, 0)),SUM(VLOOKUP($A138, LS_current!$B$4:$AY$138, LS_current!K$148, FALSE), VLOOKUP($A138, LS_current!$B$4:$AY$138,LS_current!AI$148, FALSE))/2)</f>
        <v>238.05932601599989</v>
      </c>
      <c r="CG138" s="180">
        <f t="array" ref="CG138">IF($BT138=0, INDEX(LS_current!$D$4:$AY$138, MATCH('Staging Table'!$A138, LS_current!$B$4:$B$138, 0), MATCH(CG$4&amp;CG$5, LS_current!$D$2:$AY$2&amp;LS_current!$D$3:$AY$3, 0)),SUM(VLOOKUP($A138, LS_current!$B$4:$AY$138, LS_current!L$148, FALSE), VLOOKUP($A138, LS_current!$B$4:$AY$138,LS_current!AJ$148, FALSE))/2)</f>
        <v>133.03369241600012</v>
      </c>
      <c r="CH138" s="180">
        <f t="array" ref="CH138">IF($BT138=0, INDEX(LS_current!$D$4:$AY$138, MATCH('Staging Table'!$A138, LS_current!$B$4:$B$138, 0), MATCH(CH$4&amp;CH$5, LS_current!$D$2:$AY$2&amp;LS_current!$D$3:$AY$3, 0)),SUM(VLOOKUP($A138, LS_current!$B$4:$AY$138, LS_current!M$148, FALSE), VLOOKUP($A138, LS_current!$B$4:$AY$138,LS_current!AK$148, FALSE))/2)</f>
        <v>142.64784473600002</v>
      </c>
      <c r="CI138" s="180">
        <f t="array" ref="CI138">IF($BT138=0, INDEX(LS_current!$D$4:$AY$138, MATCH('Staging Table'!$A138, LS_current!$B$4:$B$138, 0), MATCH(CI$4&amp;CI$5, LS_current!$D$2:$AY$2&amp;LS_current!$D$3:$AY$3, 0)),SUM(VLOOKUP($A138, LS_current!$B$4:$AY$138, LS_current!N$148, FALSE), VLOOKUP($A138, LS_current!$B$4:$AY$138,LS_current!AL$148, FALSE))/2)</f>
        <v>-272.55452524800012</v>
      </c>
      <c r="CJ138" s="180">
        <f t="array" ref="CJ138">IF($BT138=0, INDEX(LS_current!$D$4:$AY$138, MATCH('Staging Table'!$A138, LS_current!$B$4:$B$138, 0), MATCH(CJ$4&amp;CJ$5, LS_current!$D$2:$AY$2&amp;LS_current!$D$3:$AY$3, 0)),SUM(VLOOKUP($A138, LS_current!$B$4:$AY$138, LS_current!O$148, FALSE), VLOOKUP($A138, LS_current!$B$4:$AY$138,LS_current!AM$148, FALSE))/2)</f>
        <v>-241.80391308799994</v>
      </c>
      <c r="CK138" s="180">
        <f t="array" ref="CK138">IF($BT138=0, INDEX(LS_current!$D$4:$AY$138, MATCH('Staging Table'!$A138, LS_current!$B$4:$B$138, 0), MATCH(CK$4&amp;CK$5, LS_current!$D$2:$AY$2&amp;LS_current!$D$3:$AY$3, 0)),SUM(VLOOKUP($A138, LS_current!$B$4:$AY$138, LS_current!P$148, FALSE), VLOOKUP($A138, LS_current!$B$4:$AY$138,LS_current!AN$148, FALSE))/2)</f>
        <v>165.68663136000032</v>
      </c>
      <c r="CL138" s="180">
        <f t="array" ref="CL138">IF($BT138=0, INDEX(LS_current!$D$4:$AY$138, MATCH('Staging Table'!$A138, LS_current!$B$4:$B$138, 0), MATCH(CL$4&amp;CL$5, LS_current!$D$2:$AY$2&amp;LS_current!$D$3:$AY$3, 0)),SUM(VLOOKUP($A138, LS_current!$B$4:$AY$138, LS_current!Q$148, FALSE), VLOOKUP($A138, LS_current!$B$4:$AY$138,LS_current!AO$148, FALSE))/2)</f>
        <v>-137.98326172799966</v>
      </c>
      <c r="CM138" s="180">
        <f t="array" ref="CM138">IF($BT138=0, INDEX(LS_current!$D$4:$AY$138, MATCH('Staging Table'!$A138, LS_current!$B$4:$B$138, 0), MATCH(CM$4&amp;CM$5, LS_current!$D$2:$AY$2&amp;LS_current!$D$3:$AY$3, 0)),SUM(VLOOKUP($A138, LS_current!$B$4:$AY$138, LS_current!R$148, FALSE), VLOOKUP($A138, LS_current!$B$4:$AY$138,LS_current!AP$148, FALSE))/2)</f>
        <v>-471.28289580800038</v>
      </c>
      <c r="CN138" s="180">
        <f t="array" ref="CN138">IF($BT138=0, INDEX(LS_current!$D$4:$AY$138, MATCH('Staging Table'!$A138, LS_current!$B$4:$B$138, 0), MATCH(CN$4&amp;CN$5, LS_current!$D$2:$AY$2&amp;LS_current!$D$3:$AY$3, 0)),SUM(VLOOKUP($A138, LS_current!$B$4:$AY$138, LS_current!S$148, FALSE), VLOOKUP($A138, LS_current!$B$4:$AY$138,LS_current!AQ$148, FALSE))/2)</f>
        <v>-497.86296601599997</v>
      </c>
      <c r="CO138" s="180">
        <f t="array" ref="CO138">IF($BT138=0, INDEX(LS_current!$D$4:$AY$138, MATCH('Staging Table'!$A138, LS_current!$B$4:$B$138, 0), MATCH(CO$4&amp;CO$5, LS_current!$D$2:$AY$2&amp;LS_current!$D$3:$AY$3, 0)),SUM(VLOOKUP($A138, LS_current!$B$4:$AY$138, LS_current!T$148, FALSE), VLOOKUP($A138, LS_current!$B$4:$AY$138,LS_current!AR$148, FALSE))/2)</f>
        <v>-409.47610169599966</v>
      </c>
      <c r="CP138" s="180">
        <f t="array" ref="CP138">IF($BT138=0, INDEX(LS_current!$D$4:$AY$138, MATCH('Staging Table'!$A138, LS_current!$B$4:$B$138, 0), MATCH(CP$4&amp;CP$5, LS_current!$D$2:$AY$2&amp;LS_current!$D$3:$AY$3, 0)),SUM(VLOOKUP($A138, LS_current!$B$4:$AY$138, LS_current!U$148, FALSE), VLOOKUP($A138, LS_current!$B$4:$AY$138,LS_current!AS$148, FALSE))/2)</f>
        <v>-309.27344883200021</v>
      </c>
      <c r="CQ138" s="180">
        <f t="array" ref="CQ138">IF($BT138=0, INDEX(LS_current!$D$4:$AY$138, MATCH('Staging Table'!$A138, LS_current!$B$4:$B$138, 0), MATCH(CQ$4&amp;CQ$5, LS_current!$D$2:$AY$2&amp;LS_current!$D$3:$AY$3, 0)),SUM(VLOOKUP($A138, LS_current!$B$4:$AY$138, LS_current!V$148, FALSE), VLOOKUP($A138, LS_current!$B$4:$AY$138,LS_current!AT$148, FALSE))/2)</f>
        <v>882.35453945600011</v>
      </c>
      <c r="CR138" s="180">
        <f t="array" ref="CR138">IF($BT138=0, INDEX(LS_current!$D$4:$AY$138, MATCH('Staging Table'!$A138, LS_current!$B$4:$B$138, 0), MATCH(CR$4&amp;CR$5, LS_current!$D$2:$AY$2&amp;LS_current!$D$3:$AY$3, 0)),SUM(VLOOKUP($A138, LS_current!$B$4:$AY$138, LS_current!W$148, FALSE), VLOOKUP($A138, LS_current!$B$4:$AY$138,LS_current!AU$148, FALSE))/2)</f>
        <v>324.71652575999997</v>
      </c>
      <c r="CS138" s="180">
        <f t="array" ref="CS138">IF($BT138=0, INDEX(LS_current!$D$4:$AY$138, MATCH('Staging Table'!$A138, LS_current!$B$4:$B$138, 0), MATCH(CS$4&amp;CS$5, LS_current!$D$2:$AY$2&amp;LS_current!$D$3:$AY$3, 0)),SUM(VLOOKUP($A138, LS_current!$B$4:$AY$138, LS_current!X$148, FALSE), VLOOKUP($A138, LS_current!$B$4:$AY$138,LS_current!AV$148, FALSE))/2)</f>
        <v>845.09400633599989</v>
      </c>
      <c r="CT138" s="180">
        <f t="array" ref="CT138">IF($BT138=0, INDEX(LS_current!$D$4:$AY$138, MATCH('Staging Table'!$A138, LS_current!$B$4:$B$138, 0), MATCH(CT$4&amp;CT$5, LS_current!$D$2:$AY$2&amp;LS_current!$D$3:$AY$3, 0)),SUM(VLOOKUP($A138, LS_current!$B$4:$AY$138, LS_current!Y$148, FALSE), VLOOKUP($A138, LS_current!$B$4:$AY$138,LS_current!AW$148, FALSE))/2)</f>
        <v>201.1566804544002</v>
      </c>
      <c r="CU138" s="180">
        <f t="array" ref="CU138">IF($BT138=0, INDEX(LS_current!$D$4:$AY$138, MATCH('Staging Table'!$A138, LS_current!$B$4:$B$138, 0), MATCH(CU$4&amp;CU$5, LS_current!$D$2:$AY$2&amp;LS_current!$D$3:$AY$3, 0)),SUM(VLOOKUP($A138, LS_current!$B$4:$AY$138, LS_current!Z$148, FALSE), VLOOKUP($A138, LS_current!$B$4:$AY$138,LS_current!AX$148, FALSE))/2)</f>
        <v>112.00030649600012</v>
      </c>
      <c r="CV138" s="180">
        <f t="array" ref="CV138">IF($BT138=0, INDEX(LS_current!$D$4:$AY$138, MATCH('Staging Table'!$A138, LS_current!$B$4:$B$138, 0), MATCH(CV$4&amp;CV$5, LS_current!$D$2:$AY$2&amp;LS_current!$D$3:$AY$3, 0)),SUM(VLOOKUP($A138, LS_current!$B$4:$AY$138, LS_current!AA$148, FALSE), VLOOKUP($A138, LS_current!$B$4:$AY$138,LS_current!AY$148, FALSE))/2)</f>
        <v>-46.100717184000132</v>
      </c>
      <c r="CW138" s="182">
        <f t="array" ref="CW138">INDEX(Demand_current!$D$4:$AY$138, MATCH($A138, Demand_current!$B$4:$B$138, 0), MATCH(CW$4&amp;CW$5,Demand_current!$D$2:$AY$2&amp;Demand_current!$D$3:$AY$3, 0))/1000</f>
        <v>0.45998798076923131</v>
      </c>
      <c r="CX138" s="182">
        <f t="array" ref="CX138">INDEX(Demand_current!$D$4:$AY$138, MATCH($A138, Demand_current!$B$4:$B$138, 0), MATCH(CX$4&amp;CX$5,Demand_current!$D$2:$AY$2&amp;Demand_current!$D$3:$AY$3, 0))/1000</f>
        <v>0.5699475000000005</v>
      </c>
      <c r="CY138" s="182">
        <f t="array" ref="CY138">INDEX(Demand_current!$D$4:$AY$138, MATCH($A138, Demand_current!$B$4:$B$138, 0), MATCH(CY$4&amp;CY$5,Demand_current!$D$2:$AY$2&amp;Demand_current!$D$3:$AY$3, 0))/1000</f>
        <v>0.62307500000000093</v>
      </c>
      <c r="CZ138" s="182">
        <f t="array" ref="CZ138">INDEX(Demand_current!$D$4:$AY$138, MATCH($A138, Demand_current!$B$4:$B$138, 0), MATCH(CZ$4&amp;CZ$5,Demand_current!$D$2:$AY$2&amp;Demand_current!$D$3:$AY$3, 0))/1000</f>
        <v>4.7209134615386006E-2</v>
      </c>
      <c r="DA138" s="182">
        <f t="array" ref="DA138">INDEX(Demand_current!$D$4:$AY$138, MATCH($A138, Demand_current!$B$4:$B$138, 0), MATCH(DA$4&amp;DA$5,Demand_current!$D$2:$AY$2&amp;Demand_current!$D$3:$AY$3, 0))/1000</f>
        <v>0.2194250000000002</v>
      </c>
      <c r="DB138" s="182">
        <f t="array" ref="DB138">INDEX(Demand_current!$D$4:$AY$138, MATCH($A138, Demand_current!$B$4:$B$138, 0), MATCH(DB$4&amp;DB$5,Demand_current!$D$2:$AY$2&amp;Demand_current!$D$3:$AY$3, 0))/1000</f>
        <v>0.71758413461538462</v>
      </c>
      <c r="DC138" s="182">
        <f t="array" ref="DC138">INDEX(Demand_current!$D$4:$AY$138, MATCH($A138, Demand_current!$B$4:$B$138, 0), MATCH(DC$4&amp;DC$5,Demand_current!$D$2:$AY$2&amp;Demand_current!$D$3:$AY$3, 0))/1000</f>
        <v>0.88706730769230835</v>
      </c>
      <c r="DD138" s="182">
        <f t="array" ref="DD138">INDEX(Demand_current!$D$4:$AY$138, MATCH($A138, Demand_current!$B$4:$B$138, 0), MATCH(DD$4&amp;DD$5,Demand_current!$D$2:$AY$2&amp;Demand_current!$D$3:$AY$3, 0))/1000</f>
        <v>0.1665168269230779</v>
      </c>
      <c r="DE138" s="182">
        <f t="array" ref="DE138">INDEX(Demand_current!$D$4:$AY$138, MATCH($A138, Demand_current!$B$4:$B$138, 0), MATCH(DE$4&amp;DE$5,Demand_current!$D$2:$AY$2&amp;Demand_current!$D$3:$AY$3, 0))/1000</f>
        <v>1.3792724999999995</v>
      </c>
      <c r="DF138" s="182">
        <f t="array" ref="DF138">INDEX(Demand_current!$D$4:$AY$138, MATCH($A138, Demand_current!$B$4:$B$138, 0), MATCH(DF$4&amp;DF$5,Demand_current!$D$2:$AY$2&amp;Demand_current!$D$3:$AY$3, 0))/1000</f>
        <v>0.97404086538461554</v>
      </c>
      <c r="DG138" s="182">
        <f t="array" ref="DG138">INDEX(Demand_current!$D$4:$AY$138, MATCH($A138, Demand_current!$B$4:$B$138, 0), MATCH(DG$4&amp;DG$5,Demand_current!$D$2:$AY$2&amp;Demand_current!$D$3:$AY$3, 0))/1000</f>
        <v>0.27560648148148204</v>
      </c>
      <c r="DH138" s="182">
        <f t="array" ref="DH138">INDEX(Demand_current!$D$4:$AY$138, MATCH($A138, Demand_current!$B$4:$B$138, 0), MATCH(DH$4&amp;DH$5,Demand_current!$D$2:$AY$2&amp;Demand_current!$D$3:$AY$3, 0))/1000</f>
        <v>0</v>
      </c>
      <c r="DI138" s="180">
        <f>$BS138*(VLOOKUP(DI$4, Rates_current!$G$6:$Q$29, 10, FALSE)+VLOOKUP(DI$4, Rates_current!$G$6:$Q$29, 11, FALSE))</f>
        <v>3780.048170304</v>
      </c>
      <c r="DJ138" s="180">
        <f>$BS138*(VLOOKUP(DJ$4, Rates_current!$G$6:$Q$29, 10, FALSE)+VLOOKUP(DJ$4, Rates_current!$G$6:$Q$29, 11, FALSE))</f>
        <v>4820.8078992640003</v>
      </c>
      <c r="DK138" s="180">
        <f>$BS138*(VLOOKUP(DK$4, Rates_current!$G$6:$Q$29, 10, FALSE)+VLOOKUP(DK$4, Rates_current!$G$6:$Q$29, 11, FALSE))</f>
        <v>5202.60557376</v>
      </c>
      <c r="DL138" s="180">
        <f>$BS138*(VLOOKUP(DL$4, Rates_current!$G$6:$Q$29, 10, FALSE)+VLOOKUP(DL$4, Rates_current!$G$6:$Q$29, 11, FALSE))</f>
        <v>5406.3114506239999</v>
      </c>
      <c r="DM138" s="180">
        <f>$BS138*(VLOOKUP(DM$4, Rates_current!$G$6:$Q$29, 10, FALSE)+VLOOKUP(DM$4, Rates_current!$G$6:$Q$29, 11, FALSE))</f>
        <v>4650.1484628479993</v>
      </c>
      <c r="DN138" s="180">
        <f>$BS138*(VLOOKUP(DN$4, Rates_current!$G$6:$Q$29, 10, FALSE)+VLOOKUP(DN$4, Rates_current!$G$6:$Q$29, 11, FALSE))</f>
        <v>5077.0414383359994</v>
      </c>
      <c r="DO138" s="180">
        <f>$BS138*(VLOOKUP(DO$4, Rates_current!$G$6:$Q$29, 10, FALSE)+VLOOKUP(DO$4, Rates_current!$G$6:$Q$29, 11, FALSE))</f>
        <v>4007.4686303679996</v>
      </c>
      <c r="DP138" s="180">
        <f>$BS138*(VLOOKUP(DP$4, Rates_current!$G$6:$Q$29, 10, FALSE)+VLOOKUP(DP$4, Rates_current!$G$6:$Q$29, 11, FALSE))</f>
        <v>4971.8018618240003</v>
      </c>
      <c r="DQ138" s="180">
        <f>$BS138*(VLOOKUP(DQ$4, Rates_current!$G$6:$Q$29, 10, FALSE)+VLOOKUP(DQ$4, Rates_current!$G$6:$Q$29, 11, FALSE))</f>
        <v>5079.6775505279993</v>
      </c>
      <c r="DR138" s="180">
        <f>$BS138*(VLOOKUP(DR$4, Rates_current!$G$6:$Q$29, 10, FALSE)+VLOOKUP(DR$4, Rates_current!$G$6:$Q$29, 11, FALSE))</f>
        <v>4409.8919347840001</v>
      </c>
      <c r="DS138" s="180">
        <f>$BS138*(VLOOKUP(DS$4, Rates_current!$G$6:$Q$29, 10, FALSE)+VLOOKUP(DS$4, Rates_current!$G$6:$Q$29, 11, FALSE))</f>
        <v>4263.1933132096001</v>
      </c>
      <c r="DT138" s="180">
        <f>$BS138*(VLOOKUP(DT$4, Rates_current!$G$6:$Q$29, 10, FALSE)+VLOOKUP(DT$4, Rates_current!$G$6:$Q$29, 11, FALSE))</f>
        <v>3922.9634106880003</v>
      </c>
      <c r="DU138" s="402">
        <f>IF(D138=0,IF(C138=0,MAX(0,DW138 - (VLOOKUP($A138,TOCA_current!$A$2:$AI$137,MATCH("RHWM 2024",TOCA_current!$A$2:$AI$2,0),FALSE)*$BS$2)), 0),0)</f>
        <v>1807.3712548224066</v>
      </c>
      <c r="DV138" s="403">
        <f>MIN(VLOOKUP($A138,TOCA_current!$A$2:$AI$137,MATCH("TRL - NLSL - Existing Resource "&amp;$BS$1,TOCA_current!$A$2:$AI$2,0),FALSE)*$BS$2, VLOOKUP($A138,TOCA_current!$A$2:$AI$137,MATCH("RHWM 2024",TOCA_current!$A$2:$AI$2,0),FALSE)*$BS$2)</f>
        <v>55593.935999999994</v>
      </c>
      <c r="DW138" s="403">
        <f>SUM(BY138:CV138)+(BS138*RT1SC!$C$4*$BS$2)</f>
        <v>57401.307254822401</v>
      </c>
      <c r="DX138" s="403">
        <f>VLOOKUP($A138,TOCA_current!$A$2:$AI$137,MATCH("Above RHWM Not Served with LS "&amp;$BS$1,TOCA_current!$A$2:$AI$2,0),FALSE)*$BS$2</f>
        <v>0</v>
      </c>
      <c r="DY138" s="403">
        <f t="shared" si="51"/>
        <v>1807.3712548224066</v>
      </c>
      <c r="DZ138" s="403">
        <f>(VLOOKUP($A138,TOCA_current!$A$2:$AI$137,MATCH("RHWM 2024",TOCA_current!$A$2:$AI$2,0),FALSE)*$BS$2) - $DV138</f>
        <v>0</v>
      </c>
      <c r="EA138" s="403">
        <f t="shared" si="52"/>
        <v>0</v>
      </c>
      <c r="EB138" s="403">
        <f t="shared" si="53"/>
        <v>0</v>
      </c>
      <c r="EC138" s="403">
        <f t="shared" si="54"/>
        <v>0</v>
      </c>
      <c r="ED138" s="403">
        <f t="shared" si="55"/>
        <v>0</v>
      </c>
    </row>
    <row r="139" spans="1:134">
      <c r="A139" s="123">
        <v>12026</v>
      </c>
      <c r="B139" s="124" t="s">
        <v>139</v>
      </c>
      <c r="C139" s="232">
        <f>VLOOKUP(A139, TOCA_current!$A$3:$D$137, 4, FALSE)</f>
        <v>0</v>
      </c>
      <c r="D139" s="191">
        <v>0</v>
      </c>
      <c r="E139" s="107">
        <f>VLOOKUP($A139,TOCA_previous!$A$2:$AI$137,MATCH(E$4,TOCA_previous!$A$2:$AI$2,0),FALSE)</f>
        <v>6.3968000000000002E-3</v>
      </c>
      <c r="F139" s="108">
        <f>VLOOKUP($A139,TOCA_previous!$A$2:$AI$137,MATCH(F$4,TOCA_previous!$A$2:$AI$2,0),FALSE)</f>
        <v>6.3968000000000002E-3</v>
      </c>
      <c r="G139" s="108">
        <f t="shared" si="43"/>
        <v>0</v>
      </c>
      <c r="H139" s="108">
        <f>VLOOKUP($A139,TOCA_previous!$A$2:$AI$137,MATCH(H$4,TOCA_previous!$A$2:$AI$2,0),FALSE)</f>
        <v>0</v>
      </c>
      <c r="I139" s="108">
        <f t="shared" si="44"/>
        <v>0</v>
      </c>
      <c r="J139" s="108">
        <f t="shared" si="45"/>
        <v>0</v>
      </c>
      <c r="K139" s="179">
        <f>VLOOKUP(A139, IRD!$A$5:$C$139, 3, FALSE)</f>
        <v>0</v>
      </c>
      <c r="L139" s="180">
        <f t="array" ref="L139">IF($G139=0, INDEX(LS_previous!$D$4:$AY$138, MATCH('Staging Table'!$A139, LS_previous!$B$4:$B$138, 0), MATCH(L$4&amp;L$5, LS_previous!$D$2:$AY$2&amp;LS_previous!$D$3:$AY$3, 0)),SUM(VLOOKUP($A139, LS_previous!$B$4:$AY$138, LS_previous!D$149, FALSE), VLOOKUP('Staging Table'!$A139, LS_previous!$B$4:$AY$138,LS_previous!AB$149, FALSE))/2)</f>
        <v>-433.25816418068644</v>
      </c>
      <c r="M139" s="180">
        <f t="array" ref="M139">IF($G139=0, INDEX(LS_previous!$D$4:$AY$138, MATCH('Staging Table'!$A139, LS_previous!$B$4:$B$138, 0), MATCH(M$4&amp;M$5, LS_previous!$D$2:$AY$2&amp;LS_previous!$D$3:$AY$3, 0)),SUM(VLOOKUP($A139, LS_previous!$B$4:$AY$138, LS_previous!E$149, FALSE), VLOOKUP('Staging Table'!$A139, LS_previous!$B$4:$AY$138,LS_previous!AC$149, FALSE))/2)</f>
        <v>1168.6234294439273</v>
      </c>
      <c r="N139" s="180">
        <f t="array" ref="N139">IF($G139=0, INDEX(LS_previous!$D$4:$AY$138, MATCH('Staging Table'!$A139, LS_previous!$B$4:$B$138, 0), MATCH(N$4&amp;N$5, LS_previous!$D$2:$AY$2&amp;LS_previous!$D$3:$AY$3, 0)),SUM(VLOOKUP($A139, LS_previous!$B$4:$AY$138, LS_previous!F$149, FALSE), VLOOKUP('Staging Table'!$A139, LS_previous!$B$4:$AY$138,LS_previous!AD$149, FALSE))/2)</f>
        <v>-1411.2506670094263</v>
      </c>
      <c r="O139" s="180">
        <f t="array" ref="O139">IF($G139=0, INDEX(LS_previous!$D$4:$AY$138, MATCH('Staging Table'!$A139, LS_previous!$B$4:$B$138, 0), MATCH(O$4&amp;O$5, LS_previous!$D$2:$AY$2&amp;LS_previous!$D$3:$AY$3, 0)),SUM(VLOOKUP($A139, LS_previous!$B$4:$AY$138, LS_previous!G$149, FALSE), VLOOKUP('Staging Table'!$A139, LS_previous!$B$4:$AY$138,LS_previous!AE$149, FALSE))/2)</f>
        <v>-275.79792135225216</v>
      </c>
      <c r="P139" s="180">
        <f t="array" ref="P139">IF($G139=0, INDEX(LS_previous!$D$4:$AY$138, MATCH('Staging Table'!$A139, LS_previous!$B$4:$B$138, 0), MATCH(P$4&amp;P$5, LS_previous!$D$2:$AY$2&amp;LS_previous!$D$3:$AY$3, 0)),SUM(VLOOKUP($A139, LS_previous!$B$4:$AY$138, LS_previous!H$149, FALSE), VLOOKUP('Staging Table'!$A139, LS_previous!$B$4:$AY$138,LS_previous!AF$149, FALSE))/2)</f>
        <v>4676.3938844117729</v>
      </c>
      <c r="Q139" s="180">
        <f t="array" ref="Q139">IF($G139=0, INDEX(LS_previous!$D$4:$AY$138, MATCH('Staging Table'!$A139, LS_previous!$B$4:$B$138, 0), MATCH(Q$4&amp;Q$5, LS_previous!$D$2:$AY$2&amp;LS_previous!$D$3:$AY$3, 0)),SUM(VLOOKUP($A139, LS_previous!$B$4:$AY$138, LS_previous!I$149, FALSE), VLOOKUP('Staging Table'!$A139, LS_previous!$B$4:$AY$138,LS_previous!AG$149, FALSE))/2)</f>
        <v>2265.5094346273418</v>
      </c>
      <c r="R139" s="180">
        <f t="array" ref="R139">IF($G139=0, INDEX(LS_previous!$D$4:$AY$138, MATCH('Staging Table'!$A139, LS_previous!$B$4:$B$138, 0), MATCH(R$4&amp;R$5, LS_previous!$D$2:$AY$2&amp;LS_previous!$D$3:$AY$3, 0)),SUM(VLOOKUP($A139, LS_previous!$B$4:$AY$138, LS_previous!J$149, FALSE), VLOOKUP('Staging Table'!$A139, LS_previous!$B$4:$AY$138,LS_previous!AH$149, FALSE))/2)</f>
        <v>10189.050813824648</v>
      </c>
      <c r="S139" s="180">
        <f t="array" ref="S139">IF($G139=0, INDEX(LS_previous!$D$4:$AY$138, MATCH('Staging Table'!$A139, LS_previous!$B$4:$B$138, 0), MATCH(S$4&amp;S$5, LS_previous!$D$2:$AY$2&amp;LS_previous!$D$3:$AY$3, 0)),SUM(VLOOKUP($A139, LS_previous!$B$4:$AY$138, LS_previous!K$149, FALSE), VLOOKUP('Staging Table'!$A139, LS_previous!$B$4:$AY$138,LS_previous!AI$149, FALSE))/2)</f>
        <v>4964.1884854601722</v>
      </c>
      <c r="T139" s="180">
        <f t="array" ref="T139">IF($G139=0, INDEX(LS_previous!$D$4:$AY$138, MATCH('Staging Table'!$A139, LS_previous!$B$4:$B$138, 0), MATCH(T$4&amp;T$5, LS_previous!$D$2:$AY$2&amp;LS_previous!$D$3:$AY$3, 0)),SUM(VLOOKUP($A139, LS_previous!$B$4:$AY$138, LS_previous!L$149, FALSE), VLOOKUP('Staging Table'!$A139, LS_previous!$B$4:$AY$138,LS_previous!AJ$149, FALSE))/2)</f>
        <v>9230.3316297461242</v>
      </c>
      <c r="U139" s="180">
        <f t="array" ref="U139">IF($G139=0, INDEX(LS_previous!$D$4:$AY$138, MATCH('Staging Table'!$A139, LS_previous!$B$4:$B$138, 0), MATCH(U$4&amp;U$5, LS_previous!$D$2:$AY$2&amp;LS_previous!$D$3:$AY$3, 0)),SUM(VLOOKUP($A139, LS_previous!$B$4:$AY$138, LS_previous!M$149, FALSE), VLOOKUP('Staging Table'!$A139, LS_previous!$B$4:$AY$138,LS_previous!AK$149, FALSE))/2)</f>
        <v>4286.0435606871324</v>
      </c>
      <c r="V139" s="180">
        <f t="array" ref="V139">IF($G139=0, INDEX(LS_previous!$D$4:$AY$138, MATCH('Staging Table'!$A139, LS_previous!$B$4:$B$138, 0), MATCH(V$4&amp;V$5, LS_previous!$D$2:$AY$2&amp;LS_previous!$D$3:$AY$3, 0)),SUM(VLOOKUP($A139, LS_previous!$B$4:$AY$138, LS_previous!N$149, FALSE), VLOOKUP('Staging Table'!$A139, LS_previous!$B$4:$AY$138,LS_previous!AL$149, FALSE))/2)</f>
        <v>3580.539677210596</v>
      </c>
      <c r="W139" s="180">
        <f t="array" ref="W139">IF($G139=0, INDEX(LS_previous!$D$4:$AY$138, MATCH('Staging Table'!$A139, LS_previous!$B$4:$B$138, 0), MATCH(W$4&amp;W$5, LS_previous!$D$2:$AY$2&amp;LS_previous!$D$3:$AY$3, 0)),SUM(VLOOKUP($A139, LS_previous!$B$4:$AY$138, LS_previous!O$149, FALSE), VLOOKUP('Staging Table'!$A139, LS_previous!$B$4:$AY$138,LS_previous!AM$149, FALSE))/2)</f>
        <v>3194.1343199648127</v>
      </c>
      <c r="X139" s="180">
        <f t="array" ref="X139">IF($G139=0, INDEX(LS_previous!$D$4:$AY$138, MATCH('Staging Table'!$A139, LS_previous!$B$4:$B$138, 0), MATCH(X$4&amp;X$5, LS_previous!$D$2:$AY$2&amp;LS_previous!$D$3:$AY$3, 0)),SUM(VLOOKUP($A139, LS_previous!$B$4:$AY$138, LS_previous!P$149, FALSE), VLOOKUP('Staging Table'!$A139, LS_previous!$B$4:$AY$138,LS_previous!AN$149, FALSE))/2)</f>
        <v>4583.4331555504377</v>
      </c>
      <c r="Y139" s="180">
        <f t="array" ref="Y139">IF($G139=0, INDEX(LS_previous!$D$4:$AY$138, MATCH('Staging Table'!$A139, LS_previous!$B$4:$B$138, 0), MATCH(Y$4&amp;Y$5, LS_previous!$D$2:$AY$2&amp;LS_previous!$D$3:$AY$3, 0)),SUM(VLOOKUP($A139, LS_previous!$B$4:$AY$138, LS_previous!Q$149, FALSE), VLOOKUP('Staging Table'!$A139, LS_previous!$B$4:$AY$138,LS_previous!AO$149, FALSE))/2)</f>
        <v>2798.950177440709</v>
      </c>
      <c r="Z139" s="180">
        <f t="array" ref="Z139">IF($G139=0, INDEX(LS_previous!$D$4:$AY$138, MATCH('Staging Table'!$A139, LS_previous!$B$4:$B$138, 0), MATCH(Z$4&amp;Z$5, LS_previous!$D$2:$AY$2&amp;LS_previous!$D$3:$AY$3, 0)),SUM(VLOOKUP($A139, LS_previous!$B$4:$AY$138, LS_previous!R$149, FALSE), VLOOKUP('Staging Table'!$A139, LS_previous!$B$4:$AY$138,LS_previous!AP$149, FALSE))/2)</f>
        <v>-6632.755643471588</v>
      </c>
      <c r="AA139" s="180">
        <f t="array" ref="AA139">IF($G139=0, INDEX(LS_previous!$D$4:$AY$138, MATCH('Staging Table'!$A139, LS_previous!$B$4:$B$138, 0), MATCH(AA$4&amp;AA$5, LS_previous!$D$2:$AY$2&amp;LS_previous!$D$3:$AY$3, 0)),SUM(VLOOKUP($A139, LS_previous!$B$4:$AY$138, LS_previous!S$149, FALSE), VLOOKUP('Staging Table'!$A139, LS_previous!$B$4:$AY$138,LS_previous!AQ$149, FALSE))/2)</f>
        <v>-744.37205889419056</v>
      </c>
      <c r="AB139" s="180">
        <f t="array" ref="AB139">IF($G139=0, INDEX(LS_previous!$D$4:$AY$138, MATCH('Staging Table'!$A139, LS_previous!$B$4:$B$138, 0), MATCH(AB$4&amp;AB$5, LS_previous!$D$2:$AY$2&amp;LS_previous!$D$3:$AY$3, 0)),SUM(VLOOKUP($A139, LS_previous!$B$4:$AY$138, LS_previous!T$149, FALSE), VLOOKUP('Staging Table'!$A139, LS_previous!$B$4:$AY$138,LS_previous!AR$149, FALSE))/2)</f>
        <v>-10916.355257373056</v>
      </c>
      <c r="AC139" s="180">
        <f t="array" ref="AC139">IF($G139=0, INDEX(LS_previous!$D$4:$AY$138, MATCH('Staging Table'!$A139, LS_previous!$B$4:$B$138, 0), MATCH(AC$4&amp;AC$5, LS_previous!$D$2:$AY$2&amp;LS_previous!$D$3:$AY$3, 0)),SUM(VLOOKUP($A139, LS_previous!$B$4:$AY$138, LS_previous!U$149, FALSE), VLOOKUP('Staging Table'!$A139, LS_previous!$B$4:$AY$138,LS_previous!AS$149, FALSE))/2)</f>
        <v>-1091.0554701789042</v>
      </c>
      <c r="AD139" s="180">
        <f t="array" ref="AD139">IF($G139=0, INDEX(LS_previous!$D$4:$AY$138, MATCH('Staging Table'!$A139, LS_previous!$B$4:$B$138, 0), MATCH(AD$4&amp;AD$5, LS_previous!$D$2:$AY$2&amp;LS_previous!$D$3:$AY$3, 0)),SUM(VLOOKUP($A139, LS_previous!$B$4:$AY$138, LS_previous!V$149, FALSE), VLOOKUP('Staging Table'!$A139, LS_previous!$B$4:$AY$138,LS_previous!AT$149, FALSE))/2)</f>
        <v>-7918.0054987357362</v>
      </c>
      <c r="AE139" s="180">
        <f t="array" ref="AE139">IF($G139=0, INDEX(LS_previous!$D$4:$AY$138, MATCH('Staging Table'!$A139, LS_previous!$B$4:$B$138, 0), MATCH(AE$4&amp;AE$5, LS_previous!$D$2:$AY$2&amp;LS_previous!$D$3:$AY$3, 0)),SUM(VLOOKUP($A139, LS_previous!$B$4:$AY$138, LS_previous!W$149, FALSE), VLOOKUP('Staging Table'!$A139, LS_previous!$B$4:$AY$138,LS_previous!AU$149, FALSE))/2)</f>
        <v>-2678.0513185935524</v>
      </c>
      <c r="AF139" s="180">
        <f t="array" ref="AF139">IF($G139=0, INDEX(LS_previous!$D$4:$AY$138, MATCH('Staging Table'!$A139, LS_previous!$B$4:$B$138, 0), MATCH(AF$4&amp;AF$5, LS_previous!$D$2:$AY$2&amp;LS_previous!$D$3:$AY$3, 0)),SUM(VLOOKUP($A139, LS_previous!$B$4:$AY$138, LS_previous!X$149, FALSE), VLOOKUP('Staging Table'!$A139, LS_previous!$B$4:$AY$138,LS_previous!AV$149, FALSE))/2)</f>
        <v>-6947.0277543529755</v>
      </c>
      <c r="AG139" s="180">
        <f t="array" ref="AG139">IF($G139=0, INDEX(LS_previous!$D$4:$AY$138, MATCH('Staging Table'!$A139, LS_previous!$B$4:$B$138, 0), MATCH(AG$4&amp;AG$5, LS_previous!$D$2:$AY$2&amp;LS_previous!$D$3:$AY$3, 0)),SUM(VLOOKUP($A139, LS_previous!$B$4:$AY$138, LS_previous!Y$149, FALSE), VLOOKUP('Staging Table'!$A139, LS_previous!$B$4:$AY$138,LS_previous!AW$149, FALSE))/2)</f>
        <v>-2497.8871293249395</v>
      </c>
      <c r="AH139" s="180">
        <f t="array" ref="AH139">IF($G139=0, INDEX(LS_previous!$D$4:$AY$138, MATCH('Staging Table'!$A139, LS_previous!$B$4:$B$138, 0), MATCH(AH$4&amp;AH$5, LS_previous!$D$2:$AY$2&amp;LS_previous!$D$3:$AY$3, 0)),SUM(VLOOKUP($A139, LS_previous!$B$4:$AY$138, LS_previous!Z$149, FALSE), VLOOKUP('Staging Table'!$A139, LS_previous!$B$4:$AY$138,LS_previous!AX$149, FALSE))/2)</f>
        <v>-5132.1269682151051</v>
      </c>
      <c r="AI139" s="180">
        <f t="array" ref="AI139">IF($G139=0, INDEX(LS_previous!$D$4:$AY$138, MATCH('Staging Table'!$A139, LS_previous!$B$4:$B$138, 0), MATCH(AI$4&amp;AI$5, LS_previous!$D$2:$AY$2&amp;LS_previous!$D$3:$AY$3, 0)),SUM(VLOOKUP($A139, LS_previous!$B$4:$AY$138, LS_previous!AA$149, FALSE), VLOOKUP('Staging Table'!$A139, LS_previous!$B$4:$AY$138,LS_previous!AY$149, FALSE))/2)</f>
        <v>-1196.0207675449292</v>
      </c>
      <c r="AJ139" s="298">
        <f t="array" ref="AJ139">INDEX(Demand_previous!$D$4:$AY$138, MATCH('Staging Table'!$A139, Demand_previous!$B$4:$B$138, 0), MATCH(AJ$4&amp;AJ$5,Demand_previous!$D$2:$AY$2&amp;Demand_previous!$D$3:$AY$3, 0))/1000</f>
        <v>0</v>
      </c>
      <c r="AK139" s="298">
        <f t="array" ref="AK139">INDEX(Demand_previous!$D$4:$AY$138, MATCH('Staging Table'!$A139, Demand_previous!$B$4:$B$138, 0), MATCH(AK$4&amp;AK$5,Demand_previous!$D$2:$AY$2&amp;Demand_previous!$D$3:$AY$3, 0))/1000</f>
        <v>6.9563074999999941</v>
      </c>
      <c r="AL139" s="298">
        <f t="array" ref="AL139">INDEX(Demand_previous!$D$4:$AY$138, MATCH('Staging Table'!$A139, Demand_previous!$B$4:$B$138, 0), MATCH(AL$4&amp;AL$5,Demand_previous!$D$2:$AY$2&amp;Demand_previous!$D$3:$AY$3, 0))/1000</f>
        <v>11.405425480769221</v>
      </c>
      <c r="AM139" s="298">
        <f t="array" ref="AM139">INDEX(Demand_previous!$D$4:$AY$138, MATCH('Staging Table'!$A139, Demand_previous!$B$4:$B$138, 0), MATCH(AM$4&amp;AM$5,Demand_previous!$D$2:$AY$2&amp;Demand_previous!$D$3:$AY$3, 0))/1000</f>
        <v>11.838309999999993</v>
      </c>
      <c r="AN139" s="298">
        <f t="array" ref="AN139">INDEX(Demand_previous!$D$4:$AY$138, MATCH('Staging Table'!$A139, Demand_previous!$B$4:$B$138, 0), MATCH(AN$4&amp;AN$5,Demand_previous!$D$2:$AY$2&amp;Demand_previous!$D$3:$AY$3, 0))/1000</f>
        <v>5.3847317708333442</v>
      </c>
      <c r="AO139" s="298">
        <f t="array" ref="AO139">INDEX(Demand_previous!$D$4:$AY$138, MATCH('Staging Table'!$A139, Demand_previous!$B$4:$B$138, 0), MATCH(AO$4&amp;AO$5,Demand_previous!$D$2:$AY$2&amp;Demand_previous!$D$3:$AY$3, 0))/1000</f>
        <v>7.6105532407407424</v>
      </c>
      <c r="AP139" s="298">
        <f t="array" ref="AP139">INDEX(Demand_previous!$D$4:$AY$138, MATCH('Staging Table'!$A139, Demand_previous!$B$4:$B$138, 0), MATCH(AP$4&amp;AP$5,Demand_previous!$D$2:$AY$2&amp;Demand_previous!$D$3:$AY$3, 0))/1000</f>
        <v>5.3657475961538452</v>
      </c>
      <c r="AQ139" s="298">
        <f t="array" ref="AQ139">INDEX(Demand_previous!$D$4:$AY$138, MATCH('Staging Table'!$A139, Demand_previous!$B$4:$B$138, 0), MATCH(AQ$4&amp;AQ$5,Demand_previous!$D$2:$AY$2&amp;Demand_previous!$D$3:$AY$3, 0))/1000</f>
        <v>1.8465000000000058</v>
      </c>
      <c r="AR139" s="298">
        <f t="array" ref="AR139">INDEX(Demand_previous!$D$4:$AY$138, MATCH('Staging Table'!$A139, Demand_previous!$B$4:$B$138, 0), MATCH(AR$4&amp;AR$5,Demand_previous!$D$2:$AY$2&amp;Demand_previous!$D$3:$AY$3, 0))/1000</f>
        <v>5.2172932692307663</v>
      </c>
      <c r="AS139" s="298">
        <f t="array" ref="AS139">INDEX(Demand_previous!$D$4:$AY$138, MATCH('Staging Table'!$A139, Demand_previous!$B$4:$B$138, 0), MATCH(AS$4&amp;AS$5,Demand_previous!$D$2:$AY$2&amp;Demand_previous!$D$3:$AY$3, 0))/1000</f>
        <v>1.1766275000000026</v>
      </c>
      <c r="AT139" s="298">
        <f t="array" ref="AT139">INDEX(Demand_previous!$D$4:$AY$138, MATCH('Staging Table'!$A139, Demand_previous!$B$4:$B$138, 0), MATCH(AT$4&amp;AT$5,Demand_previous!$D$2:$AY$2&amp;Demand_previous!$D$3:$AY$3, 0))/1000</f>
        <v>3.2668750000000051</v>
      </c>
      <c r="AU139" s="298">
        <f t="array" ref="AU139">INDEX(Demand_previous!$D$4:$AY$138, MATCH('Staging Table'!$A139, Demand_previous!$B$4:$B$138, 0), MATCH(AU$4&amp;AU$5,Demand_previous!$D$2:$AY$2&amp;Demand_previous!$D$3:$AY$3, 0))/1000</f>
        <v>6.7943550000000013</v>
      </c>
      <c r="AV139" s="180">
        <f>$F139*(VLOOKUP(AV$4, Rates_previous!$G$6:$Q$29, 10, FALSE)+VLOOKUP(AV$4, Rates_previous!$G$6:$Q$29, 11, FALSE))</f>
        <v>29130.543734736759</v>
      </c>
      <c r="AW139" s="180">
        <f>$F139*(VLOOKUP(AW$4, Rates_previous!$G$6:$Q$29, 10, FALSE)+VLOOKUP(AW$4, Rates_previous!$G$6:$Q$29, 11, FALSE))</f>
        <v>36880.32558836168</v>
      </c>
      <c r="AX139" s="180">
        <f>$F139*(VLOOKUP(AX$4, Rates_previous!$G$6:$Q$29, 10, FALSE)+VLOOKUP(AX$4, Rates_previous!$G$6:$Q$29, 11, FALSE))</f>
        <v>36098.470680960891</v>
      </c>
      <c r="AY139" s="180">
        <f>$F139*(VLOOKUP(AY$4, Rates_previous!$G$6:$Q$29, 10, FALSE)+VLOOKUP(AY$4, Rates_previous!$G$6:$Q$29, 11, FALSE))</f>
        <v>29815.801700715179</v>
      </c>
      <c r="AZ139" s="180">
        <f>$F139*(VLOOKUP(AZ$4, Rates_previous!$G$6:$Q$29, 10, FALSE)+VLOOKUP(AZ$4, Rates_previous!$G$6:$Q$29, 11, FALSE))</f>
        <v>25842.008809566745</v>
      </c>
      <c r="BA139" s="180">
        <f>$F139*(VLOOKUP(BA$4, Rates_previous!$G$6:$Q$29, 10, FALSE)+VLOOKUP(BA$4, Rates_previous!$G$6:$Q$29, 11, FALSE))</f>
        <v>30850.140002824592</v>
      </c>
      <c r="BB139" s="180">
        <f>$F139*(VLOOKUP(BB$4, Rates_previous!$G$6:$Q$29, 10, FALSE)+VLOOKUP(BB$4, Rates_previous!$G$6:$Q$29, 11, FALSE))</f>
        <v>23951.026667008853</v>
      </c>
      <c r="BC139" s="180">
        <f>$F139*(VLOOKUP(BC$4, Rates_previous!$G$6:$Q$29, 10, FALSE)+VLOOKUP(BC$4, Rates_previous!$G$6:$Q$29, 11, FALSE))</f>
        <v>33184.323702365778</v>
      </c>
      <c r="BD139" s="180">
        <f>$F139*(VLOOKUP(BD$4, Rates_previous!$G$6:$Q$29, 10, FALSE)+VLOOKUP(BD$4, Rates_previous!$G$6:$Q$29, 11, FALSE))</f>
        <v>35458.14472755196</v>
      </c>
      <c r="BE139" s="180">
        <f>$F139*(VLOOKUP(BE$4, Rates_previous!$G$6:$Q$29, 10, FALSE)+VLOOKUP(BE$4, Rates_previous!$G$6:$Q$29, 11, FALSE))</f>
        <v>33665.90281732929</v>
      </c>
      <c r="BF139" s="180">
        <f>$F139*(VLOOKUP(BF$4, Rates_previous!$G$6:$Q$29, 10, FALSE)+VLOOKUP(BF$4, Rates_previous!$G$6:$Q$29, 11, FALSE))</f>
        <v>32535.497883677916</v>
      </c>
      <c r="BG139" s="180">
        <f>$F139*(VLOOKUP(BG$4, Rates_previous!$G$6:$Q$29, 10, FALSE)+VLOOKUP(BG$4, Rates_previous!$G$6:$Q$29, 11, FALSE))</f>
        <v>30066.191735760032</v>
      </c>
      <c r="BH139" s="298">
        <f>IF($D139=0,IF(C139=0, MAX(BJ139 - (VLOOKUP($A139,TOCA_previous!$A$2:$AI$137,MATCH("RHWM 2022",TOCA_previous!$A$2:$AI$2,0),FALSE)*$F$2*TOCA_previous!C136),0),0), 0)</f>
        <v>3064.4713096523774</v>
      </c>
      <c r="BI139" s="192">
        <f>MIN(VLOOKUP($A139,TOCA_previous!$A$2:$AI$137,MATCH("TRL - NLSL - Existing Resource "&amp;$F$1,TOCA_previous!$A$2:$AI$2,0),FALSE)*$F$2,(VLOOKUP($A139,TOCA_previous!$A$2:$AI$137,MATCH("RHWM 2022",TOCA_previous!$A$2:$AI$2,0),FALSE)*$F$2))</f>
        <v>377477.16000000003</v>
      </c>
      <c r="BJ139" s="402">
        <f>SUM(L139:AI139)+(F139*RT1SC!$C$3*$F$2)</f>
        <v>380541.63130965241</v>
      </c>
      <c r="BK139" s="401">
        <f>VLOOKUP($A139,TOCA_previous!$A$2:$AI$137,MATCH("Above RHWM Not Served with LS "&amp;$F$1,TOCA_previous!$A$2:$AI$2,0),FALSE)*$F$2</f>
        <v>21549.599999999999</v>
      </c>
      <c r="BL139" s="402">
        <f t="shared" si="46"/>
        <v>3064.4713096523774</v>
      </c>
      <c r="BM139" s="401">
        <f>(VLOOKUP($A139,TOCA_previous!$A$2:$AI$137,MATCH("RHWM 2022",TOCA_previous!$A$2:$AI$2,0),FALSE)*$F$2) - $BI139</f>
        <v>0</v>
      </c>
      <c r="BN139" s="402">
        <f t="shared" si="47"/>
        <v>0</v>
      </c>
      <c r="BO139" s="401">
        <f t="shared" si="48"/>
        <v>0</v>
      </c>
      <c r="BP139" s="402">
        <f t="shared" si="49"/>
        <v>0</v>
      </c>
      <c r="BQ139" s="401">
        <f t="shared" si="40"/>
        <v>0</v>
      </c>
      <c r="BR139" s="108">
        <f>VLOOKUP($A139,TOCA_current!$A$2:$AI$137,MATCH(BR$4,TOCA_current!$A$2:$AI$2,0),FALSE)</f>
        <v>6.3953999999999999E-3</v>
      </c>
      <c r="BS139" s="108">
        <f>VLOOKUP($A139,TOCA_current!$A$2:$AI$137,MATCH(BS$4,TOCA_current!$A$2:$AI$2,0),FALSE)</f>
        <v>6.3953999999999999E-3</v>
      </c>
      <c r="BT139" s="189">
        <f t="shared" si="50"/>
        <v>0</v>
      </c>
      <c r="BU139" s="108">
        <f>VLOOKUP($A139,TOCA_current!A135:BG270,MATCH(BU$4,TOCA_current!$A$2:$BG$2,0),FALSE)</f>
        <v>0</v>
      </c>
      <c r="BV139" s="108">
        <f t="shared" si="41"/>
        <v>0</v>
      </c>
      <c r="BW139" s="108">
        <f t="shared" si="42"/>
        <v>0</v>
      </c>
      <c r="BX139" s="179">
        <f>VLOOKUP($A139,IRD!$A$4:$G$139, 7, FALSE)</f>
        <v>0</v>
      </c>
      <c r="BY139" s="180">
        <f t="array" ref="BY139">IF($BT139=0, INDEX(LS_current!$D$4:$AY$138, MATCH('Staging Table'!$A139, LS_current!$B$4:$B$138, 0), MATCH(BY$4&amp;BY$5, LS_current!$D$2:$AY$2&amp;LS_current!$D$3:$AY$3, 0)),SUM(VLOOKUP($A139, LS_current!$B$4:$AY$138, LS_current!D$148, FALSE), VLOOKUP($A139, LS_current!$B$4:$AY$138,LS_current!AB$148, FALSE))/2)</f>
        <v>2949.9124121655968</v>
      </c>
      <c r="BZ139" s="180">
        <f t="array" ref="BZ139">IF($BT139=0, INDEX(LS_current!$D$4:$AY$138, MATCH('Staging Table'!$A139, LS_current!$B$4:$B$138, 0), MATCH(BZ$4&amp;BZ$5, LS_current!$D$2:$AY$2&amp;LS_current!$D$3:$AY$3, 0)),SUM(VLOOKUP($A139, LS_current!$B$4:$AY$138, LS_current!E$148, FALSE), VLOOKUP($A139, LS_current!$B$4:$AY$138,LS_current!AC$148, FALSE))/2)</f>
        <v>1765.2990115372995</v>
      </c>
      <c r="CA139" s="180">
        <f t="array" ref="CA139">IF($BT139=0, INDEX(LS_current!$D$4:$AY$138, MATCH('Staging Table'!$A139, LS_current!$B$4:$B$138, 0), MATCH(CA$4&amp;CA$5, LS_current!$D$2:$AY$2&amp;LS_current!$D$3:$AY$3, 0)),SUM(VLOOKUP($A139, LS_current!$B$4:$AY$138, LS_current!F$148, FALSE), VLOOKUP($A139, LS_current!$B$4:$AY$138,LS_current!AD$148, FALSE))/2)</f>
        <v>1326.5747425087975</v>
      </c>
      <c r="CB139" s="180">
        <f t="array" ref="CB139">IF($BT139=0, INDEX(LS_current!$D$4:$AY$138, MATCH('Staging Table'!$A139, LS_current!$B$4:$B$138, 0), MATCH(CB$4&amp;CB$5, LS_current!$D$2:$AY$2&amp;LS_current!$D$3:$AY$3, 0)),SUM(VLOOKUP($A139, LS_current!$B$4:$AY$138, LS_current!G$148, FALSE), VLOOKUP($A139, LS_current!$B$4:$AY$138,LS_current!AE$148, FALSE))/2)</f>
        <v>1230.769803302599</v>
      </c>
      <c r="CC139" s="180">
        <f t="array" ref="CC139">IF($BT139=0, INDEX(LS_current!$D$4:$AY$138, MATCH('Staging Table'!$A139, LS_current!$B$4:$B$138, 0), MATCH(CC$4&amp;CC$5, LS_current!$D$2:$AY$2&amp;LS_current!$D$3:$AY$3, 0)),SUM(VLOOKUP($A139, LS_current!$B$4:$AY$138, LS_current!H$148, FALSE), VLOOKUP($A139, LS_current!$B$4:$AY$138,LS_current!AF$148, FALSE))/2)</f>
        <v>3807.3085047994027</v>
      </c>
      <c r="CD139" s="180">
        <f t="array" ref="CD139">IF($BT139=0, INDEX(LS_current!$D$4:$AY$138, MATCH('Staging Table'!$A139, LS_current!$B$4:$B$138, 0), MATCH(CD$4&amp;CD$5, LS_current!$D$2:$AY$2&amp;LS_current!$D$3:$AY$3, 0)),SUM(VLOOKUP($A139, LS_current!$B$4:$AY$138, LS_current!I$148, FALSE), VLOOKUP($A139, LS_current!$B$4:$AY$138,LS_current!AG$148, FALSE))/2)</f>
        <v>3928.5469166015992</v>
      </c>
      <c r="CE139" s="180">
        <f t="array" ref="CE139">IF($BT139=0, INDEX(LS_current!$D$4:$AY$138, MATCH('Staging Table'!$A139, LS_current!$B$4:$B$138, 0), MATCH(CE$4&amp;CE$5, LS_current!$D$2:$AY$2&amp;LS_current!$D$3:$AY$3, 0)),SUM(VLOOKUP($A139, LS_current!$B$4:$AY$138, LS_current!J$148, FALSE), VLOOKUP($A139, LS_current!$B$4:$AY$138,LS_current!AH$148, FALSE))/2)</f>
        <v>4243.4332058889995</v>
      </c>
      <c r="CF139" s="180">
        <f t="array" ref="CF139">IF($BT139=0, INDEX(LS_current!$D$4:$AY$138, MATCH('Staging Table'!$A139, LS_current!$B$4:$B$138, 0), MATCH(CF$4&amp;CF$5, LS_current!$D$2:$AY$2&amp;LS_current!$D$3:$AY$3, 0)),SUM(VLOOKUP($A139, LS_current!$B$4:$AY$138, LS_current!K$148, FALSE), VLOOKUP($A139, LS_current!$B$4:$AY$138,LS_current!AI$148, FALSE))/2)</f>
        <v>3967.0930493333999</v>
      </c>
      <c r="CG139" s="180">
        <f t="array" ref="CG139">IF($BT139=0, INDEX(LS_current!$D$4:$AY$138, MATCH('Staging Table'!$A139, LS_current!$B$4:$B$138, 0), MATCH(CG$4&amp;CG$5, LS_current!$D$2:$AY$2&amp;LS_current!$D$3:$AY$3, 0)),SUM(VLOOKUP($A139, LS_current!$B$4:$AY$138, LS_current!L$148, FALSE), VLOOKUP($A139, LS_current!$B$4:$AY$138,LS_current!AJ$148, FALSE))/2)</f>
        <v>4081.4853554434012</v>
      </c>
      <c r="CH139" s="180">
        <f t="array" ref="CH139">IF($BT139=0, INDEX(LS_current!$D$4:$AY$138, MATCH('Staging Table'!$A139, LS_current!$B$4:$B$138, 0), MATCH(CH$4&amp;CH$5, LS_current!$D$2:$AY$2&amp;LS_current!$D$3:$AY$3, 0)),SUM(VLOOKUP($A139, LS_current!$B$4:$AY$138, LS_current!M$148, FALSE), VLOOKUP($A139, LS_current!$B$4:$AY$138,LS_current!AK$148, FALSE))/2)</f>
        <v>3738.5460114114012</v>
      </c>
      <c r="CI139" s="180">
        <f t="array" ref="CI139">IF($BT139=0, INDEX(LS_current!$D$4:$AY$138, MATCH('Staging Table'!$A139, LS_current!$B$4:$B$138, 0), MATCH(CI$4&amp;CI$5, LS_current!$D$2:$AY$2&amp;LS_current!$D$3:$AY$3, 0)),SUM(VLOOKUP($A139, LS_current!$B$4:$AY$138, LS_current!N$148, FALSE), VLOOKUP($A139, LS_current!$B$4:$AY$138,LS_current!AL$148, FALSE))/2)</f>
        <v>1525.9403047197993</v>
      </c>
      <c r="CJ139" s="180">
        <f t="array" ref="CJ139">IF($BT139=0, INDEX(LS_current!$D$4:$AY$138, MATCH('Staging Table'!$A139, LS_current!$B$4:$B$138, 0), MATCH(CJ$4&amp;CJ$5, LS_current!$D$2:$AY$2&amp;LS_current!$D$3:$AY$3, 0)),SUM(VLOOKUP($A139, LS_current!$B$4:$AY$138, LS_current!O$148, FALSE), VLOOKUP($A139, LS_current!$B$4:$AY$138,LS_current!AM$148, FALSE))/2)</f>
        <v>1688.1371609788002</v>
      </c>
      <c r="CK139" s="180">
        <f t="array" ref="CK139">IF($BT139=0, INDEX(LS_current!$D$4:$AY$138, MATCH('Staging Table'!$A139, LS_current!$B$4:$B$138, 0), MATCH(CK$4&amp;CK$5, LS_current!$D$2:$AY$2&amp;LS_current!$D$3:$AY$3, 0)),SUM(VLOOKUP($A139, LS_current!$B$4:$AY$138, LS_current!P$148, FALSE), VLOOKUP($A139, LS_current!$B$4:$AY$138,LS_current!AN$148, FALSE))/2)</f>
        <v>2955.3302997765022</v>
      </c>
      <c r="CL139" s="180">
        <f t="array" ref="CL139">IF($BT139=0, INDEX(LS_current!$D$4:$AY$138, MATCH('Staging Table'!$A139, LS_current!$B$4:$B$138, 0), MATCH(CL$4&amp;CL$5, LS_current!$D$2:$AY$2&amp;LS_current!$D$3:$AY$3, 0)),SUM(VLOOKUP($A139, LS_current!$B$4:$AY$138, LS_current!Q$148, FALSE), VLOOKUP($A139, LS_current!$B$4:$AY$138,LS_current!AO$148, FALSE))/2)</f>
        <v>1545.0778267240512</v>
      </c>
      <c r="CM139" s="180">
        <f t="array" ref="CM139">IF($BT139=0, INDEX(LS_current!$D$4:$AY$138, MATCH('Staging Table'!$A139, LS_current!$B$4:$B$138, 0), MATCH(CM$4&amp;CM$5, LS_current!$D$2:$AY$2&amp;LS_current!$D$3:$AY$3, 0)),SUM(VLOOKUP($A139, LS_current!$B$4:$AY$138, LS_current!R$148, FALSE), VLOOKUP($A139, LS_current!$B$4:$AY$138,LS_current!AP$148, FALSE))/2)</f>
        <v>-4851.5174696992035</v>
      </c>
      <c r="CN139" s="180">
        <f t="array" ref="CN139">IF($BT139=0, INDEX(LS_current!$D$4:$AY$138, MATCH('Staging Table'!$A139, LS_current!$B$4:$B$138, 0), MATCH(CN$4&amp;CN$5, LS_current!$D$2:$AY$2&amp;LS_current!$D$3:$AY$3, 0)),SUM(VLOOKUP($A139, LS_current!$B$4:$AY$138, LS_current!S$148, FALSE), VLOOKUP($A139, LS_current!$B$4:$AY$138,LS_current!AQ$148, FALSE))/2)</f>
        <v>-2998.3920962708999</v>
      </c>
      <c r="CO139" s="180">
        <f t="array" ref="CO139">IF($BT139=0, INDEX(LS_current!$D$4:$AY$138, MATCH('Staging Table'!$A139, LS_current!$B$4:$B$138, 0), MATCH(CO$4&amp;CO$5, LS_current!$D$2:$AY$2&amp;LS_current!$D$3:$AY$3, 0)),SUM(VLOOKUP($A139, LS_current!$B$4:$AY$138, LS_current!T$148, FALSE), VLOOKUP($A139, LS_current!$B$4:$AY$138,LS_current!AR$148, FALSE))/2)</f>
        <v>-7374.5486899403986</v>
      </c>
      <c r="CP139" s="180">
        <f t="array" ref="CP139">IF($BT139=0, INDEX(LS_current!$D$4:$AY$138, MATCH('Staging Table'!$A139, LS_current!$B$4:$B$138, 0), MATCH(CP$4&amp;CP$5, LS_current!$D$2:$AY$2&amp;LS_current!$D$3:$AY$3, 0)),SUM(VLOOKUP($A139, LS_current!$B$4:$AY$138, LS_current!U$148, FALSE), VLOOKUP($A139, LS_current!$B$4:$AY$138,LS_current!AS$148, FALSE))/2)</f>
        <v>-3660.8496835492988</v>
      </c>
      <c r="CQ139" s="180">
        <f t="array" ref="CQ139">IF($BT139=0, INDEX(LS_current!$D$4:$AY$138, MATCH('Staging Table'!$A139, LS_current!$B$4:$B$138, 0), MATCH(CQ$4&amp;CQ$5, LS_current!$D$2:$AY$2&amp;LS_current!$D$3:$AY$3, 0)),SUM(VLOOKUP($A139, LS_current!$B$4:$AY$138, LS_current!V$148, FALSE), VLOOKUP($A139, LS_current!$B$4:$AY$138,LS_current!AT$148, FALSE))/2)</f>
        <v>-4125.9459434855999</v>
      </c>
      <c r="CR139" s="180">
        <f t="array" ref="CR139">IF($BT139=0, INDEX(LS_current!$D$4:$AY$138, MATCH('Staging Table'!$A139, LS_current!$B$4:$B$138, 0), MATCH(CR$4&amp;CR$5, LS_current!$D$2:$AY$2&amp;LS_current!$D$3:$AY$3, 0)),SUM(VLOOKUP($A139, LS_current!$B$4:$AY$138, LS_current!W$148, FALSE), VLOOKUP($A139, LS_current!$B$4:$AY$138,LS_current!AU$148, FALSE))/2)</f>
        <v>-2450.5560919134987</v>
      </c>
      <c r="CS139" s="180">
        <f t="array" ref="CS139">IF($BT139=0, INDEX(LS_current!$D$4:$AY$138, MATCH('Staging Table'!$A139, LS_current!$B$4:$B$138, 0), MATCH(CS$4&amp;CS$5, LS_current!$D$2:$AY$2&amp;LS_current!$D$3:$AY$3, 0)),SUM(VLOOKUP($A139, LS_current!$B$4:$AY$138, LS_current!X$148, FALSE), VLOOKUP($A139, LS_current!$B$4:$AY$138,LS_current!AV$148, FALSE))/2)</f>
        <v>-3276.7829628111031</v>
      </c>
      <c r="CT139" s="180">
        <f t="array" ref="CT139">IF($BT139=0, INDEX(LS_current!$D$4:$AY$138, MATCH('Staging Table'!$A139, LS_current!$B$4:$B$138, 0), MATCH(CT$4&amp;CT$5, LS_current!$D$2:$AY$2&amp;LS_current!$D$3:$AY$3, 0)),SUM(VLOOKUP($A139, LS_current!$B$4:$AY$138, LS_current!Y$148, FALSE), VLOOKUP($A139, LS_current!$B$4:$AY$138,LS_current!AW$148, FALSE))/2)</f>
        <v>-2231.8879158726886</v>
      </c>
      <c r="CU139" s="180">
        <f t="array" ref="CU139">IF($BT139=0, INDEX(LS_current!$D$4:$AY$138, MATCH('Staging Table'!$A139, LS_current!$B$4:$B$138, 0), MATCH(CU$4&amp;CU$5, LS_current!$D$2:$AY$2&amp;LS_current!$D$3:$AY$3, 0)),SUM(VLOOKUP($A139, LS_current!$B$4:$AY$138, LS_current!Z$148, FALSE), VLOOKUP($A139, LS_current!$B$4:$AY$138,LS_current!AX$148, FALSE))/2)</f>
        <v>-1683.3182375396009</v>
      </c>
      <c r="CV139" s="180">
        <f t="array" ref="CV139">IF($BT139=0, INDEX(LS_current!$D$4:$AY$138, MATCH('Staging Table'!$A139, LS_current!$B$4:$B$138, 0), MATCH(CV$4&amp;CV$5, LS_current!$D$2:$AY$2&amp;LS_current!$D$3:$AY$3, 0)),SUM(VLOOKUP($A139, LS_current!$B$4:$AY$138, LS_current!AA$148, FALSE), VLOOKUP($A139, LS_current!$B$4:$AY$138,LS_current!AY$148, FALSE))/2)</f>
        <v>-808.46476772159986</v>
      </c>
      <c r="CW139" s="182">
        <f t="array" ref="CW139">INDEX(Demand_current!$D$4:$AY$138, MATCH($A139, Demand_current!$B$4:$B$138, 0), MATCH(CW$4&amp;CW$5,Demand_current!$D$2:$AY$2&amp;Demand_current!$D$3:$AY$3, 0))/1000</f>
        <v>0</v>
      </c>
      <c r="CX139" s="182">
        <f t="array" ref="CX139">INDEX(Demand_current!$D$4:$AY$138, MATCH($A139, Demand_current!$B$4:$B$138, 0), MATCH(CX$4&amp;CX$5,Demand_current!$D$2:$AY$2&amp;Demand_current!$D$3:$AY$3, 0))/1000</f>
        <v>6.9563074999999941</v>
      </c>
      <c r="CY139" s="182">
        <f t="array" ref="CY139">INDEX(Demand_current!$D$4:$AY$138, MATCH($A139, Demand_current!$B$4:$B$138, 0), MATCH(CY$4&amp;CY$5,Demand_current!$D$2:$AY$2&amp;Demand_current!$D$3:$AY$3, 0))/1000</f>
        <v>8.87444249999999</v>
      </c>
      <c r="CZ139" s="182">
        <f t="array" ref="CZ139">INDEX(Demand_current!$D$4:$AY$138, MATCH($A139, Demand_current!$B$4:$B$138, 0), MATCH(CZ$4&amp;CZ$5,Demand_current!$D$2:$AY$2&amp;Demand_current!$D$3:$AY$3, 0))/1000</f>
        <v>14.5435673076923</v>
      </c>
      <c r="DA139" s="182">
        <f t="array" ref="DA139">INDEX(Demand_current!$D$4:$AY$138, MATCH($A139, Demand_current!$B$4:$B$138, 0), MATCH(DA$4&amp;DA$5,Demand_current!$D$2:$AY$2&amp;Demand_current!$D$3:$AY$3, 0))/1000</f>
        <v>8.0083025000000099</v>
      </c>
      <c r="DB139" s="182">
        <f t="array" ref="DB139">INDEX(Demand_current!$D$4:$AY$138, MATCH($A139, Demand_current!$B$4:$B$138, 0), MATCH(DB$4&amp;DB$5,Demand_current!$D$2:$AY$2&amp;Demand_current!$D$3:$AY$3, 0))/1000</f>
        <v>5.5103437500000032</v>
      </c>
      <c r="DC139" s="182">
        <f t="array" ref="DC139">INDEX(Demand_current!$D$4:$AY$138, MATCH($A139, Demand_current!$B$4:$B$138, 0), MATCH(DC$4&amp;DC$5,Demand_current!$D$2:$AY$2&amp;Demand_current!$D$3:$AY$3, 0))/1000</f>
        <v>5.3657475961538452</v>
      </c>
      <c r="DD139" s="182">
        <f t="array" ref="DD139">INDEX(Demand_current!$D$4:$AY$138, MATCH($A139, Demand_current!$B$4:$B$138, 0), MATCH(DD$4&amp;DD$5,Demand_current!$D$2:$AY$2&amp;Demand_current!$D$3:$AY$3, 0))/1000</f>
        <v>3.4534807692307723</v>
      </c>
      <c r="DE139" s="182">
        <f t="array" ref="DE139">INDEX(Demand_current!$D$4:$AY$138, MATCH($A139, Demand_current!$B$4:$B$138, 0), MATCH(DE$4&amp;DE$5,Demand_current!$D$2:$AY$2&amp;Demand_current!$D$3:$AY$3, 0))/1000</f>
        <v>3.7371849999999975</v>
      </c>
      <c r="DF139" s="182">
        <f t="array" ref="DF139">INDEX(Demand_current!$D$4:$AY$138, MATCH($A139, Demand_current!$B$4:$B$138, 0), MATCH(DF$4&amp;DF$5,Demand_current!$D$2:$AY$2&amp;Demand_current!$D$3:$AY$3, 0))/1000</f>
        <v>2.6659495192307721</v>
      </c>
      <c r="DG139" s="182">
        <f t="array" ref="DG139">INDEX(Demand_current!$D$4:$AY$138, MATCH($A139, Demand_current!$B$4:$B$138, 0), MATCH(DG$4&amp;DG$5,Demand_current!$D$2:$AY$2&amp;Demand_current!$D$3:$AY$3, 0))/1000</f>
        <v>3.2668750000000051</v>
      </c>
      <c r="DH139" s="182">
        <f t="array" ref="DH139">INDEX(Demand_current!$D$4:$AY$138, MATCH($A139, Demand_current!$B$4:$B$138, 0), MATCH(DH$4&amp;DH$5,Demand_current!$D$2:$AY$2&amp;Demand_current!$D$3:$AY$3, 0))/1000</f>
        <v>5.2276614583333352</v>
      </c>
      <c r="DI139" s="180">
        <f>$BS139*(VLOOKUP(DI$4, Rates_current!$G$6:$Q$29, 10, FALSE)+VLOOKUP(DI$4, Rates_current!$G$6:$Q$29, 11, FALSE))</f>
        <v>26980.937576297099</v>
      </c>
      <c r="DJ139" s="180">
        <f>$BS139*(VLOOKUP(DJ$4, Rates_current!$G$6:$Q$29, 10, FALSE)+VLOOKUP(DJ$4, Rates_current!$G$6:$Q$29, 11, FALSE))</f>
        <v>34409.592454188605</v>
      </c>
      <c r="DK139" s="180">
        <f>$BS139*(VLOOKUP(DK$4, Rates_current!$G$6:$Q$29, 10, FALSE)+VLOOKUP(DK$4, Rates_current!$G$6:$Q$29, 11, FALSE))</f>
        <v>37134.758578599001</v>
      </c>
      <c r="DL139" s="180">
        <f>$BS139*(VLOOKUP(DL$4, Rates_current!$G$6:$Q$29, 10, FALSE)+VLOOKUP(DL$4, Rates_current!$G$6:$Q$29, 11, FALSE))</f>
        <v>38588.754744777601</v>
      </c>
      <c r="DM139" s="180">
        <f>$BS139*(VLOOKUP(DM$4, Rates_current!$G$6:$Q$29, 10, FALSE)+VLOOKUP(DM$4, Rates_current!$G$6:$Q$29, 11, FALSE))</f>
        <v>33191.472633145197</v>
      </c>
      <c r="DN139" s="180">
        <f>$BS139*(VLOOKUP(DN$4, Rates_current!$G$6:$Q$29, 10, FALSE)+VLOOKUP(DN$4, Rates_current!$G$6:$Q$29, 11, FALSE))</f>
        <v>36238.516534301401</v>
      </c>
      <c r="DO139" s="180">
        <f>$BS139*(VLOOKUP(DO$4, Rates_current!$G$6:$Q$29, 10, FALSE)+VLOOKUP(DO$4, Rates_current!$G$6:$Q$29, 11, FALSE))</f>
        <v>28604.201873499445</v>
      </c>
      <c r="DP139" s="180">
        <f>$BS139*(VLOOKUP(DP$4, Rates_current!$G$6:$Q$29, 10, FALSE)+VLOOKUP(DP$4, Rates_current!$G$6:$Q$29, 11, FALSE))</f>
        <v>35487.345565970099</v>
      </c>
      <c r="DQ139" s="180">
        <f>$BS139*(VLOOKUP(DQ$4, Rates_current!$G$6:$Q$29, 10, FALSE)+VLOOKUP(DQ$4, Rates_current!$G$6:$Q$29, 11, FALSE))</f>
        <v>36257.332373489699</v>
      </c>
      <c r="DR139" s="180">
        <f>$BS139*(VLOOKUP(DR$4, Rates_current!$G$6:$Q$29, 10, FALSE)+VLOOKUP(DR$4, Rates_current!$G$6:$Q$29, 11, FALSE))</f>
        <v>31476.588035399098</v>
      </c>
      <c r="DS139" s="180">
        <f>$BS139*(VLOOKUP(DS$4, Rates_current!$G$6:$Q$29, 10, FALSE)+VLOOKUP(DS$4, Rates_current!$G$6:$Q$29, 11, FALSE))</f>
        <v>30429.493878683792</v>
      </c>
      <c r="DT139" s="180">
        <f>$BS139*(VLOOKUP(DT$4, Rates_current!$G$6:$Q$29, 10, FALSE)+VLOOKUP(DT$4, Rates_current!$G$6:$Q$29, 11, FALSE))</f>
        <v>28001.027005261203</v>
      </c>
      <c r="DU139" s="402">
        <f>IF(D139=0,IF(C139=0,MAX(0,DW139 - (VLOOKUP($A139,TOCA_current!$A$2:$AI$137,MATCH("RHWM 2024",TOCA_current!$A$2:$AI$2,0),FALSE)*$BS$2)), 0),0)</f>
        <v>5291.5818188516423</v>
      </c>
      <c r="DV139" s="403">
        <f>MIN(VLOOKUP($A139,TOCA_current!$A$2:$AI$137,MATCH("TRL - NLSL - Existing Resource "&amp;$BS$1,TOCA_current!$A$2:$AI$2,0),FALSE)*$BS$2, VLOOKUP($A139,TOCA_current!$A$2:$AI$137,MATCH("RHWM 2024",TOCA_current!$A$2:$AI$2,0),FALSE)*$BS$2)</f>
        <v>396799.63200000004</v>
      </c>
      <c r="DW139" s="403">
        <f>SUM(BY139:CV139)+(BS139*RT1SC!$C$4*$BS$2)</f>
        <v>402091.21381885168</v>
      </c>
      <c r="DX139" s="403">
        <f>VLOOKUP($A139,TOCA_current!$A$2:$AI$137,MATCH("Above RHWM Not Served with LS "&amp;$BS$1,TOCA_current!$A$2:$AI$2,0),FALSE)*$BS$2</f>
        <v>0</v>
      </c>
      <c r="DY139" s="403">
        <f t="shared" si="51"/>
        <v>5291.5818188516423</v>
      </c>
      <c r="DZ139" s="403">
        <f>(VLOOKUP($A139,TOCA_current!$A$2:$AI$137,MATCH("RHWM 2024",TOCA_current!$A$2:$AI$2,0),FALSE)*$BS$2) - $DV139</f>
        <v>0</v>
      </c>
      <c r="EA139" s="403">
        <f t="shared" si="52"/>
        <v>0</v>
      </c>
      <c r="EB139" s="403">
        <f t="shared" si="53"/>
        <v>0</v>
      </c>
      <c r="EC139" s="403">
        <f t="shared" si="54"/>
        <v>0</v>
      </c>
      <c r="ED139" s="403">
        <f t="shared" si="55"/>
        <v>0</v>
      </c>
    </row>
    <row r="140" spans="1:134">
      <c r="A140" s="123">
        <v>10298</v>
      </c>
      <c r="B140" s="124" t="s">
        <v>140</v>
      </c>
      <c r="C140" s="232">
        <f>VLOOKUP(A140, TOCA_current!$A$3:$D$137, 4, FALSE)</f>
        <v>0</v>
      </c>
      <c r="D140" s="191">
        <v>0</v>
      </c>
      <c r="E140" s="107">
        <f>VLOOKUP($A140,TOCA_previous!$A$2:$AI$137,MATCH(E$4,TOCA_previous!$A$2:$AI$2,0),FALSE)</f>
        <v>8.5216299999999995E-2</v>
      </c>
      <c r="F140" s="108">
        <f>VLOOKUP($A140,TOCA_previous!$A$2:$AI$137,MATCH(F$4,TOCA_previous!$A$2:$AI$2,0),FALSE)</f>
        <v>8.5216299999999995E-2</v>
      </c>
      <c r="G140" s="108">
        <f t="shared" si="43"/>
        <v>0</v>
      </c>
      <c r="H140" s="108">
        <f>SUMPRODUCT(I6:I139,J6:J139)/SUM(J6:J139)</f>
        <v>5.2520981877880159E-2</v>
      </c>
      <c r="I140" s="108">
        <f t="shared" si="44"/>
        <v>0</v>
      </c>
      <c r="J140" s="108">
        <f t="shared" si="45"/>
        <v>0</v>
      </c>
      <c r="K140" s="179">
        <f>VLOOKUP(A140, IRD!$A$5:$C$139, 3, FALSE)</f>
        <v>218482.31100000002</v>
      </c>
      <c r="L140" s="180">
        <f t="array" ref="L140">IF($G140=0, INDEX(LS_previous!$D$4:$AY$138, MATCH('Staging Table'!$A140, LS_previous!$B$4:$B$138, 0), MATCH(L$4&amp;L$5, LS_previous!$D$2:$AY$2&amp;LS_previous!$D$3:$AY$3, 0)),SUM(VLOOKUP($A140, LS_previous!$B$4:$AY$138, LS_previous!D$149, FALSE), VLOOKUP('Staging Table'!$A140, LS_previous!$B$4:$AY$138,LS_previous!AB$149, FALSE))/2)</f>
        <v>-20533.00141973648</v>
      </c>
      <c r="M140" s="180">
        <f t="array" ref="M140">IF($G140=0, INDEX(LS_previous!$D$4:$AY$138, MATCH('Staging Table'!$A140, LS_previous!$B$4:$B$138, 0), MATCH(M$4&amp;M$5, LS_previous!$D$2:$AY$2&amp;LS_previous!$D$3:$AY$3, 0)),SUM(VLOOKUP($A140, LS_previous!$B$4:$AY$138, LS_previous!E$149, FALSE), VLOOKUP('Staging Table'!$A140, LS_previous!$B$4:$AY$138,LS_previous!AC$149, FALSE))/2)</f>
        <v>357.16280267047114</v>
      </c>
      <c r="N140" s="180">
        <f t="array" ref="N140">IF($G140=0, INDEX(LS_previous!$D$4:$AY$138, MATCH('Staging Table'!$A140, LS_previous!$B$4:$B$138, 0), MATCH(N$4&amp;N$5, LS_previous!$D$2:$AY$2&amp;LS_previous!$D$3:$AY$3, 0)),SUM(VLOOKUP($A140, LS_previous!$B$4:$AY$138, LS_previous!F$149, FALSE), VLOOKUP('Staging Table'!$A140, LS_previous!$B$4:$AY$138,LS_previous!AD$149, FALSE))/2)</f>
        <v>-34700.409037608653</v>
      </c>
      <c r="O140" s="180">
        <f t="array" ref="O140">IF($G140=0, INDEX(LS_previous!$D$4:$AY$138, MATCH('Staging Table'!$A140, LS_previous!$B$4:$B$138, 0), MATCH(O$4&amp;O$5, LS_previous!$D$2:$AY$2&amp;LS_previous!$D$3:$AY$3, 0)),SUM(VLOOKUP($A140, LS_previous!$B$4:$AY$138, LS_previous!G$149, FALSE), VLOOKUP('Staging Table'!$A140, LS_previous!$B$4:$AY$138,LS_previous!AE$149, FALSE))/2)</f>
        <v>-11683.977395905735</v>
      </c>
      <c r="P140" s="180">
        <f t="array" ref="P140">IF($G140=0, INDEX(LS_previous!$D$4:$AY$138, MATCH('Staging Table'!$A140, LS_previous!$B$4:$B$138, 0), MATCH(P$4&amp;P$5, LS_previous!$D$2:$AY$2&amp;LS_previous!$D$3:$AY$3, 0)),SUM(VLOOKUP($A140, LS_previous!$B$4:$AY$138, LS_previous!H$149, FALSE), VLOOKUP('Staging Table'!$A140, LS_previous!$B$4:$AY$138,LS_previous!AF$149, FALSE))/2)</f>
        <v>60042.18179460027</v>
      </c>
      <c r="Q140" s="180">
        <f t="array" ref="Q140">IF($G140=0, INDEX(LS_previous!$D$4:$AY$138, MATCH('Staging Table'!$A140, LS_previous!$B$4:$B$138, 0), MATCH(Q$4&amp;Q$5, LS_previous!$D$2:$AY$2&amp;LS_previous!$D$3:$AY$3, 0)),SUM(VLOOKUP($A140, LS_previous!$B$4:$AY$138, LS_previous!I$149, FALSE), VLOOKUP('Staging Table'!$A140, LS_previous!$B$4:$AY$138,LS_previous!AG$149, FALSE))/2)</f>
        <v>31856.605334657041</v>
      </c>
      <c r="R140" s="180">
        <f t="array" ref="R140">IF($G140=0, INDEX(LS_previous!$D$4:$AY$138, MATCH('Staging Table'!$A140, LS_previous!$B$4:$B$138, 0), MATCH(R$4&amp;R$5, LS_previous!$D$2:$AY$2&amp;LS_previous!$D$3:$AY$3, 0)),SUM(VLOOKUP($A140, LS_previous!$B$4:$AY$138, LS_previous!J$149, FALSE), VLOOKUP('Staging Table'!$A140, LS_previous!$B$4:$AY$138,LS_previous!AH$149, FALSE))/2)</f>
        <v>119949.03066322621</v>
      </c>
      <c r="S140" s="180">
        <f t="array" ref="S140">IF($G140=0, INDEX(LS_previous!$D$4:$AY$138, MATCH('Staging Table'!$A140, LS_previous!$B$4:$B$138, 0), MATCH(S$4&amp;S$5, LS_previous!$D$2:$AY$2&amp;LS_previous!$D$3:$AY$3, 0)),SUM(VLOOKUP($A140, LS_previous!$B$4:$AY$138, LS_previous!K$149, FALSE), VLOOKUP('Staging Table'!$A140, LS_previous!$B$4:$AY$138,LS_previous!AI$149, FALSE))/2)</f>
        <v>60159.651378067152</v>
      </c>
      <c r="T140" s="180">
        <f t="array" ref="T140">IF($G140=0, INDEX(LS_previous!$D$4:$AY$138, MATCH('Staging Table'!$A140, LS_previous!$B$4:$B$138, 0), MATCH(T$4&amp;T$5, LS_previous!$D$2:$AY$2&amp;LS_previous!$D$3:$AY$3, 0)),SUM(VLOOKUP($A140, LS_previous!$B$4:$AY$138, LS_previous!L$149, FALSE), VLOOKUP('Staging Table'!$A140, LS_previous!$B$4:$AY$138,LS_previous!AJ$149, FALSE))/2)</f>
        <v>101322.18858532936</v>
      </c>
      <c r="U140" s="180">
        <f t="array" ref="U140">IF($G140=0, INDEX(LS_previous!$D$4:$AY$138, MATCH('Staging Table'!$A140, LS_previous!$B$4:$B$138, 0), MATCH(U$4&amp;U$5, LS_previous!$D$2:$AY$2&amp;LS_previous!$D$3:$AY$3, 0)),SUM(VLOOKUP($A140, LS_previous!$B$4:$AY$138, LS_previous!M$149, FALSE), VLOOKUP('Staging Table'!$A140, LS_previous!$B$4:$AY$138,LS_previous!AK$149, FALSE))/2)</f>
        <v>47224.154926882649</v>
      </c>
      <c r="V140" s="180">
        <f t="array" ref="V140">IF($G140=0, INDEX(LS_previous!$D$4:$AY$138, MATCH('Staging Table'!$A140, LS_previous!$B$4:$B$138, 0), MATCH(V$4&amp;V$5, LS_previous!$D$2:$AY$2&amp;LS_previous!$D$3:$AY$3, 0)),SUM(VLOOKUP($A140, LS_previous!$B$4:$AY$138, LS_previous!N$149, FALSE), VLOOKUP('Staging Table'!$A140, LS_previous!$B$4:$AY$138,LS_previous!AL$149, FALSE))/2)</f>
        <v>22297.923808463878</v>
      </c>
      <c r="W140" s="180">
        <f t="array" ref="W140">IF($G140=0, INDEX(LS_previous!$D$4:$AY$138, MATCH('Staging Table'!$A140, LS_previous!$B$4:$B$138, 0), MATCH(W$4&amp;W$5, LS_previous!$D$2:$AY$2&amp;LS_previous!$D$3:$AY$3, 0)),SUM(VLOOKUP($A140, LS_previous!$B$4:$AY$138, LS_previous!O$149, FALSE), VLOOKUP('Staging Table'!$A140, LS_previous!$B$4:$AY$138,LS_previous!AM$149, FALSE))/2)</f>
        <v>23355.761679358053</v>
      </c>
      <c r="X140" s="180">
        <f t="array" ref="X140">IF($G140=0, INDEX(LS_previous!$D$4:$AY$138, MATCH('Staging Table'!$A140, LS_previous!$B$4:$B$138, 0), MATCH(X$4&amp;X$5, LS_previous!$D$2:$AY$2&amp;LS_previous!$D$3:$AY$3, 0)),SUM(VLOOKUP($A140, LS_previous!$B$4:$AY$138, LS_previous!P$149, FALSE), VLOOKUP('Staging Table'!$A140, LS_previous!$B$4:$AY$138,LS_previous!AN$149, FALSE))/2)</f>
        <v>45668.863297810283</v>
      </c>
      <c r="Y140" s="180">
        <f t="array" ref="Y140">IF($G140=0, INDEX(LS_previous!$D$4:$AY$138, MATCH('Staging Table'!$A140, LS_previous!$B$4:$B$138, 0), MATCH(Y$4&amp;Y$5, LS_previous!$D$2:$AY$2&amp;LS_previous!$D$3:$AY$3, 0)),SUM(VLOOKUP($A140, LS_previous!$B$4:$AY$138, LS_previous!Q$149, FALSE), VLOOKUP('Staging Table'!$A140, LS_previous!$B$4:$AY$138,LS_previous!AO$149, FALSE))/2)</f>
        <v>25139.841638059777</v>
      </c>
      <c r="Z140" s="180">
        <f t="array" ref="Z140">IF($G140=0, INDEX(LS_previous!$D$4:$AY$138, MATCH('Staging Table'!$A140, LS_previous!$B$4:$B$138, 0), MATCH(Z$4&amp;Z$5, LS_previous!$D$2:$AY$2&amp;LS_previous!$D$3:$AY$3, 0)),SUM(VLOOKUP($A140, LS_previous!$B$4:$AY$138, LS_previous!R$149, FALSE), VLOOKUP('Staging Table'!$A140, LS_previous!$B$4:$AY$138,LS_previous!AP$149, FALSE))/2)</f>
        <v>-73781.27230352172</v>
      </c>
      <c r="AA140" s="180">
        <f t="array" ref="AA140">IF($G140=0, INDEX(LS_previous!$D$4:$AY$138, MATCH('Staging Table'!$A140, LS_previous!$B$4:$B$138, 0), MATCH(AA$4&amp;AA$5, LS_previous!$D$2:$AY$2&amp;LS_previous!$D$3:$AY$3, 0)),SUM(VLOOKUP($A140, LS_previous!$B$4:$AY$138, LS_previous!S$149, FALSE), VLOOKUP('Staging Table'!$A140, LS_previous!$B$4:$AY$138,LS_previous!AQ$149, FALSE))/2)</f>
        <v>-1388.5732394235965</v>
      </c>
      <c r="AB140" s="180">
        <f t="array" ref="AB140">IF($G140=0, INDEX(LS_previous!$D$4:$AY$138, MATCH('Staging Table'!$A140, LS_previous!$B$4:$B$138, 0), MATCH(AB$4&amp;AB$5, LS_previous!$D$2:$AY$2&amp;LS_previous!$D$3:$AY$3, 0)),SUM(VLOOKUP($A140, LS_previous!$B$4:$AY$138, LS_previous!T$149, FALSE), VLOOKUP('Staging Table'!$A140, LS_previous!$B$4:$AY$138,LS_previous!AR$149, FALSE))/2)</f>
        <v>-101155.91098734981</v>
      </c>
      <c r="AC140" s="180">
        <f t="array" ref="AC140">IF($G140=0, INDEX(LS_previous!$D$4:$AY$138, MATCH('Staging Table'!$A140, LS_previous!$B$4:$B$138, 0), MATCH(AC$4&amp;AC$5, LS_previous!$D$2:$AY$2&amp;LS_previous!$D$3:$AY$3, 0)),SUM(VLOOKUP($A140, LS_previous!$B$4:$AY$138, LS_previous!U$149, FALSE), VLOOKUP('Staging Table'!$A140, LS_previous!$B$4:$AY$138,LS_previous!AS$149, FALSE))/2)</f>
        <v>10015.854319127306</v>
      </c>
      <c r="AD140" s="180">
        <f t="array" ref="AD140">IF($G140=0, INDEX(LS_previous!$D$4:$AY$138, MATCH('Staging Table'!$A140, LS_previous!$B$4:$B$138, 0), MATCH(AD$4&amp;AD$5, LS_previous!$D$2:$AY$2&amp;LS_previous!$D$3:$AY$3, 0)),SUM(VLOOKUP($A140, LS_previous!$B$4:$AY$138, LS_previous!V$149, FALSE), VLOOKUP('Staging Table'!$A140, LS_previous!$B$4:$AY$138,LS_previous!AT$149, FALSE))/2)</f>
        <v>-37319.671249783307</v>
      </c>
      <c r="AE140" s="180">
        <f t="array" ref="AE140">IF($G140=0, INDEX(LS_previous!$D$4:$AY$138, MATCH('Staging Table'!$A140, LS_previous!$B$4:$B$138, 0), MATCH(AE$4&amp;AE$5, LS_previous!$D$2:$AY$2&amp;LS_previous!$D$3:$AY$3, 0)),SUM(VLOOKUP($A140, LS_previous!$B$4:$AY$138, LS_previous!W$149, FALSE), VLOOKUP('Staging Table'!$A140, LS_previous!$B$4:$AY$138,LS_previous!AU$149, FALSE))/2)</f>
        <v>10433.462488968915</v>
      </c>
      <c r="AF140" s="180">
        <f t="array" ref="AF140">IF($G140=0, INDEX(LS_previous!$D$4:$AY$138, MATCH('Staging Table'!$A140, LS_previous!$B$4:$B$138, 0), MATCH(AF$4&amp;AF$5, LS_previous!$D$2:$AY$2&amp;LS_previous!$D$3:$AY$3, 0)),SUM(VLOOKUP($A140, LS_previous!$B$4:$AY$138, LS_previous!X$149, FALSE), VLOOKUP('Staging Table'!$A140, LS_previous!$B$4:$AY$138,LS_previous!AV$149, FALSE))/2)</f>
        <v>-32476.223618976539</v>
      </c>
      <c r="AG140" s="180">
        <f t="array" ref="AG140">IF($G140=0, INDEX(LS_previous!$D$4:$AY$138, MATCH('Staging Table'!$A140, LS_previous!$B$4:$B$138, 0), MATCH(AG$4&amp;AG$5, LS_previous!$D$2:$AY$2&amp;LS_previous!$D$3:$AY$3, 0)),SUM(VLOOKUP($A140, LS_previous!$B$4:$AY$138, LS_previous!Y$149, FALSE), VLOOKUP('Staging Table'!$A140, LS_previous!$B$4:$AY$138,LS_previous!AW$149, FALSE))/2)</f>
        <v>3212.5649995321291</v>
      </c>
      <c r="AH140" s="180">
        <f t="array" ref="AH140">IF($G140=0, INDEX(LS_previous!$D$4:$AY$138, MATCH('Staging Table'!$A140, LS_previous!$B$4:$B$138, 0), MATCH(AH$4&amp;AH$5, LS_previous!$D$2:$AY$2&amp;LS_previous!$D$3:$AY$3, 0)),SUM(VLOOKUP($A140, LS_previous!$B$4:$AY$138, LS_previous!Z$149, FALSE), VLOOKUP('Staging Table'!$A140, LS_previous!$B$4:$AY$138,LS_previous!AX$149, FALSE))/2)</f>
        <v>-43542.837335497228</v>
      </c>
      <c r="AI140" s="180">
        <f t="array" ref="AI140">IF($G140=0, INDEX(LS_previous!$D$4:$AY$138, MATCH('Staging Table'!$A140, LS_previous!$B$4:$B$138, 0), MATCH(AI$4&amp;AI$5, LS_previous!$D$2:$AY$2&amp;LS_previous!$D$3:$AY$3, 0)),SUM(VLOOKUP($A140, LS_previous!$B$4:$AY$138, LS_previous!AA$149, FALSE), VLOOKUP('Staging Table'!$A140, LS_previous!$B$4:$AY$138,LS_previous!AY$149, FALSE))/2)</f>
        <v>-1314.837488297082</v>
      </c>
      <c r="AJ140" s="298">
        <f t="array" ref="AJ140">INDEX(Demand_previous!$D$4:$AY$138, MATCH('Staging Table'!$A140, Demand_previous!$B$4:$B$138, 0), MATCH(AJ$4&amp;AJ$5,Demand_previous!$D$2:$AY$2&amp;Demand_previous!$D$3:$AY$3, 0))/1000</f>
        <v>67.958622115384458</v>
      </c>
      <c r="AK140" s="298">
        <f t="array" ref="AK140">INDEX(Demand_previous!$D$4:$AY$138, MATCH('Staging Table'!$A140, Demand_previous!$B$4:$B$138, 0), MATCH(AK$4&amp;AK$5,Demand_previous!$D$2:$AY$2&amp;Demand_previous!$D$3:$AY$3, 0))/1000</f>
        <v>95.745729999999611</v>
      </c>
      <c r="AL140" s="298">
        <f t="array" ref="AL140">INDEX(Demand_previous!$D$4:$AY$138, MATCH('Staging Table'!$A140, Demand_previous!$B$4:$B$138, 0), MATCH(AL$4&amp;AL$5,Demand_previous!$D$2:$AY$2&amp;Demand_previous!$D$3:$AY$3, 0))/1000</f>
        <v>178.29989230769215</v>
      </c>
      <c r="AM140" s="298">
        <f t="array" ref="AM140">INDEX(Demand_previous!$D$4:$AY$138, MATCH('Staging Table'!$A140, Demand_previous!$B$4:$B$138, 0), MATCH(AM$4&amp;AM$5,Demand_previous!$D$2:$AY$2&amp;Demand_previous!$D$3:$AY$3, 0))/1000</f>
        <v>64.356040000000007</v>
      </c>
      <c r="AN140" s="298">
        <f t="array" ref="AN140">INDEX(Demand_previous!$D$4:$AY$138, MATCH('Staging Table'!$A140, Demand_previous!$B$4:$B$138, 0), MATCH(AN$4&amp;AN$5,Demand_previous!$D$2:$AY$2&amp;Demand_previous!$D$3:$AY$3, 0))/1000</f>
        <v>29.534859375000167</v>
      </c>
      <c r="AO140" s="298">
        <f t="array" ref="AO140">INDEX(Demand_previous!$D$4:$AY$138, MATCH('Staging Table'!$A140, Demand_previous!$B$4:$B$138, 0), MATCH(AO$4&amp;AO$5,Demand_previous!$D$2:$AY$2&amp;Demand_previous!$D$3:$AY$3, 0))/1000</f>
        <v>127.80835277777746</v>
      </c>
      <c r="AP140" s="298">
        <f t="array" ref="AP140">INDEX(Demand_previous!$D$4:$AY$138, MATCH('Staging Table'!$A140, Demand_previous!$B$4:$B$138, 0), MATCH(AP$4&amp;AP$5,Demand_previous!$D$2:$AY$2&amp;Demand_previous!$D$3:$AY$3, 0))/1000</f>
        <v>118.39962980769226</v>
      </c>
      <c r="AQ140" s="298">
        <f t="array" ref="AQ140">INDEX(Demand_previous!$D$4:$AY$138, MATCH('Staging Table'!$A140, Demand_previous!$B$4:$B$138, 0), MATCH(AQ$4&amp;AQ$5,Demand_previous!$D$2:$AY$2&amp;Demand_previous!$D$3:$AY$3, 0))/1000</f>
        <v>100.49401999999991</v>
      </c>
      <c r="AR140" s="298">
        <f t="array" ref="AR140">INDEX(Demand_previous!$D$4:$AY$138, MATCH('Staging Table'!$A140, Demand_previous!$B$4:$B$138, 0), MATCH(AR$4&amp;AR$5,Demand_previous!$D$2:$AY$2&amp;Demand_previous!$D$3:$AY$3, 0))/1000</f>
        <v>121.13827788461535</v>
      </c>
      <c r="AS140" s="298">
        <f t="array" ref="AS140">INDEX(Demand_previous!$D$4:$AY$138, MATCH('Staging Table'!$A140, Demand_previous!$B$4:$B$138, 0), MATCH(AS$4&amp;AS$5,Demand_previous!$D$2:$AY$2&amp;Demand_previous!$D$3:$AY$3, 0))/1000</f>
        <v>103.78471250000003</v>
      </c>
      <c r="AT140" s="298">
        <f t="array" ref="AT140">INDEX(Demand_previous!$D$4:$AY$138, MATCH('Staging Table'!$A140, Demand_previous!$B$4:$B$138, 0), MATCH(AT$4&amp;AT$5,Demand_previous!$D$2:$AY$2&amp;Demand_previous!$D$3:$AY$3, 0))/1000</f>
        <v>132.09588518518493</v>
      </c>
      <c r="AU140" s="298">
        <f t="array" ref="AU140">INDEX(Demand_previous!$D$4:$AY$138, MATCH('Staging Table'!$A140, Demand_previous!$B$4:$B$138, 0), MATCH(AU$4&amp;AU$5,Demand_previous!$D$2:$AY$2&amp;Demand_previous!$D$3:$AY$3, 0))/1000</f>
        <v>115.3576024999999</v>
      </c>
      <c r="AV140" s="180">
        <f>$F140*(VLOOKUP(AV$4, Rates_previous!$G$6:$Q$29, 10, FALSE)+VLOOKUP(AV$4, Rates_previous!$G$6:$Q$29, 11, FALSE))</f>
        <v>388068.58961706603</v>
      </c>
      <c r="AW140" s="180">
        <f>$F140*(VLOOKUP(AW$4, Rates_previous!$G$6:$Q$29, 10, FALSE)+VLOOKUP(AW$4, Rates_previous!$G$6:$Q$29, 11, FALSE))</f>
        <v>491308.91843351442</v>
      </c>
      <c r="AX140" s="180">
        <f>$F140*(VLOOKUP(AX$4, Rates_previous!$G$6:$Q$29, 10, FALSE)+VLOOKUP(AX$4, Rates_previous!$G$6:$Q$29, 11, FALSE))</f>
        <v>480893.27587074274</v>
      </c>
      <c r="AY140" s="180">
        <f>$F140*(VLOOKUP(AY$4, Rates_previous!$G$6:$Q$29, 10, FALSE)+VLOOKUP(AY$4, Rates_previous!$G$6:$Q$29, 11, FALSE))</f>
        <v>397197.39595870662</v>
      </c>
      <c r="AZ140" s="180">
        <f>$F140*(VLOOKUP(AZ$4, Rates_previous!$G$6:$Q$29, 10, FALSE)+VLOOKUP(AZ$4, Rates_previous!$G$6:$Q$29, 11, FALSE))</f>
        <v>344259.68848778802</v>
      </c>
      <c r="BA140" s="180">
        <f>$F140*(VLOOKUP(BA$4, Rates_previous!$G$6:$Q$29, 10, FALSE)+VLOOKUP(BA$4, Rates_previous!$G$6:$Q$29, 11, FALSE))</f>
        <v>410976.54851217812</v>
      </c>
      <c r="BB140" s="180">
        <f>$F140*(VLOOKUP(BB$4, Rates_previous!$G$6:$Q$29, 10, FALSE)+VLOOKUP(BB$4, Rates_previous!$G$6:$Q$29, 11, FALSE))</f>
        <v>319068.57706412993</v>
      </c>
      <c r="BC140" s="180">
        <f>$F140*(VLOOKUP(BC$4, Rates_previous!$G$6:$Q$29, 10, FALSE)+VLOOKUP(BC$4, Rates_previous!$G$6:$Q$29, 11, FALSE))</f>
        <v>442071.86154294526</v>
      </c>
      <c r="BD140" s="180">
        <f>$F140*(VLOOKUP(BD$4, Rates_previous!$G$6:$Q$29, 10, FALSE)+VLOOKUP(BD$4, Rates_previous!$G$6:$Q$29, 11, FALSE))</f>
        <v>472363.04066822247</v>
      </c>
      <c r="BE140" s="180">
        <f>$F140*(VLOOKUP(BE$4, Rates_previous!$G$6:$Q$29, 10, FALSE)+VLOOKUP(BE$4, Rates_previous!$G$6:$Q$29, 11, FALSE))</f>
        <v>448487.31776081445</v>
      </c>
      <c r="BF140" s="180">
        <f>$F140*(VLOOKUP(BF$4, Rates_previous!$G$6:$Q$29, 10, FALSE)+VLOOKUP(BF$4, Rates_previous!$G$6:$Q$29, 11, FALSE))</f>
        <v>433428.39361944445</v>
      </c>
      <c r="BG140" s="180">
        <f>$F140*(VLOOKUP(BG$4, Rates_previous!$G$6:$Q$29, 10, FALSE)+VLOOKUP(BG$4, Rates_previous!$G$6:$Q$29, 11, FALSE))</f>
        <v>400533.01882379432</v>
      </c>
      <c r="BH140" s="298">
        <f>IF($D140=0,IF(C140=0, MAX(BJ140 - (VLOOKUP($A140,TOCA_previous!$A$2:$AI$137,MATCH("RHWM 2022",TOCA_previous!$A$2:$AI$2,0),FALSE)*$F$2*TOCA_previous!C137),0),0), 0)</f>
        <v>199061.53723754548</v>
      </c>
      <c r="BI140" s="192">
        <f>MIN(VLOOKUP($A140,TOCA_previous!$A$2:$AI$137,MATCH("TRL - NLSL - Existing Resource "&amp;$F$1,TOCA_previous!$A$2:$AI$2,0),FALSE)*$F$2,(VLOOKUP($A140,TOCA_previous!$A$2:$AI$137,MATCH("RHWM 2022",TOCA_previous!$A$2:$AI$2,0),FALSE)*$F$2))</f>
        <v>5032733.88</v>
      </c>
      <c r="BJ140" s="402">
        <f>SUM(L140:AI140)+(F140*RT1SC!$C$3*$F$2)</f>
        <v>5231795.4172375454</v>
      </c>
      <c r="BK140" s="401">
        <f>VLOOKUP($A140,TOCA_previous!$A$2:$AI$137,MATCH("Above RHWM Not Served with LS "&amp;$F$1,TOCA_previous!$A$2:$AI$2,0),FALSE)*$F$2</f>
        <v>612105</v>
      </c>
      <c r="BL140" s="402">
        <f t="shared" si="46"/>
        <v>199061.53723754548</v>
      </c>
      <c r="BM140" s="401">
        <f>(VLOOKUP($A140,TOCA_previous!$A$2:$AI$137,MATCH("RHWM 2022",TOCA_previous!$A$2:$AI$2,0),FALSE)*$F$2) - $BI140</f>
        <v>0</v>
      </c>
      <c r="BN140" s="402">
        <f t="shared" si="47"/>
        <v>0</v>
      </c>
      <c r="BO140" s="401">
        <f t="shared" si="48"/>
        <v>0</v>
      </c>
      <c r="BP140" s="402">
        <f t="shared" si="49"/>
        <v>0</v>
      </c>
      <c r="BQ140" s="401">
        <f t="shared" si="40"/>
        <v>0</v>
      </c>
      <c r="BR140" s="108">
        <f>VLOOKUP($A140,TOCA_current!$A$2:$AI$137,MATCH(BR$4,TOCA_current!$A$2:$AI$2,0),FALSE)</f>
        <v>8.4679199999999996E-2</v>
      </c>
      <c r="BS140" s="108">
        <f>VLOOKUP($A140,TOCA_current!$A$2:$AI$137,MATCH(BS$4,TOCA_current!$A$2:$AI$2,0),FALSE)</f>
        <v>8.4679199999999996E-2</v>
      </c>
      <c r="BT140" s="189">
        <f t="shared" si="50"/>
        <v>0</v>
      </c>
      <c r="BU140" s="108">
        <f>SUMPRODUCT(BV6:BV139,BW6:BW139)/SUM(BW6:BW139)</f>
        <v>5.1802014699106322E-2</v>
      </c>
      <c r="BV140" s="108">
        <f t="shared" si="41"/>
        <v>0</v>
      </c>
      <c r="BW140" s="108">
        <f t="shared" si="42"/>
        <v>0</v>
      </c>
      <c r="BX140" s="179">
        <f>VLOOKUP($A140,IRD!$A$4:$G$139, 7, FALSE)</f>
        <v>218482.31100000002</v>
      </c>
      <c r="BY140" s="180">
        <f t="array" ref="BY140">IF($BT140=0, INDEX(LS_current!$D$4:$AY$138, MATCH('Staging Table'!$A140, LS_current!$B$4:$B$138, 0), MATCH(BY$4&amp;BY$5, LS_current!$D$2:$AY$2&amp;LS_current!$D$3:$AY$3, 0)),SUM(VLOOKUP($A140, LS_current!$B$4:$AY$138, LS_current!D$148, FALSE), VLOOKUP($A140, LS_current!$B$4:$AY$138,LS_current!AB$148, FALSE))/2)</f>
        <v>13383.082986748806</v>
      </c>
      <c r="BZ140" s="180">
        <f t="array" ref="BZ140">IF($BT140=0, INDEX(LS_current!$D$4:$AY$138, MATCH('Staging Table'!$A140, LS_current!$B$4:$B$138, 0), MATCH(BZ$4&amp;BZ$5, LS_current!$D$2:$AY$2&amp;LS_current!$D$3:$AY$3, 0)),SUM(VLOOKUP($A140, LS_current!$B$4:$AY$138, LS_current!E$148, FALSE), VLOOKUP($A140, LS_current!$B$4:$AY$138,LS_current!AC$148, FALSE))/2)</f>
        <v>-667.68346755960374</v>
      </c>
      <c r="CA140" s="180">
        <f t="array" ref="CA140">IF($BT140=0, INDEX(LS_current!$D$4:$AY$138, MATCH('Staging Table'!$A140, LS_current!$B$4:$B$138, 0), MATCH(CA$4&amp;CA$5, LS_current!$D$2:$AY$2&amp;LS_current!$D$3:$AY$3, 0)),SUM(VLOOKUP($A140, LS_current!$B$4:$AY$138, LS_current!F$148, FALSE), VLOOKUP($A140, LS_current!$B$4:$AY$138,LS_current!AD$148, FALSE))/2)</f>
        <v>-8532.3873451775871</v>
      </c>
      <c r="CB140" s="180">
        <f t="array" ref="CB140">IF($BT140=0, INDEX(LS_current!$D$4:$AY$138, MATCH('Staging Table'!$A140, LS_current!$B$4:$B$138, 0), MATCH(CB$4&amp;CB$5, LS_current!$D$2:$AY$2&amp;LS_current!$D$3:$AY$3, 0)),SUM(VLOOKUP($A140, LS_current!$B$4:$AY$138, LS_current!G$148, FALSE), VLOOKUP($A140, LS_current!$B$4:$AY$138,LS_current!AE$148, FALSE))/2)</f>
        <v>-144.50677017518319</v>
      </c>
      <c r="CC140" s="180">
        <f t="array" ref="CC140">IF($BT140=0, INDEX(LS_current!$D$4:$AY$138, MATCH('Staging Table'!$A140, LS_current!$B$4:$B$138, 0), MATCH(CC$4&amp;CC$5, LS_current!$D$2:$AY$2&amp;LS_current!$D$3:$AY$3, 0)),SUM(VLOOKUP($A140, LS_current!$B$4:$AY$138, LS_current!H$148, FALSE), VLOOKUP($A140, LS_current!$B$4:$AY$138,LS_current!AF$148, FALSE))/2)</f>
        <v>38886.372010071238</v>
      </c>
      <c r="CD140" s="180">
        <f t="array" ref="CD140">IF($BT140=0, INDEX(LS_current!$D$4:$AY$138, MATCH('Staging Table'!$A140, LS_current!$B$4:$B$138, 0), MATCH(CD$4&amp;CD$5, LS_current!$D$2:$AY$2&amp;LS_current!$D$3:$AY$3, 0)),SUM(VLOOKUP($A140, LS_current!$B$4:$AY$138, LS_current!I$148, FALSE), VLOOKUP($A140, LS_current!$B$4:$AY$138,LS_current!AG$148, FALSE))/2)</f>
        <v>44285.2336176768</v>
      </c>
      <c r="CE140" s="180">
        <f t="array" ref="CE140">IF($BT140=0, INDEX(LS_current!$D$4:$AY$138, MATCH('Staging Table'!$A140, LS_current!$B$4:$B$138, 0), MATCH(CE$4&amp;CE$5, LS_current!$D$2:$AY$2&amp;LS_current!$D$3:$AY$3, 0)),SUM(VLOOKUP($A140, LS_current!$B$4:$AY$138, LS_current!J$148, FALSE), VLOOKUP($A140, LS_current!$B$4:$AY$138,LS_current!AH$148, FALSE))/2)</f>
        <v>29609.522127172037</v>
      </c>
      <c r="CF140" s="180">
        <f t="array" ref="CF140">IF($BT140=0, INDEX(LS_current!$D$4:$AY$138, MATCH('Staging Table'!$A140, LS_current!$B$4:$B$138, 0), MATCH(CF$4&amp;CF$5, LS_current!$D$2:$AY$2&amp;LS_current!$D$3:$AY$3, 0)),SUM(VLOOKUP($A140, LS_current!$B$4:$AY$138, LS_current!K$148, FALSE), VLOOKUP($A140, LS_current!$B$4:$AY$138,LS_current!AI$148, FALSE))/2)</f>
        <v>38824.256214703171</v>
      </c>
      <c r="CG140" s="180">
        <f t="array" ref="CG140">IF($BT140=0, INDEX(LS_current!$D$4:$AY$138, MATCH('Staging Table'!$A140, LS_current!$B$4:$B$138, 0), MATCH(CG$4&amp;CG$5, LS_current!$D$2:$AY$2&amp;LS_current!$D$3:$AY$3, 0)),SUM(VLOOKUP($A140, LS_current!$B$4:$AY$138, LS_current!L$148, FALSE), VLOOKUP($A140, LS_current!$B$4:$AY$138,LS_current!AJ$148, FALSE))/2)</f>
        <v>21851.026962983247</v>
      </c>
      <c r="CH140" s="180">
        <f t="array" ref="CH140">IF($BT140=0, INDEX(LS_current!$D$4:$AY$138, MATCH('Staging Table'!$A140, LS_current!$B$4:$B$138, 0), MATCH(CH$4&amp;CH$5, LS_current!$D$2:$AY$2&amp;LS_current!$D$3:$AY$3, 0)),SUM(VLOOKUP($A140, LS_current!$B$4:$AY$138, LS_current!M$148, FALSE), VLOOKUP($A140, LS_current!$B$4:$AY$138,LS_current!AK$148, FALSE))/2)</f>
        <v>31735.792033447215</v>
      </c>
      <c r="CI140" s="180">
        <f t="array" ref="CI140">IF($BT140=0, INDEX(LS_current!$D$4:$AY$138, MATCH('Staging Table'!$A140, LS_current!$B$4:$B$138, 0), MATCH(CI$4&amp;CI$5, LS_current!$D$2:$AY$2&amp;LS_current!$D$3:$AY$3, 0)),SUM(VLOOKUP($A140, LS_current!$B$4:$AY$138, LS_current!N$148, FALSE), VLOOKUP($A140, LS_current!$B$4:$AY$138,LS_current!AL$148, FALSE))/2)</f>
        <v>-15167.420553549542</v>
      </c>
      <c r="CJ140" s="180">
        <f t="array" ref="CJ140">IF($BT140=0, INDEX(LS_current!$D$4:$AY$138, MATCH('Staging Table'!$A140, LS_current!$B$4:$B$138, 0), MATCH(CJ$4&amp;CJ$5, LS_current!$D$2:$AY$2&amp;LS_current!$D$3:$AY$3, 0)),SUM(VLOOKUP($A140, LS_current!$B$4:$AY$138, LS_current!O$148, FALSE), VLOOKUP($A140, LS_current!$B$4:$AY$138,LS_current!AM$148, FALSE))/2)</f>
        <v>-5958.7620236175717</v>
      </c>
      <c r="CK140" s="180">
        <f t="array" ref="CK140">IF($BT140=0, INDEX(LS_current!$D$4:$AY$138, MATCH('Staging Table'!$A140, LS_current!$B$4:$B$138, 0), MATCH(CK$4&amp;CK$5, LS_current!$D$2:$AY$2&amp;LS_current!$D$3:$AY$3, 0)),SUM(VLOOKUP($A140, LS_current!$B$4:$AY$138, LS_current!P$148, FALSE), VLOOKUP($A140, LS_current!$B$4:$AY$138,LS_current!AN$148, FALSE))/2)</f>
        <v>12914.345327522024</v>
      </c>
      <c r="CL140" s="180">
        <f t="array" ref="CL140">IF($BT140=0, INDEX(LS_current!$D$4:$AY$138, MATCH('Staging Table'!$A140, LS_current!$B$4:$B$138, 0), MATCH(CL$4&amp;CL$5, LS_current!$D$2:$AY$2&amp;LS_current!$D$3:$AY$3, 0)),SUM(VLOOKUP($A140, LS_current!$B$4:$AY$138, LS_current!Q$148, FALSE), VLOOKUP($A140, LS_current!$B$4:$AY$138,LS_current!AO$148, FALSE))/2)</f>
        <v>225.82822977940668</v>
      </c>
      <c r="CM140" s="180">
        <f t="array" ref="CM140">IF($BT140=0, INDEX(LS_current!$D$4:$AY$138, MATCH('Staging Table'!$A140, LS_current!$B$4:$B$138, 0), MATCH(CM$4&amp;CM$5, LS_current!$D$2:$AY$2&amp;LS_current!$D$3:$AY$3, 0)),SUM(VLOOKUP($A140, LS_current!$B$4:$AY$138, LS_current!R$148, FALSE), VLOOKUP($A140, LS_current!$B$4:$AY$138,LS_current!AP$148, FALSE))/2)</f>
        <v>-61374.51723516162</v>
      </c>
      <c r="CN140" s="180">
        <f t="array" ref="CN140">IF($BT140=0, INDEX(LS_current!$D$4:$AY$138, MATCH('Staging Table'!$A140, LS_current!$B$4:$B$138, 0), MATCH(CN$4&amp;CN$5, LS_current!$D$2:$AY$2&amp;LS_current!$D$3:$AY$3, 0)),SUM(VLOOKUP($A140, LS_current!$B$4:$AY$138, LS_current!S$148, FALSE), VLOOKUP($A140, LS_current!$B$4:$AY$138,LS_current!AQ$148, FALSE))/2)</f>
        <v>-39531.118686453177</v>
      </c>
      <c r="CO140" s="180">
        <f t="array" ref="CO140">IF($BT140=0, INDEX(LS_current!$D$4:$AY$138, MATCH('Staging Table'!$A140, LS_current!$B$4:$B$138, 0), MATCH(CO$4&amp;CO$5, LS_current!$D$2:$AY$2&amp;LS_current!$D$3:$AY$3, 0)),SUM(VLOOKUP($A140, LS_current!$B$4:$AY$138, LS_current!T$148, FALSE), VLOOKUP($A140, LS_current!$B$4:$AY$138,LS_current!AR$148, FALSE))/2)</f>
        <v>-63530.617167339165</v>
      </c>
      <c r="CP140" s="180">
        <f t="array" ref="CP140">IF($BT140=0, INDEX(LS_current!$D$4:$AY$138, MATCH('Staging Table'!$A140, LS_current!$B$4:$B$138, 0), MATCH(CP$4&amp;CP$5, LS_current!$D$2:$AY$2&amp;LS_current!$D$3:$AY$3, 0)),SUM(VLOOKUP($A140, LS_current!$B$4:$AY$138, LS_current!U$148, FALSE), VLOOKUP($A140, LS_current!$B$4:$AY$138,LS_current!AS$148, FALSE))/2)</f>
        <v>-33315.866195016395</v>
      </c>
      <c r="CQ140" s="180">
        <f t="array" ref="CQ140">IF($BT140=0, INDEX(LS_current!$D$4:$AY$138, MATCH('Staging Table'!$A140, LS_current!$B$4:$B$138, 0), MATCH(CQ$4&amp;CQ$5, LS_current!$D$2:$AY$2&amp;LS_current!$D$3:$AY$3, 0)),SUM(VLOOKUP($A140, LS_current!$B$4:$AY$138, LS_current!V$148, FALSE), VLOOKUP($A140, LS_current!$B$4:$AY$138,LS_current!AT$148, FALSE))/2)</f>
        <v>1716.6428498912137</v>
      </c>
      <c r="CR140" s="180">
        <f t="array" ref="CR140">IF($BT140=0, INDEX(LS_current!$D$4:$AY$138, MATCH('Staging Table'!$A140, LS_current!$B$4:$B$138, 0), MATCH(CR$4&amp;CR$5, LS_current!$D$2:$AY$2&amp;LS_current!$D$3:$AY$3, 0)),SUM(VLOOKUP($A140, LS_current!$B$4:$AY$138, LS_current!W$148, FALSE), VLOOKUP($A140, LS_current!$B$4:$AY$138,LS_current!AU$148, FALSE))/2)</f>
        <v>5181.8176814019971</v>
      </c>
      <c r="CS140" s="180">
        <f t="array" ref="CS140">IF($BT140=0, INDEX(LS_current!$D$4:$AY$138, MATCH('Staging Table'!$A140, LS_current!$B$4:$B$138, 0), MATCH(CS$4&amp;CS$5, LS_current!$D$2:$AY$2&amp;LS_current!$D$3:$AY$3, 0)),SUM(VLOOKUP($A140, LS_current!$B$4:$AY$138, LS_current!X$148, FALSE), VLOOKUP($A140, LS_current!$B$4:$AY$138,LS_current!AV$148, FALSE))/2)</f>
        <v>5025.8189095171983</v>
      </c>
      <c r="CT140" s="180">
        <f t="array" ref="CT140">IF($BT140=0, INDEX(LS_current!$D$4:$AY$138, MATCH('Staging Table'!$A140, LS_current!$B$4:$B$138, 0), MATCH(CT$4&amp;CT$5, LS_current!$D$2:$AY$2&amp;LS_current!$D$3:$AY$3, 0)),SUM(VLOOKUP($A140, LS_current!$B$4:$AY$138, LS_current!Y$148, FALSE), VLOOKUP($A140, LS_current!$B$4:$AY$138,LS_current!AW$148, FALSE))/2)</f>
        <v>-1699.5338112341124</v>
      </c>
      <c r="CU140" s="180">
        <f t="array" ref="CU140">IF($BT140=0, INDEX(LS_current!$D$4:$AY$138, MATCH('Staging Table'!$A140, LS_current!$B$4:$B$138, 0), MATCH(CU$4&amp;CU$5, LS_current!$D$2:$AY$2&amp;LS_current!$D$3:$AY$3, 0)),SUM(VLOOKUP($A140, LS_current!$B$4:$AY$138, LS_current!Z$148, FALSE), VLOOKUP($A140, LS_current!$B$4:$AY$138,LS_current!AX$148, FALSE))/2)</f>
        <v>-7166.5260917007981</v>
      </c>
      <c r="CV140" s="180">
        <f t="array" ref="CV140">IF($BT140=0, INDEX(LS_current!$D$4:$AY$138, MATCH('Staging Table'!$A140, LS_current!$B$4:$B$138, 0), MATCH(CV$4&amp;CV$5, LS_current!$D$2:$AY$2&amp;LS_current!$D$3:$AY$3, 0)),SUM(VLOOKUP($A140, LS_current!$B$4:$AY$138, LS_current!AA$148, FALSE), VLOOKUP($A140, LS_current!$B$4:$AY$138,LS_current!AY$148, FALSE))/2)</f>
        <v>-5908.8160314367851</v>
      </c>
      <c r="CW140" s="182">
        <f t="array" ref="CW140">INDEX(Demand_current!$D$4:$AY$138, MATCH($A140, Demand_current!$B$4:$B$138, 0), MATCH(CW$4&amp;CW$5,Demand_current!$D$2:$AY$2&amp;Demand_current!$D$3:$AY$3, 0))/1000</f>
        <v>67.958622115384458</v>
      </c>
      <c r="CX140" s="182">
        <f t="array" ref="CX140">INDEX(Demand_current!$D$4:$AY$138, MATCH($A140, Demand_current!$B$4:$B$138, 0), MATCH(CX$4&amp;CX$5,Demand_current!$D$2:$AY$2&amp;Demand_current!$D$3:$AY$3, 0))/1000</f>
        <v>95.745729999999611</v>
      </c>
      <c r="CY140" s="182">
        <f t="array" ref="CY140">INDEX(Demand_current!$D$4:$AY$138, MATCH($A140, Demand_current!$B$4:$B$138, 0), MATCH(CY$4&amp;CY$5,Demand_current!$D$2:$AY$2&amp;Demand_current!$D$3:$AY$3, 0))/1000</f>
        <v>142.88722999999979</v>
      </c>
      <c r="CZ140" s="182">
        <f t="array" ref="CZ140">INDEX(Demand_current!$D$4:$AY$138, MATCH($A140, Demand_current!$B$4:$B$138, 0), MATCH(CZ$4&amp;CZ$5,Demand_current!$D$2:$AY$2&amp;Demand_current!$D$3:$AY$3, 0))/1000</f>
        <v>100.74640961538455</v>
      </c>
      <c r="DA140" s="182">
        <f t="array" ref="DA140">INDEX(Demand_current!$D$4:$AY$138, MATCH($A140, Demand_current!$B$4:$B$138, 0), MATCH(DA$4&amp;DA$5,Demand_current!$D$2:$AY$2&amp;Demand_current!$D$3:$AY$3, 0))/1000</f>
        <v>64.178655000000219</v>
      </c>
      <c r="DB140" s="182">
        <f t="array" ref="DB140">INDEX(Demand_current!$D$4:$AY$138, MATCH($A140, Demand_current!$B$4:$B$138, 0), MATCH(DB$4&amp;DB$5,Demand_current!$D$2:$AY$2&amp;Demand_current!$D$3:$AY$3, 0))/1000</f>
        <v>100.26019519230735</v>
      </c>
      <c r="DC140" s="182">
        <f t="array" ref="DC140">INDEX(Demand_current!$D$4:$AY$138, MATCH($A140, Demand_current!$B$4:$B$138, 0), MATCH(DC$4&amp;DC$5,Demand_current!$D$2:$AY$2&amp;Demand_current!$D$3:$AY$3, 0))/1000</f>
        <v>118.39962980769226</v>
      </c>
      <c r="DD140" s="182">
        <f t="array" ref="DD140">INDEX(Demand_current!$D$4:$AY$138, MATCH($A140, Demand_current!$B$4:$B$138, 0), MATCH(DD$4&amp;DD$5,Demand_current!$D$2:$AY$2&amp;Demand_current!$D$3:$AY$3, 0))/1000</f>
        <v>125.47249807692303</v>
      </c>
      <c r="DE140" s="182">
        <f t="array" ref="DE140">INDEX(Demand_current!$D$4:$AY$138, MATCH($A140, Demand_current!$B$4:$B$138, 0), MATCH(DE$4&amp;DE$5,Demand_current!$D$2:$AY$2&amp;Demand_current!$D$3:$AY$3, 0))/1000</f>
        <v>94.96958499999991</v>
      </c>
      <c r="DF140" s="182">
        <f t="array" ref="DF140">INDEX(Demand_current!$D$4:$AY$138, MATCH($A140, Demand_current!$B$4:$B$138, 0), MATCH(DF$4&amp;DF$5,Demand_current!$D$2:$AY$2&amp;Demand_current!$D$3:$AY$3, 0))/1000</f>
        <v>132.26109471153842</v>
      </c>
      <c r="DG140" s="182">
        <f t="array" ref="DG140">INDEX(Demand_current!$D$4:$AY$138, MATCH($A140, Demand_current!$B$4:$B$138, 0), MATCH(DG$4&amp;DG$5,Demand_current!$D$2:$AY$2&amp;Demand_current!$D$3:$AY$3, 0))/1000</f>
        <v>132.09588518518493</v>
      </c>
      <c r="DH140" s="182">
        <f t="array" ref="DH140">INDEX(Demand_current!$D$4:$AY$138, MATCH($A140, Demand_current!$B$4:$B$138, 0), MATCH(DH$4&amp;DH$5,Demand_current!$D$2:$AY$2&amp;Demand_current!$D$3:$AY$3, 0))/1000</f>
        <v>89.905183854166509</v>
      </c>
      <c r="DI140" s="180">
        <f>$BS140*(VLOOKUP(DI$4, Rates_current!$G$6:$Q$29, 10, FALSE)+VLOOKUP(DI$4, Rates_current!$G$6:$Q$29, 11, FALSE))</f>
        <v>357244.92748081079</v>
      </c>
      <c r="DJ140" s="180">
        <f>$BS140*(VLOOKUP(DJ$4, Rates_current!$G$6:$Q$29, 10, FALSE)+VLOOKUP(DJ$4, Rates_current!$G$6:$Q$29, 11, FALSE))</f>
        <v>455605.08511535282</v>
      </c>
      <c r="DK140" s="180">
        <f>$BS140*(VLOOKUP(DK$4, Rates_current!$G$6:$Q$29, 10, FALSE)+VLOOKUP(DK$4, Rates_current!$G$6:$Q$29, 11, FALSE))</f>
        <v>491688.03337225202</v>
      </c>
      <c r="DL140" s="180">
        <f>$BS140*(VLOOKUP(DL$4, Rates_current!$G$6:$Q$29, 10, FALSE)+VLOOKUP(DL$4, Rates_current!$G$6:$Q$29, 11, FALSE))</f>
        <v>510939.87565812474</v>
      </c>
      <c r="DM140" s="180">
        <f>$BS140*(VLOOKUP(DM$4, Rates_current!$G$6:$Q$29, 10, FALSE)+VLOOKUP(DM$4, Rates_current!$G$6:$Q$29, 11, FALSE))</f>
        <v>439476.39700356952</v>
      </c>
      <c r="DN140" s="180">
        <f>$BS140*(VLOOKUP(DN$4, Rates_current!$G$6:$Q$29, 10, FALSE)+VLOOKUP(DN$4, Rates_current!$G$6:$Q$29, 11, FALSE))</f>
        <v>479821.21357716719</v>
      </c>
      <c r="DO140" s="180">
        <f>$BS140*(VLOOKUP(DO$4, Rates_current!$G$6:$Q$29, 10, FALSE)+VLOOKUP(DO$4, Rates_current!$G$6:$Q$29, 11, FALSE))</f>
        <v>378737.98844269855</v>
      </c>
      <c r="DP140" s="180">
        <f>$BS140*(VLOOKUP(DP$4, Rates_current!$G$6:$Q$29, 10, FALSE)+VLOOKUP(DP$4, Rates_current!$G$6:$Q$29, 11, FALSE))</f>
        <v>469875.22792161477</v>
      </c>
      <c r="DQ140" s="180">
        <f>$BS140*(VLOOKUP(DQ$4, Rates_current!$G$6:$Q$29, 10, FALSE)+VLOOKUP(DQ$4, Rates_current!$G$6:$Q$29, 11, FALSE))</f>
        <v>480070.34736235556</v>
      </c>
      <c r="DR140" s="180">
        <f>$BS140*(VLOOKUP(DR$4, Rates_current!$G$6:$Q$29, 10, FALSE)+VLOOKUP(DR$4, Rates_current!$G$6:$Q$29, 11, FALSE))</f>
        <v>416770.22446870676</v>
      </c>
      <c r="DS140" s="180">
        <f>$BS140*(VLOOKUP(DS$4, Rates_current!$G$6:$Q$29, 10, FALSE)+VLOOKUP(DS$4, Rates_current!$G$6:$Q$29, 11, FALSE))</f>
        <v>402906.02590171696</v>
      </c>
      <c r="DT140" s="180">
        <f>$BS140*(VLOOKUP(DT$4, Rates_current!$G$6:$Q$29, 10, FALSE)+VLOOKUP(DT$4, Rates_current!$G$6:$Q$29, 11, FALSE))</f>
        <v>370751.5661231376</v>
      </c>
      <c r="DU140" s="402">
        <f>IF(D140=0,IF(C140=0,MAX(0,DW140 - (VLOOKUP($A140,TOCA_current!$A$2:$AI$137,MATCH("RHWM 2024",TOCA_current!$A$2:$AI$2,0),FALSE)*$BS$2)), 0),0)</f>
        <v>0</v>
      </c>
      <c r="DV140" s="403">
        <f>MIN(VLOOKUP($A140,TOCA_current!$A$2:$AI$137,MATCH("TRL - NLSL - Existing Resource "&amp;$BS$1,TOCA_current!$A$2:$AI$2,0),FALSE)*$BS$2, VLOOKUP($A140,TOCA_current!$A$2:$AI$137,MATCH("RHWM 2024",TOCA_current!$A$2:$AI$2,0),FALSE)*$BS$2)</f>
        <v>5290392.3840000005</v>
      </c>
      <c r="DW140" s="403">
        <f>SUM(BY140:CV140)+(BS140*RT1SC!$C$4*$BS$2)</f>
        <v>5254528.9200827638</v>
      </c>
      <c r="DX140" s="403">
        <f>VLOOKUP($A140,TOCA_current!$A$2:$AI$137,MATCH("Above RHWM Not Served with LS "&amp;$BS$1,TOCA_current!$A$2:$AI$2,0),FALSE)*$BS$2</f>
        <v>589371.26400000008</v>
      </c>
      <c r="DY140" s="403">
        <f t="shared" si="51"/>
        <v>-35863.463917236775</v>
      </c>
      <c r="DZ140" s="403">
        <f>(VLOOKUP($A140,TOCA_current!$A$2:$AI$137,MATCH("RHWM 2024",TOCA_current!$A$2:$AI$2,0),FALSE)*$BS$2) - $DV140</f>
        <v>0</v>
      </c>
      <c r="EA140" s="403">
        <f t="shared" si="52"/>
        <v>0</v>
      </c>
      <c r="EB140" s="403">
        <f t="shared" si="53"/>
        <v>0</v>
      </c>
      <c r="EC140" s="403">
        <f t="shared" si="54"/>
        <v>0</v>
      </c>
      <c r="ED140" s="403">
        <f t="shared" si="55"/>
        <v>0</v>
      </c>
    </row>
    <row r="141" spans="1:134">
      <c r="DI141" s="180"/>
      <c r="DJ141" s="180"/>
      <c r="DK141" s="180"/>
      <c r="DL141" s="180"/>
      <c r="DM141" s="180"/>
      <c r="DN141" s="180"/>
      <c r="DO141" s="180"/>
      <c r="DP141" s="180"/>
      <c r="DQ141" s="180"/>
      <c r="DR141" s="180"/>
      <c r="DS141" s="180"/>
      <c r="DT141" s="180"/>
    </row>
    <row r="142" spans="1:134">
      <c r="DI142" s="180"/>
      <c r="DJ142" s="180"/>
      <c r="DK142" s="180"/>
      <c r="DL142" s="180"/>
      <c r="DM142" s="180"/>
      <c r="DN142" s="180"/>
      <c r="DO142" s="180"/>
      <c r="DP142" s="180"/>
      <c r="DQ142" s="180"/>
      <c r="DR142" s="180"/>
      <c r="DS142" s="180"/>
      <c r="DT142" s="180"/>
    </row>
  </sheetData>
  <mergeCells count="2">
    <mergeCell ref="E3:F3"/>
    <mergeCell ref="BR3:BS3"/>
  </mergeCells>
  <printOptions headings="1" gridLines="1"/>
  <pageMargins left="0.25" right="0.25" top="0.75" bottom="0.75" header="0.3" footer="0.3"/>
  <pageSetup paperSize="5" scale="24" fitToWidth="2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theme="9" tint="0.39997558519241921"/>
  </sheetPr>
  <dimension ref="A1:AI170"/>
  <sheetViews>
    <sheetView topLeftCell="B1" zoomScaleNormal="100" workbookViewId="0">
      <pane xSplit="2" ySplit="3" topLeftCell="D4" activePane="bottomRight" state="frozen"/>
      <selection activeCell="B1" sqref="B1"/>
      <selection pane="topRight" activeCell="D1" sqref="D1"/>
      <selection pane="bottomLeft" activeCell="B4" sqref="B4"/>
      <selection pane="bottomRight" activeCell="G41" sqref="G41"/>
    </sheetView>
  </sheetViews>
  <sheetFormatPr defaultRowHeight="14.4"/>
  <cols>
    <col min="1" max="1" width="9.5546875" style="2" customWidth="1"/>
    <col min="2" max="2" width="9.109375" style="22"/>
    <col min="3" max="3" width="28.44140625" style="22" bestFit="1" customWidth="1"/>
    <col min="4" max="8" width="12.6640625" customWidth="1"/>
    <col min="9" max="9" width="12.6640625" style="232" customWidth="1"/>
    <col min="10" max="10" width="12.6640625" style="191" customWidth="1"/>
    <col min="11" max="16" width="12.6640625" customWidth="1"/>
    <col min="17" max="17" width="12.6640625" style="71" customWidth="1"/>
    <col min="18" max="19" width="12.6640625" customWidth="1"/>
    <col min="20" max="20" width="13.5546875" style="232" customWidth="1"/>
    <col min="21" max="25" width="12.6640625" customWidth="1"/>
    <col min="26" max="26" width="15" bestFit="1" customWidth="1"/>
    <col min="27" max="27" width="8.44140625" style="53" bestFit="1" customWidth="1"/>
    <col min="28" max="28" width="24.44140625" customWidth="1"/>
    <col min="29" max="29" width="10.88671875" bestFit="1" customWidth="1"/>
    <col min="30" max="30" width="9.88671875" bestFit="1" customWidth="1"/>
    <col min="33" max="33" width="9.88671875" bestFit="1" customWidth="1"/>
  </cols>
  <sheetData>
    <row r="1" spans="1:35" ht="15.6">
      <c r="B1" s="47" t="s">
        <v>214</v>
      </c>
      <c r="C1" s="48"/>
    </row>
    <row r="2" spans="1:35">
      <c r="A2" s="49" t="s">
        <v>0</v>
      </c>
      <c r="B2" s="50"/>
      <c r="C2" s="48"/>
      <c r="D2" s="46" t="s">
        <v>149</v>
      </c>
      <c r="O2" s="46" t="s">
        <v>150</v>
      </c>
    </row>
    <row r="3" spans="1:35" s="57" customFormat="1">
      <c r="A3" s="55" t="s">
        <v>1</v>
      </c>
      <c r="B3" s="56" t="s">
        <v>2</v>
      </c>
      <c r="C3" s="51" t="s">
        <v>3</v>
      </c>
      <c r="D3" s="197" t="s">
        <v>159</v>
      </c>
      <c r="E3" s="197" t="s">
        <v>258</v>
      </c>
      <c r="F3" s="197" t="s">
        <v>208</v>
      </c>
      <c r="G3" s="197" t="s">
        <v>203</v>
      </c>
      <c r="H3" s="198" t="s">
        <v>239</v>
      </c>
      <c r="I3" s="197" t="s">
        <v>265</v>
      </c>
      <c r="J3" s="198" t="s">
        <v>259</v>
      </c>
      <c r="K3" s="197" t="s">
        <v>215</v>
      </c>
      <c r="L3" s="197" t="s">
        <v>179</v>
      </c>
      <c r="M3" s="197" t="s">
        <v>216</v>
      </c>
      <c r="N3" s="197" t="s">
        <v>221</v>
      </c>
      <c r="O3" s="202" t="s">
        <v>159</v>
      </c>
      <c r="P3" s="202" t="s">
        <v>258</v>
      </c>
      <c r="Q3" s="203" t="s">
        <v>208</v>
      </c>
      <c r="R3" s="203" t="s">
        <v>203</v>
      </c>
      <c r="S3" s="202" t="s">
        <v>239</v>
      </c>
      <c r="T3" s="203" t="s">
        <v>265</v>
      </c>
      <c r="U3" s="202" t="s">
        <v>259</v>
      </c>
      <c r="V3" s="203" t="s">
        <v>215</v>
      </c>
      <c r="W3" s="202" t="s">
        <v>179</v>
      </c>
      <c r="X3" s="203" t="s">
        <v>216</v>
      </c>
      <c r="Y3" s="203" t="s">
        <v>221</v>
      </c>
      <c r="Z3" s="205" t="s">
        <v>222</v>
      </c>
      <c r="AA3" s="206" t="s">
        <v>224</v>
      </c>
      <c r="AB3"/>
      <c r="AC3"/>
      <c r="AD3"/>
      <c r="AE3"/>
      <c r="AF3"/>
      <c r="AG3"/>
      <c r="AH3"/>
      <c r="AI3"/>
    </row>
    <row r="4" spans="1:35">
      <c r="B4" s="3">
        <v>10005</v>
      </c>
      <c r="C4" s="4" t="s">
        <v>7</v>
      </c>
      <c r="D4" s="199">
        <f>IF(Init!$R$9="Yes",'Staging Table'!E6,'Staging Table'!BR6)*Rates_previous!$E$76*100*12</f>
        <v>186092.62213285826</v>
      </c>
      <c r="E4" s="199">
        <f>IF(Init!$R$9="Yes",'Staging Table'!F6,'Staging Table'!BS6)*Rates_previous!$E$77*100*12</f>
        <v>-30724.338442292861</v>
      </c>
      <c r="F4" s="200">
        <f>IF(Init!$R$9="Yes",SUMPRODUCT('Staging Table'!L6:AI6,LS_Demand_Rates_Restatement!$C$4:$Z$4)-IF(Init!$R$12="No",('Staging Table'!BH6*Rates_previous!$H$34), 0),SUMPRODUCT('Staging Table'!BY6:CV6,LS_Demand_Rates_Restatement!$C$4:$Z$4)-IF(Init!$R$12="No", 'Staging Table'!DU6*Rates_previous!$H$34, 0))</f>
        <v>4107.9229739180228</v>
      </c>
      <c r="G4" s="200">
        <f>IF(Init!$R$9="Yes",SUMPRODUCT('Staging Table'!AJ6:AU6,LS_Demand_Rates_Restatement!$C$10:$N$10),SUMPRODUCT(LS_Demand_Rates_Restatement!$C$10:$N$10,'Staging Table'!CW6:DH6))*1000</f>
        <v>11802.05841203704</v>
      </c>
      <c r="H4" s="201">
        <f>IF(Init!$R$9="Yes",'Staging Table'!BQ6,'Staging Table'!ED6)*IF(Init!$R$3=2022,Rates_previous!$C$88,Rates_previous!$D$88)</f>
        <v>0</v>
      </c>
      <c r="I4" s="199">
        <v>0</v>
      </c>
      <c r="J4" s="201">
        <f>IF(Init!$R$9="Yes",IF('Staging Table'!D6=1,'Staging Table'!H6*-1,'Staging Table'!H6*SUM(D4:I4)*(-1)),IF('Staging Table'!D6=1,'Staging Table'!BU6*-1,'Staging Table'!BU6*SUM(D4:I4)*(-1)))</f>
        <v>-4079.8482741227181</v>
      </c>
      <c r="K4" s="199">
        <f>IF(Init!$R$9="Yes",'Staging Table'!K6,'Staging Table'!BX6)*(-1)*Rates_previous!$H$32</f>
        <v>0</v>
      </c>
      <c r="L4" s="199">
        <f>IF('Staging Table'!C6=1,"",SUM(D4:K4))</f>
        <v>167198.41680239775</v>
      </c>
      <c r="M4" s="199">
        <f>IF('Staging Table'!C6=1,"",IF(Init!$R$9="Yes",(RT1SC!$C$3*'Staging Table'!E6*'Staging Table'!$F$2)+SUM('Staging Table'!L6:AI6)-IF(Init!$R$12="No",'Staging Table'!BH6, 0),X4))</f>
        <v>4581.4800000000005</v>
      </c>
      <c r="N4" s="83">
        <f>IF('Staging Table'!C6=1,"",IF(M4=0, 0, L4/M4))</f>
        <v>36.494411588045288</v>
      </c>
      <c r="O4" s="199">
        <f>'Staging Table'!BR6*Rates_current!$E$76*100*12</f>
        <v>193312.09151999999</v>
      </c>
      <c r="P4" s="199">
        <f>'Staging Table'!BS6*Rates_current!$E$77*100*12</f>
        <v>-33972.317760000005</v>
      </c>
      <c r="Q4" s="200">
        <f>SUMPRODUCT('Staging Table'!BY6:CV6, LS_Demand_Rates_Restatement!$C$5:$Z$5)-IF(Init!$R$12="No",('Staging Table'!DU6*Rates_current!$H$34), 0)</f>
        <v>3931.5674596373428</v>
      </c>
      <c r="R4" s="200">
        <f>SUMPRODUCT('Staging Table'!CW6:DH6, LS_Demand_Rates_Restatement!$C$11:$N$11)*1000</f>
        <v>11948.385077831197</v>
      </c>
      <c r="S4" s="201">
        <f>'Staging Table'!ED6*IF(Init!$R$15="Yes",IF(Init!$R$6=2024,Rates_current!$C$88,Rates_current!$D$88),Rates_current!$H$33)</f>
        <v>0</v>
      </c>
      <c r="T4" s="201">
        <v>0</v>
      </c>
      <c r="U4" s="201">
        <f>IF('Staging Table'!D6=1, 'Staging Table'!BU6*-1,SUM(O4:T4)*'Staging Table'!BU6*-1)</f>
        <v>-3261.3890661207638</v>
      </c>
      <c r="V4" s="199">
        <f>'Staging Table'!BX6*Rates_current!$H$32*-1</f>
        <v>0</v>
      </c>
      <c r="W4" s="199">
        <f>IF('Staging Table'!C6=1,"",SUM(O4:V4))</f>
        <v>171958.33723134774</v>
      </c>
      <c r="X4" s="199">
        <f>IF('Staging Table'!C6=1,"",(RT1SC!$C$4*'Staging Table'!BR6*'Staging Table'!$BS$2)+SUM('Staging Table'!BY6:CV6)-IF(Init!$R$12="No",'Staging Table'!DU6, 0))</f>
        <v>4813.6320000000005</v>
      </c>
      <c r="Y4" s="83">
        <f>IF('Staging Table'!C6=1,"",IF(X4=0, 0, W4/X4))</f>
        <v>35.72319970270842</v>
      </c>
      <c r="Z4" s="76">
        <f ca="1">IF('Staging Table'!C6=1,"",(Y4/N4-1)+(RAND()/100000000000000))</f>
        <v>-2.1132328260068233E-2</v>
      </c>
      <c r="AA4" s="53">
        <f ca="1">IF(Z4="","",RANK(Z4,$Z$4:$Z$138))</f>
        <v>107</v>
      </c>
      <c r="AD4" s="204"/>
      <c r="AE4" s="204"/>
      <c r="AG4" s="204"/>
      <c r="AH4" s="204"/>
    </row>
    <row r="5" spans="1:35">
      <c r="B5" s="3">
        <v>10015</v>
      </c>
      <c r="C5" s="4" t="s">
        <v>8</v>
      </c>
      <c r="D5" s="199">
        <f>IF(Init!$R$9="Yes",'Staging Table'!E7,'Staging Table'!BR7)*Rates_previous!$E$76*100*12</f>
        <v>194725.78501531042</v>
      </c>
      <c r="E5" s="199">
        <f>IF(Init!$R$9="Yes",'Staging Table'!F7,'Staging Table'!BS7)*Rates_previous!$E$77*100*12</f>
        <v>-32149.694349409532</v>
      </c>
      <c r="F5" s="200">
        <f>IF(Init!$R$9="Yes",SUMPRODUCT('Staging Table'!L7:AI7,LS_Demand_Rates_Restatement!$C$4:$Z$4)-IF(Init!$R$12="No",('Staging Table'!BH7*Rates_previous!$H$34), 0),SUMPRODUCT('Staging Table'!BY7:CV7,LS_Demand_Rates_Restatement!$C$4:$Z$4)-IF(Init!$R$12="No", 'Staging Table'!DU7*Rates_previous!$H$34, 0))</f>
        <v>-7996.3485901835847</v>
      </c>
      <c r="G5" s="200">
        <f>IF(Init!$R$9="Yes",SUMPRODUCT('Staging Table'!AJ7:AU7,LS_Demand_Rates_Restatement!$C$10:$N$10),SUMPRODUCT(LS_Demand_Rates_Restatement!$C$10:$N$10,'Staging Table'!CW7:DH7))*1000</f>
        <v>29805.445854335823</v>
      </c>
      <c r="H5" s="201">
        <f>IF(Init!$R$9="Yes",'Staging Table'!BQ7,'Staging Table'!ED7)*IF(Init!$R$3=2022,Rates_previous!$C$88,Rates_previous!$D$88)</f>
        <v>0</v>
      </c>
      <c r="I5" s="199">
        <v>0</v>
      </c>
      <c r="J5" s="201">
        <f>IF(Init!$R$9="Yes",IF('Staging Table'!D7=1,'Staging Table'!H7*-1,'Staging Table'!H7*SUM(D5:I5)*(-1)),IF('Staging Table'!D7=1,'Staging Table'!BU7*-1,'Staging Table'!BU7*SUM(D5:I5)*(-1)))</f>
        <v>0</v>
      </c>
      <c r="K5" s="199">
        <f>IF(Init!$R$9="Yes",'Staging Table'!K7,'Staging Table'!BX7)*(-1)*Rates_previous!$H$32</f>
        <v>0</v>
      </c>
      <c r="L5" s="199">
        <f>IF('Staging Table'!C7=1,"",SUM(D5:K5))</f>
        <v>184385.18793005313</v>
      </c>
      <c r="M5" s="199">
        <f>IF('Staging Table'!C7=1,"",IF(Init!$R$9="Yes",(RT1SC!$C$3*'Staging Table'!E7*'Staging Table'!$F$2)+SUM('Staging Table'!L7:AI7)-IF(Init!$R$12="No",'Staging Table'!BH7, 0),X5))</f>
        <v>4791.72</v>
      </c>
      <c r="N5" s="297">
        <f>IF('Staging Table'!C7=1,"",IF(M5=0, 0, L5/M5))</f>
        <v>38.479958747600676</v>
      </c>
      <c r="O5" s="199">
        <f>'Staging Table'!BR7*Rates_current!$E$76*100*12</f>
        <v>202031.06472000002</v>
      </c>
      <c r="P5" s="199">
        <f>'Staging Table'!BS7*Rates_current!$E$77*100*12</f>
        <v>-35504.574359999999</v>
      </c>
      <c r="Q5" s="200">
        <f>SUMPRODUCT('Staging Table'!BY7:CV7, LS_Demand_Rates_Restatement!$C$5:$Z$5)-IF(Init!$R$12="No",('Staging Table'!DU7*Rates_current!$H$34), 0)</f>
        <v>2322.7725069005364</v>
      </c>
      <c r="R5" s="200">
        <f>SUMPRODUCT('Staging Table'!CW7:DH7, LS_Demand_Rates_Restatement!$C$11:$N$11)*1000</f>
        <v>30078.719940598286</v>
      </c>
      <c r="S5" s="201">
        <f>'Staging Table'!ED7*IF(Init!$R$15="Yes",IF(Init!$R$6=2024,Rates_current!$C$88,Rates_current!$D$88),Rates_current!$H$33)</f>
        <v>0</v>
      </c>
      <c r="T5" s="201">
        <v>0</v>
      </c>
      <c r="U5" s="201">
        <f>IF('Staging Table'!D7=1, 'Staging Table'!BU7*-1,SUM(O5:T5)*'Staging Table'!BU7*-1)</f>
        <v>0</v>
      </c>
      <c r="V5" s="199">
        <f>'Staging Table'!BX7*Rates_current!$H$32*-1</f>
        <v>0</v>
      </c>
      <c r="W5" s="199">
        <f>IF('Staging Table'!C7=1,"",SUM(O5:V5))</f>
        <v>198927.98280749886</v>
      </c>
      <c r="X5" s="199">
        <f>IF('Staging Table'!C7=1,"",(RT1SC!$C$4*'Staging Table'!BR7*'Staging Table'!$BS$2)+SUM('Staging Table'!BY7:CV7)-IF(Init!$R$12="No",'Staging Table'!DU7, 0))</f>
        <v>5033.232</v>
      </c>
      <c r="Y5" s="297">
        <f>IF('Staging Table'!C7=1,"",IF(X5=0, 0, W5/X5))</f>
        <v>39.522911482621673</v>
      </c>
      <c r="Z5" s="76">
        <f ca="1">IF('Staging Table'!C7=1,"",(Y5/N5-1)+(RAND()/100000000000000))</f>
        <v>2.7103790361682457E-2</v>
      </c>
      <c r="AA5" s="53">
        <f t="shared" ref="AA5:AA67" ca="1" si="0">IF(Z5="","",RANK(Z5,$Z$4:$Z$138))</f>
        <v>9</v>
      </c>
      <c r="AD5" s="204"/>
      <c r="AE5" s="204"/>
      <c r="AF5" s="208"/>
      <c r="AG5" s="204"/>
      <c r="AH5" s="204"/>
    </row>
    <row r="6" spans="1:35">
      <c r="B6" s="3">
        <v>10024</v>
      </c>
      <c r="C6" s="4" t="s">
        <v>9</v>
      </c>
      <c r="D6" s="199">
        <f>IF(Init!$R$9="Yes",'Staging Table'!E8,'Staging Table'!BR8)*Rates_previous!$E$76*100*12</f>
        <v>68351148.641174644</v>
      </c>
      <c r="E6" s="199">
        <f>IF(Init!$R$9="Yes",'Staging Table'!F8,'Staging Table'!BS8)*Rates_previous!$E$77*100*12</f>
        <v>-11284938.64883917</v>
      </c>
      <c r="F6" s="200">
        <f>IF(Init!$R$9="Yes",SUMPRODUCT('Staging Table'!L8:AI8,LS_Demand_Rates_Restatement!$C$4:$Z$4)-IF(Init!$R$12="No",('Staging Table'!BH8*Rates_previous!$H$34), 0),SUMPRODUCT('Staging Table'!BY8:CV8,LS_Demand_Rates_Restatement!$C$4:$Z$4)-IF(Init!$R$12="No", 'Staging Table'!DU8*Rates_previous!$H$34, 0))</f>
        <v>-1323634.0078960115</v>
      </c>
      <c r="G6" s="200">
        <f>IF(Init!$R$9="Yes",SUMPRODUCT('Staging Table'!AJ8:AU8,LS_Demand_Rates_Restatement!$C$10:$N$10),SUMPRODUCT(LS_Demand_Rates_Restatement!$C$10:$N$10,'Staging Table'!CW8:DH8))*1000</f>
        <v>3379270.3141434025</v>
      </c>
      <c r="H6" s="201">
        <f>IF(Init!$R$9="Yes",'Staging Table'!BQ8,'Staging Table'!ED8)*IF(Init!$R$3=2022,Rates_previous!$C$88,Rates_previous!$D$88)</f>
        <v>0</v>
      </c>
      <c r="I6" s="199">
        <v>0</v>
      </c>
      <c r="J6" s="201">
        <f>IF(Init!$R$9="Yes",IF('Staging Table'!D8=1,'Staging Table'!H8*-1,'Staging Table'!H8*SUM(D6:I6)*(-1)),IF('Staging Table'!D8=1,'Staging Table'!BU8*-1,'Staging Table'!BU8*SUM(D6:I6)*(-1)))</f>
        <v>0</v>
      </c>
      <c r="K6" s="199">
        <f>IF(Init!$R$9="Yes",'Staging Table'!K8,'Staging Table'!BX8)*(-1)*Rates_previous!$H$32</f>
        <v>-3403407.2800000003</v>
      </c>
      <c r="L6" s="199">
        <f>IF('Staging Table'!C8=1,"",SUM(D6:K6))</f>
        <v>55718439.018582866</v>
      </c>
      <c r="M6" s="199">
        <f>IF('Staging Table'!C8=1,"",IF(Init!$R$9="Yes",(RT1SC!$C$3*'Staging Table'!E8*'Staging Table'!$F$2)+SUM('Staging Table'!L8:AI8)-IF(Init!$R$12="No",'Staging Table'!BH8, 0),X6))</f>
        <v>1652559.5450379523</v>
      </c>
      <c r="N6" s="297">
        <f>IF('Staging Table'!C8=1,"",IF(M6=0, 0, L6/M6))</f>
        <v>33.716448636229472</v>
      </c>
      <c r="O6" s="199">
        <f>'Staging Table'!BR8*Rates_current!$E$76*100*12</f>
        <v>70862333.67216</v>
      </c>
      <c r="P6" s="199">
        <f>'Staging Table'!BS8*Rates_current!$E$77*100*12</f>
        <v>-12453218.512080001</v>
      </c>
      <c r="Q6" s="200">
        <f>SUMPRODUCT('Staging Table'!BY8:CV8, LS_Demand_Rates_Restatement!$C$5:$Z$5)-IF(Init!$R$12="No",('Staging Table'!DU8*Rates_current!$H$34), 0)</f>
        <v>-1019138.4433696726</v>
      </c>
      <c r="R6" s="200">
        <f>SUMPRODUCT('Staging Table'!CW8:DH8, LS_Demand_Rates_Restatement!$C$11:$N$11)*1000</f>
        <v>3389052.1608673879</v>
      </c>
      <c r="S6" s="201">
        <f>'Staging Table'!ED8*IF(Init!$R$15="Yes",IF(Init!$R$6=2024,Rates_current!$C$88,Rates_current!$D$88),Rates_current!$H$33)</f>
        <v>0</v>
      </c>
      <c r="T6" s="201">
        <v>0</v>
      </c>
      <c r="U6" s="201">
        <f>IF('Staging Table'!D8=1, 'Staging Table'!BU8*-1,SUM(O6:T6)*'Staging Table'!BU8*-1)</f>
        <v>0</v>
      </c>
      <c r="V6" s="199">
        <f>'Staging Table'!BX8*Rates_current!$H$32*-1</f>
        <v>-3612607.5440000002</v>
      </c>
      <c r="W6" s="199">
        <f>IF('Staging Table'!C8=1,"",SUM(O6:V6))</f>
        <v>57166421.333577715</v>
      </c>
      <c r="X6" s="199">
        <f>IF('Staging Table'!C8=1,"",(RT1SC!$C$4*'Staging Table'!BR8*'Staging Table'!$BS$2)+SUM('Staging Table'!BY8:CV8)-IF(Init!$R$12="No",'Staging Table'!DU8, 0))</f>
        <v>1711907.8910899854</v>
      </c>
      <c r="Y6" s="297">
        <f>IF('Staging Table'!C8=1,"",IF(X6=0, 0, W6/X6))</f>
        <v>33.393397875617829</v>
      </c>
      <c r="Z6" s="76">
        <f ca="1">IF('Staging Table'!C8=1,"",(Y6/N6-1)+(RAND()/100000000000000))</f>
        <v>-9.5813993963851617E-3</v>
      </c>
      <c r="AA6" s="53">
        <f t="shared" ca="1" si="0"/>
        <v>67</v>
      </c>
      <c r="AD6" s="204"/>
      <c r="AE6" s="204"/>
      <c r="AF6" s="208"/>
      <c r="AG6" s="204"/>
      <c r="AH6" s="204"/>
    </row>
    <row r="7" spans="1:35">
      <c r="B7" s="3">
        <v>10025</v>
      </c>
      <c r="C7" s="4" t="s">
        <v>10</v>
      </c>
      <c r="D7" s="199">
        <f>IF(Init!$R$9="Yes",'Staging Table'!E9,'Staging Table'!BR9)*Rates_previous!$E$76*100*12</f>
        <v>20259155.564154468</v>
      </c>
      <c r="E7" s="199">
        <f>IF(Init!$R$9="Yes",'Staging Table'!F9,'Staging Table'!BS9)*Rates_previous!$E$77*100*12</f>
        <v>-3344835.1953671398</v>
      </c>
      <c r="F7" s="200">
        <f>IF(Init!$R$9="Yes",SUMPRODUCT('Staging Table'!L9:AI9,LS_Demand_Rates_Restatement!$C$4:$Z$4)-IF(Init!$R$12="No",('Staging Table'!BH9*Rates_previous!$H$34), 0),SUMPRODUCT('Staging Table'!BY9:CV9,LS_Demand_Rates_Restatement!$C$4:$Z$4)-IF(Init!$R$12="No", 'Staging Table'!DU9*Rates_previous!$H$34, 0))</f>
        <v>-670350.10222459876</v>
      </c>
      <c r="G7" s="200">
        <f>IF(Init!$R$9="Yes",SUMPRODUCT('Staging Table'!AJ9:AU9,LS_Demand_Rates_Restatement!$C$10:$N$10),SUMPRODUCT(LS_Demand_Rates_Restatement!$C$10:$N$10,'Staging Table'!CW9:DH9))*1000</f>
        <v>875127.49292962975</v>
      </c>
      <c r="H7" s="201">
        <f>IF(Init!$R$9="Yes",'Staging Table'!BQ9,'Staging Table'!ED9)*IF(Init!$R$3=2022,Rates_previous!$C$88,Rates_previous!$D$88)</f>
        <v>0</v>
      </c>
      <c r="I7" s="199">
        <v>0</v>
      </c>
      <c r="J7" s="201">
        <f>IF(Init!$R$9="Yes",IF('Staging Table'!D9=1,'Staging Table'!H9*-1,'Staging Table'!H9*SUM(D7:I7)*(-1)),IF('Staging Table'!D9=1,'Staging Table'!BU9*-1,'Staging Table'!BU9*SUM(D7:I7)*(-1)))</f>
        <v>-1102983.4686440928</v>
      </c>
      <c r="K7" s="199">
        <f>IF(Init!$R$9="Yes",'Staging Table'!K9,'Staging Table'!BX9)*(-1)*Rates_previous!$H$32</f>
        <v>-903619.34130000009</v>
      </c>
      <c r="L7" s="199">
        <f>IF('Staging Table'!C9=1,"",SUM(D7:K7))</f>
        <v>15112494.949548267</v>
      </c>
      <c r="M7" s="199">
        <f>IF('Staging Table'!C9=1,"",IF(Init!$R$9="Yes",(RT1SC!$C$3*'Staging Table'!E9*'Staging Table'!$F$2)+SUM('Staging Table'!L9:AI9)-IF(Init!$R$12="No",'Staging Table'!BH9, 0),X7))</f>
        <v>479550.30850149185</v>
      </c>
      <c r="N7" s="297">
        <f>IF('Staging Table'!C9=1,"",IF(M7=0, 0, L7/M7))</f>
        <v>31.513888494352315</v>
      </c>
      <c r="O7" s="199">
        <f>'Staging Table'!BR9*Rates_current!$E$76*100*12</f>
        <v>21040875.23976</v>
      </c>
      <c r="P7" s="199">
        <f>'Staging Table'!BS9*Rates_current!$E$77*100*12</f>
        <v>-3697685.4058800004</v>
      </c>
      <c r="Q7" s="200">
        <f>SUMPRODUCT('Staging Table'!BY9:CV9, LS_Demand_Rates_Restatement!$C$5:$Z$5)-IF(Init!$R$12="No",('Staging Table'!DU9*Rates_current!$H$34), 0)</f>
        <v>193389.8999841226</v>
      </c>
      <c r="R7" s="200">
        <f>SUMPRODUCT('Staging Table'!CW9:DH9, LS_Demand_Rates_Restatement!$C$11:$N$11)*1000</f>
        <v>960566.94925870735</v>
      </c>
      <c r="S7" s="201">
        <f>'Staging Table'!ED9*IF(Init!$R$15="Yes",IF(Init!$R$6=2024,Rates_current!$C$88,Rates_current!$D$88),Rates_current!$H$33)</f>
        <v>0</v>
      </c>
      <c r="T7" s="201">
        <v>0</v>
      </c>
      <c r="U7" s="201">
        <f>IF('Staging Table'!D9=1, 'Staging Table'!BU9*-1,SUM(O7:T7)*'Staging Table'!BU9*-1)</f>
        <v>-1105419.9200836672</v>
      </c>
      <c r="V7" s="199">
        <f>'Staging Table'!BX9*Rates_current!$H$32*-1</f>
        <v>-959162.91549000004</v>
      </c>
      <c r="W7" s="199">
        <f>IF('Staging Table'!C9=1,"",SUM(O7:V7))</f>
        <v>16432563.847549161</v>
      </c>
      <c r="X7" s="199">
        <f>IF('Staging Table'!C9=1,"",(RT1SC!$C$4*'Staging Table'!BR9*'Staging Table'!$BS$2)+SUM('Staging Table'!BY9:CV9)-IF(Init!$R$12="No",'Staging Table'!DU9, 0))</f>
        <v>519652.24540212768</v>
      </c>
      <c r="Y7" s="297">
        <f>IF('Staging Table'!C9=1,"",IF(X7=0, 0, W7/X7))</f>
        <v>31.622231969445231</v>
      </c>
      <c r="Z7" s="76">
        <f ca="1">IF('Staging Table'!C9=1,"",(Y7/N7-1)+(RAND()/100000000000000))</f>
        <v>3.4379595876461388E-3</v>
      </c>
      <c r="AA7" s="53">
        <f t="shared" ca="1" si="0"/>
        <v>24</v>
      </c>
      <c r="AD7" s="204"/>
      <c r="AE7" s="204"/>
      <c r="AF7" s="208"/>
      <c r="AG7" s="204"/>
      <c r="AH7" s="204"/>
    </row>
    <row r="8" spans="1:35">
      <c r="B8" s="3">
        <v>10027</v>
      </c>
      <c r="C8" s="4" t="s">
        <v>11</v>
      </c>
      <c r="D8" s="199">
        <f>IF(Init!$R$9="Yes",'Staging Table'!E10,'Staging Table'!BR10)*Rates_previous!$E$76*100*12</f>
        <v>20780502.678222552</v>
      </c>
      <c r="E8" s="199">
        <f>IF(Init!$R$9="Yes",'Staging Table'!F10,'Staging Table'!BS10)*Rates_previous!$E$77*100*12</f>
        <v>-3430910.8548691305</v>
      </c>
      <c r="F8" s="200">
        <f>IF(Init!$R$9="Yes",SUMPRODUCT('Staging Table'!L10:AI10,LS_Demand_Rates_Restatement!$C$4:$Z$4)-IF(Init!$R$12="No",('Staging Table'!BH10*Rates_previous!$H$34), 0),SUMPRODUCT('Staging Table'!BY10:CV10,LS_Demand_Rates_Restatement!$C$4:$Z$4)-IF(Init!$R$12="No", 'Staging Table'!DU10*Rates_previous!$H$34, 0))</f>
        <v>-846901.66200050223</v>
      </c>
      <c r="G8" s="200">
        <f>IF(Init!$R$9="Yes",SUMPRODUCT('Staging Table'!AJ10:AU10,LS_Demand_Rates_Restatement!$C$10:$N$10),SUMPRODUCT(LS_Demand_Rates_Restatement!$C$10:$N$10,'Staging Table'!CW10:DH10))*1000</f>
        <v>1251505.6317212158</v>
      </c>
      <c r="H8" s="201">
        <f>IF(Init!$R$9="Yes",'Staging Table'!BQ10,'Staging Table'!ED10)*IF(Init!$R$3=2022,Rates_previous!$C$88,Rates_previous!$D$88)</f>
        <v>0</v>
      </c>
      <c r="I8" s="199">
        <v>0</v>
      </c>
      <c r="J8" s="201">
        <f>IF(Init!$R$9="Yes",IF('Staging Table'!D10=1,'Staging Table'!H10*-1,'Staging Table'!H10*SUM(D8:I8)*(-1)),IF('Staging Table'!D10=1,'Staging Table'!BU10*-1,'Staging Table'!BU10*SUM(D8:I8)*(-1)))</f>
        <v>-1410925.9396756014</v>
      </c>
      <c r="K8" s="199">
        <f>IF(Init!$R$9="Yes",'Staging Table'!K10,'Staging Table'!BX10)*(-1)*Rates_previous!$H$32</f>
        <v>-2285397.986</v>
      </c>
      <c r="L8" s="199">
        <f>IF('Staging Table'!C10=1,"",SUM(D8:K8))</f>
        <v>14057871.867398534</v>
      </c>
      <c r="M8" s="199">
        <f>IF('Staging Table'!C10=1,"",IF(Init!$R$9="Yes",(RT1SC!$C$3*'Staging Table'!E10*'Staging Table'!$F$2)+SUM('Staging Table'!L10:AI10)-IF(Init!$R$12="No",'Staging Table'!BH10, 0),X8))</f>
        <v>511347.48</v>
      </c>
      <c r="N8" s="297">
        <f>IF('Staging Table'!C10=1,"",IF(M8=0, 0, L8/M8))</f>
        <v>27.491818024405898</v>
      </c>
      <c r="O8" s="199">
        <f>'Staging Table'!BR10*Rates_current!$E$76*100*12</f>
        <v>21582198.918720003</v>
      </c>
      <c r="P8" s="199">
        <f>'Staging Table'!BS10*Rates_current!$E$77*100*12</f>
        <v>-3792816.6513600005</v>
      </c>
      <c r="Q8" s="200">
        <f>SUMPRODUCT('Staging Table'!BY10:CV10, LS_Demand_Rates_Restatement!$C$5:$Z$5)-IF(Init!$R$12="No",('Staging Table'!DU10*Rates_current!$H$34), 0)</f>
        <v>-382746.72654391848</v>
      </c>
      <c r="R8" s="200">
        <f>SUMPRODUCT('Staging Table'!CW10:DH10, LS_Demand_Rates_Restatement!$C$11:$N$11)*1000</f>
        <v>1294239.7322166399</v>
      </c>
      <c r="S8" s="201">
        <f>'Staging Table'!ED10*IF(Init!$R$15="Yes",IF(Init!$R$6=2024,Rates_current!$C$88,Rates_current!$D$88),Rates_current!$H$33)</f>
        <v>0</v>
      </c>
      <c r="T8" s="201">
        <v>0</v>
      </c>
      <c r="U8" s="201">
        <f>IF('Staging Table'!D10=1, 'Staging Table'!BU10*-1,SUM(O8:T8)*'Staging Table'!BU10*-1)</f>
        <v>-1450184.2091445453</v>
      </c>
      <c r="V8" s="199">
        <f>'Staging Table'!BX10*Rates_current!$H$32*-1</f>
        <v>-2425876.5778000001</v>
      </c>
      <c r="W8" s="199">
        <f>IF('Staging Table'!C10=1,"",SUM(O8:V8))</f>
        <v>14824814.486088181</v>
      </c>
      <c r="X8" s="199">
        <f>IF('Staging Table'!C10=1,"",(RT1SC!$C$4*'Staging Table'!BR10*'Staging Table'!$BS$2)+SUM('Staging Table'!BY10:CV10)-IF(Init!$R$12="No",'Staging Table'!DU10, 0))</f>
        <v>537528.09600000002</v>
      </c>
      <c r="Y8" s="297">
        <f>IF('Staging Table'!C10=1,"",IF(X8=0, 0, W8/X8))</f>
        <v>27.5796085756384</v>
      </c>
      <c r="Z8" s="76">
        <f ca="1">IF('Staging Table'!C10=1,"",(Y8/N8-1)+(RAND()/100000000000000))</f>
        <v>3.1933337822408554E-3</v>
      </c>
      <c r="AA8" s="53">
        <f t="shared" ca="1" si="0"/>
        <v>26</v>
      </c>
      <c r="AD8" s="204"/>
      <c r="AE8" s="204"/>
      <c r="AF8" s="208"/>
      <c r="AG8" s="204"/>
      <c r="AH8" s="204"/>
    </row>
    <row r="9" spans="1:35">
      <c r="B9" s="3">
        <v>10029</v>
      </c>
      <c r="C9" s="4" t="s">
        <v>12</v>
      </c>
      <c r="D9" s="199">
        <f>IF(Init!$R$9="Yes",'Staging Table'!E11,'Staging Table'!BR11)*Rates_previous!$E$76*100*12</f>
        <v>5982062.4472991619</v>
      </c>
      <c r="E9" s="199">
        <f>IF(Init!$R$9="Yes",'Staging Table'!F11,'Staging Table'!BS11)*Rates_previous!$E$77*100*12</f>
        <v>-987652.8639729321</v>
      </c>
      <c r="F9" s="200">
        <f>IF(Init!$R$9="Yes",SUMPRODUCT('Staging Table'!L11:AI11,LS_Demand_Rates_Restatement!$C$4:$Z$4)-IF(Init!$R$12="No",('Staging Table'!BH11*Rates_previous!$H$34), 0),SUMPRODUCT('Staging Table'!BY11:CV11,LS_Demand_Rates_Restatement!$C$4:$Z$4)-IF(Init!$R$12="No", 'Staging Table'!DU11*Rates_previous!$H$34, 0))</f>
        <v>0</v>
      </c>
      <c r="G9" s="200">
        <f>IF(Init!$R$9="Yes",SUMPRODUCT('Staging Table'!AJ11:AU11,LS_Demand_Rates_Restatement!$C$10:$N$10),SUMPRODUCT(LS_Demand_Rates_Restatement!$C$10:$N$10,'Staging Table'!CW11:DH11))*1000</f>
        <v>0</v>
      </c>
      <c r="H9" s="201">
        <f>IF(Init!$R$9="Yes",'Staging Table'!BQ11,'Staging Table'!ED11)*IF(Init!$R$3=2022,Rates_previous!$C$88,Rates_previous!$D$88)</f>
        <v>0</v>
      </c>
      <c r="I9" s="199">
        <v>0</v>
      </c>
      <c r="J9" s="201">
        <f>IF(Init!$R$9="Yes",IF('Staging Table'!D11=1,'Staging Table'!H11*-1,'Staging Table'!H11*SUM(D9:I9)*(-1)),IF('Staging Table'!D11=1,'Staging Table'!BU11*-1,'Staging Table'!BU11*SUM(D9:I9)*(-1)))</f>
        <v>-423376.1003785645</v>
      </c>
      <c r="K9" s="199">
        <f>IF(Init!$R$9="Yes",'Staging Table'!K11,'Staging Table'!BX11)*(-1)*Rates_previous!$H$32</f>
        <v>0</v>
      </c>
      <c r="L9" s="199" t="str">
        <f>IF('Staging Table'!C11=1,"",SUM(D9:K9))</f>
        <v/>
      </c>
      <c r="M9" s="199" t="str">
        <f>IF('Staging Table'!C11=1,"",IF(Init!$R$9="Yes",(RT1SC!$C$3*'Staging Table'!E11*'Staging Table'!$F$2)+SUM('Staging Table'!L11:AI11)-IF(Init!$R$12="No",'Staging Table'!BH11, 0),X9))</f>
        <v/>
      </c>
      <c r="N9" s="297" t="str">
        <f>IF('Staging Table'!C11=1,"",IF(M9=0, 0, L9/M9))</f>
        <v/>
      </c>
      <c r="O9" s="199">
        <f>'Staging Table'!BR11*Rates_current!$E$76*100*12</f>
        <v>6212891.1888000006</v>
      </c>
      <c r="P9" s="199">
        <f>'Staging Table'!BS11*Rates_current!$E$77*100*12</f>
        <v>-1091842.2744</v>
      </c>
      <c r="Q9" s="200">
        <f>SUMPRODUCT('Staging Table'!BY11:CV11, LS_Demand_Rates_Restatement!$C$5:$Z$5)-IF(Init!$R$12="No",('Staging Table'!DU11*Rates_current!$H$34), 0)</f>
        <v>0</v>
      </c>
      <c r="R9" s="200">
        <f>SUMPRODUCT('Staging Table'!CW11:DH11, LS_Demand_Rates_Restatement!$C$11:$N$11)*1000</f>
        <v>0</v>
      </c>
      <c r="S9" s="201">
        <f>'Staging Table'!ED11*IF(Init!$R$15="Yes",IF(Init!$R$6=2024,Rates_current!$C$88,Rates_current!$D$88),Rates_current!$H$33)</f>
        <v>0</v>
      </c>
      <c r="T9" s="201">
        <v>0</v>
      </c>
      <c r="U9" s="201">
        <f>IF('Staging Table'!D11=1, 'Staging Table'!BU11*-1,SUM(O9:T9)*'Staging Table'!BU11*-1)</f>
        <v>-409641.76101232087</v>
      </c>
      <c r="V9" s="199">
        <f>'Staging Table'!BX11*Rates_current!$H$32*-1</f>
        <v>0</v>
      </c>
      <c r="W9" s="199" t="str">
        <f>IF('Staging Table'!C11=1,"",SUM(O9:V9))</f>
        <v/>
      </c>
      <c r="X9" s="199" t="str">
        <f>IF('Staging Table'!C11=1,"",(RT1SC!$C$4*'Staging Table'!BR11*'Staging Table'!$BS$2)+SUM('Staging Table'!BY11:CV11)-IF(Init!$R$12="No",'Staging Table'!DU11, 0))</f>
        <v/>
      </c>
      <c r="Y9" s="297" t="str">
        <f>IF('Staging Table'!C11=1,"",IF(X9=0, 0, W9/X9))</f>
        <v/>
      </c>
      <c r="Z9" s="76" t="str">
        <f ca="1">IF('Staging Table'!C11=1,"",(Y9/N9-1)+(RAND()/100000000000000))</f>
        <v/>
      </c>
      <c r="AA9" s="53" t="str">
        <f t="shared" ca="1" si="0"/>
        <v/>
      </c>
      <c r="AD9" s="204"/>
      <c r="AE9" s="204"/>
      <c r="AF9" s="208"/>
      <c r="AG9" s="204"/>
      <c r="AH9" s="204"/>
    </row>
    <row r="10" spans="1:35">
      <c r="B10" s="3">
        <v>10044</v>
      </c>
      <c r="C10" s="4" t="s">
        <v>13</v>
      </c>
      <c r="D10" s="199">
        <f>IF(Init!$R$9="Yes",'Staging Table'!E12,'Staging Table'!BR12)*Rates_previous!$E$76*100*12</f>
        <v>6896698.0926789567</v>
      </c>
      <c r="E10" s="199">
        <f>IF(Init!$R$9="Yes",'Staging Table'!F12,'Staging Table'!BS12)*Rates_previous!$E$77*100*12</f>
        <v>-1138661.4036880156</v>
      </c>
      <c r="F10" s="200">
        <f>IF(Init!$R$9="Yes",SUMPRODUCT('Staging Table'!L12:AI12,LS_Demand_Rates_Restatement!$C$4:$Z$4)-IF(Init!$R$12="No",('Staging Table'!BH12*Rates_previous!$H$34), 0),SUMPRODUCT('Staging Table'!BY12:CV12,LS_Demand_Rates_Restatement!$C$4:$Z$4)-IF(Init!$R$12="No", 'Staging Table'!DU12*Rates_previous!$H$34, 0))</f>
        <v>94471.395084161719</v>
      </c>
      <c r="G10" s="200">
        <f>IF(Init!$R$9="Yes",SUMPRODUCT('Staging Table'!AJ12:AU12,LS_Demand_Rates_Restatement!$C$10:$N$10),SUMPRODUCT(LS_Demand_Rates_Restatement!$C$10:$N$10,'Staging Table'!CW12:DH12))*1000</f>
        <v>281784.84224092786</v>
      </c>
      <c r="H10" s="201">
        <f>IF(Init!$R$9="Yes",'Staging Table'!BQ12,'Staging Table'!ED12)*IF(Init!$R$3=2022,Rates_previous!$C$88,Rates_previous!$D$88)</f>
        <v>0</v>
      </c>
      <c r="I10" s="199">
        <v>0</v>
      </c>
      <c r="J10" s="201">
        <f>IF(Init!$R$9="Yes",IF('Staging Table'!D12=1,'Staging Table'!H12*-1,'Staging Table'!H12*SUM(D10:I10)*(-1)),IF('Staging Table'!D12=1,'Staging Table'!BU12*-1,'Staging Table'!BU12*SUM(D10:I10)*(-1)))</f>
        <v>0</v>
      </c>
      <c r="K10" s="199">
        <f>IF(Init!$R$9="Yes",'Staging Table'!K12,'Staging Table'!BX12)*(-1)*Rates_previous!$H$32</f>
        <v>0</v>
      </c>
      <c r="L10" s="199">
        <f>IF('Staging Table'!C12=1,"",SUM(D10:K10))</f>
        <v>6134292.9263160303</v>
      </c>
      <c r="M10" s="199">
        <f>IF('Staging Table'!C12=1,"",IF(Init!$R$9="Yes",(RT1SC!$C$3*'Staging Table'!E12*'Staging Table'!$F$2)+SUM('Staging Table'!L12:AI12)-IF(Init!$R$12="No",'Staging Table'!BH12, 0),X10))</f>
        <v>169707.48</v>
      </c>
      <c r="N10" s="297">
        <f>IF('Staging Table'!C12=1,"",IF(M10=0, 0, L10/M10))</f>
        <v>36.146273141973644</v>
      </c>
      <c r="O10" s="199">
        <f>'Staging Table'!BR12*Rates_current!$E$76*100*12</f>
        <v>7162761.0405599996</v>
      </c>
      <c r="P10" s="199">
        <f>'Staging Table'!BS12*Rates_current!$E$77*100*12</f>
        <v>-1258770.68628</v>
      </c>
      <c r="Q10" s="200">
        <f>SUMPRODUCT('Staging Table'!BY12:CV12, LS_Demand_Rates_Restatement!$C$5:$Z$5)-IF(Init!$R$12="No",('Staging Table'!DU12*Rates_current!$H$34), 0)</f>
        <v>260238.4022747493</v>
      </c>
      <c r="R10" s="200">
        <f>SUMPRODUCT('Staging Table'!CW12:DH12, LS_Demand_Rates_Restatement!$C$11:$N$11)*1000</f>
        <v>295574.41056952463</v>
      </c>
      <c r="S10" s="201">
        <f>'Staging Table'!ED12*IF(Init!$R$15="Yes",IF(Init!$R$6=2024,Rates_current!$C$88,Rates_current!$D$88),Rates_current!$H$33)</f>
        <v>0</v>
      </c>
      <c r="T10" s="201">
        <v>0</v>
      </c>
      <c r="U10" s="201">
        <f>IF('Staging Table'!D12=1, 'Staging Table'!BU12*-1,SUM(O10:T10)*'Staging Table'!BU12*-1)</f>
        <v>0</v>
      </c>
      <c r="V10" s="199">
        <f>'Staging Table'!BX12*Rates_current!$H$32*-1</f>
        <v>0</v>
      </c>
      <c r="W10" s="199">
        <f>IF('Staging Table'!C12=1,"",SUM(O10:V10))</f>
        <v>6459803.1671242733</v>
      </c>
      <c r="X10" s="199">
        <f>IF('Staging Table'!C12=1,"",(RT1SC!$C$4*'Staging Table'!BR12*'Staging Table'!$BS$2)+SUM('Staging Table'!BY12:CV12)-IF(Init!$R$12="No",'Staging Table'!DU12, 0))</f>
        <v>178392.2208177353</v>
      </c>
      <c r="Y10" s="297">
        <f>IF('Staging Table'!C12=1,"",IF(X10=0, 0, W10/X10))</f>
        <v>36.211238009780168</v>
      </c>
      <c r="Z10" s="76">
        <f ca="1">IF('Staging Table'!C12=1,"",(Y10/N10-1)+(RAND()/100000000000000))</f>
        <v>1.7972770678653517E-3</v>
      </c>
      <c r="AA10" s="53">
        <f t="shared" ca="1" si="0"/>
        <v>28</v>
      </c>
      <c r="AD10" s="204"/>
      <c r="AE10" s="204"/>
      <c r="AF10" s="208"/>
      <c r="AG10" s="204"/>
      <c r="AH10" s="204"/>
    </row>
    <row r="11" spans="1:35">
      <c r="B11" s="3">
        <v>10046</v>
      </c>
      <c r="C11" s="4" t="s">
        <v>14</v>
      </c>
      <c r="D11" s="199">
        <f>IF(Init!$R$9="Yes",'Staging Table'!E13,'Staging Table'!BR13)*Rates_previous!$E$76*100*12</f>
        <v>27795187.330295019</v>
      </c>
      <c r="E11" s="199">
        <f>IF(Init!$R$9="Yes",'Staging Table'!F13,'Staging Table'!BS13)*Rates_previous!$E$77*100*12</f>
        <v>-4589052.1226210743</v>
      </c>
      <c r="F11" s="200">
        <f>IF(Init!$R$9="Yes",SUMPRODUCT('Staging Table'!L13:AI13,LS_Demand_Rates_Restatement!$C$4:$Z$4)-IF(Init!$R$12="No",('Staging Table'!BH13*Rates_previous!$H$34), 0),SUMPRODUCT('Staging Table'!BY13:CV13,LS_Demand_Rates_Restatement!$C$4:$Z$4)-IF(Init!$R$12="No", 'Staging Table'!DU13*Rates_previous!$H$34, 0))</f>
        <v>0</v>
      </c>
      <c r="G11" s="200">
        <f>IF(Init!$R$9="Yes",SUMPRODUCT('Staging Table'!AJ13:AU13,LS_Demand_Rates_Restatement!$C$10:$N$10),SUMPRODUCT(LS_Demand_Rates_Restatement!$C$10:$N$10,'Staging Table'!CW13:DH13))*1000</f>
        <v>0</v>
      </c>
      <c r="H11" s="201">
        <f>IF(Init!$R$9="Yes",'Staging Table'!BQ13,'Staging Table'!ED13)*IF(Init!$R$3=2022,Rates_previous!$C$88,Rates_previous!$D$88)</f>
        <v>0</v>
      </c>
      <c r="I11" s="199">
        <v>0</v>
      </c>
      <c r="J11" s="201">
        <f>IF(Init!$R$9="Yes",IF('Staging Table'!D13=1,'Staging Table'!H13*-1,'Staging Table'!H13*SUM(D11:I11)*(-1)),IF('Staging Table'!D13=1,'Staging Table'!BU13*-1,'Staging Table'!BU13*SUM(D11:I11)*(-1)))</f>
        <v>-1851385.4668682273</v>
      </c>
      <c r="K11" s="199">
        <f>IF(Init!$R$9="Yes",'Staging Table'!K13,'Staging Table'!BX13)*(-1)*Rates_previous!$H$32</f>
        <v>-447831.48130000004</v>
      </c>
      <c r="L11" s="199" t="str">
        <f>IF('Staging Table'!C13=1,"",SUM(D11:K11))</f>
        <v/>
      </c>
      <c r="M11" s="199" t="str">
        <f>IF('Staging Table'!C13=1,"",IF(Init!$R$9="Yes",(RT1SC!$C$3*'Staging Table'!E13*'Staging Table'!$F$2)+SUM('Staging Table'!L13:AI13)-IF(Init!$R$12="No",'Staging Table'!BH13, 0),X11))</f>
        <v/>
      </c>
      <c r="N11" s="297" t="str">
        <f>IF('Staging Table'!C13=1,"",IF(M11=0, 0, L11/M11))</f>
        <v/>
      </c>
      <c r="O11" s="199">
        <f>'Staging Table'!BR13*Rates_current!$E$76*100*12</f>
        <v>28867523.811120003</v>
      </c>
      <c r="P11" s="199">
        <f>'Staging Table'!BS13*Rates_current!$E$77*100*12</f>
        <v>-5073126.4875600003</v>
      </c>
      <c r="Q11" s="200">
        <f>SUMPRODUCT('Staging Table'!BY13:CV13, LS_Demand_Rates_Restatement!$C$5:$Z$5)-IF(Init!$R$12="No",('Staging Table'!DU13*Rates_current!$H$34), 0)</f>
        <v>0</v>
      </c>
      <c r="R11" s="200">
        <f>SUMPRODUCT('Staging Table'!CW13:DH13, LS_Demand_Rates_Restatement!$C$11:$N$11)*1000</f>
        <v>0</v>
      </c>
      <c r="S11" s="201">
        <f>'Staging Table'!ED13*IF(Init!$R$15="Yes",IF(Init!$R$6=2024,Rates_current!$C$88,Rates_current!$D$88),Rates_current!$H$33)</f>
        <v>0</v>
      </c>
      <c r="T11" s="201">
        <v>0</v>
      </c>
      <c r="U11" s="201">
        <f>IF('Staging Table'!D13=1, 'Staging Table'!BU13*-1,SUM(O11:T11)*'Staging Table'!BU13*-1)</f>
        <v>-1868392.6139223569</v>
      </c>
      <c r="V11" s="199">
        <f>'Staging Table'!BX13*Rates_current!$H$32*-1</f>
        <v>-475358.73749000003</v>
      </c>
      <c r="W11" s="199" t="str">
        <f>IF('Staging Table'!C13=1,"",SUM(O11:V11))</f>
        <v/>
      </c>
      <c r="X11" s="199" t="str">
        <f>IF('Staging Table'!C13=1,"",(RT1SC!$C$4*'Staging Table'!BR13*'Staging Table'!$BS$2)+SUM('Staging Table'!BY13:CV13)-IF(Init!$R$12="No",'Staging Table'!DU13, 0))</f>
        <v/>
      </c>
      <c r="Y11" s="297" t="str">
        <f>IF('Staging Table'!C13=1,"",IF(X11=0, 0, W11/X11))</f>
        <v/>
      </c>
      <c r="Z11" s="76" t="str">
        <f ca="1">IF('Staging Table'!C13=1,"",(Y11/N11-1)+(RAND()/100000000000000))</f>
        <v/>
      </c>
      <c r="AA11" s="53" t="str">
        <f t="shared" ca="1" si="0"/>
        <v/>
      </c>
      <c r="AD11" s="204"/>
      <c r="AE11" s="204"/>
      <c r="AF11" s="208"/>
      <c r="AG11" s="204"/>
      <c r="AH11" s="204"/>
    </row>
    <row r="12" spans="1:35">
      <c r="B12" s="3">
        <v>10047</v>
      </c>
      <c r="C12" s="4" t="s">
        <v>15</v>
      </c>
      <c r="D12" s="199">
        <f>IF(Init!$R$9="Yes",'Staging Table'!E14,'Staging Table'!BR14)*Rates_previous!$E$76*100*12</f>
        <v>53203305.123592012</v>
      </c>
      <c r="E12" s="199">
        <f>IF(Init!$R$9="Yes",'Staging Table'!F14,'Staging Table'!BS14)*Rates_previous!$E$77*100*12</f>
        <v>-8783993.3369243853</v>
      </c>
      <c r="F12" s="200">
        <f>IF(Init!$R$9="Yes",SUMPRODUCT('Staging Table'!L14:AI14,LS_Demand_Rates_Restatement!$C$4:$Z$4)-IF(Init!$R$12="No",('Staging Table'!BH14*Rates_previous!$H$34), 0),SUMPRODUCT('Staging Table'!BY14:CV14,LS_Demand_Rates_Restatement!$C$4:$Z$4)-IF(Init!$R$12="No", 'Staging Table'!DU14*Rates_previous!$H$34, 0))</f>
        <v>112832.60258474443</v>
      </c>
      <c r="G12" s="200">
        <f>IF(Init!$R$9="Yes",SUMPRODUCT('Staging Table'!AJ14:AU14,LS_Demand_Rates_Restatement!$C$10:$N$10),SUMPRODUCT(LS_Demand_Rates_Restatement!$C$10:$N$10,'Staging Table'!CW14:DH14))*1000</f>
        <v>1178518.3224042642</v>
      </c>
      <c r="H12" s="201">
        <f>IF(Init!$R$9="Yes",'Staging Table'!BQ14,'Staging Table'!ED14)*IF(Init!$R$3=2022,Rates_previous!$C$88,Rates_previous!$D$88)</f>
        <v>0</v>
      </c>
      <c r="I12" s="199">
        <v>0</v>
      </c>
      <c r="J12" s="201">
        <f>IF(Init!$R$9="Yes",IF('Staging Table'!D14=1,'Staging Table'!H14*-1,'Staging Table'!H14*SUM(D12:I12)*(-1)),IF('Staging Table'!D14=1,'Staging Table'!BU14*-1,'Staging Table'!BU14*SUM(D12:I12)*(-1)))</f>
        <v>0</v>
      </c>
      <c r="K12" s="199">
        <f>IF(Init!$R$9="Yes",'Staging Table'!K14,'Staging Table'!BX14)*(-1)*Rates_previous!$H$32</f>
        <v>0</v>
      </c>
      <c r="L12" s="199">
        <f>IF('Staging Table'!C14=1,"",SUM(D12:K12))</f>
        <v>45710662.711656637</v>
      </c>
      <c r="M12" s="199">
        <f>IF('Staging Table'!C14=1,"",IF(Init!$R$9="Yes",(RT1SC!$C$3*'Staging Table'!E14*'Staging Table'!$F$2)+SUM('Staging Table'!L14:AI14)-IF(Init!$R$12="No",'Staging Table'!BH14, 0),X12))</f>
        <v>1301068.6029703952</v>
      </c>
      <c r="N12" s="297">
        <f>IF('Staging Table'!C14=1,"",IF(M12=0, 0, L12/M12))</f>
        <v>35.133168694792296</v>
      </c>
      <c r="O12" s="199">
        <f>'Staging Table'!BR14*Rates_current!$E$76*100*12</f>
        <v>53718341.225760005</v>
      </c>
      <c r="P12" s="199">
        <f>'Staging Table'!BS14*Rates_current!$E$77*100*12</f>
        <v>-9440364.2488800008</v>
      </c>
      <c r="Q12" s="200">
        <f>SUMPRODUCT('Staging Table'!BY14:CV14, LS_Demand_Rates_Restatement!$C$5:$Z$5)-IF(Init!$R$12="No",('Staging Table'!DU14*Rates_current!$H$34), 0)</f>
        <v>749064.11516524246</v>
      </c>
      <c r="R12" s="200">
        <f>SUMPRODUCT('Staging Table'!CW14:DH14, LS_Demand_Rates_Restatement!$C$11:$N$11)*1000</f>
        <v>1075907.9000328784</v>
      </c>
      <c r="S12" s="201">
        <f>'Staging Table'!ED14*IF(Init!$R$15="Yes",IF(Init!$R$6=2024,Rates_current!$C$88,Rates_current!$D$88),Rates_current!$H$33)</f>
        <v>28.870806628647262</v>
      </c>
      <c r="T12" s="201">
        <v>0</v>
      </c>
      <c r="U12" s="201">
        <f>IF('Staging Table'!D14=1, 'Staging Table'!BU14*-1,SUM(O12:T12)*'Staging Table'!BU14*-1)</f>
        <v>0</v>
      </c>
      <c r="V12" s="199">
        <f>'Staging Table'!BX14*Rates_current!$H$32*-1</f>
        <v>0</v>
      </c>
      <c r="W12" s="199">
        <f>IF('Staging Table'!C14=1,"",SUM(O12:V12))</f>
        <v>46102977.862884752</v>
      </c>
      <c r="X12" s="199">
        <f>IF('Staging Table'!C14=1,"",(RT1SC!$C$4*'Staging Table'!BR14*'Staging Table'!$BS$2)+SUM('Staging Table'!BY14:CV14)-IF(Init!$R$12="No",'Staging Table'!DU14, 0))</f>
        <v>1337913.1021327446</v>
      </c>
      <c r="Y12" s="297">
        <f>IF('Staging Table'!C14=1,"",IF(X12=0, 0, W12/X12))</f>
        <v>34.458873143100831</v>
      </c>
      <c r="Z12" s="76">
        <f ca="1">IF('Staging Table'!C14=1,"",(Y12/N12-1)+(RAND()/100000000000000))</f>
        <v>-1.9192562946681799E-2</v>
      </c>
      <c r="AA12" s="53">
        <f t="shared" ca="1" si="0"/>
        <v>102</v>
      </c>
      <c r="AD12" s="204"/>
      <c r="AE12" s="204"/>
      <c r="AF12" s="208"/>
      <c r="AG12" s="204"/>
      <c r="AH12" s="204"/>
    </row>
    <row r="13" spans="1:35">
      <c r="B13" s="3">
        <v>10055</v>
      </c>
      <c r="C13" s="4" t="s">
        <v>16</v>
      </c>
      <c r="D13" s="199">
        <f>IF(Init!$R$9="Yes",'Staging Table'!E15,'Staging Table'!BR15)*Rates_previous!$E$76*100*12</f>
        <v>135252.8851584176</v>
      </c>
      <c r="E13" s="199">
        <f>IF(Init!$R$9="Yes",'Staging Table'!F15,'Staging Table'!BS15)*Rates_previous!$E$77*100*12</f>
        <v>-22330.575878161304</v>
      </c>
      <c r="F13" s="200">
        <f>IF(Init!$R$9="Yes",SUMPRODUCT('Staging Table'!L15:AI15,LS_Demand_Rates_Restatement!$C$4:$Z$4)-IF(Init!$R$12="No",('Staging Table'!BH15*Rates_previous!$H$34), 0),SUMPRODUCT('Staging Table'!BY15:CV15,LS_Demand_Rates_Restatement!$C$4:$Z$4)-IF(Init!$R$12="No", 'Staging Table'!DU15*Rates_previous!$H$34, 0))</f>
        <v>3126.6853897136393</v>
      </c>
      <c r="G13" s="200">
        <f>IF(Init!$R$9="Yes",SUMPRODUCT('Staging Table'!AJ15:AU15,LS_Demand_Rates_Restatement!$C$10:$N$10),SUMPRODUCT(LS_Demand_Rates_Restatement!$C$10:$N$10,'Staging Table'!CW15:DH15))*1000</f>
        <v>7545.772947061967</v>
      </c>
      <c r="H13" s="201">
        <f>IF(Init!$R$9="Yes",'Staging Table'!BQ15,'Staging Table'!ED15)*IF(Init!$R$3=2022,Rates_previous!$C$88,Rates_previous!$D$88)</f>
        <v>0</v>
      </c>
      <c r="I13" s="199">
        <v>0</v>
      </c>
      <c r="J13" s="201">
        <f>IF(Init!$R$9="Yes",IF('Staging Table'!D15=1,'Staging Table'!H15*-1,'Staging Table'!H15*SUM(D13:I13)*(-1)),IF('Staging Table'!D15=1,'Staging Table'!BU15*-1,'Staging Table'!BU15*SUM(D13:I13)*(-1)))</f>
        <v>0</v>
      </c>
      <c r="K13" s="199">
        <f>IF(Init!$R$9="Yes",'Staging Table'!K15,'Staging Table'!BX15)*(-1)*Rates_previous!$H$32</f>
        <v>0</v>
      </c>
      <c r="L13" s="199">
        <f>IF('Staging Table'!C15=1,"",SUM(D13:K13))</f>
        <v>123594.76761703192</v>
      </c>
      <c r="M13" s="199">
        <f>IF('Staging Table'!C15=1,"",IF(Init!$R$9="Yes",(RT1SC!$C$3*'Staging Table'!E15*'Staging Table'!$F$2)+SUM('Staging Table'!L15:AI15)-IF(Init!$R$12="No",'Staging Table'!BH15, 0),X13))</f>
        <v>3328.8</v>
      </c>
      <c r="N13" s="297">
        <f>IF('Staging Table'!C15=1,"",IF(M13=0, 0, L13/M13))</f>
        <v>37.128925623958153</v>
      </c>
      <c r="O13" s="199">
        <f>'Staging Table'!BR15*Rates_current!$E$76*100*12</f>
        <v>138008.89008000001</v>
      </c>
      <c r="P13" s="199">
        <f>'Staging Table'!BS15*Rates_current!$E$77*100*12</f>
        <v>-24253.433039999996</v>
      </c>
      <c r="Q13" s="200">
        <f>SUMPRODUCT('Staging Table'!BY15:CV15, LS_Demand_Rates_Restatement!$C$5:$Z$5)-IF(Init!$R$12="No",('Staging Table'!DU15*Rates_current!$H$34), 0)</f>
        <v>4890.1443686349621</v>
      </c>
      <c r="R13" s="200">
        <f>SUMPRODUCT('Staging Table'!CW15:DH15, LS_Demand_Rates_Restatement!$C$11:$N$11)*1000</f>
        <v>7816.5149948717981</v>
      </c>
      <c r="S13" s="201">
        <f>'Staging Table'!ED15*IF(Init!$R$15="Yes",IF(Init!$R$6=2024,Rates_current!$C$88,Rates_current!$D$88),Rates_current!$H$33)</f>
        <v>24.604773963739905</v>
      </c>
      <c r="T13" s="201">
        <v>0</v>
      </c>
      <c r="U13" s="201">
        <f>IF('Staging Table'!D15=1, 'Staging Table'!BU15*-1,SUM(O13:T13)*'Staging Table'!BU15*-1)</f>
        <v>0</v>
      </c>
      <c r="V13" s="199">
        <f>'Staging Table'!BX15*Rates_current!$H$32*-1</f>
        <v>0</v>
      </c>
      <c r="W13" s="199">
        <f>IF('Staging Table'!C15=1,"",SUM(O13:V13))</f>
        <v>126486.72117747052</v>
      </c>
      <c r="X13" s="199">
        <f>IF('Staging Table'!C15=1,"",(RT1SC!$C$4*'Staging Table'!BR15*'Staging Table'!$BS$2)+SUM('Staging Table'!BY15:CV15)-IF(Init!$R$12="No",'Staging Table'!DU15, 0))</f>
        <v>3430.8880157557596</v>
      </c>
      <c r="Y13" s="297">
        <f>IF('Staging Table'!C15=1,"",IF(X13=0, 0, W13/X13))</f>
        <v>36.867050336997927</v>
      </c>
      <c r="Z13" s="76">
        <f ca="1">IF('Staging Table'!C15=1,"",(Y13/N13-1)+(RAND()/100000000000000))</f>
        <v>-7.0531339800170524E-3</v>
      </c>
      <c r="AA13" s="53">
        <f t="shared" ca="1" si="0"/>
        <v>56</v>
      </c>
      <c r="AD13" s="204"/>
      <c r="AE13" s="204"/>
      <c r="AF13" s="208"/>
      <c r="AG13" s="204"/>
      <c r="AH13" s="204"/>
    </row>
    <row r="14" spans="1:35">
      <c r="B14" s="3">
        <v>10057</v>
      </c>
      <c r="C14" s="4" t="s">
        <v>17</v>
      </c>
      <c r="D14" s="199">
        <f>IF(Init!$R$9="Yes",'Staging Table'!E16,'Staging Table'!BR16)*Rates_previous!$E$76*100*12</f>
        <v>7111328.1143399216</v>
      </c>
      <c r="E14" s="199">
        <f>IF(Init!$R$9="Yes",'Staging Table'!F16,'Staging Table'!BS16)*Rates_previous!$E$77*100*12</f>
        <v>-1174097.3352677221</v>
      </c>
      <c r="F14" s="200">
        <f>IF(Init!$R$9="Yes",SUMPRODUCT('Staging Table'!L16:AI16,LS_Demand_Rates_Restatement!$C$4:$Z$4)-IF(Init!$R$12="No",('Staging Table'!BH16*Rates_previous!$H$34), 0),SUMPRODUCT('Staging Table'!BY16:CV16,LS_Demand_Rates_Restatement!$C$4:$Z$4)-IF(Init!$R$12="No", 'Staging Table'!DU16*Rates_previous!$H$34, 0))</f>
        <v>131556.62354678588</v>
      </c>
      <c r="G14" s="200">
        <f>IF(Init!$R$9="Yes",SUMPRODUCT('Staging Table'!AJ16:AU16,LS_Demand_Rates_Restatement!$C$10:$N$10),SUMPRODUCT(LS_Demand_Rates_Restatement!$C$10:$N$10,'Staging Table'!CW16:DH16))*1000</f>
        <v>125706.55927368233</v>
      </c>
      <c r="H14" s="201">
        <f>IF(Init!$R$9="Yes",'Staging Table'!BQ16,'Staging Table'!ED16)*IF(Init!$R$3=2022,Rates_previous!$C$88,Rates_previous!$D$88)</f>
        <v>4488.8691435215878</v>
      </c>
      <c r="I14" s="199">
        <v>0</v>
      </c>
      <c r="J14" s="201">
        <f>IF(Init!$R$9="Yes",IF('Staging Table'!D16=1,'Staging Table'!H16*-1,'Staging Table'!H16*SUM(D14:I14)*(-1)),IF('Staging Table'!D16=1,'Staging Table'!BU16*-1,'Staging Table'!BU16*SUM(D14:I14)*(-1)))</f>
        <v>0</v>
      </c>
      <c r="K14" s="199">
        <f>IF(Init!$R$9="Yes",'Staging Table'!K16,'Staging Table'!BX16)*(-1)*Rates_previous!$H$32</f>
        <v>0</v>
      </c>
      <c r="L14" s="199">
        <f>IF('Staging Table'!C16=1,"",SUM(D14:K14))</f>
        <v>6198982.8310361886</v>
      </c>
      <c r="M14" s="199">
        <f>IF('Staging Table'!C16=1,"",IF(Init!$R$9="Yes",(RT1SC!$C$3*'Staging Table'!E16*'Staging Table'!$F$2)+SUM('Staging Table'!L16:AI16)-IF(Init!$R$12="No",'Staging Table'!BH16, 0),X14))</f>
        <v>175626.98895148249</v>
      </c>
      <c r="N14" s="297">
        <f>IF('Staging Table'!C16=1,"",IF(M14=0, 0, L14/M14))</f>
        <v>35.296299663536779</v>
      </c>
      <c r="O14" s="199">
        <f>'Staging Table'!BR16*Rates_current!$E$76*100*12</f>
        <v>7051656.4106399994</v>
      </c>
      <c r="P14" s="199">
        <f>'Staging Table'!BS16*Rates_current!$E$77*100*12</f>
        <v>-1239245.35932</v>
      </c>
      <c r="Q14" s="200">
        <f>SUMPRODUCT('Staging Table'!BY16:CV16, LS_Demand_Rates_Restatement!$C$5:$Z$5)-IF(Init!$R$12="No",('Staging Table'!DU16*Rates_current!$H$34), 0)</f>
        <v>305545.96400667884</v>
      </c>
      <c r="R14" s="200">
        <f>SUMPRODUCT('Staging Table'!CW16:DH16, LS_Demand_Rates_Restatement!$C$11:$N$11)*1000</f>
        <v>120542.63681741449</v>
      </c>
      <c r="S14" s="201">
        <f>'Staging Table'!ED16*IF(Init!$R$15="Yes",IF(Init!$R$6=2024,Rates_current!$C$88,Rates_current!$D$88),Rates_current!$H$33)</f>
        <v>2.1212620062695353</v>
      </c>
      <c r="T14" s="201">
        <v>0</v>
      </c>
      <c r="U14" s="201">
        <f>IF('Staging Table'!D16=1, 'Staging Table'!BU16*-1,SUM(O14:T14)*'Staging Table'!BU16*-1)</f>
        <v>0</v>
      </c>
      <c r="V14" s="199">
        <f>'Staging Table'!BX16*Rates_current!$H$32*-1</f>
        <v>0</v>
      </c>
      <c r="W14" s="199">
        <f>IF('Staging Table'!C16=1,"",SUM(O14:V14))</f>
        <v>6238501.7734060995</v>
      </c>
      <c r="X14" s="199">
        <f>IF('Staging Table'!C16=1,"",(RT1SC!$C$4*'Staging Table'!BR16*'Staging Table'!$BS$2)+SUM('Staging Table'!BY16:CV16)-IF(Init!$R$12="No",'Staging Table'!DU16, 0))</f>
        <v>175626.98080505108</v>
      </c>
      <c r="Y14" s="297">
        <f>IF('Staging Table'!C16=1,"",IF(X14=0, 0, W14/X14))</f>
        <v>35.521317651818784</v>
      </c>
      <c r="Z14" s="76">
        <f ca="1">IF('Staging Table'!C16=1,"",(Y14/N14-1)+(RAND()/100000000000000))</f>
        <v>6.3751155341273923E-3</v>
      </c>
      <c r="AA14" s="53">
        <f t="shared" ca="1" si="0"/>
        <v>19</v>
      </c>
      <c r="AD14" s="204"/>
      <c r="AE14" s="204"/>
      <c r="AF14" s="208"/>
      <c r="AG14" s="204"/>
      <c r="AH14" s="204"/>
    </row>
    <row r="15" spans="1:35">
      <c r="B15" s="3">
        <v>10059</v>
      </c>
      <c r="C15" s="4" t="s">
        <v>18</v>
      </c>
      <c r="D15" s="199">
        <f>IF(Init!$R$9="Yes",'Staging Table'!E17,'Staging Table'!BR17)*Rates_previous!$E$76*100*12</f>
        <v>2594025.6360968137</v>
      </c>
      <c r="E15" s="199">
        <f>IF(Init!$R$9="Yes",'Staging Table'!F17,'Staging Table'!BS17)*Rates_previous!$E$77*100*12</f>
        <v>-428279.8568689198</v>
      </c>
      <c r="F15" s="200">
        <f>IF(Init!$R$9="Yes",SUMPRODUCT('Staging Table'!L17:AI17,LS_Demand_Rates_Restatement!$C$4:$Z$4)-IF(Init!$R$12="No",('Staging Table'!BH17*Rates_previous!$H$34), 0),SUMPRODUCT('Staging Table'!BY17:CV17,LS_Demand_Rates_Restatement!$C$4:$Z$4)-IF(Init!$R$12="No", 'Staging Table'!DU17*Rates_previous!$H$34, 0))</f>
        <v>33284.471925725331</v>
      </c>
      <c r="G15" s="200">
        <f>IF(Init!$R$9="Yes",SUMPRODUCT('Staging Table'!AJ17:AU17,LS_Demand_Rates_Restatement!$C$10:$N$10),SUMPRODUCT(LS_Demand_Rates_Restatement!$C$10:$N$10,'Staging Table'!CW17:DH17))*1000</f>
        <v>105293.28112394942</v>
      </c>
      <c r="H15" s="201">
        <f>IF(Init!$R$9="Yes",'Staging Table'!BQ17,'Staging Table'!ED17)*IF(Init!$R$3=2022,Rates_previous!$C$88,Rates_previous!$D$88)</f>
        <v>0</v>
      </c>
      <c r="I15" s="199">
        <v>0</v>
      </c>
      <c r="J15" s="201">
        <f>IF(Init!$R$9="Yes",IF('Staging Table'!D17=1,'Staging Table'!H17*-1,'Staging Table'!H17*SUM(D15:I15)*(-1)),IF('Staging Table'!D17=1,'Staging Table'!BU17*-1,'Staging Table'!BU17*SUM(D15:I15)*(-1)))</f>
        <v>0</v>
      </c>
      <c r="K15" s="199">
        <f>IF(Init!$R$9="Yes",'Staging Table'!K17,'Staging Table'!BX17)*(-1)*Rates_previous!$H$32</f>
        <v>0</v>
      </c>
      <c r="L15" s="199">
        <f>IF('Staging Table'!C17=1,"",SUM(D15:K15))</f>
        <v>2304323.5322775682</v>
      </c>
      <c r="M15" s="199">
        <f>IF('Staging Table'!C17=1,"",IF(Init!$R$9="Yes",(RT1SC!$C$3*'Staging Table'!E17*'Staging Table'!$F$2)+SUM('Staging Table'!L17:AI17)-IF(Init!$R$12="No",'Staging Table'!BH17, 0),X15))</f>
        <v>63834.12</v>
      </c>
      <c r="N15" s="297">
        <f>IF('Staging Table'!C17=1,"",IF(M15=0, 0, L15/M15))</f>
        <v>36.09861829813849</v>
      </c>
      <c r="O15" s="199">
        <f>'Staging Table'!BR17*Rates_current!$E$76*100*12</f>
        <v>2681707.0427999999</v>
      </c>
      <c r="P15" s="199">
        <f>'Staging Table'!BS17*Rates_current!$E$77*100*12</f>
        <v>-471278.35140000004</v>
      </c>
      <c r="Q15" s="200">
        <f>SUMPRODUCT('Staging Table'!BY17:CV17, LS_Demand_Rates_Restatement!$C$5:$Z$5)-IF(Init!$R$12="No",('Staging Table'!DU17*Rates_current!$H$34), 0)</f>
        <v>51709.094611886801</v>
      </c>
      <c r="R15" s="200">
        <f>SUMPRODUCT('Staging Table'!CW17:DH17, LS_Demand_Rates_Restatement!$C$11:$N$11)*1000</f>
        <v>101047.72091757478</v>
      </c>
      <c r="S15" s="201">
        <f>'Staging Table'!ED17*IF(Init!$R$15="Yes",IF(Init!$R$6=2024,Rates_current!$C$88,Rates_current!$D$88),Rates_current!$H$33)</f>
        <v>-20.764110433828755</v>
      </c>
      <c r="T15" s="201">
        <v>0</v>
      </c>
      <c r="U15" s="201">
        <f>IF('Staging Table'!D17=1, 'Staging Table'!BU17*-1,SUM(O15:T15)*'Staging Table'!BU17*-1)</f>
        <v>0</v>
      </c>
      <c r="V15" s="199">
        <f>'Staging Table'!BX17*Rates_current!$H$32*-1</f>
        <v>0</v>
      </c>
      <c r="W15" s="199">
        <f>IF('Staging Table'!C17=1,"",SUM(O15:V15))</f>
        <v>2363164.7428190275</v>
      </c>
      <c r="X15" s="199">
        <f>IF('Staging Table'!C17=1,"",(RT1SC!$C$4*'Staging Table'!BR17*'Staging Table'!$BS$2)+SUM('Staging Table'!BY17:CV17)-IF(Init!$R$12="No",'Staging Table'!DU17, 0))</f>
        <v>66796.621306156594</v>
      </c>
      <c r="Y15" s="297">
        <f>IF('Staging Table'!C17=1,"",IF(X15=0, 0, W15/X15))</f>
        <v>35.378507125198212</v>
      </c>
      <c r="Z15" s="76">
        <f ca="1">IF('Staging Table'!C17=1,"",(Y15/N15-1)+(RAND()/100000000000000))</f>
        <v>-1.994844143320549E-2</v>
      </c>
      <c r="AA15" s="53">
        <f t="shared" ca="1" si="0"/>
        <v>104</v>
      </c>
      <c r="AD15" s="204"/>
      <c r="AE15" s="204"/>
      <c r="AF15" s="208"/>
      <c r="AG15" s="204"/>
      <c r="AH15" s="204"/>
    </row>
    <row r="16" spans="1:35">
      <c r="B16" s="3">
        <v>10061</v>
      </c>
      <c r="C16" s="4" t="s">
        <v>19</v>
      </c>
      <c r="D16" s="199">
        <f>IF(Init!$R$9="Yes",'Staging Table'!E18,'Staging Table'!BR18)*Rates_previous!$E$76*100*12</f>
        <v>2970047.8416436207</v>
      </c>
      <c r="E16" s="199">
        <f>IF(Init!$R$9="Yes",'Staging Table'!F18,'Staging Table'!BS18)*Rates_previous!$E$77*100*12</f>
        <v>-490362.02526777971</v>
      </c>
      <c r="F16" s="200">
        <f>IF(Init!$R$9="Yes",SUMPRODUCT('Staging Table'!L18:AI18,LS_Demand_Rates_Restatement!$C$4:$Z$4)-IF(Init!$R$12="No",('Staging Table'!BH18*Rates_previous!$H$34), 0),SUMPRODUCT('Staging Table'!BY18:CV18,LS_Demand_Rates_Restatement!$C$4:$Z$4)-IF(Init!$R$12="No", 'Staging Table'!DU18*Rates_previous!$H$34, 0))</f>
        <v>32797.560068810912</v>
      </c>
      <c r="G16" s="200">
        <f>IF(Init!$R$9="Yes",SUMPRODUCT('Staging Table'!AJ18:AU18,LS_Demand_Rates_Restatement!$C$10:$N$10),SUMPRODUCT(LS_Demand_Rates_Restatement!$C$10:$N$10,'Staging Table'!CW18:DH18))*1000</f>
        <v>123390.70216137818</v>
      </c>
      <c r="H16" s="201">
        <f>IF(Init!$R$9="Yes",'Staging Table'!BQ18,'Staging Table'!ED18)*IF(Init!$R$3=2022,Rates_previous!$C$88,Rates_previous!$D$88)</f>
        <v>0</v>
      </c>
      <c r="I16" s="199">
        <v>0</v>
      </c>
      <c r="J16" s="201">
        <f>IF(Init!$R$9="Yes",IF('Staging Table'!D18=1,'Staging Table'!H18*-1,'Staging Table'!H18*SUM(D16:I16)*(-1)),IF('Staging Table'!D18=1,'Staging Table'!BU18*-1,'Staging Table'!BU18*SUM(D16:I16)*(-1)))</f>
        <v>0</v>
      </c>
      <c r="K16" s="199">
        <f>IF(Init!$R$9="Yes",'Staging Table'!K18,'Staging Table'!BX18)*(-1)*Rates_previous!$H$32</f>
        <v>0</v>
      </c>
      <c r="L16" s="199">
        <f>IF('Staging Table'!C18=1,"",SUM(D16:K16))</f>
        <v>2635874.07860603</v>
      </c>
      <c r="M16" s="199">
        <f>IF('Staging Table'!C18=1,"",IF(Init!$R$9="Yes",(RT1SC!$C$3*'Staging Table'!E18*'Staging Table'!$F$2)+SUM('Staging Table'!L18:AI18)-IF(Init!$R$12="No",'Staging Table'!BH18, 0),X16))</f>
        <v>73084.679999999993</v>
      </c>
      <c r="N16" s="297">
        <f>IF('Staging Table'!C18=1,"",IF(M16=0, 0, L16/M16))</f>
        <v>36.066027498595197</v>
      </c>
      <c r="O16" s="199">
        <f>'Staging Table'!BR18*Rates_current!$E$76*100*12</f>
        <v>3085021.8316799998</v>
      </c>
      <c r="P16" s="199">
        <f>'Staging Table'!BS18*Rates_current!$E$77*100*12</f>
        <v>-542156.16384000005</v>
      </c>
      <c r="Q16" s="200">
        <f>SUMPRODUCT('Staging Table'!BY18:CV18, LS_Demand_Rates_Restatement!$C$5:$Z$5)-IF(Init!$R$12="No",('Staging Table'!DU18*Rates_current!$H$34), 0)</f>
        <v>67744.688194523449</v>
      </c>
      <c r="R16" s="200">
        <f>SUMPRODUCT('Staging Table'!CW18:DH18, LS_Demand_Rates_Restatement!$C$11:$N$11)*1000</f>
        <v>126980.79254639422</v>
      </c>
      <c r="S16" s="201">
        <f>'Staging Table'!ED18*IF(Init!$R$15="Yes",IF(Init!$R$6=2024,Rates_current!$C$88,Rates_current!$D$88),Rates_current!$H$33)</f>
        <v>0</v>
      </c>
      <c r="T16" s="201">
        <v>0</v>
      </c>
      <c r="U16" s="201">
        <f>IF('Staging Table'!D18=1, 'Staging Table'!BU18*-1,SUM(O16:T16)*'Staging Table'!BU18*-1)</f>
        <v>0</v>
      </c>
      <c r="V16" s="199">
        <f>'Staging Table'!BX18*Rates_current!$H$32*-1</f>
        <v>0</v>
      </c>
      <c r="W16" s="199">
        <f>IF('Staging Table'!C18=1,"",SUM(O16:V16))</f>
        <v>2737591.1485809176</v>
      </c>
      <c r="X16" s="199">
        <f>IF('Staging Table'!C18=1,"",(RT1SC!$C$4*'Staging Table'!BR18*'Staging Table'!$BS$2)+SUM('Staging Table'!BY18:CV18)-IF(Init!$R$12="No",'Staging Table'!DU18, 0))</f>
        <v>76833.648000000001</v>
      </c>
      <c r="Y16" s="297">
        <f>IF('Staging Table'!C18=1,"",IF(X16=0, 0, W16/X16))</f>
        <v>35.630107639571108</v>
      </c>
      <c r="Z16" s="76">
        <f ca="1">IF('Staging Table'!C18=1,"",(Y16/N16-1)+(RAND()/100000000000000))</f>
        <v>-1.2086716759726637E-2</v>
      </c>
      <c r="AA16" s="53">
        <f t="shared" ca="1" si="0"/>
        <v>79</v>
      </c>
      <c r="AD16" s="204"/>
      <c r="AE16" s="204"/>
      <c r="AF16" s="208"/>
      <c r="AG16" s="204"/>
      <c r="AH16" s="204"/>
    </row>
    <row r="17" spans="2:34">
      <c r="B17" s="3">
        <v>10062</v>
      </c>
      <c r="C17" s="4" t="s">
        <v>20</v>
      </c>
      <c r="D17" s="199">
        <f>IF(Init!$R$9="Yes",'Staging Table'!E19,'Staging Table'!BR19)*Rates_previous!$E$76*100*12</f>
        <v>1806249.5230730523</v>
      </c>
      <c r="E17" s="199">
        <f>IF(Init!$R$9="Yes",'Staging Table'!F19,'Staging Table'!BS19)*Rates_previous!$E$77*100*12</f>
        <v>-298216.13034452294</v>
      </c>
      <c r="F17" s="200">
        <f>IF(Init!$R$9="Yes",SUMPRODUCT('Staging Table'!L19:AI19,LS_Demand_Rates_Restatement!$C$4:$Z$4)-IF(Init!$R$12="No",('Staging Table'!BH19*Rates_previous!$H$34), 0),SUMPRODUCT('Staging Table'!BY19:CV19,LS_Demand_Rates_Restatement!$C$4:$Z$4)-IF(Init!$R$12="No", 'Staging Table'!DU19*Rates_previous!$H$34, 0))</f>
        <v>118775.88222244996</v>
      </c>
      <c r="G17" s="200">
        <f>IF(Init!$R$9="Yes",SUMPRODUCT('Staging Table'!AJ19:AU19,LS_Demand_Rates_Restatement!$C$10:$N$10),SUMPRODUCT(LS_Demand_Rates_Restatement!$C$10:$N$10,'Staging Table'!CW19:DH19))*1000</f>
        <v>85220.849915304512</v>
      </c>
      <c r="H17" s="201">
        <f>IF(Init!$R$9="Yes",'Staging Table'!BQ19,'Staging Table'!ED19)*IF(Init!$R$3=2022,Rates_previous!$C$88,Rates_previous!$D$88)</f>
        <v>0</v>
      </c>
      <c r="I17" s="199">
        <v>0</v>
      </c>
      <c r="J17" s="201">
        <f>IF(Init!$R$9="Yes",IF('Staging Table'!D19=1,'Staging Table'!H19*-1,'Staging Table'!H19*SUM(D17:I17)*(-1)),IF('Staging Table'!D19=1,'Staging Table'!BU19*-1,'Staging Table'!BU19*SUM(D17:I17)*(-1)))</f>
        <v>0</v>
      </c>
      <c r="K17" s="199">
        <f>IF(Init!$R$9="Yes",'Staging Table'!K19,'Staging Table'!BX19)*(-1)*Rates_previous!$H$32</f>
        <v>0</v>
      </c>
      <c r="L17" s="199">
        <f>IF('Staging Table'!C19=1,"",SUM(D17:K17))</f>
        <v>1712030.1248662837</v>
      </c>
      <c r="M17" s="199">
        <f>IF('Staging Table'!C19=1,"",IF(Init!$R$9="Yes",(RT1SC!$C$3*'Staging Table'!E19*'Staging Table'!$F$2)+SUM('Staging Table'!L19:AI19)-IF(Init!$R$12="No",'Staging Table'!BH19, 0),X17))</f>
        <v>44230.406273641536</v>
      </c>
      <c r="N17" s="297">
        <f>IF('Staging Table'!C19=1,"",IF(M17=0, 0, L17/M17))</f>
        <v>38.707085670306022</v>
      </c>
      <c r="O17" s="199">
        <f>'Staging Table'!BR19*Rates_current!$E$76*100*12</f>
        <v>1876323.0326399999</v>
      </c>
      <c r="P17" s="199">
        <f>'Staging Table'!BS19*Rates_current!$E$77*100*12</f>
        <v>-329741.62031999999</v>
      </c>
      <c r="Q17" s="200">
        <f>SUMPRODUCT('Staging Table'!BY19:CV19, LS_Demand_Rates_Restatement!$C$5:$Z$5)-IF(Init!$R$12="No",('Staging Table'!DU19*Rates_current!$H$34), 0)</f>
        <v>243247.46309786738</v>
      </c>
      <c r="R17" s="200">
        <f>SUMPRODUCT('Staging Table'!CW19:DH19, LS_Demand_Rates_Restatement!$C$11:$N$11)*1000</f>
        <v>86113.7783560096</v>
      </c>
      <c r="S17" s="201">
        <f>'Staging Table'!ED19*IF(Init!$R$15="Yes",IF(Init!$R$6=2024,Rates_current!$C$88,Rates_current!$D$88),Rates_current!$H$33)</f>
        <v>0</v>
      </c>
      <c r="T17" s="201">
        <v>0</v>
      </c>
      <c r="U17" s="201">
        <f>IF('Staging Table'!D19=1, 'Staging Table'!BU19*-1,SUM(O17:T17)*'Staging Table'!BU19*-1)</f>
        <v>0</v>
      </c>
      <c r="V17" s="199">
        <f>'Staging Table'!BX19*Rates_current!$H$32*-1</f>
        <v>0</v>
      </c>
      <c r="W17" s="199">
        <f>IF('Staging Table'!C19=1,"",SUM(O17:V17))</f>
        <v>1875942.6537738768</v>
      </c>
      <c r="X17" s="199">
        <f>IF('Staging Table'!C19=1,"",(RT1SC!$C$4*'Staging Table'!BR19*'Staging Table'!$BS$2)+SUM('Staging Table'!BY19:CV19)-IF(Init!$R$12="No",'Staging Table'!DU19, 0))</f>
        <v>46727.460214210078</v>
      </c>
      <c r="Y17" s="297">
        <f>IF('Staging Table'!C19=1,"",IF(X17=0, 0, W17/X17))</f>
        <v>40.146471585960334</v>
      </c>
      <c r="Z17" s="76">
        <f ca="1">IF('Staging Table'!C19=1,"",(Y17/N17-1)+(RAND()/100000000000000))</f>
        <v>3.7186625929801154E-2</v>
      </c>
      <c r="AA17" s="53">
        <f t="shared" ca="1" si="0"/>
        <v>4</v>
      </c>
      <c r="AD17" s="204"/>
      <c r="AE17" s="204"/>
      <c r="AF17" s="208"/>
      <c r="AG17" s="204"/>
      <c r="AH17" s="204"/>
    </row>
    <row r="18" spans="2:34">
      <c r="B18" s="3">
        <v>10064</v>
      </c>
      <c r="C18" s="4" t="s">
        <v>21</v>
      </c>
      <c r="D18" s="199">
        <f>IF(Init!$R$9="Yes",'Staging Table'!E20,'Staging Table'!BR20)*Rates_previous!$E$76*100*12</f>
        <v>4776057.5546366042</v>
      </c>
      <c r="E18" s="199">
        <f>IF(Init!$R$9="Yes",'Staging Table'!F20,'Staging Table'!BS20)*Rates_previous!$E$77*100*12</f>
        <v>-788538.56239266042</v>
      </c>
      <c r="F18" s="200">
        <f>IF(Init!$R$9="Yes",SUMPRODUCT('Staging Table'!L20:AI20,LS_Demand_Rates_Restatement!$C$4:$Z$4)-IF(Init!$R$12="No",('Staging Table'!BH20*Rates_previous!$H$34), 0),SUMPRODUCT('Staging Table'!BY20:CV20,LS_Demand_Rates_Restatement!$C$4:$Z$4)-IF(Init!$R$12="No", 'Staging Table'!DU20*Rates_previous!$H$34, 0))</f>
        <v>74280.086075242492</v>
      </c>
      <c r="G18" s="200">
        <f>IF(Init!$R$9="Yes",SUMPRODUCT('Staging Table'!AJ20:AU20,LS_Demand_Rates_Restatement!$C$10:$N$10),SUMPRODUCT(LS_Demand_Rates_Restatement!$C$10:$N$10,'Staging Table'!CW20:DH20))*1000</f>
        <v>269927.64776016731</v>
      </c>
      <c r="H18" s="201">
        <f>IF(Init!$R$9="Yes",'Staging Table'!BQ20,'Staging Table'!ED20)*IF(Init!$R$3=2022,Rates_previous!$C$88,Rates_previous!$D$88)</f>
        <v>0</v>
      </c>
      <c r="I18" s="199">
        <v>0</v>
      </c>
      <c r="J18" s="201">
        <f>IF(Init!$R$9="Yes",IF('Staging Table'!D20=1,'Staging Table'!H20*-1,'Staging Table'!H20*SUM(D18:I18)*(-1)),IF('Staging Table'!D20=1,'Staging Table'!BU20*-1,'Staging Table'!BU20*SUM(D18:I18)*(-1)))</f>
        <v>0</v>
      </c>
      <c r="K18" s="199">
        <f>IF(Init!$R$9="Yes",'Staging Table'!K20,'Staging Table'!BX20)*(-1)*Rates_previous!$H$32</f>
        <v>0</v>
      </c>
      <c r="L18" s="199">
        <f>IF('Staging Table'!C20=1,"",SUM(D18:K18))</f>
        <v>4331726.7260793541</v>
      </c>
      <c r="M18" s="199">
        <f>IF('Staging Table'!C20=1,"",IF(Init!$R$9="Yes",(RT1SC!$C$3*'Staging Table'!E20*'Staging Table'!$F$2)+SUM('Staging Table'!L20:AI20)-IF(Init!$R$12="No",'Staging Table'!BH20, 0),X18))</f>
        <v>117524.16</v>
      </c>
      <c r="N18" s="297">
        <f>IF('Staging Table'!C20=1,"",IF(M18=0, 0, L18/M18))</f>
        <v>36.858180701562588</v>
      </c>
      <c r="O18" s="199">
        <f>'Staging Table'!BR20*Rates_current!$E$76*100*12</f>
        <v>4960099.29672</v>
      </c>
      <c r="P18" s="199">
        <f>'Staging Table'!BS20*Rates_current!$E$77*100*12</f>
        <v>-871678.89036000008</v>
      </c>
      <c r="Q18" s="200">
        <f>SUMPRODUCT('Staging Table'!BY20:CV20, LS_Demand_Rates_Restatement!$C$5:$Z$5)-IF(Init!$R$12="No",('Staging Table'!DU20*Rates_current!$H$34), 0)</f>
        <v>192404.46005972417</v>
      </c>
      <c r="R18" s="200">
        <f>SUMPRODUCT('Staging Table'!CW20:DH20, LS_Demand_Rates_Restatement!$C$11:$N$11)*1000</f>
        <v>276584.74909666134</v>
      </c>
      <c r="S18" s="201">
        <f>'Staging Table'!ED20*IF(Init!$R$15="Yes",IF(Init!$R$6=2024,Rates_current!$C$88,Rates_current!$D$88),Rates_current!$H$33)</f>
        <v>0</v>
      </c>
      <c r="T18" s="201">
        <v>0</v>
      </c>
      <c r="U18" s="201">
        <f>IF('Staging Table'!D20=1, 'Staging Table'!BU20*-1,SUM(O18:T18)*'Staging Table'!BU20*-1)</f>
        <v>0</v>
      </c>
      <c r="V18" s="199">
        <f>'Staging Table'!BX20*Rates_current!$H$32*-1</f>
        <v>0</v>
      </c>
      <c r="W18" s="199">
        <f>IF('Staging Table'!C20=1,"",SUM(O18:V18))</f>
        <v>4557409.6155163851</v>
      </c>
      <c r="X18" s="199">
        <f>IF('Staging Table'!C20=1,"",(RT1SC!$C$4*'Staging Table'!BR20*'Staging Table'!$BS$2)+SUM('Staging Table'!BY20:CV20)-IF(Init!$R$12="No",'Staging Table'!DU20, 0))</f>
        <v>123538.17600000001</v>
      </c>
      <c r="Y18" s="297">
        <f>IF('Staging Table'!C20=1,"",IF(X18=0, 0, W18/X18))</f>
        <v>36.89069859276848</v>
      </c>
      <c r="Z18" s="76">
        <f ca="1">IF('Staging Table'!C20=1,"",(Y18/N18-1)+(RAND()/100000000000000))</f>
        <v>8.8224352334161907E-4</v>
      </c>
      <c r="AA18" s="53">
        <f t="shared" ca="1" si="0"/>
        <v>31</v>
      </c>
      <c r="AD18" s="204"/>
      <c r="AE18" s="204"/>
      <c r="AF18" s="208"/>
      <c r="AG18" s="204"/>
      <c r="AH18" s="204"/>
    </row>
    <row r="19" spans="2:34">
      <c r="B19" s="3">
        <v>10065</v>
      </c>
      <c r="C19" s="4" t="s">
        <v>22</v>
      </c>
      <c r="D19" s="199">
        <f>IF(Init!$R$9="Yes",'Staging Table'!E21,'Staging Table'!BR21)*Rates_previous!$E$76*100*12</f>
        <v>807440.53958934755</v>
      </c>
      <c r="E19" s="199">
        <f>IF(Init!$R$9="Yes",'Staging Table'!F21,'Staging Table'!BS21)*Rates_previous!$E$77*100*12</f>
        <v>-133310.37053505162</v>
      </c>
      <c r="F19" s="200">
        <f>IF(Init!$R$9="Yes",SUMPRODUCT('Staging Table'!L21:AI21,LS_Demand_Rates_Restatement!$C$4:$Z$4)-IF(Init!$R$12="No",('Staging Table'!BH21*Rates_previous!$H$34), 0),SUMPRODUCT('Staging Table'!BY21:CV21,LS_Demand_Rates_Restatement!$C$4:$Z$4)-IF(Init!$R$12="No", 'Staging Table'!DU21*Rates_previous!$H$34, 0))</f>
        <v>5935.0616311272897</v>
      </c>
      <c r="G19" s="200">
        <f>IF(Init!$R$9="Yes",SUMPRODUCT('Staging Table'!AJ21:AU21,LS_Demand_Rates_Restatement!$C$10:$N$10),SUMPRODUCT(LS_Demand_Rates_Restatement!$C$10:$N$10,'Staging Table'!CW21:DH21))*1000</f>
        <v>9980.3396193108983</v>
      </c>
      <c r="H19" s="201">
        <f>IF(Init!$R$9="Yes",'Staging Table'!BQ21,'Staging Table'!ED21)*IF(Init!$R$3=2022,Rates_previous!$C$88,Rates_previous!$D$88)</f>
        <v>0</v>
      </c>
      <c r="I19" s="199">
        <v>0</v>
      </c>
      <c r="J19" s="201">
        <f>IF(Init!$R$9="Yes",IF('Staging Table'!D21=1,'Staging Table'!H21*-1,'Staging Table'!H21*SUM(D19:I19)*(-1)),IF('Staging Table'!D21=1,'Staging Table'!BU21*-1,'Staging Table'!BU21*SUM(D19:I19)*(-1)))</f>
        <v>-53112.807546355376</v>
      </c>
      <c r="K19" s="199">
        <f>IF(Init!$R$9="Yes",'Staging Table'!K21,'Staging Table'!BX21)*(-1)*Rates_previous!$H$32</f>
        <v>0</v>
      </c>
      <c r="L19" s="199">
        <f>IF('Staging Table'!C21=1,"",SUM(D19:K19))</f>
        <v>636932.76275837864</v>
      </c>
      <c r="M19" s="199">
        <f>IF('Staging Table'!C21=1,"",IF(Init!$R$9="Yes",(RT1SC!$C$3*'Staging Table'!E21*'Staging Table'!$F$2)+SUM('Staging Table'!L21:AI21)-IF(Init!$R$12="No",'Staging Table'!BH21, 0),X19))</f>
        <v>19867.679999999997</v>
      </c>
      <c r="N19" s="297">
        <f>IF('Staging Table'!C21=1,"",IF(M19=0, 0, L19/M19))</f>
        <v>32.058738753512174</v>
      </c>
      <c r="O19" s="199">
        <f>'Staging Table'!BR21*Rates_current!$E$76*100*12</f>
        <v>838765.22184000001</v>
      </c>
      <c r="P19" s="199">
        <f>'Staging Table'!BS21*Rates_current!$E$77*100*12</f>
        <v>-147403.08491999999</v>
      </c>
      <c r="Q19" s="200">
        <f>SUMPRODUCT('Staging Table'!BY21:CV21, LS_Demand_Rates_Restatement!$C$5:$Z$5)-IF(Init!$R$12="No",('Staging Table'!DU21*Rates_current!$H$34), 0)</f>
        <v>3379.762395826624</v>
      </c>
      <c r="R19" s="200">
        <f>SUMPRODUCT('Staging Table'!CW21:DH21, LS_Demand_Rates_Restatement!$C$11:$N$11)*1000</f>
        <v>8987.1702624999907</v>
      </c>
      <c r="S19" s="201">
        <f>'Staging Table'!ED21*IF(Init!$R$15="Yes",IF(Init!$R$6=2024,Rates_current!$C$88,Rates_current!$D$88),Rates_current!$H$33)</f>
        <v>0</v>
      </c>
      <c r="T19" s="201">
        <v>0</v>
      </c>
      <c r="U19" s="201">
        <f>IF('Staging Table'!D21=1, 'Staging Table'!BU21*-1,SUM(O19:T19)*'Staging Table'!BU21*-1)</f>
        <v>-53362.668556082361</v>
      </c>
      <c r="V19" s="199">
        <f>'Staging Table'!BX21*Rates_current!$H$32*-1</f>
        <v>0</v>
      </c>
      <c r="W19" s="199">
        <f>IF('Staging Table'!C21=1,"",SUM(O19:V19))</f>
        <v>650366.40102224413</v>
      </c>
      <c r="X19" s="199">
        <f>IF('Staging Table'!C21=1,"",(RT1SC!$C$4*'Staging Table'!BR21*'Staging Table'!$BS$2)+SUM('Staging Table'!BY21:CV21)-IF(Init!$R$12="No",'Staging Table'!DU21, 0))</f>
        <v>20888.352000000003</v>
      </c>
      <c r="Y19" s="297">
        <f>IF('Staging Table'!C21=1,"",IF(X19=0, 0, W19/X19))</f>
        <v>31.135361996113627</v>
      </c>
      <c r="Z19" s="76">
        <f ca="1">IF('Staging Table'!C21=1,"",(Y19/N19-1)+(RAND()/100000000000000))</f>
        <v>-2.8802653919046014E-2</v>
      </c>
      <c r="AA19" s="53">
        <f t="shared" ca="1" si="0"/>
        <v>115</v>
      </c>
      <c r="AD19" s="204"/>
      <c r="AE19" s="204"/>
      <c r="AF19" s="208"/>
      <c r="AG19" s="204"/>
      <c r="AH19" s="204"/>
    </row>
    <row r="20" spans="2:34">
      <c r="B20" s="3">
        <v>10066</v>
      </c>
      <c r="C20" s="4" t="s">
        <v>23</v>
      </c>
      <c r="D20" s="199">
        <f>IF(Init!$R$9="Yes",'Staging Table'!E22,'Staging Table'!BR22)*Rates_previous!$E$76*100*12</f>
        <v>8276085.6732307617</v>
      </c>
      <c r="E20" s="199">
        <f>IF(Init!$R$9="Yes",'Staging Table'!F22,'Staging Table'!BS22)*Rates_previous!$E$77*100*12</f>
        <v>-1366401.6030695476</v>
      </c>
      <c r="F20" s="200">
        <f>IF(Init!$R$9="Yes",SUMPRODUCT('Staging Table'!L22:AI22,LS_Demand_Rates_Restatement!$C$4:$Z$4)-IF(Init!$R$12="No",('Staging Table'!BH22*Rates_previous!$H$34), 0),SUMPRODUCT('Staging Table'!BY22:CV22,LS_Demand_Rates_Restatement!$C$4:$Z$4)-IF(Init!$R$12="No", 'Staging Table'!DU22*Rates_previous!$H$34, 0))</f>
        <v>95737.022037416566</v>
      </c>
      <c r="G20" s="200">
        <f>IF(Init!$R$9="Yes",SUMPRODUCT('Staging Table'!AJ22:AU22,LS_Demand_Rates_Restatement!$C$10:$N$10),SUMPRODUCT(LS_Demand_Rates_Restatement!$C$10:$N$10,'Staging Table'!CW22:DH22))*1000</f>
        <v>357415.95512643334</v>
      </c>
      <c r="H20" s="201">
        <f>IF(Init!$R$9="Yes",'Staging Table'!BQ22,'Staging Table'!ED22)*IF(Init!$R$3=2022,Rates_previous!$C$88,Rates_previous!$D$88)</f>
        <v>0</v>
      </c>
      <c r="I20" s="199">
        <v>0</v>
      </c>
      <c r="J20" s="201">
        <f>IF(Init!$R$9="Yes",IF('Staging Table'!D22=1,'Staging Table'!H22*-1,'Staging Table'!H22*SUM(D20:I20)*(-1)),IF('Staging Table'!D22=1,'Staging Table'!BU22*-1,'Staging Table'!BU22*SUM(D20:I20)*(-1)))</f>
        <v>0</v>
      </c>
      <c r="K20" s="199">
        <f>IF(Init!$R$9="Yes",'Staging Table'!K22,'Staging Table'!BX22)*(-1)*Rates_previous!$H$32</f>
        <v>0</v>
      </c>
      <c r="L20" s="199">
        <f>IF('Staging Table'!C22=1,"",SUM(D20:K20))</f>
        <v>7362837.0473250644</v>
      </c>
      <c r="M20" s="199">
        <f>IF('Staging Table'!C22=1,"",IF(Init!$R$9="Yes",(RT1SC!$C$3*'Staging Table'!E22*'Staging Table'!$F$2)+SUM('Staging Table'!L22:AI22)-IF(Init!$R$12="No",'Staging Table'!BH22, 0),X20))</f>
        <v>200316.77841763716</v>
      </c>
      <c r="N20" s="297">
        <f>IF('Staging Table'!C22=1,"",IF(M20=0, 0, L20/M20))</f>
        <v>36.755967750112305</v>
      </c>
      <c r="O20" s="199">
        <f>'Staging Table'!BR22*Rates_current!$E$76*100*12</f>
        <v>8595163.7805599999</v>
      </c>
      <c r="P20" s="199">
        <f>'Staging Table'!BS22*Rates_current!$E$77*100*12</f>
        <v>-1510498.5562799999</v>
      </c>
      <c r="Q20" s="200">
        <f>SUMPRODUCT('Staging Table'!BY22:CV22, LS_Demand_Rates_Restatement!$C$5:$Z$5)-IF(Init!$R$12="No",('Staging Table'!DU22*Rates_current!$H$34), 0)</f>
        <v>291063.15010667971</v>
      </c>
      <c r="R20" s="200">
        <f>SUMPRODUCT('Staging Table'!CW22:DH22, LS_Demand_Rates_Restatement!$C$11:$N$11)*1000</f>
        <v>363367.30899882468</v>
      </c>
      <c r="S20" s="201">
        <f>'Staging Table'!ED22*IF(Init!$R$15="Yes",IF(Init!$R$6=2024,Rates_current!$C$88,Rates_current!$D$88),Rates_current!$H$33)</f>
        <v>0</v>
      </c>
      <c r="T20" s="201">
        <v>0</v>
      </c>
      <c r="U20" s="201">
        <f>IF('Staging Table'!D22=1, 'Staging Table'!BU22*-1,SUM(O20:T20)*'Staging Table'!BU22*-1)</f>
        <v>0</v>
      </c>
      <c r="V20" s="199">
        <f>'Staging Table'!BX22*Rates_current!$H$32*-1</f>
        <v>0</v>
      </c>
      <c r="W20" s="199">
        <f>IF('Staging Table'!C22=1,"",SUM(O20:V20))</f>
        <v>7739095.6833855044</v>
      </c>
      <c r="X20" s="199">
        <f>IF('Staging Table'!C22=1,"",(RT1SC!$C$4*'Staging Table'!BR22*'Staging Table'!$BS$2)+SUM('Staging Table'!BY22:CV22)-IF(Init!$R$12="No",'Staging Table'!DU22, 0))</f>
        <v>214074.864</v>
      </c>
      <c r="Y20" s="297">
        <f>IF('Staging Table'!C22=1,"",IF(X20=0, 0, W20/X20))</f>
        <v>36.151351628958665</v>
      </c>
      <c r="Z20" s="76">
        <f ca="1">IF('Staging Table'!C22=1,"",(Y20/N20-1)+(RAND()/100000000000000))</f>
        <v>-1.6449468158858227E-2</v>
      </c>
      <c r="AA20" s="53">
        <f t="shared" ca="1" si="0"/>
        <v>98</v>
      </c>
      <c r="AD20" s="204"/>
      <c r="AE20" s="204"/>
      <c r="AF20" s="208"/>
      <c r="AG20" s="204"/>
      <c r="AH20" s="204"/>
    </row>
    <row r="21" spans="2:34">
      <c r="B21" s="3">
        <v>10067</v>
      </c>
      <c r="C21" s="4" t="s">
        <v>24</v>
      </c>
      <c r="D21" s="199">
        <f>IF(Init!$R$9="Yes",'Staging Table'!E23,'Staging Table'!BR23)*Rates_previous!$E$76*100*12</f>
        <v>5371266.1733656693</v>
      </c>
      <c r="E21" s="199">
        <f>IF(Init!$R$9="Yes",'Staging Table'!F23,'Staging Table'!BS23)*Rates_previous!$E$77*100*12</f>
        <v>-886808.93354442716</v>
      </c>
      <c r="F21" s="200">
        <f>IF(Init!$R$9="Yes",SUMPRODUCT('Staging Table'!L23:AI23,LS_Demand_Rates_Restatement!$C$4:$Z$4)-IF(Init!$R$12="No",('Staging Table'!BH23*Rates_previous!$H$34), 0),SUMPRODUCT('Staging Table'!BY23:CV23,LS_Demand_Rates_Restatement!$C$4:$Z$4)-IF(Init!$R$12="No", 'Staging Table'!DU23*Rates_previous!$H$34, 0))</f>
        <v>65597.774358037437</v>
      </c>
      <c r="G21" s="200">
        <f>IF(Init!$R$9="Yes",SUMPRODUCT('Staging Table'!AJ23:AU23,LS_Demand_Rates_Restatement!$C$10:$N$10),SUMPRODUCT(LS_Demand_Rates_Restatement!$C$10:$N$10,'Staging Table'!CW23:DH23))*1000</f>
        <v>525821.1146169604</v>
      </c>
      <c r="H21" s="201">
        <f>IF(Init!$R$9="Yes",'Staging Table'!BQ23,'Staging Table'!ED23)*IF(Init!$R$3=2022,Rates_previous!$C$88,Rates_previous!$D$88)</f>
        <v>0</v>
      </c>
      <c r="I21" s="199">
        <v>0</v>
      </c>
      <c r="J21" s="201">
        <f>IF(Init!$R$9="Yes",IF('Staging Table'!D23=1,'Staging Table'!H23*-1,'Staging Table'!H23*SUM(D21:I21)*(-1)),IF('Staging Table'!D23=1,'Staging Table'!BU23*-1,'Staging Table'!BU23*SUM(D21:I21)*(-1)))</f>
        <v>0</v>
      </c>
      <c r="K21" s="199">
        <f>IF(Init!$R$9="Yes",'Staging Table'!K23,'Staging Table'!BX23)*(-1)*Rates_previous!$H$32</f>
        <v>0</v>
      </c>
      <c r="L21" s="199">
        <f>IF('Staging Table'!C23=1,"",SUM(D21:K21))</f>
        <v>5075876.1287962403</v>
      </c>
      <c r="M21" s="199">
        <f>IF('Staging Table'!C23=1,"",IF(Init!$R$9="Yes",(RT1SC!$C$3*'Staging Table'!E23*'Staging Table'!$F$2)+SUM('Staging Table'!L23:AI23)-IF(Init!$R$12="No",'Staging Table'!BH23, 0),X21))</f>
        <v>132170.88</v>
      </c>
      <c r="N21" s="297">
        <f>IF('Staging Table'!C23=1,"",IF(M21=0, 0, L21/M21))</f>
        <v>38.403891453217533</v>
      </c>
      <c r="O21" s="199">
        <f>'Staging Table'!BR23*Rates_current!$E$76*100*12</f>
        <v>5578399.0533600003</v>
      </c>
      <c r="P21" s="199">
        <f>'Staging Table'!BS23*Rates_current!$E$77*100*12</f>
        <v>-980337.77267999994</v>
      </c>
      <c r="Q21" s="200">
        <f>SUMPRODUCT('Staging Table'!BY23:CV23, LS_Demand_Rates_Restatement!$C$5:$Z$5)-IF(Init!$R$12="No",('Staging Table'!DU23*Rates_current!$H$34), 0)</f>
        <v>150909.59391930065</v>
      </c>
      <c r="R21" s="200">
        <f>SUMPRODUCT('Staging Table'!CW23:DH23, LS_Demand_Rates_Restatement!$C$11:$N$11)*1000</f>
        <v>522584.56241017632</v>
      </c>
      <c r="S21" s="201">
        <f>'Staging Table'!ED23*IF(Init!$R$15="Yes",IF(Init!$R$6=2024,Rates_current!$C$88,Rates_current!$D$88),Rates_current!$H$33)</f>
        <v>0</v>
      </c>
      <c r="T21" s="201">
        <v>0</v>
      </c>
      <c r="U21" s="201">
        <f>IF('Staging Table'!D23=1, 'Staging Table'!BU23*-1,SUM(O21:T21)*'Staging Table'!BU23*-1)</f>
        <v>0</v>
      </c>
      <c r="V21" s="199">
        <f>'Staging Table'!BX23*Rates_current!$H$32*-1</f>
        <v>0</v>
      </c>
      <c r="W21" s="199">
        <f>IF('Staging Table'!C23=1,"",SUM(O21:V21))</f>
        <v>5271555.437009478</v>
      </c>
      <c r="X21" s="199">
        <f>IF('Staging Table'!C23=1,"",(RT1SC!$C$4*'Staging Table'!BR23*'Staging Table'!$BS$2)+SUM('Staging Table'!BY23:CV23)-IF(Init!$R$12="No",'Staging Table'!DU23, 0))</f>
        <v>138933.45363685692</v>
      </c>
      <c r="Y21" s="297">
        <f>IF('Staging Table'!C23=1,"",IF(X21=0, 0, W21/X21))</f>
        <v>37.94302451293138</v>
      </c>
      <c r="Z21" s="76">
        <f ca="1">IF('Staging Table'!C23=1,"",(Y21/N21-1)+(RAND()/100000000000000))</f>
        <v>-1.2000527104065847E-2</v>
      </c>
      <c r="AA21" s="53">
        <f t="shared" ca="1" si="0"/>
        <v>77</v>
      </c>
      <c r="AD21" s="204"/>
      <c r="AE21" s="204"/>
      <c r="AF21" s="208"/>
      <c r="AG21" s="204"/>
      <c r="AH21" s="204"/>
    </row>
    <row r="22" spans="2:34">
      <c r="B22" s="3">
        <v>10068</v>
      </c>
      <c r="C22" s="4" t="s">
        <v>25</v>
      </c>
      <c r="D22" s="199">
        <f>IF(Init!$R$9="Yes",'Staging Table'!E24,'Staging Table'!BR24)*Rates_previous!$E$76*100*12</f>
        <v>921590.13770177099</v>
      </c>
      <c r="E22" s="199">
        <f>IF(Init!$R$9="Yes",'Staging Table'!F24,'Staging Table'!BS24)*Rates_previous!$E$77*100*12</f>
        <v>-152156.74308470549</v>
      </c>
      <c r="F22" s="200">
        <f>IF(Init!$R$9="Yes",SUMPRODUCT('Staging Table'!L24:AI24,LS_Demand_Rates_Restatement!$C$4:$Z$4)-IF(Init!$R$12="No",('Staging Table'!BH24*Rates_previous!$H$34), 0),SUMPRODUCT('Staging Table'!BY24:CV24,LS_Demand_Rates_Restatement!$C$4:$Z$4)-IF(Init!$R$12="No", 'Staging Table'!DU24*Rates_previous!$H$34, 0))</f>
        <v>247.86418304368635</v>
      </c>
      <c r="G22" s="200">
        <f>IF(Init!$R$9="Yes",SUMPRODUCT('Staging Table'!AJ24:AU24,LS_Demand_Rates_Restatement!$C$10:$N$10),SUMPRODUCT(LS_Demand_Rates_Restatement!$C$10:$N$10,'Staging Table'!CW24:DH24))*1000</f>
        <v>46465.901033333321</v>
      </c>
      <c r="H22" s="201">
        <f>IF(Init!$R$9="Yes",'Staging Table'!BQ24,'Staging Table'!ED24)*IF(Init!$R$3=2022,Rates_previous!$C$88,Rates_previous!$D$88)</f>
        <v>-3711.6290691067497</v>
      </c>
      <c r="I22" s="199">
        <v>0</v>
      </c>
      <c r="J22" s="201">
        <f>IF(Init!$R$9="Yes",IF('Staging Table'!D24=1,'Staging Table'!H24*-1,'Staging Table'!H24*SUM(D22:I22)*(-1)),IF('Staging Table'!D24=1,'Staging Table'!BU24*-1,'Staging Table'!BU24*SUM(D22:I22)*(-1)))</f>
        <v>0</v>
      </c>
      <c r="K22" s="199">
        <f>IF(Init!$R$9="Yes",'Staging Table'!K24,'Staging Table'!BX24)*(-1)*Rates_previous!$H$32</f>
        <v>0</v>
      </c>
      <c r="L22" s="199">
        <f>IF('Staging Table'!C24=1,"",SUM(D22:K22))</f>
        <v>812435.53076433577</v>
      </c>
      <c r="M22" s="199">
        <f>IF('Staging Table'!C24=1,"",IF(Init!$R$9="Yes",(RT1SC!$C$3*'Staging Table'!E24*'Staging Table'!$F$2)+SUM('Staging Table'!L24:AI24)-IF(Init!$R$12="No",'Staging Table'!BH24, 0),X22))</f>
        <v>22152.746160064315</v>
      </c>
      <c r="N22" s="297">
        <f>IF('Staging Table'!C24=1,"",IF(M22=0, 0, L22/M22))</f>
        <v>36.674258121051707</v>
      </c>
      <c r="O22" s="199">
        <f>'Staging Table'!BR24*Rates_current!$E$76*100*12</f>
        <v>889584.37992000009</v>
      </c>
      <c r="P22" s="199">
        <f>'Staging Table'!BS24*Rates_current!$E$77*100*12</f>
        <v>-156333.95196000001</v>
      </c>
      <c r="Q22" s="200">
        <f>SUMPRODUCT('Staging Table'!BY24:CV24, LS_Demand_Rates_Restatement!$C$5:$Z$5)-IF(Init!$R$12="No",('Staging Table'!DU24*Rates_current!$H$34), 0)</f>
        <v>30498.633221526081</v>
      </c>
      <c r="R22" s="200">
        <f>SUMPRODUCT('Staging Table'!CW24:DH24, LS_Demand_Rates_Restatement!$C$11:$N$11)*1000</f>
        <v>47626.154299278838</v>
      </c>
      <c r="S22" s="201">
        <f>'Staging Table'!ED24*IF(Init!$R$15="Yes",IF(Init!$R$6=2024,Rates_current!$C$88,Rates_current!$D$88),Rates_current!$H$33)</f>
        <v>3.3845065063267978</v>
      </c>
      <c r="T22" s="201">
        <v>0</v>
      </c>
      <c r="U22" s="201">
        <f>IF('Staging Table'!D24=1, 'Staging Table'!BU24*-1,SUM(O22:T22)*'Staging Table'!BU24*-1)</f>
        <v>0</v>
      </c>
      <c r="V22" s="199">
        <f>'Staging Table'!BX24*Rates_current!$H$32*-1</f>
        <v>0</v>
      </c>
      <c r="W22" s="199">
        <f>IF('Staging Table'!C24=1,"",SUM(O22:V22))</f>
        <v>811378.59998731141</v>
      </c>
      <c r="X22" s="199">
        <f>IF('Staging Table'!C24=1,"",(RT1SC!$C$4*'Staging Table'!BR24*'Staging Table'!$BS$2)+SUM('Staging Table'!BY24:CV24)-IF(Init!$R$12="No",'Staging Table'!DU24, 0))</f>
        <v>22152.745101559238</v>
      </c>
      <c r="Y22" s="297">
        <f>IF('Staging Table'!C24=1,"",IF(X22=0, 0, W22/X22))</f>
        <v>36.62654882126558</v>
      </c>
      <c r="Z22" s="76">
        <f ca="1">IF('Staging Table'!C24=1,"",(Y22/N22-1)+(RAND()/100000000000000))</f>
        <v>-1.3008933849019844E-3</v>
      </c>
      <c r="AA22" s="53">
        <f t="shared" ca="1" si="0"/>
        <v>35</v>
      </c>
      <c r="AD22" s="204"/>
      <c r="AE22" s="204"/>
      <c r="AF22" s="208"/>
      <c r="AG22" s="204"/>
      <c r="AH22" s="204"/>
    </row>
    <row r="23" spans="2:34">
      <c r="B23" s="3">
        <v>10070</v>
      </c>
      <c r="C23" s="4" t="s">
        <v>26</v>
      </c>
      <c r="D23" s="199">
        <f>IF(Init!$R$9="Yes",'Staging Table'!E25,'Staging Table'!BR25)*Rates_previous!$E$76*100*12</f>
        <v>121823.5206746031</v>
      </c>
      <c r="E23" s="199">
        <f>IF(Init!$R$9="Yes",'Staging Table'!F25,'Staging Table'!BS25)*Rates_previous!$E$77*100*12</f>
        <v>-20113.355578202027</v>
      </c>
      <c r="F23" s="200">
        <f>IF(Init!$R$9="Yes",SUMPRODUCT('Staging Table'!L25:AI25,LS_Demand_Rates_Restatement!$C$4:$Z$4)-IF(Init!$R$12="No",('Staging Table'!BH25*Rates_previous!$H$34), 0),SUMPRODUCT('Staging Table'!BY25:CV25,LS_Demand_Rates_Restatement!$C$4:$Z$4)-IF(Init!$R$12="No", 'Staging Table'!DU25*Rates_previous!$H$34, 0))</f>
        <v>1850.8630788314185</v>
      </c>
      <c r="G23" s="200">
        <f>IF(Init!$R$9="Yes",SUMPRODUCT('Staging Table'!AJ25:AU25,LS_Demand_Rates_Restatement!$C$10:$N$10),SUMPRODUCT(LS_Demand_Rates_Restatement!$C$10:$N$10,'Staging Table'!CW25:DH25))*1000</f>
        <v>6586.8047182781365</v>
      </c>
      <c r="H23" s="201">
        <f>IF(Init!$R$9="Yes",'Staging Table'!BQ25,'Staging Table'!ED25)*IF(Init!$R$3=2022,Rates_previous!$C$88,Rates_previous!$D$88)</f>
        <v>0</v>
      </c>
      <c r="I23" s="199">
        <v>0</v>
      </c>
      <c r="J23" s="201">
        <f>IF(Init!$R$9="Yes",IF('Staging Table'!D25=1,'Staging Table'!H25*-1,'Staging Table'!H25*SUM(D23:I23)*(-1)),IF('Staging Table'!D25=1,'Staging Table'!BU25*-1,'Staging Table'!BU25*SUM(D23:I23)*(-1)))</f>
        <v>0</v>
      </c>
      <c r="K23" s="199">
        <f>IF(Init!$R$9="Yes",'Staging Table'!K25,'Staging Table'!BX25)*(-1)*Rates_previous!$H$32</f>
        <v>0</v>
      </c>
      <c r="L23" s="199">
        <f>IF('Staging Table'!C25=1,"",SUM(D23:K23))</f>
        <v>110147.83289351063</v>
      </c>
      <c r="M23" s="199">
        <f>IF('Staging Table'!C25=1,"",IF(Init!$R$9="Yes",(RT1SC!$C$3*'Staging Table'!E25*'Staging Table'!$F$2)+SUM('Staging Table'!L25:AI25)-IF(Init!$R$12="No",'Staging Table'!BH25, 0),X23))</f>
        <v>2995.92</v>
      </c>
      <c r="N23" s="297">
        <f>IF('Staging Table'!C25=1,"",IF(M23=0, 0, L23/M23))</f>
        <v>36.765945984375627</v>
      </c>
      <c r="O23" s="199">
        <f>'Staging Table'!BR25*Rates_current!$E$76*100*12</f>
        <v>126549.66816000002</v>
      </c>
      <c r="P23" s="199">
        <f>'Staging Table'!BS25*Rates_current!$E$77*100*12</f>
        <v>-22239.610079999999</v>
      </c>
      <c r="Q23" s="200">
        <f>SUMPRODUCT('Staging Table'!BY25:CV25, LS_Demand_Rates_Restatement!$C$5:$Z$5)-IF(Init!$R$12="No",('Staging Table'!DU25*Rates_current!$H$34), 0)</f>
        <v>4197.6496873662072</v>
      </c>
      <c r="R23" s="200">
        <f>SUMPRODUCT('Staging Table'!CW25:DH25, LS_Demand_Rates_Restatement!$C$11:$N$11)*1000</f>
        <v>6882.8899819444441</v>
      </c>
      <c r="S23" s="201">
        <f>'Staging Table'!ED25*IF(Init!$R$15="Yes",IF(Init!$R$6=2024,Rates_current!$C$88,Rates_current!$D$88),Rates_current!$H$33)</f>
        <v>0</v>
      </c>
      <c r="T23" s="201">
        <v>0</v>
      </c>
      <c r="U23" s="201">
        <f>IF('Staging Table'!D25=1, 'Staging Table'!BU25*-1,SUM(O23:T23)*'Staging Table'!BU25*-1)</f>
        <v>0</v>
      </c>
      <c r="V23" s="199">
        <f>'Staging Table'!BX25*Rates_current!$H$32*-1</f>
        <v>0</v>
      </c>
      <c r="W23" s="199">
        <f>IF('Staging Table'!C25=1,"",SUM(O23:V23))</f>
        <v>115390.59774931068</v>
      </c>
      <c r="X23" s="199">
        <f>IF('Staging Table'!C25=1,"",(RT1SC!$C$4*'Staging Table'!BR25*'Staging Table'!$BS$2)+SUM('Staging Table'!BY25:CV25)-IF(Init!$R$12="No",'Staging Table'!DU25, 0))</f>
        <v>3153.4559999999997</v>
      </c>
      <c r="Y23" s="297">
        <f>IF('Staging Table'!C25=1,"",IF(X23=0, 0, W23/X23))</f>
        <v>36.591789373091203</v>
      </c>
      <c r="Z23" s="76">
        <f ca="1">IF('Staging Table'!C25=1,"",(Y23/N23-1)+(RAND()/100000000000000))</f>
        <v>-4.7369000476217508E-3</v>
      </c>
      <c r="AA23" s="53">
        <f t="shared" ca="1" si="0"/>
        <v>41</v>
      </c>
      <c r="AD23" s="204"/>
      <c r="AE23" s="204"/>
      <c r="AF23" s="208"/>
      <c r="AG23" s="204"/>
      <c r="AH23" s="204"/>
    </row>
    <row r="24" spans="2:34">
      <c r="B24" s="3">
        <v>10071</v>
      </c>
      <c r="C24" s="4" t="s">
        <v>27</v>
      </c>
      <c r="D24" s="199">
        <f>IF(Init!$R$9="Yes",'Staging Table'!E26,'Staging Table'!BR26)*Rates_previous!$E$76*100*12</f>
        <v>650125.12706466322</v>
      </c>
      <c r="E24" s="199">
        <f>IF(Init!$R$9="Yes",'Staging Table'!F26,'Staging Table'!BS26)*Rates_previous!$E$77*100*12</f>
        <v>-107337.21844981436</v>
      </c>
      <c r="F24" s="200">
        <f>IF(Init!$R$9="Yes",SUMPRODUCT('Staging Table'!L26:AI26,LS_Demand_Rates_Restatement!$C$4:$Z$4)-IF(Init!$R$12="No",('Staging Table'!BH26*Rates_previous!$H$34), 0),SUMPRODUCT('Staging Table'!BY26:CV26,LS_Demand_Rates_Restatement!$C$4:$Z$4)-IF(Init!$R$12="No", 'Staging Table'!DU26*Rates_previous!$H$34, 0))</f>
        <v>10160.799812955107</v>
      </c>
      <c r="G24" s="200">
        <f>IF(Init!$R$9="Yes",SUMPRODUCT('Staging Table'!AJ26:AU26,LS_Demand_Rates_Restatement!$C$10:$N$10),SUMPRODUCT(LS_Demand_Rates_Restatement!$C$10:$N$10,'Staging Table'!CW26:DH26))*1000</f>
        <v>19396.527488586187</v>
      </c>
      <c r="H24" s="201">
        <f>IF(Init!$R$9="Yes",'Staging Table'!BQ26,'Staging Table'!ED26)*IF(Init!$R$3=2022,Rates_previous!$C$88,Rates_previous!$D$88)</f>
        <v>0</v>
      </c>
      <c r="I24" s="199">
        <v>0</v>
      </c>
      <c r="J24" s="201">
        <f>IF(Init!$R$9="Yes",IF('Staging Table'!D26=1,'Staging Table'!H26*-1,'Staging Table'!H26*SUM(D24:I24)*(-1)),IF('Staging Table'!D26=1,'Staging Table'!BU26*-1,'Staging Table'!BU26*SUM(D24:I24)*(-1)))</f>
        <v>0</v>
      </c>
      <c r="K24" s="199">
        <f>IF(Init!$R$9="Yes",'Staging Table'!K26,'Staging Table'!BX26)*(-1)*Rates_previous!$H$32</f>
        <v>0</v>
      </c>
      <c r="L24" s="199">
        <f>IF('Staging Table'!C26=1,"",SUM(D24:K24))</f>
        <v>572345.23591639008</v>
      </c>
      <c r="M24" s="199">
        <f>IF('Staging Table'!C26=1,"",IF(Init!$R$9="Yes",(RT1SC!$C$3*'Staging Table'!E26*'Staging Table'!$F$2)+SUM('Staging Table'!L26:AI26)-IF(Init!$R$12="No",'Staging Table'!BH26, 0),X24))</f>
        <v>15995.76</v>
      </c>
      <c r="N24" s="297">
        <f>IF('Staging Table'!C26=1,"",IF(M24=0, 0, L24/M24))</f>
        <v>35.781059225469129</v>
      </c>
      <c r="O24" s="199">
        <f>'Staging Table'!BR26*Rates_current!$E$76*100*12</f>
        <v>657659.69280000008</v>
      </c>
      <c r="P24" s="199">
        <f>'Staging Table'!BS26*Rates_current!$E$77*100*12</f>
        <v>-115575.92640000003</v>
      </c>
      <c r="Q24" s="200">
        <f>SUMPRODUCT('Staging Table'!BY26:CV26, LS_Demand_Rates_Restatement!$C$5:$Z$5)-IF(Init!$R$12="No",('Staging Table'!DU26*Rates_current!$H$34), 0)</f>
        <v>18519.83202490296</v>
      </c>
      <c r="R24" s="200">
        <f>SUMPRODUCT('Staging Table'!CW26:DH26, LS_Demand_Rates_Restatement!$C$11:$N$11)*1000</f>
        <v>18809.565260683761</v>
      </c>
      <c r="S24" s="201">
        <f>'Staging Table'!ED26*IF(Init!$R$15="Yes",IF(Init!$R$6=2024,Rates_current!$C$88,Rates_current!$D$88),Rates_current!$H$33)</f>
        <v>16.313014700827154</v>
      </c>
      <c r="T24" s="201">
        <v>0</v>
      </c>
      <c r="U24" s="201">
        <f>IF('Staging Table'!D26=1, 'Staging Table'!BU26*-1,SUM(O24:T24)*'Staging Table'!BU26*-1)</f>
        <v>0</v>
      </c>
      <c r="V24" s="199">
        <f>'Staging Table'!BX26*Rates_current!$H$32*-1</f>
        <v>0</v>
      </c>
      <c r="W24" s="199">
        <f>IF('Staging Table'!C26=1,"",SUM(O24:V24))</f>
        <v>579429.47670028755</v>
      </c>
      <c r="X24" s="199">
        <f>IF('Staging Table'!C26=1,"",(RT1SC!$C$4*'Staging Table'!BR26*'Staging Table'!$BS$2)+SUM('Staging Table'!BY26:CV26)-IF(Init!$R$12="No",'Staging Table'!DU26, 0))</f>
        <v>16379.736075081601</v>
      </c>
      <c r="Y24" s="297">
        <f>IF('Staging Table'!C26=1,"",IF(X24=0, 0, W24/X24))</f>
        <v>35.374774907501127</v>
      </c>
      <c r="Z24" s="76">
        <f ca="1">IF('Staging Table'!C26=1,"",(Y24/N24-1)+(RAND()/100000000000000))</f>
        <v>-1.135473143507381E-2</v>
      </c>
      <c r="AA24" s="53">
        <f t="shared" ca="1" si="0"/>
        <v>74</v>
      </c>
      <c r="AD24" s="204"/>
      <c r="AE24" s="204"/>
      <c r="AF24" s="208"/>
      <c r="AG24" s="204"/>
      <c r="AH24" s="204"/>
    </row>
    <row r="25" spans="2:34">
      <c r="B25" s="3">
        <v>10072</v>
      </c>
      <c r="C25" s="4" t="s">
        <v>28</v>
      </c>
      <c r="D25" s="199">
        <f>IF(Init!$R$9="Yes",'Staging Table'!E27,'Staging Table'!BR27)*Rates_previous!$E$76*100*12</f>
        <v>8143950.3191132303</v>
      </c>
      <c r="E25" s="199">
        <f>IF(Init!$R$9="Yes",'Staging Table'!F27,'Staging Table'!BS27)*Rates_previous!$E$77*100*12</f>
        <v>-1344585.7390467338</v>
      </c>
      <c r="F25" s="200">
        <f>IF(Init!$R$9="Yes",SUMPRODUCT('Staging Table'!L27:AI27,LS_Demand_Rates_Restatement!$C$4:$Z$4)-IF(Init!$R$12="No",('Staging Table'!BH27*Rates_previous!$H$34), 0),SUMPRODUCT('Staging Table'!BY27:CV27,LS_Demand_Rates_Restatement!$C$4:$Z$4)-IF(Init!$R$12="No", 'Staging Table'!DU27*Rates_previous!$H$34, 0))</f>
        <v>114946.6444185017</v>
      </c>
      <c r="G25" s="200">
        <f>IF(Init!$R$9="Yes",SUMPRODUCT('Staging Table'!AJ27:AU27,LS_Demand_Rates_Restatement!$C$10:$N$10),SUMPRODUCT(LS_Demand_Rates_Restatement!$C$10:$N$10,'Staging Table'!CW27:DH27))*1000</f>
        <v>260915.9995519587</v>
      </c>
      <c r="H25" s="201">
        <f>IF(Init!$R$9="Yes",'Staging Table'!BQ27,'Staging Table'!ED27)*IF(Init!$R$3=2022,Rates_previous!$C$88,Rates_previous!$D$88)</f>
        <v>0</v>
      </c>
      <c r="I25" s="199">
        <v>0</v>
      </c>
      <c r="J25" s="201">
        <f>IF(Init!$R$9="Yes",IF('Staging Table'!D27=1,'Staging Table'!H27*-1,'Staging Table'!H27*SUM(D25:I25)*(-1)),IF('Staging Table'!D27=1,'Staging Table'!BU27*-1,'Staging Table'!BU27*SUM(D25:I25)*(-1)))</f>
        <v>0</v>
      </c>
      <c r="K25" s="199">
        <f>IF(Init!$R$9="Yes",'Staging Table'!K27,'Staging Table'!BX27)*(-1)*Rates_previous!$H$32</f>
        <v>0</v>
      </c>
      <c r="L25" s="199">
        <f>IF('Staging Table'!C27=1,"",SUM(D25:K25))</f>
        <v>7175227.2240369562</v>
      </c>
      <c r="M25" s="199">
        <f>IF('Staging Table'!C27=1,"",IF(Init!$R$9="Yes",(RT1SC!$C$3*'Staging Table'!E27*'Staging Table'!$F$2)+SUM('Staging Table'!L27:AI27)-IF(Init!$R$12="No",'Staging Table'!BH27, 0),X25))</f>
        <v>200402.52</v>
      </c>
      <c r="N25" s="297">
        <f>IF('Staging Table'!C27=1,"",IF(M25=0, 0, L25/M25))</f>
        <v>35.804076835146368</v>
      </c>
      <c r="O25" s="199">
        <f>'Staging Table'!BR27*Rates_current!$E$76*100*12</f>
        <v>8458151.344560001</v>
      </c>
      <c r="P25" s="199">
        <f>'Staging Table'!BS27*Rates_current!$E$77*100*12</f>
        <v>-1486420.2382799999</v>
      </c>
      <c r="Q25" s="200">
        <f>SUMPRODUCT('Staging Table'!BY27:CV27, LS_Demand_Rates_Restatement!$C$5:$Z$5)-IF(Init!$R$12="No",('Staging Table'!DU27*Rates_current!$H$34), 0)</f>
        <v>254314.43089187783</v>
      </c>
      <c r="R25" s="200">
        <f>SUMPRODUCT('Staging Table'!CW27:DH27, LS_Demand_Rates_Restatement!$C$11:$N$11)*1000</f>
        <v>277675.74317657592</v>
      </c>
      <c r="S25" s="201">
        <f>'Staging Table'!ED27*IF(Init!$R$15="Yes",IF(Init!$R$6=2024,Rates_current!$C$88,Rates_current!$D$88),Rates_current!$H$33)</f>
        <v>0</v>
      </c>
      <c r="T25" s="201">
        <v>0</v>
      </c>
      <c r="U25" s="201">
        <f>IF('Staging Table'!D27=1, 'Staging Table'!BU27*-1,SUM(O25:T25)*'Staging Table'!BU27*-1)</f>
        <v>0</v>
      </c>
      <c r="V25" s="199">
        <f>'Staging Table'!BX27*Rates_current!$H$32*-1</f>
        <v>0</v>
      </c>
      <c r="W25" s="199">
        <f>IF('Staging Table'!C27=1,"",SUM(O25:V25))</f>
        <v>7503721.2803484546</v>
      </c>
      <c r="X25" s="199">
        <f>IF('Staging Table'!C27=1,"",(RT1SC!$C$4*'Staging Table'!BR27*'Staging Table'!$BS$2)+SUM('Staging Table'!BY27:CV27)-IF(Init!$R$12="No",'Staging Table'!DU27, 0))</f>
        <v>210657.88800000001</v>
      </c>
      <c r="Y25" s="297">
        <f>IF('Staging Table'!C27=1,"",IF(X25=0, 0, W25/X25))</f>
        <v>35.620414462469377</v>
      </c>
      <c r="Z25" s="76">
        <f ca="1">IF('Staging Table'!C27=1,"",(Y25/N25-1)+(RAND()/100000000000000))</f>
        <v>-5.12964971900673E-3</v>
      </c>
      <c r="AA25" s="53">
        <f t="shared" ca="1" si="0"/>
        <v>45</v>
      </c>
      <c r="AD25" s="204"/>
      <c r="AE25" s="204"/>
      <c r="AF25" s="208"/>
      <c r="AG25" s="204"/>
      <c r="AH25" s="204"/>
    </row>
    <row r="26" spans="2:34">
      <c r="B26" s="3">
        <v>10074</v>
      </c>
      <c r="C26" s="4" t="s">
        <v>29</v>
      </c>
      <c r="D26" s="199">
        <f>IF(Init!$R$9="Yes",'Staging Table'!E28,'Staging Table'!BR28)*Rates_previous!$E$76*100*12</f>
        <v>9060744.2552136388</v>
      </c>
      <c r="E26" s="199">
        <f>IF(Init!$R$9="Yes",'Staging Table'!F28,'Staging Table'!BS28)*Rates_previous!$E$77*100*12</f>
        <v>-1495950.6177385966</v>
      </c>
      <c r="F26" s="200">
        <f>IF(Init!$R$9="Yes",SUMPRODUCT('Staging Table'!L28:AI28,LS_Demand_Rates_Restatement!$C$4:$Z$4)-IF(Init!$R$12="No",('Staging Table'!BH28*Rates_previous!$H$34), 0),SUMPRODUCT('Staging Table'!BY28:CV28,LS_Demand_Rates_Restatement!$C$4:$Z$4)-IF(Init!$R$12="No", 'Staging Table'!DU28*Rates_previous!$H$34, 0))</f>
        <v>139623.67384995695</v>
      </c>
      <c r="G26" s="200">
        <f>IF(Init!$R$9="Yes",SUMPRODUCT('Staging Table'!AJ28:AU28,LS_Demand_Rates_Restatement!$C$10:$N$10),SUMPRODUCT(LS_Demand_Rates_Restatement!$C$10:$N$10,'Staging Table'!CW28:DH28))*1000</f>
        <v>404580.27322195511</v>
      </c>
      <c r="H26" s="201">
        <f>IF(Init!$R$9="Yes",'Staging Table'!BQ28,'Staging Table'!ED28)*IF(Init!$R$3=2022,Rates_previous!$C$88,Rates_previous!$D$88)</f>
        <v>0</v>
      </c>
      <c r="I26" s="199">
        <v>0</v>
      </c>
      <c r="J26" s="201">
        <f>IF(Init!$R$9="Yes",IF('Staging Table'!D28=1,'Staging Table'!H28*-1,'Staging Table'!H28*SUM(D26:I26)*(-1)),IF('Staging Table'!D28=1,'Staging Table'!BU28*-1,'Staging Table'!BU28*SUM(D26:I26)*(-1)))</f>
        <v>0</v>
      </c>
      <c r="K26" s="199">
        <f>IF(Init!$R$9="Yes",'Staging Table'!K28,'Staging Table'!BX28)*(-1)*Rates_previous!$H$32</f>
        <v>0</v>
      </c>
      <c r="L26" s="199">
        <f>IF('Staging Table'!C28=1,"",SUM(D26:K26))</f>
        <v>8108997.5845469534</v>
      </c>
      <c r="M26" s="199">
        <f>IF('Staging Table'!C28=1,"",IF(Init!$R$9="Yes",(RT1SC!$C$3*'Staging Table'!E28*'Staging Table'!$F$2)+SUM('Staging Table'!L28:AI28)-IF(Init!$R$12="No",'Staging Table'!BH28, 0),X26))</f>
        <v>222959.52000000002</v>
      </c>
      <c r="N26" s="297">
        <f>IF('Staging Table'!C28=1,"",IF(M26=0, 0, L26/M26))</f>
        <v>36.369819887246585</v>
      </c>
      <c r="O26" s="199">
        <f>'Staging Table'!BR28*Rates_current!$E$76*100*12</f>
        <v>9410263.2180000003</v>
      </c>
      <c r="P26" s="199">
        <f>'Staging Table'!BS28*Rates_current!$E$77*100*12</f>
        <v>-1653742.659</v>
      </c>
      <c r="Q26" s="200">
        <f>SUMPRODUCT('Staging Table'!BY28:CV28, LS_Demand_Rates_Restatement!$C$5:$Z$5)-IF(Init!$R$12="No",('Staging Table'!DU28*Rates_current!$H$34), 0)</f>
        <v>307580.37447280786</v>
      </c>
      <c r="R26" s="200">
        <f>SUMPRODUCT('Staging Table'!CW28:DH28, LS_Demand_Rates_Restatement!$C$11:$N$11)*1000</f>
        <v>421627.92201490368</v>
      </c>
      <c r="S26" s="201">
        <f>'Staging Table'!ED28*IF(Init!$R$15="Yes",IF(Init!$R$6=2024,Rates_current!$C$88,Rates_current!$D$88),Rates_current!$H$33)</f>
        <v>0</v>
      </c>
      <c r="T26" s="201">
        <v>0</v>
      </c>
      <c r="U26" s="201">
        <f>IF('Staging Table'!D28=1, 'Staging Table'!BU28*-1,SUM(O26:T26)*'Staging Table'!BU28*-1)</f>
        <v>0</v>
      </c>
      <c r="V26" s="199">
        <f>'Staging Table'!BX28*Rates_current!$H$32*-1</f>
        <v>0</v>
      </c>
      <c r="W26" s="199">
        <f>IF('Staging Table'!C28=1,"",SUM(O26:V26))</f>
        <v>8485728.8554877117</v>
      </c>
      <c r="X26" s="199">
        <f>IF('Staging Table'!C28=1,"",(RT1SC!$C$4*'Staging Table'!BR28*'Staging Table'!$BS$2)+SUM('Staging Table'!BY28:CV28)-IF(Init!$R$12="No",'Staging Table'!DU28, 0))</f>
        <v>234368.79007432098</v>
      </c>
      <c r="Y26" s="297">
        <f>IF('Staging Table'!C28=1,"",IF(X26=0, 0, W26/X26))</f>
        <v>36.206735772270669</v>
      </c>
      <c r="Z26" s="76">
        <f ca="1">IF('Staging Table'!C28=1,"",(Y26/N26-1)+(RAND()/100000000000000))</f>
        <v>-4.4840506629243316E-3</v>
      </c>
      <c r="AA26" s="53">
        <f t="shared" ca="1" si="0"/>
        <v>38</v>
      </c>
      <c r="AD26" s="204"/>
      <c r="AE26" s="204"/>
      <c r="AF26" s="208"/>
      <c r="AG26" s="204"/>
      <c r="AH26" s="204"/>
    </row>
    <row r="27" spans="2:34">
      <c r="B27" s="3">
        <v>10076</v>
      </c>
      <c r="C27" s="4" t="s">
        <v>30</v>
      </c>
      <c r="D27" s="199">
        <f>IF(Init!$R$9="Yes",'Staging Table'!E29,'Staging Table'!BR29)*Rates_previous!$E$76*100*12</f>
        <v>1635744.5561446212</v>
      </c>
      <c r="E27" s="199">
        <f>IF(Init!$R$9="Yes",'Staging Table'!F29,'Staging Table'!BS29)*Rates_previous!$E$77*100*12</f>
        <v>-270065.35117896856</v>
      </c>
      <c r="F27" s="200">
        <f>IF(Init!$R$9="Yes",SUMPRODUCT('Staging Table'!L29:AI29,LS_Demand_Rates_Restatement!$C$4:$Z$4)-IF(Init!$R$12="No",('Staging Table'!BH29*Rates_previous!$H$34), 0),SUMPRODUCT('Staging Table'!BY29:CV29,LS_Demand_Rates_Restatement!$C$4:$Z$4)-IF(Init!$R$12="No", 'Staging Table'!DU29*Rates_previous!$H$34, 0))</f>
        <v>16589.685176356099</v>
      </c>
      <c r="G27" s="200">
        <f>IF(Init!$R$9="Yes",SUMPRODUCT('Staging Table'!AJ29:AU29,LS_Demand_Rates_Restatement!$C$10:$N$10),SUMPRODUCT(LS_Demand_Rates_Restatement!$C$10:$N$10,'Staging Table'!CW29:DH29))*1000</f>
        <v>50921.344438639586</v>
      </c>
      <c r="H27" s="201">
        <f>IF(Init!$R$9="Yes",'Staging Table'!BQ29,'Staging Table'!ED29)*IF(Init!$R$3=2022,Rates_previous!$C$88,Rates_previous!$D$88)</f>
        <v>0</v>
      </c>
      <c r="I27" s="199">
        <v>0</v>
      </c>
      <c r="J27" s="201">
        <f>IF(Init!$R$9="Yes",IF('Staging Table'!D29=1,'Staging Table'!H29*-1,'Staging Table'!H29*SUM(D27:I27)*(-1)),IF('Staging Table'!D29=1,'Staging Table'!BU29*-1,'Staging Table'!BU29*SUM(D27:I27)*(-1)))</f>
        <v>0</v>
      </c>
      <c r="K27" s="199">
        <f>IF(Init!$R$9="Yes",'Staging Table'!K29,'Staging Table'!BX29)*(-1)*Rates_previous!$H$32</f>
        <v>0</v>
      </c>
      <c r="L27" s="199">
        <f>IF('Staging Table'!C29=1,"",SUM(D27:K27))</f>
        <v>1433190.2345806481</v>
      </c>
      <c r="M27" s="199">
        <f>IF('Staging Table'!C29=1,"",IF(Init!$R$9="Yes",(RT1SC!$C$3*'Staging Table'!E29*'Staging Table'!$F$2)+SUM('Staging Table'!L29:AI29)-IF(Init!$R$12="No",'Staging Table'!BH29, 0),X27))</f>
        <v>40252.199999999997</v>
      </c>
      <c r="N27" s="297">
        <f>IF('Staging Table'!C29=1,"",IF(M27=0, 0, L27/M27))</f>
        <v>35.605264670767021</v>
      </c>
      <c r="O27" s="199">
        <f>'Staging Table'!BR29*Rates_current!$E$76*100*12</f>
        <v>1698954.2063999996</v>
      </c>
      <c r="P27" s="199">
        <f>'Staging Table'!BS29*Rates_current!$E$77*100*12</f>
        <v>-298571.14319999999</v>
      </c>
      <c r="Q27" s="200">
        <f>SUMPRODUCT('Staging Table'!BY29:CV29, LS_Demand_Rates_Restatement!$C$5:$Z$5)-IF(Init!$R$12="No",('Staging Table'!DU29*Rates_current!$H$34), 0)</f>
        <v>36497.267190372077</v>
      </c>
      <c r="R27" s="200">
        <f>SUMPRODUCT('Staging Table'!CW29:DH29, LS_Demand_Rates_Restatement!$C$11:$N$11)*1000</f>
        <v>50261.956292254261</v>
      </c>
      <c r="S27" s="201">
        <f>'Staging Table'!ED29*IF(Init!$R$15="Yes",IF(Init!$R$6=2024,Rates_current!$C$88,Rates_current!$D$88),Rates_current!$H$33)</f>
        <v>0</v>
      </c>
      <c r="T27" s="201">
        <v>0</v>
      </c>
      <c r="U27" s="201">
        <f>IF('Staging Table'!D29=1, 'Staging Table'!BU29*-1,SUM(O27:T27)*'Staging Table'!BU29*-1)</f>
        <v>0</v>
      </c>
      <c r="V27" s="199">
        <f>'Staging Table'!BX29*Rates_current!$H$32*-1</f>
        <v>0</v>
      </c>
      <c r="W27" s="199">
        <f>IF('Staging Table'!C29=1,"",SUM(O27:V27))</f>
        <v>1487142.2866826258</v>
      </c>
      <c r="X27" s="199">
        <f>IF('Staging Table'!C29=1,"",(RT1SC!$C$4*'Staging Table'!BR29*'Staging Table'!$BS$2)+SUM('Staging Table'!BY29:CV29)-IF(Init!$R$12="No",'Staging Table'!DU29, 0))</f>
        <v>42312.527999999998</v>
      </c>
      <c r="Y27" s="297">
        <f>IF('Staging Table'!C29=1,"",IF(X27=0, 0, W27/X27))</f>
        <v>35.146618672432567</v>
      </c>
      <c r="Z27" s="76">
        <f ca="1">IF('Staging Table'!C29=1,"",(Y27/N27-1)+(RAND()/100000000000000))</f>
        <v>-1.2881409605440335E-2</v>
      </c>
      <c r="AA27" s="53">
        <f t="shared" ca="1" si="0"/>
        <v>84</v>
      </c>
      <c r="AD27" s="204"/>
      <c r="AE27" s="204"/>
      <c r="AF27" s="208"/>
      <c r="AG27" s="204"/>
      <c r="AH27" s="204"/>
    </row>
    <row r="28" spans="2:34">
      <c r="B28" s="3">
        <v>10078</v>
      </c>
      <c r="C28" s="4" t="s">
        <v>31</v>
      </c>
      <c r="D28" s="199">
        <f>IF(Init!$R$9="Yes",'Staging Table'!E30,'Staging Table'!BR30)*Rates_previous!$E$76*100*12</f>
        <v>1262360.2614785642</v>
      </c>
      <c r="E28" s="199">
        <f>IF(Init!$R$9="Yes",'Staging Table'!F30,'Staging Table'!BS30)*Rates_previous!$E$77*100*12</f>
        <v>-208418.7081961722</v>
      </c>
      <c r="F28" s="200">
        <f>IF(Init!$R$9="Yes",SUMPRODUCT('Staging Table'!L30:AI30,LS_Demand_Rates_Restatement!$C$4:$Z$4)-IF(Init!$R$12="No",('Staging Table'!BH30*Rates_previous!$H$34), 0),SUMPRODUCT('Staging Table'!BY30:CV30,LS_Demand_Rates_Restatement!$C$4:$Z$4)-IF(Init!$R$12="No", 'Staging Table'!DU30*Rates_previous!$H$34, 0))</f>
        <v>26577.574422238133</v>
      </c>
      <c r="G28" s="200">
        <f>IF(Init!$R$9="Yes",SUMPRODUCT('Staging Table'!AJ30:AU30,LS_Demand_Rates_Restatement!$C$10:$N$10),SUMPRODUCT(LS_Demand_Rates_Restatement!$C$10:$N$10,'Staging Table'!CW30:DH30))*1000</f>
        <v>128394.37887164354</v>
      </c>
      <c r="H28" s="201">
        <f>IF(Init!$R$9="Yes",'Staging Table'!BQ30,'Staging Table'!ED30)*IF(Init!$R$3=2022,Rates_previous!$C$88,Rates_previous!$D$88)</f>
        <v>0</v>
      </c>
      <c r="I28" s="199">
        <v>0</v>
      </c>
      <c r="J28" s="201">
        <f>IF(Init!$R$9="Yes",IF('Staging Table'!D30=1,'Staging Table'!H30*-1,'Staging Table'!H30*SUM(D28:I28)*(-1)),IF('Staging Table'!D30=1,'Staging Table'!BU30*-1,'Staging Table'!BU30*SUM(D28:I28)*(-1)))</f>
        <v>0</v>
      </c>
      <c r="K28" s="199">
        <f>IF(Init!$R$9="Yes",'Staging Table'!K30,'Staging Table'!BX30)*(-1)*Rates_previous!$H$32</f>
        <v>0</v>
      </c>
      <c r="L28" s="199">
        <f>IF('Staging Table'!C30=1,"",SUM(D28:K28))</f>
        <v>1208913.5065762736</v>
      </c>
      <c r="M28" s="199">
        <f>IF('Staging Table'!C30=1,"",IF(Init!$R$9="Yes",(RT1SC!$C$3*'Staging Table'!E30*'Staging Table'!$F$2)+SUM('Staging Table'!L30:AI30)-IF(Init!$R$12="No",'Staging Table'!BH30, 0),X28))</f>
        <v>31062.959999999999</v>
      </c>
      <c r="N28" s="297">
        <f>IF('Staging Table'!C30=1,"",IF(M28=0, 0, L28/M28))</f>
        <v>38.918168345073155</v>
      </c>
      <c r="O28" s="199">
        <f>'Staging Table'!BR30*Rates_current!$E$76*100*12</f>
        <v>1311333.5692799999</v>
      </c>
      <c r="P28" s="199">
        <f>'Staging Table'!BS30*Rates_current!$E$77*100*12</f>
        <v>-230451.39263999998</v>
      </c>
      <c r="Q28" s="200">
        <f>SUMPRODUCT('Staging Table'!BY30:CV30, LS_Demand_Rates_Restatement!$C$5:$Z$5)-IF(Init!$R$12="No",('Staging Table'!DU30*Rates_current!$H$34), 0)</f>
        <v>51367.803071388742</v>
      </c>
      <c r="R28" s="200">
        <f>SUMPRODUCT('Staging Table'!CW30:DH30, LS_Demand_Rates_Restatement!$C$11:$N$11)*1000</f>
        <v>126756.9448877137</v>
      </c>
      <c r="S28" s="201">
        <f>'Staging Table'!ED30*IF(Init!$R$15="Yes",IF(Init!$R$6=2024,Rates_current!$C$88,Rates_current!$D$88),Rates_current!$H$33)</f>
        <v>0</v>
      </c>
      <c r="T28" s="201">
        <v>0</v>
      </c>
      <c r="U28" s="201">
        <f>IF('Staging Table'!D30=1, 'Staging Table'!BU30*-1,SUM(O28:T28)*'Staging Table'!BU30*-1)</f>
        <v>0</v>
      </c>
      <c r="V28" s="199">
        <f>'Staging Table'!BX30*Rates_current!$H$32*-1</f>
        <v>0</v>
      </c>
      <c r="W28" s="199">
        <f>IF('Staging Table'!C30=1,"",SUM(O28:V28))</f>
        <v>1259006.9245991025</v>
      </c>
      <c r="X28" s="199">
        <f>IF('Staging Table'!C30=1,"",(RT1SC!$C$4*'Staging Table'!BR30*'Staging Table'!$BS$2)+SUM('Staging Table'!BY30:CV30)-IF(Init!$R$12="No",'Staging Table'!DU30, 0))</f>
        <v>32658.912</v>
      </c>
      <c r="Y28" s="297">
        <f>IF('Staging Table'!C30=1,"",IF(X28=0, 0, W28/X28))</f>
        <v>38.550179644658783</v>
      </c>
      <c r="Z28" s="76">
        <f ca="1">IF('Staging Table'!C30=1,"",(Y28/N28-1)+(RAND()/100000000000000))</f>
        <v>-9.4554475727457246E-3</v>
      </c>
      <c r="AA28" s="53">
        <f t="shared" ca="1" si="0"/>
        <v>66</v>
      </c>
      <c r="AD28" s="204"/>
      <c r="AE28" s="204"/>
      <c r="AF28" s="208"/>
      <c r="AG28" s="204"/>
      <c r="AH28" s="204"/>
    </row>
    <row r="29" spans="2:34">
      <c r="B29" s="3">
        <v>10079</v>
      </c>
      <c r="C29" s="4" t="s">
        <v>32</v>
      </c>
      <c r="D29" s="199">
        <f>IF(Init!$R$9="Yes",'Staging Table'!E31,'Staging Table'!BR31)*Rates_previous!$E$76*100*12</f>
        <v>28908145.911891147</v>
      </c>
      <c r="E29" s="199">
        <f>IF(Init!$R$9="Yes",'Staging Table'!F31,'Staging Table'!BS31)*Rates_previous!$E$77*100*12</f>
        <v>-4772804.254980199</v>
      </c>
      <c r="F29" s="200">
        <f>IF(Init!$R$9="Yes",SUMPRODUCT('Staging Table'!L31:AI31,LS_Demand_Rates_Restatement!$C$4:$Z$4)-IF(Init!$R$12="No",('Staging Table'!BH31*Rates_previous!$H$34), 0),SUMPRODUCT('Staging Table'!BY31:CV31,LS_Demand_Rates_Restatement!$C$4:$Z$4)-IF(Init!$R$12="No", 'Staging Table'!DU31*Rates_previous!$H$34, 0))</f>
        <v>418133.52752181876</v>
      </c>
      <c r="G29" s="200">
        <f>IF(Init!$R$9="Yes",SUMPRODUCT('Staging Table'!AJ31:AU31,LS_Demand_Rates_Restatement!$C$10:$N$10),SUMPRODUCT(LS_Demand_Rates_Restatement!$C$10:$N$10,'Staging Table'!CW31:DH31))*1000</f>
        <v>2412552.9414321673</v>
      </c>
      <c r="H29" s="201">
        <f>IF(Init!$R$9="Yes",'Staging Table'!BQ31,'Staging Table'!ED31)*IF(Init!$R$3=2022,Rates_previous!$C$88,Rates_previous!$D$88)</f>
        <v>48923.6004397863</v>
      </c>
      <c r="I29" s="199">
        <v>0</v>
      </c>
      <c r="J29" s="201">
        <f>IF(Init!$R$9="Yes",IF('Staging Table'!D31=1,'Staging Table'!H31*-1,'Staging Table'!H31*SUM(D29:I29)*(-1)),IF('Staging Table'!D31=1,'Staging Table'!BU31*-1,'Staging Table'!BU31*SUM(D29:I29)*(-1)))</f>
        <v>0</v>
      </c>
      <c r="K29" s="199">
        <f>IF(Init!$R$9="Yes",'Staging Table'!K31,'Staging Table'!BX31)*(-1)*Rates_previous!$H$32</f>
        <v>0</v>
      </c>
      <c r="L29" s="199">
        <f>IF('Staging Table'!C31=1,"",SUM(D29:K29))</f>
        <v>27014951.726304721</v>
      </c>
      <c r="M29" s="199">
        <f>IF('Staging Table'!C31=1,"",IF(Init!$R$9="Yes",(RT1SC!$C$3*'Staging Table'!E31*'Staging Table'!$F$2)+SUM('Staging Table'!L31:AI31)-IF(Init!$R$12="No",'Staging Table'!BH31, 0),X29))</f>
        <v>718292.11538852786</v>
      </c>
      <c r="N29" s="297">
        <f>IF('Staging Table'!C31=1,"",IF(M29=0, 0, L29/M29))</f>
        <v>37.609979488208914</v>
      </c>
      <c r="O29" s="199">
        <f>'Staging Table'!BR31*Rates_current!$E$76*100*12</f>
        <v>28840121.323919997</v>
      </c>
      <c r="P29" s="199">
        <f>'Staging Table'!BS31*Rates_current!$E$77*100*12</f>
        <v>-5068310.8239599988</v>
      </c>
      <c r="Q29" s="200">
        <f>SUMPRODUCT('Staging Table'!BY31:CV31, LS_Demand_Rates_Restatement!$C$5:$Z$5)-IF(Init!$R$12="No",('Staging Table'!DU31*Rates_current!$H$34), 0)</f>
        <v>667116.41318990523</v>
      </c>
      <c r="R29" s="200">
        <f>SUMPRODUCT('Staging Table'!CW31:DH31, LS_Demand_Rates_Restatement!$C$11:$N$11)*1000</f>
        <v>2363015.8064503749</v>
      </c>
      <c r="S29" s="201">
        <f>'Staging Table'!ED31*IF(Init!$R$15="Yes",IF(Init!$R$6=2024,Rates_current!$C$88,Rates_current!$D$88),Rates_current!$H$33)</f>
        <v>13.121531292033616</v>
      </c>
      <c r="T29" s="201">
        <v>0</v>
      </c>
      <c r="U29" s="201">
        <f>IF('Staging Table'!D31=1, 'Staging Table'!BU31*-1,SUM(O29:T29)*'Staging Table'!BU31*-1)</f>
        <v>0</v>
      </c>
      <c r="V29" s="199">
        <f>'Staging Table'!BX31*Rates_current!$H$32*-1</f>
        <v>0</v>
      </c>
      <c r="W29" s="199">
        <f>IF('Staging Table'!C31=1,"",SUM(O29:V29))</f>
        <v>26801955.841131572</v>
      </c>
      <c r="X29" s="199">
        <f>IF('Staging Table'!C31=1,"",(RT1SC!$C$4*'Staging Table'!BR31*'Staging Table'!$BS$2)+SUM('Staging Table'!BY31:CV31)-IF(Init!$R$12="No",'Staging Table'!DU31, 0))</f>
        <v>718292.08229252719</v>
      </c>
      <c r="Y29" s="297">
        <f>IF('Staging Table'!C31=1,"",IF(X29=0, 0, W29/X29))</f>
        <v>37.313450199241338</v>
      </c>
      <c r="Z29" s="76">
        <f ca="1">IF('Staging Table'!C31=1,"",(Y29/N29-1)+(RAND()/100000000000000))</f>
        <v>-7.8843246660192032E-3</v>
      </c>
      <c r="AA29" s="53">
        <f t="shared" ca="1" si="0"/>
        <v>60</v>
      </c>
      <c r="AD29" s="204"/>
      <c r="AE29" s="204"/>
      <c r="AF29" s="208"/>
      <c r="AG29" s="204"/>
      <c r="AH29" s="204"/>
    </row>
    <row r="30" spans="2:34">
      <c r="B30" s="3">
        <v>10080</v>
      </c>
      <c r="C30" s="4" t="s">
        <v>33</v>
      </c>
      <c r="D30" s="199">
        <f>IF(Init!$R$9="Yes",'Staging Table'!E32,'Staging Table'!BR32)*Rates_previous!$E$76*100*12</f>
        <v>2442225.8554136967</v>
      </c>
      <c r="E30" s="199">
        <f>IF(Init!$R$9="Yes",'Staging Table'!F32,'Staging Table'!BS32)*Rates_previous!$E$77*100*12</f>
        <v>-403217.3488354517</v>
      </c>
      <c r="F30" s="200">
        <f>IF(Init!$R$9="Yes",SUMPRODUCT('Staging Table'!L32:AI32,LS_Demand_Rates_Restatement!$C$4:$Z$4)-IF(Init!$R$12="No",('Staging Table'!BH32*Rates_previous!$H$34), 0),SUMPRODUCT('Staging Table'!BY32:CV32,LS_Demand_Rates_Restatement!$C$4:$Z$4)-IF(Init!$R$12="No", 'Staging Table'!DU32*Rates_previous!$H$34, 0))</f>
        <v>-20516.48012309218</v>
      </c>
      <c r="G30" s="200">
        <f>IF(Init!$R$9="Yes",SUMPRODUCT('Staging Table'!AJ32:AU32,LS_Demand_Rates_Restatement!$C$10:$N$10),SUMPRODUCT(LS_Demand_Rates_Restatement!$C$10:$N$10,'Staging Table'!CW32:DH32))*1000</f>
        <v>114706.51989987533</v>
      </c>
      <c r="H30" s="201">
        <f>IF(Init!$R$9="Yes",'Staging Table'!BQ32,'Staging Table'!ED32)*IF(Init!$R$3=2022,Rates_previous!$C$88,Rates_previous!$D$88)</f>
        <v>-14407.536979042481</v>
      </c>
      <c r="I30" s="199">
        <v>0</v>
      </c>
      <c r="J30" s="201">
        <f>IF(Init!$R$9="Yes",IF('Staging Table'!D32=1,'Staging Table'!H32*-1,'Staging Table'!H32*SUM(D30:I30)*(-1)),IF('Staging Table'!D32=1,'Staging Table'!BU32*-1,'Staging Table'!BU32*SUM(D30:I30)*(-1)))</f>
        <v>0</v>
      </c>
      <c r="K30" s="199">
        <f>IF(Init!$R$9="Yes",'Staging Table'!K32,'Staging Table'!BX32)*(-1)*Rates_previous!$H$32</f>
        <v>0</v>
      </c>
      <c r="L30" s="199">
        <f>IF('Staging Table'!C32=1,"",SUM(D30:K30))</f>
        <v>2118791.0093759857</v>
      </c>
      <c r="M30" s="199">
        <f>IF('Staging Table'!C32=1,"",IF(Init!$R$9="Yes",(RT1SC!$C$3*'Staging Table'!E32*'Staging Table'!$F$2)+SUM('Staging Table'!L32:AI32)-IF(Init!$R$12="No",'Staging Table'!BH32, 0),X30))</f>
        <v>58048.341074185526</v>
      </c>
      <c r="N30" s="297">
        <f>IF('Staging Table'!C32=1,"",IF(M30=0, 0, L30/M30))</f>
        <v>36.500457552579839</v>
      </c>
      <c r="O30" s="199">
        <f>'Staging Table'!BR32*Rates_current!$E$76*100*12</f>
        <v>2330456.9796000002</v>
      </c>
      <c r="P30" s="199">
        <f>'Staging Table'!BS32*Rates_current!$E$77*100*12</f>
        <v>-409550.29980000004</v>
      </c>
      <c r="Q30" s="200">
        <f>SUMPRODUCT('Staging Table'!BY32:CV32, LS_Demand_Rates_Restatement!$C$5:$Z$5)-IF(Init!$R$12="No",('Staging Table'!DU32*Rates_current!$H$34), 0)</f>
        <v>61813.890070631693</v>
      </c>
      <c r="R30" s="200">
        <f>SUMPRODUCT('Staging Table'!CW32:DH32, LS_Demand_Rates_Restatement!$C$11:$N$11)*1000</f>
        <v>121101.45385998928</v>
      </c>
      <c r="S30" s="201">
        <f>'Staging Table'!ED32*IF(Init!$R$15="Yes",IF(Init!$R$6=2024,Rates_current!$C$88,Rates_current!$D$88),Rates_current!$H$33)</f>
        <v>-24.673970558223811</v>
      </c>
      <c r="T30" s="201">
        <v>0</v>
      </c>
      <c r="U30" s="201">
        <f>IF('Staging Table'!D32=1, 'Staging Table'!BU32*-1,SUM(O30:T30)*'Staging Table'!BU32*-1)</f>
        <v>0</v>
      </c>
      <c r="V30" s="199">
        <f>'Staging Table'!BX32*Rates_current!$H$32*-1</f>
        <v>0</v>
      </c>
      <c r="W30" s="199">
        <f>IF('Staging Table'!C32=1,"",SUM(O30:V30))</f>
        <v>2103797.3497600625</v>
      </c>
      <c r="X30" s="199">
        <f>IF('Staging Table'!C32=1,"",(RT1SC!$C$4*'Staging Table'!BR32*'Staging Table'!$BS$2)+SUM('Staging Table'!BY32:CV32)-IF(Init!$R$12="No",'Staging Table'!DU32, 0))</f>
        <v>58048.338266056198</v>
      </c>
      <c r="Y30" s="297">
        <f>IF('Staging Table'!C32=1,"",IF(X30=0, 0, W30/X30))</f>
        <v>36.242163214347507</v>
      </c>
      <c r="Z30" s="76">
        <f ca="1">IF('Staging Table'!C32=1,"",(Y30/N30-1)+(RAND()/100000000000000))</f>
        <v>-7.0764685034405087E-3</v>
      </c>
      <c r="AA30" s="53">
        <f t="shared" ca="1" si="0"/>
        <v>57</v>
      </c>
      <c r="AD30" s="204"/>
      <c r="AE30" s="204"/>
      <c r="AF30" s="208"/>
      <c r="AG30" s="204"/>
      <c r="AH30" s="204"/>
    </row>
    <row r="31" spans="2:34">
      <c r="B31" s="3">
        <v>10081</v>
      </c>
      <c r="C31" s="4" t="s">
        <v>34</v>
      </c>
      <c r="D31" s="199">
        <f>IF(Init!$R$9="Yes",'Staging Table'!E33,'Staging Table'!BR33)*Rates_previous!$E$76*100*12</f>
        <v>3283239.8062125808</v>
      </c>
      <c r="E31" s="199">
        <f>IF(Init!$R$9="Yes",'Staging Table'!F33,'Staging Table'!BS33)*Rates_previous!$E$77*100*12</f>
        <v>-542070.7701204014</v>
      </c>
      <c r="F31" s="200">
        <f>IF(Init!$R$9="Yes",SUMPRODUCT('Staging Table'!L33:AI33,LS_Demand_Rates_Restatement!$C$4:$Z$4)-IF(Init!$R$12="No",('Staging Table'!BH33*Rates_previous!$H$34), 0),SUMPRODUCT('Staging Table'!BY33:CV33,LS_Demand_Rates_Restatement!$C$4:$Z$4)-IF(Init!$R$12="No", 'Staging Table'!DU33*Rates_previous!$H$34, 0))</f>
        <v>67229.327071106178</v>
      </c>
      <c r="G31" s="200">
        <f>IF(Init!$R$9="Yes",SUMPRODUCT('Staging Table'!AJ33:AU33,LS_Demand_Rates_Restatement!$C$10:$N$10),SUMPRODUCT(LS_Demand_Rates_Restatement!$C$10:$N$10,'Staging Table'!CW33:DH33))*1000</f>
        <v>166587.80037167025</v>
      </c>
      <c r="H31" s="201">
        <f>IF(Init!$R$9="Yes",'Staging Table'!BQ33,'Staging Table'!ED33)*IF(Init!$R$3=2022,Rates_previous!$C$88,Rates_previous!$D$88)</f>
        <v>-5243.227762061475</v>
      </c>
      <c r="I31" s="199">
        <v>0</v>
      </c>
      <c r="J31" s="201">
        <f>IF(Init!$R$9="Yes",IF('Staging Table'!D33=1,'Staging Table'!H33*-1,'Staging Table'!H33*SUM(D31:I31)*(-1)),IF('Staging Table'!D33=1,'Staging Table'!BU33*-1,'Staging Table'!BU33*SUM(D31:I31)*(-1)))</f>
        <v>0</v>
      </c>
      <c r="K31" s="199">
        <f>IF(Init!$R$9="Yes",'Staging Table'!K33,'Staging Table'!BX33)*(-1)*Rates_previous!$H$32</f>
        <v>0</v>
      </c>
      <c r="L31" s="199">
        <f>IF('Staging Table'!C33=1,"",SUM(D31:K31))</f>
        <v>2969742.935772894</v>
      </c>
      <c r="M31" s="199">
        <f>IF('Staging Table'!C33=1,"",IF(Init!$R$9="Yes",(RT1SC!$C$3*'Staging Table'!E33*'Staging Table'!$F$2)+SUM('Staging Table'!L33:AI33)-IF(Init!$R$12="No",'Staging Table'!BH33, 0),X31))</f>
        <v>80049.16413282344</v>
      </c>
      <c r="N31" s="297">
        <f>IF('Staging Table'!C33=1,"",IF(M31=0, 0, L31/M31))</f>
        <v>37.098987452826847</v>
      </c>
      <c r="O31" s="199">
        <f>'Staging Table'!BR33*Rates_current!$E$76*100*12</f>
        <v>3214062.6350400001</v>
      </c>
      <c r="P31" s="199">
        <f>'Staging Table'!BS33*Rates_current!$E$77*100*12</f>
        <v>-564833.5615200001</v>
      </c>
      <c r="Q31" s="200">
        <f>SUMPRODUCT('Staging Table'!BY33:CV33, LS_Demand_Rates_Restatement!$C$5:$Z$5)-IF(Init!$R$12="No",('Staging Table'!DU33*Rates_current!$H$34), 0)</f>
        <v>194577.48805647684</v>
      </c>
      <c r="R31" s="200">
        <f>SUMPRODUCT('Staging Table'!CW33:DH33, LS_Demand_Rates_Restatement!$C$11:$N$11)*1000</f>
        <v>166282.920380422</v>
      </c>
      <c r="S31" s="201">
        <f>'Staging Table'!ED33*IF(Init!$R$15="Yes",IF(Init!$R$6=2024,Rates_current!$C$88,Rates_current!$D$88),Rates_current!$H$33)</f>
        <v>-3.8251094583256058</v>
      </c>
      <c r="T31" s="201">
        <v>0</v>
      </c>
      <c r="U31" s="201">
        <f>IF('Staging Table'!D33=1, 'Staging Table'!BU33*-1,SUM(O31:T31)*'Staging Table'!BU33*-1)</f>
        <v>0</v>
      </c>
      <c r="V31" s="199">
        <f>'Staging Table'!BX33*Rates_current!$H$32*-1</f>
        <v>0</v>
      </c>
      <c r="W31" s="199">
        <f>IF('Staging Table'!C33=1,"",SUM(O31:V31))</f>
        <v>3010085.6568474402</v>
      </c>
      <c r="X31" s="199">
        <f>IF('Staging Table'!C33=1,"",(RT1SC!$C$4*'Staging Table'!BR33*'Staging Table'!$BS$2)+SUM('Staging Table'!BY33:CV33)-IF(Init!$R$12="No",'Staging Table'!DU33, 0))</f>
        <v>80049.160366932876</v>
      </c>
      <c r="Y31" s="297">
        <f>IF('Staging Table'!C33=1,"",IF(X31=0, 0, W31/X31))</f>
        <v>37.60296351703974</v>
      </c>
      <c r="Z31" s="76">
        <f ca="1">IF('Staging Table'!C33=1,"",(Y31/N31-1)+(RAND()/100000000000000))</f>
        <v>1.3584631247787754E-2</v>
      </c>
      <c r="AA31" s="53">
        <f t="shared" ca="1" si="0"/>
        <v>13</v>
      </c>
      <c r="AD31" s="204"/>
      <c r="AE31" s="204"/>
      <c r="AF31" s="208"/>
      <c r="AG31" s="204"/>
      <c r="AH31" s="204"/>
    </row>
    <row r="32" spans="2:34">
      <c r="B32" s="3">
        <v>10082</v>
      </c>
      <c r="C32" s="4" t="s">
        <v>35</v>
      </c>
      <c r="D32" s="199">
        <f>IF(Init!$R$9="Yes",'Staging Table'!E34,'Staging Table'!BR34)*Rates_previous!$E$76*100*12</f>
        <v>33813.2212896044</v>
      </c>
      <c r="E32" s="199">
        <f>IF(Init!$R$9="Yes",'Staging Table'!F34,'Staging Table'!BS34)*Rates_previous!$E$77*100*12</f>
        <v>-5582.643969540326</v>
      </c>
      <c r="F32" s="200">
        <f>IF(Init!$R$9="Yes",SUMPRODUCT('Staging Table'!L34:AI34,LS_Demand_Rates_Restatement!$C$4:$Z$4)-IF(Init!$R$12="No",('Staging Table'!BH34*Rates_previous!$H$34), 0),SUMPRODUCT('Staging Table'!BY34:CV34,LS_Demand_Rates_Restatement!$C$4:$Z$4)-IF(Init!$R$12="No", 'Staging Table'!DU34*Rates_previous!$H$34, 0))</f>
        <v>1728.9636846940305</v>
      </c>
      <c r="G32" s="200">
        <f>IF(Init!$R$9="Yes",SUMPRODUCT('Staging Table'!AJ34:AU34,LS_Demand_Rates_Restatement!$C$10:$N$10),SUMPRODUCT(LS_Demand_Rates_Restatement!$C$10:$N$10,'Staging Table'!CW34:DH34))*1000</f>
        <v>1807.6591562678063</v>
      </c>
      <c r="H32" s="201">
        <f>IF(Init!$R$9="Yes",'Staging Table'!BQ34,'Staging Table'!ED34)*IF(Init!$R$3=2022,Rates_previous!$C$88,Rates_previous!$D$88)</f>
        <v>294.40517217217553</v>
      </c>
      <c r="I32" s="199">
        <v>0</v>
      </c>
      <c r="J32" s="201">
        <f>IF(Init!$R$9="Yes",IF('Staging Table'!D34=1,'Staging Table'!H34*-1,'Staging Table'!H34*SUM(D32:I32)*(-1)),IF('Staging Table'!D34=1,'Staging Table'!BU34*-1,'Staging Table'!BU34*SUM(D32:I32)*(-1)))</f>
        <v>0</v>
      </c>
      <c r="K32" s="199">
        <f>IF(Init!$R$9="Yes",'Staging Table'!K34,'Staging Table'!BX34)*(-1)*Rates_previous!$H$32</f>
        <v>0</v>
      </c>
      <c r="L32" s="199">
        <f>IF('Staging Table'!C34=1,"",SUM(D32:K32))</f>
        <v>32061.605333198091</v>
      </c>
      <c r="M32" s="199">
        <f>IF('Staging Table'!C34=1,"",IF(Init!$R$9="Yes",(RT1SC!$C$3*'Staging Table'!E34*'Staging Table'!$F$2)+SUM('Staging Table'!L34:AI34)-IF(Init!$R$12="No",'Staging Table'!BH34, 0),X32))</f>
        <v>873.99304256285927</v>
      </c>
      <c r="N32" s="297">
        <f>IF('Staging Table'!C34=1,"",IF(M32=0, 0, L32/M32))</f>
        <v>36.684050984184076</v>
      </c>
      <c r="O32" s="199">
        <f>'Staging Table'!BR34*Rates_current!$E$76*100*12</f>
        <v>34875.892800000001</v>
      </c>
      <c r="P32" s="199">
        <f>'Staging Table'!BS34*Rates_current!$E$77*100*12</f>
        <v>-6129.0264000000006</v>
      </c>
      <c r="Q32" s="200">
        <f>SUMPRODUCT('Staging Table'!BY34:CV34, LS_Demand_Rates_Restatement!$C$5:$Z$5)-IF(Init!$R$12="No",('Staging Table'!DU34*Rates_current!$H$34), 0)</f>
        <v>986.02153813879772</v>
      </c>
      <c r="R32" s="200">
        <f>SUMPRODUCT('Staging Table'!CW34:DH34, LS_Demand_Rates_Restatement!$C$11:$N$11)*1000</f>
        <v>1837.906761725427</v>
      </c>
      <c r="S32" s="201">
        <f>'Staging Table'!ED34*IF(Init!$R$15="Yes",IF(Init!$R$6=2024,Rates_current!$C$88,Rates_current!$D$88),Rates_current!$H$33)</f>
        <v>-29.457236796167702</v>
      </c>
      <c r="T32" s="201">
        <v>0</v>
      </c>
      <c r="U32" s="201">
        <f>IF('Staging Table'!D34=1, 'Staging Table'!BU34*-1,SUM(O32:T32)*'Staging Table'!BU34*-1)</f>
        <v>0</v>
      </c>
      <c r="V32" s="199">
        <f>'Staging Table'!BX34*Rates_current!$H$32*-1</f>
        <v>0</v>
      </c>
      <c r="W32" s="199">
        <f>IF('Staging Table'!C34=1,"",SUM(O32:V32))</f>
        <v>31541.337463068056</v>
      </c>
      <c r="X32" s="199">
        <f>IF('Staging Table'!C34=1,"",(RT1SC!$C$4*'Staging Table'!BR34*'Staging Table'!$BS$2)+SUM('Staging Table'!BY34:CV34)-IF(Init!$R$12="No",'Staging Table'!DU34, 0))</f>
        <v>873.99300398159994</v>
      </c>
      <c r="Y32" s="297">
        <f>IF('Staging Table'!C34=1,"",IF(X32=0, 0, W32/X32))</f>
        <v>36.08877567598023</v>
      </c>
      <c r="Z32" s="76">
        <f ca="1">IF('Staging Table'!C34=1,"",(Y32/N32-1)+(RAND()/100000000000000))</f>
        <v>-1.6227087582569907E-2</v>
      </c>
      <c r="AA32" s="53">
        <f t="shared" ca="1" si="0"/>
        <v>97</v>
      </c>
      <c r="AD32" s="204"/>
      <c r="AE32" s="204"/>
      <c r="AF32" s="208"/>
      <c r="AG32" s="204"/>
      <c r="AH32" s="204"/>
    </row>
    <row r="33" spans="2:34">
      <c r="B33" s="3">
        <v>10083</v>
      </c>
      <c r="C33" s="4" t="s">
        <v>36</v>
      </c>
      <c r="D33" s="199">
        <f>IF(Init!$R$9="Yes",'Staging Table'!E35,'Staging Table'!BR35)*Rates_previous!$E$76*100*12</f>
        <v>2840070.7782467012</v>
      </c>
      <c r="E33" s="199">
        <f>IF(Init!$R$9="Yes",'Staging Table'!F35,'Staging Table'!BS35)*Rates_previous!$E$77*100*12</f>
        <v>-468902.50022174523</v>
      </c>
      <c r="F33" s="200">
        <f>IF(Init!$R$9="Yes",SUMPRODUCT('Staging Table'!L35:AI35,LS_Demand_Rates_Restatement!$C$4:$Z$4)-IF(Init!$R$12="No",('Staging Table'!BH35*Rates_previous!$H$34), 0),SUMPRODUCT('Staging Table'!BY35:CV35,LS_Demand_Rates_Restatement!$C$4:$Z$4)-IF(Init!$R$12="No", 'Staging Table'!DU35*Rates_previous!$H$34, 0))</f>
        <v>41354.568224260467</v>
      </c>
      <c r="G33" s="200">
        <f>IF(Init!$R$9="Yes",SUMPRODUCT('Staging Table'!AJ35:AU35,LS_Demand_Rates_Restatement!$C$10:$N$10),SUMPRODUCT(LS_Demand_Rates_Restatement!$C$10:$N$10,'Staging Table'!CW35:DH35))*1000</f>
        <v>153294.21319558402</v>
      </c>
      <c r="H33" s="201">
        <f>IF(Init!$R$9="Yes",'Staging Table'!BQ35,'Staging Table'!ED35)*IF(Init!$R$3=2022,Rates_previous!$C$88,Rates_previous!$D$88)</f>
        <v>0</v>
      </c>
      <c r="I33" s="199">
        <v>0</v>
      </c>
      <c r="J33" s="201">
        <f>IF(Init!$R$9="Yes",IF('Staging Table'!D35=1,'Staging Table'!H35*-1,'Staging Table'!H35*SUM(D33:I33)*(-1)),IF('Staging Table'!D35=1,'Staging Table'!BU35*-1,'Staging Table'!BU35*SUM(D33:I33)*(-1)))</f>
        <v>0</v>
      </c>
      <c r="K33" s="199">
        <f>IF(Init!$R$9="Yes",'Staging Table'!K35,'Staging Table'!BX35)*(-1)*Rates_previous!$H$32</f>
        <v>0</v>
      </c>
      <c r="L33" s="199">
        <f>IF('Staging Table'!C35=1,"",SUM(D33:K33))</f>
        <v>2565817.059444801</v>
      </c>
      <c r="M33" s="199">
        <f>IF('Staging Table'!C35=1,"",IF(Init!$R$9="Yes",(RT1SC!$C$3*'Staging Table'!E35*'Staging Table'!$F$2)+SUM('Staging Table'!L35:AI35)-IF(Init!$R$12="No",'Staging Table'!BH35, 0),X33))</f>
        <v>69887.28</v>
      </c>
      <c r="N33" s="297">
        <f>IF('Staging Table'!C35=1,"",IF(M33=0, 0, L33/M33))</f>
        <v>36.713648884958765</v>
      </c>
      <c r="O33" s="199">
        <f>'Staging Table'!BR35*Rates_current!$E$76*100*12</f>
        <v>2949504.0767999999</v>
      </c>
      <c r="P33" s="199">
        <f>'Staging Table'!BS35*Rates_current!$E$77*100*12</f>
        <v>-518340.5184</v>
      </c>
      <c r="Q33" s="200">
        <f>SUMPRODUCT('Staging Table'!BY35:CV35, LS_Demand_Rates_Restatement!$C$5:$Z$5)-IF(Init!$R$12="No",('Staging Table'!DU35*Rates_current!$H$34), 0)</f>
        <v>88027.133830924533</v>
      </c>
      <c r="R33" s="200">
        <f>SUMPRODUCT('Staging Table'!CW35:DH35, LS_Demand_Rates_Restatement!$C$11:$N$11)*1000</f>
        <v>160035.91572045934</v>
      </c>
      <c r="S33" s="201">
        <f>'Staging Table'!ED35*IF(Init!$R$15="Yes",IF(Init!$R$6=2024,Rates_current!$C$88,Rates_current!$D$88),Rates_current!$H$33)</f>
        <v>0</v>
      </c>
      <c r="T33" s="201">
        <v>0</v>
      </c>
      <c r="U33" s="201">
        <f>IF('Staging Table'!D35=1, 'Staging Table'!BU35*-1,SUM(O33:T33)*'Staging Table'!BU35*-1)</f>
        <v>0</v>
      </c>
      <c r="V33" s="199">
        <f>'Staging Table'!BX35*Rates_current!$H$32*-1</f>
        <v>0</v>
      </c>
      <c r="W33" s="199">
        <f>IF('Staging Table'!C35=1,"",SUM(O33:V33))</f>
        <v>2679226.607951384</v>
      </c>
      <c r="X33" s="199">
        <f>IF('Staging Table'!C35=1,"",(RT1SC!$C$4*'Staging Table'!BR35*'Staging Table'!$BS$2)+SUM('Staging Table'!BY35:CV35)-IF(Init!$R$12="No",'Staging Table'!DU35, 0))</f>
        <v>73460.59199999999</v>
      </c>
      <c r="Y33" s="297">
        <f>IF('Staging Table'!C35=1,"",IF(X33=0, 0, W33/X33))</f>
        <v>36.471617434710907</v>
      </c>
      <c r="Z33" s="76">
        <f ca="1">IF('Staging Table'!C35=1,"",(Y33/N33-1)+(RAND()/100000000000000))</f>
        <v>-6.5924106592136194E-3</v>
      </c>
      <c r="AA33" s="53">
        <f t="shared" ca="1" si="0"/>
        <v>53</v>
      </c>
      <c r="AD33" s="204"/>
      <c r="AE33" s="204"/>
      <c r="AF33" s="208"/>
      <c r="AG33" s="204"/>
      <c r="AH33" s="204"/>
    </row>
    <row r="34" spans="2:34">
      <c r="B34" s="3">
        <v>10086</v>
      </c>
      <c r="C34" s="4" t="s">
        <v>37</v>
      </c>
      <c r="D34" s="199">
        <f>IF(Init!$R$9="Yes",'Staging Table'!E36,'Staging Table'!BR36)*Rates_previous!$E$76*100*12</f>
        <v>1339579.1072604978</v>
      </c>
      <c r="E34" s="199">
        <f>IF(Init!$R$9="Yes",'Staging Table'!F36,'Staging Table'!BS36)*Rates_previous!$E$77*100*12</f>
        <v>-221167.72492093802</v>
      </c>
      <c r="F34" s="200">
        <f>IF(Init!$R$9="Yes",SUMPRODUCT('Staging Table'!L36:AI36,LS_Demand_Rates_Restatement!$C$4:$Z$4)-IF(Init!$R$12="No",('Staging Table'!BH36*Rates_previous!$H$34), 0),SUMPRODUCT('Staging Table'!BY36:CV36,LS_Demand_Rates_Restatement!$C$4:$Z$4)-IF(Init!$R$12="No", 'Staging Table'!DU36*Rates_previous!$H$34, 0))</f>
        <v>18047.537290987359</v>
      </c>
      <c r="G34" s="200">
        <f>IF(Init!$R$9="Yes",SUMPRODUCT('Staging Table'!AJ36:AU36,LS_Demand_Rates_Restatement!$C$10:$N$10),SUMPRODUCT(LS_Demand_Rates_Restatement!$C$10:$N$10,'Staging Table'!CW36:DH36))*1000</f>
        <v>74814.805284241491</v>
      </c>
      <c r="H34" s="201">
        <f>IF(Init!$R$9="Yes",'Staging Table'!BQ36,'Staging Table'!ED36)*IF(Init!$R$3=2022,Rates_previous!$C$88,Rates_previous!$D$88)</f>
        <v>0</v>
      </c>
      <c r="I34" s="199">
        <v>0</v>
      </c>
      <c r="J34" s="201">
        <f>IF(Init!$R$9="Yes",IF('Staging Table'!D36=1,'Staging Table'!H36*-1,'Staging Table'!H36*SUM(D34:I34)*(-1)),IF('Staging Table'!D36=1,'Staging Table'!BU36*-1,'Staging Table'!BU36*SUM(D34:I34)*(-1)))</f>
        <v>0</v>
      </c>
      <c r="K34" s="199">
        <f>IF(Init!$R$9="Yes",'Staging Table'!K36,'Staging Table'!BX36)*(-1)*Rates_previous!$H$32</f>
        <v>0</v>
      </c>
      <c r="L34" s="199">
        <f>IF('Staging Table'!C36=1,"",SUM(D34:K34))</f>
        <v>1211273.7249147885</v>
      </c>
      <c r="M34" s="199">
        <f>IF('Staging Table'!C36=1,"",IF(Init!$R$9="Yes",(RT1SC!$C$3*'Staging Table'!E36*'Staging Table'!$F$2)+SUM('Staging Table'!L36:AI36)-IF(Init!$R$12="No",'Staging Table'!BH36, 0),X34))</f>
        <v>32963.879999999997</v>
      </c>
      <c r="N34" s="297">
        <f>IF('Staging Table'!C36=1,"",IF(M34=0, 0, L34/M34))</f>
        <v>36.745483993837759</v>
      </c>
      <c r="O34" s="199">
        <f>'Staging Table'!BR36*Rates_current!$E$76*100*12</f>
        <v>1364643.86256</v>
      </c>
      <c r="P34" s="199">
        <f>'Staging Table'!BS36*Rates_current!$E$77*100*12</f>
        <v>-239820.04728</v>
      </c>
      <c r="Q34" s="200">
        <f>SUMPRODUCT('Staging Table'!BY36:CV36, LS_Demand_Rates_Restatement!$C$5:$Z$5)-IF(Init!$R$12="No",('Staging Table'!DU36*Rates_current!$H$34), 0)</f>
        <v>30858.016169173847</v>
      </c>
      <c r="R34" s="200">
        <f>SUMPRODUCT('Staging Table'!CW36:DH36, LS_Demand_Rates_Restatement!$C$11:$N$11)*1000</f>
        <v>73617.022972996812</v>
      </c>
      <c r="S34" s="201">
        <f>'Staging Table'!ED36*IF(Init!$R$15="Yes",IF(Init!$R$6=2024,Rates_current!$C$88,Rates_current!$D$88),Rates_current!$H$33)</f>
        <v>-1.0778484957335606</v>
      </c>
      <c r="T34" s="201">
        <v>0</v>
      </c>
      <c r="U34" s="201">
        <f>IF('Staging Table'!D36=1, 'Staging Table'!BU36*-1,SUM(O34:T34)*'Staging Table'!BU36*-1)</f>
        <v>0</v>
      </c>
      <c r="V34" s="199">
        <f>'Staging Table'!BX36*Rates_current!$H$32*-1</f>
        <v>0</v>
      </c>
      <c r="W34" s="199">
        <f>IF('Staging Table'!C36=1,"",SUM(O34:V34))</f>
        <v>1229297.776573675</v>
      </c>
      <c r="X34" s="199">
        <f>IF('Staging Table'!C36=1,"",(RT1SC!$C$4*'Staging Table'!BR36*'Staging Table'!$BS$2)+SUM('Staging Table'!BY36:CV36)-IF(Init!$R$12="No",'Staging Table'!DU36, 0))</f>
        <v>33985.456155794316</v>
      </c>
      <c r="Y34" s="297">
        <f>IF('Staging Table'!C36=1,"",IF(X34=0, 0, W34/X34))</f>
        <v>36.171289593359987</v>
      </c>
      <c r="Z34" s="76">
        <f ca="1">IF('Staging Table'!C36=1,"",(Y34/N34-1)+(RAND()/100000000000000))</f>
        <v>-1.5626257653150673E-2</v>
      </c>
      <c r="AA34" s="53">
        <f t="shared" ca="1" si="0"/>
        <v>94</v>
      </c>
      <c r="AD34" s="204"/>
      <c r="AE34" s="204"/>
      <c r="AF34" s="208"/>
      <c r="AG34" s="204"/>
      <c r="AH34" s="204"/>
    </row>
    <row r="35" spans="2:34">
      <c r="B35" s="3">
        <v>10087</v>
      </c>
      <c r="C35" s="4" t="s">
        <v>38</v>
      </c>
      <c r="D35" s="199">
        <f>IF(Init!$R$9="Yes",'Staging Table'!E37,'Staging Table'!BR37)*Rates_previous!$E$76*100*12</f>
        <v>20030616.557849549</v>
      </c>
      <c r="E35" s="199">
        <f>IF(Init!$R$9="Yes",'Staging Table'!F37,'Staging Table'!BS37)*Rates_previous!$E$77*100*12</f>
        <v>-3307102.8570481902</v>
      </c>
      <c r="F35" s="200">
        <f>IF(Init!$R$9="Yes",SUMPRODUCT('Staging Table'!L37:AI37,LS_Demand_Rates_Restatement!$C$4:$Z$4)-IF(Init!$R$12="No",('Staging Table'!BH37*Rates_previous!$H$34), 0),SUMPRODUCT('Staging Table'!BY37:CV37,LS_Demand_Rates_Restatement!$C$4:$Z$4)-IF(Init!$R$12="No", 'Staging Table'!DU37*Rates_previous!$H$34, 0))</f>
        <v>-2146542.9472448337</v>
      </c>
      <c r="G35" s="200">
        <f>IF(Init!$R$9="Yes",SUMPRODUCT('Staging Table'!AJ37:AU37,LS_Demand_Rates_Restatement!$C$10:$N$10),SUMPRODUCT(LS_Demand_Rates_Restatement!$C$10:$N$10,'Staging Table'!CW37:DH37))*1000</f>
        <v>53744.108798076981</v>
      </c>
      <c r="H35" s="201">
        <f>IF(Init!$R$9="Yes",'Staging Table'!BQ37,'Staging Table'!ED37)*IF(Init!$R$3=2022,Rates_previous!$C$88,Rates_previous!$D$88)</f>
        <v>-576815.19430971111</v>
      </c>
      <c r="I35" s="199">
        <v>0</v>
      </c>
      <c r="J35" s="201">
        <f>IF(Init!$R$9="Yes",IF('Staging Table'!D37=1,'Staging Table'!H37*-1,'Staging Table'!H37*SUM(D35:I35)*(-1)),IF('Staging Table'!D37=1,'Staging Table'!BU37*-1,'Staging Table'!BU37*SUM(D35:I35)*(-1)))</f>
        <v>0</v>
      </c>
      <c r="K35" s="199">
        <f>IF(Init!$R$9="Yes",'Staging Table'!K37,'Staging Table'!BX37)*(-1)*Rates_previous!$H$32</f>
        <v>0</v>
      </c>
      <c r="L35" s="199">
        <f>IF('Staging Table'!C37=1,"",SUM(D35:K35))</f>
        <v>14053899.668044889</v>
      </c>
      <c r="M35" s="199">
        <f>IF('Staging Table'!C37=1,"",IF(Init!$R$9="Yes",(RT1SC!$C$3*'Staging Table'!E37*'Staging Table'!$F$2)+SUM('Staging Table'!L37:AI37)-IF(Init!$R$12="No",'Staging Table'!BH37, 0),X35))</f>
        <v>411015.63721381524</v>
      </c>
      <c r="N35" s="297">
        <f>IF('Staging Table'!C37=1,"",IF(M35=0, 0, L35/M35))</f>
        <v>34.193102148894354</v>
      </c>
      <c r="O35" s="199">
        <f>'Staging Table'!BR37*Rates_current!$E$76*100*12</f>
        <v>16502525.132400002</v>
      </c>
      <c r="P35" s="199">
        <f>'Staging Table'!BS37*Rates_current!$E$77*100*12</f>
        <v>-2900123.9561999999</v>
      </c>
      <c r="Q35" s="200">
        <f>SUMPRODUCT('Staging Table'!BY37:CV37, LS_Demand_Rates_Restatement!$C$5:$Z$5)-IF(Init!$R$12="No",('Staging Table'!DU37*Rates_current!$H$34), 0)</f>
        <v>178219.3224843186</v>
      </c>
      <c r="R35" s="200">
        <f>SUMPRODUCT('Staging Table'!CW37:DH37, LS_Demand_Rates_Restatement!$C$11:$N$11)*1000</f>
        <v>24923.911675000018</v>
      </c>
      <c r="S35" s="201">
        <f>'Staging Table'!ED37*IF(Init!$R$15="Yes",IF(Init!$R$6=2024,Rates_current!$C$88,Rates_current!$D$88),Rates_current!$H$33)</f>
        <v>-23.35231937262812</v>
      </c>
      <c r="T35" s="201">
        <v>0</v>
      </c>
      <c r="U35" s="201">
        <f>IF('Staging Table'!D37=1, 'Staging Table'!BU37*-1,SUM(O35:T35)*'Staging Table'!BU37*-1)</f>
        <v>0</v>
      </c>
      <c r="V35" s="199">
        <f>'Staging Table'!BX37*Rates_current!$H$32*-1</f>
        <v>0</v>
      </c>
      <c r="W35" s="199">
        <f>IF('Staging Table'!C37=1,"",SUM(O35:V35))</f>
        <v>13805521.058039948</v>
      </c>
      <c r="X35" s="199">
        <f>IF('Staging Table'!C37=1,"",(RT1SC!$C$4*'Staging Table'!BR37*'Staging Table'!$BS$2)+SUM('Staging Table'!BY37:CV37)-IF(Init!$R$12="No",'Staging Table'!DU37, 0))</f>
        <v>411015.61388400779</v>
      </c>
      <c r="Y35" s="297">
        <f>IF('Staging Table'!C37=1,"",IF(X35=0, 0, W35/X35))</f>
        <v>33.588799529002777</v>
      </c>
      <c r="Z35" s="76">
        <f ca="1">IF('Staging Table'!C37=1,"",(Y35/N35-1)+(RAND()/100000000000000))</f>
        <v>-1.7673231789848046E-2</v>
      </c>
      <c r="AA35" s="53">
        <f t="shared" ca="1" si="0"/>
        <v>100</v>
      </c>
      <c r="AD35" s="204"/>
      <c r="AE35" s="204"/>
      <c r="AF35" s="208"/>
      <c r="AG35" s="204"/>
      <c r="AH35" s="204"/>
    </row>
    <row r="36" spans="2:34">
      <c r="B36" s="3">
        <v>10089</v>
      </c>
      <c r="C36" s="4" t="s">
        <v>39</v>
      </c>
      <c r="D36" s="199">
        <f>IF(Init!$R$9="Yes",'Staging Table'!E38,'Staging Table'!BR38)*Rates_previous!$E$76*100*12</f>
        <v>35267909.23529759</v>
      </c>
      <c r="E36" s="199">
        <f>IF(Init!$R$9="Yes",'Staging Table'!F38,'Staging Table'!BS38)*Rates_previous!$E$77*100*12</f>
        <v>-5822816.4398894869</v>
      </c>
      <c r="F36" s="200">
        <f>IF(Init!$R$9="Yes",SUMPRODUCT('Staging Table'!L38:AI38,LS_Demand_Rates_Restatement!$C$4:$Z$4)-IF(Init!$R$12="No",('Staging Table'!BH38*Rates_previous!$H$34), 0),SUMPRODUCT('Staging Table'!BY38:CV38,LS_Demand_Rates_Restatement!$C$4:$Z$4)-IF(Init!$R$12="No", 'Staging Table'!DU38*Rates_previous!$H$34, 0))</f>
        <v>391730.53585715644</v>
      </c>
      <c r="G36" s="200">
        <f>IF(Init!$R$9="Yes",SUMPRODUCT('Staging Table'!AJ38:AU38,LS_Demand_Rates_Restatement!$C$10:$N$10),SUMPRODUCT(LS_Demand_Rates_Restatement!$C$10:$N$10,'Staging Table'!CW38:DH38))*1000</f>
        <v>1649583.0623423078</v>
      </c>
      <c r="H36" s="201">
        <f>IF(Init!$R$9="Yes",'Staging Table'!BQ38,'Staging Table'!ED38)*IF(Init!$R$3=2022,Rates_previous!$C$88,Rates_previous!$D$88)</f>
        <v>0</v>
      </c>
      <c r="I36" s="199">
        <v>0</v>
      </c>
      <c r="J36" s="201">
        <f>IF(Init!$R$9="Yes",IF('Staging Table'!D38=1,'Staging Table'!H38*-1,'Staging Table'!H38*SUM(D36:I36)*(-1)),IF('Staging Table'!D38=1,'Staging Table'!BU38*-1,'Staging Table'!BU38*SUM(D36:I36)*(-1)))</f>
        <v>0</v>
      </c>
      <c r="K36" s="199">
        <f>IF(Init!$R$9="Yes",'Staging Table'!K38,'Staging Table'!BX38)*(-1)*Rates_previous!$H$32</f>
        <v>0</v>
      </c>
      <c r="L36" s="199">
        <f>IF('Staging Table'!C38=1,"",SUM(D36:K36))</f>
        <v>31486406.393607568</v>
      </c>
      <c r="M36" s="199">
        <f>IF('Staging Table'!C38=1,"",IF(Init!$R$9="Yes",(RT1SC!$C$3*'Staging Table'!E38*'Staging Table'!$F$2)+SUM('Staging Table'!L38:AI38)-IF(Init!$R$12="No",'Staging Table'!BH38, 0),X36))</f>
        <v>867844.44000000006</v>
      </c>
      <c r="N36" s="297">
        <f>IF('Staging Table'!C38=1,"",IF(M36=0, 0, L36/M36))</f>
        <v>36.281163930263318</v>
      </c>
      <c r="O36" s="199">
        <f>'Staging Table'!BR38*Rates_current!$E$76*100*12</f>
        <v>36754208.740800001</v>
      </c>
      <c r="P36" s="199">
        <f>'Staging Table'!BS38*Rates_current!$E$77*100*12</f>
        <v>-6459118.2503999993</v>
      </c>
      <c r="Q36" s="200">
        <f>SUMPRODUCT('Staging Table'!BY38:CV38, LS_Demand_Rates_Restatement!$C$5:$Z$5)-IF(Init!$R$12="No",('Staging Table'!DU38*Rates_current!$H$34), 0)</f>
        <v>1367533.5224085595</v>
      </c>
      <c r="R36" s="200">
        <f>SUMPRODUCT('Staging Table'!CW38:DH38, LS_Demand_Rates_Restatement!$C$11:$N$11)*1000</f>
        <v>1694608.0009146631</v>
      </c>
      <c r="S36" s="201">
        <f>'Staging Table'!ED38*IF(Init!$R$15="Yes",IF(Init!$R$6=2024,Rates_current!$C$88,Rates_current!$D$88),Rates_current!$H$33)</f>
        <v>0</v>
      </c>
      <c r="T36" s="201">
        <v>0</v>
      </c>
      <c r="U36" s="201">
        <f>IF('Staging Table'!D38=1, 'Staging Table'!BU38*-1,SUM(O36:T36)*'Staging Table'!BU38*-1)</f>
        <v>0</v>
      </c>
      <c r="V36" s="199">
        <f>'Staging Table'!BX38*Rates_current!$H$32*-1</f>
        <v>0</v>
      </c>
      <c r="W36" s="199">
        <f>IF('Staging Table'!C38=1,"",SUM(O36:V36))</f>
        <v>33357232.013723224</v>
      </c>
      <c r="X36" s="199">
        <f>IF('Staging Table'!C38=1,"",(RT1SC!$C$4*'Staging Table'!BR38*'Staging Table'!$BS$2)+SUM('Staging Table'!BY38:CV38)-IF(Init!$R$12="No",'Staging Table'!DU38, 0))</f>
        <v>915404.33119603759</v>
      </c>
      <c r="Y36" s="297">
        <f>IF('Staging Table'!C38=1,"",IF(X36=0, 0, W36/X36))</f>
        <v>36.439888775859025</v>
      </c>
      <c r="Z36" s="76">
        <f ca="1">IF('Staging Table'!C38=1,"",(Y36/N36-1)+(RAND()/100000000000000))</f>
        <v>4.3748553905585789E-3</v>
      </c>
      <c r="AA36" s="53">
        <f t="shared" ca="1" si="0"/>
        <v>22</v>
      </c>
      <c r="AD36" s="204"/>
      <c r="AE36" s="204"/>
      <c r="AF36" s="208"/>
      <c r="AG36" s="204"/>
      <c r="AH36" s="204"/>
    </row>
    <row r="37" spans="2:34">
      <c r="B37" s="3">
        <v>10091</v>
      </c>
      <c r="C37" s="4" t="s">
        <v>40</v>
      </c>
      <c r="D37" s="199">
        <f>IF(Init!$R$9="Yes",'Staging Table'!E39,'Staging Table'!BR39)*Rates_previous!$E$76*100*12</f>
        <v>3199785.8983488763</v>
      </c>
      <c r="E37" s="199">
        <f>IF(Init!$R$9="Yes",'Staging Table'!F39,'Staging Table'!BS39)*Rates_previous!$E$77*100*12</f>
        <v>-528292.32968494017</v>
      </c>
      <c r="F37" s="200">
        <f>IF(Init!$R$9="Yes",SUMPRODUCT('Staging Table'!L39:AI39,LS_Demand_Rates_Restatement!$C$4:$Z$4)-IF(Init!$R$12="No",('Staging Table'!BH39*Rates_previous!$H$34), 0),SUMPRODUCT('Staging Table'!BY39:CV39,LS_Demand_Rates_Restatement!$C$4:$Z$4)-IF(Init!$R$12="No", 'Staging Table'!DU39*Rates_previous!$H$34, 0))</f>
        <v>43167.726850344538</v>
      </c>
      <c r="G37" s="200">
        <f>IF(Init!$R$9="Yes",SUMPRODUCT('Staging Table'!AJ39:AU39,LS_Demand_Rates_Restatement!$C$10:$N$10),SUMPRODUCT(LS_Demand_Rates_Restatement!$C$10:$N$10,'Staging Table'!CW39:DH39))*1000</f>
        <v>95488.416599813034</v>
      </c>
      <c r="H37" s="201">
        <f>IF(Init!$R$9="Yes",'Staging Table'!BQ39,'Staging Table'!ED39)*IF(Init!$R$3=2022,Rates_previous!$C$88,Rates_previous!$D$88)</f>
        <v>0</v>
      </c>
      <c r="I37" s="199">
        <v>0</v>
      </c>
      <c r="J37" s="201">
        <f>IF(Init!$R$9="Yes",IF('Staging Table'!D39=1,'Staging Table'!H39*-1,'Staging Table'!H39*SUM(D37:I37)*(-1)),IF('Staging Table'!D39=1,'Staging Table'!BU39*-1,'Staging Table'!BU39*SUM(D37:I37)*(-1)))</f>
        <v>0</v>
      </c>
      <c r="K37" s="199">
        <f>IF(Init!$R$9="Yes",'Staging Table'!K39,'Staging Table'!BX39)*(-1)*Rates_previous!$H$32</f>
        <v>0</v>
      </c>
      <c r="L37" s="199">
        <f>IF('Staging Table'!C39=1,"",SUM(D37:K37))</f>
        <v>2810149.7121140934</v>
      </c>
      <c r="M37" s="199">
        <f>IF('Staging Table'!C39=1,"",IF(Init!$R$9="Yes",(RT1SC!$C$3*'Staging Table'!E39*'Staging Table'!$F$2)+SUM('Staging Table'!L39:AI39)-IF(Init!$R$12="No",'Staging Table'!BH39, 0),X37))</f>
        <v>78734.87999999999</v>
      </c>
      <c r="N37" s="297">
        <f>IF('Staging Table'!C39=1,"",IF(M37=0, 0, L37/M37))</f>
        <v>35.691293517105677</v>
      </c>
      <c r="O37" s="199">
        <f>'Staging Table'!BR39*Rates_current!$E$76*100*12</f>
        <v>3186411.0343200001</v>
      </c>
      <c r="P37" s="199">
        <f>'Staging Table'!BS39*Rates_current!$E$77*100*12</f>
        <v>-559974.11916</v>
      </c>
      <c r="Q37" s="200">
        <f>SUMPRODUCT('Staging Table'!BY39:CV39, LS_Demand_Rates_Restatement!$C$5:$Z$5)-IF(Init!$R$12="No",('Staging Table'!DU39*Rates_current!$H$34), 0)</f>
        <v>89789.331338952426</v>
      </c>
      <c r="R37" s="200">
        <f>SUMPRODUCT('Staging Table'!CW39:DH39, LS_Demand_Rates_Restatement!$C$11:$N$11)*1000</f>
        <v>98180.890035176228</v>
      </c>
      <c r="S37" s="201">
        <f>'Staging Table'!ED39*IF(Init!$R$15="Yes",IF(Init!$R$6=2024,Rates_current!$C$88,Rates_current!$D$88),Rates_current!$H$33)</f>
        <v>-2.1291282127791784</v>
      </c>
      <c r="T37" s="201">
        <v>0</v>
      </c>
      <c r="U37" s="201">
        <f>IF('Staging Table'!D39=1, 'Staging Table'!BU39*-1,SUM(O37:T37)*'Staging Table'!BU39*-1)</f>
        <v>0</v>
      </c>
      <c r="V37" s="199">
        <f>'Staging Table'!BX39*Rates_current!$H$32*-1</f>
        <v>0</v>
      </c>
      <c r="W37" s="199">
        <f>IF('Staging Table'!C39=1,"",SUM(O37:V37))</f>
        <v>2814405.0074059162</v>
      </c>
      <c r="X37" s="199">
        <f>IF('Staging Table'!C39=1,"",(RT1SC!$C$4*'Staging Table'!BR39*'Staging Table'!$BS$2)+SUM('Staging Table'!BY39:CV39)-IF(Init!$R$12="No",'Staging Table'!DU39, 0))</f>
        <v>79363.756363776047</v>
      </c>
      <c r="Y37" s="297">
        <f>IF('Staging Table'!C39=1,"",IF(X37=0, 0, W37/X37))</f>
        <v>35.462094239915459</v>
      </c>
      <c r="Z37" s="76">
        <f ca="1">IF('Staging Table'!C39=1,"",(Y37/N37-1)+(RAND()/100000000000000))</f>
        <v>-6.4217139420927882E-3</v>
      </c>
      <c r="AA37" s="53">
        <f t="shared" ca="1" si="0"/>
        <v>50</v>
      </c>
      <c r="AD37" s="204"/>
      <c r="AE37" s="204"/>
      <c r="AF37" s="208"/>
      <c r="AG37" s="204"/>
      <c r="AH37" s="204"/>
    </row>
    <row r="38" spans="2:34">
      <c r="B38" s="3">
        <v>10094</v>
      </c>
      <c r="C38" s="4" t="s">
        <v>41</v>
      </c>
      <c r="D38" s="199">
        <f>IF(Init!$R$9="Yes",'Staging Table'!E40,'Staging Table'!BR40)*Rates_previous!$E$76*100*12</f>
        <v>1031423.1543729682</v>
      </c>
      <c r="E38" s="199">
        <f>IF(Init!$R$9="Yes",'Staging Table'!F40,'Staging Table'!BS40)*Rates_previous!$E$77*100*12</f>
        <v>-170290.437680801</v>
      </c>
      <c r="F38" s="200">
        <f>IF(Init!$R$9="Yes",SUMPRODUCT('Staging Table'!L40:AI40,LS_Demand_Rates_Restatement!$C$4:$Z$4)-IF(Init!$R$12="No",('Staging Table'!BH40*Rates_previous!$H$34), 0),SUMPRODUCT('Staging Table'!BY40:CV40,LS_Demand_Rates_Restatement!$C$4:$Z$4)-IF(Init!$R$12="No", 'Staging Table'!DU40*Rates_previous!$H$34, 0))</f>
        <v>12738.494091422632</v>
      </c>
      <c r="G38" s="200">
        <f>IF(Init!$R$9="Yes",SUMPRODUCT('Staging Table'!AJ40:AU40,LS_Demand_Rates_Restatement!$C$10:$N$10),SUMPRODUCT(LS_Demand_Rates_Restatement!$C$10:$N$10,'Staging Table'!CW40:DH40))*1000</f>
        <v>53528.555375275981</v>
      </c>
      <c r="H38" s="201">
        <f>IF(Init!$R$9="Yes",'Staging Table'!BQ40,'Staging Table'!ED40)*IF(Init!$R$3=2022,Rates_previous!$C$88,Rates_previous!$D$88)</f>
        <v>0</v>
      </c>
      <c r="I38" s="199">
        <v>0</v>
      </c>
      <c r="J38" s="201">
        <f>IF(Init!$R$9="Yes",IF('Staging Table'!D40=1,'Staging Table'!H40*-1,'Staging Table'!H40*SUM(D38:I38)*(-1)),IF('Staging Table'!D40=1,'Staging Table'!BU40*-1,'Staging Table'!BU40*SUM(D38:I38)*(-1)))</f>
        <v>0</v>
      </c>
      <c r="K38" s="199">
        <f>IF(Init!$R$9="Yes",'Staging Table'!K40,'Staging Table'!BX40)*(-1)*Rates_previous!$H$32</f>
        <v>0</v>
      </c>
      <c r="L38" s="199">
        <f>IF('Staging Table'!C40=1,"",SUM(D38:K38))</f>
        <v>927399.76615886588</v>
      </c>
      <c r="M38" s="199">
        <f>IF('Staging Table'!C40=1,"",IF(Init!$R$9="Yes",(RT1SC!$C$3*'Staging Table'!E40*'Staging Table'!$F$2)+SUM('Staging Table'!L40:AI40)-IF(Init!$R$12="No",'Staging Table'!BH40, 0),X38))</f>
        <v>25377.719999999998</v>
      </c>
      <c r="N38" s="297">
        <f>IF('Staging Table'!C40=1,"",IF(M38=0, 0, L38/M38))</f>
        <v>36.543856822396414</v>
      </c>
      <c r="O38" s="199">
        <f>'Staging Table'!BR40*Rates_current!$E$76*100*12</f>
        <v>1069444.34136</v>
      </c>
      <c r="P38" s="199">
        <f>'Staging Table'!BS40*Rates_current!$E$77*100*12</f>
        <v>-187942.21668000001</v>
      </c>
      <c r="Q38" s="200">
        <f>SUMPRODUCT('Staging Table'!BY40:CV40, LS_Demand_Rates_Restatement!$C$5:$Z$5)-IF(Init!$R$12="No",('Staging Table'!DU40*Rates_current!$H$34), 0)</f>
        <v>27817.999369927486</v>
      </c>
      <c r="R38" s="200">
        <f>SUMPRODUCT('Staging Table'!CW40:DH40, LS_Demand_Rates_Restatement!$C$11:$N$11)*1000</f>
        <v>53335.040328018149</v>
      </c>
      <c r="S38" s="201">
        <f>'Staging Table'!ED40*IF(Init!$R$15="Yes",IF(Init!$R$6=2024,Rates_current!$C$88,Rates_current!$D$88),Rates_current!$H$33)</f>
        <v>-48.073211685344397</v>
      </c>
      <c r="T38" s="201">
        <v>0</v>
      </c>
      <c r="U38" s="201">
        <f>IF('Staging Table'!D40=1, 'Staging Table'!BU40*-1,SUM(O38:T38)*'Staging Table'!BU40*-1)</f>
        <v>0</v>
      </c>
      <c r="V38" s="199">
        <f>'Staging Table'!BX40*Rates_current!$H$32*-1</f>
        <v>0</v>
      </c>
      <c r="W38" s="199">
        <f>IF('Staging Table'!C40=1,"",SUM(O38:V38))</f>
        <v>962607.09116626019</v>
      </c>
      <c r="X38" s="199">
        <f>IF('Staging Table'!C40=1,"",(RT1SC!$C$4*'Staging Table'!BR40*'Staging Table'!$BS$2)+SUM('Staging Table'!BY40:CV40)-IF(Init!$R$12="No",'Staging Table'!DU40, 0))</f>
        <v>26640.231122092919</v>
      </c>
      <c r="Y38" s="297">
        <f>IF('Staging Table'!C40=1,"",IF(X38=0, 0, W38/X38))</f>
        <v>36.133586332438526</v>
      </c>
      <c r="Z38" s="76">
        <f ca="1">IF('Staging Table'!C40=1,"",(Y38/N38-1)+(RAND()/100000000000000))</f>
        <v>-1.1226797761153963E-2</v>
      </c>
      <c r="AA38" s="53">
        <f t="shared" ca="1" si="0"/>
        <v>72</v>
      </c>
      <c r="AD38" s="204"/>
      <c r="AE38" s="204"/>
      <c r="AF38" s="208"/>
      <c r="AG38" s="204"/>
      <c r="AH38" s="204"/>
    </row>
    <row r="39" spans="2:34">
      <c r="B39" s="3">
        <v>10095</v>
      </c>
      <c r="C39" s="4" t="s">
        <v>42</v>
      </c>
      <c r="D39" s="199">
        <f>IF(Init!$R$9="Yes",'Staging Table'!E41,'Staging Table'!BR41)*Rates_previous!$E$76*100*12</f>
        <v>1237180.2030714122</v>
      </c>
      <c r="E39" s="199">
        <f>IF(Init!$R$9="Yes",'Staging Table'!F41,'Staging Table'!BS41)*Rates_previous!$E$77*100*12</f>
        <v>-204261.4201337485</v>
      </c>
      <c r="F39" s="200">
        <f>IF(Init!$R$9="Yes",SUMPRODUCT('Staging Table'!L41:AI41,LS_Demand_Rates_Restatement!$C$4:$Z$4)-IF(Init!$R$12="No",('Staging Table'!BH41*Rates_previous!$H$34), 0),SUMPRODUCT('Staging Table'!BY41:CV41,LS_Demand_Rates_Restatement!$C$4:$Z$4)-IF(Init!$R$12="No", 'Staging Table'!DU41*Rates_previous!$H$34, 0))</f>
        <v>6828.163331413627</v>
      </c>
      <c r="G39" s="200">
        <f>IF(Init!$R$9="Yes",SUMPRODUCT('Staging Table'!AJ41:AU41,LS_Demand_Rates_Restatement!$C$10:$N$10),SUMPRODUCT(LS_Demand_Rates_Restatement!$C$10:$N$10,'Staging Table'!CW41:DH41))*1000</f>
        <v>32677.188686761034</v>
      </c>
      <c r="H39" s="201">
        <f>IF(Init!$R$9="Yes",'Staging Table'!BQ41,'Staging Table'!ED41)*IF(Init!$R$3=2022,Rates_previous!$C$88,Rates_previous!$D$88)</f>
        <v>0</v>
      </c>
      <c r="I39" s="199">
        <v>0</v>
      </c>
      <c r="J39" s="201">
        <f>IF(Init!$R$9="Yes",IF('Staging Table'!D41=1,'Staging Table'!H41*-1,'Staging Table'!H41*SUM(D39:I39)*(-1)),IF('Staging Table'!D41=1,'Staging Table'!BU41*-1,'Staging Table'!BU41*SUM(D39:I39)*(-1)))</f>
        <v>0</v>
      </c>
      <c r="K39" s="199">
        <f>IF(Init!$R$9="Yes",'Staging Table'!K41,'Staging Table'!BX41)*(-1)*Rates_previous!$H$32</f>
        <v>0</v>
      </c>
      <c r="L39" s="199">
        <f>IF('Staging Table'!C41=1,"",SUM(D39:K39))</f>
        <v>1072424.1349558383</v>
      </c>
      <c r="M39" s="199">
        <f>IF('Staging Table'!C41=1,"",IF(Init!$R$9="Yes",(RT1SC!$C$3*'Staging Table'!E41*'Staging Table'!$F$2)+SUM('Staging Table'!L41:AI41)-IF(Init!$R$12="No",'Staging Table'!BH41, 0),X39))</f>
        <v>30441</v>
      </c>
      <c r="N39" s="297">
        <f>IF('Staging Table'!C41=1,"",IF(M39=0, 0, L39/M39))</f>
        <v>35.229596102488038</v>
      </c>
      <c r="O39" s="199">
        <f>'Staging Table'!BR41*Rates_current!$E$76*100*12</f>
        <v>1284927.5361600001</v>
      </c>
      <c r="P39" s="199">
        <f>'Staging Table'!BS41*Rates_current!$E$77*100*12</f>
        <v>-225810.84407999998</v>
      </c>
      <c r="Q39" s="200">
        <f>SUMPRODUCT('Staging Table'!BY41:CV41, LS_Demand_Rates_Restatement!$C$5:$Z$5)-IF(Init!$R$12="No",('Staging Table'!DU41*Rates_current!$H$34), 0)</f>
        <v>21268.164874272457</v>
      </c>
      <c r="R39" s="200">
        <f>SUMPRODUCT('Staging Table'!CW41:DH41, LS_Demand_Rates_Restatement!$C$11:$N$11)*1000</f>
        <v>32835.040221447649</v>
      </c>
      <c r="S39" s="201">
        <f>'Staging Table'!ED41*IF(Init!$R$15="Yes",IF(Init!$R$6=2024,Rates_current!$C$88,Rates_current!$D$88),Rates_current!$H$33)</f>
        <v>0</v>
      </c>
      <c r="T39" s="201">
        <v>0</v>
      </c>
      <c r="U39" s="201">
        <f>IF('Staging Table'!D41=1, 'Staging Table'!BU41*-1,SUM(O39:T39)*'Staging Table'!BU41*-1)</f>
        <v>0</v>
      </c>
      <c r="V39" s="199">
        <f>'Staging Table'!BX41*Rates_current!$H$32*-1</f>
        <v>0</v>
      </c>
      <c r="W39" s="199">
        <f>IF('Staging Table'!C41=1,"",SUM(O39:V39))</f>
        <v>1113219.8971757202</v>
      </c>
      <c r="X39" s="199">
        <f>IF('Staging Table'!C41=1,"",(RT1SC!$C$4*'Staging Table'!BR41*'Staging Table'!$BS$2)+SUM('Staging Table'!BY41:CV41)-IF(Init!$R$12="No",'Staging Table'!DU41, 0))</f>
        <v>32000.111999999997</v>
      </c>
      <c r="Y39" s="297">
        <f>IF('Staging Table'!C41=1,"",IF(X39=0, 0, W39/X39))</f>
        <v>34.788000028741159</v>
      </c>
      <c r="Z39" s="76">
        <f ca="1">IF('Staging Table'!C41=1,"",(Y39/N39-1)+(RAND()/100000000000000))</f>
        <v>-1.2534803761649602E-2</v>
      </c>
      <c r="AA39" s="53">
        <f t="shared" ca="1" si="0"/>
        <v>82</v>
      </c>
      <c r="AD39" s="204"/>
      <c r="AE39" s="204"/>
      <c r="AF39" s="208"/>
      <c r="AG39" s="204"/>
      <c r="AH39" s="204"/>
    </row>
    <row r="40" spans="2:34">
      <c r="B40" s="3">
        <v>10097</v>
      </c>
      <c r="C40" s="4" t="s">
        <v>43</v>
      </c>
      <c r="D40" s="199">
        <f>IF(Init!$R$9="Yes",'Staging Table'!E42,'Staging Table'!BR42)*Rates_previous!$E$76*100*12</f>
        <v>692091.89107658365</v>
      </c>
      <c r="E40" s="199">
        <f>IF(Init!$R$9="Yes",'Staging Table'!F42,'Staging Table'!BS42)*Rates_previous!$E$77*100*12</f>
        <v>-114266.03188718711</v>
      </c>
      <c r="F40" s="200">
        <f>IF(Init!$R$9="Yes",SUMPRODUCT('Staging Table'!L42:AI42,LS_Demand_Rates_Restatement!$C$4:$Z$4)-IF(Init!$R$12="No",('Staging Table'!BH42*Rates_previous!$H$34), 0),SUMPRODUCT('Staging Table'!BY42:CV42,LS_Demand_Rates_Restatement!$C$4:$Z$4)-IF(Init!$R$12="No", 'Staging Table'!DU42*Rates_previous!$H$34, 0))</f>
        <v>15404.692137774458</v>
      </c>
      <c r="G40" s="200">
        <f>IF(Init!$R$9="Yes",SUMPRODUCT('Staging Table'!AJ42:AU42,LS_Demand_Rates_Restatement!$C$10:$N$10),SUMPRODUCT(LS_Demand_Rates_Restatement!$C$10:$N$10,'Staging Table'!CW42:DH42))*1000</f>
        <v>43215.475586707624</v>
      </c>
      <c r="H40" s="201">
        <f>IF(Init!$R$9="Yes",'Staging Table'!BQ42,'Staging Table'!ED42)*IF(Init!$R$3=2022,Rates_previous!$C$88,Rates_previous!$D$88)</f>
        <v>0</v>
      </c>
      <c r="I40" s="199">
        <v>0</v>
      </c>
      <c r="J40" s="201">
        <f>IF(Init!$R$9="Yes",IF('Staging Table'!D42=1,'Staging Table'!H42*-1,'Staging Table'!H42*SUM(D40:I40)*(-1)),IF('Staging Table'!D42=1,'Staging Table'!BU42*-1,'Staging Table'!BU42*SUM(D40:I40)*(-1)))</f>
        <v>0</v>
      </c>
      <c r="K40" s="199">
        <f>IF(Init!$R$9="Yes",'Staging Table'!K42,'Staging Table'!BX42)*(-1)*Rates_previous!$H$32</f>
        <v>0</v>
      </c>
      <c r="L40" s="199">
        <f>IF('Staging Table'!C42=1,"",SUM(D40:K40))</f>
        <v>636446.02691387851</v>
      </c>
      <c r="M40" s="199">
        <f>IF('Staging Table'!C42=1,"",IF(Init!$R$9="Yes",(RT1SC!$C$3*'Staging Table'!E42*'Staging Table'!$F$2)+SUM('Staging Table'!L42:AI42)-IF(Init!$R$12="No",'Staging Table'!BH42, 0),X40))</f>
        <v>17029.439999999999</v>
      </c>
      <c r="N40" s="297">
        <f>IF('Staging Table'!C42=1,"",IF(M40=0, 0, L40/M40))</f>
        <v>37.373279856171344</v>
      </c>
      <c r="O40" s="199">
        <f>'Staging Table'!BR42*Rates_current!$E$76*100*12</f>
        <v>704243.92103999993</v>
      </c>
      <c r="P40" s="199">
        <f>'Staging Table'!BS42*Rates_current!$E$77*100*12</f>
        <v>-123762.55452000001</v>
      </c>
      <c r="Q40" s="200">
        <f>SUMPRODUCT('Staging Table'!BY42:CV42, LS_Demand_Rates_Restatement!$C$5:$Z$5)-IF(Init!$R$12="No",('Staging Table'!DU42*Rates_current!$H$34), 0)</f>
        <v>22036.950545417065</v>
      </c>
      <c r="R40" s="200">
        <f>SUMPRODUCT('Staging Table'!CW42:DH42, LS_Demand_Rates_Restatement!$C$11:$N$11)*1000</f>
        <v>42713.927012232904</v>
      </c>
      <c r="S40" s="201">
        <f>'Staging Table'!ED42*IF(Init!$R$15="Yes",IF(Init!$R$6=2024,Rates_current!$C$88,Rates_current!$D$88),Rates_current!$H$33)</f>
        <v>-10.27052109118562</v>
      </c>
      <c r="T40" s="201">
        <v>0</v>
      </c>
      <c r="U40" s="201">
        <f>IF('Staging Table'!D42=1, 'Staging Table'!BU42*-1,SUM(O40:T40)*'Staging Table'!BU42*-1)</f>
        <v>0</v>
      </c>
      <c r="V40" s="199">
        <f>'Staging Table'!BX42*Rates_current!$H$32*-1</f>
        <v>0</v>
      </c>
      <c r="W40" s="199">
        <f>IF('Staging Table'!C42=1,"",SUM(O40:V40))</f>
        <v>645221.97355655872</v>
      </c>
      <c r="X40" s="199">
        <f>IF('Staging Table'!C42=1,"",(RT1SC!$C$4*'Staging Table'!BR42*'Staging Table'!$BS$2)+SUM('Staging Table'!BY42:CV42)-IF(Init!$R$12="No",'Staging Table'!DU42, 0))</f>
        <v>17543.17408039988</v>
      </c>
      <c r="Y40" s="297">
        <f>IF('Staging Table'!C42=1,"",IF(X40=0, 0, W40/X40))</f>
        <v>36.779089724557501</v>
      </c>
      <c r="Z40" s="76">
        <f ca="1">IF('Staging Table'!C42=1,"",(Y40/N40-1)+(RAND()/100000000000000))</f>
        <v>-1.5898795446915016E-2</v>
      </c>
      <c r="AA40" s="53">
        <f t="shared" ca="1" si="0"/>
        <v>96</v>
      </c>
      <c r="AD40" s="204"/>
      <c r="AE40" s="204"/>
      <c r="AF40" s="208"/>
      <c r="AG40" s="204"/>
      <c r="AH40" s="204"/>
    </row>
    <row r="41" spans="2:34">
      <c r="B41" s="3">
        <v>10101</v>
      </c>
      <c r="C41" s="4" t="s">
        <v>44</v>
      </c>
      <c r="D41" s="199">
        <f>IF(Init!$R$9="Yes",'Staging Table'!E43,'Staging Table'!BR43)*Rates_previous!$E$76*100*12</f>
        <v>25817713.410053335</v>
      </c>
      <c r="E41" s="199">
        <f>IF(Init!$R$9="Yes",'Staging Table'!F43,'Staging Table'!BS43)*Rates_previous!$E$77*100*12</f>
        <v>-4262566.4334520716</v>
      </c>
      <c r="F41" s="200">
        <f>IF(Init!$R$9="Yes",SUMPRODUCT('Staging Table'!L43:AI43,LS_Demand_Rates_Restatement!$C$4:$Z$4)-IF(Init!$R$12="No",('Staging Table'!BH43*Rates_previous!$H$34), 0),SUMPRODUCT('Staging Table'!BY43:CV43,LS_Demand_Rates_Restatement!$C$4:$Z$4)-IF(Init!$R$12="No", 'Staging Table'!DU43*Rates_previous!$H$34, 0))</f>
        <v>530937.06859623699</v>
      </c>
      <c r="G41" s="200">
        <f>IF(Init!$R$9="Yes",SUMPRODUCT('Staging Table'!AJ43:AU43,LS_Demand_Rates_Restatement!$C$10:$N$10),SUMPRODUCT(LS_Demand_Rates_Restatement!$C$10:$N$10,'Staging Table'!CW43:DH43))*1000</f>
        <v>1567381.3403903665</v>
      </c>
      <c r="H41" s="201">
        <f>IF(Init!$R$9="Yes",'Staging Table'!BQ43,'Staging Table'!ED43)*IF(Init!$R$3=2022,Rates_previous!$C$88,Rates_previous!$D$88)</f>
        <v>0</v>
      </c>
      <c r="I41" s="199">
        <v>0</v>
      </c>
      <c r="J41" s="201">
        <f>IF(Init!$R$9="Yes",IF('Staging Table'!D43=1,'Staging Table'!H43*-1,'Staging Table'!H43*SUM(D41:I41)*(-1)),IF('Staging Table'!D43=1,'Staging Table'!BU43*-1,'Staging Table'!BU43*SUM(D41:I41)*(-1)))</f>
        <v>-1251977.9228591658</v>
      </c>
      <c r="K41" s="199">
        <f>IF(Init!$R$9="Yes",'Staging Table'!K43,'Staging Table'!BX43)*(-1)*Rates_previous!$H$32</f>
        <v>0</v>
      </c>
      <c r="L41" s="199">
        <f>IF('Staging Table'!C43=1,"",SUM(D41:K41))</f>
        <v>22401487.462728702</v>
      </c>
      <c r="M41" s="199">
        <f>IF('Staging Table'!C43=1,"",IF(Init!$R$9="Yes",(RT1SC!$C$3*'Staging Table'!E43*'Staging Table'!$F$2)+SUM('Staging Table'!L43:AI43)-IF(Init!$R$12="No",'Staging Table'!BH43, 0),X41))</f>
        <v>635301.48</v>
      </c>
      <c r="N41" s="297">
        <f>IF('Staging Table'!C43=1,"",IF(M41=0, 0, L41/M41))</f>
        <v>35.261191997740511</v>
      </c>
      <c r="O41" s="199">
        <f>'Staging Table'!BR43*Rates_current!$E$76*100*12</f>
        <v>26813831.952239998</v>
      </c>
      <c r="P41" s="199">
        <f>'Staging Table'!BS43*Rates_current!$E$77*100*12</f>
        <v>-4712214.3901199996</v>
      </c>
      <c r="Q41" s="200">
        <f>SUMPRODUCT('Staging Table'!BY43:CV43, LS_Demand_Rates_Restatement!$C$5:$Z$5)-IF(Init!$R$12="No",('Staging Table'!DU43*Rates_current!$H$34), 0)</f>
        <v>712816.65292706492</v>
      </c>
      <c r="R41" s="200">
        <f>SUMPRODUCT('Staging Table'!CW43:DH43, LS_Demand_Rates_Restatement!$C$11:$N$11)*1000</f>
        <v>1542503.2635639959</v>
      </c>
      <c r="S41" s="201">
        <f>'Staging Table'!ED43*IF(Init!$R$15="Yes",IF(Init!$R$6=2024,Rates_current!$C$88,Rates_current!$D$88),Rates_current!$H$33)</f>
        <v>0</v>
      </c>
      <c r="T41" s="201">
        <v>0</v>
      </c>
      <c r="U41" s="201">
        <f>IF('Staging Table'!D43=1, 'Staging Table'!BU43*-1,SUM(O41:T41)*'Staging Table'!BU43*-1)</f>
        <v>-1241073.553143465</v>
      </c>
      <c r="V41" s="199">
        <f>'Staging Table'!BX43*Rates_current!$H$32*-1</f>
        <v>0</v>
      </c>
      <c r="W41" s="199">
        <f>IF('Staging Table'!C43=1,"",SUM(O41:V41))</f>
        <v>23115863.925467592</v>
      </c>
      <c r="X41" s="199">
        <f>IF('Staging Table'!C43=1,"",(RT1SC!$C$4*'Staging Table'!BR43*'Staging Table'!$BS$2)+SUM('Staging Table'!BY43:CV43)-IF(Init!$R$12="No",'Staging Table'!DU43, 0))</f>
        <v>667829.95200000005</v>
      </c>
      <c r="Y41" s="297">
        <f>IF('Staging Table'!C43=1,"",IF(X41=0, 0, W41/X41))</f>
        <v>34.613398000854552</v>
      </c>
      <c r="Z41" s="76">
        <f ca="1">IF('Staging Table'!C43=1,"",(Y41/N41-1)+(RAND()/100000000000000))</f>
        <v>-1.8371301711159329E-2</v>
      </c>
      <c r="AA41" s="53">
        <f t="shared" ca="1" si="0"/>
        <v>101</v>
      </c>
      <c r="AD41" s="204"/>
      <c r="AE41" s="204"/>
      <c r="AF41" s="208"/>
      <c r="AG41" s="204"/>
      <c r="AH41" s="204"/>
    </row>
    <row r="42" spans="2:34">
      <c r="B42" s="3">
        <v>10103</v>
      </c>
      <c r="C42" s="4" t="s">
        <v>45</v>
      </c>
      <c r="D42" s="199">
        <f>IF(Init!$R$9="Yes",'Staging Table'!E44,'Staging Table'!BR44)*Rates_previous!$E$76*100*12</f>
        <v>108155065.54096067</v>
      </c>
      <c r="E42" s="199">
        <f>IF(Init!$R$9="Yes",'Staging Table'!F44,'Staging Table'!BS44)*Rates_previous!$E$77*100*12</f>
        <v>-9216826.414052153</v>
      </c>
      <c r="F42" s="200">
        <f>IF(Init!$R$9="Yes",SUMPRODUCT('Staging Table'!L44:AI44,LS_Demand_Rates_Restatement!$C$4:$Z$4)-IF(Init!$R$12="No",('Staging Table'!BH44*Rates_previous!$H$34), 0),SUMPRODUCT('Staging Table'!BY44:CV44,LS_Demand_Rates_Restatement!$C$4:$Z$4)-IF(Init!$R$12="No", 'Staging Table'!DU44*Rates_previous!$H$34, 0))</f>
        <v>234438.99249824689</v>
      </c>
      <c r="G42" s="200">
        <f>IF(Init!$R$9="Yes",SUMPRODUCT('Staging Table'!AJ44:AU44,LS_Demand_Rates_Restatement!$C$10:$N$10),SUMPRODUCT(LS_Demand_Rates_Restatement!$C$10:$N$10,'Staging Table'!CW44:DH44))*1000</f>
        <v>0</v>
      </c>
      <c r="H42" s="201">
        <f>IF(Init!$R$9="Yes",'Staging Table'!BQ44,'Staging Table'!ED44)*IF(Init!$R$3=2022,Rates_previous!$C$88,Rates_previous!$D$88)</f>
        <v>0</v>
      </c>
      <c r="I42" s="199">
        <v>0</v>
      </c>
      <c r="J42" s="201">
        <f>IF(Init!$R$9="Yes",IF('Staging Table'!D44=1,'Staging Table'!H44*-1,'Staging Table'!H44*SUM(D42:I42)*(-1)),IF('Staging Table'!D44=1,'Staging Table'!BU44*-1,'Staging Table'!BU44*SUM(D42:I42)*(-1)))</f>
        <v>0</v>
      </c>
      <c r="K42" s="199">
        <f>IF(Init!$R$9="Yes",'Staging Table'!K44,'Staging Table'!BX44)*(-1)*Rates_previous!$H$32</f>
        <v>0</v>
      </c>
      <c r="L42" s="199">
        <f>IF('Staging Table'!C44=1,"",SUM(D42:K42))</f>
        <v>99172678.11940676</v>
      </c>
      <c r="M42" s="199">
        <f>IF('Staging Table'!C44=1,"",IF(Init!$R$9="Yes",(RT1SC!$C$3*'Staging Table'!E44*'Staging Table'!$F$2)+SUM('Staging Table'!L44:AI44)-IF(Init!$R$12="No",'Staging Table'!BH44, 0),X42))</f>
        <v>2661393.2561416831</v>
      </c>
      <c r="N42" s="297">
        <f>IF('Staging Table'!C44=1,"",IF(M42=0, 0, L42/M42))</f>
        <v>37.263443833618538</v>
      </c>
      <c r="O42" s="199">
        <f>'Staging Table'!BR44*Rates_current!$E$76*100*12</f>
        <v>112327777.30320001</v>
      </c>
      <c r="P42" s="199">
        <f>'Staging Table'!BS44*Rates_current!$E$77*100*12</f>
        <v>-10189112.38116</v>
      </c>
      <c r="Q42" s="200">
        <f>SUMPRODUCT('Staging Table'!BY44:CV44, LS_Demand_Rates_Restatement!$C$5:$Z$5)-IF(Init!$R$12="No",('Staging Table'!DU44*Rates_current!$H$34), 0)</f>
        <v>534925.62584351201</v>
      </c>
      <c r="R42" s="200">
        <f>SUMPRODUCT('Staging Table'!CW44:DH44, LS_Demand_Rates_Restatement!$C$11:$N$11)*1000</f>
        <v>0</v>
      </c>
      <c r="S42" s="201">
        <f>'Staging Table'!ED44*IF(Init!$R$15="Yes",IF(Init!$R$6=2024,Rates_current!$C$88,Rates_current!$D$88),Rates_current!$H$33)</f>
        <v>0</v>
      </c>
      <c r="T42" s="201">
        <v>0</v>
      </c>
      <c r="U42" s="201">
        <f>IF('Staging Table'!D44=1, 'Staging Table'!BU44*-1,SUM(O42:T42)*'Staging Table'!BU44*-1)</f>
        <v>0</v>
      </c>
      <c r="V42" s="199">
        <f>'Staging Table'!BX44*Rates_current!$H$32*-1</f>
        <v>0</v>
      </c>
      <c r="W42" s="199">
        <f>IF('Staging Table'!C44=1,"",SUM(O42:V42))</f>
        <v>102673590.54788351</v>
      </c>
      <c r="X42" s="199">
        <f>IF('Staging Table'!C44=1,"",(RT1SC!$C$4*'Staging Table'!BR44*'Staging Table'!$BS$2)+SUM('Staging Table'!BY44:CV44)-IF(Init!$R$12="No",'Staging Table'!DU44, 0))</f>
        <v>2797651.3111184607</v>
      </c>
      <c r="Y42" s="297">
        <f>IF('Staging Table'!C44=1,"",IF(X42=0, 0, W42/X42))</f>
        <v>36.699924018349549</v>
      </c>
      <c r="Z42" s="76">
        <f ca="1">IF('Staging Table'!C44=1,"",(Y42/N42-1)+(RAND()/100000000000000))</f>
        <v>-1.512259086370967E-2</v>
      </c>
      <c r="AA42" s="53">
        <f t="shared" ca="1" si="0"/>
        <v>92</v>
      </c>
      <c r="AD42" s="204"/>
      <c r="AE42" s="204"/>
      <c r="AF42" s="208"/>
      <c r="AG42" s="204"/>
      <c r="AH42" s="204"/>
    </row>
    <row r="43" spans="2:34">
      <c r="B43" s="3">
        <v>10105</v>
      </c>
      <c r="C43" s="4" t="s">
        <v>46</v>
      </c>
      <c r="D43" s="199">
        <f>IF(Init!$R$9="Yes",'Staging Table'!E45,'Staging Table'!BR45)*Rates_previous!$E$76*100*12</f>
        <v>29942686.597305007</v>
      </c>
      <c r="E43" s="199">
        <f>IF(Init!$R$9="Yes",'Staging Table'!F45,'Staging Table'!BS45)*Rates_previous!$E$77*100*12</f>
        <v>-2071754.8109940928</v>
      </c>
      <c r="F43" s="200">
        <f>IF(Init!$R$9="Yes",SUMPRODUCT('Staging Table'!L45:AI45,LS_Demand_Rates_Restatement!$C$4:$Z$4)-IF(Init!$R$12="No",('Staging Table'!BH45*Rates_previous!$H$34), 0),SUMPRODUCT('Staging Table'!BY45:CV45,LS_Demand_Rates_Restatement!$C$4:$Z$4)-IF(Init!$R$12="No", 'Staging Table'!DU45*Rates_previous!$H$34, 0))</f>
        <v>-34712.422972475382</v>
      </c>
      <c r="G43" s="200">
        <f>IF(Init!$R$9="Yes",SUMPRODUCT('Staging Table'!AJ45:AU45,LS_Demand_Rates_Restatement!$C$10:$N$10),SUMPRODUCT(LS_Demand_Rates_Restatement!$C$10:$N$10,'Staging Table'!CW45:DH45))*1000</f>
        <v>0</v>
      </c>
      <c r="H43" s="201">
        <f>IF(Init!$R$9="Yes",'Staging Table'!BQ45,'Staging Table'!ED45)*IF(Init!$R$3=2022,Rates_previous!$C$88,Rates_previous!$D$88)</f>
        <v>0</v>
      </c>
      <c r="I43" s="199">
        <v>0</v>
      </c>
      <c r="J43" s="201">
        <f>IF(Init!$R$9="Yes",IF('Staging Table'!D45=1,'Staging Table'!H45*-1,'Staging Table'!H45*SUM(D43:I43)*(-1)),IF('Staging Table'!D45=1,'Staging Table'!BU45*-1,'Staging Table'!BU45*SUM(D43:I43)*(-1)))</f>
        <v>0</v>
      </c>
      <c r="K43" s="199">
        <f>IF(Init!$R$9="Yes",'Staging Table'!K45,'Staging Table'!BX45)*(-1)*Rates_previous!$H$32</f>
        <v>0</v>
      </c>
      <c r="L43" s="199">
        <f>IF('Staging Table'!C45=1,"",SUM(D43:K43))</f>
        <v>27836219.363338441</v>
      </c>
      <c r="M43" s="199">
        <f>IF('Staging Table'!C45=1,"",IF(Init!$R$9="Yes",(RT1SC!$C$3*'Staging Table'!E45*'Staging Table'!$F$2)+SUM('Staging Table'!L45:AI45)-IF(Init!$R$12="No",'Staging Table'!BH45, 0),X43))</f>
        <v>736803.4497405733</v>
      </c>
      <c r="N43" s="297">
        <f>IF('Staging Table'!C45=1,"",IF(M43=0, 0, L43/M43))</f>
        <v>37.779708242597813</v>
      </c>
      <c r="O43" s="199">
        <f>'Staging Table'!BR45*Rates_current!$E$76*100*12</f>
        <v>29583476.067600004</v>
      </c>
      <c r="P43" s="199">
        <f>'Staging Table'!BS45*Rates_current!$E$77*100*12</f>
        <v>-2024154.7473600002</v>
      </c>
      <c r="Q43" s="200">
        <f>SUMPRODUCT('Staging Table'!BY45:CV45, LS_Demand_Rates_Restatement!$C$5:$Z$5)-IF(Init!$R$12="No",('Staging Table'!DU45*Rates_current!$H$34), 0)</f>
        <v>17173.126278666881</v>
      </c>
      <c r="R43" s="200">
        <f>SUMPRODUCT('Staging Table'!CW45:DH45, LS_Demand_Rates_Restatement!$C$11:$N$11)*1000</f>
        <v>0</v>
      </c>
      <c r="S43" s="201">
        <f>'Staging Table'!ED45*IF(Init!$R$15="Yes",IF(Init!$R$6=2024,Rates_current!$C$88,Rates_current!$D$88),Rates_current!$H$33)</f>
        <v>0</v>
      </c>
      <c r="T43" s="201">
        <v>0</v>
      </c>
      <c r="U43" s="201">
        <f>IF('Staging Table'!D45=1, 'Staging Table'!BU45*-1,SUM(O43:T43)*'Staging Table'!BU45*-1)</f>
        <v>0</v>
      </c>
      <c r="V43" s="199">
        <f>'Staging Table'!BX45*Rates_current!$H$32*-1</f>
        <v>0</v>
      </c>
      <c r="W43" s="199">
        <f>IF('Staging Table'!C45=1,"",SUM(O43:V43))</f>
        <v>27576494.446518674</v>
      </c>
      <c r="X43" s="199">
        <f>IF('Staging Table'!C45=1,"",(RT1SC!$C$4*'Staging Table'!BR45*'Staging Table'!$BS$2)+SUM('Staging Table'!BY45:CV45)-IF(Init!$R$12="No",'Staging Table'!DU45, 0))</f>
        <v>736809.84408710129</v>
      </c>
      <c r="Y43" s="297">
        <f>IF('Staging Table'!C45=1,"",IF(X43=0, 0, W43/X43))</f>
        <v>37.426881125191301</v>
      </c>
      <c r="Z43" s="76">
        <f ca="1">IF('Staging Table'!C45=1,"",(Y43/N43-1)+(RAND()/100000000000000))</f>
        <v>-9.3390641119000303E-3</v>
      </c>
      <c r="AA43" s="53">
        <f t="shared" ca="1" si="0"/>
        <v>65</v>
      </c>
      <c r="AD43" s="204"/>
      <c r="AE43" s="204"/>
      <c r="AF43" s="208"/>
      <c r="AG43" s="204"/>
      <c r="AH43" s="204"/>
    </row>
    <row r="44" spans="2:34">
      <c r="B44" s="3">
        <v>10106</v>
      </c>
      <c r="C44" s="4" t="s">
        <v>47</v>
      </c>
      <c r="D44" s="199">
        <f>IF(Init!$R$9="Yes",'Staging Table'!E46,'Staging Table'!BR46)*Rates_previous!$E$76*100*12</f>
        <v>8108938.0474232845</v>
      </c>
      <c r="E44" s="199">
        <f>IF(Init!$R$9="Yes",'Staging Table'!F46,'Staging Table'!BS46)*Rates_previous!$E$77*100*12</f>
        <v>-1338805.1289789828</v>
      </c>
      <c r="F44" s="200">
        <f>IF(Init!$R$9="Yes",SUMPRODUCT('Staging Table'!L46:AI46,LS_Demand_Rates_Restatement!$C$4:$Z$4)-IF(Init!$R$12="No",('Staging Table'!BH46*Rates_previous!$H$34), 0),SUMPRODUCT('Staging Table'!BY46:CV46,LS_Demand_Rates_Restatement!$C$4:$Z$4)-IF(Init!$R$12="No", 'Staging Table'!DU46*Rates_previous!$H$34, 0))</f>
        <v>0</v>
      </c>
      <c r="G44" s="200">
        <f>IF(Init!$R$9="Yes",SUMPRODUCT('Staging Table'!AJ46:AU46,LS_Demand_Rates_Restatement!$C$10:$N$10),SUMPRODUCT(LS_Demand_Rates_Restatement!$C$10:$N$10,'Staging Table'!CW46:DH46))*1000</f>
        <v>0</v>
      </c>
      <c r="H44" s="201">
        <f>IF(Init!$R$9="Yes",'Staging Table'!BQ46,'Staging Table'!ED46)*IF(Init!$R$3=2022,Rates_previous!$C$88,Rates_previous!$D$88)</f>
        <v>0</v>
      </c>
      <c r="I44" s="199">
        <v>0</v>
      </c>
      <c r="J44" s="201">
        <f>IF(Init!$R$9="Yes",IF('Staging Table'!D46=1,'Staging Table'!H46*-1,'Staging Table'!H46*SUM(D44:I44)*(-1)),IF('Staging Table'!D46=1,'Staging Table'!BU46*-1,'Staging Table'!BU46*SUM(D44:I44)*(-1)))</f>
        <v>-492797.97513356071</v>
      </c>
      <c r="K44" s="199">
        <f>IF(Init!$R$9="Yes",'Staging Table'!K46,'Staging Table'!BX46)*(-1)*Rates_previous!$H$32</f>
        <v>0</v>
      </c>
      <c r="L44" s="199" t="str">
        <f>IF('Staging Table'!C46=1,"",SUM(D44:K44))</f>
        <v/>
      </c>
      <c r="M44" s="199" t="str">
        <f>IF('Staging Table'!C46=1,"",IF(Init!$R$9="Yes",(RT1SC!$C$3*'Staging Table'!E46*'Staging Table'!$F$2)+SUM('Staging Table'!L46:AI46)-IF(Init!$R$12="No",'Staging Table'!BH46, 0),X44))</f>
        <v/>
      </c>
      <c r="N44" s="297" t="str">
        <f>IF('Staging Table'!C46=1,"",IF(M44=0, 0, L44/M44))</f>
        <v/>
      </c>
      <c r="O44" s="199">
        <f>'Staging Table'!BR46*Rates_current!$E$76*100*12</f>
        <v>8421780.7706400007</v>
      </c>
      <c r="P44" s="199">
        <f>'Staging Table'!BS46*Rates_current!$E$77*100*12</f>
        <v>-1480028.53932</v>
      </c>
      <c r="Q44" s="200">
        <f>SUMPRODUCT('Staging Table'!BY46:CV46, LS_Demand_Rates_Restatement!$C$5:$Z$5)-IF(Init!$R$12="No",('Staging Table'!DU46*Rates_current!$H$34), 0)</f>
        <v>0</v>
      </c>
      <c r="R44" s="200">
        <f>SUMPRODUCT('Staging Table'!CW46:DH46, LS_Demand_Rates_Restatement!$C$11:$N$11)*1000</f>
        <v>0</v>
      </c>
      <c r="S44" s="201">
        <f>'Staging Table'!ED46*IF(Init!$R$15="Yes",IF(Init!$R$6=2024,Rates_current!$C$88,Rates_current!$D$88),Rates_current!$H$33)</f>
        <v>0</v>
      </c>
      <c r="T44" s="201">
        <v>0</v>
      </c>
      <c r="U44" s="201">
        <f>IF('Staging Table'!D46=1, 'Staging Table'!BU46*-1,SUM(O44:T44)*'Staging Table'!BU46*-1)</f>
        <v>-491030.34858757124</v>
      </c>
      <c r="V44" s="199">
        <f>'Staging Table'!BX46*Rates_current!$H$32*-1</f>
        <v>0</v>
      </c>
      <c r="W44" s="199" t="str">
        <f>IF('Staging Table'!C46=1,"",SUM(O44:V44))</f>
        <v/>
      </c>
      <c r="X44" s="199" t="str">
        <f>IF('Staging Table'!C46=1,"",(RT1SC!$C$4*'Staging Table'!BR46*'Staging Table'!$BS$2)+SUM('Staging Table'!BY46:CV46)-IF(Init!$R$12="No",'Staging Table'!DU46, 0))</f>
        <v/>
      </c>
      <c r="Y44" s="297" t="str">
        <f>IF('Staging Table'!C46=1,"",IF(X44=0, 0, W44/X44))</f>
        <v/>
      </c>
      <c r="Z44" s="76" t="str">
        <f ca="1">IF('Staging Table'!C46=1,"",(Y44/N44-1)+(RAND()/100000000000000))</f>
        <v/>
      </c>
      <c r="AA44" s="53" t="str">
        <f t="shared" ca="1" si="0"/>
        <v/>
      </c>
      <c r="AD44" s="204"/>
      <c r="AE44" s="204"/>
      <c r="AF44" s="208"/>
      <c r="AG44" s="204"/>
      <c r="AH44" s="204"/>
    </row>
    <row r="45" spans="2:34">
      <c r="B45" s="3">
        <v>10109</v>
      </c>
      <c r="C45" s="4" t="s">
        <v>48</v>
      </c>
      <c r="D45" s="199">
        <f>IF(Init!$R$9="Yes",'Staging Table'!E47,'Staging Table'!BR47)*Rates_previous!$E$76*100*12</f>
        <v>4115380.7840489438</v>
      </c>
      <c r="E45" s="199">
        <f>IF(Init!$R$9="Yes",'Staging Table'!F47,'Staging Table'!BS47)*Rates_previous!$E$77*100*12</f>
        <v>-679459.24227859243</v>
      </c>
      <c r="F45" s="200">
        <f>IF(Init!$R$9="Yes",SUMPRODUCT('Staging Table'!L47:AI47,LS_Demand_Rates_Restatement!$C$4:$Z$4)-IF(Init!$R$12="No",('Staging Table'!BH47*Rates_previous!$H$34), 0),SUMPRODUCT('Staging Table'!BY47:CV47,LS_Demand_Rates_Restatement!$C$4:$Z$4)-IF(Init!$R$12="No", 'Staging Table'!DU47*Rates_previous!$H$34, 0))</f>
        <v>-81346.685805085319</v>
      </c>
      <c r="G45" s="200">
        <f>IF(Init!$R$9="Yes",SUMPRODUCT('Staging Table'!AJ47:AU47,LS_Demand_Rates_Restatement!$C$10:$N$10),SUMPRODUCT(LS_Demand_Rates_Restatement!$C$10:$N$10,'Staging Table'!CW47:DH47))*1000</f>
        <v>431945.68967993226</v>
      </c>
      <c r="H45" s="201">
        <f>IF(Init!$R$9="Yes",'Staging Table'!BQ47,'Staging Table'!ED47)*IF(Init!$R$3=2022,Rates_previous!$C$88,Rates_previous!$D$88)</f>
        <v>0</v>
      </c>
      <c r="I45" s="199">
        <v>0</v>
      </c>
      <c r="J45" s="201">
        <f>IF(Init!$R$9="Yes",IF('Staging Table'!D47=1,'Staging Table'!H47*-1,'Staging Table'!H47*SUM(D45:I45)*(-1)),IF('Staging Table'!D47=1,'Staging Table'!BU47*-1,'Staging Table'!BU47*SUM(D45:I45)*(-1)))</f>
        <v>-312463.67542664177</v>
      </c>
      <c r="K45" s="199">
        <f>IF(Init!$R$9="Yes",'Staging Table'!K47,'Staging Table'!BX47)*(-1)*Rates_previous!$H$32</f>
        <v>-229993.65150000004</v>
      </c>
      <c r="L45" s="199">
        <f>IF('Staging Table'!C47=1,"",SUM(D45:K45))</f>
        <v>3244063.2187185562</v>
      </c>
      <c r="M45" s="199">
        <f>IF('Staging Table'!C47=1,"",IF(Init!$R$9="Yes",(RT1SC!$C$3*'Staging Table'!E47*'Staging Table'!$F$2)+SUM('Staging Table'!L47:AI47)-IF(Init!$R$12="No",'Staging Table'!BH47, 0),X45))</f>
        <v>101265.60000000001</v>
      </c>
      <c r="N45" s="297">
        <f>IF('Staging Table'!C47=1,"",IF(M45=0, 0, L45/M45))</f>
        <v>32.035194762274216</v>
      </c>
      <c r="O45" s="199">
        <f>'Staging Table'!BR47*Rates_current!$E$76*100*12</f>
        <v>4273791.5491199996</v>
      </c>
      <c r="P45" s="199">
        <f>'Staging Table'!BS47*Rates_current!$E$77*100*12</f>
        <v>-751068.40656000003</v>
      </c>
      <c r="Q45" s="200">
        <f>SUMPRODUCT('Staging Table'!BY47:CV47, LS_Demand_Rates_Restatement!$C$5:$Z$5)-IF(Init!$R$12="No",('Staging Table'!DU47*Rates_current!$H$34), 0)</f>
        <v>-55313.581724077136</v>
      </c>
      <c r="R45" s="200">
        <f>SUMPRODUCT('Staging Table'!CW47:DH47, LS_Demand_Rates_Restatement!$C$11:$N$11)*1000</f>
        <v>434008.25651477033</v>
      </c>
      <c r="S45" s="201">
        <f>'Staging Table'!ED47*IF(Init!$R$15="Yes",IF(Init!$R$6=2024,Rates_current!$C$88,Rates_current!$D$88),Rates_current!$H$33)</f>
        <v>0</v>
      </c>
      <c r="T45" s="201">
        <v>0</v>
      </c>
      <c r="U45" s="201">
        <f>IF('Staging Table'!D47=1, 'Staging Table'!BU47*-1,SUM(O45:T45)*'Staging Table'!BU47*-1)</f>
        <v>-334308.8160736601</v>
      </c>
      <c r="V45" s="199">
        <f>'Staging Table'!BX47*Rates_current!$H$32*-1</f>
        <v>-244130.87595000005</v>
      </c>
      <c r="W45" s="199">
        <f>IF('Staging Table'!C47=1,"",SUM(O45:V45))</f>
        <v>3322978.1253270325</v>
      </c>
      <c r="X45" s="199">
        <f>IF('Staging Table'!C47=1,"",(RT1SC!$C$4*'Staging Table'!BR47*'Staging Table'!$BS$2)+SUM('Staging Table'!BY47:CV47)-IF(Init!$R$12="No",'Staging Table'!DU47, 0))</f>
        <v>106443.95248791664</v>
      </c>
      <c r="Y45" s="297">
        <f>IF('Staging Table'!C47=1,"",IF(X45=0, 0, W45/X45))</f>
        <v>31.218101617414593</v>
      </c>
      <c r="Z45" s="76">
        <f ca="1">IF('Staging Table'!C47=1,"",(Y45/N45-1)+(RAND()/100000000000000))</f>
        <v>-2.5506108232615399E-2</v>
      </c>
      <c r="AA45" s="53">
        <f t="shared" ca="1" si="0"/>
        <v>113</v>
      </c>
      <c r="AD45" s="204"/>
      <c r="AE45" s="204"/>
      <c r="AF45" s="208"/>
      <c r="AG45" s="204"/>
      <c r="AH45" s="204"/>
    </row>
    <row r="46" spans="2:34">
      <c r="B46" s="3">
        <v>10111</v>
      </c>
      <c r="C46" s="4" t="s">
        <v>49</v>
      </c>
      <c r="D46" s="199">
        <f>IF(Init!$R$9="Yes",'Staging Table'!E48,'Staging Table'!BR48)*Rates_previous!$E$76*100*12</f>
        <v>1085860.0425484306</v>
      </c>
      <c r="E46" s="199">
        <f>IF(Init!$R$9="Yes",'Staging Table'!F48,'Staging Table'!BS48)*Rates_previous!$E$77*100*12</f>
        <v>-179278.09853956453</v>
      </c>
      <c r="F46" s="200">
        <f>IF(Init!$R$9="Yes",SUMPRODUCT('Staging Table'!L48:AI48,LS_Demand_Rates_Restatement!$C$4:$Z$4)-IF(Init!$R$12="No",('Staging Table'!BH48*Rates_previous!$H$34), 0),SUMPRODUCT('Staging Table'!BY48:CV48,LS_Demand_Rates_Restatement!$C$4:$Z$4)-IF(Init!$R$12="No", 'Staging Table'!DU48*Rates_previous!$H$34, 0))</f>
        <v>12328.198701390696</v>
      </c>
      <c r="G46" s="200">
        <f>IF(Init!$R$9="Yes",SUMPRODUCT('Staging Table'!AJ48:AU48,LS_Demand_Rates_Restatement!$C$10:$N$10),SUMPRODUCT(LS_Demand_Rates_Restatement!$C$10:$N$10,'Staging Table'!CW48:DH48))*1000</f>
        <v>64469.588809971501</v>
      </c>
      <c r="H46" s="201">
        <f>IF(Init!$R$9="Yes",'Staging Table'!BQ48,'Staging Table'!ED48)*IF(Init!$R$3=2022,Rates_previous!$C$88,Rates_previous!$D$88)</f>
        <v>2221.508878100321</v>
      </c>
      <c r="I46" s="199">
        <v>0</v>
      </c>
      <c r="J46" s="201">
        <f>IF(Init!$R$9="Yes",IF('Staging Table'!D48=1,'Staging Table'!H48*-1,'Staging Table'!H48*SUM(D46:I46)*(-1)),IF('Staging Table'!D48=1,'Staging Table'!BU48*-1,'Staging Table'!BU48*SUM(D46:I46)*(-1)))</f>
        <v>-68992.086827883002</v>
      </c>
      <c r="K46" s="199">
        <f>IF(Init!$R$9="Yes",'Staging Table'!K48,'Staging Table'!BX48)*(-1)*Rates_previous!$H$32</f>
        <v>-56981.374099999994</v>
      </c>
      <c r="L46" s="199">
        <f>IF('Staging Table'!C48=1,"",SUM(D46:K46))</f>
        <v>859627.77947044547</v>
      </c>
      <c r="M46" s="199">
        <f>IF('Staging Table'!C48=1,"",IF(Init!$R$9="Yes",(RT1SC!$C$3*'Staging Table'!E48*'Staging Table'!$F$2)+SUM('Staging Table'!L48:AI48)-IF(Init!$R$12="No",'Staging Table'!BH48, 0),X46))</f>
        <v>27033.359999999997</v>
      </c>
      <c r="N46" s="297">
        <f>IF('Staging Table'!C48=1,"",IF(M46=0, 0, L46/M46))</f>
        <v>31.798776751038183</v>
      </c>
      <c r="O46" s="199">
        <f>'Staging Table'!BR48*Rates_current!$E$76*100*12</f>
        <v>1106313.1423200001</v>
      </c>
      <c r="P46" s="199">
        <f>'Staging Table'!BS48*Rates_current!$E$77*100*12</f>
        <v>-194421.47315999999</v>
      </c>
      <c r="Q46" s="200">
        <f>SUMPRODUCT('Staging Table'!BY48:CV48, LS_Demand_Rates_Restatement!$C$5:$Z$5)-IF(Init!$R$12="No",('Staging Table'!DU48*Rates_current!$H$34), 0)</f>
        <v>32792.586129959993</v>
      </c>
      <c r="R46" s="200">
        <f>SUMPRODUCT('Staging Table'!CW48:DH48, LS_Demand_Rates_Restatement!$C$11:$N$11)*1000</f>
        <v>65237.063042681628</v>
      </c>
      <c r="S46" s="201">
        <f>'Staging Table'!ED48*IF(Init!$R$15="Yes",IF(Init!$R$6=2024,Rates_current!$C$88,Rates_current!$D$88),Rates_current!$H$33)</f>
        <v>6.7627999872873996</v>
      </c>
      <c r="T46" s="201">
        <v>0</v>
      </c>
      <c r="U46" s="201">
        <f>IF('Staging Table'!D48=1, 'Staging Table'!BU48*-1,SUM(O46:T46)*'Staging Table'!BU48*-1)</f>
        <v>-70694.96567928404</v>
      </c>
      <c r="V46" s="199">
        <f>'Staging Table'!BX48*Rates_current!$H$32*-1</f>
        <v>-60483.898929999996</v>
      </c>
      <c r="W46" s="199">
        <f>IF('Staging Table'!C48=1,"",SUM(O46:V46))</f>
        <v>878749.21652334498</v>
      </c>
      <c r="X46" s="199">
        <f>IF('Staging Table'!C48=1,"",(RT1SC!$C$4*'Staging Table'!BR48*'Staging Table'!$BS$2)+SUM('Staging Table'!BY48:CV48)-IF(Init!$R$12="No",'Staging Table'!DU48, 0))</f>
        <v>27554.403126302037</v>
      </c>
      <c r="Y46" s="297">
        <f>IF('Staging Table'!C48=1,"",IF(X46=0, 0, W46/X46))</f>
        <v>31.891426299288462</v>
      </c>
      <c r="Z46" s="76">
        <f ca="1">IF('Staging Table'!C48=1,"",(Y46/N46-1)+(RAND()/100000000000000))</f>
        <v>2.913619884687369E-3</v>
      </c>
      <c r="AA46" s="53">
        <f t="shared" ca="1" si="0"/>
        <v>27</v>
      </c>
      <c r="AD46" s="204"/>
      <c r="AE46" s="204"/>
      <c r="AF46" s="208"/>
      <c r="AG46" s="204"/>
      <c r="AH46" s="204"/>
    </row>
    <row r="47" spans="2:34">
      <c r="B47" s="3">
        <v>10112</v>
      </c>
      <c r="C47" s="4" t="s">
        <v>50</v>
      </c>
      <c r="D47" s="199">
        <f>IF(Init!$R$9="Yes",'Staging Table'!E49,'Staging Table'!BR49)*Rates_previous!$E$76*100*12</f>
        <v>19607111.956449255</v>
      </c>
      <c r="E47" s="199">
        <f>IF(Init!$R$9="Yes",'Staging Table'!F49,'Staging Table'!BS49)*Rates_previous!$E$77*100*12</f>
        <v>-3237181.2311601886</v>
      </c>
      <c r="F47" s="200">
        <f>IF(Init!$R$9="Yes",SUMPRODUCT('Staging Table'!L49:AI49,LS_Demand_Rates_Restatement!$C$4:$Z$4)-IF(Init!$R$12="No",('Staging Table'!BH49*Rates_previous!$H$34), 0),SUMPRODUCT('Staging Table'!BY49:CV49,LS_Demand_Rates_Restatement!$C$4:$Z$4)-IF(Init!$R$12="No", 'Staging Table'!DU49*Rates_previous!$H$34, 0))</f>
        <v>292144.77831488301</v>
      </c>
      <c r="G47" s="200">
        <f>IF(Init!$R$9="Yes",SUMPRODUCT('Staging Table'!AJ49:AU49,LS_Demand_Rates_Restatement!$C$10:$N$10),SUMPRODUCT(LS_Demand_Rates_Restatement!$C$10:$N$10,'Staging Table'!CW49:DH49))*1000</f>
        <v>921236.56771262467</v>
      </c>
      <c r="H47" s="201">
        <f>IF(Init!$R$9="Yes",'Staging Table'!BQ49,'Staging Table'!ED49)*IF(Init!$R$3=2022,Rates_previous!$C$88,Rates_previous!$D$88)</f>
        <v>30113.787014249123</v>
      </c>
      <c r="I47" s="199">
        <v>0</v>
      </c>
      <c r="J47" s="201">
        <f>IF(Init!$R$9="Yes",IF('Staging Table'!D49=1,'Staging Table'!H49*-1,'Staging Table'!H49*SUM(D47:I47)*(-1)),IF('Staging Table'!D49=1,'Staging Table'!BU49*-1,'Staging Table'!BU49*SUM(D47:I47)*(-1)))</f>
        <v>0</v>
      </c>
      <c r="K47" s="199">
        <f>IF(Init!$R$9="Yes",'Staging Table'!K49,'Staging Table'!BX49)*(-1)*Rates_previous!$H$32</f>
        <v>0</v>
      </c>
      <c r="L47" s="199">
        <f>IF('Staging Table'!C49=1,"",SUM(D47:K47))</f>
        <v>17613425.858330823</v>
      </c>
      <c r="M47" s="199">
        <f>IF('Staging Table'!C49=1,"",IF(Init!$R$9="Yes",(RT1SC!$C$3*'Staging Table'!E49*'Staging Table'!$F$2)+SUM('Staging Table'!L49:AI49)-IF(Init!$R$12="No",'Staging Table'!BH49, 0),X47))</f>
        <v>486749.39999999997</v>
      </c>
      <c r="N47" s="297">
        <f>IF('Staging Table'!C49=1,"",IF(M47=0, 0, L47/M47))</f>
        <v>36.185819352485744</v>
      </c>
      <c r="O47" s="199">
        <f>'Staging Table'!BR49*Rates_current!$E$76*100*12</f>
        <v>20543893.767360002</v>
      </c>
      <c r="P47" s="199">
        <f>'Staging Table'!BS49*Rates_current!$E$77*100*12</f>
        <v>-3610346.7796800002</v>
      </c>
      <c r="Q47" s="200">
        <f>SUMPRODUCT('Staging Table'!BY49:CV49, LS_Demand_Rates_Restatement!$C$5:$Z$5)-IF(Init!$R$12="No",('Staging Table'!DU49*Rates_current!$H$34), 0)</f>
        <v>483727.79806461523</v>
      </c>
      <c r="R47" s="200">
        <f>SUMPRODUCT('Staging Table'!CW49:DH49, LS_Demand_Rates_Restatement!$C$11:$N$11)*1000</f>
        <v>930597.55871116463</v>
      </c>
      <c r="S47" s="201">
        <f>'Staging Table'!ED49*IF(Init!$R$15="Yes",IF(Init!$R$6=2024,Rates_current!$C$88,Rates_current!$D$88),Rates_current!$H$33)</f>
        <v>0</v>
      </c>
      <c r="T47" s="201">
        <v>0</v>
      </c>
      <c r="U47" s="201">
        <f>IF('Staging Table'!D49=1, 'Staging Table'!BU49*-1,SUM(O47:T47)*'Staging Table'!BU49*-1)</f>
        <v>0</v>
      </c>
      <c r="V47" s="199">
        <f>'Staging Table'!BX49*Rates_current!$H$32*-1</f>
        <v>0</v>
      </c>
      <c r="W47" s="199">
        <f>IF('Staging Table'!C49=1,"",SUM(O47:V47))</f>
        <v>18347872.344455782</v>
      </c>
      <c r="X47" s="199">
        <f>IF('Staging Table'!C49=1,"",(RT1SC!$C$4*'Staging Table'!BR49*'Staging Table'!$BS$2)+SUM('Staging Table'!BY49:CV49)-IF(Init!$R$12="No",'Staging Table'!DU49, 0))</f>
        <v>511668</v>
      </c>
      <c r="Y47" s="297">
        <f>IF('Staging Table'!C49=1,"",IF(X47=0, 0, W47/X47))</f>
        <v>35.858940454466143</v>
      </c>
      <c r="Z47" s="76">
        <f ca="1">IF('Staging Table'!C49=1,"",(Y47/N47-1)+(RAND()/100000000000000))</f>
        <v>-9.033342449295283E-3</v>
      </c>
      <c r="AA47" s="53">
        <f t="shared" ca="1" si="0"/>
        <v>63</v>
      </c>
      <c r="AD47" s="204"/>
      <c r="AE47" s="204"/>
      <c r="AF47" s="208"/>
      <c r="AG47" s="204"/>
      <c r="AH47" s="204"/>
    </row>
    <row r="48" spans="2:34">
      <c r="B48" s="3">
        <v>10113</v>
      </c>
      <c r="C48" s="4" t="s">
        <v>51</v>
      </c>
      <c r="D48" s="199">
        <f>IF(Init!$R$9="Yes",'Staging Table'!E50,'Staging Table'!BR50)*Rates_previous!$E$76*100*12</f>
        <v>12799863.02363571</v>
      </c>
      <c r="E48" s="199">
        <f>IF(Init!$R$9="Yes",'Staging Table'!F50,'Staging Table'!BS50)*Rates_previous!$E$77*100*12</f>
        <v>-2113288.0983986873</v>
      </c>
      <c r="F48" s="200">
        <f>IF(Init!$R$9="Yes",SUMPRODUCT('Staging Table'!L50:AI50,LS_Demand_Rates_Restatement!$C$4:$Z$4)-IF(Init!$R$12="No",('Staging Table'!BH50*Rates_previous!$H$34), 0),SUMPRODUCT('Staging Table'!BY50:CV50,LS_Demand_Rates_Restatement!$C$4:$Z$4)-IF(Init!$R$12="No", 'Staging Table'!DU50*Rates_previous!$H$34, 0))</f>
        <v>-413571.71598301752</v>
      </c>
      <c r="G48" s="200">
        <f>IF(Init!$R$9="Yes",SUMPRODUCT('Staging Table'!AJ50:AU50,LS_Demand_Rates_Restatement!$C$10:$N$10),SUMPRODUCT(LS_Demand_Rates_Restatement!$C$10:$N$10,'Staging Table'!CW50:DH50))*1000</f>
        <v>252786.59322742146</v>
      </c>
      <c r="H48" s="201">
        <f>IF(Init!$R$9="Yes",'Staging Table'!BQ50,'Staging Table'!ED50)*IF(Init!$R$3=2022,Rates_previous!$C$88,Rates_previous!$D$88)</f>
        <v>0</v>
      </c>
      <c r="I48" s="199">
        <v>0</v>
      </c>
      <c r="J48" s="201">
        <f>IF(Init!$R$9="Yes",IF('Staging Table'!D50=1,'Staging Table'!H50*-1,'Staging Table'!H50*SUM(D48:I48)*(-1)),IF('Staging Table'!D50=1,'Staging Table'!BU50*-1,'Staging Table'!BU50*SUM(D48:I48)*(-1)))</f>
        <v>-870272.30086916429</v>
      </c>
      <c r="K48" s="199">
        <f>IF(Init!$R$9="Yes",'Staging Table'!K50,'Staging Table'!BX50)*(-1)*Rates_previous!$H$32</f>
        <v>-1467749.9858000001</v>
      </c>
      <c r="L48" s="199">
        <f>IF('Staging Table'!C50=1,"",SUM(D48:K48))</f>
        <v>8187767.515812261</v>
      </c>
      <c r="M48" s="199">
        <f>IF('Staging Table'!C50=1,"",IF(Init!$R$9="Yes",(RT1SC!$C$3*'Staging Table'!E50*'Staging Table'!$F$2)+SUM('Staging Table'!L50:AI50)-IF(Init!$R$12="No",'Staging Table'!BH50, 0),X48))</f>
        <v>314965.8</v>
      </c>
      <c r="N48" s="297">
        <f>IF('Staging Table'!C50=1,"",IF(M48=0, 0, L48/M48))</f>
        <v>25.995735142711563</v>
      </c>
      <c r="O48" s="199">
        <f>'Staging Table'!BR50*Rates_current!$E$76*100*12</f>
        <v>13293693.881279999</v>
      </c>
      <c r="P48" s="199">
        <f>'Staging Table'!BS50*Rates_current!$E$77*100*12</f>
        <v>-2336209.7486399999</v>
      </c>
      <c r="Q48" s="200">
        <f>SUMPRODUCT('Staging Table'!BY50:CV50, LS_Demand_Rates_Restatement!$C$5:$Z$5)-IF(Init!$R$12="No",('Staging Table'!DU50*Rates_current!$H$34), 0)</f>
        <v>-55098.584228425985</v>
      </c>
      <c r="R48" s="200">
        <f>SUMPRODUCT('Staging Table'!CW50:DH50, LS_Demand_Rates_Restatement!$C$11:$N$11)*1000</f>
        <v>277915.47811292735</v>
      </c>
      <c r="S48" s="201">
        <f>'Staging Table'!ED50*IF(Init!$R$15="Yes",IF(Init!$R$6=2024,Rates_current!$C$88,Rates_current!$D$88),Rates_current!$H$33)</f>
        <v>0</v>
      </c>
      <c r="T48" s="201">
        <v>0</v>
      </c>
      <c r="U48" s="201">
        <f>IF('Staging Table'!D50=1, 'Staging Table'!BU50*-1,SUM(O48:T48)*'Staging Table'!BU50*-1)</f>
        <v>-903752.61705640948</v>
      </c>
      <c r="V48" s="199">
        <f>'Staging Table'!BX50*Rates_current!$H$32*-1</f>
        <v>-1557969.48034</v>
      </c>
      <c r="W48" s="199">
        <f>IF('Staging Table'!C50=1,"",SUM(O48:V48))</f>
        <v>8718578.9291280918</v>
      </c>
      <c r="X48" s="199">
        <f>IF('Staging Table'!C50=1,"",(RT1SC!$C$4*'Staging Table'!BR50*'Staging Table'!$BS$2)+SUM('Staging Table'!BY50:CV50)-IF(Init!$R$12="No",'Staging Table'!DU50, 0))</f>
        <v>331095.31199999998</v>
      </c>
      <c r="Y48" s="297">
        <f>IF('Staging Table'!C50=1,"",IF(X48=0, 0, W48/X48))</f>
        <v>26.332535113418015</v>
      </c>
      <c r="Z48" s="76">
        <f ca="1">IF('Staging Table'!C50=1,"",(Y48/N48-1)+(RAND()/100000000000000))</f>
        <v>1.2955970233490511E-2</v>
      </c>
      <c r="AA48" s="295">
        <f t="shared" ca="1" si="0"/>
        <v>14</v>
      </c>
      <c r="AD48" s="204"/>
      <c r="AE48" s="204"/>
      <c r="AF48" s="208"/>
      <c r="AG48" s="204"/>
      <c r="AH48" s="204"/>
    </row>
    <row r="49" spans="2:34">
      <c r="B49" s="3">
        <v>10116</v>
      </c>
      <c r="C49" s="4" t="s">
        <v>52</v>
      </c>
      <c r="D49" s="199">
        <f>IF(Init!$R$9="Yes",'Staging Table'!E51,'Staging Table'!BR51)*Rates_previous!$E$76*100*12</f>
        <v>77218.845781933429</v>
      </c>
      <c r="E49" s="199">
        <f>IF(Init!$R$9="Yes",'Staging Table'!F51,'Staging Table'!BS51)*Rates_previous!$E$77*100*12</f>
        <v>-12749.016724765848</v>
      </c>
      <c r="F49" s="200">
        <f>IF(Init!$R$9="Yes",SUMPRODUCT('Staging Table'!L51:AI51,LS_Demand_Rates_Restatement!$C$4:$Z$4)-IF(Init!$R$12="No",('Staging Table'!BH51*Rates_previous!$H$34), 0),SUMPRODUCT('Staging Table'!BY51:CV51,LS_Demand_Rates_Restatement!$C$4:$Z$4)-IF(Init!$R$12="No", 'Staging Table'!DU51*Rates_previous!$H$34, 0))</f>
        <v>-81.923797743929754</v>
      </c>
      <c r="G49" s="200">
        <f>IF(Init!$R$9="Yes",SUMPRODUCT('Staging Table'!AJ51:AU51,LS_Demand_Rates_Restatement!$C$10:$N$10),SUMPRODUCT(LS_Demand_Rates_Restatement!$C$10:$N$10,'Staging Table'!CW51:DH51))*1000</f>
        <v>0</v>
      </c>
      <c r="H49" s="201">
        <f>IF(Init!$R$9="Yes",'Staging Table'!BQ51,'Staging Table'!ED51)*IF(Init!$R$3=2022,Rates_previous!$C$88,Rates_previous!$D$88)</f>
        <v>0</v>
      </c>
      <c r="I49" s="199">
        <v>0</v>
      </c>
      <c r="J49" s="201">
        <f>IF(Init!$R$9="Yes",IF('Staging Table'!D51=1,'Staging Table'!H51*-1,'Staging Table'!H51*SUM(D49:I49)*(-1)),IF('Staging Table'!D51=1,'Staging Table'!BU51*-1,'Staging Table'!BU51*SUM(D49:I49)*(-1)))</f>
        <v>0</v>
      </c>
      <c r="K49" s="199">
        <f>IF(Init!$R$9="Yes",'Staging Table'!K51,'Staging Table'!BX51)*(-1)*Rates_previous!$H$32</f>
        <v>0</v>
      </c>
      <c r="L49" s="199">
        <f>IF('Staging Table'!C51=1,"",SUM(D49:K49))</f>
        <v>64387.905259423656</v>
      </c>
      <c r="M49" s="199">
        <f>IF('Staging Table'!C51=1,"",IF(Init!$R$9="Yes",(RT1SC!$C$3*'Staging Table'!E51*'Staging Table'!$F$2)+SUM('Staging Table'!L51:AI51)-IF(Init!$R$12="No",'Staging Table'!BH51, 0),X49))</f>
        <v>1900.92</v>
      </c>
      <c r="N49" s="297">
        <f>IF('Staging Table'!C51=1,"",IF(M49=0, 0, L49/M49))</f>
        <v>33.871970024737315</v>
      </c>
      <c r="O49" s="199">
        <f>'Staging Table'!BR51*Rates_current!$E$76*100*12</f>
        <v>80463.666959999988</v>
      </c>
      <c r="P49" s="199">
        <f>'Staging Table'!BS51*Rates_current!$E$77*100*12</f>
        <v>-14140.539480000001</v>
      </c>
      <c r="Q49" s="200">
        <f>SUMPRODUCT('Staging Table'!BY51:CV51, LS_Demand_Rates_Restatement!$C$5:$Z$5)-IF(Init!$R$12="No",('Staging Table'!DU51*Rates_current!$H$34), 0)</f>
        <v>-591.47051697949314</v>
      </c>
      <c r="R49" s="200">
        <f>SUMPRODUCT('Staging Table'!CW51:DH51, LS_Demand_Rates_Restatement!$C$11:$N$11)*1000</f>
        <v>0</v>
      </c>
      <c r="S49" s="201">
        <f>'Staging Table'!ED51*IF(Init!$R$15="Yes",IF(Init!$R$6=2024,Rates_current!$C$88,Rates_current!$D$88),Rates_current!$H$33)</f>
        <v>0</v>
      </c>
      <c r="T49" s="201">
        <v>0</v>
      </c>
      <c r="U49" s="201">
        <f>IF('Staging Table'!D51=1, 'Staging Table'!BU51*-1,SUM(O49:T49)*'Staging Table'!BU51*-1)</f>
        <v>0</v>
      </c>
      <c r="V49" s="199">
        <f>'Staging Table'!BX51*Rates_current!$H$32*-1</f>
        <v>0</v>
      </c>
      <c r="W49" s="199">
        <f>IF('Staging Table'!C51=1,"",SUM(O49:V49))</f>
        <v>65731.65696302049</v>
      </c>
      <c r="X49" s="199">
        <f>IF('Staging Table'!C51=1,"",(RT1SC!$C$4*'Staging Table'!BR51*'Staging Table'!$BS$2)+SUM('Staging Table'!BY51:CV51)-IF(Init!$R$12="No",'Staging Table'!DU51, 0))</f>
        <v>2002.7520000000002</v>
      </c>
      <c r="Y49" s="297">
        <f>IF('Staging Table'!C51=1,"",IF(X49=0, 0, W49/X49))</f>
        <v>32.820667243383348</v>
      </c>
      <c r="Z49" s="76">
        <f ca="1">IF('Staging Table'!C51=1,"",(Y49/N49-1)+(RAND()/100000000000000))</f>
        <v>-3.1037544630146345E-2</v>
      </c>
      <c r="AA49" s="295">
        <f t="shared" ca="1" si="0"/>
        <v>116</v>
      </c>
      <c r="AD49" s="204"/>
      <c r="AE49" s="204"/>
      <c r="AF49" s="208"/>
      <c r="AG49" s="204"/>
      <c r="AH49" s="204"/>
    </row>
    <row r="50" spans="2:34">
      <c r="B50" s="3">
        <v>10118</v>
      </c>
      <c r="C50" s="4" t="s">
        <v>53</v>
      </c>
      <c r="D50" s="199">
        <f>IF(Init!$R$9="Yes",'Staging Table'!E52,'Staging Table'!BR52)*Rates_previous!$E$76*100*12</f>
        <v>15509956.738485491</v>
      </c>
      <c r="E50" s="199">
        <f>IF(Init!$R$9="Yes",'Staging Table'!F52,'Staging Table'!BS52)*Rates_previous!$E$77*100*12</f>
        <v>-2560731.0735743977</v>
      </c>
      <c r="F50" s="200">
        <f>IF(Init!$R$9="Yes",SUMPRODUCT('Staging Table'!L52:AI52,LS_Demand_Rates_Restatement!$C$4:$Z$4)-IF(Init!$R$12="No",('Staging Table'!BH52*Rates_previous!$H$34), 0),SUMPRODUCT('Staging Table'!BY52:CV52,LS_Demand_Rates_Restatement!$C$4:$Z$4)-IF(Init!$R$12="No", 'Staging Table'!DU52*Rates_previous!$H$34, 0))</f>
        <v>0</v>
      </c>
      <c r="G50" s="200">
        <f>IF(Init!$R$9="Yes",SUMPRODUCT('Staging Table'!AJ52:AU52,LS_Demand_Rates_Restatement!$C$10:$N$10),SUMPRODUCT(LS_Demand_Rates_Restatement!$C$10:$N$10,'Staging Table'!CW52:DH52))*1000</f>
        <v>0</v>
      </c>
      <c r="H50" s="201">
        <f>IF(Init!$R$9="Yes",'Staging Table'!BQ52,'Staging Table'!ED52)*IF(Init!$R$3=2022,Rates_previous!$C$88,Rates_previous!$D$88)</f>
        <v>0</v>
      </c>
      <c r="I50" s="199">
        <v>0</v>
      </c>
      <c r="J50" s="201">
        <f>IF(Init!$R$9="Yes",IF('Staging Table'!D52=1,'Staging Table'!H52*-1,'Staging Table'!H52*SUM(D50:I50)*(-1)),IF('Staging Table'!D52=1,'Staging Table'!BU52*-1,'Staging Table'!BU52*SUM(D50:I50)*(-1)))</f>
        <v>-959926.09853985941</v>
      </c>
      <c r="K50" s="199">
        <f>IF(Init!$R$9="Yes",'Staging Table'!K52,'Staging Table'!BX52)*(-1)*Rates_previous!$H$32</f>
        <v>0</v>
      </c>
      <c r="L50" s="199" t="str">
        <f>IF('Staging Table'!C52=1,"",SUM(D50:K50))</f>
        <v/>
      </c>
      <c r="M50" s="199" t="str">
        <f>IF('Staging Table'!C52=1,"",IF(Init!$R$9="Yes",(RT1SC!$C$3*'Staging Table'!E52*'Staging Table'!$F$2)+SUM('Staging Table'!L52:AI52)-IF(Init!$R$12="No",'Staging Table'!BH52, 0),X50))</f>
        <v/>
      </c>
      <c r="N50" s="297" t="str">
        <f>IF('Staging Table'!C52=1,"",IF(M50=0, 0, L50/M50))</f>
        <v/>
      </c>
      <c r="O50" s="199">
        <f>'Staging Table'!BR52*Rates_current!$E$76*100*12</f>
        <v>16108427.543760002</v>
      </c>
      <c r="P50" s="199">
        <f>'Staging Table'!BS52*Rates_current!$E$77*100*12</f>
        <v>-2830865.9578799997</v>
      </c>
      <c r="Q50" s="200">
        <f>SUMPRODUCT('Staging Table'!BY52:CV52, LS_Demand_Rates_Restatement!$C$5:$Z$5)-IF(Init!$R$12="No",('Staging Table'!DU52*Rates_current!$H$34), 0)</f>
        <v>0</v>
      </c>
      <c r="R50" s="200">
        <f>SUMPRODUCT('Staging Table'!CW52:DH52, LS_Demand_Rates_Restatement!$C$11:$N$11)*1000</f>
        <v>0</v>
      </c>
      <c r="S50" s="201">
        <f>'Staging Table'!ED52*IF(Init!$R$15="Yes",IF(Init!$R$6=2024,Rates_current!$C$88,Rates_current!$D$88),Rates_current!$H$33)</f>
        <v>0</v>
      </c>
      <c r="T50" s="201">
        <v>0</v>
      </c>
      <c r="U50" s="201">
        <f>IF('Staging Table'!D52=1, 'Staging Table'!BU52*-1,SUM(O50:T50)*'Staging Table'!BU52*-1)</f>
        <v>-929988.91398162278</v>
      </c>
      <c r="V50" s="199">
        <f>'Staging Table'!BX52*Rates_current!$H$32*-1</f>
        <v>0</v>
      </c>
      <c r="W50" s="199" t="str">
        <f>IF('Staging Table'!C52=1,"",SUM(O50:V50))</f>
        <v/>
      </c>
      <c r="X50" s="199" t="str">
        <f>IF('Staging Table'!C52=1,"",(RT1SC!$C$4*'Staging Table'!BR52*'Staging Table'!$BS$2)+SUM('Staging Table'!BY52:CV52)-IF(Init!$R$12="No",'Staging Table'!DU52, 0))</f>
        <v/>
      </c>
      <c r="Y50" s="297" t="str">
        <f>IF('Staging Table'!C52=1,"",IF(X50=0, 0, W50/X50))</f>
        <v/>
      </c>
      <c r="Z50" s="76" t="str">
        <f ca="1">IF('Staging Table'!C52=1,"",(Y50/N50-1)+(RAND()/100000000000000))</f>
        <v/>
      </c>
      <c r="AA50" s="53" t="str">
        <f t="shared" ca="1" si="0"/>
        <v/>
      </c>
      <c r="AD50" s="204"/>
      <c r="AE50" s="204"/>
      <c r="AF50" s="208"/>
      <c r="AG50" s="204"/>
      <c r="AH50" s="204"/>
    </row>
    <row r="51" spans="2:34">
      <c r="B51" s="3">
        <v>10121</v>
      </c>
      <c r="C51" s="4" t="s">
        <v>54</v>
      </c>
      <c r="D51" s="199">
        <f>IF(Init!$R$9="Yes",'Staging Table'!E53,'Staging Table'!BR53)*Rates_previous!$E$76*100*12</f>
        <v>13850950.604574263</v>
      </c>
      <c r="E51" s="199">
        <f>IF(Init!$R$9="Yes",'Staging Table'!F53,'Staging Table'!BS53)*Rates_previous!$E$77*100*12</f>
        <v>-2286825.1800901429</v>
      </c>
      <c r="F51" s="200">
        <f>IF(Init!$R$9="Yes",SUMPRODUCT('Staging Table'!L53:AI53,LS_Demand_Rates_Restatement!$C$4:$Z$4)-IF(Init!$R$12="No",('Staging Table'!BH53*Rates_previous!$H$34), 0),SUMPRODUCT('Staging Table'!BY53:CV53,LS_Demand_Rates_Restatement!$C$4:$Z$4)-IF(Init!$R$12="No", 'Staging Table'!DU53*Rates_previous!$H$34, 0))</f>
        <v>0</v>
      </c>
      <c r="G51" s="200">
        <f>IF(Init!$R$9="Yes",SUMPRODUCT('Staging Table'!AJ53:AU53,LS_Demand_Rates_Restatement!$C$10:$N$10),SUMPRODUCT(LS_Demand_Rates_Restatement!$C$10:$N$10,'Staging Table'!CW53:DH53))*1000</f>
        <v>0</v>
      </c>
      <c r="H51" s="201">
        <f>IF(Init!$R$9="Yes",'Staging Table'!BQ53,'Staging Table'!ED53)*IF(Init!$R$3=2022,Rates_previous!$C$88,Rates_previous!$D$88)</f>
        <v>-8.496518614075292</v>
      </c>
      <c r="I51" s="199">
        <v>0</v>
      </c>
      <c r="J51" s="201">
        <f>IF(Init!$R$9="Yes",IF('Staging Table'!D53=1,'Staging Table'!H53*-1,'Staging Table'!H53*SUM(D51:I51)*(-1)),IF('Staging Table'!D53=1,'Staging Table'!BU53*-1,'Staging Table'!BU53*SUM(D51:I51)*(-1)))</f>
        <v>-693847.01567793044</v>
      </c>
      <c r="K51" s="199">
        <f>IF(Init!$R$9="Yes",'Staging Table'!K53,'Staging Table'!BX53)*(-1)*Rates_previous!$H$32</f>
        <v>0</v>
      </c>
      <c r="L51" s="199" t="str">
        <f>IF('Staging Table'!C53=1,"",SUM(D51:K51))</f>
        <v/>
      </c>
      <c r="M51" s="199" t="str">
        <f>IF('Staging Table'!C53=1,"",IF(Init!$R$9="Yes",(RT1SC!$C$3*'Staging Table'!E53*'Staging Table'!$F$2)+SUM('Staging Table'!L53:AI53)-IF(Init!$R$12="No",'Staging Table'!BH53, 0),X51))</f>
        <v/>
      </c>
      <c r="N51" s="297" t="str">
        <f>IF('Staging Table'!C53=1,"",IF(M51=0, 0, L51/M51))</f>
        <v/>
      </c>
      <c r="O51" s="199">
        <f>'Staging Table'!BR53*Rates_current!$E$76*100*12</f>
        <v>13928933.357279997</v>
      </c>
      <c r="P51" s="199">
        <f>'Staging Table'!BS53*Rates_current!$E$77*100*12</f>
        <v>-2447845.5866399999</v>
      </c>
      <c r="Q51" s="200">
        <f>SUMPRODUCT('Staging Table'!BY53:CV53, LS_Demand_Rates_Restatement!$C$5:$Z$5)-IF(Init!$R$12="No",('Staging Table'!DU53*Rates_current!$H$34), 0)</f>
        <v>0</v>
      </c>
      <c r="R51" s="200">
        <f>SUMPRODUCT('Staging Table'!CW53:DH53, LS_Demand_Rates_Restatement!$C$11:$N$11)*1000</f>
        <v>0</v>
      </c>
      <c r="S51" s="201">
        <f>'Staging Table'!ED53*IF(Init!$R$15="Yes",IF(Init!$R$6=2024,Rates_current!$C$88,Rates_current!$D$88),Rates_current!$H$33)</f>
        <v>-5.8561217757005943</v>
      </c>
      <c r="T51" s="201">
        <v>0</v>
      </c>
      <c r="U51" s="201">
        <f>IF('Staging Table'!D53=1, 'Staging Table'!BU53*-1,SUM(O51:T51)*'Staging Table'!BU53*-1)</f>
        <v>-688864.91487109323</v>
      </c>
      <c r="V51" s="199">
        <f>'Staging Table'!BX53*Rates_current!$H$32*-1</f>
        <v>0</v>
      </c>
      <c r="W51" s="199" t="str">
        <f>IF('Staging Table'!C53=1,"",SUM(O51:V51))</f>
        <v/>
      </c>
      <c r="X51" s="199" t="str">
        <f>IF('Staging Table'!C53=1,"",(RT1SC!$C$4*'Staging Table'!BR53*'Staging Table'!$BS$2)+SUM('Staging Table'!BY53:CV53)-IF(Init!$R$12="No",'Staging Table'!DU53, 0))</f>
        <v/>
      </c>
      <c r="Y51" s="297" t="str">
        <f>IF('Staging Table'!C53=1,"",IF(X51=0, 0, W51/X51))</f>
        <v/>
      </c>
      <c r="Z51" s="76" t="str">
        <f ca="1">IF('Staging Table'!C53=1,"",(Y51/N51-1)+(RAND()/100000000000000))</f>
        <v/>
      </c>
      <c r="AA51" s="53" t="str">
        <f t="shared" ca="1" si="0"/>
        <v/>
      </c>
      <c r="AD51" s="204"/>
      <c r="AE51" s="204"/>
      <c r="AF51" s="208"/>
      <c r="AG51" s="204"/>
      <c r="AH51" s="204"/>
    </row>
    <row r="52" spans="2:34">
      <c r="B52" s="3">
        <v>10123</v>
      </c>
      <c r="C52" s="4" t="s">
        <v>55</v>
      </c>
      <c r="D52" s="199">
        <f>IF(Init!$R$9="Yes",'Staging Table'!E54,'Staging Table'!BR54)*Rates_previous!$E$76*100*12</f>
        <v>186498620.59841356</v>
      </c>
      <c r="E52" s="199">
        <f>IF(Init!$R$9="Yes",'Staging Table'!F54,'Staging Table'!BS54)*Rates_previous!$E$77*100*12</f>
        <v>-15000010.041079866</v>
      </c>
      <c r="F52" s="200">
        <f>IF(Init!$R$9="Yes",SUMPRODUCT('Staging Table'!L54:AI54,LS_Demand_Rates_Restatement!$C$4:$Z$4)-IF(Init!$R$12="No",('Staging Table'!BH54*Rates_previous!$H$34), 0),SUMPRODUCT('Staging Table'!BY54:CV54,LS_Demand_Rates_Restatement!$C$4:$Z$4)-IF(Init!$R$12="No", 'Staging Table'!DU54*Rates_previous!$H$34, 0))</f>
        <v>-389750.96235913323</v>
      </c>
      <c r="G52" s="200">
        <f>IF(Init!$R$9="Yes",SUMPRODUCT('Staging Table'!AJ54:AU54,LS_Demand_Rates_Restatement!$C$10:$N$10),SUMPRODUCT(LS_Demand_Rates_Restatement!$C$10:$N$10,'Staging Table'!CW54:DH54))*1000</f>
        <v>0</v>
      </c>
      <c r="H52" s="201">
        <f>IF(Init!$R$9="Yes",'Staging Table'!BQ54,'Staging Table'!ED54)*IF(Init!$R$3=2022,Rates_previous!$C$88,Rates_previous!$D$88)</f>
        <v>0</v>
      </c>
      <c r="I52" s="199">
        <v>0</v>
      </c>
      <c r="J52" s="201">
        <f>IF(Init!$R$9="Yes",IF('Staging Table'!D54=1,'Staging Table'!H54*-1,'Staging Table'!H54*SUM(D52:I52)*(-1)),IF('Staging Table'!D54=1,'Staging Table'!BU54*-1,'Staging Table'!BU54*SUM(D52:I52)*(-1)))</f>
        <v>0</v>
      </c>
      <c r="K52" s="199">
        <f>IF(Init!$R$9="Yes",'Staging Table'!K54,'Staging Table'!BX54)*(-1)*Rates_previous!$H$32</f>
        <v>0</v>
      </c>
      <c r="L52" s="199">
        <f>IF('Staging Table'!C54=1,"",SUM(D52:K52))</f>
        <v>171108859.59497455</v>
      </c>
      <c r="M52" s="199">
        <f>IF('Staging Table'!C54=1,"",IF(Init!$R$9="Yes",(RT1SC!$C$3*'Staging Table'!E54*'Staging Table'!$F$2)+SUM('Staging Table'!L54:AI54)-IF(Init!$R$12="No",'Staging Table'!BH54, 0),X52))</f>
        <v>4589206.5547577133</v>
      </c>
      <c r="N52" s="297">
        <f>IF('Staging Table'!C54=1,"",IF(M52=0, 0, L52/M52))</f>
        <v>37.285063889221306</v>
      </c>
      <c r="O52" s="199">
        <f>'Staging Table'!BR54*Rates_current!$E$76*100*12</f>
        <v>187694332.53048003</v>
      </c>
      <c r="P52" s="199">
        <f>'Staging Table'!BS54*Rates_current!$E$77*100*12</f>
        <v>-15528063.499440003</v>
      </c>
      <c r="Q52" s="200">
        <f>SUMPRODUCT('Staging Table'!BY54:CV54, LS_Demand_Rates_Restatement!$C$5:$Z$5)-IF(Init!$R$12="No",('Staging Table'!DU54*Rates_current!$H$34), 0)</f>
        <v>21041.919822512078</v>
      </c>
      <c r="R52" s="200">
        <f>SUMPRODUCT('Staging Table'!CW54:DH54, LS_Demand_Rates_Restatement!$C$11:$N$11)*1000</f>
        <v>0</v>
      </c>
      <c r="S52" s="201">
        <f>'Staging Table'!ED54*IF(Init!$R$15="Yes",IF(Init!$R$6=2024,Rates_current!$C$88,Rates_current!$D$88),Rates_current!$H$33)</f>
        <v>0</v>
      </c>
      <c r="T52" s="201">
        <v>0</v>
      </c>
      <c r="U52" s="201">
        <f>IF('Staging Table'!D54=1, 'Staging Table'!BU54*-1,SUM(O52:T52)*'Staging Table'!BU54*-1)</f>
        <v>0</v>
      </c>
      <c r="V52" s="199">
        <f>'Staging Table'!BX54*Rates_current!$H$32*-1</f>
        <v>0</v>
      </c>
      <c r="W52" s="199">
        <f>IF('Staging Table'!C54=1,"",SUM(O52:V52))</f>
        <v>172187310.95086253</v>
      </c>
      <c r="X52" s="199">
        <f>IF('Staging Table'!C54=1,"",(RT1SC!$C$4*'Staging Table'!BR54*'Staging Table'!$BS$2)+SUM('Staging Table'!BY54:CV54)-IF(Init!$R$12="No",'Staging Table'!DU54, 0))</f>
        <v>4674748.2114282576</v>
      </c>
      <c r="Y52" s="297">
        <f>IF('Staging Table'!C54=1,"",IF(X52=0, 0, W52/X52))</f>
        <v>36.833494161229872</v>
      </c>
      <c r="Z52" s="76">
        <f ca="1">IF('Staging Table'!C54=1,"",(Y52/N52-1)+(RAND()/100000000000000))</f>
        <v>-1.211127676575976E-2</v>
      </c>
      <c r="AA52" s="53">
        <f t="shared" ca="1" si="0"/>
        <v>80</v>
      </c>
      <c r="AD52" s="204"/>
      <c r="AE52" s="204"/>
      <c r="AF52" s="208"/>
      <c r="AG52" s="204"/>
      <c r="AH52" s="204"/>
    </row>
    <row r="53" spans="2:34">
      <c r="B53" s="3">
        <v>10136</v>
      </c>
      <c r="C53" s="4" t="s">
        <v>56</v>
      </c>
      <c r="D53" s="199">
        <f>IF(Init!$R$9="Yes",'Staging Table'!E55,'Staging Table'!BR55)*Rates_previous!$E$76*100*12</f>
        <v>6295014.6017880533</v>
      </c>
      <c r="E53" s="199">
        <f>IF(Init!$R$9="Yes",'Staging Table'!F55,'Staging Table'!BS55)*Rates_previous!$E$77*100*12</f>
        <v>-1039322.0156059118</v>
      </c>
      <c r="F53" s="200">
        <f>IF(Init!$R$9="Yes",SUMPRODUCT('Staging Table'!L55:AI55,LS_Demand_Rates_Restatement!$C$4:$Z$4)-IF(Init!$R$12="No",('Staging Table'!BH55*Rates_previous!$H$34), 0),SUMPRODUCT('Staging Table'!BY55:CV55,LS_Demand_Rates_Restatement!$C$4:$Z$4)-IF(Init!$R$12="No", 'Staging Table'!DU55*Rates_previous!$H$34, 0))</f>
        <v>0</v>
      </c>
      <c r="G53" s="200">
        <f>IF(Init!$R$9="Yes",SUMPRODUCT('Staging Table'!AJ55:AU55,LS_Demand_Rates_Restatement!$C$10:$N$10),SUMPRODUCT(LS_Demand_Rates_Restatement!$C$10:$N$10,'Staging Table'!CW55:DH55))*1000</f>
        <v>0</v>
      </c>
      <c r="H53" s="201">
        <f>IF(Init!$R$9="Yes",'Staging Table'!BQ55,'Staging Table'!ED55)*IF(Init!$R$3=2022,Rates_previous!$C$88,Rates_previous!$D$88)</f>
        <v>0</v>
      </c>
      <c r="I53" s="199">
        <v>0</v>
      </c>
      <c r="J53" s="201">
        <f>IF(Init!$R$9="Yes",IF('Staging Table'!D55=1,'Staging Table'!H55*-1,'Staging Table'!H55*SUM(D53:I53)*(-1)),IF('Staging Table'!D55=1,'Staging Table'!BU55*-1,'Staging Table'!BU55*SUM(D53:I53)*(-1)))</f>
        <v>-379828.90320338338</v>
      </c>
      <c r="K53" s="199">
        <f>IF(Init!$R$9="Yes",'Staging Table'!K55,'Staging Table'!BX55)*(-1)*Rates_previous!$H$32</f>
        <v>0</v>
      </c>
      <c r="L53" s="199" t="str">
        <f>IF('Staging Table'!C55=1,"",SUM(D53:K53))</f>
        <v/>
      </c>
      <c r="M53" s="199" t="str">
        <f>IF('Staging Table'!C55=1,"",IF(Init!$R$9="Yes",(RT1SC!$C$3*'Staging Table'!E55*'Staging Table'!$F$2)+SUM('Staging Table'!L55:AI55)-IF(Init!$R$12="No",'Staging Table'!BH55, 0),X53))</f>
        <v/>
      </c>
      <c r="N53" s="297" t="str">
        <f>IF('Staging Table'!C55=1,"",IF(M53=0, 0, L53/M53))</f>
        <v/>
      </c>
      <c r="O53" s="199">
        <f>'Staging Table'!BR55*Rates_current!$E$76*100*12</f>
        <v>6487912.5148800015</v>
      </c>
      <c r="P53" s="199">
        <f>'Staging Table'!BS55*Rates_current!$E$77*100*12</f>
        <v>-1140174.02544</v>
      </c>
      <c r="Q53" s="200">
        <f>SUMPRODUCT('Staging Table'!BY55:CV55, LS_Demand_Rates_Restatement!$C$5:$Z$5)-IF(Init!$R$12="No",('Staging Table'!DU55*Rates_current!$H$34), 0)</f>
        <v>0</v>
      </c>
      <c r="R53" s="200">
        <f>SUMPRODUCT('Staging Table'!CW55:DH55, LS_Demand_Rates_Restatement!$C$11:$N$11)*1000</f>
        <v>0</v>
      </c>
      <c r="S53" s="201">
        <f>'Staging Table'!ED55*IF(Init!$R$15="Yes",IF(Init!$R$6=2024,Rates_current!$C$88,Rates_current!$D$88),Rates_current!$H$33)</f>
        <v>10.179475606172055</v>
      </c>
      <c r="T53" s="201">
        <v>0</v>
      </c>
      <c r="U53" s="201">
        <f>IF('Staging Table'!D55=1, 'Staging Table'!BU55*-1,SUM(O53:T53)*'Staging Table'!BU55*-1)</f>
        <v>-374342.40682409261</v>
      </c>
      <c r="V53" s="199">
        <f>'Staging Table'!BX55*Rates_current!$H$32*-1</f>
        <v>0</v>
      </c>
      <c r="W53" s="199" t="str">
        <f>IF('Staging Table'!C55=1,"",SUM(O53:V53))</f>
        <v/>
      </c>
      <c r="X53" s="199" t="str">
        <f>IF('Staging Table'!C55=1,"",(RT1SC!$C$4*'Staging Table'!BR55*'Staging Table'!$BS$2)+SUM('Staging Table'!BY55:CV55)-IF(Init!$R$12="No",'Staging Table'!DU55, 0))</f>
        <v/>
      </c>
      <c r="Y53" s="297" t="str">
        <f>IF('Staging Table'!C55=1,"",IF(X53=0, 0, W53/X53))</f>
        <v/>
      </c>
      <c r="Z53" s="76" t="str">
        <f ca="1">IF('Staging Table'!C55=1,"",(Y53/N53-1)+(RAND()/100000000000000))</f>
        <v/>
      </c>
      <c r="AA53" s="53" t="str">
        <f t="shared" ca="1" si="0"/>
        <v/>
      </c>
      <c r="AD53" s="204"/>
      <c r="AE53" s="204"/>
      <c r="AF53" s="208"/>
      <c r="AG53" s="204"/>
      <c r="AH53" s="204"/>
    </row>
    <row r="54" spans="2:34">
      <c r="B54" s="3">
        <v>10142</v>
      </c>
      <c r="C54" s="4" t="s">
        <v>57</v>
      </c>
      <c r="D54" s="199">
        <f>IF(Init!$R$9="Yes",'Staging Table'!E56,'Staging Table'!BR56)*Rates_previous!$E$76*100*12</f>
        <v>912477.35465918249</v>
      </c>
      <c r="E54" s="199">
        <f>IF(Init!$R$9="Yes",'Staging Table'!F56,'Staging Table'!BS56)*Rates_previous!$E$77*100*12</f>
        <v>-150652.20073830453</v>
      </c>
      <c r="F54" s="200">
        <f>IF(Init!$R$9="Yes",SUMPRODUCT('Staging Table'!L56:AI56,LS_Demand_Rates_Restatement!$C$4:$Z$4)-IF(Init!$R$12="No",('Staging Table'!BH56*Rates_previous!$H$34), 0),SUMPRODUCT('Staging Table'!BY56:CV56,LS_Demand_Rates_Restatement!$C$4:$Z$4)-IF(Init!$R$12="No", 'Staging Table'!DU56*Rates_previous!$H$34, 0))</f>
        <v>-12669.951512947038</v>
      </c>
      <c r="G54" s="200">
        <f>IF(Init!$R$9="Yes",SUMPRODUCT('Staging Table'!AJ56:AU56,LS_Demand_Rates_Restatement!$C$10:$N$10),SUMPRODUCT(LS_Demand_Rates_Restatement!$C$10:$N$10,'Staging Table'!CW56:DH56))*1000</f>
        <v>66117.05096721866</v>
      </c>
      <c r="H54" s="201">
        <f>IF(Init!$R$9="Yes",'Staging Table'!BQ56,'Staging Table'!ED56)*IF(Init!$R$3=2022,Rates_previous!$C$88,Rates_previous!$D$88)</f>
        <v>0</v>
      </c>
      <c r="I54" s="199">
        <v>0</v>
      </c>
      <c r="J54" s="201">
        <f>IF(Init!$R$9="Yes",IF('Staging Table'!D56=1,'Staging Table'!H56*-1,'Staging Table'!H56*SUM(D54:I54)*(-1)),IF('Staging Table'!D56=1,'Staging Table'!BU56*-1,'Staging Table'!BU56*SUM(D54:I54)*(-1)))</f>
        <v>-23854.866133756881</v>
      </c>
      <c r="K54" s="199">
        <f>IF(Init!$R$9="Yes",'Staging Table'!K56,'Staging Table'!BX56)*(-1)*Rates_previous!$H$32</f>
        <v>-62887.375600000007</v>
      </c>
      <c r="L54" s="199">
        <f>IF('Staging Table'!C56=1,"",SUM(D54:K54))</f>
        <v>728530.01164139272</v>
      </c>
      <c r="M54" s="199">
        <f>IF('Staging Table'!C56=1,"",IF(Init!$R$9="Yes",(RT1SC!$C$3*'Staging Table'!E56*'Staging Table'!$F$2)+SUM('Staging Table'!L56:AI56)-IF(Init!$R$12="No",'Staging Table'!BH56, 0),X54))</f>
        <v>22451.88</v>
      </c>
      <c r="N54" s="297">
        <f>IF('Staging Table'!C56=1,"",IF(M54=0, 0, L54/M54))</f>
        <v>32.448508171315396</v>
      </c>
      <c r="O54" s="199">
        <f>'Staging Table'!BR56*Rates_current!$E$76*100*12</f>
        <v>947627.83007999999</v>
      </c>
      <c r="P54" s="199">
        <f>'Staging Table'!BS56*Rates_current!$E$77*100*12</f>
        <v>-166534.40304</v>
      </c>
      <c r="Q54" s="200">
        <f>SUMPRODUCT('Staging Table'!BY56:CV56, LS_Demand_Rates_Restatement!$C$5:$Z$5)-IF(Init!$R$12="No",('Staging Table'!DU56*Rates_current!$H$34), 0)</f>
        <v>17095.07490677468</v>
      </c>
      <c r="R54" s="200">
        <f>SUMPRODUCT('Staging Table'!CW56:DH56, LS_Demand_Rates_Restatement!$C$11:$N$11)*1000</f>
        <v>68564.015360844031</v>
      </c>
      <c r="S54" s="201">
        <f>'Staging Table'!ED56*IF(Init!$R$15="Yes",IF(Init!$R$6=2024,Rates_current!$C$88,Rates_current!$D$88),Rates_current!$H$33)</f>
        <v>0</v>
      </c>
      <c r="T54" s="201">
        <v>0</v>
      </c>
      <c r="U54" s="201">
        <f>IF('Staging Table'!D56=1, 'Staging Table'!BU56*-1,SUM(O54:T54)*'Staging Table'!BU56*-1)</f>
        <v>-26725.138094133312</v>
      </c>
      <c r="V54" s="199">
        <f>'Staging Table'!BX56*Rates_current!$H$32*-1</f>
        <v>-66752.929880000011</v>
      </c>
      <c r="W54" s="199">
        <f>IF('Staging Table'!C56=1,"",SUM(O54:V54))</f>
        <v>773274.44933348522</v>
      </c>
      <c r="X54" s="199">
        <f>IF('Staging Table'!C56=1,"",(RT1SC!$C$4*'Staging Table'!BR56*'Staging Table'!$BS$2)+SUM('Staging Table'!BY56:CV56)-IF(Init!$R$12="No",'Staging Table'!DU56, 0))</f>
        <v>23602.608</v>
      </c>
      <c r="Y54" s="297">
        <f>IF('Staging Table'!C56=1,"",IF(X54=0, 0, W54/X54))</f>
        <v>32.762245991353382</v>
      </c>
      <c r="Z54" s="76">
        <f ca="1">IF('Staging Table'!C56=1,"",(Y54/N54-1)+(RAND()/100000000000000))</f>
        <v>9.6687902686184383E-3</v>
      </c>
      <c r="AA54" s="53">
        <f t="shared" ca="1" si="0"/>
        <v>16</v>
      </c>
      <c r="AD54" s="204"/>
      <c r="AE54" s="204"/>
      <c r="AF54" s="208"/>
      <c r="AG54" s="204"/>
      <c r="AH54" s="204"/>
    </row>
    <row r="55" spans="2:34">
      <c r="B55" s="3">
        <v>10144</v>
      </c>
      <c r="C55" s="4" t="s">
        <v>58</v>
      </c>
      <c r="D55" s="199">
        <f>IF(Init!$R$9="Yes",'Staging Table'!E57,'Staging Table'!BR57)*Rates_previous!$E$76*100*12</f>
        <v>1143894.0819249148</v>
      </c>
      <c r="E55" s="199">
        <f>IF(Init!$R$9="Yes",'Staging Table'!F57,'Staging Table'!BS57)*Rates_previous!$E$77*100*12</f>
        <v>-188859.65769295997</v>
      </c>
      <c r="F55" s="200">
        <f>IF(Init!$R$9="Yes",SUMPRODUCT('Staging Table'!L57:AI57,LS_Demand_Rates_Restatement!$C$4:$Z$4)-IF(Init!$R$12="No",('Staging Table'!BH57*Rates_previous!$H$34), 0),SUMPRODUCT('Staging Table'!BY57:CV57,LS_Demand_Rates_Restatement!$C$4:$Z$4)-IF(Init!$R$12="No", 'Staging Table'!DU57*Rates_previous!$H$34, 0))</f>
        <v>23967.904144314118</v>
      </c>
      <c r="G55" s="200">
        <f>IF(Init!$R$9="Yes",SUMPRODUCT('Staging Table'!AJ57:AU57,LS_Demand_Rates_Restatement!$C$10:$N$10),SUMPRODUCT(LS_Demand_Rates_Restatement!$C$10:$N$10,'Staging Table'!CW57:DH57))*1000</f>
        <v>86129.382717663786</v>
      </c>
      <c r="H55" s="201">
        <f>IF(Init!$R$9="Yes",'Staging Table'!BQ57,'Staging Table'!ED57)*IF(Init!$R$3=2022,Rates_previous!$C$88,Rates_previous!$D$88)</f>
        <v>0</v>
      </c>
      <c r="I55" s="199">
        <v>0</v>
      </c>
      <c r="J55" s="201">
        <f>IF(Init!$R$9="Yes",IF('Staging Table'!D57=1,'Staging Table'!H57*-1,'Staging Table'!H57*SUM(D55:I55)*(-1)),IF('Staging Table'!D57=1,'Staging Table'!BU57*-1,'Staging Table'!BU57*SUM(D55:I55)*(-1)))</f>
        <v>0</v>
      </c>
      <c r="K55" s="199">
        <f>IF(Init!$R$9="Yes",'Staging Table'!K57,'Staging Table'!BX57)*(-1)*Rates_previous!$H$32</f>
        <v>0</v>
      </c>
      <c r="L55" s="199">
        <f>IF('Staging Table'!C57=1,"",SUM(D55:K55))</f>
        <v>1065131.7110939329</v>
      </c>
      <c r="M55" s="199">
        <f>IF('Staging Table'!C57=1,"",IF(Init!$R$9="Yes",(RT1SC!$C$3*'Staging Table'!E57*'Staging Table'!$F$2)+SUM('Staging Table'!L57:AI57)-IF(Init!$R$12="No",'Staging Table'!BH57, 0),X55))</f>
        <v>28145.88</v>
      </c>
      <c r="N55" s="297">
        <f>IF('Staging Table'!C57=1,"",IF(M55=0, 0, L55/M55))</f>
        <v>37.843254895349972</v>
      </c>
      <c r="O55" s="199">
        <f>'Staging Table'!BR57*Rates_current!$E$76*100*12</f>
        <v>1148662.4407199998</v>
      </c>
      <c r="P55" s="199">
        <f>'Staging Table'!BS57*Rates_current!$E$77*100*12</f>
        <v>-201863.86235999997</v>
      </c>
      <c r="Q55" s="200">
        <f>SUMPRODUCT('Staging Table'!BY57:CV57, LS_Demand_Rates_Restatement!$C$5:$Z$5)-IF(Init!$R$12="No",('Staging Table'!DU57*Rates_current!$H$34), 0)</f>
        <v>36581.38852770003</v>
      </c>
      <c r="R55" s="200">
        <f>SUMPRODUCT('Staging Table'!CW57:DH57, LS_Demand_Rates_Restatement!$C$11:$N$11)*1000</f>
        <v>85312.802363595096</v>
      </c>
      <c r="S55" s="201">
        <f>'Staging Table'!ED57*IF(Init!$R$15="Yes",IF(Init!$R$6=2024,Rates_current!$C$88,Rates_current!$D$88),Rates_current!$H$33)</f>
        <v>16.097277449092619</v>
      </c>
      <c r="T55" s="201">
        <v>0</v>
      </c>
      <c r="U55" s="201">
        <f>IF('Staging Table'!D57=1, 'Staging Table'!BU57*-1,SUM(O55:T55)*'Staging Table'!BU57*-1)</f>
        <v>0</v>
      </c>
      <c r="V55" s="199">
        <f>'Staging Table'!BX57*Rates_current!$H$32*-1</f>
        <v>0</v>
      </c>
      <c r="W55" s="199">
        <f>IF('Staging Table'!C57=1,"",SUM(O55:V55))</f>
        <v>1068708.8665287439</v>
      </c>
      <c r="X55" s="199">
        <f>IF('Staging Table'!C57=1,"",(RT1SC!$C$4*'Staging Table'!BR57*'Staging Table'!$BS$2)+SUM('Staging Table'!BY57:CV57)-IF(Init!$R$12="No",'Staging Table'!DU57, 0))</f>
        <v>28607.096131136837</v>
      </c>
      <c r="Y55" s="297">
        <f>IF('Staging Table'!C57=1,"",IF(X55=0, 0, W55/X55))</f>
        <v>37.358173707310634</v>
      </c>
      <c r="Z55" s="76">
        <f ca="1">IF('Staging Table'!C57=1,"",(Y55/N55-1)+(RAND()/100000000000000))</f>
        <v>-1.2818167712596605E-2</v>
      </c>
      <c r="AA55" s="53">
        <f t="shared" ca="1" si="0"/>
        <v>83</v>
      </c>
      <c r="AD55" s="204"/>
      <c r="AE55" s="204"/>
      <c r="AF55" s="208"/>
      <c r="AG55" s="204"/>
      <c r="AH55" s="204"/>
    </row>
    <row r="56" spans="2:34">
      <c r="B56" s="3">
        <v>10156</v>
      </c>
      <c r="C56" s="4" t="s">
        <v>59</v>
      </c>
      <c r="D56" s="199">
        <f>IF(Init!$R$9="Yes",'Staging Table'!E58,'Staging Table'!BR58)*Rates_previous!$E$76*100*12</f>
        <v>10947569.965189576</v>
      </c>
      <c r="E56" s="199">
        <f>IF(Init!$R$9="Yes",'Staging Table'!F58,'Staging Table'!BS58)*Rates_previous!$E$77*100*12</f>
        <v>-1807470.0698828753</v>
      </c>
      <c r="F56" s="200">
        <f>IF(Init!$R$9="Yes",SUMPRODUCT('Staging Table'!L58:AI58,LS_Demand_Rates_Restatement!$C$4:$Z$4)-IF(Init!$R$12="No",('Staging Table'!BH58*Rates_previous!$H$34), 0),SUMPRODUCT('Staging Table'!BY58:CV58,LS_Demand_Rates_Restatement!$C$4:$Z$4)-IF(Init!$R$12="No", 'Staging Table'!DU58*Rates_previous!$H$34, 0))</f>
        <v>228781.09562781977</v>
      </c>
      <c r="G56" s="200">
        <f>IF(Init!$R$9="Yes",SUMPRODUCT('Staging Table'!AJ58:AU58,LS_Demand_Rates_Restatement!$C$10:$N$10),SUMPRODUCT(LS_Demand_Rates_Restatement!$C$10:$N$10,'Staging Table'!CW58:DH58))*1000</f>
        <v>655641.61043895106</v>
      </c>
      <c r="H56" s="201">
        <f>IF(Init!$R$9="Yes",'Staging Table'!BQ58,'Staging Table'!ED58)*IF(Init!$R$3=2022,Rates_previous!$C$88,Rates_previous!$D$88)</f>
        <v>0</v>
      </c>
      <c r="I56" s="199">
        <v>0</v>
      </c>
      <c r="J56" s="201">
        <f>IF(Init!$R$9="Yes",IF('Staging Table'!D58=1,'Staging Table'!H58*-1,'Staging Table'!H58*SUM(D56:I56)*(-1)),IF('Staging Table'!D58=1,'Staging Table'!BU58*-1,'Staging Table'!BU58*SUM(D56:I56)*(-1)))</f>
        <v>0</v>
      </c>
      <c r="K56" s="199">
        <f>IF(Init!$R$9="Yes",'Staging Table'!K58,'Staging Table'!BX58)*(-1)*Rates_previous!$H$32</f>
        <v>0</v>
      </c>
      <c r="L56" s="199">
        <f>IF('Staging Table'!C58=1,"",SUM(D56:K56))</f>
        <v>10024522.601373471</v>
      </c>
      <c r="M56" s="199">
        <f>IF('Staging Table'!C58=1,"",IF(Init!$R$9="Yes",(RT1SC!$C$3*'Staging Table'!E58*'Staging Table'!$F$2)+SUM('Staging Table'!L58:AI58)-IF(Init!$R$12="No",'Staging Table'!BH58, 0),X56))</f>
        <v>269387.52000000002</v>
      </c>
      <c r="N56" s="297">
        <f>IF('Staging Table'!C58=1,"",IF(M56=0, 0, L56/M56))</f>
        <v>37.212275466114654</v>
      </c>
      <c r="O56" s="199">
        <f>'Staging Table'!BR58*Rates_current!$E$76*100*12</f>
        <v>11369790.16632</v>
      </c>
      <c r="P56" s="199">
        <f>'Staging Table'!BS58*Rates_current!$E$77*100*12</f>
        <v>-1998106.3851600001</v>
      </c>
      <c r="Q56" s="200">
        <f>SUMPRODUCT('Staging Table'!BY58:CV58, LS_Demand_Rates_Restatement!$C$5:$Z$5)-IF(Init!$R$12="No",('Staging Table'!DU58*Rates_current!$H$34), 0)</f>
        <v>353783.65456241032</v>
      </c>
      <c r="R56" s="200">
        <f>SUMPRODUCT('Staging Table'!CW58:DH58, LS_Demand_Rates_Restatement!$C$11:$N$11)*1000</f>
        <v>687047.24206247309</v>
      </c>
      <c r="S56" s="201">
        <f>'Staging Table'!ED58*IF(Init!$R$15="Yes",IF(Init!$R$6=2024,Rates_current!$C$88,Rates_current!$D$88),Rates_current!$H$33)</f>
        <v>0</v>
      </c>
      <c r="T56" s="201">
        <v>0</v>
      </c>
      <c r="U56" s="201">
        <f>IF('Staging Table'!D58=1, 'Staging Table'!BU58*-1,SUM(O56:T56)*'Staging Table'!BU58*-1)</f>
        <v>0</v>
      </c>
      <c r="V56" s="199">
        <f>'Staging Table'!BX58*Rates_current!$H$32*-1</f>
        <v>0</v>
      </c>
      <c r="W56" s="199">
        <f>IF('Staging Table'!C58=1,"",SUM(O56:V56))</f>
        <v>10412514.677784884</v>
      </c>
      <c r="X56" s="199">
        <f>IF('Staging Table'!C58=1,"",(RT1SC!$C$4*'Staging Table'!BR58*'Staging Table'!$BS$2)+SUM('Staging Table'!BY58:CV58)-IF(Init!$R$12="No",'Staging Table'!DU58, 0))</f>
        <v>283178.592</v>
      </c>
      <c r="Y56" s="297">
        <f>IF('Staging Table'!C58=1,"",IF(X56=0, 0, W56/X56))</f>
        <v>36.770133661039196</v>
      </c>
      <c r="Z56" s="76">
        <f ca="1">IF('Staging Table'!C58=1,"",(Y56/N56-1)+(RAND()/100000000000000))</f>
        <v>-1.1881611633183301E-2</v>
      </c>
      <c r="AA56" s="53">
        <f t="shared" ca="1" si="0"/>
        <v>76</v>
      </c>
      <c r="AD56" s="204"/>
      <c r="AE56" s="204"/>
      <c r="AF56" s="208"/>
      <c r="AG56" s="204"/>
      <c r="AH56" s="204"/>
    </row>
    <row r="57" spans="2:34">
      <c r="B57" s="3">
        <v>10157</v>
      </c>
      <c r="C57" s="4" t="s">
        <v>60</v>
      </c>
      <c r="D57" s="199">
        <f>IF(Init!$R$9="Yes",'Staging Table'!E59,'Staging Table'!BR59)*Rates_previous!$E$76*100*12</f>
        <v>16964884.494258754</v>
      </c>
      <c r="E57" s="199">
        <f>IF(Init!$R$9="Yes",'Staging Table'!F59,'Staging Table'!BS59)*Rates_previous!$E$77*100*12</f>
        <v>-1336785.8747772344</v>
      </c>
      <c r="F57" s="200">
        <f>IF(Init!$R$9="Yes",SUMPRODUCT('Staging Table'!L59:AI59,LS_Demand_Rates_Restatement!$C$4:$Z$4)-IF(Init!$R$12="No",('Staging Table'!BH59*Rates_previous!$H$34), 0),SUMPRODUCT('Staging Table'!BY59:CV59,LS_Demand_Rates_Restatement!$C$4:$Z$4)-IF(Init!$R$12="No", 'Staging Table'!DU59*Rates_previous!$H$34, 0))</f>
        <v>67489.956694142486</v>
      </c>
      <c r="G57" s="200">
        <f>IF(Init!$R$9="Yes",SUMPRODUCT('Staging Table'!AJ59:AU59,LS_Demand_Rates_Restatement!$C$10:$N$10),SUMPRODUCT(LS_Demand_Rates_Restatement!$C$10:$N$10,'Staging Table'!CW59:DH59))*1000</f>
        <v>0</v>
      </c>
      <c r="H57" s="201">
        <f>IF(Init!$R$9="Yes",'Staging Table'!BQ59,'Staging Table'!ED59)*IF(Init!$R$3=2022,Rates_previous!$C$88,Rates_previous!$D$88)</f>
        <v>0</v>
      </c>
      <c r="I57" s="199">
        <v>0</v>
      </c>
      <c r="J57" s="201">
        <f>IF(Init!$R$9="Yes",IF('Staging Table'!D59=1,'Staging Table'!H59*-1,'Staging Table'!H59*SUM(D57:I57)*(-1)),IF('Staging Table'!D59=1,'Staging Table'!BU59*-1,'Staging Table'!BU59*SUM(D57:I57)*(-1)))</f>
        <v>-1008000</v>
      </c>
      <c r="K57" s="199">
        <f>IF(Init!$R$9="Yes",'Staging Table'!K59,'Staging Table'!BX59)*(-1)*Rates_previous!$H$32</f>
        <v>0</v>
      </c>
      <c r="L57" s="199">
        <f>IF('Staging Table'!C59=1,"",SUM(D57:K57))</f>
        <v>14687588.576175662</v>
      </c>
      <c r="M57" s="199">
        <f>IF('Staging Table'!C59=1,"",IF(Init!$R$9="Yes",(RT1SC!$C$3*'Staging Table'!E59*'Staging Table'!$F$2)+SUM('Staging Table'!L59:AI59)-IF(Init!$R$12="No",'Staging Table'!BH59, 0),X57))</f>
        <v>417457.82135478262</v>
      </c>
      <c r="N57" s="297">
        <f>IF('Staging Table'!C59=1,"",IF(M57=0, 0, L57/M57))</f>
        <v>35.18340734043452</v>
      </c>
      <c r="O57" s="199">
        <f>'Staging Table'!BR59*Rates_current!$E$76*100*12</f>
        <v>17619301.04256</v>
      </c>
      <c r="P57" s="199">
        <f>'Staging Table'!BS59*Rates_current!$E$77*100*12</f>
        <v>-1477795.8225599998</v>
      </c>
      <c r="Q57" s="200">
        <f>SUMPRODUCT('Staging Table'!BY59:CV59, LS_Demand_Rates_Restatement!$C$5:$Z$5)-IF(Init!$R$12="No",('Staging Table'!DU59*Rates_current!$H$34), 0)</f>
        <v>150318.92591832331</v>
      </c>
      <c r="R57" s="200">
        <f>SUMPRODUCT('Staging Table'!CW59:DH59, LS_Demand_Rates_Restatement!$C$11:$N$11)*1000</f>
        <v>0</v>
      </c>
      <c r="S57" s="201">
        <f>'Staging Table'!ED59*IF(Init!$R$15="Yes",IF(Init!$R$6=2024,Rates_current!$C$88,Rates_current!$D$88),Rates_current!$H$33)</f>
        <v>0</v>
      </c>
      <c r="T57" s="201">
        <v>0</v>
      </c>
      <c r="U57" s="201">
        <f>IF('Staging Table'!D59=1, 'Staging Table'!BU59*-1,SUM(O57:T57)*'Staging Table'!BU59*-1)</f>
        <v>-1008000</v>
      </c>
      <c r="V57" s="199">
        <f>'Staging Table'!BX59*Rates_current!$H$32*-1</f>
        <v>0</v>
      </c>
      <c r="W57" s="199">
        <f>IF('Staging Table'!C59=1,"",SUM(O57:V57))</f>
        <v>15283824.145918325</v>
      </c>
      <c r="X57" s="199">
        <f>IF('Staging Table'!C59=1,"",(RT1SC!$C$4*'Staging Table'!BR59*'Staging Table'!$BS$2)+SUM('Staging Table'!BY59:CV59)-IF(Init!$R$12="No",'Staging Table'!DU59, 0))</f>
        <v>438831.0712271682</v>
      </c>
      <c r="Y57" s="297">
        <f>IF('Staging Table'!C59=1,"",IF(X57=0, 0, W57/X57))</f>
        <v>34.828491298890725</v>
      </c>
      <c r="Z57" s="76">
        <f ca="1">IF('Staging Table'!C59=1,"",(Y57/N57-1)+(RAND()/100000000000000))</f>
        <v>-1.0087597204826167E-2</v>
      </c>
      <c r="AA57" s="53">
        <f t="shared" ca="1" si="0"/>
        <v>68</v>
      </c>
      <c r="AD57" s="204"/>
      <c r="AE57" s="204"/>
      <c r="AF57" s="208"/>
      <c r="AG57" s="204"/>
      <c r="AH57" s="204"/>
    </row>
    <row r="58" spans="2:34">
      <c r="B58" s="3">
        <v>10158</v>
      </c>
      <c r="C58" s="4" t="s">
        <v>61</v>
      </c>
      <c r="D58" s="199">
        <f>IF(Init!$R$9="Yes",'Staging Table'!E60,'Staging Table'!BR60)*Rates_previous!$E$76*100*12</f>
        <v>844850.91207997373</v>
      </c>
      <c r="E58" s="199">
        <f>IF(Init!$R$9="Yes",'Staging Table'!F60,'Staging Table'!BS60)*Rates_previous!$E$77*100*12</f>
        <v>-139486.91279922391</v>
      </c>
      <c r="F58" s="200">
        <f>IF(Init!$R$9="Yes",SUMPRODUCT('Staging Table'!L60:AI60,LS_Demand_Rates_Restatement!$C$4:$Z$4)-IF(Init!$R$12="No",('Staging Table'!BH60*Rates_previous!$H$34), 0),SUMPRODUCT('Staging Table'!BY60:CV60,LS_Demand_Rates_Restatement!$C$4:$Z$4)-IF(Init!$R$12="No", 'Staging Table'!DU60*Rates_previous!$H$34, 0))</f>
        <v>-14310.34515633282</v>
      </c>
      <c r="G58" s="200">
        <f>IF(Init!$R$9="Yes",SUMPRODUCT('Staging Table'!AJ60:AU60,LS_Demand_Rates_Restatement!$C$10:$N$10),SUMPRODUCT(LS_Demand_Rates_Restatement!$C$10:$N$10,'Staging Table'!CW60:DH60))*1000</f>
        <v>39140.162489066955</v>
      </c>
      <c r="H58" s="201">
        <f>IF(Init!$R$9="Yes",'Staging Table'!BQ60,'Staging Table'!ED60)*IF(Init!$R$3=2022,Rates_previous!$C$88,Rates_previous!$D$88)</f>
        <v>-6034.43650205618</v>
      </c>
      <c r="I58" s="199">
        <v>0</v>
      </c>
      <c r="J58" s="201">
        <f>IF(Init!$R$9="Yes",IF('Staging Table'!D60=1,'Staging Table'!H60*-1,'Staging Table'!H60*SUM(D58:I58)*(-1)),IF('Staging Table'!D60=1,'Staging Table'!BU60*-1,'Staging Table'!BU60*SUM(D58:I58)*(-1)))</f>
        <v>0</v>
      </c>
      <c r="K58" s="199">
        <f>IF(Init!$R$9="Yes",'Staging Table'!K60,'Staging Table'!BX60)*(-1)*Rates_previous!$H$32</f>
        <v>0</v>
      </c>
      <c r="L58" s="199">
        <f>IF('Staging Table'!C60=1,"",SUM(D58:K58))</f>
        <v>724159.38011142774</v>
      </c>
      <c r="M58" s="199">
        <f>IF('Staging Table'!C60=1,"",IF(Init!$R$9="Yes",(RT1SC!$C$3*'Staging Table'!E60*'Staging Table'!$F$2)+SUM('Staging Table'!L60:AI60)-IF(Init!$R$12="No",'Staging Table'!BH60, 0),X58))</f>
        <v>19930.846063467754</v>
      </c>
      <c r="N58" s="297">
        <f>IF('Staging Table'!C60=1,"",IF(M58=0, 0, L58/M58))</f>
        <v>36.333599577530016</v>
      </c>
      <c r="O58" s="199">
        <f>'Staging Table'!BR60*Rates_current!$E$76*100*12</f>
        <v>800152.62624000013</v>
      </c>
      <c r="P58" s="199">
        <f>'Staging Table'!BS60*Rates_current!$E$77*100*12</f>
        <v>-140617.37712000002</v>
      </c>
      <c r="Q58" s="200">
        <f>SUMPRODUCT('Staging Table'!BY60:CV60, LS_Demand_Rates_Restatement!$C$5:$Z$5)-IF(Init!$R$12="No",('Staging Table'!DU60*Rates_current!$H$34), 0)</f>
        <v>16123.713245298692</v>
      </c>
      <c r="R58" s="200">
        <f>SUMPRODUCT('Staging Table'!CW60:DH60, LS_Demand_Rates_Restatement!$C$11:$N$11)*1000</f>
        <v>39105.256602029913</v>
      </c>
      <c r="S58" s="201">
        <f>'Staging Table'!ED60*IF(Init!$R$15="Yes",IF(Init!$R$6=2024,Rates_current!$C$88,Rates_current!$D$88),Rates_current!$H$33)</f>
        <v>0.34261521936379724</v>
      </c>
      <c r="T58" s="201">
        <v>0</v>
      </c>
      <c r="U58" s="201">
        <f>IF('Staging Table'!D60=1, 'Staging Table'!BU60*-1,SUM(O58:T58)*'Staging Table'!BU60*-1)</f>
        <v>0</v>
      </c>
      <c r="V58" s="199">
        <f>'Staging Table'!BX60*Rates_current!$H$32*-1</f>
        <v>0</v>
      </c>
      <c r="W58" s="199">
        <f>IF('Staging Table'!C60=1,"",SUM(O58:V58))</f>
        <v>714764.56158254808</v>
      </c>
      <c r="X58" s="199">
        <f>IF('Staging Table'!C60=1,"",(RT1SC!$C$4*'Staging Table'!BR60*'Staging Table'!$BS$2)+SUM('Staging Table'!BY60:CV60)-IF(Init!$R$12="No",'Staging Table'!DU60, 0))</f>
        <v>19930.845091349278</v>
      </c>
      <c r="Y58" s="297">
        <f>IF('Staging Table'!C60=1,"",IF(X58=0, 0, W58/X58))</f>
        <v>35.86223054298798</v>
      </c>
      <c r="Z58" s="76">
        <f ca="1">IF('Staging Table'!C60=1,"",(Y58/N58-1)+(RAND()/100000000000000))</f>
        <v>-1.2973364599788293E-2</v>
      </c>
      <c r="AA58" s="53">
        <f t="shared" ca="1" si="0"/>
        <v>85</v>
      </c>
      <c r="AD58" s="204"/>
      <c r="AE58" s="204"/>
      <c r="AF58" s="208"/>
      <c r="AG58" s="204"/>
      <c r="AH58" s="204"/>
    </row>
    <row r="59" spans="2:34">
      <c r="B59" s="3">
        <v>10170</v>
      </c>
      <c r="C59" s="4" t="s">
        <v>62</v>
      </c>
      <c r="D59" s="199">
        <f>IF(Init!$R$9="Yes",'Staging Table'!E61,'Staging Table'!BR61)*Rates_previous!$E$76*100*12</f>
        <v>82232075.505757421</v>
      </c>
      <c r="E59" s="199">
        <f>IF(Init!$R$9="Yes",'Staging Table'!F61,'Staging Table'!BS61)*Rates_previous!$E$77*100*12</f>
        <v>-6476223.3436435573</v>
      </c>
      <c r="F59" s="200">
        <f>IF(Init!$R$9="Yes",SUMPRODUCT('Staging Table'!L61:AI61,LS_Demand_Rates_Restatement!$C$4:$Z$4)-IF(Init!$R$12="No",('Staging Table'!BH61*Rates_previous!$H$34), 0),SUMPRODUCT('Staging Table'!BY61:CV61,LS_Demand_Rates_Restatement!$C$4:$Z$4)-IF(Init!$R$12="No", 'Staging Table'!DU61*Rates_previous!$H$34, 0))</f>
        <v>281446.60212855507</v>
      </c>
      <c r="G59" s="200">
        <f>IF(Init!$R$9="Yes",SUMPRODUCT('Staging Table'!AJ61:AU61,LS_Demand_Rates_Restatement!$C$10:$N$10),SUMPRODUCT(LS_Demand_Rates_Restatement!$C$10:$N$10,'Staging Table'!CW61:DH61))*1000</f>
        <v>0</v>
      </c>
      <c r="H59" s="201">
        <f>IF(Init!$R$9="Yes",'Staging Table'!BQ61,'Staging Table'!ED61)*IF(Init!$R$3=2022,Rates_previous!$C$88,Rates_previous!$D$88)</f>
        <v>0</v>
      </c>
      <c r="I59" s="199">
        <v>0</v>
      </c>
      <c r="J59" s="201">
        <f>IF(Init!$R$9="Yes",IF('Staging Table'!D61=1,'Staging Table'!H61*-1,'Staging Table'!H61*SUM(D59:I59)*(-1)),IF('Staging Table'!D61=1,'Staging Table'!BU61*-1,'Staging Table'!BU61*SUM(D59:I59)*(-1)))</f>
        <v>0</v>
      </c>
      <c r="K59" s="199">
        <f>IF(Init!$R$9="Yes",'Staging Table'!K61,'Staging Table'!BX61)*(-1)*Rates_previous!$H$32</f>
        <v>0</v>
      </c>
      <c r="L59" s="199">
        <f>IF('Staging Table'!C61=1,"",SUM(D59:K59))</f>
        <v>76037298.764242411</v>
      </c>
      <c r="M59" s="199">
        <f>IF('Staging Table'!C61=1,"",IF(Init!$R$9="Yes",(RT1SC!$C$3*'Staging Table'!E61*'Staging Table'!$F$2)+SUM('Staging Table'!L61:AI61)-IF(Init!$R$12="No",'Staging Table'!BH61, 0),X59))</f>
        <v>2023498.9828672518</v>
      </c>
      <c r="N59" s="297">
        <f>IF('Staging Table'!C61=1,"",IF(M59=0, 0, L59/M59))</f>
        <v>37.577137131296844</v>
      </c>
      <c r="O59" s="199">
        <f>'Staging Table'!BR61*Rates_current!$E$76*100*12</f>
        <v>81244886.958719999</v>
      </c>
      <c r="P59" s="199">
        <f>'Staging Table'!BS61*Rates_current!$E$77*100*12</f>
        <v>-6428385.5608799998</v>
      </c>
      <c r="Q59" s="200">
        <f>SUMPRODUCT('Staging Table'!BY61:CV61, LS_Demand_Rates_Restatement!$C$5:$Z$5)-IF(Init!$R$12="No",('Staging Table'!DU61*Rates_current!$H$34), 0)</f>
        <v>837902.95613211731</v>
      </c>
      <c r="R59" s="200">
        <f>SUMPRODUCT('Staging Table'!CW61:DH61, LS_Demand_Rates_Restatement!$C$11:$N$11)*1000</f>
        <v>0</v>
      </c>
      <c r="S59" s="201">
        <f>'Staging Table'!ED61*IF(Init!$R$15="Yes",IF(Init!$R$6=2024,Rates_current!$C$88,Rates_current!$D$88),Rates_current!$H$33)</f>
        <v>0</v>
      </c>
      <c r="T59" s="201">
        <v>0</v>
      </c>
      <c r="U59" s="201">
        <f>IF('Staging Table'!D61=1, 'Staging Table'!BU61*-1,SUM(O59:T59)*'Staging Table'!BU61*-1)</f>
        <v>0</v>
      </c>
      <c r="V59" s="199">
        <f>'Staging Table'!BX61*Rates_current!$H$32*-1</f>
        <v>0</v>
      </c>
      <c r="W59" s="199">
        <f>IF('Staging Table'!C61=1,"",SUM(O59:V59))</f>
        <v>75654404.353972107</v>
      </c>
      <c r="X59" s="199">
        <f>IF('Staging Table'!C61=1,"",(RT1SC!$C$4*'Staging Table'!BR61*'Staging Table'!$BS$2)+SUM('Staging Table'!BY61:CV61)-IF(Init!$R$12="No",'Staging Table'!DU61, 0))</f>
        <v>2023499.1258381682</v>
      </c>
      <c r="Y59" s="297">
        <f>IF('Staging Table'!C61=1,"",IF(X59=0, 0, W59/X59))</f>
        <v>37.387910569338523</v>
      </c>
      <c r="Z59" s="76">
        <f ca="1">IF('Staging Table'!C61=1,"",(Y59/N59-1)+(RAND()/100000000000000))</f>
        <v>-5.0356833011803957E-3</v>
      </c>
      <c r="AA59" s="53">
        <f t="shared" ca="1" si="0"/>
        <v>43</v>
      </c>
      <c r="AD59" s="204"/>
      <c r="AE59" s="204"/>
      <c r="AF59" s="208"/>
      <c r="AG59" s="204"/>
      <c r="AH59" s="204"/>
    </row>
    <row r="60" spans="2:34">
      <c r="B60" s="3">
        <v>10172</v>
      </c>
      <c r="C60" s="4" t="s">
        <v>63</v>
      </c>
      <c r="D60" s="199">
        <f>IF(Init!$R$9="Yes",'Staging Table'!E62,'Staging Table'!BR62)*Rates_previous!$E$76*100*12</f>
        <v>1947257.8501531044</v>
      </c>
      <c r="E60" s="199">
        <f>IF(Init!$R$9="Yes",'Staging Table'!F62,'Staging Table'!BS62)*Rates_previous!$E$77*100*12</f>
        <v>-321496.94349409535</v>
      </c>
      <c r="F60" s="200">
        <f>IF(Init!$R$9="Yes",SUMPRODUCT('Staging Table'!L62:AI62,LS_Demand_Rates_Restatement!$C$4:$Z$4)-IF(Init!$R$12="No",('Staging Table'!BH62*Rates_previous!$H$34), 0),SUMPRODUCT('Staging Table'!BY62:CV62,LS_Demand_Rates_Restatement!$C$4:$Z$4)-IF(Init!$R$12="No", 'Staging Table'!DU62*Rates_previous!$H$34, 0))</f>
        <v>-37899.977284570734</v>
      </c>
      <c r="G60" s="200">
        <f>IF(Init!$R$9="Yes",SUMPRODUCT('Staging Table'!AJ62:AU62,LS_Demand_Rates_Restatement!$C$10:$N$10),SUMPRODUCT(LS_Demand_Rates_Restatement!$C$10:$N$10,'Staging Table'!CW62:DH62))*1000</f>
        <v>139908.12676879452</v>
      </c>
      <c r="H60" s="201">
        <f>IF(Init!$R$9="Yes",'Staging Table'!BQ62,'Staging Table'!ED62)*IF(Init!$R$3=2022,Rates_previous!$C$88,Rates_previous!$D$88)</f>
        <v>-11276.33812950036</v>
      </c>
      <c r="I60" s="199">
        <v>0</v>
      </c>
      <c r="J60" s="201">
        <f>IF(Init!$R$9="Yes",IF('Staging Table'!D62=1,'Staging Table'!H62*-1,'Staging Table'!H62*SUM(D60:I60)*(-1)),IF('Staging Table'!D62=1,'Staging Table'!BU62*-1,'Staging Table'!BU62*SUM(D60:I60)*(-1)))</f>
        <v>0</v>
      </c>
      <c r="K60" s="199">
        <f>IF(Init!$R$9="Yes",'Staging Table'!K62,'Staging Table'!BX62)*(-1)*Rates_previous!$H$32</f>
        <v>0</v>
      </c>
      <c r="L60" s="199">
        <f>IF('Staging Table'!C62=1,"",SUM(D60:K60))</f>
        <v>1716492.7180137325</v>
      </c>
      <c r="M60" s="199">
        <f>IF('Staging Table'!C62=1,"",IF(Init!$R$9="Yes",(RT1SC!$C$3*'Staging Table'!E62*'Staging Table'!$F$2)+SUM('Staging Table'!L62:AI62)-IF(Init!$R$12="No",'Staging Table'!BH62, 0),X60))</f>
        <v>46316.438451137707</v>
      </c>
      <c r="N60" s="297">
        <f>IF('Staging Table'!C62=1,"",IF(M60=0, 0, L60/M60))</f>
        <v>37.060118942966113</v>
      </c>
      <c r="O60" s="199">
        <f>'Staging Table'!BR62*Rates_current!$E$76*100*12</f>
        <v>1859632.4268</v>
      </c>
      <c r="P60" s="199">
        <f>'Staging Table'!BS62*Rates_current!$E$77*100*12</f>
        <v>-326808.44339999999</v>
      </c>
      <c r="Q60" s="200">
        <f>SUMPRODUCT('Staging Table'!BY62:CV62, LS_Demand_Rates_Restatement!$C$5:$Z$5)-IF(Init!$R$12="No",('Staging Table'!DU62*Rates_current!$H$34), 0)</f>
        <v>38393.470435758034</v>
      </c>
      <c r="R60" s="200">
        <f>SUMPRODUCT('Staging Table'!CW62:DH62, LS_Demand_Rates_Restatement!$C$11:$N$11)*1000</f>
        <v>137232.96968856838</v>
      </c>
      <c r="S60" s="201">
        <f>'Staging Table'!ED62*IF(Init!$R$15="Yes",IF(Init!$R$6=2024,Rates_current!$C$88,Rates_current!$D$88),Rates_current!$H$33)</f>
        <v>10.739651190077712</v>
      </c>
      <c r="T60" s="201">
        <v>0</v>
      </c>
      <c r="U60" s="201">
        <f>IF('Staging Table'!D62=1, 'Staging Table'!BU62*-1,SUM(O60:T60)*'Staging Table'!BU62*-1)</f>
        <v>0</v>
      </c>
      <c r="V60" s="199">
        <f>'Staging Table'!BX62*Rates_current!$H$32*-1</f>
        <v>0</v>
      </c>
      <c r="W60" s="199">
        <f>IF('Staging Table'!C62=1,"",SUM(O60:V60))</f>
        <v>1708461.1631755168</v>
      </c>
      <c r="X60" s="199">
        <f>IF('Staging Table'!C62=1,"",(RT1SC!$C$4*'Staging Table'!BR62*'Staging Table'!$BS$2)+SUM('Staging Table'!BY62:CV62)-IF(Init!$R$12="No",'Staging Table'!DU62, 0))</f>
        <v>46316.436212304594</v>
      </c>
      <c r="Y60" s="297">
        <f>IF('Staging Table'!C62=1,"",IF(X60=0, 0, W60/X60))</f>
        <v>36.886714585386009</v>
      </c>
      <c r="Z60" s="76">
        <f ca="1">IF('Staging Table'!C62=1,"",(Y60/N60-1)+(RAND()/100000000000000))</f>
        <v>-4.6790016472088919E-3</v>
      </c>
      <c r="AA60" s="53">
        <f t="shared" ca="1" si="0"/>
        <v>40</v>
      </c>
      <c r="AD60" s="204"/>
      <c r="AE60" s="204"/>
      <c r="AF60" s="208"/>
      <c r="AG60" s="204"/>
      <c r="AH60" s="204"/>
    </row>
    <row r="61" spans="2:34">
      <c r="B61" s="3">
        <v>10173</v>
      </c>
      <c r="C61" s="4" t="s">
        <v>64</v>
      </c>
      <c r="D61" s="199">
        <f>IF(Init!$R$9="Yes",'Staging Table'!E63,'Staging Table'!BR63)*Rates_previous!$E$76*100*12</f>
        <v>11250450.096315607</v>
      </c>
      <c r="E61" s="199">
        <f>IF(Init!$R$9="Yes",'Staging Table'!F63,'Staging Table'!BS63)*Rates_previous!$E$77*100*12</f>
        <v>-1857476.3062908857</v>
      </c>
      <c r="F61" s="200">
        <f>IF(Init!$R$9="Yes",SUMPRODUCT('Staging Table'!L63:AI63,LS_Demand_Rates_Restatement!$C$4:$Z$4)-IF(Init!$R$12="No",('Staging Table'!BH63*Rates_previous!$H$34), 0),SUMPRODUCT('Staging Table'!BY63:CV63,LS_Demand_Rates_Restatement!$C$4:$Z$4)-IF(Init!$R$12="No", 'Staging Table'!DU63*Rates_previous!$H$34, 0))</f>
        <v>0</v>
      </c>
      <c r="G61" s="200">
        <f>IF(Init!$R$9="Yes",SUMPRODUCT('Staging Table'!AJ63:AU63,LS_Demand_Rates_Restatement!$C$10:$N$10),SUMPRODUCT(LS_Demand_Rates_Restatement!$C$10:$N$10,'Staging Table'!CW63:DH63))*1000</f>
        <v>0</v>
      </c>
      <c r="H61" s="201">
        <f>IF(Init!$R$9="Yes",'Staging Table'!BQ63,'Staging Table'!ED63)*IF(Init!$R$3=2022,Rates_previous!$C$88,Rates_previous!$D$88)</f>
        <v>0</v>
      </c>
      <c r="I61" s="199">
        <v>0</v>
      </c>
      <c r="J61" s="201">
        <f>IF(Init!$R$9="Yes",IF('Staging Table'!D63=1,'Staging Table'!H63*-1,'Staging Table'!H63*SUM(D61:I61)*(-1)),IF('Staging Table'!D63=1,'Staging Table'!BU63*-1,'Staging Table'!BU63*SUM(D61:I61)*(-1)))</f>
        <v>-796805.96660779719</v>
      </c>
      <c r="K61" s="199">
        <f>IF(Init!$R$9="Yes",'Staging Table'!K63,'Staging Table'!BX63)*(-1)*Rates_previous!$H$32</f>
        <v>-482978.95640000002</v>
      </c>
      <c r="L61" s="199" t="str">
        <f>IF('Staging Table'!C63=1,"",SUM(D61:K61))</f>
        <v/>
      </c>
      <c r="M61" s="199" t="str">
        <f>IF('Staging Table'!C63=1,"",IF(Init!$R$9="Yes",(RT1SC!$C$3*'Staging Table'!E63*'Staging Table'!$F$2)+SUM('Staging Table'!L63:AI63)-IF(Init!$R$12="No",'Staging Table'!BH63, 0),X61))</f>
        <v/>
      </c>
      <c r="N61" s="297" t="str">
        <f>IF('Staging Table'!C63=1,"",IF(M61=0, 0, L61/M61))</f>
        <v/>
      </c>
      <c r="O61" s="199">
        <f>'Staging Table'!BR63*Rates_current!$E$76*100*12</f>
        <v>11684420.542079998</v>
      </c>
      <c r="P61" s="199">
        <f>'Staging Table'!BS63*Rates_current!$E$77*100*12</f>
        <v>-2053398.9590399999</v>
      </c>
      <c r="Q61" s="200">
        <f>SUMPRODUCT('Staging Table'!BY63:CV63, LS_Demand_Rates_Restatement!$C$5:$Z$5)-IF(Init!$R$12="No",('Staging Table'!DU63*Rates_current!$H$34), 0)</f>
        <v>0</v>
      </c>
      <c r="R61" s="200">
        <f>SUMPRODUCT('Staging Table'!CW63:DH63, LS_Demand_Rates_Restatement!$C$11:$N$11)*1000</f>
        <v>0</v>
      </c>
      <c r="S61" s="201">
        <f>'Staging Table'!ED63*IF(Init!$R$15="Yes",IF(Init!$R$6=2024,Rates_current!$C$88,Rates_current!$D$88),Rates_current!$H$33)</f>
        <v>0</v>
      </c>
      <c r="T61" s="201">
        <v>0</v>
      </c>
      <c r="U61" s="201">
        <f>IF('Staging Table'!D63=1, 'Staging Table'!BU63*-1,SUM(O61:T61)*'Staging Table'!BU63*-1)</f>
        <v>-816473.99723338266</v>
      </c>
      <c r="V61" s="199">
        <f>'Staging Table'!BX63*Rates_current!$H$32*-1</f>
        <v>-512666.65372</v>
      </c>
      <c r="W61" s="199" t="str">
        <f>IF('Staging Table'!C63=1,"",SUM(O61:V61))</f>
        <v/>
      </c>
      <c r="X61" s="199" t="str">
        <f>IF('Staging Table'!C63=1,"",(RT1SC!$C$4*'Staging Table'!BR63*'Staging Table'!$BS$2)+SUM('Staging Table'!BY63:CV63)-IF(Init!$R$12="No",'Staging Table'!DU63, 0))</f>
        <v/>
      </c>
      <c r="Y61" s="297" t="str">
        <f>IF('Staging Table'!C63=1,"",IF(X61=0, 0, W61/X61))</f>
        <v/>
      </c>
      <c r="Z61" s="76" t="str">
        <f ca="1">IF('Staging Table'!C63=1,"",(Y61/N61-1)+(RAND()/100000000000000))</f>
        <v/>
      </c>
      <c r="AA61" s="53" t="str">
        <f t="shared" ca="1" si="0"/>
        <v/>
      </c>
      <c r="AD61" s="204"/>
      <c r="AE61" s="204"/>
      <c r="AF61" s="208"/>
      <c r="AG61" s="204"/>
      <c r="AH61" s="204"/>
    </row>
    <row r="62" spans="2:34">
      <c r="B62" s="3">
        <v>10174</v>
      </c>
      <c r="C62" s="4" t="s">
        <v>65</v>
      </c>
      <c r="D62" s="199">
        <f>IF(Init!$R$9="Yes",'Staging Table'!E64,'Staging Table'!BR64)*Rates_previous!$E$76*100*12</f>
        <v>172183.63748890749</v>
      </c>
      <c r="E62" s="199">
        <f>IF(Init!$R$9="Yes",'Staging Table'!F64,'Staging Table'!BS64)*Rates_previous!$E$77*100*12</f>
        <v>-28427.931703049318</v>
      </c>
      <c r="F62" s="200">
        <f>IF(Init!$R$9="Yes",SUMPRODUCT('Staging Table'!L64:AI64,LS_Demand_Rates_Restatement!$C$4:$Z$4)-IF(Init!$R$12="No",('Staging Table'!BH64*Rates_previous!$H$34), 0),SUMPRODUCT('Staging Table'!BY64:CV64,LS_Demand_Rates_Restatement!$C$4:$Z$4)-IF(Init!$R$12="No", 'Staging Table'!DU64*Rates_previous!$H$34, 0))</f>
        <v>2479.6218749120699</v>
      </c>
      <c r="G62" s="200">
        <f>IF(Init!$R$9="Yes",SUMPRODUCT('Staging Table'!AJ64:AU64,LS_Demand_Rates_Restatement!$C$10:$N$10),SUMPRODUCT(LS_Demand_Rates_Restatement!$C$10:$N$10,'Staging Table'!CW64:DH64))*1000</f>
        <v>5239.6362990829748</v>
      </c>
      <c r="H62" s="201">
        <f>IF(Init!$R$9="Yes",'Staging Table'!BQ64,'Staging Table'!ED64)*IF(Init!$R$3=2022,Rates_previous!$C$88,Rates_previous!$D$88)</f>
        <v>0</v>
      </c>
      <c r="I62" s="199">
        <v>0</v>
      </c>
      <c r="J62" s="201">
        <f>IF(Init!$R$9="Yes",IF('Staging Table'!D64=1,'Staging Table'!H64*-1,'Staging Table'!H64*SUM(D62:I62)*(-1)),IF('Staging Table'!D64=1,'Staging Table'!BU64*-1,'Staging Table'!BU64*SUM(D62:I62)*(-1)))</f>
        <v>0</v>
      </c>
      <c r="K62" s="199">
        <f>IF(Init!$R$9="Yes",'Staging Table'!K64,'Staging Table'!BX64)*(-1)*Rates_previous!$H$32</f>
        <v>0</v>
      </c>
      <c r="L62" s="199">
        <f>IF('Staging Table'!C64=1,"",SUM(D62:K62))</f>
        <v>151474.96395985322</v>
      </c>
      <c r="M62" s="199">
        <f>IF('Staging Table'!C64=1,"",IF(Init!$R$9="Yes",(RT1SC!$C$3*'Staging Table'!E64*'Staging Table'!$F$2)+SUM('Staging Table'!L64:AI64)-IF(Init!$R$12="No",'Staging Table'!BH64, 0),X62))</f>
        <v>4239.84</v>
      </c>
      <c r="N62" s="297">
        <f>IF('Staging Table'!C64=1,"",IF(M62=0, 0, L62/M62))</f>
        <v>35.726575521683181</v>
      </c>
      <c r="O62" s="199">
        <f>'Staging Table'!BR64*Rates_current!$E$76*100*12</f>
        <v>174877.69104000001</v>
      </c>
      <c r="P62" s="199">
        <f>'Staging Table'!BS64*Rates_current!$E$77*100*12</f>
        <v>-30732.68952</v>
      </c>
      <c r="Q62" s="200">
        <f>SUMPRODUCT('Staging Table'!BY64:CV64, LS_Demand_Rates_Restatement!$C$5:$Z$5)-IF(Init!$R$12="No",('Staging Table'!DU64*Rates_current!$H$34), 0)</f>
        <v>4765.9165786673993</v>
      </c>
      <c r="R62" s="200">
        <f>SUMPRODUCT('Staging Table'!CW64:DH64, LS_Demand_Rates_Restatement!$C$11:$N$11)*1000</f>
        <v>5423.8762712606795</v>
      </c>
      <c r="S62" s="201">
        <f>'Staging Table'!ED64*IF(Init!$R$15="Yes",IF(Init!$R$6=2024,Rates_current!$C$88,Rates_current!$D$88),Rates_current!$H$33)</f>
        <v>13.554085636356641</v>
      </c>
      <c r="T62" s="201">
        <v>0</v>
      </c>
      <c r="U62" s="201">
        <f>IF('Staging Table'!D64=1, 'Staging Table'!BU64*-1,SUM(O62:T62)*'Staging Table'!BU64*-1)</f>
        <v>0</v>
      </c>
      <c r="V62" s="199">
        <f>'Staging Table'!BX64*Rates_current!$H$32*-1</f>
        <v>0</v>
      </c>
      <c r="W62" s="199">
        <f>IF('Staging Table'!C64=1,"",SUM(O62:V62))</f>
        <v>154348.34845556444</v>
      </c>
      <c r="X62" s="199">
        <f>IF('Staging Table'!C64=1,"",(RT1SC!$C$4*'Staging Table'!BR64*'Staging Table'!$BS$2)+SUM('Staging Table'!BY64:CV64)-IF(Init!$R$12="No",'Staging Table'!DU64, 0))</f>
        <v>4354.8500199648797</v>
      </c>
      <c r="Y62" s="297">
        <f>IF('Staging Table'!C64=1,"",IF(X62=0, 0, W62/X62))</f>
        <v>35.442862038405906</v>
      </c>
      <c r="Z62" s="76">
        <f ca="1">IF('Staging Table'!C64=1,"",(Y62/N62-1)+(RAND()/100000000000000))</f>
        <v>-7.9412448334083788E-3</v>
      </c>
      <c r="AA62" s="53">
        <f t="shared" ca="1" si="0"/>
        <v>61</v>
      </c>
      <c r="AD62" s="204"/>
      <c r="AE62" s="204"/>
      <c r="AF62" s="208"/>
      <c r="AG62" s="204"/>
      <c r="AH62" s="204"/>
    </row>
    <row r="63" spans="2:34">
      <c r="B63" s="3">
        <v>10177</v>
      </c>
      <c r="C63" s="4" t="s">
        <v>66</v>
      </c>
      <c r="D63" s="199">
        <f>IF(Init!$R$9="Yes",'Staging Table'!E65,'Staging Table'!BR65)*Rates_previous!$E$76*100*12</f>
        <v>3170768.8786606342</v>
      </c>
      <c r="E63" s="199">
        <f>IF(Init!$R$9="Yes",'Staging Table'!F65,'Staging Table'!BS65)*Rates_previous!$E$77*100*12</f>
        <v>-523501.55010824249</v>
      </c>
      <c r="F63" s="200">
        <f>IF(Init!$R$9="Yes",SUMPRODUCT('Staging Table'!L65:AI65,LS_Demand_Rates_Restatement!$C$4:$Z$4)-IF(Init!$R$12="No",('Staging Table'!BH65*Rates_previous!$H$34), 0),SUMPRODUCT('Staging Table'!BY65:CV65,LS_Demand_Rates_Restatement!$C$4:$Z$4)-IF(Init!$R$12="No", 'Staging Table'!DU65*Rates_previous!$H$34, 0))</f>
        <v>-3732.649817698586</v>
      </c>
      <c r="G63" s="200">
        <f>IF(Init!$R$9="Yes",SUMPRODUCT('Staging Table'!AJ65:AU65,LS_Demand_Rates_Restatement!$C$10:$N$10),SUMPRODUCT(LS_Demand_Rates_Restatement!$C$10:$N$10,'Staging Table'!CW65:DH65))*1000</f>
        <v>75465.5814631588</v>
      </c>
      <c r="H63" s="201">
        <f>IF(Init!$R$9="Yes",'Staging Table'!BQ65,'Staging Table'!ED65)*IF(Init!$R$3=2022,Rates_previous!$C$88,Rates_previous!$D$88)</f>
        <v>-13956.860643266573</v>
      </c>
      <c r="I63" s="199">
        <v>0</v>
      </c>
      <c r="J63" s="201">
        <f>IF(Init!$R$9="Yes",IF('Staging Table'!D65=1,'Staging Table'!H65*-1,'Staging Table'!H65*SUM(D63:I63)*(-1)),IF('Staging Table'!D65=1,'Staging Table'!BU65*-1,'Staging Table'!BU65*SUM(D63:I63)*(-1)))</f>
        <v>-189353.03796882098</v>
      </c>
      <c r="K63" s="199">
        <f>IF(Init!$R$9="Yes",'Staging Table'!K65,'Staging Table'!BX65)*(-1)*Rates_previous!$H$32</f>
        <v>0</v>
      </c>
      <c r="L63" s="199">
        <f>IF('Staging Table'!C65=1,"",SUM(D63:K63))</f>
        <v>2515690.3615857642</v>
      </c>
      <c r="M63" s="199">
        <f>IF('Staging Table'!C65=1,"",IF(Init!$R$9="Yes",(RT1SC!$C$3*'Staging Table'!E65*'Staging Table'!$F$2)+SUM('Staging Table'!L65:AI65)-IF(Init!$R$12="No",'Staging Table'!BH65, 0),X63))</f>
        <v>76044.037991249133</v>
      </c>
      <c r="N63" s="297">
        <f>IF('Staging Table'!C65=1,"",IF(M63=0, 0, L63/M63))</f>
        <v>33.082019682795654</v>
      </c>
      <c r="O63" s="199">
        <f>'Staging Table'!BR65*Rates_current!$E$76*100*12</f>
        <v>3053135.30112</v>
      </c>
      <c r="P63" s="199">
        <f>'Staging Table'!BS65*Rates_current!$E$77*100*12</f>
        <v>-536552.48256000003</v>
      </c>
      <c r="Q63" s="200">
        <f>SUMPRODUCT('Staging Table'!BY65:CV65, LS_Demand_Rates_Restatement!$C$5:$Z$5)-IF(Init!$R$12="No",('Staging Table'!DU65*Rates_current!$H$34), 0)</f>
        <v>90671.70460106495</v>
      </c>
      <c r="R63" s="200">
        <f>SUMPRODUCT('Staging Table'!CW65:DH65, LS_Demand_Rates_Restatement!$C$11:$N$11)*1000</f>
        <v>85564.236218696518</v>
      </c>
      <c r="S63" s="201">
        <f>'Staging Table'!ED65*IF(Init!$R$15="Yes",IF(Init!$R$6=2024,Rates_current!$C$88,Rates_current!$D$88),Rates_current!$H$33)</f>
        <v>-6.3689258130046076</v>
      </c>
      <c r="T63" s="201">
        <v>0</v>
      </c>
      <c r="U63" s="201">
        <f>IF('Staging Table'!D65=1, 'Staging Table'!BU65*-1,SUM(O63:T63)*'Staging Table'!BU65*-1)</f>
        <v>-188496.86733177639</v>
      </c>
      <c r="V63" s="199">
        <f>'Staging Table'!BX65*Rates_current!$H$32*-1</f>
        <v>0</v>
      </c>
      <c r="W63" s="199">
        <f>IF('Staging Table'!C65=1,"",SUM(O63:V63))</f>
        <v>2504315.5231221719</v>
      </c>
      <c r="X63" s="199">
        <f>IF('Staging Table'!C65=1,"",(RT1SC!$C$4*'Staging Table'!BR65*'Staging Table'!$BS$2)+SUM('Staging Table'!BY65:CV65)-IF(Init!$R$12="No",'Staging Table'!DU65, 0))</f>
        <v>76044.034348560628</v>
      </c>
      <c r="Y63" s="297">
        <f>IF('Staging Table'!C65=1,"",IF(X63=0, 0, W63/X63))</f>
        <v>32.932439008209641</v>
      </c>
      <c r="Z63" s="76">
        <f ca="1">IF('Staging Table'!C65=1,"",(Y63/N63-1)+(RAND()/100000000000000))</f>
        <v>-4.5215097512243665E-3</v>
      </c>
      <c r="AA63" s="53">
        <f t="shared" ca="1" si="0"/>
        <v>39</v>
      </c>
      <c r="AD63" s="204"/>
      <c r="AE63" s="204"/>
      <c r="AF63" s="208"/>
      <c r="AG63" s="204"/>
      <c r="AH63" s="204"/>
    </row>
    <row r="64" spans="2:34">
      <c r="B64" s="3">
        <v>10179</v>
      </c>
      <c r="C64" s="4" t="s">
        <v>67</v>
      </c>
      <c r="D64" s="199">
        <f>IF(Init!$R$9="Yes",'Staging Table'!E66,'Staging Table'!BR66)*Rates_previous!$E$76*100*12</f>
        <v>56649855.594330966</v>
      </c>
      <c r="E64" s="199">
        <f>IF(Init!$R$9="Yes",'Staging Table'!F66,'Staging Table'!BS66)*Rates_previous!$E$77*100*12</f>
        <v>-9353027.0896210782</v>
      </c>
      <c r="F64" s="200">
        <f>IF(Init!$R$9="Yes",SUMPRODUCT('Staging Table'!L66:AI66,LS_Demand_Rates_Restatement!$C$4:$Z$4)-IF(Init!$R$12="No",('Staging Table'!BH66*Rates_previous!$H$34), 0),SUMPRODUCT('Staging Table'!BY66:CV66,LS_Demand_Rates_Restatement!$C$4:$Z$4)-IF(Init!$R$12="No", 'Staging Table'!DU66*Rates_previous!$H$34, 0))</f>
        <v>0</v>
      </c>
      <c r="G64" s="200">
        <f>IF(Init!$R$9="Yes",SUMPRODUCT('Staging Table'!AJ66:AU66,LS_Demand_Rates_Restatement!$C$10:$N$10),SUMPRODUCT(LS_Demand_Rates_Restatement!$C$10:$N$10,'Staging Table'!CW66:DH66))*1000</f>
        <v>0</v>
      </c>
      <c r="H64" s="201">
        <f>IF(Init!$R$9="Yes",'Staging Table'!BQ66,'Staging Table'!ED66)*IF(Init!$R$3=2022,Rates_previous!$C$88,Rates_previous!$D$88)</f>
        <v>0</v>
      </c>
      <c r="I64" s="199">
        <v>0</v>
      </c>
      <c r="J64" s="201">
        <f>IF(Init!$R$9="Yes",IF('Staging Table'!D66=1,'Staging Table'!H66*-1,'Staging Table'!H66*SUM(D64:I64)*(-1)),IF('Staging Table'!D66=1,'Staging Table'!BU66*-1,'Staging Table'!BU66*SUM(D64:I64)*(-1)))</f>
        <v>0</v>
      </c>
      <c r="K64" s="199">
        <f>IF(Init!$R$9="Yes",'Staging Table'!K66,'Staging Table'!BX66)*(-1)*Rates_previous!$H$32</f>
        <v>0</v>
      </c>
      <c r="L64" s="199" t="str">
        <f>IF('Staging Table'!C66=1,"",SUM(D64:K64))</f>
        <v/>
      </c>
      <c r="M64" s="199" t="str">
        <f>IF('Staging Table'!C66=1,"",IF(Init!$R$9="Yes",(RT1SC!$C$3*'Staging Table'!E66*'Staging Table'!$F$2)+SUM('Staging Table'!L66:AI66)-IF(Init!$R$12="No",'Staging Table'!BH66, 0),X64))</f>
        <v/>
      </c>
      <c r="N64" s="297" t="str">
        <f>IF('Staging Table'!C66=1,"",IF(M64=0, 0, L64/M64))</f>
        <v/>
      </c>
      <c r="O64" s="199">
        <f>'Staging Table'!BR66*Rates_current!$E$76*100*12</f>
        <v>58835382.040080003</v>
      </c>
      <c r="P64" s="199">
        <f>'Staging Table'!BS66*Rates_current!$E$77*100*12</f>
        <v>-10339623.75804</v>
      </c>
      <c r="Q64" s="200">
        <f>SUMPRODUCT('Staging Table'!BY66:CV66, LS_Demand_Rates_Restatement!$C$5:$Z$5)-IF(Init!$R$12="No",('Staging Table'!DU66*Rates_current!$H$34), 0)</f>
        <v>0</v>
      </c>
      <c r="R64" s="200">
        <f>SUMPRODUCT('Staging Table'!CW66:DH66, LS_Demand_Rates_Restatement!$C$11:$N$11)*1000</f>
        <v>0</v>
      </c>
      <c r="S64" s="201">
        <f>'Staging Table'!ED66*IF(Init!$R$15="Yes",IF(Init!$R$6=2024,Rates_current!$C$88,Rates_current!$D$88),Rates_current!$H$33)</f>
        <v>0</v>
      </c>
      <c r="T64" s="201">
        <v>0</v>
      </c>
      <c r="U64" s="201">
        <f>IF('Staging Table'!D66=1, 'Staging Table'!BU66*-1,SUM(O64:T64)*'Staging Table'!BU66*-1)</f>
        <v>0</v>
      </c>
      <c r="V64" s="199">
        <f>'Staging Table'!BX66*Rates_current!$H$32*-1</f>
        <v>0</v>
      </c>
      <c r="W64" s="199" t="str">
        <f>IF('Staging Table'!C66=1,"",SUM(O64:V64))</f>
        <v/>
      </c>
      <c r="X64" s="199" t="str">
        <f>IF('Staging Table'!C66=1,"",(RT1SC!$C$4*'Staging Table'!BR66*'Staging Table'!$BS$2)+SUM('Staging Table'!BY66:CV66)-IF(Init!$R$12="No",'Staging Table'!DU66, 0))</f>
        <v/>
      </c>
      <c r="Y64" s="297" t="str">
        <f>IF('Staging Table'!C66=1,"",IF(X64=0, 0, W64/X64))</f>
        <v/>
      </c>
      <c r="Z64" s="76" t="str">
        <f ca="1">IF('Staging Table'!C66=1,"",(Y64/N64-1)+(RAND()/100000000000000))</f>
        <v/>
      </c>
      <c r="AA64" s="53" t="str">
        <f t="shared" ca="1" si="0"/>
        <v/>
      </c>
      <c r="AD64" s="204"/>
      <c r="AE64" s="204"/>
      <c r="AF64" s="208"/>
      <c r="AG64" s="204"/>
      <c r="AH64" s="204"/>
    </row>
    <row r="65" spans="2:34">
      <c r="B65" s="3">
        <v>10183</v>
      </c>
      <c r="C65" s="4" t="s">
        <v>68</v>
      </c>
      <c r="D65" s="199">
        <f>IF(Init!$R$9="Yes",'Staging Table'!E67,'Staging Table'!BR67)*Rates_previous!$E$76*100*12</f>
        <v>39850679.865399301</v>
      </c>
      <c r="E65" s="199">
        <f>IF(Init!$R$9="Yes",'Staging Table'!F67,'Staging Table'!BS67)*Rates_previous!$E$77*100*12</f>
        <v>-3495329.0232268749</v>
      </c>
      <c r="F65" s="200">
        <f>IF(Init!$R$9="Yes",SUMPRODUCT('Staging Table'!L67:AI67,LS_Demand_Rates_Restatement!$C$4:$Z$4)-IF(Init!$R$12="No",('Staging Table'!BH67*Rates_previous!$H$34), 0),SUMPRODUCT('Staging Table'!BY67:CV67,LS_Demand_Rates_Restatement!$C$4:$Z$4)-IF(Init!$R$12="No", 'Staging Table'!DU67*Rates_previous!$H$34, 0))</f>
        <v>-137551.7344772483</v>
      </c>
      <c r="G65" s="200">
        <f>IF(Init!$R$9="Yes",SUMPRODUCT('Staging Table'!AJ67:AU67,LS_Demand_Rates_Restatement!$C$10:$N$10),SUMPRODUCT(LS_Demand_Rates_Restatement!$C$10:$N$10,'Staging Table'!CW67:DH67))*1000</f>
        <v>0</v>
      </c>
      <c r="H65" s="201">
        <f>IF(Init!$R$9="Yes",'Staging Table'!BQ67,'Staging Table'!ED67)*IF(Init!$R$3=2022,Rates_previous!$C$88,Rates_previous!$D$88)</f>
        <v>0</v>
      </c>
      <c r="I65" s="199">
        <v>0</v>
      </c>
      <c r="J65" s="201">
        <f>IF(Init!$R$9="Yes",IF('Staging Table'!D67=1,'Staging Table'!H67*-1,'Staging Table'!H67*SUM(D65:I65)*(-1)),IF('Staging Table'!D67=1,'Staging Table'!BU67*-1,'Staging Table'!BU67*SUM(D65:I65)*(-1)))</f>
        <v>0</v>
      </c>
      <c r="K65" s="199">
        <f>IF(Init!$R$9="Yes",'Staging Table'!K67,'Staging Table'!BX67)*(-1)*Rates_previous!$H$32</f>
        <v>-1029038.9923</v>
      </c>
      <c r="L65" s="199">
        <f>IF('Staging Table'!C67=1,"",SUM(D65:K65))</f>
        <v>35188760.115395173</v>
      </c>
      <c r="M65" s="199">
        <f>IF('Staging Table'!C67=1,"",IF(Init!$R$9="Yes",(RT1SC!$C$3*'Staging Table'!E67*'Staging Table'!$F$2)+SUM('Staging Table'!L67:AI67)-IF(Init!$R$12="No",'Staging Table'!BH67, 0),X65))</f>
        <v>980611.97016259353</v>
      </c>
      <c r="N65" s="297">
        <f>IF('Staging Table'!C67=1,"",IF(M65=0, 0, L65/M65))</f>
        <v>35.884489671853167</v>
      </c>
      <c r="O65" s="199">
        <f>'Staging Table'!BR67*Rates_current!$E$76*100*12</f>
        <v>41387720.212799996</v>
      </c>
      <c r="P65" s="199">
        <f>'Staging Table'!BS67*Rates_current!$E$77*100*12</f>
        <v>-3863957.1363599999</v>
      </c>
      <c r="Q65" s="200">
        <f>SUMPRODUCT('Staging Table'!BY67:CV67, LS_Demand_Rates_Restatement!$C$5:$Z$5)-IF(Init!$R$12="No",('Staging Table'!DU67*Rates_current!$H$34), 0)</f>
        <v>373763.27958553639</v>
      </c>
      <c r="R65" s="200">
        <f>SUMPRODUCT('Staging Table'!CW67:DH67, LS_Demand_Rates_Restatement!$C$11:$N$11)*1000</f>
        <v>0</v>
      </c>
      <c r="S65" s="201">
        <f>'Staging Table'!ED67*IF(Init!$R$15="Yes",IF(Init!$R$6=2024,Rates_current!$C$88,Rates_current!$D$88),Rates_current!$H$33)</f>
        <v>0</v>
      </c>
      <c r="T65" s="201">
        <v>0</v>
      </c>
      <c r="U65" s="201">
        <f>IF('Staging Table'!D67=1, 'Staging Table'!BU67*-1,SUM(O65:T65)*'Staging Table'!BU67*-1)</f>
        <v>0</v>
      </c>
      <c r="V65" s="199">
        <f>'Staging Table'!BX67*Rates_current!$H$32*-1</f>
        <v>-1092291.84779</v>
      </c>
      <c r="W65" s="199">
        <f>IF('Staging Table'!C67=1,"",SUM(O65:V65))</f>
        <v>36805234.508235529</v>
      </c>
      <c r="X65" s="199">
        <f>IF('Staging Table'!C67=1,"",(RT1SC!$C$4*'Staging Table'!BR67*'Staging Table'!$BS$2)+SUM('Staging Table'!BY67:CV67)-IF(Init!$R$12="No",'Staging Table'!DU67, 0))</f>
        <v>1030811.1856783415</v>
      </c>
      <c r="Y65" s="297">
        <f>IF('Staging Table'!C67=1,"",IF(X65=0, 0, W65/X65))</f>
        <v>35.705117503178109</v>
      </c>
      <c r="Z65" s="76">
        <f ca="1">IF('Staging Table'!C67=1,"",(Y65/N65-1)+(RAND()/100000000000000))</f>
        <v>-4.9985988463307224E-3</v>
      </c>
      <c r="AA65" s="53">
        <f t="shared" ca="1" si="0"/>
        <v>42</v>
      </c>
      <c r="AD65" s="204"/>
      <c r="AE65" s="204"/>
      <c r="AF65" s="208"/>
      <c r="AG65" s="204"/>
      <c r="AH65" s="204"/>
    </row>
    <row r="66" spans="2:34">
      <c r="B66" s="3">
        <v>10186</v>
      </c>
      <c r="C66" s="4" t="s">
        <v>69</v>
      </c>
      <c r="D66" s="199">
        <f>IF(Init!$R$9="Yes",'Staging Table'!E68,'Staging Table'!BR68)*Rates_previous!$E$76*100*12</f>
        <v>6461922.4175154632</v>
      </c>
      <c r="E66" s="199">
        <f>IF(Init!$R$9="Yes",'Staging Table'!F68,'Staging Table'!BS68)*Rates_previous!$E$77*100*12</f>
        <v>-1066878.8964768343</v>
      </c>
      <c r="F66" s="200">
        <f>IF(Init!$R$9="Yes",SUMPRODUCT('Staging Table'!L68:AI68,LS_Demand_Rates_Restatement!$C$4:$Z$4)-IF(Init!$R$12="No",('Staging Table'!BH68*Rates_previous!$H$34), 0),SUMPRODUCT('Staging Table'!BY68:CV68,LS_Demand_Rates_Restatement!$C$4:$Z$4)-IF(Init!$R$12="No", 'Staging Table'!DU68*Rates_previous!$H$34, 0))</f>
        <v>-66148.100110813379</v>
      </c>
      <c r="G66" s="200">
        <f>IF(Init!$R$9="Yes",SUMPRODUCT('Staging Table'!AJ68:AU68,LS_Demand_Rates_Restatement!$C$10:$N$10),SUMPRODUCT(LS_Demand_Rates_Restatement!$C$10:$N$10,'Staging Table'!CW68:DH68))*1000</f>
        <v>307984.13907045947</v>
      </c>
      <c r="H66" s="201">
        <f>IF(Init!$R$9="Yes",'Staging Table'!BQ68,'Staging Table'!ED68)*IF(Init!$R$3=2022,Rates_previous!$C$88,Rates_previous!$D$88)</f>
        <v>-28173.32596070386</v>
      </c>
      <c r="I66" s="199">
        <v>0</v>
      </c>
      <c r="J66" s="201">
        <f>IF(Init!$R$9="Yes",IF('Staging Table'!D68=1,'Staging Table'!H68*-1,'Staging Table'!H68*SUM(D66:I66)*(-1)),IF('Staging Table'!D68=1,'Staging Table'!BU68*-1,'Staging Table'!BU68*SUM(D66:I66)*(-1)))</f>
        <v>-392609.43638263003</v>
      </c>
      <c r="K66" s="199">
        <f>IF(Init!$R$9="Yes",'Staging Table'!K68,'Staging Table'!BX68)*(-1)*Rates_previous!$H$32</f>
        <v>0</v>
      </c>
      <c r="L66" s="199">
        <f>IF('Staging Table'!C68=1,"",SUM(D66:K66))</f>
        <v>5216096.7976549417</v>
      </c>
      <c r="M66" s="199">
        <f>IF('Staging Table'!C68=1,"",IF(Init!$R$9="Yes",(RT1SC!$C$3*'Staging Table'!E68*'Staging Table'!$F$2)+SUM('Staging Table'!L68:AI68)-IF(Init!$R$12="No",'Staging Table'!BH68, 0),X66))</f>
        <v>155012.10313403409</v>
      </c>
      <c r="N66" s="297">
        <f>IF('Staging Table'!C68=1,"",IF(M66=0, 0, L66/M66))</f>
        <v>33.649609883331152</v>
      </c>
      <c r="O66" s="199">
        <f>'Staging Table'!BR68*Rates_current!$E$76*100*12</f>
        <v>6223852.1836799998</v>
      </c>
      <c r="P66" s="199">
        <f>'Staging Table'!BS68*Rates_current!$E$77*100*12</f>
        <v>-1093768.5398399998</v>
      </c>
      <c r="Q66" s="200">
        <f>SUMPRODUCT('Staging Table'!BY68:CV68, LS_Demand_Rates_Restatement!$C$5:$Z$5)-IF(Init!$R$12="No",('Staging Table'!DU68*Rates_current!$H$34), 0)</f>
        <v>113053.32803385516</v>
      </c>
      <c r="R66" s="200">
        <f>SUMPRODUCT('Staging Table'!CW68:DH68, LS_Demand_Rates_Restatement!$C$11:$N$11)*1000</f>
        <v>304818.56167275651</v>
      </c>
      <c r="S66" s="201">
        <f>'Staging Table'!ED68*IF(Init!$R$15="Yes",IF(Init!$R$6=2024,Rates_current!$C$88,Rates_current!$D$88),Rates_current!$H$33)</f>
        <v>-5.7050919674593024</v>
      </c>
      <c r="T66" s="201">
        <v>0</v>
      </c>
      <c r="U66" s="201">
        <f>IF('Staging Table'!D68=1, 'Staging Table'!BU68*-1,SUM(O66:T66)*'Staging Table'!BU68*-1)</f>
        <v>-388356.48799182515</v>
      </c>
      <c r="V66" s="199">
        <f>'Staging Table'!BX68*Rates_current!$H$32*-1</f>
        <v>0</v>
      </c>
      <c r="W66" s="199">
        <f>IF('Staging Table'!C68=1,"",SUM(O66:V66))</f>
        <v>5159593.3404628197</v>
      </c>
      <c r="X66" s="199">
        <f>IF('Staging Table'!C68=1,"",(RT1SC!$C$4*'Staging Table'!BR68*'Staging Table'!$BS$2)+SUM('Staging Table'!BY68:CV68)-IF(Init!$R$12="No",'Staging Table'!DU68, 0))</f>
        <v>155012.09571054493</v>
      </c>
      <c r="Y66" s="297">
        <f>IF('Staging Table'!C68=1,"",IF(X66=0, 0, W66/X66))</f>
        <v>33.285101506513151</v>
      </c>
      <c r="Z66" s="76">
        <f ca="1">IF('Staging Table'!C68=1,"",(Y66/N66-1)+(RAND()/100000000000000))</f>
        <v>-1.083246962094685E-2</v>
      </c>
      <c r="AA66" s="53">
        <f t="shared" ca="1" si="0"/>
        <v>71</v>
      </c>
      <c r="AD66" s="204"/>
      <c r="AE66" s="204"/>
      <c r="AF66" s="208"/>
      <c r="AG66" s="204"/>
      <c r="AH66" s="204"/>
    </row>
    <row r="67" spans="2:34">
      <c r="B67" s="3">
        <v>10190</v>
      </c>
      <c r="C67" s="4" t="s">
        <v>70</v>
      </c>
      <c r="D67" s="199">
        <f>IF(Init!$R$9="Yes",'Staging Table'!E69,'Staging Table'!BR69)*Rates_previous!$E$76*100*12</f>
        <v>1762843.898580723</v>
      </c>
      <c r="E67" s="199">
        <f>IF(Init!$R$9="Yes",'Staging Table'!F69,'Staging Table'!BS69)*Rates_previous!$E$77*100*12</f>
        <v>-291049.75758929743</v>
      </c>
      <c r="F67" s="200">
        <f>IF(Init!$R$9="Yes",SUMPRODUCT('Staging Table'!L69:AI69,LS_Demand_Rates_Restatement!$C$4:$Z$4)-IF(Init!$R$12="No",('Staging Table'!BH69*Rates_previous!$H$34), 0),SUMPRODUCT('Staging Table'!BY69:CV69,LS_Demand_Rates_Restatement!$C$4:$Z$4)-IF(Init!$R$12="No", 'Staging Table'!DU69*Rates_previous!$H$34, 0))</f>
        <v>58965.748094226583</v>
      </c>
      <c r="G67" s="200">
        <f>IF(Init!$R$9="Yes",SUMPRODUCT('Staging Table'!AJ69:AU69,LS_Demand_Rates_Restatement!$C$10:$N$10),SUMPRODUCT(LS_Demand_Rates_Restatement!$C$10:$N$10,'Staging Table'!CW69:DH69))*1000</f>
        <v>168706.46791476142</v>
      </c>
      <c r="H67" s="201">
        <f>IF(Init!$R$9="Yes",'Staging Table'!BQ69,'Staging Table'!ED69)*IF(Init!$R$3=2022,Rates_previous!$C$88,Rates_previous!$D$88)</f>
        <v>0</v>
      </c>
      <c r="I67" s="199">
        <v>0</v>
      </c>
      <c r="J67" s="201">
        <f>IF(Init!$R$9="Yes",IF('Staging Table'!D69=1,'Staging Table'!H69*-1,'Staging Table'!H69*SUM(D67:I67)*(-1)),IF('Staging Table'!D69=1,'Staging Table'!BU69*-1,'Staging Table'!BU69*SUM(D67:I67)*(-1)))</f>
        <v>0</v>
      </c>
      <c r="K67" s="199">
        <f>IF(Init!$R$9="Yes",'Staging Table'!K69,'Staging Table'!BX69)*(-1)*Rates_previous!$H$32</f>
        <v>0</v>
      </c>
      <c r="L67" s="199">
        <f>IF('Staging Table'!C69=1,"",SUM(D67:K67))</f>
        <v>1699466.3570004138</v>
      </c>
      <c r="M67" s="199">
        <f>IF('Staging Table'!C69=1,"",IF(Init!$R$9="Yes",(RT1SC!$C$3*'Staging Table'!E69*'Staging Table'!$F$2)+SUM('Staging Table'!L69:AI69)-IF(Init!$R$12="No",'Staging Table'!BH69, 0),X67))</f>
        <v>43379.519999999997</v>
      </c>
      <c r="N67" s="297">
        <f>IF('Staging Table'!C69=1,"",IF(M67=0, 0, L67/M67))</f>
        <v>39.176698059370274</v>
      </c>
      <c r="O67" s="199">
        <f>'Staging Table'!BR69*Rates_current!$E$76*100*12</f>
        <v>1831233.4855200001</v>
      </c>
      <c r="P67" s="199">
        <f>'Staging Table'!BS69*Rates_current!$E$77*100*12</f>
        <v>-321817.66476000001</v>
      </c>
      <c r="Q67" s="200">
        <f>SUMPRODUCT('Staging Table'!BY69:CV69, LS_Demand_Rates_Restatement!$C$5:$Z$5)-IF(Init!$R$12="No",('Staging Table'!DU69*Rates_current!$H$34), 0)</f>
        <v>100829.4720446602</v>
      </c>
      <c r="R67" s="200">
        <f>SUMPRODUCT('Staging Table'!CW69:DH69, LS_Demand_Rates_Restatement!$C$11:$N$11)*1000</f>
        <v>166826.35745763886</v>
      </c>
      <c r="S67" s="201">
        <f>'Staging Table'!ED69*IF(Init!$R$15="Yes",IF(Init!$R$6=2024,Rates_current!$C$88,Rates_current!$D$88),Rates_current!$H$33)</f>
        <v>0</v>
      </c>
      <c r="T67" s="201">
        <v>0</v>
      </c>
      <c r="U67" s="201">
        <f>IF('Staging Table'!D69=1, 'Staging Table'!BU69*-1,SUM(O67:T67)*'Staging Table'!BU69*-1)</f>
        <v>0</v>
      </c>
      <c r="V67" s="199">
        <f>'Staging Table'!BX69*Rates_current!$H$32*-1</f>
        <v>0</v>
      </c>
      <c r="W67" s="199">
        <f>IF('Staging Table'!C69=1,"",SUM(O67:V67))</f>
        <v>1777071.6502622992</v>
      </c>
      <c r="X67" s="199">
        <f>IF('Staging Table'!C69=1,"",(RT1SC!$C$4*'Staging Table'!BR69*'Staging Table'!$BS$2)+SUM('Staging Table'!BY69:CV69)-IF(Init!$R$12="No",'Staging Table'!DU69, 0))</f>
        <v>45606.527999999998</v>
      </c>
      <c r="Y67" s="297">
        <f>IF('Staging Table'!C69=1,"",IF(X67=0, 0, W67/X67))</f>
        <v>38.965291334220822</v>
      </c>
      <c r="Z67" s="76">
        <f ca="1">IF('Staging Table'!C69=1,"",(Y67/N67-1)+(RAND()/100000000000000))</f>
        <v>-5.3962364267850157E-3</v>
      </c>
      <c r="AA67" s="53">
        <f t="shared" ca="1" si="0"/>
        <v>46</v>
      </c>
      <c r="AD67" s="204"/>
      <c r="AE67" s="204"/>
      <c r="AF67" s="208"/>
      <c r="AG67" s="204"/>
      <c r="AH67" s="204"/>
    </row>
    <row r="68" spans="2:34">
      <c r="B68" s="3">
        <v>10191</v>
      </c>
      <c r="C68" s="4" t="s">
        <v>71</v>
      </c>
      <c r="D68" s="199">
        <f>IF(Init!$R$9="Yes",'Staging Table'!E70,'Staging Table'!BR70)*Rates_previous!$E$76*100*12</f>
        <v>44559110.977456689</v>
      </c>
      <c r="E68" s="199">
        <f>IF(Init!$R$9="Yes",'Staging Table'!F70,'Staging Table'!BS70)*Rates_previous!$E$77*100*12</f>
        <v>-7356816.14170417</v>
      </c>
      <c r="F68" s="200">
        <f>IF(Init!$R$9="Yes",SUMPRODUCT('Staging Table'!L70:AI70,LS_Demand_Rates_Restatement!$C$4:$Z$4)-IF(Init!$R$12="No",('Staging Table'!BH70*Rates_previous!$H$34), 0),SUMPRODUCT('Staging Table'!BY70:CV70,LS_Demand_Rates_Restatement!$C$4:$Z$4)-IF(Init!$R$12="No", 'Staging Table'!DU70*Rates_previous!$H$34, 0))</f>
        <v>406792.14570172346</v>
      </c>
      <c r="G68" s="200">
        <f>IF(Init!$R$9="Yes",SUMPRODUCT('Staging Table'!AJ70:AU70,LS_Demand_Rates_Restatement!$C$10:$N$10),SUMPRODUCT(LS_Demand_Rates_Restatement!$C$10:$N$10,'Staging Table'!CW70:DH70))*1000</f>
        <v>1374023.6409377933</v>
      </c>
      <c r="H68" s="201">
        <f>IF(Init!$R$9="Yes",'Staging Table'!BQ70,'Staging Table'!ED70)*IF(Init!$R$3=2022,Rates_previous!$C$88,Rates_previous!$D$88)</f>
        <v>0</v>
      </c>
      <c r="I68" s="199">
        <v>0</v>
      </c>
      <c r="J68" s="201">
        <f>IF(Init!$R$9="Yes",IF('Staging Table'!D70=1,'Staging Table'!H70*-1,'Staging Table'!H70*SUM(D68:I68)*(-1)),IF('Staging Table'!D70=1,'Staging Table'!BU70*-1,'Staging Table'!BU70*SUM(D68:I68)*(-1)))</f>
        <v>0</v>
      </c>
      <c r="K68" s="199">
        <f>IF(Init!$R$9="Yes",'Staging Table'!K70,'Staging Table'!BX70)*(-1)*Rates_previous!$H$32</f>
        <v>0</v>
      </c>
      <c r="L68" s="199">
        <f>IF('Staging Table'!C70=1,"",SUM(D68:K68))</f>
        <v>38983110.622392029</v>
      </c>
      <c r="M68" s="199">
        <f>IF('Staging Table'!C70=1,"",IF(Init!$R$9="Yes",(RT1SC!$C$3*'Staging Table'!E70*'Staging Table'!$F$2)+SUM('Staging Table'!L70:AI70)-IF(Init!$R$12="No",'Staging Table'!BH70, 0),X68))</f>
        <v>1096471.6800000002</v>
      </c>
      <c r="N68" s="297">
        <f>IF('Staging Table'!C70=1,"",IF(M68=0, 0, L68/M68))</f>
        <v>35.553230724930373</v>
      </c>
      <c r="O68" s="199">
        <f>'Staging Table'!BR70*Rates_current!$E$76*100*12</f>
        <v>42486809.063040003</v>
      </c>
      <c r="P68" s="199">
        <f>'Staging Table'!BS70*Rates_current!$E$77*100*12</f>
        <v>-7466555.0755199995</v>
      </c>
      <c r="Q68" s="200">
        <f>SUMPRODUCT('Staging Table'!BY70:CV70, LS_Demand_Rates_Restatement!$C$5:$Z$5)-IF(Init!$R$12="No",('Staging Table'!DU70*Rates_current!$H$34), 0)</f>
        <v>4091014.0589906322</v>
      </c>
      <c r="R68" s="200">
        <f>SUMPRODUCT('Staging Table'!CW70:DH70, LS_Demand_Rates_Restatement!$C$11:$N$11)*1000</f>
        <v>1393634.2342493585</v>
      </c>
      <c r="S68" s="201">
        <f>'Staging Table'!ED70*IF(Init!$R$15="Yes",IF(Init!$R$6=2024,Rates_current!$C$88,Rates_current!$D$88),Rates_current!$H$33)</f>
        <v>-583738.28611385624</v>
      </c>
      <c r="T68" s="201">
        <v>0</v>
      </c>
      <c r="U68" s="201">
        <f>IF('Staging Table'!D70=1, 'Staging Table'!BU70*-1,SUM(O68:T68)*'Staging Table'!BU70*-1)</f>
        <v>0</v>
      </c>
      <c r="V68" s="199">
        <f>'Staging Table'!BX70*Rates_current!$H$32*-1</f>
        <v>0</v>
      </c>
      <c r="W68" s="199">
        <f>IF('Staging Table'!C70=1,"",SUM(O68:V68))</f>
        <v>39921163.994646139</v>
      </c>
      <c r="X68" s="199">
        <f>IF('Staging Table'!C70=1,"",(RT1SC!$C$4*'Staging Table'!BR70*'Staging Table'!$BS$2)+SUM('Staging Table'!BY70:CV70)-IF(Init!$R$12="No",'Staging Table'!DU70, 0))</f>
        <v>1144918.8718504987</v>
      </c>
      <c r="Y68" s="297">
        <f>IF('Staging Table'!C70=1,"",IF(X68=0, 0, W68/X68))</f>
        <v>34.868115965389528</v>
      </c>
      <c r="Z68" s="76">
        <f ca="1">IF('Staging Table'!C70=1,"",(Y68/N68-1)+(RAND()/100000000000000))</f>
        <v>-1.9270112604991275E-2</v>
      </c>
      <c r="AA68" s="53">
        <f t="shared" ref="AA68:AA131" ca="1" si="1">IF(Z68="","",RANK(Z68,$Z$4:$Z$138))</f>
        <v>103</v>
      </c>
      <c r="AD68" s="204"/>
      <c r="AE68" s="204"/>
      <c r="AF68" s="208"/>
      <c r="AG68" s="204"/>
      <c r="AH68" s="204"/>
    </row>
    <row r="69" spans="2:34">
      <c r="B69" s="3">
        <v>10197</v>
      </c>
      <c r="C69" s="4" t="s">
        <v>72</v>
      </c>
      <c r="D69" s="199">
        <f>IF(Init!$R$9="Yes",'Staging Table'!E71,'Staging Table'!BR71)*Rates_previous!$E$76*100*12</f>
        <v>7726440.9697146397</v>
      </c>
      <c r="E69" s="199">
        <f>IF(Init!$R$9="Yes",'Staging Table'!F71,'Staging Table'!BS71)*Rates_previous!$E$77*100*12</f>
        <v>-1275653.9436497856</v>
      </c>
      <c r="F69" s="200">
        <f>IF(Init!$R$9="Yes",SUMPRODUCT('Staging Table'!L71:AI71,LS_Demand_Rates_Restatement!$C$4:$Z$4)-IF(Init!$R$12="No",('Staging Table'!BH71*Rates_previous!$H$34), 0),SUMPRODUCT('Staging Table'!BY71:CV71,LS_Demand_Rates_Restatement!$C$4:$Z$4)-IF(Init!$R$12="No", 'Staging Table'!DU71*Rates_previous!$H$34, 0))</f>
        <v>-447918.07689067069</v>
      </c>
      <c r="G69" s="200">
        <f>IF(Init!$R$9="Yes",SUMPRODUCT('Staging Table'!AJ71:AU71,LS_Demand_Rates_Restatement!$C$10:$N$10),SUMPRODUCT(LS_Demand_Rates_Restatement!$C$10:$N$10,'Staging Table'!CW71:DH71))*1000</f>
        <v>372861.23926466348</v>
      </c>
      <c r="H69" s="201">
        <f>IF(Init!$R$9="Yes",'Staging Table'!BQ71,'Staging Table'!ED71)*IF(Init!$R$3=2022,Rates_previous!$C$88,Rates_previous!$D$88)</f>
        <v>0</v>
      </c>
      <c r="I69" s="199">
        <v>0</v>
      </c>
      <c r="J69" s="201">
        <f>IF(Init!$R$9="Yes",IF('Staging Table'!D71=1,'Staging Table'!H71*-1,'Staging Table'!H71*SUM(D69:I69)*(-1)),IF('Staging Table'!D71=1,'Staging Table'!BU71*-1,'Staging Table'!BU71*SUM(D69:I69)*(-1)))</f>
        <v>-548440.3108095096</v>
      </c>
      <c r="K69" s="199">
        <f>IF(Init!$R$9="Yes",'Staging Table'!K71,'Staging Table'!BX71)*(-1)*Rates_previous!$H$32</f>
        <v>-1088901.3344999999</v>
      </c>
      <c r="L69" s="199">
        <f>IF('Staging Table'!C71=1,"",SUM(D69:K69))</f>
        <v>4738388.543129337</v>
      </c>
      <c r="M69" s="199">
        <f>IF('Staging Table'!C71=1,"",IF(Init!$R$9="Yes",(RT1SC!$C$3*'Staging Table'!E71*'Staging Table'!$F$2)+SUM('Staging Table'!L71:AI71)-IF(Init!$R$12="No",'Staging Table'!BH71, 0),X69))</f>
        <v>190127.04</v>
      </c>
      <c r="N69" s="297">
        <f>IF('Staging Table'!C71=1,"",IF(M69=0, 0, L69/M69))</f>
        <v>24.922223283596782</v>
      </c>
      <c r="O69" s="199">
        <f>'Staging Table'!BR71*Rates_current!$E$76*100*12</f>
        <v>8024693.8197599994</v>
      </c>
      <c r="P69" s="199">
        <f>'Staging Table'!BS71*Rates_current!$E$77*100*12</f>
        <v>-1410245.19588</v>
      </c>
      <c r="Q69" s="200">
        <f>SUMPRODUCT('Staging Table'!BY71:CV71, LS_Demand_Rates_Restatement!$C$5:$Z$5)-IF(Init!$R$12="No",('Staging Table'!DU71*Rates_current!$H$34), 0)</f>
        <v>-92750.432311249693</v>
      </c>
      <c r="R69" s="200">
        <f>SUMPRODUCT('Staging Table'!CW71:DH71, LS_Demand_Rates_Restatement!$C$11:$N$11)*1000</f>
        <v>389328.45674254815</v>
      </c>
      <c r="S69" s="201">
        <f>'Staging Table'!ED71*IF(Init!$R$15="Yes",IF(Init!$R$6=2024,Rates_current!$C$88,Rates_current!$D$88),Rates_current!$H$33)</f>
        <v>0</v>
      </c>
      <c r="T69" s="201">
        <v>0</v>
      </c>
      <c r="U69" s="201">
        <f>IF('Staging Table'!D71=1, 'Staging Table'!BU71*-1,SUM(O69:T69)*'Staging Table'!BU71*-1)</f>
        <v>-600265.78048867045</v>
      </c>
      <c r="V69" s="199">
        <f>'Staging Table'!BX71*Rates_current!$H$32*-1</f>
        <v>-1155833.8018499999</v>
      </c>
      <c r="W69" s="199">
        <f>IF('Staging Table'!C71=1,"",SUM(O69:V69))</f>
        <v>5154927.0659726262</v>
      </c>
      <c r="X69" s="199">
        <f>IF('Staging Table'!C71=1,"",(RT1SC!$C$4*'Staging Table'!BR71*'Staging Table'!$BS$2)+SUM('Staging Table'!BY71:CV71)-IF(Init!$R$12="No",'Staging Table'!DU71, 0))</f>
        <v>199862.08591613767</v>
      </c>
      <c r="Y69" s="297">
        <f>IF('Staging Table'!C71=1,"",IF(X69=0, 0, W69/X69))</f>
        <v>25.79242102044126</v>
      </c>
      <c r="Z69" s="76">
        <f ca="1">IF('Staging Table'!C71=1,"",(Y69/N69-1)+(RAND()/100000000000000))</f>
        <v>3.4916537218300944E-2</v>
      </c>
      <c r="AA69" s="53">
        <f t="shared" ca="1" si="1"/>
        <v>5</v>
      </c>
      <c r="AD69" s="204"/>
      <c r="AE69" s="204"/>
      <c r="AF69" s="208"/>
      <c r="AG69" s="204"/>
      <c r="AH69" s="204"/>
    </row>
    <row r="70" spans="2:34">
      <c r="B70" s="3">
        <v>10202</v>
      </c>
      <c r="C70" s="4" t="s">
        <v>73</v>
      </c>
      <c r="D70" s="199">
        <f>IF(Init!$R$9="Yes",'Staging Table'!E72,'Staging Table'!BR72)*Rates_previous!$E$76*100*12</f>
        <v>4448237.175183489</v>
      </c>
      <c r="E70" s="199">
        <f>IF(Init!$R$9="Yes",'Staging Table'!F72,'Staging Table'!BS72)*Rates_previous!$E$77*100*12</f>
        <v>-734414.63114186889</v>
      </c>
      <c r="F70" s="200">
        <f>IF(Init!$R$9="Yes",SUMPRODUCT('Staging Table'!L72:AI72,LS_Demand_Rates_Restatement!$C$4:$Z$4)-IF(Init!$R$12="No",('Staging Table'!BH72*Rates_previous!$H$34), 0),SUMPRODUCT('Staging Table'!BY72:CV72,LS_Demand_Rates_Restatement!$C$4:$Z$4)-IF(Init!$R$12="No", 'Staging Table'!DU72*Rates_previous!$H$34, 0))</f>
        <v>116923.15508995409</v>
      </c>
      <c r="G70" s="200">
        <f>IF(Init!$R$9="Yes",SUMPRODUCT('Staging Table'!AJ72:AU72,LS_Demand_Rates_Restatement!$C$10:$N$10),SUMPRODUCT(LS_Demand_Rates_Restatement!$C$10:$N$10,'Staging Table'!CW72:DH72))*1000</f>
        <v>199531.09317061969</v>
      </c>
      <c r="H70" s="201">
        <f>IF(Init!$R$9="Yes",'Staging Table'!BQ72,'Staging Table'!ED72)*IF(Init!$R$3=2022,Rates_previous!$C$88,Rates_previous!$D$88)</f>
        <v>0</v>
      </c>
      <c r="I70" s="199">
        <v>0</v>
      </c>
      <c r="J70" s="201">
        <f>IF(Init!$R$9="Yes",IF('Staging Table'!D72=1,'Staging Table'!H72*-1,'Staging Table'!H72*SUM(D70:I70)*(-1)),IF('Staging Table'!D72=1,'Staging Table'!BU72*-1,'Staging Table'!BU72*SUM(D70:I70)*(-1)))</f>
        <v>0</v>
      </c>
      <c r="K70" s="199">
        <f>IF(Init!$R$9="Yes",'Staging Table'!K72,'Staging Table'!BX72)*(-1)*Rates_previous!$H$32</f>
        <v>0</v>
      </c>
      <c r="L70" s="199">
        <f>IF('Staging Table'!C72=1,"",SUM(D70:K70))</f>
        <v>4030276.7923021936</v>
      </c>
      <c r="M70" s="199">
        <f>IF('Staging Table'!C72=1,"",IF(Init!$R$9="Yes",(RT1SC!$C$3*'Staging Table'!E72*'Staging Table'!$F$2)+SUM('Staging Table'!L72:AI72)-IF(Init!$R$12="No",'Staging Table'!BH72, 0),X70))</f>
        <v>109456.2</v>
      </c>
      <c r="N70" s="297">
        <f>IF('Staging Table'!C72=1,"",IF(M70=0, 0, L70/M70))</f>
        <v>36.820909115264314</v>
      </c>
      <c r="O70" s="199">
        <f>'Staging Table'!BR72*Rates_current!$E$76*100*12</f>
        <v>4619810.2283999994</v>
      </c>
      <c r="P70" s="199">
        <f>'Staging Table'!BS72*Rates_current!$E$77*100*12</f>
        <v>-811877.10420000006</v>
      </c>
      <c r="Q70" s="200">
        <f>SUMPRODUCT('Staging Table'!BY72:CV72, LS_Demand_Rates_Restatement!$C$5:$Z$5)-IF(Init!$R$12="No",('Staging Table'!DU72*Rates_current!$H$34), 0)</f>
        <v>270070.19819845713</v>
      </c>
      <c r="R70" s="200">
        <f>SUMPRODUCT('Staging Table'!CW72:DH72, LS_Demand_Rates_Restatement!$C$11:$N$11)*1000</f>
        <v>195936.06707251613</v>
      </c>
      <c r="S70" s="201">
        <f>'Staging Table'!ED72*IF(Init!$R$15="Yes",IF(Init!$R$6=2024,Rates_current!$C$88,Rates_current!$D$88),Rates_current!$H$33)</f>
        <v>0</v>
      </c>
      <c r="T70" s="201">
        <v>0</v>
      </c>
      <c r="U70" s="201">
        <f>IF('Staging Table'!D72=1, 'Staging Table'!BU72*-1,SUM(O70:T70)*'Staging Table'!BU72*-1)</f>
        <v>0</v>
      </c>
      <c r="V70" s="199">
        <f>'Staging Table'!BX72*Rates_current!$H$32*-1</f>
        <v>0</v>
      </c>
      <c r="W70" s="199">
        <f>IF('Staging Table'!C72=1,"",SUM(O70:V70))</f>
        <v>4273939.3894709731</v>
      </c>
      <c r="X70" s="199">
        <f>IF('Staging Table'!C72=1,"",(RT1SC!$C$4*'Staging Table'!BR72*'Staging Table'!$BS$2)+SUM('Staging Table'!BY72:CV72)-IF(Init!$R$12="No",'Staging Table'!DU72, 0))</f>
        <v>115059.0175274198</v>
      </c>
      <c r="Y70" s="297">
        <f>IF('Staging Table'!C72=1,"",IF(X70=0, 0, W70/X70))</f>
        <v>37.145627359910733</v>
      </c>
      <c r="Z70" s="76">
        <f ca="1">IF('Staging Table'!C72=1,"",(Y70/N70-1)+(RAND()/100000000000000))</f>
        <v>8.8188546249660903E-3</v>
      </c>
      <c r="AA70" s="53">
        <f t="shared" ca="1" si="1"/>
        <v>18</v>
      </c>
      <c r="AD70" s="204"/>
      <c r="AE70" s="204"/>
      <c r="AF70" s="208"/>
      <c r="AG70" s="204"/>
      <c r="AH70" s="204"/>
    </row>
    <row r="71" spans="2:34">
      <c r="B71" s="3">
        <v>10203</v>
      </c>
      <c r="C71" s="4" t="s">
        <v>74</v>
      </c>
      <c r="D71" s="199">
        <f>IF(Init!$R$9="Yes",'Staging Table'!E73,'Staging Table'!BR73)*Rates_previous!$E$76*100*12</f>
        <v>2110088.8945193551</v>
      </c>
      <c r="E71" s="199">
        <f>IF(Init!$R$9="Yes",'Staging Table'!F73,'Staging Table'!BS73)*Rates_previous!$E$77*100*12</f>
        <v>-348380.73963110161</v>
      </c>
      <c r="F71" s="200">
        <f>IF(Init!$R$9="Yes",SUMPRODUCT('Staging Table'!L73:AI73,LS_Demand_Rates_Restatement!$C$4:$Z$4)-IF(Init!$R$12="No",('Staging Table'!BH73*Rates_previous!$H$34), 0),SUMPRODUCT('Staging Table'!BY73:CV73,LS_Demand_Rates_Restatement!$C$4:$Z$4)-IF(Init!$R$12="No", 'Staging Table'!DU73*Rates_previous!$H$34, 0))</f>
        <v>52866.954261505714</v>
      </c>
      <c r="G71" s="200">
        <f>IF(Init!$R$9="Yes",SUMPRODUCT('Staging Table'!AJ73:AU73,LS_Demand_Rates_Restatement!$C$10:$N$10),SUMPRODUCT(LS_Demand_Rates_Restatement!$C$10:$N$10,'Staging Table'!CW73:DH73))*1000</f>
        <v>115223.23175194985</v>
      </c>
      <c r="H71" s="201">
        <f>IF(Init!$R$9="Yes",'Staging Table'!BQ73,'Staging Table'!ED73)*IF(Init!$R$3=2022,Rates_previous!$C$88,Rates_previous!$D$88)</f>
        <v>0</v>
      </c>
      <c r="I71" s="199">
        <v>0</v>
      </c>
      <c r="J71" s="201">
        <f>IF(Init!$R$9="Yes",IF('Staging Table'!D73=1,'Staging Table'!H73*-1,'Staging Table'!H73*SUM(D71:I71)*(-1)),IF('Staging Table'!D73=1,'Staging Table'!BU73*-1,'Staging Table'!BU73*SUM(D71:I71)*(-1)))</f>
        <v>-147533.08316193568</v>
      </c>
      <c r="K71" s="199">
        <f>IF(Init!$R$9="Yes",'Staging Table'!K73,'Staging Table'!BX73)*(-1)*Rates_previous!$H$32</f>
        <v>0</v>
      </c>
      <c r="L71" s="199">
        <f>IF('Staging Table'!C73=1,"",SUM(D71:K71))</f>
        <v>1782265.2577397735</v>
      </c>
      <c r="M71" s="199">
        <f>IF('Staging Table'!C73=1,"",IF(Init!$R$9="Yes",(RT1SC!$C$3*'Staging Table'!E73*'Staging Table'!$F$2)+SUM('Staging Table'!L73:AI73)-IF(Init!$R$12="No",'Staging Table'!BH73, 0),X71))</f>
        <v>51920.52</v>
      </c>
      <c r="N71" s="297">
        <f>IF('Staging Table'!C73=1,"",IF(M71=0, 0, L71/M71))</f>
        <v>34.326799071730669</v>
      </c>
      <c r="O71" s="199">
        <f>'Staging Table'!BR73*Rates_current!$E$76*100*12</f>
        <v>2191202.5219200002</v>
      </c>
      <c r="P71" s="199">
        <f>'Staging Table'!BS73*Rates_current!$E$77*100*12</f>
        <v>-385077.97295999998</v>
      </c>
      <c r="Q71" s="200">
        <f>SUMPRODUCT('Staging Table'!BY73:CV73, LS_Demand_Rates_Restatement!$C$5:$Z$5)-IF(Init!$R$12="No",('Staging Table'!DU73*Rates_current!$H$34), 0)</f>
        <v>93762.130483808287</v>
      </c>
      <c r="R71" s="200">
        <f>SUMPRODUCT('Staging Table'!CW73:DH73, LS_Demand_Rates_Restatement!$C$11:$N$11)*1000</f>
        <v>115010.53484511218</v>
      </c>
      <c r="S71" s="201">
        <f>'Staging Table'!ED73*IF(Init!$R$15="Yes",IF(Init!$R$6=2024,Rates_current!$C$88,Rates_current!$D$88),Rates_current!$H$33)</f>
        <v>0</v>
      </c>
      <c r="T71" s="201">
        <v>0</v>
      </c>
      <c r="U71" s="201">
        <f>IF('Staging Table'!D73=1, 'Staging Table'!BU73*-1,SUM(O71:T71)*'Staging Table'!BU73*-1)</f>
        <v>-152756.64491332858</v>
      </c>
      <c r="V71" s="199">
        <f>'Staging Table'!BX73*Rates_current!$H$32*-1</f>
        <v>0</v>
      </c>
      <c r="W71" s="199">
        <f>IF('Staging Table'!C73=1,"",SUM(O71:V71))</f>
        <v>1862140.5693755921</v>
      </c>
      <c r="X71" s="199">
        <f>IF('Staging Table'!C73=1,"",(RT1SC!$C$4*'Staging Table'!BR73*'Staging Table'!$BS$2)+SUM('Staging Table'!BY73:CV73)-IF(Init!$R$12="No",'Staging Table'!DU73, 0))</f>
        <v>54574.991999999998</v>
      </c>
      <c r="Y71" s="297">
        <f>IF('Staging Table'!C73=1,"",IF(X71=0, 0, W71/X71))</f>
        <v>34.120766694305551</v>
      </c>
      <c r="Z71" s="76">
        <f ca="1">IF('Staging Table'!C73=1,"",(Y71/N71-1)+(RAND()/100000000000000))</f>
        <v>-6.0020853384687572E-3</v>
      </c>
      <c r="AA71" s="53">
        <f t="shared" ca="1" si="1"/>
        <v>49</v>
      </c>
      <c r="AD71" s="204"/>
      <c r="AE71" s="204"/>
      <c r="AF71" s="208"/>
      <c r="AG71" s="204"/>
      <c r="AH71" s="204"/>
    </row>
    <row r="72" spans="2:34">
      <c r="B72" s="3">
        <v>10204</v>
      </c>
      <c r="C72" s="4" t="s">
        <v>75</v>
      </c>
      <c r="D72" s="199">
        <f>IF(Init!$R$9="Yes",'Staging Table'!E74,'Staging Table'!BR74)*Rates_previous!$E$76*100*12</f>
        <v>27016044.380153716</v>
      </c>
      <c r="E72" s="199">
        <f>IF(Init!$R$9="Yes",'Staging Table'!F74,'Staging Table'!BS74)*Rates_previous!$E$77*100*12</f>
        <v>-2287023.1461883537</v>
      </c>
      <c r="F72" s="200">
        <f>IF(Init!$R$9="Yes",SUMPRODUCT('Staging Table'!L74:AI74,LS_Demand_Rates_Restatement!$C$4:$Z$4)-IF(Init!$R$12="No",('Staging Table'!BH74*Rates_previous!$H$34), 0),SUMPRODUCT('Staging Table'!BY74:CV74,LS_Demand_Rates_Restatement!$C$4:$Z$4)-IF(Init!$R$12="No", 'Staging Table'!DU74*Rates_previous!$H$34, 0))</f>
        <v>39095.801203981493</v>
      </c>
      <c r="G72" s="200">
        <f>IF(Init!$R$9="Yes",SUMPRODUCT('Staging Table'!AJ74:AU74,LS_Demand_Rates_Restatement!$C$10:$N$10),SUMPRODUCT(LS_Demand_Rates_Restatement!$C$10:$N$10,'Staging Table'!CW74:DH74))*1000</f>
        <v>0</v>
      </c>
      <c r="H72" s="201">
        <f>IF(Init!$R$9="Yes",'Staging Table'!BQ74,'Staging Table'!ED74)*IF(Init!$R$3=2022,Rates_previous!$C$88,Rates_previous!$D$88)</f>
        <v>0</v>
      </c>
      <c r="I72" s="199">
        <v>0</v>
      </c>
      <c r="J72" s="201">
        <f>IF(Init!$R$9="Yes",IF('Staging Table'!D74=1,'Staging Table'!H74*-1,'Staging Table'!H74*SUM(D72:I72)*(-1)),IF('Staging Table'!D74=1,'Staging Table'!BU74*-1,'Staging Table'!BU74*SUM(D72:I72)*(-1)))</f>
        <v>0</v>
      </c>
      <c r="K72" s="199">
        <f>IF(Init!$R$9="Yes",'Staging Table'!K74,'Staging Table'!BX74)*(-1)*Rates_previous!$H$32</f>
        <v>0</v>
      </c>
      <c r="L72" s="199">
        <f>IF('Staging Table'!C74=1,"",SUM(D72:K72))</f>
        <v>24768117.035169344</v>
      </c>
      <c r="M72" s="199">
        <f>IF('Staging Table'!C74=1,"",IF(Init!$R$9="Yes",(RT1SC!$C$3*'Staging Table'!E74*'Staging Table'!$F$2)+SUM('Staging Table'!L74:AI74)-IF(Init!$R$12="No",'Staging Table'!BH74, 0),X72))</f>
        <v>664787.67400681903</v>
      </c>
      <c r="N72" s="297">
        <f>IF('Staging Table'!C74=1,"",IF(M72=0, 0, L72/M72))</f>
        <v>37.257184517105365</v>
      </c>
      <c r="O72" s="199">
        <f>'Staging Table'!BR74*Rates_current!$E$76*100*12</f>
        <v>28058153.984640002</v>
      </c>
      <c r="P72" s="199">
        <f>'Staging Table'!BS74*Rates_current!$E$77*100*12</f>
        <v>-2528267.1687599993</v>
      </c>
      <c r="Q72" s="200">
        <f>SUMPRODUCT('Staging Table'!BY74:CV74, LS_Demand_Rates_Restatement!$C$5:$Z$5)-IF(Init!$R$12="No",('Staging Table'!DU74*Rates_current!$H$34), 0)</f>
        <v>191592.17966849613</v>
      </c>
      <c r="R72" s="200">
        <f>SUMPRODUCT('Staging Table'!CW74:DH74, LS_Demand_Rates_Restatement!$C$11:$N$11)*1000</f>
        <v>0</v>
      </c>
      <c r="S72" s="201">
        <f>'Staging Table'!ED74*IF(Init!$R$15="Yes",IF(Init!$R$6=2024,Rates_current!$C$88,Rates_current!$D$88),Rates_current!$H$33)</f>
        <v>0</v>
      </c>
      <c r="T72" s="201">
        <v>0</v>
      </c>
      <c r="U72" s="201">
        <f>IF('Staging Table'!D74=1, 'Staging Table'!BU74*-1,SUM(O72:T72)*'Staging Table'!BU74*-1)</f>
        <v>0</v>
      </c>
      <c r="V72" s="199">
        <f>'Staging Table'!BX74*Rates_current!$H$32*-1</f>
        <v>0</v>
      </c>
      <c r="W72" s="199">
        <f>IF('Staging Table'!C74=1,"",SUM(O72:V72))</f>
        <v>25721478.995548502</v>
      </c>
      <c r="X72" s="199">
        <f>IF('Staging Table'!C74=1,"",(RT1SC!$C$4*'Staging Table'!BR74*'Staging Table'!$BS$2)+SUM('Staging Table'!BY74:CV74)-IF(Init!$R$12="No",'Staging Table'!DU74, 0))</f>
        <v>698819.90831526997</v>
      </c>
      <c r="Y72" s="297">
        <f>IF('Staging Table'!C74=1,"",IF(X72=0, 0, W72/X72))</f>
        <v>36.807020935563209</v>
      </c>
      <c r="Z72" s="76">
        <f ca="1">IF('Staging Table'!C74=1,"",(Y72/N72-1)+(RAND()/100000000000000))</f>
        <v>-1.208259795731809E-2</v>
      </c>
      <c r="AA72" s="53">
        <f t="shared" ca="1" si="1"/>
        <v>78</v>
      </c>
      <c r="AD72" s="204"/>
      <c r="AE72" s="204"/>
      <c r="AF72" s="208"/>
      <c r="AG72" s="204"/>
      <c r="AH72" s="204"/>
    </row>
    <row r="73" spans="2:34">
      <c r="B73" s="3">
        <v>10209</v>
      </c>
      <c r="C73" s="4" t="s">
        <v>76</v>
      </c>
      <c r="D73" s="199">
        <f>IF(Init!$R$9="Yes",'Staging Table'!E75,'Staging Table'!BR75)*Rates_previous!$E$76*100*12</f>
        <v>35618991.192517318</v>
      </c>
      <c r="E73" s="199">
        <f>IF(Init!$R$9="Yes",'Staging Table'!F75,'Staging Table'!BS75)*Rates_previous!$E$77*100*12</f>
        <v>-5880780.9134455649</v>
      </c>
      <c r="F73" s="200">
        <f>IF(Init!$R$9="Yes",SUMPRODUCT('Staging Table'!L75:AI75,LS_Demand_Rates_Restatement!$C$4:$Z$4)-IF(Init!$R$12="No",('Staging Table'!BH75*Rates_previous!$H$34), 0),SUMPRODUCT('Staging Table'!BY75:CV75,LS_Demand_Rates_Restatement!$C$4:$Z$4)-IF(Init!$R$12="No", 'Staging Table'!DU75*Rates_previous!$H$34, 0))</f>
        <v>566269.24599477882</v>
      </c>
      <c r="G73" s="200">
        <f>IF(Init!$R$9="Yes",SUMPRODUCT('Staging Table'!AJ75:AU75,LS_Demand_Rates_Restatement!$C$10:$N$10),SUMPRODUCT(LS_Demand_Rates_Restatement!$C$10:$N$10,'Staging Table'!CW75:DH75))*1000</f>
        <v>2701640.5093732448</v>
      </c>
      <c r="H73" s="201">
        <f>IF(Init!$R$9="Yes",'Staging Table'!BQ75,'Staging Table'!ED75)*IF(Init!$R$3=2022,Rates_previous!$C$88,Rates_previous!$D$88)</f>
        <v>0</v>
      </c>
      <c r="I73" s="199">
        <v>0</v>
      </c>
      <c r="J73" s="201">
        <f>IF(Init!$R$9="Yes",IF('Staging Table'!D75=1,'Staging Table'!H75*-1,'Staging Table'!H75*SUM(D73:I73)*(-1)),IF('Staging Table'!D75=1,'Staging Table'!BU75*-1,'Staging Table'!BU75*SUM(D73:I73)*(-1)))</f>
        <v>-2719044.1684371484</v>
      </c>
      <c r="K73" s="199">
        <f>IF(Init!$R$9="Yes",'Staging Table'!K75,'Staging Table'!BX75)*(-1)*Rates_previous!$H$32</f>
        <v>-655228.44090000005</v>
      </c>
      <c r="L73" s="199">
        <f>IF('Staging Table'!C75=1,"",SUM(D73:K73))</f>
        <v>29631847.425102625</v>
      </c>
      <c r="M73" s="199">
        <f>IF('Staging Table'!C75=1,"",IF(Init!$R$9="Yes",(RT1SC!$C$3*'Staging Table'!E75*'Staging Table'!$F$2)+SUM('Staging Table'!L75:AI75)-IF(Init!$R$12="No",'Staging Table'!BH75, 0),X73))</f>
        <v>876481.8</v>
      </c>
      <c r="N73" s="297">
        <f>IF('Staging Table'!C75=1,"",IF(M73=0, 0, L73/M73))</f>
        <v>33.807715602426228</v>
      </c>
      <c r="O73" s="199">
        <f>'Staging Table'!BR75*Rates_current!$E$76*100*12</f>
        <v>36993108.606479995</v>
      </c>
      <c r="P73" s="199">
        <f>'Staging Table'!BS75*Rates_current!$E$77*100*12</f>
        <v>-6501102.0812400002</v>
      </c>
      <c r="Q73" s="200">
        <f>SUMPRODUCT('Staging Table'!BY75:CV75, LS_Demand_Rates_Restatement!$C$5:$Z$5)-IF(Init!$R$12="No",('Staging Table'!DU75*Rates_current!$H$34), 0)</f>
        <v>1299795.9093768131</v>
      </c>
      <c r="R73" s="200">
        <f>SUMPRODUCT('Staging Table'!CW75:DH75, LS_Demand_Rates_Restatement!$C$11:$N$11)*1000</f>
        <v>2665414.0181708862</v>
      </c>
      <c r="S73" s="201">
        <f>'Staging Table'!ED75*IF(Init!$R$15="Yes",IF(Init!$R$6=2024,Rates_current!$C$88,Rates_current!$D$88),Rates_current!$H$33)</f>
        <v>0</v>
      </c>
      <c r="T73" s="201">
        <v>0</v>
      </c>
      <c r="U73" s="201">
        <f>IF('Staging Table'!D75=1, 'Staging Table'!BU75*-1,SUM(O73:T73)*'Staging Table'!BU75*-1)</f>
        <v>-2940949.2121326602</v>
      </c>
      <c r="V73" s="199">
        <f>'Staging Table'!BX75*Rates_current!$H$32*-1</f>
        <v>-695503.95056999999</v>
      </c>
      <c r="W73" s="199">
        <f>IF('Staging Table'!C75=1,"",SUM(O73:V73))</f>
        <v>30820763.29008504</v>
      </c>
      <c r="X73" s="199">
        <f>IF('Staging Table'!C75=1,"",(RT1SC!$C$4*'Staging Table'!BR75*'Staging Table'!$BS$2)+SUM('Staging Table'!BY75:CV75)-IF(Init!$R$12="No",'Staging Table'!DU75, 0))</f>
        <v>921349.75322331162</v>
      </c>
      <c r="Y73" s="297">
        <f>IF('Staging Table'!C75=1,"",IF(X73=0, 0, W73/X73))</f>
        <v>33.451751826339148</v>
      </c>
      <c r="Z73" s="76">
        <f ca="1">IF('Staging Table'!C75=1,"",(Y73/N73-1)+(RAND()/100000000000000))</f>
        <v>-1.0529069170863747E-2</v>
      </c>
      <c r="AA73" s="53">
        <f t="shared" ca="1" si="1"/>
        <v>69</v>
      </c>
      <c r="AD73" s="204"/>
      <c r="AE73" s="204"/>
      <c r="AF73" s="208"/>
      <c r="AG73" s="204"/>
      <c r="AH73" s="204"/>
    </row>
    <row r="74" spans="2:34">
      <c r="B74" s="3">
        <v>10230</v>
      </c>
      <c r="C74" s="4" t="s">
        <v>77</v>
      </c>
      <c r="D74" s="199">
        <f>IF(Init!$R$9="Yes",'Staging Table'!E76,'Staging Table'!BR76)*Rates_previous!$E$76*100*12</f>
        <v>3294750.69005585</v>
      </c>
      <c r="E74" s="199">
        <f>IF(Init!$R$9="Yes",'Staging Table'!F76,'Staging Table'!BS76)*Rates_previous!$E$77*100*12</f>
        <v>-543971.24466322362</v>
      </c>
      <c r="F74" s="200">
        <f>IF(Init!$R$9="Yes",SUMPRODUCT('Staging Table'!L76:AI76,LS_Demand_Rates_Restatement!$C$4:$Z$4)-IF(Init!$R$12="No",('Staging Table'!BH76*Rates_previous!$H$34), 0),SUMPRODUCT('Staging Table'!BY76:CV76,LS_Demand_Rates_Restatement!$C$4:$Z$4)-IF(Init!$R$12="No", 'Staging Table'!DU76*Rates_previous!$H$34, 0))</f>
        <v>78981.104481220682</v>
      </c>
      <c r="G74" s="200">
        <f>IF(Init!$R$9="Yes",SUMPRODUCT('Staging Table'!AJ76:AU76,LS_Demand_Rates_Restatement!$C$10:$N$10),SUMPRODUCT(LS_Demand_Rates_Restatement!$C$10:$N$10,'Staging Table'!CW76:DH76))*1000</f>
        <v>355899.79847023688</v>
      </c>
      <c r="H74" s="201">
        <f>IF(Init!$R$9="Yes",'Staging Table'!BQ76,'Staging Table'!ED76)*IF(Init!$R$3=2022,Rates_previous!$C$88,Rates_previous!$D$88)</f>
        <v>0</v>
      </c>
      <c r="I74" s="199">
        <v>0</v>
      </c>
      <c r="J74" s="201">
        <f>IF(Init!$R$9="Yes",IF('Staging Table'!D76=1,'Staging Table'!H76*-1,'Staging Table'!H76*SUM(D74:I74)*(-1)),IF('Staging Table'!D76=1,'Staging Table'!BU76*-1,'Staging Table'!BU76*SUM(D74:I74)*(-1)))</f>
        <v>-296138.98598206602</v>
      </c>
      <c r="K74" s="199">
        <f>IF(Init!$R$9="Yes",'Staging Table'!K76,'Staging Table'!BX76)*(-1)*Rates_previous!$H$32</f>
        <v>0</v>
      </c>
      <c r="L74" s="199">
        <f>IF('Staging Table'!C76=1,"",SUM(D74:K74))</f>
        <v>2889521.3623620179</v>
      </c>
      <c r="M74" s="199">
        <f>IF('Staging Table'!C76=1,"",IF(Init!$R$9="Yes",(RT1SC!$C$3*'Staging Table'!E76*'Staging Table'!$F$2)+SUM('Staging Table'!L76:AI76)-IF(Init!$R$12="No",'Staging Table'!BH76, 0),X74))</f>
        <v>81073.8</v>
      </c>
      <c r="N74" s="297">
        <f>IF('Staging Table'!C76=1,"",IF(M74=0, 0, L74/M74))</f>
        <v>35.640630664431882</v>
      </c>
      <c r="O74" s="199">
        <f>'Staging Table'!BR76*Rates_current!$E$76*100*12</f>
        <v>3421823.31072</v>
      </c>
      <c r="P74" s="199">
        <f>'Staging Table'!BS76*Rates_current!$E$77*100*12</f>
        <v>-601345.04735999997</v>
      </c>
      <c r="Q74" s="200">
        <f>SUMPRODUCT('Staging Table'!BY76:CV76, LS_Demand_Rates_Restatement!$C$5:$Z$5)-IF(Init!$R$12="No",('Staging Table'!DU76*Rates_current!$H$34), 0)</f>
        <v>152569.73634138948</v>
      </c>
      <c r="R74" s="200">
        <f>SUMPRODUCT('Staging Table'!CW76:DH76, LS_Demand_Rates_Restatement!$C$11:$N$11)*1000</f>
        <v>354014.34128448187</v>
      </c>
      <c r="S74" s="201">
        <f>'Staging Table'!ED76*IF(Init!$R$15="Yes",IF(Init!$R$6=2024,Rates_current!$C$88,Rates_current!$D$88),Rates_current!$H$33)</f>
        <v>0</v>
      </c>
      <c r="T74" s="201">
        <v>0</v>
      </c>
      <c r="U74" s="201">
        <f>IF('Staging Table'!D76=1, 'Staging Table'!BU76*-1,SUM(O74:T74)*'Staging Table'!BU76*-1)</f>
        <v>-296170.96077260951</v>
      </c>
      <c r="V74" s="199">
        <f>'Staging Table'!BX76*Rates_current!$H$32*-1</f>
        <v>0</v>
      </c>
      <c r="W74" s="199">
        <f>IF('Staging Table'!C76=1,"",SUM(O74:V74))</f>
        <v>3030891.380213262</v>
      </c>
      <c r="X74" s="199">
        <f>IF('Staging Table'!C76=1,"",(RT1SC!$C$4*'Staging Table'!BR76*'Staging Table'!$BS$2)+SUM('Staging Table'!BY76:CV76)-IF(Init!$R$12="No",'Staging Table'!DU76, 0))</f>
        <v>85218.409390651839</v>
      </c>
      <c r="Y74" s="297">
        <f>IF('Staging Table'!C76=1,"",IF(X74=0, 0, W74/X74))</f>
        <v>35.566157616475536</v>
      </c>
      <c r="Z74" s="76">
        <f ca="1">IF('Staging Table'!C76=1,"",(Y74/N74-1)+(RAND()/100000000000000))</f>
        <v>-2.0895547179649943E-3</v>
      </c>
      <c r="AA74" s="53">
        <f t="shared" ca="1" si="1"/>
        <v>37</v>
      </c>
      <c r="AD74" s="204"/>
      <c r="AE74" s="204"/>
      <c r="AF74" s="208"/>
      <c r="AG74" s="204"/>
      <c r="AH74" s="204"/>
    </row>
    <row r="75" spans="2:34">
      <c r="B75" s="3">
        <v>10231</v>
      </c>
      <c r="C75" s="4" t="s">
        <v>78</v>
      </c>
      <c r="D75" s="199">
        <f>IF(Init!$R$9="Yes",'Staging Table'!E77,'Staging Table'!BR77)*Rates_previous!$E$76*100*12</f>
        <v>12448781.066415986</v>
      </c>
      <c r="E75" s="199">
        <f>IF(Init!$R$9="Yes",'Staging Table'!F77,'Staging Table'!BS77)*Rates_previous!$E$77*100*12</f>
        <v>-2055323.6248426088</v>
      </c>
      <c r="F75" s="200">
        <f>IF(Init!$R$9="Yes",SUMPRODUCT('Staging Table'!L77:AI77,LS_Demand_Rates_Restatement!$C$4:$Z$4)-IF(Init!$R$12="No",('Staging Table'!BH77*Rates_previous!$H$34), 0),SUMPRODUCT('Staging Table'!BY77:CV77,LS_Demand_Rates_Restatement!$C$4:$Z$4)-IF(Init!$R$12="No", 'Staging Table'!DU77*Rates_previous!$H$34, 0))</f>
        <v>250614.31924679736</v>
      </c>
      <c r="G75" s="200">
        <f>IF(Init!$R$9="Yes",SUMPRODUCT('Staging Table'!AJ77:AU77,LS_Demand_Rates_Restatement!$C$10:$N$10),SUMPRODUCT(LS_Demand_Rates_Restatement!$C$10:$N$10,'Staging Table'!CW77:DH77))*1000</f>
        <v>390820.00950098882</v>
      </c>
      <c r="H75" s="201">
        <f>IF(Init!$R$9="Yes",'Staging Table'!BQ77,'Staging Table'!ED77)*IF(Init!$R$3=2022,Rates_previous!$C$88,Rates_previous!$D$88)</f>
        <v>0</v>
      </c>
      <c r="I75" s="199">
        <v>0</v>
      </c>
      <c r="J75" s="201">
        <f>IF(Init!$R$9="Yes",IF('Staging Table'!D77=1,'Staging Table'!H77*-1,'Staging Table'!H77*SUM(D75:I75)*(-1)),IF('Staging Table'!D77=1,'Staging Table'!BU77*-1,'Staging Table'!BU77*SUM(D75:I75)*(-1)))</f>
        <v>-995126.53984756256</v>
      </c>
      <c r="K75" s="199">
        <f>IF(Init!$R$9="Yes",'Staging Table'!K77,'Staging Table'!BX77)*(-1)*Rates_previous!$H$32</f>
        <v>-235796.74609999999</v>
      </c>
      <c r="L75" s="199">
        <f>IF('Staging Table'!C77=1,"",SUM(D75:K75))</f>
        <v>9803968.484373603</v>
      </c>
      <c r="M75" s="199">
        <f>IF('Staging Table'!C77=1,"",IF(Init!$R$9="Yes",(RT1SC!$C$3*'Staging Table'!E77*'Staging Table'!$F$2)+SUM('Staging Table'!L77:AI77)-IF(Init!$R$12="No",'Staging Table'!BH77, 0),X75))</f>
        <v>306328.44</v>
      </c>
      <c r="N75" s="297">
        <f>IF('Staging Table'!C77=1,"",IF(M75=0, 0, L75/M75))</f>
        <v>32.004760917313469</v>
      </c>
      <c r="O75" s="199">
        <f>'Staging Table'!BR77*Rates_current!$E$76*100*12</f>
        <v>12928991.688000001</v>
      </c>
      <c r="P75" s="199">
        <f>'Staging Table'!BS77*Rates_current!$E$77*100*12</f>
        <v>-2272117.6439999999</v>
      </c>
      <c r="Q75" s="200">
        <f>SUMPRODUCT('Staging Table'!BY77:CV77, LS_Demand_Rates_Restatement!$C$5:$Z$5)-IF(Init!$R$12="No",('Staging Table'!DU77*Rates_current!$H$34), 0)</f>
        <v>694268.45162848954</v>
      </c>
      <c r="R75" s="200">
        <f>SUMPRODUCT('Staging Table'!CW77:DH77, LS_Demand_Rates_Restatement!$C$11:$N$11)*1000</f>
        <v>401204.94348141062</v>
      </c>
      <c r="S75" s="201">
        <f>'Staging Table'!ED77*IF(Init!$R$15="Yes",IF(Init!$R$6=2024,Rates_current!$C$88,Rates_current!$D$88),Rates_current!$H$33)</f>
        <v>0</v>
      </c>
      <c r="T75" s="201">
        <v>0</v>
      </c>
      <c r="U75" s="201">
        <f>IF('Staging Table'!D77=1, 'Staging Table'!BU77*-1,SUM(O75:T75)*'Staging Table'!BU77*-1)</f>
        <v>-1276443.6172170544</v>
      </c>
      <c r="V75" s="199">
        <f>'Staging Table'!BX77*Rates_current!$H$32*-1</f>
        <v>-250290.67452999999</v>
      </c>
      <c r="W75" s="199">
        <f>IF('Staging Table'!C77=1,"",SUM(O75:V75))</f>
        <v>10225613.147362847</v>
      </c>
      <c r="X75" s="199">
        <f>IF('Staging Table'!C77=1,"",(RT1SC!$C$4*'Staging Table'!BR77*'Staging Table'!$BS$2)+SUM('Staging Table'!BY77:CV77)-IF(Init!$R$12="No",'Staging Table'!DU77, 0))</f>
        <v>322012.65600000002</v>
      </c>
      <c r="Y75" s="297">
        <f>IF('Staging Table'!C77=1,"",IF(X75=0, 0, W75/X75))</f>
        <v>31.755314447525461</v>
      </c>
      <c r="Z75" s="76">
        <f ca="1">IF('Staging Table'!C77=1,"",(Y75/N75-1)+(RAND()/100000000000000))</f>
        <v>-7.7940425936068149E-3</v>
      </c>
      <c r="AA75" s="53">
        <f t="shared" ca="1" si="1"/>
        <v>58</v>
      </c>
      <c r="AD75" s="204"/>
      <c r="AE75" s="204"/>
      <c r="AF75" s="208"/>
      <c r="AG75" s="204"/>
      <c r="AH75" s="204"/>
    </row>
    <row r="76" spans="2:34">
      <c r="B76" s="3">
        <v>10234</v>
      </c>
      <c r="C76" s="4" t="s">
        <v>79</v>
      </c>
      <c r="D76" s="199">
        <f>IF(Init!$R$9="Yes",'Staging Table'!E78,'Staging Table'!BR78)*Rates_previous!$E$76*100*12</f>
        <v>17318364.552279156</v>
      </c>
      <c r="E76" s="199">
        <f>IF(Init!$R$9="Yes",'Staging Table'!F78,'Staging Table'!BS78)*Rates_previous!$E$77*100*12</f>
        <v>-2859303.5428957003</v>
      </c>
      <c r="F76" s="200">
        <f>IF(Init!$R$9="Yes",SUMPRODUCT('Staging Table'!L78:AI78,LS_Demand_Rates_Restatement!$C$4:$Z$4)-IF(Init!$R$12="No",('Staging Table'!BH78*Rates_previous!$H$34), 0),SUMPRODUCT('Staging Table'!BY78:CV78,LS_Demand_Rates_Restatement!$C$4:$Z$4)-IF(Init!$R$12="No", 'Staging Table'!DU78*Rates_previous!$H$34, 0))</f>
        <v>358238.64329121727</v>
      </c>
      <c r="G76" s="200">
        <f>IF(Init!$R$9="Yes",SUMPRODUCT('Staging Table'!AJ78:AU78,LS_Demand_Rates_Restatement!$C$10:$N$10),SUMPRODUCT(LS_Demand_Rates_Restatement!$C$10:$N$10,'Staging Table'!CW78:DH78))*1000</f>
        <v>1823282.4659983884</v>
      </c>
      <c r="H76" s="201">
        <f>IF(Init!$R$9="Yes",'Staging Table'!BQ78,'Staging Table'!ED78)*IF(Init!$R$3=2022,Rates_previous!$C$88,Rates_previous!$D$88)</f>
        <v>0</v>
      </c>
      <c r="I76" s="199">
        <v>0</v>
      </c>
      <c r="J76" s="201">
        <f>IF(Init!$R$9="Yes",IF('Staging Table'!D78=1,'Staging Table'!H78*-1,'Staging Table'!H78*SUM(D76:I76)*(-1)),IF('Staging Table'!D78=1,'Staging Table'!BU78*-1,'Staging Table'!BU78*SUM(D76:I76)*(-1)))</f>
        <v>0</v>
      </c>
      <c r="K76" s="199">
        <f>IF(Init!$R$9="Yes",'Staging Table'!K78,'Staging Table'!BX78)*(-1)*Rates_previous!$H$32</f>
        <v>0</v>
      </c>
      <c r="L76" s="199">
        <f>IF('Staging Table'!C78=1,"",SUM(D76:K76))</f>
        <v>16640582.11867306</v>
      </c>
      <c r="M76" s="199">
        <f>IF('Staging Table'!C78=1,"",IF(Init!$R$9="Yes",(RT1SC!$C$3*'Staging Table'!E78*'Staging Table'!$F$2)+SUM('Staging Table'!L78:AI78)-IF(Init!$R$12="No",'Staging Table'!BH78, 0),X76))</f>
        <v>426156.48000000004</v>
      </c>
      <c r="N76" s="297">
        <f>IF('Staging Table'!C78=1,"",IF(M76=0, 0, L76/M76))</f>
        <v>39.048056053666151</v>
      </c>
      <c r="O76" s="199">
        <f>'Staging Table'!BR78*Rates_current!$E$76*100*12</f>
        <v>17986494.371040002</v>
      </c>
      <c r="P76" s="199">
        <f>'Staging Table'!BS78*Rates_current!$E$77*100*12</f>
        <v>-3160914.0295200003</v>
      </c>
      <c r="Q76" s="200">
        <f>SUMPRODUCT('Staging Table'!BY78:CV78, LS_Demand_Rates_Restatement!$C$5:$Z$5)-IF(Init!$R$12="No",('Staging Table'!DU78*Rates_current!$H$34), 0)</f>
        <v>817714.7987373037</v>
      </c>
      <c r="R76" s="200">
        <f>SUMPRODUCT('Staging Table'!CW78:DH78, LS_Demand_Rates_Restatement!$C$11:$N$11)*1000</f>
        <v>1848351.691703392</v>
      </c>
      <c r="S76" s="201">
        <f>'Staging Table'!ED78*IF(Init!$R$15="Yes",IF(Init!$R$6=2024,Rates_current!$C$88,Rates_current!$D$88),Rates_current!$H$33)</f>
        <v>0</v>
      </c>
      <c r="T76" s="201">
        <v>0</v>
      </c>
      <c r="U76" s="201">
        <f>IF('Staging Table'!D78=1, 'Staging Table'!BU78*-1,SUM(O76:T76)*'Staging Table'!BU78*-1)</f>
        <v>0</v>
      </c>
      <c r="V76" s="199">
        <f>'Staging Table'!BX78*Rates_current!$H$32*-1</f>
        <v>0</v>
      </c>
      <c r="W76" s="199">
        <f>IF('Staging Table'!C78=1,"",SUM(O76:V76))</f>
        <v>17491646.831960697</v>
      </c>
      <c r="X76" s="199">
        <f>IF('Staging Table'!C78=1,"",(RT1SC!$C$4*'Staging Table'!BR78*'Staging Table'!$BS$2)+SUM('Staging Table'!BY78:CV78)-IF(Init!$R$12="No",'Staging Table'!DU78, 0))</f>
        <v>447975.21600000001</v>
      </c>
      <c r="Y76" s="297">
        <f>IF('Staging Table'!C78=1,"",IF(X76=0, 0, W76/X76))</f>
        <v>39.046014616935182</v>
      </c>
      <c r="Z76" s="76">
        <f ca="1">IF('Staging Table'!C78=1,"",(Y76/N76-1)+(RAND()/100000000000000))</f>
        <v>-5.2280111665443386E-5</v>
      </c>
      <c r="AA76" s="53">
        <f t="shared" ca="1" si="1"/>
        <v>33</v>
      </c>
      <c r="AD76" s="204"/>
      <c r="AE76" s="204"/>
      <c r="AF76" s="208"/>
      <c r="AG76" s="204"/>
      <c r="AH76" s="204"/>
    </row>
    <row r="77" spans="2:34">
      <c r="B77" s="3">
        <v>10235</v>
      </c>
      <c r="C77" s="4" t="s">
        <v>80</v>
      </c>
      <c r="D77" s="199">
        <f>IF(Init!$R$9="Yes",'Staging Table'!E79,'Staging Table'!BR79)*Rates_previous!$E$76*100*12</f>
        <v>10920471.426141882</v>
      </c>
      <c r="E77" s="199">
        <f>IF(Init!$R$9="Yes",'Staging Table'!F79,'Staging Table'!BS79)*Rates_previous!$E$77*100*12</f>
        <v>-1802996.0360633146</v>
      </c>
      <c r="F77" s="200">
        <f>IF(Init!$R$9="Yes",SUMPRODUCT('Staging Table'!L79:AI79,LS_Demand_Rates_Restatement!$C$4:$Z$4)-IF(Init!$R$12="No",('Staging Table'!BH79*Rates_previous!$H$34), 0),SUMPRODUCT('Staging Table'!BY79:CV79,LS_Demand_Rates_Restatement!$C$4:$Z$4)-IF(Init!$R$12="No", 'Staging Table'!DU79*Rates_previous!$H$34, 0))</f>
        <v>59156.637331962542</v>
      </c>
      <c r="G77" s="200">
        <f>IF(Init!$R$9="Yes",SUMPRODUCT('Staging Table'!AJ79:AU79,LS_Demand_Rates_Restatement!$C$10:$N$10),SUMPRODUCT(LS_Demand_Rates_Restatement!$C$10:$N$10,'Staging Table'!CW79:DH79))*1000</f>
        <v>494103.42468241649</v>
      </c>
      <c r="H77" s="201">
        <f>IF(Init!$R$9="Yes",'Staging Table'!BQ79,'Staging Table'!ED79)*IF(Init!$R$3=2022,Rates_previous!$C$88,Rates_previous!$D$88)</f>
        <v>-22012.93156964469</v>
      </c>
      <c r="I77" s="199">
        <v>0</v>
      </c>
      <c r="J77" s="201">
        <f>IF(Init!$R$9="Yes",IF('Staging Table'!D79=1,'Staging Table'!H79*-1,'Staging Table'!H79*SUM(D77:I77)*(-1)),IF('Staging Table'!D79=1,'Staging Table'!BU79*-1,'Staging Table'!BU79*SUM(D77:I77)*(-1)))</f>
        <v>0</v>
      </c>
      <c r="K77" s="199">
        <f>IF(Init!$R$9="Yes",'Staging Table'!K79,'Staging Table'!BX79)*(-1)*Rates_previous!$H$32</f>
        <v>0</v>
      </c>
      <c r="L77" s="199">
        <f>IF('Staging Table'!C79=1,"",SUM(D77:K77))</f>
        <v>9648722.5205233004</v>
      </c>
      <c r="M77" s="199">
        <f>IF('Staging Table'!C79=1,"",IF(Init!$R$9="Yes",(RT1SC!$C$3*'Staging Table'!E79*'Staging Table'!$F$2)+SUM('Staging Table'!L79:AI79)-IF(Init!$R$12="No",'Staging Table'!BH79, 0),X77))</f>
        <v>265596.85774629423</v>
      </c>
      <c r="N77" s="297">
        <f>IF('Staging Table'!C79=1,"",IF(M77=0, 0, L77/M77))</f>
        <v>36.32845133183028</v>
      </c>
      <c r="O77" s="199">
        <f>'Staging Table'!BR79*Rates_current!$E$76*100*12</f>
        <v>10663802.45064</v>
      </c>
      <c r="P77" s="199">
        <f>'Staging Table'!BS79*Rates_current!$E$77*100*12</f>
        <v>-1874037.3793200001</v>
      </c>
      <c r="Q77" s="200">
        <f>SUMPRODUCT('Staging Table'!BY79:CV79, LS_Demand_Rates_Restatement!$C$5:$Z$5)-IF(Init!$R$12="No",('Staging Table'!DU79*Rates_current!$H$34), 0)</f>
        <v>292543.65962391032</v>
      </c>
      <c r="R77" s="200">
        <f>SUMPRODUCT('Staging Table'!CW79:DH79, LS_Demand_Rates_Restatement!$C$11:$N$11)*1000</f>
        <v>499216.11016645317</v>
      </c>
      <c r="S77" s="201">
        <f>'Staging Table'!ED79*IF(Init!$R$15="Yes",IF(Init!$R$6=2024,Rates_current!$C$88,Rates_current!$D$88),Rates_current!$H$33)</f>
        <v>-25.716793310551441</v>
      </c>
      <c r="T77" s="201">
        <v>0</v>
      </c>
      <c r="U77" s="201">
        <f>IF('Staging Table'!D79=1, 'Staging Table'!BU79*-1,SUM(O77:T77)*'Staging Table'!BU79*-1)</f>
        <v>0</v>
      </c>
      <c r="V77" s="199">
        <f>'Staging Table'!BX79*Rates_current!$H$32*-1</f>
        <v>0</v>
      </c>
      <c r="W77" s="199">
        <f>IF('Staging Table'!C79=1,"",SUM(O77:V77))</f>
        <v>9581499.1243170537</v>
      </c>
      <c r="X77" s="199">
        <f>IF('Staging Table'!C79=1,"",(RT1SC!$C$4*'Staging Table'!BR79*'Staging Table'!$BS$2)+SUM('Staging Table'!BY79:CV79)-IF(Init!$R$12="No",'Staging Table'!DU79, 0))</f>
        <v>265596.84521743102</v>
      </c>
      <c r="Y77" s="297">
        <f>IF('Staging Table'!C79=1,"",IF(X77=0, 0, W77/X77))</f>
        <v>36.075349902869341</v>
      </c>
      <c r="Z77" s="76">
        <f ca="1">IF('Staging Table'!C79=1,"",(Y77/N77-1)+(RAND()/100000000000000))</f>
        <v>-6.9670305141516535E-3</v>
      </c>
      <c r="AA77" s="53">
        <f t="shared" ca="1" si="1"/>
        <v>55</v>
      </c>
      <c r="AD77" s="204"/>
      <c r="AE77" s="204"/>
      <c r="AF77" s="208"/>
      <c r="AG77" s="204"/>
      <c r="AH77" s="204"/>
    </row>
    <row r="78" spans="2:34">
      <c r="B78" s="3">
        <v>10236</v>
      </c>
      <c r="C78" s="4" t="s">
        <v>81</v>
      </c>
      <c r="D78" s="199">
        <f>IF(Init!$R$9="Yes",'Staging Table'!E80,'Staging Table'!BR80)*Rates_previous!$E$76*100*12</f>
        <v>9747080.7043685876</v>
      </c>
      <c r="E78" s="199">
        <f>IF(Init!$R$9="Yes",'Staging Table'!F80,'Staging Table'!BS80)*Rates_previous!$E$77*100*12</f>
        <v>-1609266.4123543729</v>
      </c>
      <c r="F78" s="200">
        <f>IF(Init!$R$9="Yes",SUMPRODUCT('Staging Table'!L80:AI80,LS_Demand_Rates_Restatement!$C$4:$Z$4)-IF(Init!$R$12="No",('Staging Table'!BH80*Rates_previous!$H$34), 0),SUMPRODUCT('Staging Table'!BY80:CV80,LS_Demand_Rates_Restatement!$C$4:$Z$4)-IF(Init!$R$12="No", 'Staging Table'!DU80*Rates_previous!$H$34, 0))</f>
        <v>0</v>
      </c>
      <c r="G78" s="200">
        <f>IF(Init!$R$9="Yes",SUMPRODUCT('Staging Table'!AJ80:AU80,LS_Demand_Rates_Restatement!$C$10:$N$10),SUMPRODUCT(LS_Demand_Rates_Restatement!$C$10:$N$10,'Staging Table'!CW80:DH80))*1000</f>
        <v>0</v>
      </c>
      <c r="H78" s="201">
        <f>IF(Init!$R$9="Yes",'Staging Table'!BQ80,'Staging Table'!ED80)*IF(Init!$R$3=2022,Rates_previous!$C$88,Rates_previous!$D$88)</f>
        <v>-4.2482963318196862</v>
      </c>
      <c r="I78" s="199">
        <v>0</v>
      </c>
      <c r="J78" s="201">
        <f>IF(Init!$R$9="Yes",IF('Staging Table'!D80=1,'Staging Table'!H80*-1,'Staging Table'!H80*SUM(D78:I78)*(-1)),IF('Staging Table'!D80=1,'Staging Table'!BU80*-1,'Staging Table'!BU80*SUM(D78:I78)*(-1)))</f>
        <v>-528957.65284166241</v>
      </c>
      <c r="K78" s="199">
        <f>IF(Init!$R$9="Yes",'Staging Table'!K80,'Staging Table'!BX80)*(-1)*Rates_previous!$H$32</f>
        <v>0</v>
      </c>
      <c r="L78" s="199" t="str">
        <f>IF('Staging Table'!C80=1,"",SUM(D78:K78))</f>
        <v/>
      </c>
      <c r="M78" s="199" t="str">
        <f>IF('Staging Table'!C80=1,"",IF(Init!$R$9="Yes",(RT1SC!$C$3*'Staging Table'!E80*'Staging Table'!$F$2)+SUM('Staging Table'!L80:AI80)-IF(Init!$R$12="No",'Staging Table'!BH80, 0),X78))</f>
        <v/>
      </c>
      <c r="N78" s="297" t="str">
        <f>IF('Staging Table'!C80=1,"",IF(M78=0, 0, L78/M78))</f>
        <v/>
      </c>
      <c r="O78" s="199">
        <f>'Staging Table'!BR80*Rates_current!$E$76*100*12</f>
        <v>9901016.8524000011</v>
      </c>
      <c r="P78" s="199">
        <f>'Staging Table'!BS80*Rates_current!$E$77*100*12</f>
        <v>-1739986.8161999998</v>
      </c>
      <c r="Q78" s="200">
        <f>SUMPRODUCT('Staging Table'!BY80:CV80, LS_Demand_Rates_Restatement!$C$5:$Z$5)-IF(Init!$R$12="No",('Staging Table'!DU80*Rates_current!$H$34), 0)</f>
        <v>0</v>
      </c>
      <c r="R78" s="200">
        <f>SUMPRODUCT('Staging Table'!CW80:DH80, LS_Demand_Rates_Restatement!$C$11:$N$11)*1000</f>
        <v>0</v>
      </c>
      <c r="S78" s="201">
        <f>'Staging Table'!ED80*IF(Init!$R$15="Yes",IF(Init!$R$6=2024,Rates_current!$C$88,Rates_current!$D$88),Rates_current!$H$33)</f>
        <v>-20.347393971515121</v>
      </c>
      <c r="T78" s="201">
        <v>0</v>
      </c>
      <c r="U78" s="201">
        <f>IF('Staging Table'!D80=1, 'Staging Table'!BU80*-1,SUM(O78:T78)*'Staging Table'!BU80*-1)</f>
        <v>-530465.62977239199</v>
      </c>
      <c r="V78" s="199">
        <f>'Staging Table'!BX80*Rates_current!$H$32*-1</f>
        <v>0</v>
      </c>
      <c r="W78" s="199" t="str">
        <f>IF('Staging Table'!C80=1,"",SUM(O78:V78))</f>
        <v/>
      </c>
      <c r="X78" s="199" t="str">
        <f>IF('Staging Table'!C80=1,"",(RT1SC!$C$4*'Staging Table'!BR80*'Staging Table'!$BS$2)+SUM('Staging Table'!BY80:CV80)-IF(Init!$R$12="No",'Staging Table'!DU80, 0))</f>
        <v/>
      </c>
      <c r="Y78" s="297" t="str">
        <f>IF('Staging Table'!C80=1,"",IF(X78=0, 0, W78/X78))</f>
        <v/>
      </c>
      <c r="Z78" s="76" t="str">
        <f ca="1">IF('Staging Table'!C80=1,"",(Y78/N78-1)+(RAND()/100000000000000))</f>
        <v/>
      </c>
      <c r="AA78" s="53" t="str">
        <f t="shared" ca="1" si="1"/>
        <v/>
      </c>
      <c r="AD78" s="204"/>
      <c r="AE78" s="204"/>
      <c r="AF78" s="208"/>
      <c r="AG78" s="204"/>
      <c r="AH78" s="204"/>
    </row>
    <row r="79" spans="2:34">
      <c r="B79" s="3">
        <v>10237</v>
      </c>
      <c r="C79" s="4" t="s">
        <v>82</v>
      </c>
      <c r="D79" s="199">
        <f>IF(Init!$R$9="Yes",'Staging Table'!E81,'Staging Table'!BR81)*Rates_previous!$E$76*100*12</f>
        <v>38621653.2050502</v>
      </c>
      <c r="E79" s="199">
        <f>IF(Init!$R$9="Yes",'Staging Table'!F81,'Staging Table'!BS81)*Rates_previous!$E$77*100*12</f>
        <v>-2573678.0563973747</v>
      </c>
      <c r="F79" s="200">
        <f>IF(Init!$R$9="Yes",SUMPRODUCT('Staging Table'!L81:AI81,LS_Demand_Rates_Restatement!$C$4:$Z$4)-IF(Init!$R$12="No",('Staging Table'!BH81*Rates_previous!$H$34), 0),SUMPRODUCT('Staging Table'!BY81:CV81,LS_Demand_Rates_Restatement!$C$4:$Z$4)-IF(Init!$R$12="No", 'Staging Table'!DU81*Rates_previous!$H$34, 0))</f>
        <v>75373.24814355337</v>
      </c>
      <c r="G79" s="200">
        <f>IF(Init!$R$9="Yes",SUMPRODUCT('Staging Table'!AJ81:AU81,LS_Demand_Rates_Restatement!$C$10:$N$10),SUMPRODUCT(LS_Demand_Rates_Restatement!$C$10:$N$10,'Staging Table'!CW81:DH81))*1000</f>
        <v>0</v>
      </c>
      <c r="H79" s="201">
        <f>IF(Init!$R$9="Yes",'Staging Table'!BQ81,'Staging Table'!ED81)*IF(Init!$R$3=2022,Rates_previous!$C$88,Rates_previous!$D$88)</f>
        <v>0</v>
      </c>
      <c r="I79" s="199">
        <v>0</v>
      </c>
      <c r="J79" s="201">
        <f>IF(Init!$R$9="Yes",IF('Staging Table'!D81=1,'Staging Table'!H81*-1,'Staging Table'!H81*SUM(D79:I79)*(-1)),IF('Staging Table'!D81=1,'Staging Table'!BU81*-1,'Staging Table'!BU81*SUM(D79:I79)*(-1)))</f>
        <v>-1800000</v>
      </c>
      <c r="K79" s="199">
        <f>IF(Init!$R$9="Yes",'Staging Table'!K81,'Staging Table'!BX81)*(-1)*Rates_previous!$H$32</f>
        <v>0</v>
      </c>
      <c r="L79" s="199">
        <f>IF('Staging Table'!C81=1,"",SUM(D79:K79))</f>
        <v>34323348.396796376</v>
      </c>
      <c r="M79" s="199">
        <f>IF('Staging Table'!C81=1,"",IF(Init!$R$9="Yes",(RT1SC!$C$3*'Staging Table'!E81*'Staging Table'!$F$2)+SUM('Staging Table'!L81:AI81)-IF(Init!$R$12="No",'Staging Table'!BH81, 0),X79))</f>
        <v>950372.44861553912</v>
      </c>
      <c r="N79" s="297">
        <f>IF('Staging Table'!C81=1,"",IF(M79=0, 0, L79/M79))</f>
        <v>36.115681222448231</v>
      </c>
      <c r="O79" s="199">
        <f>'Staging Table'!BR81*Rates_current!$E$76*100*12</f>
        <v>40111511.649839997</v>
      </c>
      <c r="P79" s="199">
        <f>'Staging Table'!BS81*Rates_current!$E$77*100*12</f>
        <v>-2845137.8336399999</v>
      </c>
      <c r="Q79" s="200">
        <f>SUMPRODUCT('Staging Table'!BY81:CV81, LS_Demand_Rates_Restatement!$C$5:$Z$5)-IF(Init!$R$12="No",('Staging Table'!DU81*Rates_current!$H$34), 0)</f>
        <v>105997.69757389235</v>
      </c>
      <c r="R79" s="200">
        <f>SUMPRODUCT('Staging Table'!CW81:DH81, LS_Demand_Rates_Restatement!$C$11:$N$11)*1000</f>
        <v>0</v>
      </c>
      <c r="S79" s="201">
        <f>'Staging Table'!ED81*IF(Init!$R$15="Yes",IF(Init!$R$6=2024,Rates_current!$C$88,Rates_current!$D$88),Rates_current!$H$33)</f>
        <v>0</v>
      </c>
      <c r="T79" s="201">
        <v>0</v>
      </c>
      <c r="U79" s="201">
        <f>IF('Staging Table'!D81=1, 'Staging Table'!BU81*-1,SUM(O79:T79)*'Staging Table'!BU81*-1)</f>
        <v>-1800000</v>
      </c>
      <c r="V79" s="199">
        <f>'Staging Table'!BX81*Rates_current!$H$32*-1</f>
        <v>0</v>
      </c>
      <c r="W79" s="199">
        <f>IF('Staging Table'!C81=1,"",SUM(O79:V79))</f>
        <v>35572371.513773888</v>
      </c>
      <c r="X79" s="199">
        <f>IF('Staging Table'!C81=1,"",(RT1SC!$C$4*'Staging Table'!BR81*'Staging Table'!$BS$2)+SUM('Staging Table'!BY81:CV81)-IF(Init!$R$12="No",'Staging Table'!DU81, 0))</f>
        <v>999021.89478996932</v>
      </c>
      <c r="Y79" s="297">
        <f>IF('Staging Table'!C81=1,"",IF(X79=0, 0, W79/X79))</f>
        <v>35.607199100728913</v>
      </c>
      <c r="Z79" s="76">
        <f ca="1">IF('Staging Table'!C81=1,"",(Y79/N79-1)+(RAND()/100000000000000))</f>
        <v>-1.4079261542578329E-2</v>
      </c>
      <c r="AA79" s="53">
        <f t="shared" ca="1" si="1"/>
        <v>88</v>
      </c>
      <c r="AD79" s="204"/>
      <c r="AE79" s="204"/>
      <c r="AF79" s="208"/>
      <c r="AG79" s="204"/>
      <c r="AH79" s="204"/>
    </row>
    <row r="80" spans="2:34">
      <c r="B80" s="3">
        <v>10239</v>
      </c>
      <c r="C80" s="4" t="s">
        <v>83</v>
      </c>
      <c r="D80" s="199">
        <f>IF(Init!$R$9="Yes",'Staging Table'!E82,'Staging Table'!BR82)*Rates_previous!$E$76*100*12</f>
        <v>4754234.8373504058</v>
      </c>
      <c r="E80" s="199">
        <f>IF(Init!$R$9="Yes",'Staging Table'!F82,'Staging Table'!BS82)*Rates_previous!$E$77*100*12</f>
        <v>-784935.57940522663</v>
      </c>
      <c r="F80" s="200">
        <f>IF(Init!$R$9="Yes",SUMPRODUCT('Staging Table'!L82:AI82,LS_Demand_Rates_Restatement!$C$4:$Z$4)-IF(Init!$R$12="No",('Staging Table'!BH82*Rates_previous!$H$34), 0),SUMPRODUCT('Staging Table'!BY82:CV82,LS_Demand_Rates_Restatement!$C$4:$Z$4)-IF(Init!$R$12="No", 'Staging Table'!DU82*Rates_previous!$H$34, 0))</f>
        <v>0</v>
      </c>
      <c r="G80" s="200">
        <f>IF(Init!$R$9="Yes",SUMPRODUCT('Staging Table'!AJ82:AU82,LS_Demand_Rates_Restatement!$C$10:$N$10),SUMPRODUCT(LS_Demand_Rates_Restatement!$C$10:$N$10,'Staging Table'!CW82:DH82))*1000</f>
        <v>0</v>
      </c>
      <c r="H80" s="201">
        <f>IF(Init!$R$9="Yes",'Staging Table'!BQ82,'Staging Table'!ED82)*IF(Init!$R$3=2022,Rates_previous!$C$88,Rates_previous!$D$88)</f>
        <v>0</v>
      </c>
      <c r="I80" s="199">
        <v>0</v>
      </c>
      <c r="J80" s="201">
        <f>IF(Init!$R$9="Yes",IF('Staging Table'!D82=1,'Staging Table'!H82*-1,'Staging Table'!H82*SUM(D80:I80)*(-1)),IF('Staging Table'!D82=1,'Staging Table'!BU82*-1,'Staging Table'!BU82*SUM(D80:I80)*(-1)))</f>
        <v>-304921.56899534864</v>
      </c>
      <c r="K80" s="199">
        <f>IF(Init!$R$9="Yes",'Staging Table'!K82,'Staging Table'!BX82)*(-1)*Rates_previous!$H$32</f>
        <v>0</v>
      </c>
      <c r="L80" s="199" t="str">
        <f>IF('Staging Table'!C82=1,"",SUM(D80:K80))</f>
        <v/>
      </c>
      <c r="M80" s="199" t="str">
        <f>IF('Staging Table'!C82=1,"",IF(Init!$R$9="Yes",(RT1SC!$C$3*'Staging Table'!E82*'Staging Table'!$F$2)+SUM('Staging Table'!L82:AI82)-IF(Init!$R$12="No",'Staging Table'!BH82, 0),X80))</f>
        <v/>
      </c>
      <c r="N80" s="297" t="str">
        <f>IF('Staging Table'!C82=1,"",IF(M80=0, 0, L80/M80))</f>
        <v/>
      </c>
      <c r="O80" s="199">
        <f>'Staging Table'!BR82*Rates_current!$E$76*100*12</f>
        <v>4937679.0799200013</v>
      </c>
      <c r="P80" s="199">
        <f>'Staging Table'!BS82*Rates_current!$E$77*100*12</f>
        <v>-867738.80196000007</v>
      </c>
      <c r="Q80" s="200">
        <f>SUMPRODUCT('Staging Table'!BY82:CV82, LS_Demand_Rates_Restatement!$C$5:$Z$5)-IF(Init!$R$12="No",('Staging Table'!DU82*Rates_current!$H$34), 0)</f>
        <v>0</v>
      </c>
      <c r="R80" s="200">
        <f>SUMPRODUCT('Staging Table'!CW82:DH82, LS_Demand_Rates_Restatement!$C$11:$N$11)*1000</f>
        <v>0</v>
      </c>
      <c r="S80" s="201">
        <f>'Staging Table'!ED82*IF(Init!$R$15="Yes",IF(Init!$R$6=2024,Rates_current!$C$88,Rates_current!$D$88),Rates_current!$H$33)</f>
        <v>0</v>
      </c>
      <c r="T80" s="201">
        <v>0</v>
      </c>
      <c r="U80" s="201">
        <f>IF('Staging Table'!D82=1, 'Staging Table'!BU82*-1,SUM(O80:T80)*'Staging Table'!BU82*-1)</f>
        <v>-307056.64427069237</v>
      </c>
      <c r="V80" s="199">
        <f>'Staging Table'!BX82*Rates_current!$H$32*-1</f>
        <v>0</v>
      </c>
      <c r="W80" s="199" t="str">
        <f>IF('Staging Table'!C82=1,"",SUM(O80:V80))</f>
        <v/>
      </c>
      <c r="X80" s="199" t="str">
        <f>IF('Staging Table'!C82=1,"",(RT1SC!$C$4*'Staging Table'!BR82*'Staging Table'!$BS$2)+SUM('Staging Table'!BY82:CV82)-IF(Init!$R$12="No",'Staging Table'!DU82, 0))</f>
        <v/>
      </c>
      <c r="Y80" s="297" t="str">
        <f>IF('Staging Table'!C82=1,"",IF(X80=0, 0, W80/X80))</f>
        <v/>
      </c>
      <c r="Z80" s="76" t="str">
        <f ca="1">IF('Staging Table'!C82=1,"",(Y80/N80-1)+(RAND()/100000000000000))</f>
        <v/>
      </c>
      <c r="AA80" s="53" t="str">
        <f t="shared" ca="1" si="1"/>
        <v/>
      </c>
      <c r="AD80" s="204"/>
      <c r="AE80" s="204"/>
      <c r="AF80" s="208"/>
      <c r="AG80" s="204"/>
      <c r="AH80" s="204"/>
    </row>
    <row r="81" spans="2:34">
      <c r="B81" s="3">
        <v>10242</v>
      </c>
      <c r="C81" s="4" t="s">
        <v>84</v>
      </c>
      <c r="D81" s="199">
        <f>IF(Init!$R$9="Yes",'Staging Table'!E83,'Staging Table'!BR83)*Rates_previous!$E$76*100*12</f>
        <v>3234798.1700388212</v>
      </c>
      <c r="E81" s="199">
        <f>IF(Init!$R$9="Yes",'Staging Table'!F83,'Staging Table'!BS83)*Rates_previous!$E$77*100*12</f>
        <v>-534072.93975269119</v>
      </c>
      <c r="F81" s="200">
        <f>IF(Init!$R$9="Yes",SUMPRODUCT('Staging Table'!L83:AI83,LS_Demand_Rates_Restatement!$C$4:$Z$4)-IF(Init!$R$12="No",('Staging Table'!BH83*Rates_previous!$H$34), 0),SUMPRODUCT('Staging Table'!BY83:CV83,LS_Demand_Rates_Restatement!$C$4:$Z$4)-IF(Init!$R$12="No", 'Staging Table'!DU83*Rates_previous!$H$34, 0))</f>
        <v>-114701.35007228708</v>
      </c>
      <c r="G81" s="200">
        <f>IF(Init!$R$9="Yes",SUMPRODUCT('Staging Table'!AJ83:AU83,LS_Demand_Rates_Restatement!$C$10:$N$10),SUMPRODUCT(LS_Demand_Rates_Restatement!$C$10:$N$10,'Staging Table'!CW83:DH83))*1000</f>
        <v>217051.21972686963</v>
      </c>
      <c r="H81" s="201">
        <f>IF(Init!$R$9="Yes",'Staging Table'!BQ83,'Staging Table'!ED83)*IF(Init!$R$3=2022,Rates_previous!$C$88,Rates_previous!$D$88)</f>
        <v>0</v>
      </c>
      <c r="I81" s="199">
        <v>0</v>
      </c>
      <c r="J81" s="201">
        <f>IF(Init!$R$9="Yes",IF('Staging Table'!D83=1,'Staging Table'!H83*-1,'Staging Table'!H83*SUM(D81:I81)*(-1)),IF('Staging Table'!D83=1,'Staging Table'!BU83*-1,'Staging Table'!BU83*SUM(D81:I81)*(-1)))</f>
        <v>-208100.29541959849</v>
      </c>
      <c r="K81" s="199">
        <f>IF(Init!$R$9="Yes",'Staging Table'!K83,'Staging Table'!BX83)*(-1)*Rates_previous!$H$32</f>
        <v>-409391.94459999999</v>
      </c>
      <c r="L81" s="199">
        <f>IF('Staging Table'!C83=1,"",SUM(D81:K81))</f>
        <v>2185582.8599211141</v>
      </c>
      <c r="M81" s="199">
        <f>IF('Staging Table'!C83=1,"",IF(Init!$R$9="Yes",(RT1SC!$C$3*'Staging Table'!E83*'Staging Table'!$F$2)+SUM('Staging Table'!L83:AI83)-IF(Init!$R$12="No",'Staging Table'!BH83, 0),X81))</f>
        <v>79602.12</v>
      </c>
      <c r="N81" s="297">
        <f>IF('Staging Table'!C83=1,"",IF(M81=0, 0, L81/M81))</f>
        <v>27.456339855284185</v>
      </c>
      <c r="O81" s="199">
        <f>'Staging Table'!BR83*Rates_current!$E$76*100*12</f>
        <v>3359544.9307200001</v>
      </c>
      <c r="P81" s="199">
        <f>'Staging Table'!BS83*Rates_current!$E$77*100*12</f>
        <v>-590400.35736000002</v>
      </c>
      <c r="Q81" s="200">
        <f>SUMPRODUCT('Staging Table'!BY83:CV83, LS_Demand_Rates_Restatement!$C$5:$Z$5)-IF(Init!$R$12="No",('Staging Table'!DU83*Rates_current!$H$34), 0)</f>
        <v>44798.771707534826</v>
      </c>
      <c r="R81" s="200">
        <f>SUMPRODUCT('Staging Table'!CW83:DH83, LS_Demand_Rates_Restatement!$C$11:$N$11)*1000</f>
        <v>227184.58315184285</v>
      </c>
      <c r="S81" s="201">
        <f>'Staging Table'!ED83*IF(Init!$R$15="Yes",IF(Init!$R$6=2024,Rates_current!$C$88,Rates_current!$D$88),Rates_current!$H$33)</f>
        <v>0</v>
      </c>
      <c r="T81" s="201">
        <v>0</v>
      </c>
      <c r="U81" s="201">
        <f>IF('Staging Table'!D83=1, 'Staging Table'!BU83*-1,SUM(O81:T81)*'Staging Table'!BU83*-1)</f>
        <v>-252589.84128558199</v>
      </c>
      <c r="V81" s="199">
        <f>'Staging Table'!BX83*Rates_current!$H$32*-1</f>
        <v>-434556.40358000004</v>
      </c>
      <c r="W81" s="199">
        <f>IF('Staging Table'!C83=1,"",SUM(O81:V81))</f>
        <v>2353981.6833537952</v>
      </c>
      <c r="X81" s="199">
        <f>IF('Staging Table'!C83=1,"",(RT1SC!$C$4*'Staging Table'!BR83*'Staging Table'!$BS$2)+SUM('Staging Table'!BY83:CV83)-IF(Init!$R$12="No",'Staging Table'!DU83, 0))</f>
        <v>83676.384000000005</v>
      </c>
      <c r="Y81" s="297">
        <f>IF('Staging Table'!C83=1,"",IF(X81=0, 0, W81/X81))</f>
        <v>28.131971899667594</v>
      </c>
      <c r="Z81" s="76">
        <f ca="1">IF('Staging Table'!C83=1,"",(Y81/N81-1)+(RAND()/100000000000000))</f>
        <v>2.4607505878225255E-2</v>
      </c>
      <c r="AA81" s="53">
        <f t="shared" ca="1" si="1"/>
        <v>11</v>
      </c>
      <c r="AD81" s="204"/>
      <c r="AE81" s="204"/>
      <c r="AF81" s="208"/>
      <c r="AG81" s="204"/>
      <c r="AH81" s="204"/>
    </row>
    <row r="82" spans="2:34">
      <c r="B82" s="3">
        <v>10244</v>
      </c>
      <c r="C82" s="4" t="s">
        <v>85</v>
      </c>
      <c r="D82" s="199">
        <f>IF(Init!$R$9="Yes",'Staging Table'!E84,'Staging Table'!BR84)*Rates_previous!$E$76*100*12</f>
        <v>29216781.484938815</v>
      </c>
      <c r="E82" s="199">
        <f>IF(Init!$R$9="Yes",'Staging Table'!F84,'Staging Table'!BS84)*Rates_previous!$E$77*100*12</f>
        <v>-4823760.7286596205</v>
      </c>
      <c r="F82" s="200">
        <f>IF(Init!$R$9="Yes",SUMPRODUCT('Staging Table'!L84:AI84,LS_Demand_Rates_Restatement!$C$4:$Z$4)-IF(Init!$R$12="No",('Staging Table'!BH84*Rates_previous!$H$34), 0),SUMPRODUCT('Staging Table'!BY84:CV84,LS_Demand_Rates_Restatement!$C$4:$Z$4)-IF(Init!$R$12="No", 'Staging Table'!DU84*Rates_previous!$H$34, 0))</f>
        <v>928520.16009937786</v>
      </c>
      <c r="G82" s="200">
        <f>IF(Init!$R$9="Yes",SUMPRODUCT('Staging Table'!AJ84:AU84,LS_Demand_Rates_Restatement!$C$10:$N$10),SUMPRODUCT(LS_Demand_Rates_Restatement!$C$10:$N$10,'Staging Table'!CW84:DH84))*1000</f>
        <v>2060264.3952961538</v>
      </c>
      <c r="H82" s="201">
        <f>IF(Init!$R$9="Yes",'Staging Table'!BQ84,'Staging Table'!ED84)*IF(Init!$R$3=2022,Rates_previous!$C$88,Rates_previous!$D$88)</f>
        <v>0</v>
      </c>
      <c r="I82" s="199">
        <v>0</v>
      </c>
      <c r="J82" s="201">
        <f>IF(Init!$R$9="Yes",IF('Staging Table'!D84=1,'Staging Table'!H84*-1,'Staging Table'!H84*SUM(D82:I82)*(-1)),IF('Staging Table'!D84=1,'Staging Table'!BU84*-1,'Staging Table'!BU84*SUM(D82:I82)*(-1)))</f>
        <v>-1964644.5311126614</v>
      </c>
      <c r="K82" s="199">
        <f>IF(Init!$R$9="Yes",'Staging Table'!K84,'Staging Table'!BX84)*(-1)*Rates_previous!$H$32</f>
        <v>0</v>
      </c>
      <c r="L82" s="199">
        <f>IF('Staging Table'!C84=1,"",SUM(D82:K82))</f>
        <v>25417160.780562066</v>
      </c>
      <c r="M82" s="199">
        <f>IF('Staging Table'!C84=1,"",IF(Init!$R$9="Yes",(RT1SC!$C$3*'Staging Table'!E84*'Staging Table'!$F$2)+SUM('Staging Table'!L84:AI84)-IF(Init!$R$12="No",'Staging Table'!BH84, 0),X82))</f>
        <v>718941.96</v>
      </c>
      <c r="N82" s="297">
        <f>IF('Staging Table'!C84=1,"",IF(M82=0, 0, L82/M82))</f>
        <v>35.353564257902079</v>
      </c>
      <c r="O82" s="199">
        <f>'Staging Table'!BR84*Rates_current!$E$76*100*12</f>
        <v>30344268.757679999</v>
      </c>
      <c r="P82" s="199">
        <f>'Staging Table'!BS84*Rates_current!$E$77*100*12</f>
        <v>-5332646.9768399997</v>
      </c>
      <c r="Q82" s="200">
        <f>SUMPRODUCT('Staging Table'!BY84:CV84, LS_Demand_Rates_Restatement!$C$5:$Z$5)-IF(Init!$R$12="No",('Staging Table'!DU84*Rates_current!$H$34), 0)</f>
        <v>1284228.6032600878</v>
      </c>
      <c r="R82" s="200">
        <f>SUMPRODUCT('Staging Table'!CW84:DH84, LS_Demand_Rates_Restatement!$C$11:$N$11)*1000</f>
        <v>2007273.9301954329</v>
      </c>
      <c r="S82" s="201">
        <f>'Staging Table'!ED84*IF(Init!$R$15="Yes",IF(Init!$R$6=2024,Rates_current!$C$88,Rates_current!$D$88),Rates_current!$H$33)</f>
        <v>0</v>
      </c>
      <c r="T82" s="201">
        <v>0</v>
      </c>
      <c r="U82" s="201">
        <f>IF('Staging Table'!D84=1, 'Staging Table'!BU84*-1,SUM(O82:T82)*'Staging Table'!BU84*-1)</f>
        <v>-1973053.8963859489</v>
      </c>
      <c r="V82" s="199">
        <f>'Staging Table'!BX84*Rates_current!$H$32*-1</f>
        <v>0</v>
      </c>
      <c r="W82" s="199">
        <f>IF('Staging Table'!C84=1,"",SUM(O82:V82))</f>
        <v>26330070.41790957</v>
      </c>
      <c r="X82" s="199">
        <f>IF('Staging Table'!C84=1,"",(RT1SC!$C$4*'Staging Table'!BR84*'Staging Table'!$BS$2)+SUM('Staging Table'!BY84:CV84)-IF(Init!$R$12="No",'Staging Table'!DU84, 0))</f>
        <v>755757.79200000002</v>
      </c>
      <c r="Y82" s="297">
        <f>IF('Staging Table'!C84=1,"",IF(X82=0, 0, W82/X82))</f>
        <v>34.83929732068124</v>
      </c>
      <c r="Z82" s="76">
        <f ca="1">IF('Staging Table'!C84=1,"",(Y82/N82-1)+(RAND()/100000000000000))</f>
        <v>-1.4546395759956582E-2</v>
      </c>
      <c r="AA82" s="53">
        <f t="shared" ca="1" si="1"/>
        <v>90</v>
      </c>
      <c r="AD82" s="204"/>
      <c r="AE82" s="204"/>
      <c r="AF82" s="208"/>
      <c r="AG82" s="204"/>
      <c r="AH82" s="204"/>
    </row>
    <row r="83" spans="2:34">
      <c r="B83" s="3">
        <v>10246</v>
      </c>
      <c r="C83" s="4" t="s">
        <v>86</v>
      </c>
      <c r="D83" s="199">
        <f>IF(Init!$R$9="Yes",'Staging Table'!E85,'Staging Table'!BR85)*Rates_previous!$E$76*100*12</f>
        <v>3051823.0789468479</v>
      </c>
      <c r="E83" s="199">
        <f>IF(Init!$R$9="Yes",'Staging Table'!F85,'Staging Table'!BS85)*Rates_previous!$E$77*100*12</f>
        <v>-503863.31316574605</v>
      </c>
      <c r="F83" s="200">
        <f>IF(Init!$R$9="Yes",SUMPRODUCT('Staging Table'!L85:AI85,LS_Demand_Rates_Restatement!$C$4:$Z$4)-IF(Init!$R$12="No",('Staging Table'!BH85*Rates_previous!$H$34), 0),SUMPRODUCT('Staging Table'!BY85:CV85,LS_Demand_Rates_Restatement!$C$4:$Z$4)-IF(Init!$R$12="No", 'Staging Table'!DU85*Rates_previous!$H$34, 0))</f>
        <v>70552.780222838788</v>
      </c>
      <c r="G83" s="200">
        <f>IF(Init!$R$9="Yes",SUMPRODUCT('Staging Table'!AJ85:AU85,LS_Demand_Rates_Restatement!$C$10:$N$10),SUMPRODUCT(LS_Demand_Rates_Restatement!$C$10:$N$10,'Staging Table'!CW85:DH85))*1000</f>
        <v>269749.74767509795</v>
      </c>
      <c r="H83" s="201">
        <f>IF(Init!$R$9="Yes",'Staging Table'!BQ85,'Staging Table'!ED85)*IF(Init!$R$3=2022,Rates_previous!$C$88,Rates_previous!$D$88)</f>
        <v>0</v>
      </c>
      <c r="I83" s="199">
        <v>0</v>
      </c>
      <c r="J83" s="201">
        <f>IF(Init!$R$9="Yes",IF('Staging Table'!D85=1,'Staging Table'!H85*-1,'Staging Table'!H85*SUM(D83:I83)*(-1)),IF('Staging Table'!D85=1,'Staging Table'!BU85*-1,'Staging Table'!BU85*SUM(D83:I83)*(-1)))</f>
        <v>-178927.84909341644</v>
      </c>
      <c r="K83" s="199">
        <f>IF(Init!$R$9="Yes",'Staging Table'!K85,'Staging Table'!BX85)*(-1)*Rates_previous!$H$32</f>
        <v>0</v>
      </c>
      <c r="L83" s="199">
        <f>IF('Staging Table'!C85=1,"",SUM(D83:K83))</f>
        <v>2709334.4445856223</v>
      </c>
      <c r="M83" s="199">
        <f>IF('Staging Table'!C85=1,"",IF(Init!$R$9="Yes",(RT1SC!$C$3*'Staging Table'!E85*'Staging Table'!$F$2)+SUM('Staging Table'!L85:AI85)-IF(Init!$R$12="No",'Staging Table'!BH85, 0),X83))</f>
        <v>75099.48000000001</v>
      </c>
      <c r="N83" s="297">
        <f>IF('Staging Table'!C85=1,"",IF(M83=0, 0, L83/M83))</f>
        <v>36.07660724928617</v>
      </c>
      <c r="O83" s="199">
        <f>'Staging Table'!BR85*Rates_current!$E$76*100*12</f>
        <v>3169471.3149600001</v>
      </c>
      <c r="P83" s="199">
        <f>'Staging Table'!BS85*Rates_current!$E$77*100*12</f>
        <v>-556997.1634800001</v>
      </c>
      <c r="Q83" s="200">
        <f>SUMPRODUCT('Staging Table'!BY85:CV85, LS_Demand_Rates_Restatement!$C$5:$Z$5)-IF(Init!$R$12="No",('Staging Table'!DU85*Rates_current!$H$34), 0)</f>
        <v>102178.12965518096</v>
      </c>
      <c r="R83" s="200">
        <f>SUMPRODUCT('Staging Table'!CW85:DH85, LS_Demand_Rates_Restatement!$C$11:$N$11)*1000</f>
        <v>261956.15559513896</v>
      </c>
      <c r="S83" s="201">
        <f>'Staging Table'!ED85*IF(Init!$R$15="Yes",IF(Init!$R$6=2024,Rates_current!$C$88,Rates_current!$D$88),Rates_current!$H$33)</f>
        <v>0</v>
      </c>
      <c r="T83" s="201">
        <v>0</v>
      </c>
      <c r="U83" s="201">
        <f>IF('Staging Table'!D85=1, 'Staging Table'!BU85*-1,SUM(O83:T83)*'Staging Table'!BU85*-1)</f>
        <v>0</v>
      </c>
      <c r="V83" s="199">
        <f>'Staging Table'!BX85*Rates_current!$H$32*-1</f>
        <v>0</v>
      </c>
      <c r="W83" s="199">
        <f>IF('Staging Table'!C85=1,"",SUM(O83:V83))</f>
        <v>2976608.4367303201</v>
      </c>
      <c r="X83" s="199">
        <f>IF('Staging Table'!C85=1,"",(RT1SC!$C$4*'Staging Table'!BR85*'Staging Table'!$BS$2)+SUM('Staging Table'!BY85:CV85)-IF(Init!$R$12="No",'Staging Table'!DU85, 0))</f>
        <v>78941.808000000005</v>
      </c>
      <c r="Y83" s="297">
        <f>IF('Staging Table'!C85=1,"",IF(X83=0, 0, W83/X83))</f>
        <v>37.70636259978135</v>
      </c>
      <c r="Z83" s="76">
        <f ca="1">IF('Staging Table'!C85=1,"",(Y83/N83-1)+(RAND()/100000000000000))</f>
        <v>4.5174850817703019E-2</v>
      </c>
      <c r="AA83" s="53">
        <f t="shared" ca="1" si="1"/>
        <v>2</v>
      </c>
      <c r="AD83" s="204"/>
      <c r="AE83" s="204"/>
      <c r="AF83" s="208"/>
      <c r="AG83" s="204"/>
      <c r="AH83" s="204"/>
    </row>
    <row r="84" spans="2:34">
      <c r="B84" s="3">
        <v>10247</v>
      </c>
      <c r="C84" s="4" t="s">
        <v>87</v>
      </c>
      <c r="D84" s="199">
        <f>IF(Init!$R$9="Yes",'Staging Table'!E86,'Staging Table'!BR86)*Rates_previous!$E$76*100*12</f>
        <v>27142424.29234961</v>
      </c>
      <c r="E84" s="199">
        <f>IF(Init!$R$9="Yes",'Staging Table'!F86,'Staging Table'!BS86)*Rates_previous!$E$77*100*12</f>
        <v>-4481279.378755196</v>
      </c>
      <c r="F84" s="200">
        <f>IF(Init!$R$9="Yes",SUMPRODUCT('Staging Table'!L86:AI86,LS_Demand_Rates_Restatement!$C$4:$Z$4)-IF(Init!$R$12="No",('Staging Table'!BH86*Rates_previous!$H$34), 0),SUMPRODUCT('Staging Table'!BY86:CV86,LS_Demand_Rates_Restatement!$C$4:$Z$4)-IF(Init!$R$12="No", 'Staging Table'!DU86*Rates_previous!$H$34, 0))</f>
        <v>496550.77662814502</v>
      </c>
      <c r="G84" s="200">
        <f>IF(Init!$R$9="Yes",SUMPRODUCT('Staging Table'!AJ86:AU86,LS_Demand_Rates_Restatement!$C$10:$N$10),SUMPRODUCT(LS_Demand_Rates_Restatement!$C$10:$N$10,'Staging Table'!CW86:DH86))*1000</f>
        <v>1284938.3948620553</v>
      </c>
      <c r="H84" s="201">
        <f>IF(Init!$R$9="Yes",'Staging Table'!BQ86,'Staging Table'!ED86)*IF(Init!$R$3=2022,Rates_previous!$C$88,Rates_previous!$D$88)</f>
        <v>0</v>
      </c>
      <c r="I84" s="199">
        <v>0</v>
      </c>
      <c r="J84" s="201">
        <f>IF(Init!$R$9="Yes",IF('Staging Table'!D86=1,'Staging Table'!H86*-1,'Staging Table'!H86*SUM(D84:I84)*(-1)),IF('Staging Table'!D86=1,'Staging Table'!BU86*-1,'Staging Table'!BU86*SUM(D84:I84)*(-1)))</f>
        <v>-1248529.7490661221</v>
      </c>
      <c r="K84" s="199">
        <f>IF(Init!$R$9="Yes",'Staging Table'!K86,'Staging Table'!BX86)*(-1)*Rates_previous!$H$32</f>
        <v>0</v>
      </c>
      <c r="L84" s="199">
        <f>IF('Staging Table'!C86=1,"",SUM(D84:K84))</f>
        <v>23194104.336018492</v>
      </c>
      <c r="M84" s="199">
        <f>IF('Staging Table'!C86=1,"",IF(Init!$R$9="Yes",(RT1SC!$C$3*'Staging Table'!E86*'Staging Table'!$F$2)+SUM('Staging Table'!L86:AI86)-IF(Init!$R$12="No",'Staging Table'!BH86, 0),X84))</f>
        <v>667897.43999999994</v>
      </c>
      <c r="N84" s="297">
        <f>IF('Staging Table'!C86=1,"",IF(M84=0, 0, L84/M84))</f>
        <v>34.727044822957389</v>
      </c>
      <c r="O84" s="199">
        <f>'Staging Table'!BR86*Rates_current!$E$76*100*12</f>
        <v>28189685.923199996</v>
      </c>
      <c r="P84" s="199">
        <f>'Staging Table'!BS86*Rates_current!$E$77*100*12</f>
        <v>-4954004.4815999996</v>
      </c>
      <c r="Q84" s="200">
        <f>SUMPRODUCT('Staging Table'!BY86:CV86, LS_Demand_Rates_Restatement!$C$5:$Z$5)-IF(Init!$R$12="No",('Staging Table'!DU86*Rates_current!$H$34), 0)</f>
        <v>740622.91585097625</v>
      </c>
      <c r="R84" s="200">
        <f>SUMPRODUCT('Staging Table'!CW86:DH86, LS_Demand_Rates_Restatement!$C$11:$N$11)*1000</f>
        <v>1331663.0931152778</v>
      </c>
      <c r="S84" s="201">
        <f>'Staging Table'!ED86*IF(Init!$R$15="Yes",IF(Init!$R$6=2024,Rates_current!$C$88,Rates_current!$D$88),Rates_current!$H$33)</f>
        <v>0</v>
      </c>
      <c r="T84" s="201">
        <v>0</v>
      </c>
      <c r="U84" s="201">
        <f>IF('Staging Table'!D86=1, 'Staging Table'!BU86*-1,SUM(O84:T84)*'Staging Table'!BU86*-1)</f>
        <v>0</v>
      </c>
      <c r="V84" s="199">
        <f>'Staging Table'!BX86*Rates_current!$H$32*-1</f>
        <v>0</v>
      </c>
      <c r="W84" s="199">
        <f>IF('Staging Table'!C86=1,"",SUM(O84:V84))</f>
        <v>25307967.450566247</v>
      </c>
      <c r="X84" s="199">
        <f>IF('Staging Table'!C86=1,"",(RT1SC!$C$4*'Staging Table'!BR86*'Staging Table'!$BS$2)+SUM('Staging Table'!BY86:CV86)-IF(Init!$R$12="No",'Staging Table'!DU86, 0))</f>
        <v>702096.33600000001</v>
      </c>
      <c r="Y84" s="297">
        <f>IF('Staging Table'!C86=1,"",IF(X84=0, 0, W84/X84))</f>
        <v>36.04628902459654</v>
      </c>
      <c r="Z84" s="76">
        <f ca="1">IF('Staging Table'!C86=1,"",(Y84/N84-1)+(RAND()/100000000000000))</f>
        <v>3.7988956686779846E-2</v>
      </c>
      <c r="AA84" s="53">
        <f t="shared" ca="1" si="1"/>
        <v>3</v>
      </c>
      <c r="AD84" s="204"/>
      <c r="AE84" s="204"/>
      <c r="AF84" s="208"/>
      <c r="AG84" s="204"/>
      <c r="AH84" s="204"/>
    </row>
    <row r="85" spans="2:34">
      <c r="B85" s="3">
        <v>10256</v>
      </c>
      <c r="C85" s="4" t="s">
        <v>88</v>
      </c>
      <c r="D85" s="199">
        <f>IF(Init!$R$9="Yes",'Staging Table'!E87,'Staging Table'!BR87)*Rates_previous!$E$76*100*12</f>
        <v>15873988.440028891</v>
      </c>
      <c r="E85" s="199">
        <f>IF(Init!$R$9="Yes",'Staging Table'!F87,'Staging Table'!BS87)*Rates_previous!$E$77*100*12</f>
        <v>-2620833.5809911513</v>
      </c>
      <c r="F85" s="200">
        <f>IF(Init!$R$9="Yes",SUMPRODUCT('Staging Table'!L87:AI87,LS_Demand_Rates_Restatement!$C$4:$Z$4)-IF(Init!$R$12="No",('Staging Table'!BH87*Rates_previous!$H$34), 0),SUMPRODUCT('Staging Table'!BY87:CV87,LS_Demand_Rates_Restatement!$C$4:$Z$4)-IF(Init!$R$12="No", 'Staging Table'!DU87*Rates_previous!$H$34, 0))</f>
        <v>160987.70479097334</v>
      </c>
      <c r="G85" s="200">
        <f>IF(Init!$R$9="Yes",SUMPRODUCT('Staging Table'!AJ87:AU87,LS_Demand_Rates_Restatement!$C$10:$N$10),SUMPRODUCT(LS_Demand_Rates_Restatement!$C$10:$N$10,'Staging Table'!CW87:DH87))*1000</f>
        <v>1078120.8919974358</v>
      </c>
      <c r="H85" s="201">
        <f>IF(Init!$R$9="Yes",'Staging Table'!BQ87,'Staging Table'!ED87)*IF(Init!$R$3=2022,Rates_previous!$C$88,Rates_previous!$D$88)</f>
        <v>0</v>
      </c>
      <c r="I85" s="199">
        <v>0</v>
      </c>
      <c r="J85" s="201">
        <f>IF(Init!$R$9="Yes",IF('Staging Table'!D87=1,'Staging Table'!H87*-1,'Staging Table'!H87*SUM(D85:I85)*(-1)),IF('Staging Table'!D87=1,'Staging Table'!BU87*-1,'Staging Table'!BU87*SUM(D85:I85)*(-1)))</f>
        <v>-996488.03522260615</v>
      </c>
      <c r="K85" s="199">
        <f>IF(Init!$R$9="Yes",'Staging Table'!K87,'Staging Table'!BX87)*(-1)*Rates_previous!$H$32</f>
        <v>-452233.52260000008</v>
      </c>
      <c r="L85" s="199">
        <f>IF('Staging Table'!C87=1,"",SUM(D85:K85))</f>
        <v>13043541.898003543</v>
      </c>
      <c r="M85" s="199">
        <f>IF('Staging Table'!C87=1,"",IF(Init!$R$9="Yes",(RT1SC!$C$3*'Staging Table'!E87*'Staging Table'!$F$2)+SUM('Staging Table'!L87:AI87)-IF(Init!$R$12="No",'Staging Table'!BH87, 0),X85))</f>
        <v>390617.16000000003</v>
      </c>
      <c r="N85" s="297">
        <f>IF('Staging Table'!C87=1,"",IF(M85=0, 0, L85/M85))</f>
        <v>33.392137452444594</v>
      </c>
      <c r="O85" s="199">
        <f>'Staging Table'!BR87*Rates_current!$E$76*100*12</f>
        <v>16486581.867120001</v>
      </c>
      <c r="P85" s="199">
        <f>'Staging Table'!BS87*Rates_current!$E$77*100*12</f>
        <v>-2897322.1155600003</v>
      </c>
      <c r="Q85" s="200">
        <f>SUMPRODUCT('Staging Table'!BY87:CV87, LS_Demand_Rates_Restatement!$C$5:$Z$5)-IF(Init!$R$12="No",('Staging Table'!DU87*Rates_current!$H$34), 0)</f>
        <v>316004.61561491608</v>
      </c>
      <c r="R85" s="200">
        <f>SUMPRODUCT('Staging Table'!CW87:DH87, LS_Demand_Rates_Restatement!$C$11:$N$11)*1000</f>
        <v>1041792.2591199522</v>
      </c>
      <c r="S85" s="201">
        <f>'Staging Table'!ED87*IF(Init!$R$15="Yes",IF(Init!$R$6=2024,Rates_current!$C$88,Rates_current!$D$88),Rates_current!$H$33)</f>
        <v>0</v>
      </c>
      <c r="T85" s="201">
        <v>0</v>
      </c>
      <c r="U85" s="201">
        <f>IF('Staging Table'!D87=1, 'Staging Table'!BU87*-1,SUM(O85:T85)*'Staging Table'!BU87*-1)</f>
        <v>-1197062.7171121626</v>
      </c>
      <c r="V85" s="199">
        <f>'Staging Table'!BX87*Rates_current!$H$32*-1</f>
        <v>-480031.36298000009</v>
      </c>
      <c r="W85" s="199">
        <f>IF('Staging Table'!C87=1,"",SUM(O85:V85))</f>
        <v>13269962.546202704</v>
      </c>
      <c r="X85" s="199">
        <f>IF('Staging Table'!C87=1,"",(RT1SC!$C$4*'Staging Table'!BR87*'Staging Table'!$BS$2)+SUM('Staging Table'!BY87:CV87)-IF(Init!$R$12="No",'Staging Table'!DU87, 0))</f>
        <v>410616.864</v>
      </c>
      <c r="Y85" s="297">
        <f>IF('Staging Table'!C87=1,"",IF(X85=0, 0, W85/X85))</f>
        <v>32.317139673549072</v>
      </c>
      <c r="Z85" s="76">
        <f ca="1">IF('Staging Table'!C87=1,"",(Y85/N85-1)+(RAND()/100000000000000))</f>
        <v>-3.219314068846852E-2</v>
      </c>
      <c r="AA85" s="53">
        <f t="shared" ca="1" si="1"/>
        <v>117</v>
      </c>
      <c r="AD85" s="204"/>
      <c r="AE85" s="204"/>
      <c r="AF85" s="208"/>
      <c r="AG85" s="204"/>
      <c r="AH85" s="204"/>
    </row>
    <row r="86" spans="2:34">
      <c r="B86" s="3">
        <v>10258</v>
      </c>
      <c r="C86" s="4" t="s">
        <v>89</v>
      </c>
      <c r="D86" s="199">
        <f>IF(Init!$R$9="Yes",'Staging Table'!E88,'Staging Table'!BR88)*Rates_previous!$E$76*100*12</f>
        <v>12887633.512940638</v>
      </c>
      <c r="E86" s="199">
        <f>IF(Init!$R$9="Yes",'Staging Table'!F88,'Staging Table'!BS88)*Rates_previous!$E$77*100*12</f>
        <v>-2127779.2167877071</v>
      </c>
      <c r="F86" s="200">
        <f>IF(Init!$R$9="Yes",SUMPRODUCT('Staging Table'!L88:AI88,LS_Demand_Rates_Restatement!$C$4:$Z$4)-IF(Init!$R$12="No",('Staging Table'!BH88*Rates_previous!$H$34), 0),SUMPRODUCT('Staging Table'!BY88:CV88,LS_Demand_Rates_Restatement!$C$4:$Z$4)-IF(Init!$R$12="No", 'Staging Table'!DU88*Rates_previous!$H$34, 0))</f>
        <v>471339.43877418095</v>
      </c>
      <c r="G86" s="200">
        <f>IF(Init!$R$9="Yes",SUMPRODUCT('Staging Table'!AJ88:AU88,LS_Demand_Rates_Restatement!$C$10:$N$10),SUMPRODUCT(LS_Demand_Rates_Restatement!$C$10:$N$10,'Staging Table'!CW88:DH88))*1000</f>
        <v>825079.81683953898</v>
      </c>
      <c r="H86" s="201">
        <f>IF(Init!$R$9="Yes",'Staging Table'!BQ88,'Staging Table'!ED88)*IF(Init!$R$3=2022,Rates_previous!$C$88,Rates_previous!$D$88)</f>
        <v>0</v>
      </c>
      <c r="I86" s="199">
        <v>0</v>
      </c>
      <c r="J86" s="201">
        <f>IF(Init!$R$9="Yes",IF('Staging Table'!D88=1,'Staging Table'!H88*-1,'Staging Table'!H88*SUM(D86:I86)*(-1)),IF('Staging Table'!D88=1,'Staging Table'!BU88*-1,'Staging Table'!BU88*SUM(D86:I86)*(-1)))</f>
        <v>-710958.45134767937</v>
      </c>
      <c r="K86" s="199">
        <f>IF(Init!$R$9="Yes",'Staging Table'!K88,'Staging Table'!BX88)*(-1)*Rates_previous!$H$32</f>
        <v>-200418.53980000003</v>
      </c>
      <c r="L86" s="199">
        <f>IF('Staging Table'!C88=1,"",SUM(D86:K86))</f>
        <v>11144896.560618972</v>
      </c>
      <c r="M86" s="199">
        <f>IF('Staging Table'!C88=1,"",IF(Init!$R$9="Yes",(RT1SC!$C$3*'Staging Table'!E88*'Staging Table'!$F$2)+SUM('Staging Table'!L88:AI88)-IF(Init!$R$12="No",'Staging Table'!BH88, 0),X86))</f>
        <v>317129.51999999996</v>
      </c>
      <c r="N86" s="297">
        <f>IF('Staging Table'!C88=1,"",IF(M86=0, 0, L86/M86))</f>
        <v>35.14304363913827</v>
      </c>
      <c r="O86" s="199">
        <f>'Staging Table'!BR88*Rates_current!$E$76*100*12</f>
        <v>13385118.543119997</v>
      </c>
      <c r="P86" s="199">
        <f>'Staging Table'!BS88*Rates_current!$E$77*100*12</f>
        <v>-2352276.5535599999</v>
      </c>
      <c r="Q86" s="200">
        <f>SUMPRODUCT('Staging Table'!BY88:CV88, LS_Demand_Rates_Restatement!$C$5:$Z$5)-IF(Init!$R$12="No",('Staging Table'!DU88*Rates_current!$H$34), 0)</f>
        <v>862041.18622468505</v>
      </c>
      <c r="R86" s="200">
        <f>SUMPRODUCT('Staging Table'!CW88:DH88, LS_Demand_Rates_Restatement!$C$11:$N$11)*1000</f>
        <v>786091.21246263396</v>
      </c>
      <c r="S86" s="201">
        <f>'Staging Table'!ED88*IF(Init!$R$15="Yes",IF(Init!$R$6=2024,Rates_current!$C$88,Rates_current!$D$88),Rates_current!$H$33)</f>
        <v>0</v>
      </c>
      <c r="T86" s="201">
        <v>0</v>
      </c>
      <c r="U86" s="201">
        <f>IF('Staging Table'!D88=1, 'Staging Table'!BU88*-1,SUM(O86:T86)*'Staging Table'!BU88*-1)</f>
        <v>-688495.51474765514</v>
      </c>
      <c r="V86" s="199">
        <f>'Staging Table'!BX88*Rates_current!$H$32*-1</f>
        <v>-212737.84454000002</v>
      </c>
      <c r="W86" s="199">
        <f>IF('Staging Table'!C88=1,"",SUM(O86:V86))</f>
        <v>11779741.02895966</v>
      </c>
      <c r="X86" s="199">
        <f>IF('Staging Table'!C88=1,"",(RT1SC!$C$4*'Staging Table'!BR88*'Staging Table'!$BS$2)+SUM('Staging Table'!BY88:CV88)-IF(Init!$R$12="No",'Staging Table'!DU88, 0))</f>
        <v>333369.80452810961</v>
      </c>
      <c r="Y86" s="297">
        <f>IF('Staging Table'!C88=1,"",IF(X86=0, 0, W86/X86))</f>
        <v>35.335356918824949</v>
      </c>
      <c r="Z86" s="76">
        <f ca="1">IF('Staging Table'!C88=1,"",(Y86/N86-1)+(RAND()/100000000000000))</f>
        <v>5.4723000563543026E-3</v>
      </c>
      <c r="AA86" s="53">
        <f t="shared" ca="1" si="1"/>
        <v>21</v>
      </c>
      <c r="AD86" s="204"/>
      <c r="AE86" s="204"/>
      <c r="AF86" s="208"/>
      <c r="AG86" s="204"/>
      <c r="AH86" s="204"/>
    </row>
    <row r="87" spans="2:34">
      <c r="B87" s="3">
        <v>10259</v>
      </c>
      <c r="C87" s="4" t="s">
        <v>90</v>
      </c>
      <c r="D87" s="199">
        <f>IF(Init!$R$9="Yes",'Staging Table'!E89,'Staging Table'!BR89)*Rates_previous!$E$76*100*12</f>
        <v>9163622.7795628607</v>
      </c>
      <c r="E87" s="199">
        <f>IF(Init!$R$9="Yes",'Staging Table'!F89,'Staging Table'!BS89)*Rates_previous!$E$77*100*12</f>
        <v>-1512936.1089650705</v>
      </c>
      <c r="F87" s="200">
        <f>IF(Init!$R$9="Yes",SUMPRODUCT('Staging Table'!L89:AI89,LS_Demand_Rates_Restatement!$C$4:$Z$4)-IF(Init!$R$12="No",('Staging Table'!BH89*Rates_previous!$H$34), 0),SUMPRODUCT('Staging Table'!BY89:CV89,LS_Demand_Rates_Restatement!$C$4:$Z$4)-IF(Init!$R$12="No", 'Staging Table'!DU89*Rates_previous!$H$34, 0))</f>
        <v>168797.51439527143</v>
      </c>
      <c r="G87" s="200">
        <f>IF(Init!$R$9="Yes",SUMPRODUCT('Staging Table'!AJ89:AU89,LS_Demand_Rates_Restatement!$C$10:$N$10),SUMPRODUCT(LS_Demand_Rates_Restatement!$C$10:$N$10,'Staging Table'!CW89:DH89))*1000</f>
        <v>601733.37497370911</v>
      </c>
      <c r="H87" s="201">
        <f>IF(Init!$R$9="Yes",'Staging Table'!BQ89,'Staging Table'!ED89)*IF(Init!$R$3=2022,Rates_previous!$C$88,Rates_previous!$D$88)</f>
        <v>0</v>
      </c>
      <c r="I87" s="199">
        <v>0</v>
      </c>
      <c r="J87" s="201">
        <f>IF(Init!$R$9="Yes",IF('Staging Table'!D89=1,'Staging Table'!H89*-1,'Staging Table'!H89*SUM(D87:I87)*(-1)),IF('Staging Table'!D89=1,'Staging Table'!BU89*-1,'Staging Table'!BU89*SUM(D87:I87)*(-1)))</f>
        <v>-616769.97409196629</v>
      </c>
      <c r="K87" s="199">
        <f>IF(Init!$R$9="Yes",'Staging Table'!K89,'Staging Table'!BX89)*(-1)*Rates_previous!$H$32</f>
        <v>0</v>
      </c>
      <c r="L87" s="199">
        <f>IF('Staging Table'!C89=1,"",SUM(D87:K87))</f>
        <v>7804447.5858748043</v>
      </c>
      <c r="M87" s="199">
        <f>IF('Staging Table'!C89=1,"",IF(Init!$R$9="Yes",(RT1SC!$C$3*'Staging Table'!E89*'Staging Table'!$F$2)+SUM('Staging Table'!L89:AI89)-IF(Init!$R$12="No",'Staging Table'!BH89, 0),X87))</f>
        <v>225491.16</v>
      </c>
      <c r="N87" s="297">
        <f>IF('Staging Table'!C89=1,"",IF(M87=0, 0, L87/M87))</f>
        <v>34.610880470324446</v>
      </c>
      <c r="O87" s="199">
        <f>'Staging Table'!BR89*Rates_current!$E$76*100*12</f>
        <v>9517132.9180800002</v>
      </c>
      <c r="P87" s="199">
        <f>'Staging Table'!BS89*Rates_current!$E$77*100*12</f>
        <v>-1672523.7470399998</v>
      </c>
      <c r="Q87" s="200">
        <f>SUMPRODUCT('Staging Table'!BY89:CV89, LS_Demand_Rates_Restatement!$C$5:$Z$5)-IF(Init!$R$12="No",('Staging Table'!DU89*Rates_current!$H$34), 0)</f>
        <v>337444.43101479777</v>
      </c>
      <c r="R87" s="200">
        <f>SUMPRODUCT('Staging Table'!CW89:DH89, LS_Demand_Rates_Restatement!$C$11:$N$11)*1000</f>
        <v>601802.52522622864</v>
      </c>
      <c r="S87" s="201">
        <f>'Staging Table'!ED89*IF(Init!$R$15="Yes",IF(Init!$R$6=2024,Rates_current!$C$88,Rates_current!$D$88),Rates_current!$H$33)</f>
        <v>0</v>
      </c>
      <c r="T87" s="201">
        <v>0</v>
      </c>
      <c r="U87" s="201">
        <f>IF('Staging Table'!D89=1, 'Staging Table'!BU89*-1,SUM(O87:T87)*'Staging Table'!BU89*-1)</f>
        <v>-708160.76330206555</v>
      </c>
      <c r="V87" s="199">
        <f>'Staging Table'!BX89*Rates_current!$H$32*-1</f>
        <v>0</v>
      </c>
      <c r="W87" s="199">
        <f>IF('Staging Table'!C89=1,"",SUM(O87:V87))</f>
        <v>8075695.3639789615</v>
      </c>
      <c r="X87" s="199">
        <f>IF('Staging Table'!C89=1,"",(RT1SC!$C$4*'Staging Table'!BR89*'Staging Table'!$BS$2)+SUM('Staging Table'!BY89:CV89)-IF(Init!$R$12="No",'Staging Table'!DU89, 0))</f>
        <v>237036.24</v>
      </c>
      <c r="Y87" s="297">
        <f>IF('Staging Table'!C89=1,"",IF(X87=0, 0, W87/X87))</f>
        <v>34.069454375326579</v>
      </c>
      <c r="Z87" s="76">
        <f ca="1">IF('Staging Table'!C89=1,"",(Y87/N87-1)+(RAND()/100000000000000))</f>
        <v>-1.5643233793541749E-2</v>
      </c>
      <c r="AA87" s="53">
        <f t="shared" ca="1" si="1"/>
        <v>95</v>
      </c>
      <c r="AD87" s="204"/>
      <c r="AE87" s="204"/>
      <c r="AF87" s="208"/>
      <c r="AG87" s="204"/>
      <c r="AH87" s="204"/>
    </row>
    <row r="88" spans="2:34">
      <c r="B88" s="3">
        <v>10260</v>
      </c>
      <c r="C88" s="4" t="s">
        <v>91</v>
      </c>
      <c r="D88" s="199">
        <f>IF(Init!$R$9="Yes",'Staging Table'!E90,'Staging Table'!BR90)*Rates_previous!$E$76*100*12</f>
        <v>8925731.1801352892</v>
      </c>
      <c r="E88" s="199">
        <f>IF(Init!$R$9="Yes",'Staging Table'!F90,'Staging Table'!BS90)*Rates_previous!$E$77*100*12</f>
        <v>-1473659.6350800775</v>
      </c>
      <c r="F88" s="200">
        <f>IF(Init!$R$9="Yes",SUMPRODUCT('Staging Table'!L90:AI90,LS_Demand_Rates_Restatement!$C$4:$Z$4)-IF(Init!$R$12="No",('Staging Table'!BH90*Rates_previous!$H$34), 0),SUMPRODUCT('Staging Table'!BY90:CV90,LS_Demand_Rates_Restatement!$C$4:$Z$4)-IF(Init!$R$12="No", 'Staging Table'!DU90*Rates_previous!$H$34, 0))</f>
        <v>47023.971781856773</v>
      </c>
      <c r="G88" s="200">
        <f>IF(Init!$R$9="Yes",SUMPRODUCT('Staging Table'!AJ90:AU90,LS_Demand_Rates_Restatement!$C$10:$N$10),SUMPRODUCT(LS_Demand_Rates_Restatement!$C$10:$N$10,'Staging Table'!CW90:DH90))*1000</f>
        <v>648417.03731121775</v>
      </c>
      <c r="H88" s="201">
        <f>IF(Init!$R$9="Yes",'Staging Table'!BQ90,'Staging Table'!ED90)*IF(Init!$R$3=2022,Rates_previous!$C$88,Rates_previous!$D$88)</f>
        <v>0</v>
      </c>
      <c r="I88" s="199">
        <v>0</v>
      </c>
      <c r="J88" s="201">
        <f>IF(Init!$R$9="Yes",IF('Staging Table'!D90=1,'Staging Table'!H90*-1,'Staging Table'!H90*SUM(D88:I88)*(-1)),IF('Staging Table'!D90=1,'Staging Table'!BU90*-1,'Staging Table'!BU90*SUM(D88:I88)*(-1)))</f>
        <v>0</v>
      </c>
      <c r="K88" s="199">
        <f>IF(Init!$R$9="Yes",'Staging Table'!K90,'Staging Table'!BX90)*(-1)*Rates_previous!$H$32</f>
        <v>0</v>
      </c>
      <c r="L88" s="199">
        <f>IF('Staging Table'!C90=1,"",SUM(D88:K88))</f>
        <v>8147512.5541482856</v>
      </c>
      <c r="M88" s="199">
        <f>IF('Staging Table'!C90=1,"",IF(Init!$R$9="Yes",(RT1SC!$C$3*'Staging Table'!E90*'Staging Table'!$F$2)+SUM('Staging Table'!L90:AI90)-IF(Init!$R$12="No",'Staging Table'!BH90, 0),X88))</f>
        <v>217049.98723538738</v>
      </c>
      <c r="N88" s="297">
        <f>IF('Staging Table'!C90=1,"",IF(M88=0, 0, L88/M88))</f>
        <v>37.537493818474331</v>
      </c>
      <c r="O88" s="199">
        <f>'Staging Table'!BR90*Rates_current!$E$76*100*12</f>
        <v>9270261.41976</v>
      </c>
      <c r="P88" s="199">
        <f>'Staging Table'!BS90*Rates_current!$E$77*100*12</f>
        <v>-1629138.9958799998</v>
      </c>
      <c r="Q88" s="200">
        <f>SUMPRODUCT('Staging Table'!BY90:CV90, LS_Demand_Rates_Restatement!$C$5:$Z$5)-IF(Init!$R$12="No",('Staging Table'!DU90*Rates_current!$H$34), 0)</f>
        <v>297884.43337890389</v>
      </c>
      <c r="R88" s="200">
        <f>SUMPRODUCT('Staging Table'!CW90:DH90, LS_Demand_Rates_Restatement!$C$11:$N$11)*1000</f>
        <v>647256.22252115374</v>
      </c>
      <c r="S88" s="201">
        <f>'Staging Table'!ED90*IF(Init!$R$15="Yes",IF(Init!$R$6=2024,Rates_current!$C$88,Rates_current!$D$88),Rates_current!$H$33)</f>
        <v>0</v>
      </c>
      <c r="T88" s="201">
        <v>0</v>
      </c>
      <c r="U88" s="201">
        <f>IF('Staging Table'!D90=1, 'Staging Table'!BU90*-1,SUM(O88:T88)*'Staging Table'!BU90*-1)</f>
        <v>0</v>
      </c>
      <c r="V88" s="199">
        <f>'Staging Table'!BX90*Rates_current!$H$32*-1</f>
        <v>0</v>
      </c>
      <c r="W88" s="199">
        <f>IF('Staging Table'!C90=1,"",SUM(O88:V88))</f>
        <v>8586263.0797800571</v>
      </c>
      <c r="X88" s="199">
        <f>IF('Staging Table'!C90=1,"",(RT1SC!$C$4*'Staging Table'!BR90*'Staging Table'!$BS$2)+SUM('Staging Table'!BY90:CV90)-IF(Init!$R$12="No",'Staging Table'!DU90, 0))</f>
        <v>230887.44</v>
      </c>
      <c r="Y88" s="297">
        <f>IF('Staging Table'!C90=1,"",IF(X88=0, 0, W88/X88))</f>
        <v>37.18809078475666</v>
      </c>
      <c r="Z88" s="76">
        <f ca="1">IF('Staging Table'!C90=1,"",(Y88/N88-1)+(RAND()/100000000000000))</f>
        <v>-9.3081076591661413E-3</v>
      </c>
      <c r="AA88" s="53">
        <f t="shared" ca="1" si="1"/>
        <v>64</v>
      </c>
      <c r="AD88" s="204"/>
      <c r="AE88" s="204"/>
      <c r="AF88" s="208"/>
      <c r="AG88" s="204"/>
      <c r="AH88" s="204"/>
    </row>
    <row r="89" spans="2:34">
      <c r="B89" s="3">
        <v>10273</v>
      </c>
      <c r="C89" s="4" t="s">
        <v>92</v>
      </c>
      <c r="D89" s="199">
        <f>IF(Init!$R$9="Yes",'Staging Table'!E91,'Staging Table'!BR91)*Rates_previous!$E$76*100*12</f>
        <v>1997138.3468072722</v>
      </c>
      <c r="E89" s="199">
        <f>IF(Init!$R$9="Yes",'Staging Table'!F91,'Staging Table'!BS91)*Rates_previous!$E$77*100*12</f>
        <v>-329732.3331796584</v>
      </c>
      <c r="F89" s="200">
        <f>IF(Init!$R$9="Yes",SUMPRODUCT('Staging Table'!L91:AI91,LS_Demand_Rates_Restatement!$C$4:$Z$4)-IF(Init!$R$12="No",('Staging Table'!BH91*Rates_previous!$H$34), 0),SUMPRODUCT('Staging Table'!BY91:CV91,LS_Demand_Rates_Restatement!$C$4:$Z$4)-IF(Init!$R$12="No", 'Staging Table'!DU91*Rates_previous!$H$34, 0))</f>
        <v>-97760.936441475991</v>
      </c>
      <c r="G89" s="200">
        <f>IF(Init!$R$9="Yes",SUMPRODUCT('Staging Table'!AJ91:AU91,LS_Demand_Rates_Restatement!$C$10:$N$10),SUMPRODUCT(LS_Demand_Rates_Restatement!$C$10:$N$10,'Staging Table'!CW91:DH91))*1000</f>
        <v>224414.38267840989</v>
      </c>
      <c r="H89" s="201">
        <f>IF(Init!$R$9="Yes",'Staging Table'!BQ91,'Staging Table'!ED91)*IF(Init!$R$3=2022,Rates_previous!$C$88,Rates_previous!$D$88)</f>
        <v>0</v>
      </c>
      <c r="I89" s="199">
        <v>0</v>
      </c>
      <c r="J89" s="201">
        <f>IF(Init!$R$9="Yes",IF('Staging Table'!D91=1,'Staging Table'!H91*-1,'Staging Table'!H91*SUM(D89:I89)*(-1)),IF('Staging Table'!D91=1,'Staging Table'!BU91*-1,'Staging Table'!BU91*SUM(D89:I89)*(-1)))</f>
        <v>-189362.97598870302</v>
      </c>
      <c r="K89" s="199">
        <f>IF(Init!$R$9="Yes",'Staging Table'!K91,'Staging Table'!BX91)*(-1)*Rates_previous!$H$32</f>
        <v>-103790.07249999999</v>
      </c>
      <c r="L89" s="199">
        <f>IF('Staging Table'!C91=1,"",SUM(D89:K89))</f>
        <v>1500906.4113758446</v>
      </c>
      <c r="M89" s="199">
        <f>IF('Staging Table'!C91=1,"",IF(Init!$R$9="Yes",(RT1SC!$C$3*'Staging Table'!E91*'Staging Table'!$F$2)+SUM('Staging Table'!L91:AI91)-IF(Init!$R$12="No",'Staging Table'!BH91, 0),X89))</f>
        <v>46063.375513925464</v>
      </c>
      <c r="N89" s="297">
        <f>IF('Staging Table'!C91=1,"",IF(M89=0, 0, L89/M89))</f>
        <v>32.58350901622709</v>
      </c>
      <c r="O89" s="199">
        <f>'Staging Table'!BR91*Rates_current!$E$76*100*12</f>
        <v>2074119.1675199997</v>
      </c>
      <c r="P89" s="199">
        <f>'Staging Table'!BS91*Rates_current!$E$77*100*12</f>
        <v>-364501.95575999998</v>
      </c>
      <c r="Q89" s="200">
        <f>SUMPRODUCT('Staging Table'!BY91:CV91, LS_Demand_Rates_Restatement!$C$5:$Z$5)-IF(Init!$R$12="No",('Staging Table'!DU91*Rates_current!$H$34), 0)</f>
        <v>84481.710529210133</v>
      </c>
      <c r="R89" s="200">
        <f>SUMPRODUCT('Staging Table'!CW91:DH91, LS_Demand_Rates_Restatement!$C$11:$N$11)*1000</f>
        <v>238051.20006885685</v>
      </c>
      <c r="S89" s="201">
        <f>'Staging Table'!ED91*IF(Init!$R$15="Yes",IF(Init!$R$6=2024,Rates_current!$C$88,Rates_current!$D$88),Rates_current!$H$33)</f>
        <v>0</v>
      </c>
      <c r="T89" s="201">
        <v>0</v>
      </c>
      <c r="U89" s="201">
        <f>IF('Staging Table'!D91=1, 'Staging Table'!BU91*-1,SUM(O89:T89)*'Staging Table'!BU91*-1)</f>
        <v>-195561.1905710845</v>
      </c>
      <c r="V89" s="199">
        <f>'Staging Table'!BX91*Rates_current!$H$32*-1</f>
        <v>-110169.82925</v>
      </c>
      <c r="W89" s="199">
        <f>IF('Staging Table'!C91=1,"",SUM(O89:V89))</f>
        <v>1726419.1025369819</v>
      </c>
      <c r="X89" s="199">
        <f>IF('Staging Table'!C91=1,"",(RT1SC!$C$4*'Staging Table'!BR91*'Staging Table'!$BS$2)+SUM('Staging Table'!BY91:CV91)-IF(Init!$R$12="No",'Staging Table'!DU91, 0))</f>
        <v>51658.704000000005</v>
      </c>
      <c r="Y89" s="297">
        <f>IF('Staging Table'!C91=1,"",IF(X89=0, 0, W89/X89))</f>
        <v>33.419713791832287</v>
      </c>
      <c r="Z89" s="76">
        <f ca="1">IF('Staging Table'!C91=1,"",(Y89/N89-1)+(RAND()/100000000000000))</f>
        <v>2.5663435303691532E-2</v>
      </c>
      <c r="AA89" s="53">
        <f t="shared" ca="1" si="1"/>
        <v>10</v>
      </c>
      <c r="AD89" s="204"/>
      <c r="AE89" s="204"/>
      <c r="AF89" s="208"/>
      <c r="AG89" s="204"/>
      <c r="AH89" s="204"/>
    </row>
    <row r="90" spans="2:34">
      <c r="B90" s="3">
        <v>10278</v>
      </c>
      <c r="C90" s="4" t="s">
        <v>93</v>
      </c>
      <c r="D90" s="199">
        <f>IF(Init!$R$9="Yes",'Staging Table'!E92,'Staging Table'!BR92)*Rates_previous!$E$76*100*12</f>
        <v>12200577.633545486</v>
      </c>
      <c r="E90" s="199">
        <f>IF(Init!$R$9="Yes",'Staging Table'!F92,'Staging Table'!BS92)*Rates_previous!$E$77*100*12</f>
        <v>-2014344.6425130044</v>
      </c>
      <c r="F90" s="200">
        <f>IF(Init!$R$9="Yes",SUMPRODUCT('Staging Table'!L92:AI92,LS_Demand_Rates_Restatement!$C$4:$Z$4)-IF(Init!$R$12="No",('Staging Table'!BH92*Rates_previous!$H$34), 0),SUMPRODUCT('Staging Table'!BY92:CV92,LS_Demand_Rates_Restatement!$C$4:$Z$4)-IF(Init!$R$12="No", 'Staging Table'!DU92*Rates_previous!$H$34, 0))</f>
        <v>0</v>
      </c>
      <c r="G90" s="200">
        <f>IF(Init!$R$9="Yes",SUMPRODUCT('Staging Table'!AJ92:AU92,LS_Demand_Rates_Restatement!$C$10:$N$10),SUMPRODUCT(LS_Demand_Rates_Restatement!$C$10:$N$10,'Staging Table'!CW92:DH92))*1000</f>
        <v>0</v>
      </c>
      <c r="H90" s="201">
        <f>IF(Init!$R$9="Yes",'Staging Table'!BQ92,'Staging Table'!ED92)*IF(Init!$R$3=2022,Rates_previous!$C$88,Rates_previous!$D$88)</f>
        <v>0</v>
      </c>
      <c r="I90" s="199">
        <v>0</v>
      </c>
      <c r="J90" s="201">
        <f>IF(Init!$R$9="Yes",IF('Staging Table'!D92=1,'Staging Table'!H92*-1,'Staging Table'!H92*SUM(D90:I90)*(-1)),IF('Staging Table'!D92=1,'Staging Table'!BU92*-1,'Staging Table'!BU92*SUM(D90:I90)*(-1)))</f>
        <v>-742983.83436590922</v>
      </c>
      <c r="K90" s="199">
        <f>IF(Init!$R$9="Yes",'Staging Table'!K92,'Staging Table'!BX92)*(-1)*Rates_previous!$H$32</f>
        <v>0</v>
      </c>
      <c r="L90" s="199" t="str">
        <f>IF('Staging Table'!C92=1,"",SUM(D90:K90))</f>
        <v/>
      </c>
      <c r="M90" s="199" t="str">
        <f>IF('Staging Table'!C92=1,"",IF(Init!$R$9="Yes",(RT1SC!$C$3*'Staging Table'!E92*'Staging Table'!$F$2)+SUM('Staging Table'!L92:AI92)-IF(Init!$R$12="No",'Staging Table'!BH92, 0),X90))</f>
        <v/>
      </c>
      <c r="N90" s="297" t="str">
        <f>IF('Staging Table'!C92=1,"",IF(M90=0, 0, L90/M90))</f>
        <v/>
      </c>
      <c r="O90" s="199">
        <f>'Staging Table'!BR92*Rates_current!$E$76*100*12</f>
        <v>12671159.194799999</v>
      </c>
      <c r="P90" s="199">
        <f>'Staging Table'!BS92*Rates_current!$E$77*100*12</f>
        <v>-2226806.6274000001</v>
      </c>
      <c r="Q90" s="200">
        <f>SUMPRODUCT('Staging Table'!BY92:CV92, LS_Demand_Rates_Restatement!$C$5:$Z$5)-IF(Init!$R$12="No",('Staging Table'!DU92*Rates_current!$H$34), 0)</f>
        <v>0</v>
      </c>
      <c r="R90" s="200">
        <f>SUMPRODUCT('Staging Table'!CW92:DH92, LS_Demand_Rates_Restatement!$C$11:$N$11)*1000</f>
        <v>0</v>
      </c>
      <c r="S90" s="201">
        <f>'Staging Table'!ED92*IF(Init!$R$15="Yes",IF(Init!$R$6=2024,Rates_current!$C$88,Rates_current!$D$88),Rates_current!$H$33)</f>
        <v>0</v>
      </c>
      <c r="T90" s="201">
        <v>0</v>
      </c>
      <c r="U90" s="201">
        <f>IF('Staging Table'!D92=1, 'Staging Table'!BU92*-1,SUM(O90:T90)*'Staging Table'!BU92*-1)</f>
        <v>-747020.6311504523</v>
      </c>
      <c r="V90" s="199">
        <f>'Staging Table'!BX92*Rates_current!$H$32*-1</f>
        <v>0</v>
      </c>
      <c r="W90" s="199" t="str">
        <f>IF('Staging Table'!C92=1,"",SUM(O90:V90))</f>
        <v/>
      </c>
      <c r="X90" s="199" t="str">
        <f>IF('Staging Table'!C92=1,"",(RT1SC!$C$4*'Staging Table'!BR92*'Staging Table'!$BS$2)+SUM('Staging Table'!BY92:CV92)-IF(Init!$R$12="No",'Staging Table'!DU92, 0))</f>
        <v/>
      </c>
      <c r="Y90" s="297" t="str">
        <f>IF('Staging Table'!C92=1,"",IF(X90=0, 0, W90/X90))</f>
        <v/>
      </c>
      <c r="Z90" s="76" t="str">
        <f ca="1">IF('Staging Table'!C92=1,"",(Y90/N90-1)+(RAND()/100000000000000))</f>
        <v/>
      </c>
      <c r="AA90" s="53" t="str">
        <f t="shared" ca="1" si="1"/>
        <v/>
      </c>
      <c r="AD90" s="204"/>
      <c r="AE90" s="204"/>
      <c r="AF90" s="208"/>
      <c r="AG90" s="204"/>
      <c r="AH90" s="204"/>
    </row>
    <row r="91" spans="2:34">
      <c r="B91" s="3">
        <v>10279</v>
      </c>
      <c r="C91" s="4" t="s">
        <v>94</v>
      </c>
      <c r="D91" s="199">
        <f>IF(Init!$R$9="Yes",'Staging Table'!E93,'Staging Table'!BR93)*Rates_previous!$E$76*100*12</f>
        <v>21992982.44304695</v>
      </c>
      <c r="E91" s="199">
        <f>IF(Init!$R$9="Yes",'Staging Table'!F93,'Staging Table'!BS93)*Rates_previous!$E$77*100*12</f>
        <v>-3631094.1733797397</v>
      </c>
      <c r="F91" s="200">
        <f>IF(Init!$R$9="Yes",SUMPRODUCT('Staging Table'!L93:AI93,LS_Demand_Rates_Restatement!$C$4:$Z$4)-IF(Init!$R$12="No",('Staging Table'!BH93*Rates_previous!$H$34), 0),SUMPRODUCT('Staging Table'!BY93:CV93,LS_Demand_Rates_Restatement!$C$4:$Z$4)-IF(Init!$R$12="No", 'Staging Table'!DU93*Rates_previous!$H$34, 0))</f>
        <v>228608.9409040974</v>
      </c>
      <c r="G91" s="200">
        <f>IF(Init!$R$9="Yes",SUMPRODUCT('Staging Table'!AJ93:AU93,LS_Demand_Rates_Restatement!$C$10:$N$10),SUMPRODUCT(LS_Demand_Rates_Restatement!$C$10:$N$10,'Staging Table'!CW93:DH93))*1000</f>
        <v>0</v>
      </c>
      <c r="H91" s="201">
        <f>IF(Init!$R$9="Yes",'Staging Table'!BQ93,'Staging Table'!ED93)*IF(Init!$R$3=2022,Rates_previous!$C$88,Rates_previous!$D$88)</f>
        <v>0</v>
      </c>
      <c r="I91" s="199">
        <v>0</v>
      </c>
      <c r="J91" s="201">
        <f>IF(Init!$R$9="Yes",IF('Staging Table'!D93=1,'Staging Table'!H93*-1,'Staging Table'!H93*SUM(D91:I91)*(-1)),IF('Staging Table'!D93=1,'Staging Table'!BU93*-1,'Staging Table'!BU93*SUM(D91:I91)*(-1)))</f>
        <v>0</v>
      </c>
      <c r="K91" s="199">
        <f>IF(Init!$R$9="Yes",'Staging Table'!K93,'Staging Table'!BX93)*(-1)*Rates_previous!$H$32</f>
        <v>0</v>
      </c>
      <c r="L91" s="199">
        <f>IF('Staging Table'!C93=1,"",SUM(D91:K91))</f>
        <v>18590497.210571304</v>
      </c>
      <c r="M91" s="199">
        <f>IF('Staging Table'!C93=1,"",IF(Init!$R$9="Yes",(RT1SC!$C$3*'Staging Table'!E93*'Staging Table'!$F$2)+SUM('Staging Table'!L93:AI93)-IF(Init!$R$12="No",'Staging Table'!BH93, 0),X91))</f>
        <v>541184.04</v>
      </c>
      <c r="N91" s="297">
        <f>IF('Staging Table'!C93=1,"",IF(M91=0, 0, L91/M91))</f>
        <v>34.351525241896091</v>
      </c>
      <c r="O91" s="199">
        <f>'Staging Table'!BR93*Rates_current!$E$76*100*12</f>
        <v>22841467.762320001</v>
      </c>
      <c r="P91" s="199">
        <f>'Staging Table'!BS93*Rates_current!$E$77*100*12</f>
        <v>-4014118.2831599992</v>
      </c>
      <c r="Q91" s="200">
        <f>SUMPRODUCT('Staging Table'!BY93:CV93, LS_Demand_Rates_Restatement!$C$5:$Z$5)-IF(Init!$R$12="No",('Staging Table'!DU93*Rates_current!$H$34), 0)</f>
        <v>615303.82887154829</v>
      </c>
      <c r="R91" s="200">
        <f>SUMPRODUCT('Staging Table'!CW93:DH93, LS_Demand_Rates_Restatement!$C$11:$N$11)*1000</f>
        <v>0</v>
      </c>
      <c r="S91" s="201">
        <f>'Staging Table'!ED93*IF(Init!$R$15="Yes",IF(Init!$R$6=2024,Rates_current!$C$88,Rates_current!$D$88),Rates_current!$H$33)</f>
        <v>0</v>
      </c>
      <c r="T91" s="201">
        <v>0</v>
      </c>
      <c r="U91" s="201">
        <f>IF('Staging Table'!D93=1, 'Staging Table'!BU93*-1,SUM(O91:T91)*'Staging Table'!BU93*-1)</f>
        <v>0</v>
      </c>
      <c r="V91" s="199">
        <f>'Staging Table'!BX93*Rates_current!$H$32*-1</f>
        <v>0</v>
      </c>
      <c r="W91" s="199">
        <f>IF('Staging Table'!C93=1,"",SUM(O91:V91))</f>
        <v>19442653.308031552</v>
      </c>
      <c r="X91" s="199">
        <f>IF('Staging Table'!C93=1,"",(RT1SC!$C$4*'Staging Table'!BR93*'Staging Table'!$BS$2)+SUM('Staging Table'!BY93:CV93)-IF(Init!$R$12="No",'Staging Table'!DU93, 0))</f>
        <v>568893.3880820974</v>
      </c>
      <c r="Y91" s="297">
        <f>IF('Staging Table'!C93=1,"",IF(X91=0, 0, W91/X91))</f>
        <v>34.176268726866923</v>
      </c>
      <c r="Z91" s="76">
        <f ca="1">IF('Staging Table'!C93=1,"",(Y91/N91-1)+(RAND()/100000000000000))</f>
        <v>-5.1018554138425546E-3</v>
      </c>
      <c r="AA91" s="53">
        <f t="shared" ca="1" si="1"/>
        <v>44</v>
      </c>
      <c r="AD91" s="204"/>
      <c r="AE91" s="204"/>
      <c r="AF91" s="208"/>
      <c r="AG91" s="204"/>
      <c r="AH91" s="204"/>
    </row>
    <row r="92" spans="2:34">
      <c r="B92" s="3">
        <v>10284</v>
      </c>
      <c r="C92" s="4" t="s">
        <v>95</v>
      </c>
      <c r="D92" s="199">
        <f>IF(Init!$R$9="Yes",'Staging Table'!E94,'Staging Table'!BR94)*Rates_previous!$E$76*100*12</f>
        <v>3449668.0017798534</v>
      </c>
      <c r="E92" s="199">
        <f>IF(Init!$R$9="Yes",'Staging Table'!F94,'Staging Table'!BS94)*Rates_previous!$E$77*100*12</f>
        <v>-569548.46455203975</v>
      </c>
      <c r="F92" s="200">
        <f>IF(Init!$R$9="Yes",SUMPRODUCT('Staging Table'!L94:AI94,LS_Demand_Rates_Restatement!$C$4:$Z$4)-IF(Init!$R$12="No",('Staging Table'!BH94*Rates_previous!$H$34), 0),SUMPRODUCT('Staging Table'!BY94:CV94,LS_Demand_Rates_Restatement!$C$4:$Z$4)-IF(Init!$R$12="No", 'Staging Table'!DU94*Rates_previous!$H$34, 0))</f>
        <v>76773.122583108896</v>
      </c>
      <c r="G92" s="200">
        <f>IF(Init!$R$9="Yes",SUMPRODUCT('Staging Table'!AJ94:AU94,LS_Demand_Rates_Restatement!$C$10:$N$10),SUMPRODUCT(LS_Demand_Rates_Restatement!$C$10:$N$10,'Staging Table'!CW94:DH94))*1000</f>
        <v>246395.51347863243</v>
      </c>
      <c r="H92" s="201">
        <f>IF(Init!$R$9="Yes",'Staging Table'!BQ94,'Staging Table'!ED94)*IF(Init!$R$3=2022,Rates_previous!$C$88,Rates_previous!$D$88)</f>
        <v>0</v>
      </c>
      <c r="I92" s="199">
        <v>0</v>
      </c>
      <c r="J92" s="201">
        <f>IF(Init!$R$9="Yes",IF('Staging Table'!D94=1,'Staging Table'!H94*-1,'Staging Table'!H94*SUM(D92:I92)*(-1)),IF('Staging Table'!D94=1,'Staging Table'!BU94*-1,'Staging Table'!BU94*SUM(D92:I92)*(-1)))</f>
        <v>-161701.98698765674</v>
      </c>
      <c r="K92" s="199">
        <f>IF(Init!$R$9="Yes",'Staging Table'!K94,'Staging Table'!BX94)*(-1)*Rates_previous!$H$32</f>
        <v>0</v>
      </c>
      <c r="L92" s="199">
        <f>IF('Staging Table'!C94=1,"",SUM(D92:K92))</f>
        <v>3041586.1863018982</v>
      </c>
      <c r="M92" s="199">
        <f>IF('Staging Table'!C94=1,"",IF(Init!$R$9="Yes",(RT1SC!$C$3*'Staging Table'!E94*'Staging Table'!$F$2)+SUM('Staging Table'!L94:AI94)-IF(Init!$R$12="No",'Staging Table'!BH94, 0),X92))</f>
        <v>84884.4</v>
      </c>
      <c r="N92" s="297">
        <f>IF('Staging Table'!C94=1,"",IF(M92=0, 0, L92/M92))</f>
        <v>35.832098551699701</v>
      </c>
      <c r="O92" s="199">
        <f>'Staging Table'!BR94*Rates_current!$E$76*100*12</f>
        <v>3582501.5311199999</v>
      </c>
      <c r="P92" s="199">
        <f>'Staging Table'!BS94*Rates_current!$E$77*100*12</f>
        <v>-629582.34756000002</v>
      </c>
      <c r="Q92" s="200">
        <f>SUMPRODUCT('Staging Table'!BY94:CV94, LS_Demand_Rates_Restatement!$C$5:$Z$5)-IF(Init!$R$12="No",('Staging Table'!DU94*Rates_current!$H$34), 0)</f>
        <v>104580.6819703778</v>
      </c>
      <c r="R92" s="200">
        <f>SUMPRODUCT('Staging Table'!CW94:DH94, LS_Demand_Rates_Restatement!$C$11:$N$11)*1000</f>
        <v>247030.09364775641</v>
      </c>
      <c r="S92" s="201">
        <f>'Staging Table'!ED94*IF(Init!$R$15="Yes",IF(Init!$R$6=2024,Rates_current!$C$88,Rates_current!$D$88),Rates_current!$H$33)</f>
        <v>0</v>
      </c>
      <c r="T92" s="201">
        <v>0</v>
      </c>
      <c r="U92" s="201">
        <f>IF('Staging Table'!D94=1, 'Staging Table'!BU94*-1,SUM(O92:T92)*'Staging Table'!BU94*-1)</f>
        <v>-176466.06382714896</v>
      </c>
      <c r="V92" s="199">
        <f>'Staging Table'!BX94*Rates_current!$H$32*-1</f>
        <v>0</v>
      </c>
      <c r="W92" s="199">
        <f>IF('Staging Table'!C94=1,"",SUM(O92:V92))</f>
        <v>3128063.8953509852</v>
      </c>
      <c r="X92" s="199">
        <f>IF('Staging Table'!C94=1,"",(RT1SC!$C$4*'Staging Table'!BR94*'Staging Table'!$BS$2)+SUM('Staging Table'!BY94:CV94)-IF(Init!$R$12="No",'Staging Table'!DU94, 0))</f>
        <v>89227.871999999988</v>
      </c>
      <c r="Y92" s="297">
        <f>IF('Staging Table'!C94=1,"",IF(X92=0, 0, W92/X92))</f>
        <v>35.057026747774344</v>
      </c>
      <c r="Z92" s="76">
        <f ca="1">IF('Staging Table'!C94=1,"",(Y92/N92-1)+(RAND()/100000000000000))</f>
        <v>-2.1630656178474563E-2</v>
      </c>
      <c r="AA92" s="53">
        <f t="shared" ca="1" si="1"/>
        <v>108</v>
      </c>
      <c r="AD92" s="204"/>
      <c r="AE92" s="204"/>
      <c r="AF92" s="208"/>
      <c r="AG92" s="204"/>
      <c r="AH92" s="204"/>
    </row>
    <row r="93" spans="2:34">
      <c r="B93" s="3">
        <v>10285</v>
      </c>
      <c r="C93" s="4" t="s">
        <v>96</v>
      </c>
      <c r="D93" s="199">
        <f>IF(Init!$R$9="Yes",'Staging Table'!E95,'Staging Table'!BR95)*Rates_previous!$E$76*100*12</f>
        <v>2217044.1902297353</v>
      </c>
      <c r="E93" s="199">
        <f>IF(Init!$R$9="Yes",'Staging Table'!F95,'Staging Table'!BS95)*Rates_previous!$E$77*100*12</f>
        <v>-366039.31559149153</v>
      </c>
      <c r="F93" s="200">
        <f>IF(Init!$R$9="Yes",SUMPRODUCT('Staging Table'!L95:AI95,LS_Demand_Rates_Restatement!$C$4:$Z$4)-IF(Init!$R$12="No",('Staging Table'!BH95*Rates_previous!$H$34), 0),SUMPRODUCT('Staging Table'!BY95:CV95,LS_Demand_Rates_Restatement!$C$4:$Z$4)-IF(Init!$R$12="No", 'Staging Table'!DU95*Rates_previous!$H$34, 0))</f>
        <v>0</v>
      </c>
      <c r="G93" s="200">
        <f>IF(Init!$R$9="Yes",SUMPRODUCT('Staging Table'!AJ95:AU95,LS_Demand_Rates_Restatement!$C$10:$N$10),SUMPRODUCT(LS_Demand_Rates_Restatement!$C$10:$N$10,'Staging Table'!CW95:DH95))*1000</f>
        <v>0</v>
      </c>
      <c r="H93" s="201">
        <f>IF(Init!$R$9="Yes",'Staging Table'!BQ95,'Staging Table'!ED95)*IF(Init!$R$3=2022,Rates_previous!$C$88,Rates_previous!$D$88)</f>
        <v>0</v>
      </c>
      <c r="I93" s="199">
        <v>0</v>
      </c>
      <c r="J93" s="201">
        <f>IF(Init!$R$9="Yes",IF('Staging Table'!D95=1,'Staging Table'!H95*-1,'Staging Table'!H95*SUM(D93:I93)*(-1)),IF('Staging Table'!D95=1,'Staging Table'!BU95*-1,'Staging Table'!BU95*SUM(D93:I93)*(-1)))</f>
        <v>-133883.18258258418</v>
      </c>
      <c r="K93" s="199">
        <f>IF(Init!$R$9="Yes",'Staging Table'!K95,'Staging Table'!BX95)*(-1)*Rates_previous!$H$32</f>
        <v>0</v>
      </c>
      <c r="L93" s="199" t="str">
        <f>IF('Staging Table'!C95=1,"",SUM(D93:K93))</f>
        <v/>
      </c>
      <c r="M93" s="199" t="str">
        <f>IF('Staging Table'!C95=1,"",IF(Init!$R$9="Yes",(RT1SC!$C$3*'Staging Table'!E95*'Staging Table'!$F$2)+SUM('Staging Table'!L95:AI95)-IF(Init!$R$12="No",'Staging Table'!BH95, 0),X93))</f>
        <v/>
      </c>
      <c r="N93" s="297" t="str">
        <f>IF('Staging Table'!C95=1,"",IF(M93=0, 0, L93/M93))</f>
        <v/>
      </c>
      <c r="O93" s="199">
        <f>'Staging Table'!BR95*Rates_current!$E$76*100*12</f>
        <v>2302556.2653600001</v>
      </c>
      <c r="P93" s="199">
        <f>'Staging Table'!BS95*Rates_current!$E$77*100*12</f>
        <v>-404647.07867999992</v>
      </c>
      <c r="Q93" s="200">
        <f>SUMPRODUCT('Staging Table'!BY95:CV95, LS_Demand_Rates_Restatement!$C$5:$Z$5)-IF(Init!$R$12="No",('Staging Table'!DU95*Rates_current!$H$34), 0)</f>
        <v>0</v>
      </c>
      <c r="R93" s="200">
        <f>SUMPRODUCT('Staging Table'!CW95:DH95, LS_Demand_Rates_Restatement!$C$11:$N$11)*1000</f>
        <v>0</v>
      </c>
      <c r="S93" s="201">
        <f>'Staging Table'!ED95*IF(Init!$R$15="Yes",IF(Init!$R$6=2024,Rates_current!$C$88,Rates_current!$D$88),Rates_current!$H$33)</f>
        <v>0</v>
      </c>
      <c r="T93" s="201">
        <v>0</v>
      </c>
      <c r="U93" s="201">
        <f>IF('Staging Table'!D95=1, 'Staging Table'!BU95*-1,SUM(O93:T93)*'Staging Table'!BU95*-1)</f>
        <v>-147058.16633412143</v>
      </c>
      <c r="V93" s="199">
        <f>'Staging Table'!BX95*Rates_current!$H$32*-1</f>
        <v>0</v>
      </c>
      <c r="W93" s="199" t="str">
        <f>IF('Staging Table'!C95=1,"",SUM(O93:V93))</f>
        <v/>
      </c>
      <c r="X93" s="199" t="str">
        <f>IF('Staging Table'!C95=1,"",(RT1SC!$C$4*'Staging Table'!BR95*'Staging Table'!$BS$2)+SUM('Staging Table'!BY95:CV95)-IF(Init!$R$12="No",'Staging Table'!DU95, 0))</f>
        <v/>
      </c>
      <c r="Y93" s="297" t="str">
        <f>IF('Staging Table'!C95=1,"",IF(X93=0, 0, W93/X93))</f>
        <v/>
      </c>
      <c r="Z93" s="76" t="str">
        <f ca="1">IF('Staging Table'!C95=1,"",(Y93/N93-1)+(RAND()/100000000000000))</f>
        <v/>
      </c>
      <c r="AA93" s="53" t="str">
        <f t="shared" ca="1" si="1"/>
        <v/>
      </c>
      <c r="AD93" s="204"/>
      <c r="AE93" s="204"/>
      <c r="AF93" s="208"/>
      <c r="AG93" s="204"/>
      <c r="AH93" s="204"/>
    </row>
    <row r="94" spans="2:34">
      <c r="B94" s="3">
        <v>10286</v>
      </c>
      <c r="C94" s="4" t="s">
        <v>97</v>
      </c>
      <c r="D94" s="199">
        <f>IF(Init!$R$9="Yes",'Staging Table'!E96,'Staging Table'!BR96)*Rates_previous!$E$76*100*12</f>
        <v>15590772.735468445</v>
      </c>
      <c r="E94" s="199">
        <f>IF(Init!$R$9="Yes",'Staging Table'!F96,'Staging Table'!BS96)*Rates_previous!$E$77*100*12</f>
        <v>-2574073.9885937958</v>
      </c>
      <c r="F94" s="200">
        <f>IF(Init!$R$9="Yes",SUMPRODUCT('Staging Table'!L96:AI96,LS_Demand_Rates_Restatement!$C$4:$Z$4)-IF(Init!$R$12="No",('Staging Table'!BH96*Rates_previous!$H$34), 0),SUMPRODUCT('Staging Table'!BY96:CV96,LS_Demand_Rates_Restatement!$C$4:$Z$4)-IF(Init!$R$12="No", 'Staging Table'!DU96*Rates_previous!$H$34, 0))</f>
        <v>484561.1023844516</v>
      </c>
      <c r="G94" s="200">
        <f>IF(Init!$R$9="Yes",SUMPRODUCT('Staging Table'!AJ96:AU96,LS_Demand_Rates_Restatement!$C$10:$N$10),SUMPRODUCT(LS_Demand_Rates_Restatement!$C$10:$N$10,'Staging Table'!CW96:DH96))*1000</f>
        <v>0</v>
      </c>
      <c r="H94" s="201">
        <f>IF(Init!$R$9="Yes",'Staging Table'!BQ96,'Staging Table'!ED96)*IF(Init!$R$3=2022,Rates_previous!$C$88,Rates_previous!$D$88)</f>
        <v>0</v>
      </c>
      <c r="I94" s="199">
        <v>0</v>
      </c>
      <c r="J94" s="201">
        <f>IF(Init!$R$9="Yes",IF('Staging Table'!D96=1,'Staging Table'!H96*-1,'Staging Table'!H96*SUM(D94:I94)*(-1)),IF('Staging Table'!D96=1,'Staging Table'!BU96*-1,'Staging Table'!BU96*SUM(D94:I94)*(-1)))</f>
        <v>0</v>
      </c>
      <c r="K94" s="199">
        <f>IF(Init!$R$9="Yes",'Staging Table'!K96,'Staging Table'!BX96)*(-1)*Rates_previous!$H$32</f>
        <v>-603948.84590000007</v>
      </c>
      <c r="L94" s="199">
        <f>IF('Staging Table'!C96=1,"",SUM(D94:K94))</f>
        <v>12897311.003359102</v>
      </c>
      <c r="M94" s="199">
        <f>IF('Staging Table'!C96=1,"",IF(Init!$R$9="Yes",(RT1SC!$C$3*'Staging Table'!E96*'Staging Table'!$F$2)+SUM('Staging Table'!L96:AI96)-IF(Init!$R$12="No",'Staging Table'!BH96, 0),X94))</f>
        <v>383644.21962510049</v>
      </c>
      <c r="N94" s="297">
        <f>IF('Staging Table'!C96=1,"",IF(M94=0, 0, L94/M94))</f>
        <v>33.617894767090284</v>
      </c>
      <c r="O94" s="199">
        <f>'Staging Table'!BR96*Rates_current!$E$76*100*12</f>
        <v>16192129.686480001</v>
      </c>
      <c r="P94" s="199">
        <f>'Staging Table'!BS96*Rates_current!$E$77*100*12</f>
        <v>-2845575.6212400002</v>
      </c>
      <c r="Q94" s="200">
        <f>SUMPRODUCT('Staging Table'!BY96:CV96, LS_Demand_Rates_Restatement!$C$5:$Z$5)-IF(Init!$R$12="No",('Staging Table'!DU96*Rates_current!$H$34), 0)</f>
        <v>928230.1835679888</v>
      </c>
      <c r="R94" s="200">
        <f>SUMPRODUCT('Staging Table'!CW96:DH96, LS_Demand_Rates_Restatement!$C$11:$N$11)*1000</f>
        <v>0</v>
      </c>
      <c r="S94" s="201">
        <f>'Staging Table'!ED96*IF(Init!$R$15="Yes",IF(Init!$R$6=2024,Rates_current!$C$88,Rates_current!$D$88),Rates_current!$H$33)</f>
        <v>0</v>
      </c>
      <c r="T94" s="201">
        <v>0</v>
      </c>
      <c r="U94" s="201">
        <f>IF('Staging Table'!D96=1, 'Staging Table'!BU96*-1,SUM(O94:T94)*'Staging Table'!BU96*-1)</f>
        <v>0</v>
      </c>
      <c r="V94" s="199">
        <f>'Staging Table'!BX96*Rates_current!$H$32*-1</f>
        <v>-641072.3070700001</v>
      </c>
      <c r="W94" s="199">
        <f>IF('Staging Table'!C96=1,"",SUM(O94:V94))</f>
        <v>13633711.941737989</v>
      </c>
      <c r="X94" s="199">
        <f>IF('Staging Table'!C96=1,"",(RT1SC!$C$4*'Staging Table'!BR96*'Staging Table'!$BS$2)+SUM('Staging Table'!BY96:CV96)-IF(Init!$R$12="No",'Staging Table'!DU96, 0))</f>
        <v>403282.22584857157</v>
      </c>
      <c r="Y94" s="297">
        <f>IF('Staging Table'!C96=1,"",IF(X94=0, 0, W94/X94))</f>
        <v>33.806875353979301</v>
      </c>
      <c r="Z94" s="76">
        <f ca="1">IF('Staging Table'!C96=1,"",(Y94/N94-1)+(RAND()/100000000000000))</f>
        <v>5.6214283553006799E-3</v>
      </c>
      <c r="AA94" s="53">
        <f t="shared" ca="1" si="1"/>
        <v>20</v>
      </c>
      <c r="AD94" s="204"/>
      <c r="AE94" s="204"/>
      <c r="AF94" s="208"/>
      <c r="AG94" s="204"/>
      <c r="AH94" s="204"/>
    </row>
    <row r="95" spans="2:34">
      <c r="B95" s="3">
        <v>10288</v>
      </c>
      <c r="C95" s="4" t="s">
        <v>98</v>
      </c>
      <c r="D95" s="199">
        <f>IF(Init!$R$9="Yes",'Staging Table'!E97,'Staging Table'!BR97)*Rates_previous!$E$76*100*12</f>
        <v>8399348.0543857738</v>
      </c>
      <c r="E95" s="199">
        <f>IF(Init!$R$9="Yes",'Staging Table'!F97,'Staging Table'!BS97)*Rates_previous!$E$77*100*12</f>
        <v>-1386752.5179656022</v>
      </c>
      <c r="F95" s="200">
        <f>IF(Init!$R$9="Yes",SUMPRODUCT('Staging Table'!L97:AI97,LS_Demand_Rates_Restatement!$C$4:$Z$4)-IF(Init!$R$12="No",('Staging Table'!BH97*Rates_previous!$H$34), 0),SUMPRODUCT('Staging Table'!BY97:CV97,LS_Demand_Rates_Restatement!$C$4:$Z$4)-IF(Init!$R$12="No", 'Staging Table'!DU97*Rates_previous!$H$34, 0))</f>
        <v>0</v>
      </c>
      <c r="G95" s="200">
        <f>IF(Init!$R$9="Yes",SUMPRODUCT('Staging Table'!AJ97:AU97,LS_Demand_Rates_Restatement!$C$10:$N$10),SUMPRODUCT(LS_Demand_Rates_Restatement!$C$10:$N$10,'Staging Table'!CW97:DH97))*1000</f>
        <v>0</v>
      </c>
      <c r="H95" s="201">
        <f>IF(Init!$R$9="Yes",'Staging Table'!BQ97,'Staging Table'!ED97)*IF(Init!$R$3=2022,Rates_previous!$C$88,Rates_previous!$D$88)</f>
        <v>0</v>
      </c>
      <c r="I95" s="199">
        <v>0</v>
      </c>
      <c r="J95" s="201">
        <f>IF(Init!$R$9="Yes",IF('Staging Table'!D97=1,'Staging Table'!H97*-1,'Staging Table'!H97*SUM(D95:I95)*(-1)),IF('Staging Table'!D97=1,'Staging Table'!BU97*-1,'Staging Table'!BU97*SUM(D95:I95)*(-1)))</f>
        <v>-408974.57168402441</v>
      </c>
      <c r="K95" s="199">
        <f>IF(Init!$R$9="Yes",'Staging Table'!K97,'Staging Table'!BX97)*(-1)*Rates_previous!$H$32</f>
        <v>0</v>
      </c>
      <c r="L95" s="199" t="str">
        <f>IF('Staging Table'!C97=1,"",SUM(D95:K95))</f>
        <v/>
      </c>
      <c r="M95" s="199" t="str">
        <f>IF('Staging Table'!C97=1,"",IF(Init!$R$9="Yes",(RT1SC!$C$3*'Staging Table'!E97*'Staging Table'!$F$2)+SUM('Staging Table'!L97:AI97)-IF(Init!$R$12="No",'Staging Table'!BH97, 0),X95))</f>
        <v/>
      </c>
      <c r="N95" s="297" t="str">
        <f>IF('Staging Table'!C97=1,"",IF(M95=0, 0, L95/M95))</f>
        <v/>
      </c>
      <c r="O95" s="199">
        <f>'Staging Table'!BR97*Rates_current!$E$76*100*12</f>
        <v>8680360.6043999996</v>
      </c>
      <c r="P95" s="199">
        <f>'Staging Table'!BS97*Rates_current!$E$77*100*12</f>
        <v>-1525470.8922000001</v>
      </c>
      <c r="Q95" s="200">
        <f>SUMPRODUCT('Staging Table'!BY97:CV97, LS_Demand_Rates_Restatement!$C$5:$Z$5)-IF(Init!$R$12="No",('Staging Table'!DU97*Rates_current!$H$34), 0)</f>
        <v>0</v>
      </c>
      <c r="R95" s="200">
        <f>SUMPRODUCT('Staging Table'!CW97:DH97, LS_Demand_Rates_Restatement!$C$11:$N$11)*1000</f>
        <v>0</v>
      </c>
      <c r="S95" s="201">
        <f>'Staging Table'!ED97*IF(Init!$R$15="Yes",IF(Init!$R$6=2024,Rates_current!$C$88,Rates_current!$D$88),Rates_current!$H$33)</f>
        <v>-17.459561739735946</v>
      </c>
      <c r="T95" s="201">
        <v>0</v>
      </c>
      <c r="U95" s="201">
        <f>IF('Staging Table'!D97=1, 'Staging Table'!BU97*-1,SUM(O95:T95)*'Staging Table'!BU97*-1)</f>
        <v>-429292.33515829552</v>
      </c>
      <c r="V95" s="199">
        <f>'Staging Table'!BX97*Rates_current!$H$32*-1</f>
        <v>0</v>
      </c>
      <c r="W95" s="199" t="str">
        <f>IF('Staging Table'!C97=1,"",SUM(O95:V95))</f>
        <v/>
      </c>
      <c r="X95" s="199" t="str">
        <f>IF('Staging Table'!C97=1,"",(RT1SC!$C$4*'Staging Table'!BR97*'Staging Table'!$BS$2)+SUM('Staging Table'!BY97:CV97)-IF(Init!$R$12="No",'Staging Table'!DU97, 0))</f>
        <v/>
      </c>
      <c r="Y95" s="297" t="str">
        <f>IF('Staging Table'!C97=1,"",IF(X95=0, 0, W95/X95))</f>
        <v/>
      </c>
      <c r="Z95" s="76" t="str">
        <f ca="1">IF('Staging Table'!C97=1,"",(Y95/N95-1)+(RAND()/100000000000000))</f>
        <v/>
      </c>
      <c r="AA95" s="53" t="str">
        <f t="shared" ca="1" si="1"/>
        <v/>
      </c>
      <c r="AD95" s="204"/>
      <c r="AE95" s="204"/>
      <c r="AF95" s="208"/>
      <c r="AG95" s="204"/>
      <c r="AH95" s="204"/>
    </row>
    <row r="96" spans="2:34">
      <c r="B96" s="3">
        <v>10291</v>
      </c>
      <c r="C96" s="4" t="s">
        <v>99</v>
      </c>
      <c r="D96" s="199">
        <f>IF(Init!$R$9="Yes",'Staging Table'!E98,'Staging Table'!BR98)*Rates_previous!$E$76*100*12</f>
        <v>26888945.037717607</v>
      </c>
      <c r="E96" s="199">
        <f>IF(Init!$R$9="Yes",'Staging Table'!F98,'Staging Table'!BS98)*Rates_previous!$E$77*100*12</f>
        <v>-4439429.3455934646</v>
      </c>
      <c r="F96" s="200">
        <f>IF(Init!$R$9="Yes",SUMPRODUCT('Staging Table'!L98:AI98,LS_Demand_Rates_Restatement!$C$4:$Z$4)-IF(Init!$R$12="No",('Staging Table'!BH98*Rates_previous!$H$34), 0),SUMPRODUCT('Staging Table'!BY98:CV98,LS_Demand_Rates_Restatement!$C$4:$Z$4)-IF(Init!$R$12="No", 'Staging Table'!DU98*Rates_previous!$H$34, 0))</f>
        <v>-285793.63876614865</v>
      </c>
      <c r="G96" s="200">
        <f>IF(Init!$R$9="Yes",SUMPRODUCT('Staging Table'!AJ98:AU98,LS_Demand_Rates_Restatement!$C$10:$N$10),SUMPRODUCT(LS_Demand_Rates_Restatement!$C$10:$N$10,'Staging Table'!CW98:DH98))*1000</f>
        <v>1520374.5041061081</v>
      </c>
      <c r="H96" s="201">
        <f>IF(Init!$R$9="Yes",'Staging Table'!BQ98,'Staging Table'!ED98)*IF(Init!$R$3=2022,Rates_previous!$C$88,Rates_previous!$D$88)</f>
        <v>0</v>
      </c>
      <c r="I96" s="199">
        <v>0</v>
      </c>
      <c r="J96" s="201">
        <f>IF(Init!$R$9="Yes",IF('Staging Table'!D98=1,'Staging Table'!H98*-1,'Staging Table'!H98*SUM(D96:I96)*(-1)),IF('Staging Table'!D98=1,'Staging Table'!BU98*-1,'Staging Table'!BU98*SUM(D96:I96)*(-1)))</f>
        <v>-1259046.5729947917</v>
      </c>
      <c r="K96" s="199">
        <f>IF(Init!$R$9="Yes",'Staging Table'!K98,'Staging Table'!BX98)*(-1)*Rates_previous!$H$32</f>
        <v>-395240.55089999997</v>
      </c>
      <c r="L96" s="199">
        <f>IF('Staging Table'!C98=1,"",SUM(D96:K96))</f>
        <v>22029809.433569312</v>
      </c>
      <c r="M96" s="199">
        <f>IF('Staging Table'!C98=1,"",IF(Init!$R$9="Yes",(RT1SC!$C$3*'Staging Table'!E98*'Staging Table'!$F$2)+SUM('Staging Table'!L98:AI98)-IF(Init!$R$12="No",'Staging Table'!BH98, 0),X96))</f>
        <v>644936.48284683086</v>
      </c>
      <c r="N96" s="297">
        <f>IF('Staging Table'!C98=1,"",IF(M96=0, 0, L96/M96))</f>
        <v>34.158107068663504</v>
      </c>
      <c r="O96" s="199">
        <f>'Staging Table'!BR98*Rates_current!$E$76*100*12</f>
        <v>27574126.415279999</v>
      </c>
      <c r="P96" s="199">
        <f>'Staging Table'!BS98*Rates_current!$E$77*100*12</f>
        <v>-4845827.1656399993</v>
      </c>
      <c r="Q96" s="200">
        <f>SUMPRODUCT('Staging Table'!BY98:CV98, LS_Demand_Rates_Restatement!$C$5:$Z$5)-IF(Init!$R$12="No",('Staging Table'!DU98*Rates_current!$H$34), 0)</f>
        <v>639406.0100294681</v>
      </c>
      <c r="R96" s="200">
        <f>SUMPRODUCT('Staging Table'!CW98:DH98, LS_Demand_Rates_Restatement!$C$11:$N$11)*1000</f>
        <v>1572771.2592525911</v>
      </c>
      <c r="S96" s="201">
        <f>'Staging Table'!ED98*IF(Init!$R$15="Yes",IF(Init!$R$6=2024,Rates_current!$C$88,Rates_current!$D$88),Rates_current!$H$33)</f>
        <v>18.869923993181438</v>
      </c>
      <c r="T96" s="201">
        <v>0</v>
      </c>
      <c r="U96" s="201">
        <f>IF('Staging Table'!D98=1, 'Staging Table'!BU98*-1,SUM(O96:T96)*'Staging Table'!BU98*-1)</f>
        <v>-1247024.7694423029</v>
      </c>
      <c r="V96" s="199">
        <f>'Staging Table'!BX98*Rates_current!$H$32*-1</f>
        <v>-419535.15356999997</v>
      </c>
      <c r="W96" s="199">
        <f>IF('Staging Table'!C98=1,"",SUM(O96:V96))</f>
        <v>23273935.465833753</v>
      </c>
      <c r="X96" s="199">
        <f>IF('Staging Table'!C98=1,"",(RT1SC!$C$4*'Staging Table'!BR98*'Staging Table'!$BS$2)+SUM('Staging Table'!BY98:CV98)-IF(Init!$R$12="No",'Staging Table'!DU98, 0))</f>
        <v>686765.45214799501</v>
      </c>
      <c r="Y96" s="297">
        <f>IF('Staging Table'!C98=1,"",IF(X96=0, 0, W96/X96))</f>
        <v>33.889205394709229</v>
      </c>
      <c r="Z96" s="76">
        <f ca="1">IF('Staging Table'!C98=1,"",(Y96/N96-1)+(RAND()/100000000000000))</f>
        <v>-7.8722650940143413E-3</v>
      </c>
      <c r="AA96" s="53">
        <f t="shared" ca="1" si="1"/>
        <v>59</v>
      </c>
      <c r="AD96" s="204"/>
      <c r="AE96" s="204"/>
      <c r="AF96" s="208"/>
      <c r="AG96" s="204"/>
      <c r="AH96" s="204"/>
    </row>
    <row r="97" spans="2:34">
      <c r="B97" s="3">
        <v>10294</v>
      </c>
      <c r="C97" s="4" t="s">
        <v>100</v>
      </c>
      <c r="D97" s="199">
        <f>IF(Init!$R$9="Yes",'Staging Table'!E99,'Staging Table'!BR99)*Rates_previous!$E$76*100*12</f>
        <v>12335830.518703904</v>
      </c>
      <c r="E97" s="199">
        <f>IF(Init!$R$9="Yes",'Staging Table'!F99,'Staging Table'!BS99)*Rates_previous!$E$77*100*12</f>
        <v>-2036675.2183911661</v>
      </c>
      <c r="F97" s="200">
        <f>IF(Init!$R$9="Yes",SUMPRODUCT('Staging Table'!L99:AI99,LS_Demand_Rates_Restatement!$C$4:$Z$4)-IF(Init!$R$12="No",('Staging Table'!BH99*Rates_previous!$H$34), 0),SUMPRODUCT('Staging Table'!BY99:CV99,LS_Demand_Rates_Restatement!$C$4:$Z$4)-IF(Init!$R$12="No", 'Staging Table'!DU99*Rates_previous!$H$34, 0))</f>
        <v>154865.18859227613</v>
      </c>
      <c r="G97" s="200">
        <f>IF(Init!$R$9="Yes",SUMPRODUCT('Staging Table'!AJ99:AU99,LS_Demand_Rates_Restatement!$C$10:$N$10),SUMPRODUCT(LS_Demand_Rates_Restatement!$C$10:$N$10,'Staging Table'!CW99:DH99))*1000</f>
        <v>729969.32808466023</v>
      </c>
      <c r="H97" s="201">
        <f>IF(Init!$R$9="Yes",'Staging Table'!BQ99,'Staging Table'!ED99)*IF(Init!$R$3=2022,Rates_previous!$C$88,Rates_previous!$D$88)</f>
        <v>0</v>
      </c>
      <c r="I97" s="199">
        <v>0</v>
      </c>
      <c r="J97" s="201">
        <f>IF(Init!$R$9="Yes",IF('Staging Table'!D99=1,'Staging Table'!H99*-1,'Staging Table'!H99*SUM(D97:I97)*(-1)),IF('Staging Table'!D99=1,'Staging Table'!BU99*-1,'Staging Table'!BU99*SUM(D97:I97)*(-1)))</f>
        <v>0</v>
      </c>
      <c r="K97" s="199">
        <f>IF(Init!$R$9="Yes",'Staging Table'!K99,'Staging Table'!BX99)*(-1)*Rates_previous!$H$32</f>
        <v>0</v>
      </c>
      <c r="L97" s="199">
        <f>IF('Staging Table'!C99=1,"",SUM(D97:K97))</f>
        <v>11183989.816989675</v>
      </c>
      <c r="M97" s="199">
        <f>IF('Staging Table'!C99=1,"",IF(Init!$R$9="Yes",(RT1SC!$C$3*'Staging Table'!E99*'Staging Table'!$F$2)+SUM('Staging Table'!L99:AI99)-IF(Init!$R$12="No",'Staging Table'!BH99, 0),X97))</f>
        <v>301450.58252789709</v>
      </c>
      <c r="N97" s="297">
        <f>IF('Staging Table'!C99=1,"",IF(M97=0, 0, L97/M97))</f>
        <v>37.100574572466378</v>
      </c>
      <c r="O97" s="199">
        <f>'Staging Table'!BR99*Rates_current!$E$76*100*12</f>
        <v>12811908.3336</v>
      </c>
      <c r="P97" s="199">
        <f>'Staging Table'!BS99*Rates_current!$E$77*100*12</f>
        <v>-2251541.6268000002</v>
      </c>
      <c r="Q97" s="200">
        <f>SUMPRODUCT('Staging Table'!BY99:CV99, LS_Demand_Rates_Restatement!$C$5:$Z$5)-IF(Init!$R$12="No",('Staging Table'!DU99*Rates_current!$H$34), 0)</f>
        <v>280095.30524227093</v>
      </c>
      <c r="R97" s="200">
        <f>SUMPRODUCT('Staging Table'!CW99:DH99, LS_Demand_Rates_Restatement!$C$11:$N$11)*1000</f>
        <v>696235.23844505905</v>
      </c>
      <c r="S97" s="201">
        <f>'Staging Table'!ED99*IF(Init!$R$15="Yes",IF(Init!$R$6=2024,Rates_current!$C$88,Rates_current!$D$88),Rates_current!$H$33)</f>
        <v>0</v>
      </c>
      <c r="T97" s="201">
        <v>0</v>
      </c>
      <c r="U97" s="201">
        <f>IF('Staging Table'!D99=1, 'Staging Table'!BU99*-1,SUM(O97:T97)*'Staging Table'!BU99*-1)</f>
        <v>0</v>
      </c>
      <c r="V97" s="199">
        <f>'Staging Table'!BX99*Rates_current!$H$32*-1</f>
        <v>0</v>
      </c>
      <c r="W97" s="199">
        <f>IF('Staging Table'!C99=1,"",SUM(O97:V97))</f>
        <v>11536697.250487328</v>
      </c>
      <c r="X97" s="199">
        <f>IF('Staging Table'!C99=1,"",(RT1SC!$C$4*'Staging Table'!BR99*'Staging Table'!$BS$2)+SUM('Staging Table'!BY99:CV99)-IF(Init!$R$12="No",'Staging Table'!DU99, 0))</f>
        <v>319096.36799999996</v>
      </c>
      <c r="Y97" s="297">
        <f>IF('Staging Table'!C99=1,"",IF(X97=0, 0, W97/X97))</f>
        <v>36.154273152013218</v>
      </c>
      <c r="Z97" s="76">
        <f ca="1">IF('Staging Table'!C99=1,"",(Y97/N97-1)+(RAND()/100000000000000))</f>
        <v>-2.550638181100549E-2</v>
      </c>
      <c r="AA97" s="53">
        <f t="shared" ca="1" si="1"/>
        <v>114</v>
      </c>
      <c r="AD97" s="204"/>
      <c r="AE97" s="204"/>
      <c r="AF97" s="208"/>
      <c r="AG97" s="204"/>
      <c r="AH97" s="204"/>
    </row>
    <row r="98" spans="2:34">
      <c r="B98" s="3">
        <v>10304</v>
      </c>
      <c r="C98" s="4" t="s">
        <v>101</v>
      </c>
      <c r="D98" s="199">
        <f>IF(Init!$R$9="Yes",'Staging Table'!E100,'Staging Table'!BR100)*Rates_previous!$E$76*100*12</f>
        <v>4765266.1010335386</v>
      </c>
      <c r="E98" s="199">
        <f>IF(Init!$R$9="Yes",'Staging Table'!F100,'Staging Table'!BS100)*Rates_previous!$E$77*100*12</f>
        <v>-786756.86750876473</v>
      </c>
      <c r="F98" s="200">
        <f>IF(Init!$R$9="Yes",SUMPRODUCT('Staging Table'!L100:AI100,LS_Demand_Rates_Restatement!$C$4:$Z$4)-IF(Init!$R$12="No",('Staging Table'!BH100*Rates_previous!$H$34), 0),SUMPRODUCT('Staging Table'!BY100:CV100,LS_Demand_Rates_Restatement!$C$4:$Z$4)-IF(Init!$R$12="No", 'Staging Table'!DU100*Rates_previous!$H$34, 0))</f>
        <v>80753.05711862279</v>
      </c>
      <c r="G98" s="200">
        <f>IF(Init!$R$9="Yes",SUMPRODUCT('Staging Table'!AJ100:AU100,LS_Demand_Rates_Restatement!$C$10:$N$10),SUMPRODUCT(LS_Demand_Rates_Restatement!$C$10:$N$10,'Staging Table'!CW100:DH100))*1000</f>
        <v>192747.69671460113</v>
      </c>
      <c r="H98" s="201">
        <f>IF(Init!$R$9="Yes",'Staging Table'!BQ100,'Staging Table'!ED100)*IF(Init!$R$3=2022,Rates_previous!$C$88,Rates_previous!$D$88)</f>
        <v>2098.091718205957</v>
      </c>
      <c r="I98" s="199">
        <v>0</v>
      </c>
      <c r="J98" s="201">
        <f>IF(Init!$R$9="Yes",IF('Staging Table'!D100=1,'Staging Table'!H100*-1,'Staging Table'!H100*SUM(D98:I98)*(-1)),IF('Staging Table'!D100=1,'Staging Table'!BU100*-1,'Staging Table'!BU100*SUM(D98:I98)*(-1)))</f>
        <v>0</v>
      </c>
      <c r="K98" s="199">
        <f>IF(Init!$R$9="Yes",'Staging Table'!K100,'Staging Table'!BX100)*(-1)*Rates_previous!$H$32</f>
        <v>0</v>
      </c>
      <c r="L98" s="199">
        <f>IF('Staging Table'!C100=1,"",SUM(D98:K98))</f>
        <v>4254108.0790762035</v>
      </c>
      <c r="M98" s="199">
        <f>IF('Staging Table'!C100=1,"",IF(Init!$R$9="Yes",(RT1SC!$C$3*'Staging Table'!E100*'Staging Table'!$F$2)+SUM('Staging Table'!L100:AI100)-IF(Init!$R$12="No",'Staging Table'!BH100, 0),X98))</f>
        <v>117559.2</v>
      </c>
      <c r="N98" s="297">
        <f>IF('Staging Table'!C100=1,"",IF(M98=0, 0, L98/M98))</f>
        <v>36.186943081240798</v>
      </c>
      <c r="O98" s="199">
        <f>'Staging Table'!BR100*Rates_current!$E$76*100*12</f>
        <v>4730914.8583199997</v>
      </c>
      <c r="P98" s="199">
        <f>'Staging Table'!BS100*Rates_current!$E$77*100*12</f>
        <v>-831402.43115999992</v>
      </c>
      <c r="Q98" s="200">
        <f>SUMPRODUCT('Staging Table'!BY100:CV100, LS_Demand_Rates_Restatement!$C$5:$Z$5)-IF(Init!$R$12="No",('Staging Table'!DU100*Rates_current!$H$34), 0)</f>
        <v>110906.70263652815</v>
      </c>
      <c r="R98" s="200">
        <f>SUMPRODUCT('Staging Table'!CW100:DH100, LS_Demand_Rates_Restatement!$C$11:$N$11)*1000</f>
        <v>205145.72071148502</v>
      </c>
      <c r="S98" s="201">
        <f>'Staging Table'!ED100*IF(Init!$R$15="Yes",IF(Init!$R$6=2024,Rates_current!$C$88,Rates_current!$D$88),Rates_current!$H$33)</f>
        <v>-1.7130549001935289</v>
      </c>
      <c r="T98" s="201">
        <v>0</v>
      </c>
      <c r="U98" s="201">
        <f>IF('Staging Table'!D100=1, 'Staging Table'!BU100*-1,SUM(O98:T98)*'Staging Table'!BU100*-1)</f>
        <v>0</v>
      </c>
      <c r="V98" s="199">
        <f>'Staging Table'!BX100*Rates_current!$H$32*-1</f>
        <v>0</v>
      </c>
      <c r="W98" s="199">
        <f>IF('Staging Table'!C100=1,"",SUM(O98:V98))</f>
        <v>4215563.1374531128</v>
      </c>
      <c r="X98" s="199">
        <f>IF('Staging Table'!C100=1,"",(RT1SC!$C$4*'Staging Table'!BR100*'Staging Table'!$BS$2)+SUM('Staging Table'!BY100:CV100)-IF(Init!$R$12="No",'Staging Table'!DU100, 0))</f>
        <v>117828.83054010404</v>
      </c>
      <c r="Y98" s="297">
        <f>IF('Staging Table'!C100=1,"",IF(X98=0, 0, W98/X98))</f>
        <v>35.777009057374208</v>
      </c>
      <c r="Z98" s="76">
        <f ca="1">IF('Staging Table'!C100=1,"",(Y98/N98-1)+(RAND()/100000000000000))</f>
        <v>-1.1328230266534761E-2</v>
      </c>
      <c r="AA98" s="53">
        <f t="shared" ca="1" si="1"/>
        <v>73</v>
      </c>
      <c r="AD98" s="204"/>
      <c r="AE98" s="204"/>
      <c r="AF98" s="208"/>
      <c r="AG98" s="204"/>
      <c r="AH98" s="204"/>
    </row>
    <row r="99" spans="2:34">
      <c r="B99" s="3">
        <v>10306</v>
      </c>
      <c r="C99" s="4" t="s">
        <v>102</v>
      </c>
      <c r="D99" s="199">
        <f>IF(Init!$R$9="Yes",'Staging Table'!E101,'Staging Table'!BR101)*Rates_previous!$E$76*100*12</f>
        <v>8750669.8216855638</v>
      </c>
      <c r="E99" s="199">
        <f>IF(Init!$R$9="Yes",'Staging Table'!F101,'Staging Table'!BS101)*Rates_previous!$E$77*100*12</f>
        <v>-1444756.5847413226</v>
      </c>
      <c r="F99" s="200">
        <f>IF(Init!$R$9="Yes",SUMPRODUCT('Staging Table'!L101:AI101,LS_Demand_Rates_Restatement!$C$4:$Z$4)-IF(Init!$R$12="No",('Staging Table'!BH101*Rates_previous!$H$34), 0),SUMPRODUCT('Staging Table'!BY101:CV101,LS_Demand_Rates_Restatement!$C$4:$Z$4)-IF(Init!$R$12="No", 'Staging Table'!DU101*Rates_previous!$H$34, 0))</f>
        <v>641985.67048791808</v>
      </c>
      <c r="G99" s="200">
        <f>IF(Init!$R$9="Yes",SUMPRODUCT('Staging Table'!AJ101:AU101,LS_Demand_Rates_Restatement!$C$10:$N$10),SUMPRODUCT(LS_Demand_Rates_Restatement!$C$10:$N$10,'Staging Table'!CW101:DH101))*1000</f>
        <v>0</v>
      </c>
      <c r="H99" s="201">
        <f>IF(Init!$R$9="Yes",'Staging Table'!BQ101,'Staging Table'!ED101)*IF(Init!$R$3=2022,Rates_previous!$C$88,Rates_previous!$D$88)</f>
        <v>0</v>
      </c>
      <c r="I99" s="199">
        <v>0</v>
      </c>
      <c r="J99" s="201">
        <f>IF(Init!$R$9="Yes",IF('Staging Table'!D101=1,'Staging Table'!H101*-1,'Staging Table'!H101*SUM(D99:I99)*(-1)),IF('Staging Table'!D101=1,'Staging Table'!BU101*-1,'Staging Table'!BU101*SUM(D99:I99)*(-1)))</f>
        <v>0</v>
      </c>
      <c r="K99" s="199">
        <f>IF(Init!$R$9="Yes",'Staging Table'!K101,'Staging Table'!BX101)*(-1)*Rates_previous!$H$32</f>
        <v>0</v>
      </c>
      <c r="L99" s="199">
        <f>IF('Staging Table'!C101=1,"",SUM(D99:K99))</f>
        <v>7947898.9074321594</v>
      </c>
      <c r="M99" s="199">
        <f>IF('Staging Table'!C101=1,"",IF(Init!$R$9="Yes",(RT1SC!$C$3*'Staging Table'!E101*'Staging Table'!$F$2)+SUM('Staging Table'!L101:AI101)-IF(Init!$R$12="No",'Staging Table'!BH101, 0),X99))</f>
        <v>215329.57101502642</v>
      </c>
      <c r="N99" s="297">
        <f>IF('Staging Table'!C101=1,"",IF(M99=0, 0, L99/M99))</f>
        <v>36.910392148960945</v>
      </c>
      <c r="O99" s="199">
        <f>'Staging Table'!BR101*Rates_current!$E$76*100*12</f>
        <v>9088408.5501599982</v>
      </c>
      <c r="P99" s="199">
        <f>'Staging Table'!BS101*Rates_current!$E$77*100*12</f>
        <v>-1597180.5010800003</v>
      </c>
      <c r="Q99" s="200">
        <f>SUMPRODUCT('Staging Table'!BY101:CV101, LS_Demand_Rates_Restatement!$C$5:$Z$5)-IF(Init!$R$12="No",('Staging Table'!DU101*Rates_current!$H$34), 0)</f>
        <v>1135136.0720034665</v>
      </c>
      <c r="R99" s="200">
        <f>SUMPRODUCT('Staging Table'!CW101:DH101, LS_Demand_Rates_Restatement!$C$11:$N$11)*1000</f>
        <v>0</v>
      </c>
      <c r="S99" s="201">
        <f>'Staging Table'!ED101*IF(Init!$R$15="Yes",IF(Init!$R$6=2024,Rates_current!$C$88,Rates_current!$D$88),Rates_current!$H$33)</f>
        <v>0</v>
      </c>
      <c r="T99" s="201">
        <v>0</v>
      </c>
      <c r="U99" s="201">
        <f>IF('Staging Table'!D101=1, 'Staging Table'!BU101*-1,SUM(O99:T99)*'Staging Table'!BU101*-1)</f>
        <v>0</v>
      </c>
      <c r="V99" s="199">
        <f>'Staging Table'!BX101*Rates_current!$H$32*-1</f>
        <v>0</v>
      </c>
      <c r="W99" s="199">
        <f>IF('Staging Table'!C101=1,"",SUM(O99:V99))</f>
        <v>8626364.1210834645</v>
      </c>
      <c r="X99" s="199">
        <f>IF('Staging Table'!C101=1,"",(RT1SC!$C$4*'Staging Table'!BR101*'Staging Table'!$BS$2)+SUM('Staging Table'!BY101:CV101)-IF(Init!$R$12="No",'Staging Table'!DU101, 0))</f>
        <v>226354.89703757645</v>
      </c>
      <c r="Y99" s="297">
        <f>IF('Staging Table'!C101=1,"",IF(X99=0, 0, W99/X99))</f>
        <v>38.109907203162606</v>
      </c>
      <c r="Z99" s="76">
        <f ca="1">IF('Staging Table'!C101=1,"",(Y99/N99-1)+(RAND()/100000000000000))</f>
        <v>3.2498030618613345E-2</v>
      </c>
      <c r="AA99" s="53">
        <f t="shared" ca="1" si="1"/>
        <v>7</v>
      </c>
      <c r="AD99" s="204"/>
      <c r="AE99" s="204"/>
      <c r="AF99" s="208"/>
      <c r="AG99" s="204"/>
      <c r="AH99" s="204"/>
    </row>
    <row r="100" spans="2:34">
      <c r="B100" s="3">
        <v>10307</v>
      </c>
      <c r="C100" s="4" t="s">
        <v>103</v>
      </c>
      <c r="D100" s="199">
        <f>IF(Init!$R$9="Yes",'Staging Table'!E102,'Staging Table'!BR102)*Rates_previous!$E$76*100*12</f>
        <v>24254151.688009217</v>
      </c>
      <c r="E100" s="199">
        <f>IF(Init!$R$9="Yes",'Staging Table'!F102,'Staging Table'!BS102)*Rates_previous!$E$77*100*12</f>
        <v>-4004418.6413853834</v>
      </c>
      <c r="F100" s="200">
        <f>IF(Init!$R$9="Yes",SUMPRODUCT('Staging Table'!L102:AI102,LS_Demand_Rates_Restatement!$C$4:$Z$4)-IF(Init!$R$12="No",('Staging Table'!BH102*Rates_previous!$H$34), 0),SUMPRODUCT('Staging Table'!BY102:CV102,LS_Demand_Rates_Restatement!$C$4:$Z$4)-IF(Init!$R$12="No", 'Staging Table'!DU102*Rates_previous!$H$34, 0))</f>
        <v>593276.80870950106</v>
      </c>
      <c r="G100" s="200">
        <f>IF(Init!$R$9="Yes",SUMPRODUCT('Staging Table'!AJ102:AU102,LS_Demand_Rates_Restatement!$C$10:$N$10),SUMPRODUCT(LS_Demand_Rates_Restatement!$C$10:$N$10,'Staging Table'!CW102:DH102))*1000</f>
        <v>1526470.4973588586</v>
      </c>
      <c r="H100" s="201">
        <f>IF(Init!$R$9="Yes",'Staging Table'!BQ102,'Staging Table'!ED102)*IF(Init!$R$3=2022,Rates_previous!$C$88,Rates_previous!$D$88)</f>
        <v>33075.798851716114</v>
      </c>
      <c r="I100" s="199">
        <v>0</v>
      </c>
      <c r="J100" s="201">
        <f>IF(Init!$R$9="Yes",IF('Staging Table'!D102=1,'Staging Table'!H102*-1,'Staging Table'!H102*SUM(D100:I100)*(-1)),IF('Staging Table'!D102=1,'Staging Table'!BU102*-1,'Staging Table'!BU102*SUM(D100:I100)*(-1)))</f>
        <v>0</v>
      </c>
      <c r="K100" s="199">
        <f>IF(Init!$R$9="Yes",'Staging Table'!K102,'Staging Table'!BX102)*(-1)*Rates_previous!$H$32</f>
        <v>0</v>
      </c>
      <c r="L100" s="199">
        <f>IF('Staging Table'!C102=1,"",SUM(D100:K100))</f>
        <v>22402556.151543912</v>
      </c>
      <c r="M100" s="199">
        <f>IF('Staging Table'!C102=1,"",IF(Init!$R$9="Yes",(RT1SC!$C$3*'Staging Table'!E102*'Staging Table'!$F$2)+SUM('Staging Table'!L102:AI102)-IF(Init!$R$12="No",'Staging Table'!BH102, 0),X100))</f>
        <v>601522.92000000004</v>
      </c>
      <c r="N100" s="297">
        <f>IF('Staging Table'!C102=1,"",IF(M100=0, 0, L100/M100))</f>
        <v>37.243063242783684</v>
      </c>
      <c r="O100" s="199">
        <f>'Staging Table'!BR102*Rates_current!$E$76*100*12</f>
        <v>24217072.619760003</v>
      </c>
      <c r="P100" s="199">
        <f>'Staging Table'!BS102*Rates_current!$E$77*100*12</f>
        <v>-4255864.5958799999</v>
      </c>
      <c r="Q100" s="200">
        <f>SUMPRODUCT('Staging Table'!BY102:CV102, LS_Demand_Rates_Restatement!$C$5:$Z$5)-IF(Init!$R$12="No",('Staging Table'!DU102*Rates_current!$H$34), 0)</f>
        <v>800126.0580846197</v>
      </c>
      <c r="R100" s="200">
        <f>SUMPRODUCT('Staging Table'!CW102:DH102, LS_Demand_Rates_Restatement!$C$11:$N$11)*1000</f>
        <v>1554393.7408193378</v>
      </c>
      <c r="S100" s="201">
        <f>'Staging Table'!ED102*IF(Init!$R$15="Yes",IF(Init!$R$6=2024,Rates_current!$C$88,Rates_current!$D$88),Rates_current!$H$33)</f>
        <v>8.1718033164879316</v>
      </c>
      <c r="T100" s="201">
        <v>0</v>
      </c>
      <c r="U100" s="201">
        <f>IF('Staging Table'!D102=1, 'Staging Table'!BU102*-1,SUM(O100:T100)*'Staging Table'!BU102*-1)</f>
        <v>0</v>
      </c>
      <c r="V100" s="199">
        <f>'Staging Table'!BX102*Rates_current!$H$32*-1</f>
        <v>0</v>
      </c>
      <c r="W100" s="199">
        <f>IF('Staging Table'!C102=1,"",SUM(O100:V100))</f>
        <v>22315735.99458728</v>
      </c>
      <c r="X100" s="199">
        <f>IF('Staging Table'!C102=1,"",(RT1SC!$C$4*'Staging Table'!BR102*'Staging Table'!$BS$2)+SUM('Staging Table'!BY102:CV102)-IF(Init!$R$12="No",'Staging Table'!DU102, 0))</f>
        <v>603152.14576473762</v>
      </c>
      <c r="Y100" s="297">
        <f>IF('Staging Table'!C102=1,"",IF(X100=0, 0, W100/X100))</f>
        <v>36.998518783835415</v>
      </c>
      <c r="Z100" s="76">
        <f ca="1">IF('Staging Table'!C102=1,"",(Y100/N100-1)+(RAND()/100000000000000))</f>
        <v>-6.5661746820898674E-3</v>
      </c>
      <c r="AA100" s="53">
        <f t="shared" ca="1" si="1"/>
        <v>52</v>
      </c>
      <c r="AD100" s="204"/>
      <c r="AE100" s="204"/>
      <c r="AF100" s="208"/>
      <c r="AG100" s="204"/>
      <c r="AH100" s="204"/>
    </row>
    <row r="101" spans="2:34">
      <c r="B101" s="3">
        <v>10326</v>
      </c>
      <c r="C101" s="4" t="s">
        <v>104</v>
      </c>
      <c r="D101" s="199">
        <f>IF(Init!$R$9="Yes",'Staging Table'!E103,'Staging Table'!BR103)*Rates_previous!$E$76*100*12</f>
        <v>10343488.373497993</v>
      </c>
      <c r="E101" s="199">
        <f>IF(Init!$R$9="Yes",'Staging Table'!F103,'Staging Table'!BS103)*Rates_previous!$E$77*100*12</f>
        <v>-1707734.74960435</v>
      </c>
      <c r="F101" s="200">
        <f>IF(Init!$R$9="Yes",SUMPRODUCT('Staging Table'!L103:AI103,LS_Demand_Rates_Restatement!$C$4:$Z$4)-IF(Init!$R$12="No",('Staging Table'!BH103*Rates_previous!$H$34), 0),SUMPRODUCT('Staging Table'!BY103:CV103,LS_Demand_Rates_Restatement!$C$4:$Z$4)-IF(Init!$R$12="No", 'Staging Table'!DU103*Rates_previous!$H$34, 0))</f>
        <v>-25657.556983197341</v>
      </c>
      <c r="G101" s="200">
        <f>IF(Init!$R$9="Yes",SUMPRODUCT('Staging Table'!AJ103:AU103,LS_Demand_Rates_Restatement!$C$10:$N$10),SUMPRODUCT(LS_Demand_Rates_Restatement!$C$10:$N$10,'Staging Table'!CW103:DH103))*1000</f>
        <v>347234.24057191942</v>
      </c>
      <c r="H101" s="201">
        <f>IF(Init!$R$9="Yes",'Staging Table'!BQ103,'Staging Table'!ED103)*IF(Init!$R$3=2022,Rates_previous!$C$88,Rates_previous!$D$88)</f>
        <v>0</v>
      </c>
      <c r="I101" s="199">
        <v>0</v>
      </c>
      <c r="J101" s="201">
        <f>IF(Init!$R$9="Yes",IF('Staging Table'!D103=1,'Staging Table'!H103*-1,'Staging Table'!H103*SUM(D101:I101)*(-1)),IF('Staging Table'!D103=1,'Staging Table'!BU103*-1,'Staging Table'!BU103*SUM(D101:I101)*(-1)))</f>
        <v>0</v>
      </c>
      <c r="K101" s="199">
        <f>IF(Init!$R$9="Yes",'Staging Table'!K103,'Staging Table'!BX103)*(-1)*Rates_previous!$H$32</f>
        <v>0</v>
      </c>
      <c r="L101" s="199">
        <f>IF('Staging Table'!C103=1,"",SUM(D101:K101))</f>
        <v>8957330.3074823655</v>
      </c>
      <c r="M101" s="199">
        <f>IF('Staging Table'!C103=1,"",IF(Init!$R$9="Yes",(RT1SC!$C$3*'Staging Table'!E103*'Staging Table'!$F$2)+SUM('Staging Table'!L103:AI103)-IF(Init!$R$12="No",'Staging Table'!BH103, 0),X101))</f>
        <v>254521.8</v>
      </c>
      <c r="N101" s="297">
        <f>IF('Staging Table'!C103=1,"",IF(M101=0, 0, L101/M101))</f>
        <v>35.19278233723935</v>
      </c>
      <c r="O101" s="199">
        <f>'Staging Table'!BR103*Rates_current!$E$76*100*12</f>
        <v>10742771.436479999</v>
      </c>
      <c r="P101" s="199">
        <f>'Staging Table'!BS103*Rates_current!$E$77*100*12</f>
        <v>-1887915.2462399998</v>
      </c>
      <c r="Q101" s="200">
        <f>SUMPRODUCT('Staging Table'!BY103:CV103, LS_Demand_Rates_Restatement!$C$5:$Z$5)-IF(Init!$R$12="No",('Staging Table'!DU103*Rates_current!$H$34), 0)</f>
        <v>66786.477929037981</v>
      </c>
      <c r="R101" s="200">
        <f>SUMPRODUCT('Staging Table'!CW103:DH103, LS_Demand_Rates_Restatement!$C$11:$N$11)*1000</f>
        <v>369269.81337799126</v>
      </c>
      <c r="S101" s="201">
        <f>'Staging Table'!ED103*IF(Init!$R$15="Yes",IF(Init!$R$6=2024,Rates_current!$C$88,Rates_current!$D$88),Rates_current!$H$33)</f>
        <v>0</v>
      </c>
      <c r="T101" s="201">
        <v>0</v>
      </c>
      <c r="U101" s="201">
        <f>IF('Staging Table'!D103=1, 'Staging Table'!BU103*-1,SUM(O101:T101)*'Staging Table'!BU103*-1)</f>
        <v>0</v>
      </c>
      <c r="V101" s="199">
        <f>'Staging Table'!BX103*Rates_current!$H$32*-1</f>
        <v>0</v>
      </c>
      <c r="W101" s="199">
        <f>IF('Staging Table'!C103=1,"",SUM(O101:V101))</f>
        <v>9290912.4815470278</v>
      </c>
      <c r="X101" s="199">
        <f>IF('Staging Table'!C103=1,"",(RT1SC!$C$4*'Staging Table'!BR103*'Staging Table'!$BS$2)+SUM('Staging Table'!BY103:CV103)-IF(Init!$R$12="No",'Staging Table'!DU103, 0))</f>
        <v>267560.64</v>
      </c>
      <c r="Y101" s="297">
        <f>IF('Staging Table'!C103=1,"",IF(X101=0, 0, W101/X101))</f>
        <v>34.724511353938411</v>
      </c>
      <c r="Z101" s="76">
        <f ca="1">IF('Staging Table'!C103=1,"",(Y101/N101-1)+(RAND()/100000000000000))</f>
        <v>-1.3305881268875899E-2</v>
      </c>
      <c r="AA101" s="53">
        <f t="shared" ca="1" si="1"/>
        <v>87</v>
      </c>
      <c r="AD101" s="204"/>
      <c r="AE101" s="204"/>
      <c r="AF101" s="208"/>
      <c r="AG101" s="204"/>
      <c r="AH101" s="204"/>
    </row>
    <row r="102" spans="2:34">
      <c r="B102" s="3">
        <v>10331</v>
      </c>
      <c r="C102" s="4" t="s">
        <v>105</v>
      </c>
      <c r="D102" s="199">
        <f>IF(Init!$R$9="Yes",'Staging Table'!E104,'Staging Table'!BR104)*Rates_previous!$E$76*100*12</f>
        <v>12429596.260010537</v>
      </c>
      <c r="E102" s="199">
        <f>IF(Init!$R$9="Yes",'Staging Table'!F104,'Staging Table'!BS104)*Rates_previous!$E$77*100*12</f>
        <v>-2052156.1672712388</v>
      </c>
      <c r="F102" s="200">
        <f>IF(Init!$R$9="Yes",SUMPRODUCT('Staging Table'!L104:AI104,LS_Demand_Rates_Restatement!$C$4:$Z$4)-IF(Init!$R$12="No",('Staging Table'!BH104*Rates_previous!$H$34), 0),SUMPRODUCT('Staging Table'!BY104:CV104,LS_Demand_Rates_Restatement!$C$4:$Z$4)-IF(Init!$R$12="No", 'Staging Table'!DU104*Rates_previous!$H$34, 0))</f>
        <v>0</v>
      </c>
      <c r="G102" s="200">
        <f>IF(Init!$R$9="Yes",SUMPRODUCT('Staging Table'!AJ104:AU104,LS_Demand_Rates_Restatement!$C$10:$N$10),SUMPRODUCT(LS_Demand_Rates_Restatement!$C$10:$N$10,'Staging Table'!CW104:DH104))*1000</f>
        <v>0</v>
      </c>
      <c r="H102" s="201">
        <f>IF(Init!$R$9="Yes",'Staging Table'!BQ104,'Staging Table'!ED104)*IF(Init!$R$3=2022,Rates_previous!$C$88,Rates_previous!$D$88)</f>
        <v>0</v>
      </c>
      <c r="I102" s="199">
        <v>0</v>
      </c>
      <c r="J102" s="201">
        <f>IF(Init!$R$9="Yes",IF('Staging Table'!D104=1,'Staging Table'!H104*-1,'Staging Table'!H104*SUM(D102:I102)*(-1)),IF('Staging Table'!D104=1,'Staging Table'!BU104*-1,'Staging Table'!BU104*SUM(D102:I102)*(-1)))</f>
        <v>-736694.47218356282</v>
      </c>
      <c r="K102" s="199">
        <f>IF(Init!$R$9="Yes",'Staging Table'!K104,'Staging Table'!BX104)*(-1)*Rates_previous!$H$32</f>
        <v>-1450646.7522000002</v>
      </c>
      <c r="L102" s="199" t="str">
        <f>IF('Staging Table'!C104=1,"",SUM(D102:K102))</f>
        <v/>
      </c>
      <c r="M102" s="199" t="str">
        <f>IF('Staging Table'!C104=1,"",IF(Init!$R$9="Yes",(RT1SC!$C$3*'Staging Table'!E104*'Staging Table'!$F$2)+SUM('Staging Table'!L104:AI104)-IF(Init!$R$12="No",'Staging Table'!BH104, 0),X102))</f>
        <v/>
      </c>
      <c r="N102" s="297" t="str">
        <f>IF('Staging Table'!C104=1,"",IF(M102=0, 0, L102/M102))</f>
        <v/>
      </c>
      <c r="O102" s="199">
        <f>'Staging Table'!BR104*Rates_current!$E$76*100*12</f>
        <v>12470871.924720002</v>
      </c>
      <c r="P102" s="199">
        <f>'Staging Table'!BS104*Rates_current!$E$77*100*12</f>
        <v>-2191608.5043600001</v>
      </c>
      <c r="Q102" s="200">
        <f>SUMPRODUCT('Staging Table'!BY104:CV104, LS_Demand_Rates_Restatement!$C$5:$Z$5)-IF(Init!$R$12="No",('Staging Table'!DU104*Rates_current!$H$34), 0)</f>
        <v>0</v>
      </c>
      <c r="R102" s="200">
        <f>SUMPRODUCT('Staging Table'!CW104:DH104, LS_Demand_Rates_Restatement!$C$11:$N$11)*1000</f>
        <v>0</v>
      </c>
      <c r="S102" s="201">
        <f>'Staging Table'!ED104*IF(Init!$R$15="Yes",IF(Init!$R$6=2024,Rates_current!$C$88,Rates_current!$D$88),Rates_current!$H$33)</f>
        <v>5.2302277373219841</v>
      </c>
      <c r="T102" s="201">
        <v>0</v>
      </c>
      <c r="U102" s="201">
        <f>IF('Staging Table'!D104=1, 'Staging Table'!BU104*-1,SUM(O102:T102)*'Staging Table'!BU104*-1)</f>
        <v>-719548.80554114177</v>
      </c>
      <c r="V102" s="199">
        <f>'Staging Table'!BX104*Rates_current!$H$32*-1</f>
        <v>-1539814.9470600002</v>
      </c>
      <c r="W102" s="199" t="str">
        <f>IF('Staging Table'!C104=1,"",SUM(O102:V102))</f>
        <v/>
      </c>
      <c r="X102" s="199" t="str">
        <f>IF('Staging Table'!C104=1,"",(RT1SC!$C$4*'Staging Table'!BR104*'Staging Table'!$BS$2)+SUM('Staging Table'!BY104:CV104)-IF(Init!$R$12="No",'Staging Table'!DU104, 0))</f>
        <v/>
      </c>
      <c r="Y102" s="297" t="str">
        <f>IF('Staging Table'!C104=1,"",IF(X102=0, 0, W102/X102))</f>
        <v/>
      </c>
      <c r="Z102" s="76" t="str">
        <f ca="1">IF('Staging Table'!C104=1,"",(Y102/N102-1)+(RAND()/100000000000000))</f>
        <v/>
      </c>
      <c r="AA102" s="53" t="str">
        <f t="shared" ca="1" si="1"/>
        <v/>
      </c>
      <c r="AD102" s="204"/>
      <c r="AE102" s="204"/>
      <c r="AF102" s="208"/>
      <c r="AG102" s="204"/>
      <c r="AH102" s="204"/>
    </row>
    <row r="103" spans="2:34">
      <c r="B103" s="3">
        <v>10333</v>
      </c>
      <c r="C103" s="4" t="s">
        <v>106</v>
      </c>
      <c r="D103" s="199">
        <f>IF(Init!$R$9="Yes",'Staging Table'!E105,'Staging Table'!BR105)*Rates_previous!$E$76*100*12</f>
        <v>6287100.869145805</v>
      </c>
      <c r="E103" s="199">
        <f>IF(Init!$R$9="Yes",'Staging Table'!F105,'Staging Table'!BS105)*Rates_previous!$E$77*100*12</f>
        <v>-1038015.4393577215</v>
      </c>
      <c r="F103" s="200">
        <f>IF(Init!$R$9="Yes",SUMPRODUCT('Staging Table'!L105:AI105,LS_Demand_Rates_Restatement!$C$4:$Z$4)-IF(Init!$R$12="No",('Staging Table'!BH105*Rates_previous!$H$34), 0),SUMPRODUCT('Staging Table'!BY105:CV105,LS_Demand_Rates_Restatement!$C$4:$Z$4)-IF(Init!$R$12="No", 'Staging Table'!DU105*Rates_previous!$H$34, 0))</f>
        <v>0</v>
      </c>
      <c r="G103" s="200">
        <f>IF(Init!$R$9="Yes",SUMPRODUCT('Staging Table'!AJ105:AU105,LS_Demand_Rates_Restatement!$C$10:$N$10),SUMPRODUCT(LS_Demand_Rates_Restatement!$C$10:$N$10,'Staging Table'!CW105:DH105))*1000</f>
        <v>0</v>
      </c>
      <c r="H103" s="201">
        <f>IF(Init!$R$9="Yes",'Staging Table'!BQ105,'Staging Table'!ED105)*IF(Init!$R$3=2022,Rates_previous!$C$88,Rates_previous!$D$88)</f>
        <v>0</v>
      </c>
      <c r="I103" s="199">
        <v>0</v>
      </c>
      <c r="J103" s="201">
        <f>IF(Init!$R$9="Yes",IF('Staging Table'!D105=1,'Staging Table'!H105*-1,'Staging Table'!H105*SUM(D103:I103)*(-1)),IF('Staging Table'!D105=1,'Staging Table'!BU105*-1,'Staging Table'!BU105*SUM(D103:I103)*(-1)))</f>
        <v>-334839.15956618189</v>
      </c>
      <c r="K103" s="199">
        <f>IF(Init!$R$9="Yes",'Staging Table'!K105,'Staging Table'!BX105)*(-1)*Rates_previous!$H$32</f>
        <v>0</v>
      </c>
      <c r="L103" s="199" t="str">
        <f>IF('Staging Table'!C105=1,"",SUM(D103:K103))</f>
        <v/>
      </c>
      <c r="M103" s="199" t="str">
        <f>IF('Staging Table'!C105=1,"",IF(Init!$R$9="Yes",(RT1SC!$C$3*'Staging Table'!E105*'Staging Table'!$F$2)+SUM('Staging Table'!L105:AI105)-IF(Init!$R$12="No",'Staging Table'!BH105, 0),X103))</f>
        <v/>
      </c>
      <c r="N103" s="297" t="str">
        <f>IF('Staging Table'!C105=1,"",IF(M103=0, 0, L103/M103))</f>
        <v/>
      </c>
      <c r="O103" s="199">
        <f>'Staging Table'!BR105*Rates_current!$E$76*100*12</f>
        <v>6530012.6997600012</v>
      </c>
      <c r="P103" s="199">
        <f>'Staging Table'!BS105*Rates_current!$E$77*100*12</f>
        <v>-1147572.63588</v>
      </c>
      <c r="Q103" s="200">
        <f>SUMPRODUCT('Staging Table'!BY105:CV105, LS_Demand_Rates_Restatement!$C$5:$Z$5)-IF(Init!$R$12="No",('Staging Table'!DU105*Rates_current!$H$34), 0)</f>
        <v>0</v>
      </c>
      <c r="R103" s="200">
        <f>SUMPRODUCT('Staging Table'!CW105:DH105, LS_Demand_Rates_Restatement!$C$11:$N$11)*1000</f>
        <v>0</v>
      </c>
      <c r="S103" s="201">
        <f>'Staging Table'!ED105*IF(Init!$R$15="Yes",IF(Init!$R$6=2024,Rates_current!$C$88,Rates_current!$D$88),Rates_current!$H$33)</f>
        <v>0</v>
      </c>
      <c r="T103" s="201">
        <v>0</v>
      </c>
      <c r="U103" s="201">
        <f>IF('Staging Table'!D105=1, 'Staging Table'!BU105*-1,SUM(O103:T103)*'Staging Table'!BU105*-1)</f>
        <v>-380244.75309506035</v>
      </c>
      <c r="V103" s="199">
        <f>'Staging Table'!BX105*Rates_current!$H$32*-1</f>
        <v>0</v>
      </c>
      <c r="W103" s="199" t="str">
        <f>IF('Staging Table'!C105=1,"",SUM(O103:V103))</f>
        <v/>
      </c>
      <c r="X103" s="199" t="str">
        <f>IF('Staging Table'!C105=1,"",(RT1SC!$C$4*'Staging Table'!BR105*'Staging Table'!$BS$2)+SUM('Staging Table'!BY105:CV105)-IF(Init!$R$12="No",'Staging Table'!DU105, 0))</f>
        <v/>
      </c>
      <c r="Y103" s="297" t="str">
        <f>IF('Staging Table'!C105=1,"",IF(X103=0, 0, W103/X103))</f>
        <v/>
      </c>
      <c r="Z103" s="76" t="str">
        <f ca="1">IF('Staging Table'!C105=1,"",(Y103/N103-1)+(RAND()/100000000000000))</f>
        <v/>
      </c>
      <c r="AA103" s="53" t="str">
        <f t="shared" ca="1" si="1"/>
        <v/>
      </c>
      <c r="AD103" s="204"/>
      <c r="AE103" s="204"/>
      <c r="AF103" s="208"/>
      <c r="AG103" s="204"/>
      <c r="AH103" s="204"/>
    </row>
    <row r="104" spans="2:34">
      <c r="B104" s="3">
        <v>10338</v>
      </c>
      <c r="C104" s="4" t="s">
        <v>107</v>
      </c>
      <c r="D104" s="199">
        <f>IF(Init!$R$9="Yes",'Staging Table'!E106,'Staging Table'!BR106)*Rates_previous!$E$76*100*12</f>
        <v>805522.05894880265</v>
      </c>
      <c r="E104" s="199">
        <f>IF(Init!$R$9="Yes",'Staging Table'!F106,'Staging Table'!BS106)*Rates_previous!$E$77*100*12</f>
        <v>-132993.62477791455</v>
      </c>
      <c r="F104" s="200">
        <f>IF(Init!$R$9="Yes",SUMPRODUCT('Staging Table'!L106:AI106,LS_Demand_Rates_Restatement!$C$4:$Z$4)-IF(Init!$R$12="No",('Staging Table'!BH106*Rates_previous!$H$34), 0),SUMPRODUCT('Staging Table'!BY106:CV106,LS_Demand_Rates_Restatement!$C$4:$Z$4)-IF(Init!$R$12="No", 'Staging Table'!DU106*Rates_previous!$H$34, 0))</f>
        <v>-8519.7090019292082</v>
      </c>
      <c r="G104" s="200">
        <f>IF(Init!$R$9="Yes",SUMPRODUCT('Staging Table'!AJ106:AU106,LS_Demand_Rates_Restatement!$C$10:$N$10),SUMPRODUCT(LS_Demand_Rates_Restatement!$C$10:$N$10,'Staging Table'!CW106:DH106))*1000</f>
        <v>35692.875375293792</v>
      </c>
      <c r="H104" s="201">
        <f>IF(Init!$R$9="Yes",'Staging Table'!BQ106,'Staging Table'!ED106)*IF(Init!$R$3=2022,Rates_previous!$C$88,Rates_previous!$D$88)</f>
        <v>0</v>
      </c>
      <c r="I104" s="199">
        <v>0</v>
      </c>
      <c r="J104" s="201">
        <f>IF(Init!$R$9="Yes",IF('Staging Table'!D106=1,'Staging Table'!H106*-1,'Staging Table'!H106*SUM(D104:I104)*(-1)),IF('Staging Table'!D106=1,'Staging Table'!BU106*-1,'Staging Table'!BU106*SUM(D104:I104)*(-1)))</f>
        <v>-27512.266933400009</v>
      </c>
      <c r="K104" s="199">
        <f>IF(Init!$R$9="Yes",'Staging Table'!K106,'Staging Table'!BX106)*(-1)*Rates_previous!$H$32</f>
        <v>-45291.789000000004</v>
      </c>
      <c r="L104" s="199">
        <f>IF('Staging Table'!C106=1,"",SUM(D104:K104))</f>
        <v>626897.54461085249</v>
      </c>
      <c r="M104" s="199">
        <f>IF('Staging Table'!C106=1,"",IF(Init!$R$9="Yes",(RT1SC!$C$3*'Staging Table'!E106*'Staging Table'!$F$2)+SUM('Staging Table'!L106:AI106)-IF(Init!$R$12="No",'Staging Table'!BH106, 0),X104))</f>
        <v>19823.879999999997</v>
      </c>
      <c r="N104" s="297">
        <f>IF('Staging Table'!C106=1,"",IF(M104=0, 0, L104/M104))</f>
        <v>31.623352472414712</v>
      </c>
      <c r="O104" s="199">
        <f>'Staging Table'!BR106*Rates_current!$E$76*100*12</f>
        <v>837021.4271999998</v>
      </c>
      <c r="P104" s="199">
        <f>'Staging Table'!BS106*Rates_current!$E$77*100*12</f>
        <v>-147096.6336</v>
      </c>
      <c r="Q104" s="200">
        <f>SUMPRODUCT('Staging Table'!BY106:CV106, LS_Demand_Rates_Restatement!$C$5:$Z$5)-IF(Init!$R$12="No",('Staging Table'!DU106*Rates_current!$H$34), 0)</f>
        <v>5848.4936240533134</v>
      </c>
      <c r="R104" s="200">
        <f>SUMPRODUCT('Staging Table'!CW106:DH106, LS_Demand_Rates_Restatement!$C$11:$N$11)*1000</f>
        <v>37075.182641907035</v>
      </c>
      <c r="S104" s="201">
        <f>'Staging Table'!ED106*IF(Init!$R$15="Yes",IF(Init!$R$6=2024,Rates_current!$C$88,Rates_current!$D$88),Rates_current!$H$33)</f>
        <v>0</v>
      </c>
      <c r="T104" s="201">
        <v>0</v>
      </c>
      <c r="U104" s="201">
        <f>IF('Staging Table'!D106=1, 'Staging Table'!BU106*-1,SUM(O104:T104)*'Staging Table'!BU106*-1)</f>
        <v>-25524.62116916207</v>
      </c>
      <c r="V104" s="199">
        <f>'Staging Table'!BX106*Rates_current!$H$32*-1</f>
        <v>-48075.779699999999</v>
      </c>
      <c r="W104" s="199">
        <f>IF('Staging Table'!C106=1,"",SUM(O104:V104))</f>
        <v>659248.06899679801</v>
      </c>
      <c r="X104" s="199">
        <f>IF('Staging Table'!C106=1,"",(RT1SC!$C$4*'Staging Table'!BR106*'Staging Table'!$BS$2)+SUM('Staging Table'!BY106:CV106)-IF(Init!$R$12="No",'Staging Table'!DU106, 0))</f>
        <v>20844.432000000001</v>
      </c>
      <c r="Y104" s="297">
        <f>IF('Staging Table'!C106=1,"",IF(X104=0, 0, W104/X104))</f>
        <v>31.627058439241615</v>
      </c>
      <c r="Z104" s="76">
        <f ca="1">IF('Staging Table'!C106=1,"",(Y104/N104-1)+(RAND()/100000000000000))</f>
        <v>1.1719082694150638E-4</v>
      </c>
      <c r="AA104" s="53">
        <f t="shared" ca="1" si="1"/>
        <v>32</v>
      </c>
      <c r="AD104" s="204"/>
      <c r="AE104" s="204"/>
      <c r="AF104" s="208"/>
      <c r="AG104" s="204"/>
      <c r="AH104" s="204"/>
    </row>
    <row r="105" spans="2:34">
      <c r="B105" s="3">
        <v>10342</v>
      </c>
      <c r="C105" s="4" t="s">
        <v>108</v>
      </c>
      <c r="D105" s="199">
        <f>IF(Init!$R$9="Yes",'Staging Table'!E107,'Staging Table'!BR107)*Rates_previous!$E$76*100*12</f>
        <v>13138714.666771956</v>
      </c>
      <c r="E105" s="199">
        <f>IF(Init!$R$9="Yes",'Staging Table'!F107,'Staging Table'!BS107)*Rates_previous!$E$77*100*12</f>
        <v>-2169233.3177530169</v>
      </c>
      <c r="F105" s="200">
        <f>IF(Init!$R$9="Yes",SUMPRODUCT('Staging Table'!L107:AI107,LS_Demand_Rates_Restatement!$C$4:$Z$4)-IF(Init!$R$12="No",('Staging Table'!BH107*Rates_previous!$H$34), 0),SUMPRODUCT('Staging Table'!BY107:CV107,LS_Demand_Rates_Restatement!$C$4:$Z$4)-IF(Init!$R$12="No", 'Staging Table'!DU107*Rates_previous!$H$34, 0))</f>
        <v>187894.23587934166</v>
      </c>
      <c r="G105" s="200">
        <f>IF(Init!$R$9="Yes",SUMPRODUCT('Staging Table'!AJ107:AU107,LS_Demand_Rates_Restatement!$C$10:$N$10),SUMPRODUCT(LS_Demand_Rates_Restatement!$C$10:$N$10,'Staging Table'!CW107:DH107))*1000</f>
        <v>768458.42857838306</v>
      </c>
      <c r="H105" s="201">
        <f>IF(Init!$R$9="Yes",'Staging Table'!BQ107,'Staging Table'!ED107)*IF(Init!$R$3=2022,Rates_previous!$C$88,Rates_previous!$D$88)</f>
        <v>0</v>
      </c>
      <c r="I105" s="199">
        <v>0</v>
      </c>
      <c r="J105" s="201">
        <f>IF(Init!$R$9="Yes",IF('Staging Table'!D107=1,'Staging Table'!H107*-1,'Staging Table'!H107*SUM(D105:I105)*(-1)),IF('Staging Table'!D107=1,'Staging Table'!BU107*-1,'Staging Table'!BU107*SUM(D105:I105)*(-1)))</f>
        <v>0</v>
      </c>
      <c r="K105" s="199">
        <f>IF(Init!$R$9="Yes",'Staging Table'!K107,'Staging Table'!BX107)*(-1)*Rates_previous!$H$32</f>
        <v>0</v>
      </c>
      <c r="L105" s="199">
        <f>IF('Staging Table'!C107=1,"",SUM(D105:K105))</f>
        <v>11925834.013476662</v>
      </c>
      <c r="M105" s="199">
        <f>IF('Staging Table'!C107=1,"",IF(Init!$R$9="Yes",(RT1SC!$C$3*'Staging Table'!E107*'Staging Table'!$F$2)+SUM('Staging Table'!L107:AI107)-IF(Init!$R$12="No",'Staging Table'!BH107, 0),X105))</f>
        <v>323305.31999999995</v>
      </c>
      <c r="N105" s="297">
        <f>IF('Staging Table'!C107=1,"",IF(M105=0, 0, L105/M105))</f>
        <v>36.887218600289856</v>
      </c>
      <c r="O105" s="199">
        <f>'Staging Table'!BR107*Rates_current!$E$76*100*12</f>
        <v>13478536.113119999</v>
      </c>
      <c r="P105" s="199">
        <f>'Staging Table'!BS107*Rates_current!$E$77*100*12</f>
        <v>-2368693.5885600001</v>
      </c>
      <c r="Q105" s="200">
        <f>SUMPRODUCT('Staging Table'!BY107:CV107, LS_Demand_Rates_Restatement!$C$5:$Z$5)-IF(Init!$R$12="No",('Staging Table'!DU107*Rates_current!$H$34), 0)</f>
        <v>498708.11667469901</v>
      </c>
      <c r="R105" s="200">
        <f>SUMPRODUCT('Staging Table'!CW107:DH107, LS_Demand_Rates_Restatement!$C$11:$N$11)*1000</f>
        <v>816213.57665210986</v>
      </c>
      <c r="S105" s="201">
        <f>'Staging Table'!ED107*IF(Init!$R$15="Yes",IF(Init!$R$6=2024,Rates_current!$C$88,Rates_current!$D$88),Rates_current!$H$33)</f>
        <v>-12.359905953460839</v>
      </c>
      <c r="T105" s="201">
        <v>0</v>
      </c>
      <c r="U105" s="201">
        <f>IF('Staging Table'!D107=1, 'Staging Table'!BU107*-1,SUM(O105:T105)*'Staging Table'!BU107*-1)</f>
        <v>0</v>
      </c>
      <c r="V105" s="199">
        <f>'Staging Table'!BX107*Rates_current!$H$32*-1</f>
        <v>0</v>
      </c>
      <c r="W105" s="199">
        <f>IF('Staging Table'!C107=1,"",SUM(O105:V105))</f>
        <v>12424751.857980855</v>
      </c>
      <c r="X105" s="199">
        <f>IF('Staging Table'!C107=1,"",(RT1SC!$C$4*'Staging Table'!BR107*'Staging Table'!$BS$2)+SUM('Staging Table'!BY107:CV107)-IF(Init!$R$12="No",'Staging Table'!DU107, 0))</f>
        <v>335699.96453877463</v>
      </c>
      <c r="Y105" s="297">
        <f>IF('Staging Table'!C107=1,"",IF(X105=0, 0, W105/X105))</f>
        <v>37.011478017435863</v>
      </c>
      <c r="Z105" s="76">
        <f ca="1">IF('Staging Table'!C107=1,"",(Y105/N105-1)+(RAND()/100000000000000))</f>
        <v>3.3686307035693396E-3</v>
      </c>
      <c r="AA105" s="53">
        <f t="shared" ca="1" si="1"/>
        <v>25</v>
      </c>
      <c r="AD105" s="204"/>
      <c r="AE105" s="204"/>
      <c r="AF105" s="208"/>
      <c r="AG105" s="204"/>
      <c r="AH105" s="204"/>
    </row>
    <row r="106" spans="2:34">
      <c r="B106" s="3">
        <v>10343</v>
      </c>
      <c r="C106" s="4" t="s">
        <v>109</v>
      </c>
      <c r="D106" s="199">
        <f>IF(Init!$R$9="Yes",'Staging Table'!E108,'Staging Table'!BR108)*Rates_previous!$E$76*100*12</f>
        <v>4277732.2082550591</v>
      </c>
      <c r="E106" s="199">
        <f>IF(Init!$R$9="Yes",'Staging Table'!F108,'Staging Table'!BS108)*Rates_previous!$E$77*100*12</f>
        <v>-706263.85197631444</v>
      </c>
      <c r="F106" s="200">
        <f>IF(Init!$R$9="Yes",SUMPRODUCT('Staging Table'!L108:AI108,LS_Demand_Rates_Restatement!$C$4:$Z$4)-IF(Init!$R$12="No",('Staging Table'!BH108*Rates_previous!$H$34), 0),SUMPRODUCT('Staging Table'!BY108:CV108,LS_Demand_Rates_Restatement!$C$4:$Z$4)-IF(Init!$R$12="No", 'Staging Table'!DU108*Rates_previous!$H$34, 0))</f>
        <v>-23971.159905942503</v>
      </c>
      <c r="G106" s="200">
        <f>IF(Init!$R$9="Yes",SUMPRODUCT('Staging Table'!AJ108:AU108,LS_Demand_Rates_Restatement!$C$10:$N$10),SUMPRODUCT(LS_Demand_Rates_Restatement!$C$10:$N$10,'Staging Table'!CW108:DH108))*1000</f>
        <v>0</v>
      </c>
      <c r="H106" s="201">
        <f>IF(Init!$R$9="Yes",'Staging Table'!BQ108,'Staging Table'!ED108)*IF(Init!$R$3=2022,Rates_previous!$C$88,Rates_previous!$D$88)</f>
        <v>-1500.0088881644183</v>
      </c>
      <c r="I106" s="199">
        <v>0</v>
      </c>
      <c r="J106" s="201">
        <f>IF(Init!$R$9="Yes",IF('Staging Table'!D108=1,'Staging Table'!H108*-1,'Staging Table'!H108*SUM(D106:I106)*(-1)),IF('Staging Table'!D108=1,'Staging Table'!BU108*-1,'Staging Table'!BU108*SUM(D106:I106)*(-1)))</f>
        <v>-248219.80312392465</v>
      </c>
      <c r="K106" s="199">
        <f>IF(Init!$R$9="Yes",'Staging Table'!K108,'Staging Table'!BX108)*(-1)*Rates_previous!$H$32</f>
        <v>-114511.70490000001</v>
      </c>
      <c r="L106" s="199">
        <f>IF('Staging Table'!C108=1,"",SUM(D106:K106))</f>
        <v>3183265.6794607127</v>
      </c>
      <c r="M106" s="199">
        <f>IF('Staging Table'!C108=1,"",IF(Init!$R$9="Yes",(RT1SC!$C$3*'Staging Table'!E108*'Staging Table'!$F$2)+SUM('Staging Table'!L108:AI108)-IF(Init!$R$12="No",'Staging Table'!BH108, 0),X106))</f>
        <v>105047.22238465451</v>
      </c>
      <c r="N106" s="297">
        <f>IF('Staging Table'!C108=1,"",IF(M106=0, 0, L106/M106))</f>
        <v>30.30318753031332</v>
      </c>
      <c r="O106" s="199">
        <f>'Staging Table'!BR108*Rates_current!$E$76*100*12</f>
        <v>4217741.0071199993</v>
      </c>
      <c r="P106" s="199">
        <f>'Staging Table'!BS108*Rates_current!$E$77*100*12</f>
        <v>-741218.1855599999</v>
      </c>
      <c r="Q106" s="200">
        <f>SUMPRODUCT('Staging Table'!BY108:CV108, LS_Demand_Rates_Restatement!$C$5:$Z$5)-IF(Init!$R$12="No",('Staging Table'!DU108*Rates_current!$H$34), 0)</f>
        <v>16659.510823914552</v>
      </c>
      <c r="R106" s="200">
        <f>SUMPRODUCT('Staging Table'!CW108:DH108, LS_Demand_Rates_Restatement!$C$11:$N$11)*1000</f>
        <v>0</v>
      </c>
      <c r="S106" s="201">
        <f>'Staging Table'!ED108*IF(Init!$R$15="Yes",IF(Init!$R$6=2024,Rates_current!$C$88,Rates_current!$D$88),Rates_current!$H$33)</f>
        <v>4.2972293863764213</v>
      </c>
      <c r="T106" s="201">
        <v>0</v>
      </c>
      <c r="U106" s="201">
        <f>IF('Staging Table'!D108=1, 'Staging Table'!BU108*-1,SUM(O106:T106)*'Staging Table'!BU108*-1)</f>
        <v>-244523.06407293104</v>
      </c>
      <c r="V106" s="199">
        <f>'Staging Table'!BX108*Rates_current!$H$32*-1</f>
        <v>-121550.49777</v>
      </c>
      <c r="W106" s="199">
        <f>IF('Staging Table'!C108=1,"",SUM(O106:V106))</f>
        <v>3127113.0677703694</v>
      </c>
      <c r="X106" s="199">
        <f>IF('Staging Table'!C108=1,"",(RT1SC!$C$4*'Staging Table'!BR108*'Staging Table'!$BS$2)+SUM('Staging Table'!BY108:CV108)-IF(Init!$R$12="No",'Staging Table'!DU108, 0))</f>
        <v>105047.21748151763</v>
      </c>
      <c r="Y106" s="297">
        <f>IF('Staging Table'!C108=1,"",IF(X106=0, 0, W106/X106))</f>
        <v>29.768642547058086</v>
      </c>
      <c r="Z106" s="76">
        <f ca="1">IF('Staging Table'!C108=1,"",(Y106/N106-1)+(RAND()/100000000000000))</f>
        <v>-1.7639892922831586E-2</v>
      </c>
      <c r="AA106" s="53">
        <f t="shared" ca="1" si="1"/>
        <v>99</v>
      </c>
      <c r="AD106" s="204"/>
      <c r="AE106" s="204"/>
      <c r="AF106" s="208"/>
      <c r="AG106" s="204"/>
      <c r="AH106" s="204"/>
    </row>
    <row r="107" spans="2:34">
      <c r="B107" s="3">
        <v>10349</v>
      </c>
      <c r="C107" s="4" t="s">
        <v>110</v>
      </c>
      <c r="D107" s="199">
        <f>IF(Init!$R$9="Yes",'Staging Table'!E109,'Staging Table'!BR109)*Rates_previous!$E$76*100*12</f>
        <v>164601801.99747396</v>
      </c>
      <c r="E107" s="199">
        <f>IF(Init!$R$9="Yes",'Staging Table'!F109,'Staging Table'!BS109)*Rates_previous!$E$77*100*12</f>
        <v>-27176152.47084374</v>
      </c>
      <c r="F107" s="200">
        <f>IF(Init!$R$9="Yes",SUMPRODUCT('Staging Table'!L109:AI109,LS_Demand_Rates_Restatement!$C$4:$Z$4)-IF(Init!$R$12="No",('Staging Table'!BH109*Rates_previous!$H$34), 0),SUMPRODUCT('Staging Table'!BY109:CV109,LS_Demand_Rates_Restatement!$C$4:$Z$4)-IF(Init!$R$12="No", 'Staging Table'!DU109*Rates_previous!$H$34, 0))</f>
        <v>9775916.4958728459</v>
      </c>
      <c r="G107" s="200">
        <f>IF(Init!$R$9="Yes",SUMPRODUCT('Staging Table'!AJ109:AU109,LS_Demand_Rates_Restatement!$C$10:$N$10),SUMPRODUCT(LS_Demand_Rates_Restatement!$C$10:$N$10,'Staging Table'!CW109:DH109))*1000</f>
        <v>0</v>
      </c>
      <c r="H107" s="201">
        <f>IF(Init!$R$9="Yes",'Staging Table'!BQ109,'Staging Table'!ED109)*IF(Init!$R$3=2022,Rates_previous!$C$88,Rates_previous!$D$88)</f>
        <v>0</v>
      </c>
      <c r="I107" s="199">
        <v>0</v>
      </c>
      <c r="J107" s="201">
        <f>IF(Init!$R$9="Yes",IF('Staging Table'!D109=1,'Staging Table'!H109*-1,'Staging Table'!H109*SUM(D107:I107)*(-1)),IF('Staging Table'!D109=1,'Staging Table'!BU109*-1,'Staging Table'!BU109*SUM(D107:I107)*(-1)))</f>
        <v>0</v>
      </c>
      <c r="K107" s="199">
        <f>IF(Init!$R$9="Yes",'Staging Table'!K109,'Staging Table'!BX109)*(-1)*Rates_previous!$H$32</f>
        <v>0</v>
      </c>
      <c r="L107" s="199">
        <f>IF('Staging Table'!C109=1,"",SUM(D107:K107))</f>
        <v>147201566.02250308</v>
      </c>
      <c r="M107" s="199">
        <f>IF('Staging Table'!C109=1,"",IF(Init!$R$9="Yes",(RT1SC!$C$3*'Staging Table'!E109*'Staging Table'!$F$2)+SUM('Staging Table'!L109:AI109)-IF(Init!$R$12="No",'Staging Table'!BH109, 0),X107))</f>
        <v>4050387.6871947916</v>
      </c>
      <c r="N107" s="297">
        <f>IF('Staging Table'!C109=1,"",IF(M107=0, 0, L107/M107))</f>
        <v>36.342586781970887</v>
      </c>
      <c r="O107" s="199">
        <f>'Staging Table'!BR109*Rates_current!$E$76*100*12</f>
        <v>162625789.89936</v>
      </c>
      <c r="P107" s="199">
        <f>'Staging Table'!BS109*Rates_current!$E$77*100*12</f>
        <v>-28579562.545680001</v>
      </c>
      <c r="Q107" s="200">
        <f>SUMPRODUCT('Staging Table'!BY109:CV109, LS_Demand_Rates_Restatement!$C$5:$Z$5)-IF(Init!$R$12="No",('Staging Table'!DU109*Rates_current!$H$34), 0)</f>
        <v>17436728.352192163</v>
      </c>
      <c r="R107" s="200">
        <f>SUMPRODUCT('Staging Table'!CW109:DH109, LS_Demand_Rates_Restatement!$C$11:$N$11)*1000</f>
        <v>0</v>
      </c>
      <c r="S107" s="201">
        <f>'Staging Table'!ED109*IF(Init!$R$15="Yes",IF(Init!$R$6=2024,Rates_current!$C$88,Rates_current!$D$88),Rates_current!$H$33)</f>
        <v>0</v>
      </c>
      <c r="T107" s="201">
        <v>0</v>
      </c>
      <c r="U107" s="201">
        <f>IF('Staging Table'!D109=1, 'Staging Table'!BU109*-1,SUM(O107:T107)*'Staging Table'!BU109*-1)</f>
        <v>0</v>
      </c>
      <c r="V107" s="199">
        <f>'Staging Table'!BX109*Rates_current!$H$32*-1</f>
        <v>0</v>
      </c>
      <c r="W107" s="199">
        <f>IF('Staging Table'!C109=1,"",SUM(O107:V107))</f>
        <v>151482955.70587218</v>
      </c>
      <c r="X107" s="199">
        <f>IF('Staging Table'!C109=1,"",(RT1SC!$C$4*'Staging Table'!BR109*'Staging Table'!$BS$2)+SUM('Staging Table'!BY109:CV109)-IF(Init!$R$12="No",'Staging Table'!DU109, 0))</f>
        <v>4050381.4745661439</v>
      </c>
      <c r="Y107" s="297">
        <f>IF('Staging Table'!C109=1,"",IF(X107=0, 0, W107/X107))</f>
        <v>37.399676217435363</v>
      </c>
      <c r="Z107" s="76">
        <f ca="1">IF('Staging Table'!C109=1,"",(Y107/N107-1)+(RAND()/100000000000000))</f>
        <v>2.9086796760128816E-2</v>
      </c>
      <c r="AA107" s="53">
        <f t="shared" ca="1" si="1"/>
        <v>8</v>
      </c>
      <c r="AD107" s="204"/>
      <c r="AE107" s="204"/>
      <c r="AF107" s="208"/>
      <c r="AG107" s="204"/>
      <c r="AH107" s="204"/>
    </row>
    <row r="108" spans="2:34">
      <c r="B108" s="3">
        <v>10352</v>
      </c>
      <c r="C108" s="4" t="s">
        <v>111</v>
      </c>
      <c r="D108" s="199">
        <f>IF(Init!$R$9="Yes",'Staging Table'!E110,'Staging Table'!BR110)*Rates_previous!$E$76*100*12</f>
        <v>5401482.2434542514</v>
      </c>
      <c r="E108" s="199">
        <f>IF(Init!$R$9="Yes",'Staging Table'!F110,'Staging Table'!BS110)*Rates_previous!$E$77*100*12</f>
        <v>-891797.67921933555</v>
      </c>
      <c r="F108" s="200">
        <f>IF(Init!$R$9="Yes",SUMPRODUCT('Staging Table'!L110:AI110,LS_Demand_Rates_Restatement!$C$4:$Z$4)-IF(Init!$R$12="No",('Staging Table'!BH110*Rates_previous!$H$34), 0),SUMPRODUCT('Staging Table'!BY110:CV110,LS_Demand_Rates_Restatement!$C$4:$Z$4)-IF(Init!$R$12="No", 'Staging Table'!DU110*Rates_previous!$H$34, 0))</f>
        <v>93145.468666401372</v>
      </c>
      <c r="G108" s="200">
        <f>IF(Init!$R$9="Yes",SUMPRODUCT('Staging Table'!AJ110:AU110,LS_Demand_Rates_Restatement!$C$10:$N$10),SUMPRODUCT(LS_Demand_Rates_Restatement!$C$10:$N$10,'Staging Table'!CW110:DH110))*1000</f>
        <v>299216.8877784455</v>
      </c>
      <c r="H108" s="201">
        <f>IF(Init!$R$9="Yes",'Staging Table'!BQ110,'Staging Table'!ED110)*IF(Init!$R$3=2022,Rates_previous!$C$88,Rates_previous!$D$88)</f>
        <v>0</v>
      </c>
      <c r="I108" s="199">
        <v>0</v>
      </c>
      <c r="J108" s="201">
        <f>IF(Init!$R$9="Yes",IF('Staging Table'!D110=1,'Staging Table'!H110*-1,'Staging Table'!H110*SUM(D108:I108)*(-1)),IF('Staging Table'!D110=1,'Staging Table'!BU110*-1,'Staging Table'!BU110*SUM(D108:I108)*(-1)))</f>
        <v>-247210.22620988046</v>
      </c>
      <c r="K108" s="199">
        <f>IF(Init!$R$9="Yes",'Staging Table'!K110,'Staging Table'!BX110)*(-1)*Rates_previous!$H$32</f>
        <v>0</v>
      </c>
      <c r="L108" s="199">
        <f>IF('Staging Table'!C110=1,"",SUM(D108:K108))</f>
        <v>4654836.6944698822</v>
      </c>
      <c r="M108" s="199">
        <f>IF('Staging Table'!C110=1,"",IF(Init!$R$9="Yes",(RT1SC!$C$3*'Staging Table'!E110*'Staging Table'!$F$2)+SUM('Staging Table'!L110:AI110)-IF(Init!$R$12="No",'Staging Table'!BH110, 0),X108))</f>
        <v>132915.48000000001</v>
      </c>
      <c r="N108" s="297">
        <f>IF('Staging Table'!C110=1,"",IF(M108=0, 0, L108/M108))</f>
        <v>35.021027606941509</v>
      </c>
      <c r="O108" s="199">
        <f>'Staging Table'!BR110*Rates_current!$E$76*100*12</f>
        <v>5602313.9512799997</v>
      </c>
      <c r="P108" s="199">
        <f>'Staging Table'!BS110*Rates_current!$E$77*100*12</f>
        <v>-984540.53363999992</v>
      </c>
      <c r="Q108" s="200">
        <f>SUMPRODUCT('Staging Table'!BY110:CV110, LS_Demand_Rates_Restatement!$C$5:$Z$5)-IF(Init!$R$12="No",('Staging Table'!DU110*Rates_current!$H$34), 0)</f>
        <v>160453.39890202502</v>
      </c>
      <c r="R108" s="200">
        <f>SUMPRODUCT('Staging Table'!CW110:DH110, LS_Demand_Rates_Restatement!$C$11:$N$11)*1000</f>
        <v>292040.0151685095</v>
      </c>
      <c r="S108" s="201">
        <f>'Staging Table'!ED110*IF(Init!$R$15="Yes",IF(Init!$R$6=2024,Rates_current!$C$88,Rates_current!$D$88),Rates_current!$H$33)</f>
        <v>-10.476184421765211</v>
      </c>
      <c r="T108" s="201">
        <v>0</v>
      </c>
      <c r="U108" s="201">
        <f>IF('Staging Table'!D110=1, 'Staging Table'!BU110*-1,SUM(O108:T108)*'Staging Table'!BU110*-1)</f>
        <v>-253512.81777630557</v>
      </c>
      <c r="V108" s="199">
        <f>'Staging Table'!BX110*Rates_current!$H$32*-1</f>
        <v>0</v>
      </c>
      <c r="W108" s="199">
        <f>IF('Staging Table'!C110=1,"",SUM(O108:V108))</f>
        <v>4816743.5377498064</v>
      </c>
      <c r="X108" s="199">
        <f>IF('Staging Table'!C110=1,"",(RT1SC!$C$4*'Staging Table'!BR110*'Staging Table'!$BS$2)+SUM('Staging Table'!BY110:CV110)-IF(Init!$R$12="No",'Staging Table'!DU110, 0))</f>
        <v>139535.39663958718</v>
      </c>
      <c r="Y108" s="297">
        <f>IF('Staging Table'!C110=1,"",IF(X108=0, 0, W108/X108))</f>
        <v>34.519868461700867</v>
      </c>
      <c r="Z108" s="76">
        <f ca="1">IF('Staging Table'!C110=1,"",(Y108/N108-1)+(RAND()/100000000000000))</f>
        <v>-1.4310235292502017E-2</v>
      </c>
      <c r="AA108" s="53">
        <f t="shared" ca="1" si="1"/>
        <v>89</v>
      </c>
      <c r="AD108" s="204"/>
      <c r="AE108" s="204"/>
      <c r="AF108" s="208"/>
      <c r="AG108" s="204"/>
      <c r="AH108" s="204"/>
    </row>
    <row r="109" spans="2:34">
      <c r="B109" s="3">
        <v>10354</v>
      </c>
      <c r="C109" s="4" t="s">
        <v>112</v>
      </c>
      <c r="D109" s="199">
        <f>IF(Init!$R$9="Yes",'Staging Table'!E111,'Staging Table'!BR111)*Rates_previous!$E$76*100*12</f>
        <v>263973103.92569965</v>
      </c>
      <c r="E109" s="199">
        <f>IF(Init!$R$9="Yes",'Staging Table'!F111,'Staging Table'!BS111)*Rates_previous!$E$77*100*12</f>
        <v>-22058253.713462733</v>
      </c>
      <c r="F109" s="200">
        <f>IF(Init!$R$9="Yes",SUMPRODUCT('Staging Table'!L111:AI111,LS_Demand_Rates_Restatement!$C$4:$Z$4)-IF(Init!$R$12="No",('Staging Table'!BH111*Rates_previous!$H$34), 0),SUMPRODUCT('Staging Table'!BY111:CV111,LS_Demand_Rates_Restatement!$C$4:$Z$4)-IF(Init!$R$12="No", 'Staging Table'!DU111*Rates_previous!$H$34, 0))</f>
        <v>512529.24499056727</v>
      </c>
      <c r="G109" s="200">
        <f>IF(Init!$R$9="Yes",SUMPRODUCT('Staging Table'!AJ111:AU111,LS_Demand_Rates_Restatement!$C$10:$N$10),SUMPRODUCT(LS_Demand_Rates_Restatement!$C$10:$N$10,'Staging Table'!CW111:DH111))*1000</f>
        <v>0</v>
      </c>
      <c r="H109" s="201">
        <f>IF(Init!$R$9="Yes",'Staging Table'!BQ111,'Staging Table'!ED111)*IF(Init!$R$3=2022,Rates_previous!$C$88,Rates_previous!$D$88)</f>
        <v>0</v>
      </c>
      <c r="I109" s="199">
        <v>0</v>
      </c>
      <c r="J109" s="201">
        <f>IF(Init!$R$9="Yes",IF('Staging Table'!D111=1,'Staging Table'!H111*-1,'Staging Table'!H111*SUM(D109:I109)*(-1)),IF('Staging Table'!D111=1,'Staging Table'!BU111*-1,'Staging Table'!BU111*SUM(D109:I109)*(-1)))</f>
        <v>0</v>
      </c>
      <c r="K109" s="199">
        <f>IF(Init!$R$9="Yes",'Staging Table'!K111,'Staging Table'!BX111)*(-1)*Rates_previous!$H$32</f>
        <v>0</v>
      </c>
      <c r="L109" s="199">
        <f>IF('Staging Table'!C111=1,"",SUM(D109:K109))</f>
        <v>242427379.45722747</v>
      </c>
      <c r="M109" s="199">
        <f>IF('Staging Table'!C111=1,"",IF(Init!$R$9="Yes",(RT1SC!$C$3*'Staging Table'!E111*'Staging Table'!$F$2)+SUM('Staging Table'!L111:AI111)-IF(Init!$R$12="No",'Staging Table'!BH111, 0),X109))</f>
        <v>6495635.7134817708</v>
      </c>
      <c r="N109" s="297">
        <f>IF('Staging Table'!C111=1,"",IF(M109=0, 0, L109/M109))</f>
        <v>37.3215786953795</v>
      </c>
      <c r="O109" s="199">
        <f>'Staging Table'!BR111*Rates_current!$E$76*100*12</f>
        <v>260804417.49360001</v>
      </c>
      <c r="P109" s="199">
        <f>'Staging Table'!BS111*Rates_current!$E$77*100*12</f>
        <v>-22038578.014079995</v>
      </c>
      <c r="Q109" s="200">
        <f>SUMPRODUCT('Staging Table'!BY111:CV111, LS_Demand_Rates_Restatement!$C$5:$Z$5)-IF(Init!$R$12="No",('Staging Table'!DU111*Rates_current!$H$34), 0)</f>
        <v>1054897.6522286274</v>
      </c>
      <c r="R109" s="200">
        <f>SUMPRODUCT('Staging Table'!CW111:DH111, LS_Demand_Rates_Restatement!$C$11:$N$11)*1000</f>
        <v>0</v>
      </c>
      <c r="S109" s="201">
        <f>'Staging Table'!ED111*IF(Init!$R$15="Yes",IF(Init!$R$6=2024,Rates_current!$C$88,Rates_current!$D$88),Rates_current!$H$33)</f>
        <v>0</v>
      </c>
      <c r="T109" s="201">
        <v>0</v>
      </c>
      <c r="U109" s="201">
        <f>IF('Staging Table'!D111=1, 'Staging Table'!BU111*-1,SUM(O109:T109)*'Staging Table'!BU111*-1)</f>
        <v>0</v>
      </c>
      <c r="V109" s="199">
        <f>'Staging Table'!BX111*Rates_current!$H$32*-1</f>
        <v>0</v>
      </c>
      <c r="W109" s="199">
        <f>IF('Staging Table'!C111=1,"",SUM(O109:V109))</f>
        <v>239820737.13174865</v>
      </c>
      <c r="X109" s="199">
        <f>IF('Staging Table'!C111=1,"",(RT1SC!$C$4*'Staging Table'!BR111*'Staging Table'!$BS$2)+SUM('Staging Table'!BY111:CV111)-IF(Init!$R$12="No",'Staging Table'!DU111, 0))</f>
        <v>6495637.8856254825</v>
      </c>
      <c r="Y109" s="297">
        <f>IF('Staging Table'!C111=1,"",IF(X109=0, 0, W109/X109))</f>
        <v>36.920275014476992</v>
      </c>
      <c r="Z109" s="76">
        <f ca="1">IF('Staging Table'!C111=1,"",(Y109/N109-1)+(RAND()/100000000000000))</f>
        <v>-1.0752591260343031E-2</v>
      </c>
      <c r="AA109" s="53">
        <f t="shared" ca="1" si="1"/>
        <v>70</v>
      </c>
      <c r="AD109" s="204"/>
      <c r="AE109" s="204"/>
      <c r="AF109" s="208"/>
      <c r="AG109" s="204"/>
      <c r="AH109" s="204"/>
    </row>
    <row r="110" spans="2:34">
      <c r="B110" s="3">
        <v>10360</v>
      </c>
      <c r="C110" s="4" t="s">
        <v>113</v>
      </c>
      <c r="D110" s="199">
        <f>IF(Init!$R$9="Yes",'Staging Table'!E112,'Staging Table'!BR112)*Rates_previous!$E$76*100*12</f>
        <v>2297140.7569724862</v>
      </c>
      <c r="E110" s="199">
        <f>IF(Init!$R$9="Yes",'Staging Table'!F112,'Staging Table'!BS112)*Rates_previous!$E$77*100*12</f>
        <v>-379263.45095196302</v>
      </c>
      <c r="F110" s="200">
        <f>IF(Init!$R$9="Yes",SUMPRODUCT('Staging Table'!L112:AI112,LS_Demand_Rates_Restatement!$C$4:$Z$4)-IF(Init!$R$12="No",('Staging Table'!BH112*Rates_previous!$H$34), 0),SUMPRODUCT('Staging Table'!BY112:CV112,LS_Demand_Rates_Restatement!$C$4:$Z$4)-IF(Init!$R$12="No", 'Staging Table'!DU112*Rates_previous!$H$34, 0))</f>
        <v>-73141.070632274379</v>
      </c>
      <c r="G110" s="200">
        <f>IF(Init!$R$9="Yes",SUMPRODUCT('Staging Table'!AJ112:AU112,LS_Demand_Rates_Restatement!$C$10:$N$10),SUMPRODUCT(LS_Demand_Rates_Restatement!$C$10:$N$10,'Staging Table'!CW112:DH112))*1000</f>
        <v>106421.94855409543</v>
      </c>
      <c r="H110" s="201">
        <f>IF(Init!$R$9="Yes",'Staging Table'!BQ112,'Staging Table'!ED112)*IF(Init!$R$3=2022,Rates_previous!$C$88,Rates_previous!$D$88)</f>
        <v>0</v>
      </c>
      <c r="I110" s="199">
        <v>0</v>
      </c>
      <c r="J110" s="201">
        <f>IF(Init!$R$9="Yes",IF('Staging Table'!D112=1,'Staging Table'!H112*-1,'Staging Table'!H112*SUM(D110:I110)*(-1)),IF('Staging Table'!D112=1,'Staging Table'!BU112*-1,'Staging Table'!BU112*SUM(D110:I110)*(-1)))</f>
        <v>-98045.698743102796</v>
      </c>
      <c r="K110" s="199">
        <f>IF(Init!$R$9="Yes",'Staging Table'!K112,'Staging Table'!BX112)*(-1)*Rates_previous!$H$32</f>
        <v>-218101.80600000001</v>
      </c>
      <c r="L110" s="199">
        <f>IF('Staging Table'!C112=1,"",SUM(D110:K110))</f>
        <v>1635010.6791992411</v>
      </c>
      <c r="M110" s="199">
        <f>IF('Staging Table'!C112=1,"",IF(Init!$R$9="Yes",(RT1SC!$C$3*'Staging Table'!E112*'Staging Table'!$F$2)+SUM('Staging Table'!L112:AI112)-IF(Init!$R$12="No",'Staging Table'!BH112, 0),X110))</f>
        <v>56528.280000000006</v>
      </c>
      <c r="N110" s="297">
        <f>IF('Staging Table'!C112=1,"",IF(M110=0, 0, L110/M110))</f>
        <v>28.923764869535052</v>
      </c>
      <c r="O110" s="199">
        <f>'Staging Table'!BR112*Rates_current!$E$76*100*12</f>
        <v>2386009.2945599998</v>
      </c>
      <c r="P110" s="199">
        <f>'Staging Table'!BS112*Rates_current!$E$77*100*12</f>
        <v>-419312.96327999997</v>
      </c>
      <c r="Q110" s="200">
        <f>SUMPRODUCT('Staging Table'!BY112:CV112, LS_Demand_Rates_Restatement!$C$5:$Z$5)-IF(Init!$R$12="No",('Staging Table'!DU112*Rates_current!$H$34), 0)</f>
        <v>-5722.6380377075402</v>
      </c>
      <c r="R110" s="200">
        <f>SUMPRODUCT('Staging Table'!CW112:DH112, LS_Demand_Rates_Restatement!$C$11:$N$11)*1000</f>
        <v>110794.4274658387</v>
      </c>
      <c r="S110" s="201">
        <f>'Staging Table'!ED112*IF(Init!$R$15="Yes",IF(Init!$R$6=2024,Rates_current!$C$88,Rates_current!$D$88),Rates_current!$H$33)</f>
        <v>0</v>
      </c>
      <c r="T110" s="201">
        <v>0</v>
      </c>
      <c r="U110" s="201">
        <f>IF('Staging Table'!D112=1, 'Staging Table'!BU112*-1,SUM(O110:T110)*'Staging Table'!BU112*-1)</f>
        <v>-105605.04950545283</v>
      </c>
      <c r="V110" s="199">
        <f>'Staging Table'!BX112*Rates_current!$H$32*-1</f>
        <v>-231508.0638</v>
      </c>
      <c r="W110" s="199">
        <f>IF('Staging Table'!C112=1,"",SUM(O110:V110))</f>
        <v>1734655.007402678</v>
      </c>
      <c r="X110" s="199">
        <f>IF('Staging Table'!C112=1,"",(RT1SC!$C$4*'Staging Table'!BR112*'Staging Table'!$BS$2)+SUM('Staging Table'!BY112:CV112)-IF(Init!$R$12="No",'Staging Table'!DU112, 0))</f>
        <v>59423.759999999995</v>
      </c>
      <c r="Y110" s="297">
        <f>IF('Staging Table'!C112=1,"",IF(X110=0, 0, W110/X110))</f>
        <v>29.191269744672471</v>
      </c>
      <c r="Z110" s="76">
        <f ca="1">IF('Staging Table'!C112=1,"",(Y110/N110-1)+(RAND()/100000000000000))</f>
        <v>9.248618786114127E-3</v>
      </c>
      <c r="AA110" s="53">
        <f t="shared" ca="1" si="1"/>
        <v>17</v>
      </c>
      <c r="AD110" s="204"/>
      <c r="AE110" s="204"/>
      <c r="AF110" s="208"/>
      <c r="AG110" s="204"/>
      <c r="AH110" s="204"/>
    </row>
    <row r="111" spans="2:34">
      <c r="B111" s="3">
        <v>10363</v>
      </c>
      <c r="C111" s="4" t="s">
        <v>114</v>
      </c>
      <c r="D111" s="199">
        <f>IF(Init!$R$9="Yes",'Staging Table'!E113,'Staging Table'!BR113)*Rates_previous!$E$76*100*12</f>
        <v>32436951.240093477</v>
      </c>
      <c r="E111" s="199">
        <f>IF(Init!$R$9="Yes",'Staging Table'!F113,'Staging Table'!BS113)*Rates_previous!$E$77*100*12</f>
        <v>-5355418.482014142</v>
      </c>
      <c r="F111" s="200">
        <f>IF(Init!$R$9="Yes",SUMPRODUCT('Staging Table'!L113:AI113,LS_Demand_Rates_Restatement!$C$4:$Z$4)-IF(Init!$R$12="No",('Staging Table'!BH113*Rates_previous!$H$34), 0),SUMPRODUCT('Staging Table'!BY113:CV113,LS_Demand_Rates_Restatement!$C$4:$Z$4)-IF(Init!$R$12="No", 'Staging Table'!DU113*Rates_previous!$H$34, 0))</f>
        <v>428247.56219893205</v>
      </c>
      <c r="G111" s="200">
        <f>IF(Init!$R$9="Yes",SUMPRODUCT('Staging Table'!AJ113:AU113,LS_Demand_Rates_Restatement!$C$10:$N$10),SUMPRODUCT(LS_Demand_Rates_Restatement!$C$10:$N$10,'Staging Table'!CW113:DH113))*1000</f>
        <v>969749.79576634581</v>
      </c>
      <c r="H111" s="201">
        <f>IF(Init!$R$9="Yes",'Staging Table'!BQ113,'Staging Table'!ED113)*IF(Init!$R$3=2022,Rates_previous!$C$88,Rates_previous!$D$88)</f>
        <v>11253.875654108433</v>
      </c>
      <c r="I111" s="199">
        <v>0</v>
      </c>
      <c r="J111" s="201">
        <f>IF(Init!$R$9="Yes",IF('Staging Table'!D113=1,'Staging Table'!H113*-1,'Staging Table'!H113*SUM(D111:I111)*(-1)),IF('Staging Table'!D113=1,'Staging Table'!BU113*-1,'Staging Table'!BU113*SUM(D111:I111)*(-1)))</f>
        <v>0</v>
      </c>
      <c r="K111" s="199">
        <f>IF(Init!$R$9="Yes",'Staging Table'!K113,'Staging Table'!BX113)*(-1)*Rates_previous!$H$32</f>
        <v>0</v>
      </c>
      <c r="L111" s="199">
        <f>IF('Staging Table'!C113=1,"",SUM(D111:K111))</f>
        <v>28490783.991698723</v>
      </c>
      <c r="M111" s="199">
        <f>IF('Staging Table'!C113=1,"",IF(Init!$R$9="Yes",(RT1SC!$C$3*'Staging Table'!E113*'Staging Table'!$F$2)+SUM('Staging Table'!L113:AI113)-IF(Init!$R$12="No",'Staging Table'!BH113, 0),X111))</f>
        <v>799782.49283046043</v>
      </c>
      <c r="N111" s="297">
        <f>IF('Staging Table'!C113=1,"",IF(M111=0, 0, L111/M111))</f>
        <v>35.623165356956946</v>
      </c>
      <c r="O111" s="199">
        <f>'Staging Table'!BR113*Rates_current!$E$76*100*12</f>
        <v>32111978.295600001</v>
      </c>
      <c r="P111" s="199">
        <f>'Staging Table'!BS113*Rates_current!$E$77*100*12</f>
        <v>-5643301.0578000005</v>
      </c>
      <c r="Q111" s="200">
        <f>SUMPRODUCT('Staging Table'!BY113:CV113, LS_Demand_Rates_Restatement!$C$5:$Z$5)-IF(Init!$R$12="No",('Staging Table'!DU113*Rates_current!$H$34), 0)</f>
        <v>881707.19540129963</v>
      </c>
      <c r="R111" s="200">
        <f>SUMPRODUCT('Staging Table'!CW113:DH113, LS_Demand_Rates_Restatement!$C$11:$N$11)*1000</f>
        <v>955257.30700649007</v>
      </c>
      <c r="S111" s="201">
        <f>'Staging Table'!ED113*IF(Init!$R$15="Yes",IF(Init!$R$6=2024,Rates_current!$C$88,Rates_current!$D$88),Rates_current!$H$33)</f>
        <v>5.0093674285744783</v>
      </c>
      <c r="T111" s="201">
        <v>0</v>
      </c>
      <c r="U111" s="201">
        <f>IF('Staging Table'!D113=1, 'Staging Table'!BU113*-1,SUM(O111:T111)*'Staging Table'!BU113*-1)</f>
        <v>0</v>
      </c>
      <c r="V111" s="199">
        <f>'Staging Table'!BX113*Rates_current!$H$32*-1</f>
        <v>0</v>
      </c>
      <c r="W111" s="199">
        <f>IF('Staging Table'!C113=1,"",SUM(O111:V111))</f>
        <v>28305646.74957522</v>
      </c>
      <c r="X111" s="199">
        <f>IF('Staging Table'!C113=1,"",(RT1SC!$C$4*'Staging Table'!BR113*'Staging Table'!$BS$2)+SUM('Staging Table'!BY113:CV113)-IF(Init!$R$12="No",'Staging Table'!DU113, 0))</f>
        <v>799782.45566605811</v>
      </c>
      <c r="Y111" s="297">
        <f>IF('Staging Table'!C113=1,"",IF(X111=0, 0, W111/X111))</f>
        <v>35.391682511967964</v>
      </c>
      <c r="Z111" s="76">
        <f ca="1">IF('Staging Table'!C113=1,"",(Y111/N111-1)+(RAND()/100000000000000))</f>
        <v>-6.4980987138309057E-3</v>
      </c>
      <c r="AA111" s="53">
        <f t="shared" ca="1" si="1"/>
        <v>51</v>
      </c>
      <c r="AD111" s="204"/>
      <c r="AE111" s="204"/>
      <c r="AF111" s="208"/>
      <c r="AG111" s="204"/>
      <c r="AH111" s="204"/>
    </row>
    <row r="112" spans="2:34">
      <c r="B112" s="3">
        <v>10369</v>
      </c>
      <c r="C112" s="4" t="s">
        <v>115</v>
      </c>
      <c r="D112" s="199">
        <f>IF(Init!$R$9="Yes",'Staging Table'!E114,'Staging Table'!BR114)*Rates_previous!$E$76*100*12</f>
        <v>5579900.9430249305</v>
      </c>
      <c r="E112" s="199">
        <f>IF(Init!$R$9="Yes",'Staging Table'!F114,'Staging Table'!BS114)*Rates_previous!$E$77*100*12</f>
        <v>-921255.03463308001</v>
      </c>
      <c r="F112" s="200">
        <f>IF(Init!$R$9="Yes",SUMPRODUCT('Staging Table'!L114:AI114,LS_Demand_Rates_Restatement!$C$4:$Z$4)-IF(Init!$R$12="No",('Staging Table'!BH114*Rates_previous!$H$34), 0),SUMPRODUCT('Staging Table'!BY114:CV114,LS_Demand_Rates_Restatement!$C$4:$Z$4)-IF(Init!$R$12="No", 'Staging Table'!DU114*Rates_previous!$H$34, 0))</f>
        <v>-92331.612006428302</v>
      </c>
      <c r="G112" s="200">
        <f>IF(Init!$R$9="Yes",SUMPRODUCT('Staging Table'!AJ114:AU114,LS_Demand_Rates_Restatement!$C$10:$N$10),SUMPRODUCT(LS_Demand_Rates_Restatement!$C$10:$N$10,'Staging Table'!CW114:DH114))*1000</f>
        <v>309101.01746470807</v>
      </c>
      <c r="H112" s="201">
        <f>IF(Init!$R$9="Yes",'Staging Table'!BQ114,'Staging Table'!ED114)*IF(Init!$R$3=2022,Rates_previous!$C$88,Rates_previous!$D$88)</f>
        <v>0</v>
      </c>
      <c r="I112" s="199">
        <v>0</v>
      </c>
      <c r="J112" s="201">
        <f>IF(Init!$R$9="Yes",IF('Staging Table'!D114=1,'Staging Table'!H114*-1,'Staging Table'!H114*SUM(D112:I112)*(-1)),IF('Staging Table'!D114=1,'Staging Table'!BU114*-1,'Staging Table'!BU114*SUM(D112:I112)*(-1)))</f>
        <v>-373408.0588877814</v>
      </c>
      <c r="K112" s="199">
        <f>IF(Init!$R$9="Yes",'Staging Table'!K114,'Staging Table'!BX114)*(-1)*Rates_previous!$H$32</f>
        <v>-503698.82090000005</v>
      </c>
      <c r="L112" s="199">
        <f>IF('Staging Table'!C114=1,"",SUM(D112:K112))</f>
        <v>3998308.4340623473</v>
      </c>
      <c r="M112" s="199">
        <f>IF('Staging Table'!C114=1,"",IF(Init!$R$9="Yes",(RT1SC!$C$3*'Staging Table'!E114*'Staging Table'!$F$2)+SUM('Staging Table'!L114:AI114)-IF(Init!$R$12="No",'Staging Table'!BH114, 0),X112))</f>
        <v>137304.24</v>
      </c>
      <c r="N112" s="297">
        <f>IF('Staging Table'!C114=1,"",IF(M112=0, 0, L112/M112))</f>
        <v>29.12006529486888</v>
      </c>
      <c r="O112" s="199">
        <f>'Staging Table'!BR114*Rates_current!$E$76*100*12</f>
        <v>5795376.9292799998</v>
      </c>
      <c r="P112" s="199">
        <f>'Staging Table'!BS114*Rates_current!$E$77*100*12</f>
        <v>-1018469.07264</v>
      </c>
      <c r="Q112" s="200">
        <f>SUMPRODUCT('Staging Table'!BY114:CV114, LS_Demand_Rates_Restatement!$C$5:$Z$5)-IF(Init!$R$12="No",('Staging Table'!DU114*Rates_current!$H$34), 0)</f>
        <v>191996.26853672028</v>
      </c>
      <c r="R112" s="200">
        <f>SUMPRODUCT('Staging Table'!CW114:DH114, LS_Demand_Rates_Restatement!$C$11:$N$11)*1000</f>
        <v>326147.01398904924</v>
      </c>
      <c r="S112" s="201">
        <f>'Staging Table'!ED114*IF(Init!$R$15="Yes",IF(Init!$R$6=2024,Rates_current!$C$88,Rates_current!$D$88),Rates_current!$H$33)</f>
        <v>0</v>
      </c>
      <c r="T112" s="201">
        <v>0</v>
      </c>
      <c r="U112" s="201">
        <f>IF('Staging Table'!D114=1, 'Staging Table'!BU114*-1,SUM(O112:T112)*'Staging Table'!BU114*-1)</f>
        <v>-414526.58440308267</v>
      </c>
      <c r="V112" s="199">
        <f>'Staging Table'!BX114*Rates_current!$H$32*-1</f>
        <v>-534660.1245700001</v>
      </c>
      <c r="W112" s="199">
        <f>IF('Staging Table'!C114=1,"",SUM(O112:V112))</f>
        <v>4345864.4301926866</v>
      </c>
      <c r="X112" s="199">
        <f>IF('Staging Table'!C114=1,"",(RT1SC!$C$4*'Staging Table'!BR114*'Staging Table'!$BS$2)+SUM('Staging Table'!BY114:CV114)-IF(Init!$R$12="No",'Staging Table'!DU114, 0))</f>
        <v>144338.41766162813</v>
      </c>
      <c r="Y112" s="297">
        <f>IF('Staging Table'!C114=1,"",IF(X112=0, 0, W112/X112))</f>
        <v>30.108854597399535</v>
      </c>
      <c r="Z112" s="76">
        <f ca="1">IF('Staging Table'!C114=1,"",(Y112/N112-1)+(RAND()/100000000000000))</f>
        <v>3.3955600460315066E-2</v>
      </c>
      <c r="AA112" s="53">
        <f t="shared" ca="1" si="1"/>
        <v>6</v>
      </c>
      <c r="AD112" s="204"/>
      <c r="AE112" s="204"/>
      <c r="AF112" s="208"/>
      <c r="AG112" s="204"/>
      <c r="AH112" s="204"/>
    </row>
    <row r="113" spans="2:34">
      <c r="B113" s="3">
        <v>10370</v>
      </c>
      <c r="C113" s="4" t="s">
        <v>116</v>
      </c>
      <c r="D113" s="199">
        <f>IF(Init!$R$9="Yes",'Staging Table'!E115,'Staging Table'!BR115)*Rates_previous!$E$76*100*12</f>
        <v>131660290.34891713</v>
      </c>
      <c r="E113" s="199">
        <f>IF(Init!$R$9="Yes",'Staging Table'!F115,'Staging Table'!BS115)*Rates_previous!$E$77*100*12</f>
        <v>-10013441.993251804</v>
      </c>
      <c r="F113" s="200">
        <f>IF(Init!$R$9="Yes",SUMPRODUCT('Staging Table'!L115:AI115,LS_Demand_Rates_Restatement!$C$4:$Z$4)-IF(Init!$R$12="No",('Staging Table'!BH115*Rates_previous!$H$34), 0),SUMPRODUCT('Staging Table'!BY115:CV115,LS_Demand_Rates_Restatement!$C$4:$Z$4)-IF(Init!$R$12="No", 'Staging Table'!DU115*Rates_previous!$H$34, 0))</f>
        <v>171761.21065777555</v>
      </c>
      <c r="G113" s="200">
        <f>IF(Init!$R$9="Yes",SUMPRODUCT('Staging Table'!AJ115:AU115,LS_Demand_Rates_Restatement!$C$10:$N$10),SUMPRODUCT(LS_Demand_Rates_Restatement!$C$10:$N$10,'Staging Table'!CW115:DH115))*1000</f>
        <v>0</v>
      </c>
      <c r="H113" s="201">
        <f>IF(Init!$R$9="Yes",'Staging Table'!BQ115,'Staging Table'!ED115)*IF(Init!$R$3=2022,Rates_previous!$C$88,Rates_previous!$D$88)</f>
        <v>0</v>
      </c>
      <c r="I113" s="199">
        <v>0</v>
      </c>
      <c r="J113" s="201">
        <f>IF(Init!$R$9="Yes",IF('Staging Table'!D115=1,'Staging Table'!H115*-1,'Staging Table'!H115*SUM(D113:I113)*(-1)),IF('Staging Table'!D115=1,'Staging Table'!BU115*-1,'Staging Table'!BU115*SUM(D113:I113)*(-1)))</f>
        <v>0</v>
      </c>
      <c r="K113" s="199">
        <f>IF(Init!$R$9="Yes",'Staging Table'!K115,'Staging Table'!BX115)*(-1)*Rates_previous!$H$32</f>
        <v>0</v>
      </c>
      <c r="L113" s="199">
        <f>IF('Staging Table'!C115=1,"",SUM(D113:K113))</f>
        <v>121818609.5663231</v>
      </c>
      <c r="M113" s="199">
        <f>IF('Staging Table'!C115=1,"",IF(Init!$R$9="Yes",(RT1SC!$C$3*'Staging Table'!E115*'Staging Table'!$F$2)+SUM('Staging Table'!L115:AI115)-IF(Init!$R$12="No",'Staging Table'!BH115, 0),X113))</f>
        <v>3239788.5230825515</v>
      </c>
      <c r="N113" s="297">
        <f>IF('Staging Table'!C115=1,"",IF(M113=0, 0, L113/M113))</f>
        <v>37.600790514072422</v>
      </c>
      <c r="O113" s="199">
        <f>'Staging Table'!BR115*Rates_current!$E$76*100*12</f>
        <v>130079606.7384</v>
      </c>
      <c r="P113" s="199">
        <f>'Staging Table'!BS115*Rates_current!$E$77*100*12</f>
        <v>-9899340.768720001</v>
      </c>
      <c r="Q113" s="200">
        <f>SUMPRODUCT('Staging Table'!BY115:CV115, LS_Demand_Rates_Restatement!$C$5:$Z$5)-IF(Init!$R$12="No",('Staging Table'!DU115*Rates_current!$H$34), 0)</f>
        <v>243640.55517288132</v>
      </c>
      <c r="R113" s="200">
        <f>SUMPRODUCT('Staging Table'!CW115:DH115, LS_Demand_Rates_Restatement!$C$11:$N$11)*1000</f>
        <v>0</v>
      </c>
      <c r="S113" s="201">
        <f>'Staging Table'!ED115*IF(Init!$R$15="Yes",IF(Init!$R$6=2024,Rates_current!$C$88,Rates_current!$D$88),Rates_current!$H$33)</f>
        <v>0</v>
      </c>
      <c r="T113" s="201">
        <v>0</v>
      </c>
      <c r="U113" s="201">
        <f>IF('Staging Table'!D115=1, 'Staging Table'!BU115*-1,SUM(O113:T113)*'Staging Table'!BU115*-1)</f>
        <v>0</v>
      </c>
      <c r="V113" s="199">
        <f>'Staging Table'!BX115*Rates_current!$H$32*-1</f>
        <v>0</v>
      </c>
      <c r="W113" s="199">
        <f>IF('Staging Table'!C115=1,"",SUM(O113:V113))</f>
        <v>120423906.52485287</v>
      </c>
      <c r="X113" s="199">
        <f>IF('Staging Table'!C115=1,"",(RT1SC!$C$4*'Staging Table'!BR115*'Staging Table'!$BS$2)+SUM('Staging Table'!BY115:CV115)-IF(Init!$R$12="No",'Staging Table'!DU115, 0))</f>
        <v>3239783.7511117393</v>
      </c>
      <c r="Y113" s="297">
        <f>IF('Staging Table'!C115=1,"",IF(X113=0, 0, W113/X113))</f>
        <v>37.170353263093297</v>
      </c>
      <c r="Z113" s="76">
        <f ca="1">IF('Staging Table'!C115=1,"",(Y113/N113-1)+(RAND()/100000000000000))</f>
        <v>-1.1447558551140546E-2</v>
      </c>
      <c r="AA113" s="53">
        <f t="shared" ca="1" si="1"/>
        <v>75</v>
      </c>
      <c r="AD113" s="204"/>
      <c r="AE113" s="204"/>
      <c r="AF113" s="208"/>
      <c r="AG113" s="204"/>
      <c r="AH113" s="204"/>
    </row>
    <row r="114" spans="2:34">
      <c r="B114" s="3">
        <v>10371</v>
      </c>
      <c r="C114" s="4" t="s">
        <v>117</v>
      </c>
      <c r="D114" s="199">
        <f>IF(Init!$R$9="Yes",'Staging Table'!E116,'Staging Table'!BR116)*Rates_previous!$E$76*100*12</f>
        <v>3746552.8809041809</v>
      </c>
      <c r="E114" s="199">
        <f>IF(Init!$R$9="Yes",'Staging Table'!F116,'Staging Table'!BS116)*Rates_previous!$E$77*100*12</f>
        <v>-618564.87046899658</v>
      </c>
      <c r="F114" s="200">
        <f>IF(Init!$R$9="Yes",SUMPRODUCT('Staging Table'!L116:AI116,LS_Demand_Rates_Restatement!$C$4:$Z$4)-IF(Init!$R$12="No",('Staging Table'!BH116*Rates_previous!$H$34), 0),SUMPRODUCT('Staging Table'!BY116:CV116,LS_Demand_Rates_Restatement!$C$4:$Z$4)-IF(Init!$R$12="No", 'Staging Table'!DU116*Rates_previous!$H$34, 0))</f>
        <v>55694.047745554242</v>
      </c>
      <c r="G114" s="200">
        <f>IF(Init!$R$9="Yes",SUMPRODUCT('Staging Table'!AJ116:AU116,LS_Demand_Rates_Restatement!$C$10:$N$10),SUMPRODUCT(LS_Demand_Rates_Restatement!$C$10:$N$10,'Staging Table'!CW116:DH116))*1000</f>
        <v>45659.003592485751</v>
      </c>
      <c r="H114" s="201">
        <f>IF(Init!$R$9="Yes",'Staging Table'!BQ116,'Staging Table'!ED116)*IF(Init!$R$3=2022,Rates_previous!$C$88,Rates_previous!$D$88)</f>
        <v>0</v>
      </c>
      <c r="I114" s="199">
        <v>0</v>
      </c>
      <c r="J114" s="201">
        <f>IF(Init!$R$9="Yes",IF('Staging Table'!D116=1,'Staging Table'!H116*-1,'Staging Table'!H116*SUM(D114:I114)*(-1)),IF('Staging Table'!D116=1,'Staging Table'!BU116*-1,'Staging Table'!BU116*SUM(D114:I114)*(-1)))</f>
        <v>0</v>
      </c>
      <c r="K114" s="199">
        <f>IF(Init!$R$9="Yes",'Staging Table'!K116,'Staging Table'!BX116)*(-1)*Rates_previous!$H$32</f>
        <v>0</v>
      </c>
      <c r="L114" s="199">
        <f>IF('Staging Table'!C116=1,"",SUM(D114:K114))</f>
        <v>3229341.0617732243</v>
      </c>
      <c r="M114" s="199">
        <f>IF('Staging Table'!C116=1,"",IF(Init!$R$9="Yes",(RT1SC!$C$3*'Staging Table'!E116*'Staging Table'!$F$2)+SUM('Staging Table'!L116:AI116)-IF(Init!$R$12="No",'Staging Table'!BH116, 0),X114))</f>
        <v>92190.239999999991</v>
      </c>
      <c r="N114" s="297">
        <f>IF('Staging Table'!C116=1,"",IF(M114=0, 0, L114/M114))</f>
        <v>35.029099195025687</v>
      </c>
      <c r="O114" s="199">
        <f>'Staging Table'!BR116*Rates_current!$E$76*100*12</f>
        <v>3890904.0688800002</v>
      </c>
      <c r="P114" s="199">
        <f>'Staging Table'!BS116*Rates_current!$E$77*100*12</f>
        <v>-683780.45244000002</v>
      </c>
      <c r="Q114" s="200">
        <f>SUMPRODUCT('Staging Table'!BY116:CV116, LS_Demand_Rates_Restatement!$C$5:$Z$5)-IF(Init!$R$12="No",('Staging Table'!DU116*Rates_current!$H$34), 0)</f>
        <v>108513.64035458316</v>
      </c>
      <c r="R114" s="200">
        <f>SUMPRODUCT('Staging Table'!CW116:DH116, LS_Demand_Rates_Restatement!$C$11:$N$11)*1000</f>
        <v>58701.024431196587</v>
      </c>
      <c r="S114" s="201">
        <f>'Staging Table'!ED116*IF(Init!$R$15="Yes",IF(Init!$R$6=2024,Rates_current!$C$88,Rates_current!$D$88),Rates_current!$H$33)</f>
        <v>0</v>
      </c>
      <c r="T114" s="201">
        <v>0</v>
      </c>
      <c r="U114" s="201">
        <f>IF('Staging Table'!D116=1, 'Staging Table'!BU116*-1,SUM(O114:T114)*'Staging Table'!BU116*-1)</f>
        <v>0</v>
      </c>
      <c r="V114" s="199">
        <f>'Staging Table'!BX116*Rates_current!$H$32*-1</f>
        <v>0</v>
      </c>
      <c r="W114" s="199">
        <f>IF('Staging Table'!C116=1,"",SUM(O114:V114))</f>
        <v>3374338.2812257796</v>
      </c>
      <c r="X114" s="199">
        <f>IF('Staging Table'!C116=1,"",(RT1SC!$C$4*'Staging Table'!BR116*'Staging Table'!$BS$2)+SUM('Staging Table'!BY116:CV116)-IF(Init!$R$12="No",'Staging Table'!DU116, 0))</f>
        <v>96905.088000000003</v>
      </c>
      <c r="Y114" s="297">
        <f>IF('Staging Table'!C116=1,"",IF(X114=0, 0, W114/X114))</f>
        <v>34.821064103731885</v>
      </c>
      <c r="Z114" s="76">
        <f ca="1">IF('Staging Table'!C116=1,"",(Y114/N114-1)+(RAND()/100000000000000))</f>
        <v>-5.9389220983193458E-3</v>
      </c>
      <c r="AA114" s="53">
        <f t="shared" ca="1" si="1"/>
        <v>48</v>
      </c>
      <c r="AD114" s="204"/>
      <c r="AE114" s="204"/>
      <c r="AF114" s="208"/>
      <c r="AG114" s="204"/>
      <c r="AH114" s="204"/>
    </row>
    <row r="115" spans="2:34">
      <c r="B115" s="3">
        <v>10376</v>
      </c>
      <c r="C115" s="4" t="s">
        <v>118</v>
      </c>
      <c r="D115" s="199">
        <f>IF(Init!$R$9="Yes",'Staging Table'!E117,'Staging Table'!BR117)*Rates_previous!$E$76*100*12</f>
        <v>19026531.75260435</v>
      </c>
      <c r="E115" s="199">
        <f>IF(Init!$R$9="Yes",'Staging Table'!F117,'Staging Table'!BS117)*Rates_previous!$E$77*100*12</f>
        <v>-3141326.0464065918</v>
      </c>
      <c r="F115" s="200">
        <f>IF(Init!$R$9="Yes",SUMPRODUCT('Staging Table'!L117:AI117,LS_Demand_Rates_Restatement!$C$4:$Z$4)-IF(Init!$R$12="No",('Staging Table'!BH117*Rates_previous!$H$34), 0),SUMPRODUCT('Staging Table'!BY117:CV117,LS_Demand_Rates_Restatement!$C$4:$Z$4)-IF(Init!$R$12="No", 'Staging Table'!DU117*Rates_previous!$H$34, 0))</f>
        <v>223889.5943554847</v>
      </c>
      <c r="G115" s="200">
        <f>IF(Init!$R$9="Yes",SUMPRODUCT('Staging Table'!AJ117:AU117,LS_Demand_Rates_Restatement!$C$10:$N$10),SUMPRODUCT(LS_Demand_Rates_Restatement!$C$10:$N$10,'Staging Table'!CW117:DH117))*1000</f>
        <v>538664.04530783487</v>
      </c>
      <c r="H115" s="201">
        <f>IF(Init!$R$9="Yes",'Staging Table'!BQ117,'Staging Table'!ED117)*IF(Init!$R$3=2022,Rates_previous!$C$88,Rates_previous!$D$88)</f>
        <v>0</v>
      </c>
      <c r="I115" s="199">
        <v>0</v>
      </c>
      <c r="J115" s="201">
        <f>IF(Init!$R$9="Yes",IF('Staging Table'!D117=1,'Staging Table'!H117*-1,'Staging Table'!H117*SUM(D115:I115)*(-1)),IF('Staging Table'!D117=1,'Staging Table'!BU117*-1,'Staging Table'!BU117*SUM(D115:I115)*(-1)))</f>
        <v>0</v>
      </c>
      <c r="K115" s="199">
        <f>IF(Init!$R$9="Yes",'Staging Table'!K117,'Staging Table'!BX117)*(-1)*Rates_previous!$H$32</f>
        <v>0</v>
      </c>
      <c r="L115" s="199">
        <f>IF('Staging Table'!C117=1,"",SUM(D115:K115))</f>
        <v>16647759.345861079</v>
      </c>
      <c r="M115" s="199">
        <f>IF('Staging Table'!C117=1,"",IF(Init!$R$9="Yes",(RT1SC!$C$3*'Staging Table'!E117*'Staging Table'!$F$2)+SUM('Staging Table'!L117:AI117)-IF(Init!$R$12="No",'Staging Table'!BH117, 0),X115))</f>
        <v>468186.95999999996</v>
      </c>
      <c r="N115" s="297">
        <f>IF('Staging Table'!C117=1,"",IF(M115=0, 0, L115/M115))</f>
        <v>35.557930417073301</v>
      </c>
      <c r="O115" s="199">
        <f>'Staging Table'!BR117*Rates_current!$E$76*100*12</f>
        <v>19760431.746959999</v>
      </c>
      <c r="P115" s="199">
        <f>'Staging Table'!BS117*Rates_current!$E$77*100*12</f>
        <v>-3472662.5794799994</v>
      </c>
      <c r="Q115" s="200">
        <f>SUMPRODUCT('Staging Table'!BY117:CV117, LS_Demand_Rates_Restatement!$C$5:$Z$5)-IF(Init!$R$12="No",('Staging Table'!DU117*Rates_current!$H$34), 0)</f>
        <v>327829.742892457</v>
      </c>
      <c r="R115" s="200">
        <f>SUMPRODUCT('Staging Table'!CW117:DH117, LS_Demand_Rates_Restatement!$C$11:$N$11)*1000</f>
        <v>496288.27798851492</v>
      </c>
      <c r="S115" s="201">
        <f>'Staging Table'!ED117*IF(Init!$R$15="Yes",IF(Init!$R$6=2024,Rates_current!$C$88,Rates_current!$D$88),Rates_current!$H$33)</f>
        <v>4249.6702374828837</v>
      </c>
      <c r="T115" s="201">
        <v>0</v>
      </c>
      <c r="U115" s="201">
        <f>IF('Staging Table'!D117=1, 'Staging Table'!BU117*-1,SUM(O115:T115)*'Staging Table'!BU117*-1)</f>
        <v>0</v>
      </c>
      <c r="V115" s="199">
        <f>'Staging Table'!BX117*Rates_current!$H$32*-1</f>
        <v>0</v>
      </c>
      <c r="W115" s="199">
        <f>IF('Staging Table'!C117=1,"",SUM(O115:V115))</f>
        <v>17116136.858598452</v>
      </c>
      <c r="X115" s="199">
        <f>IF('Staging Table'!C117=1,"",(RT1SC!$C$4*'Staging Table'!BR117*'Staging Table'!$BS$2)+SUM('Staging Table'!BY117:CV117)-IF(Init!$R$12="No",'Staging Table'!DU117, 0))</f>
        <v>491527.28425594611</v>
      </c>
      <c r="Y115" s="297">
        <f>IF('Staging Table'!C117=1,"",IF(X115=0, 0, W115/X115))</f>
        <v>34.82235352307687</v>
      </c>
      <c r="Z115" s="76">
        <f ca="1">IF('Staging Table'!C117=1,"",(Y115/N115-1)+(RAND()/100000000000000))</f>
        <v>-2.0686718416074439E-2</v>
      </c>
      <c r="AA115" s="53">
        <f t="shared" ca="1" si="1"/>
        <v>106</v>
      </c>
      <c r="AD115" s="204"/>
      <c r="AE115" s="204"/>
      <c r="AF115" s="208"/>
      <c r="AG115" s="204"/>
      <c r="AH115" s="204"/>
    </row>
    <row r="116" spans="2:34">
      <c r="B116" s="3">
        <v>10378</v>
      </c>
      <c r="C116" s="4" t="s">
        <v>119</v>
      </c>
      <c r="D116" s="199">
        <f>IF(Init!$R$9="Yes",'Staging Table'!E118,'Staging Table'!BR118)*Rates_previous!$E$76*100*12</f>
        <v>668830.31330997637</v>
      </c>
      <c r="E116" s="199">
        <f>IF(Init!$R$9="Yes",'Staging Table'!F118,'Staging Table'!BS118)*Rates_previous!$E$77*100*12</f>
        <v>-110425.48958190047</v>
      </c>
      <c r="F116" s="200">
        <f>IF(Init!$R$9="Yes",SUMPRODUCT('Staging Table'!L118:AI118,LS_Demand_Rates_Restatement!$C$4:$Z$4)-IF(Init!$R$12="No",('Staging Table'!BH118*Rates_previous!$H$34), 0),SUMPRODUCT('Staging Table'!BY118:CV118,LS_Demand_Rates_Restatement!$C$4:$Z$4)-IF(Init!$R$12="No", 'Staging Table'!DU118*Rates_previous!$H$34, 0))</f>
        <v>33369.522179321553</v>
      </c>
      <c r="G116" s="200">
        <f>IF(Init!$R$9="Yes",SUMPRODUCT('Staging Table'!AJ118:AU118,LS_Demand_Rates_Restatement!$C$10:$N$10),SUMPRODUCT(LS_Demand_Rates_Restatement!$C$10:$N$10,'Staging Table'!CW118:DH118))*1000</f>
        <v>62963.173506623942</v>
      </c>
      <c r="H116" s="201">
        <f>IF(Init!$R$9="Yes",'Staging Table'!BQ118,'Staging Table'!ED118)*IF(Init!$R$3=2022,Rates_previous!$C$88,Rates_previous!$D$88)</f>
        <v>3023.7204174143408</v>
      </c>
      <c r="I116" s="199">
        <v>0</v>
      </c>
      <c r="J116" s="201">
        <f>IF(Init!$R$9="Yes",IF('Staging Table'!D118=1,'Staging Table'!H118*-1,'Staging Table'!H118*SUM(D116:I116)*(-1)),IF('Staging Table'!D118=1,'Staging Table'!BU118*-1,'Staging Table'!BU118*SUM(D116:I116)*(-1)))</f>
        <v>0</v>
      </c>
      <c r="K116" s="199">
        <f>IF(Init!$R$9="Yes",'Staging Table'!K118,'Staging Table'!BX118)*(-1)*Rates_previous!$H$32</f>
        <v>0</v>
      </c>
      <c r="L116" s="199">
        <f>IF('Staging Table'!C118=1,"",SUM(D116:K116))</f>
        <v>657761.23983143573</v>
      </c>
      <c r="M116" s="199">
        <f>IF('Staging Table'!C118=1,"",IF(Init!$R$9="Yes",(RT1SC!$C$3*'Staging Table'!E118*'Staging Table'!$F$2)+SUM('Staging Table'!L118:AI118)-IF(Init!$R$12="No",'Staging Table'!BH118, 0),X116))</f>
        <v>16889.28</v>
      </c>
      <c r="N116" s="297">
        <f>IF('Staging Table'!C118=1,"",IF(M116=0, 0, L116/M116))</f>
        <v>38.945487305050051</v>
      </c>
      <c r="O116" s="199">
        <f>'Staging Table'!BR118*Rates_current!$E$76*100*12</f>
        <v>712713.78072000004</v>
      </c>
      <c r="P116" s="199">
        <f>'Staging Table'!BS118*Rates_current!$E$77*100*12</f>
        <v>-125251.03236000001</v>
      </c>
      <c r="Q116" s="200">
        <f>SUMPRODUCT('Staging Table'!BY118:CV118, LS_Demand_Rates_Restatement!$C$5:$Z$5)-IF(Init!$R$12="No",('Staging Table'!DU118*Rates_current!$H$34), 0)</f>
        <v>36425.623696858333</v>
      </c>
      <c r="R116" s="200">
        <f>SUMPRODUCT('Staging Table'!CW118:DH118, LS_Demand_Rates_Restatement!$C$11:$N$11)*1000</f>
        <v>62721.046891666672</v>
      </c>
      <c r="S116" s="201">
        <f>'Staging Table'!ED118*IF(Init!$R$15="Yes",IF(Init!$R$6=2024,Rates_current!$C$88,Rates_current!$D$88),Rates_current!$H$33)</f>
        <v>0</v>
      </c>
      <c r="T116" s="201">
        <v>0</v>
      </c>
      <c r="U116" s="201">
        <f>IF('Staging Table'!D118=1, 'Staging Table'!BU118*-1,SUM(O116:T116)*'Staging Table'!BU118*-1)</f>
        <v>0</v>
      </c>
      <c r="V116" s="199">
        <f>'Staging Table'!BX118*Rates_current!$H$32*-1</f>
        <v>0</v>
      </c>
      <c r="W116" s="199">
        <f>IF('Staging Table'!C118=1,"",SUM(O116:V116))</f>
        <v>686609.4189485251</v>
      </c>
      <c r="X116" s="199">
        <f>IF('Staging Table'!C118=1,"",(RT1SC!$C$4*'Staging Table'!BR118*'Staging Table'!$BS$2)+SUM('Staging Table'!BY118:CV118)-IF(Init!$R$12="No",'Staging Table'!DU118, 0))</f>
        <v>17752.464</v>
      </c>
      <c r="Y116" s="297">
        <f>IF('Staging Table'!C118=1,"",IF(X116=0, 0, W116/X116))</f>
        <v>38.67685178511136</v>
      </c>
      <c r="Z116" s="76">
        <f ca="1">IF('Staging Table'!C118=1,"",(Y116/N116-1)+(RAND()/100000000000000))</f>
        <v>-6.8977316379217621E-3</v>
      </c>
      <c r="AA116" s="53">
        <f t="shared" ca="1" si="1"/>
        <v>54</v>
      </c>
      <c r="AD116" s="204"/>
      <c r="AE116" s="204"/>
      <c r="AF116" s="208"/>
      <c r="AG116" s="204"/>
      <c r="AH116" s="204"/>
    </row>
    <row r="117" spans="2:34">
      <c r="B117" s="3">
        <v>10379</v>
      </c>
      <c r="C117" s="4" t="s">
        <v>120</v>
      </c>
      <c r="D117" s="199">
        <f>IF(Init!$R$9="Yes",'Staging Table'!E119,'Staging Table'!BR119)*Rates_previous!$E$76*100*12</f>
        <v>1618718.0404597851</v>
      </c>
      <c r="E117" s="199">
        <f>IF(Init!$R$9="Yes",'Staging Table'!F119,'Staging Table'!BS119)*Rates_previous!$E$77*100*12</f>
        <v>-267254.23258437729</v>
      </c>
      <c r="F117" s="200">
        <f>IF(Init!$R$9="Yes",SUMPRODUCT('Staging Table'!L119:AI119,LS_Demand_Rates_Restatement!$C$4:$Z$4)-IF(Init!$R$12="No",('Staging Table'!BH119*Rates_previous!$H$34), 0),SUMPRODUCT('Staging Table'!BY119:CV119,LS_Demand_Rates_Restatement!$C$4:$Z$4)-IF(Init!$R$12="No", 'Staging Table'!DU119*Rates_previous!$H$34, 0))</f>
        <v>36290.806509463757</v>
      </c>
      <c r="G117" s="200">
        <f>IF(Init!$R$9="Yes",SUMPRODUCT('Staging Table'!AJ119:AU119,LS_Demand_Rates_Restatement!$C$10:$N$10),SUMPRODUCT(LS_Demand_Rates_Restatement!$C$10:$N$10,'Staging Table'!CW119:DH119))*1000</f>
        <v>87122.620114467616</v>
      </c>
      <c r="H117" s="201">
        <f>IF(Init!$R$9="Yes",'Staging Table'!BQ119,'Staging Table'!ED119)*IF(Init!$R$3=2022,Rates_previous!$C$88,Rates_previous!$D$88)</f>
        <v>2468.34319788928</v>
      </c>
      <c r="I117" s="199">
        <v>0</v>
      </c>
      <c r="J117" s="201">
        <f>IF(Init!$R$9="Yes",IF('Staging Table'!D119=1,'Staging Table'!H119*-1,'Staging Table'!H119*SUM(D117:I117)*(-1)),IF('Staging Table'!D119=1,'Staging Table'!BU119*-1,'Staging Table'!BU119*SUM(D117:I117)*(-1)))</f>
        <v>0</v>
      </c>
      <c r="K117" s="199">
        <f>IF(Init!$R$9="Yes",'Staging Table'!K119,'Staging Table'!BX119)*(-1)*Rates_previous!$H$32</f>
        <v>0</v>
      </c>
      <c r="L117" s="199">
        <f>IF('Staging Table'!C119=1,"",SUM(D117:K117))</f>
        <v>1477345.5776972286</v>
      </c>
      <c r="M117" s="199">
        <f>IF('Staging Table'!C119=1,"",IF(Init!$R$9="Yes",(RT1SC!$C$3*'Staging Table'!E119*'Staging Table'!$F$2)+SUM('Staging Table'!L119:AI119)-IF(Init!$R$12="No",'Staging Table'!BH119, 0),X117))</f>
        <v>40182.119999999995</v>
      </c>
      <c r="N117" s="297">
        <f>IF('Staging Table'!C119=1,"",IF(M117=0, 0, L117/M117))</f>
        <v>36.766242739238969</v>
      </c>
      <c r="O117" s="199">
        <f>'Staging Table'!BR119*Rates_current!$E$76*100*12</f>
        <v>1618739.6529599999</v>
      </c>
      <c r="P117" s="199">
        <f>'Staging Table'!BS119*Rates_current!$E$77*100*12</f>
        <v>-284474.38248000003</v>
      </c>
      <c r="Q117" s="200">
        <f>SUMPRODUCT('Staging Table'!BY119:CV119, LS_Demand_Rates_Restatement!$C$5:$Z$5)-IF(Init!$R$12="No",('Staging Table'!DU119*Rates_current!$H$34), 0)</f>
        <v>43810.183705613679</v>
      </c>
      <c r="R117" s="200">
        <f>SUMPRODUCT('Staging Table'!CW119:DH119, LS_Demand_Rates_Restatement!$C$11:$N$11)*1000</f>
        <v>90893.685742895308</v>
      </c>
      <c r="S117" s="201">
        <f>'Staging Table'!ED119*IF(Init!$R$15="Yes",IF(Init!$R$6=2024,Rates_current!$C$88,Rates_current!$D$88),Rates_current!$H$33)</f>
        <v>15.720036274944579</v>
      </c>
      <c r="T117" s="201">
        <v>0</v>
      </c>
      <c r="U117" s="201">
        <f>IF('Staging Table'!D119=1, 'Staging Table'!BU119*-1,SUM(O117:T117)*'Staging Table'!BU119*-1)</f>
        <v>0</v>
      </c>
      <c r="V117" s="199">
        <f>'Staging Table'!BX119*Rates_current!$H$32*-1</f>
        <v>0</v>
      </c>
      <c r="W117" s="199">
        <f>IF('Staging Table'!C119=1,"",SUM(O117:V117))</f>
        <v>1468984.859964784</v>
      </c>
      <c r="X117" s="199">
        <f>IF('Staging Table'!C119=1,"",(RT1SC!$C$4*'Staging Table'!BR119*'Staging Table'!$BS$2)+SUM('Staging Table'!BY119:CV119)-IF(Init!$R$12="No",'Staging Table'!DU119, 0))</f>
        <v>40316.224184803126</v>
      </c>
      <c r="Y117" s="297">
        <f>IF('Staging Table'!C119=1,"",IF(X117=0, 0, W117/X117))</f>
        <v>36.436568395670989</v>
      </c>
      <c r="Z117" s="76">
        <f ca="1">IF('Staging Table'!C119=1,"",(Y117/N117-1)+(RAND()/100000000000000))</f>
        <v>-8.9667673116878358E-3</v>
      </c>
      <c r="AA117" s="53">
        <f t="shared" ca="1" si="1"/>
        <v>62</v>
      </c>
      <c r="AD117" s="204"/>
      <c r="AE117" s="204"/>
      <c r="AF117" s="208"/>
      <c r="AG117" s="204"/>
      <c r="AH117" s="204"/>
    </row>
    <row r="118" spans="2:34">
      <c r="B118" s="3">
        <v>10388</v>
      </c>
      <c r="C118" s="4" t="s">
        <v>121</v>
      </c>
      <c r="D118" s="199">
        <f>IF(Init!$R$9="Yes",'Staging Table'!E120,'Staging Table'!BR120)*Rates_previous!$E$76*100*12</f>
        <v>38448750.137321085</v>
      </c>
      <c r="E118" s="199">
        <f>IF(Init!$R$9="Yes",'Staging Table'!F120,'Staging Table'!BS120)*Rates_previous!$E$77*100*12</f>
        <v>-6347980.9052226981</v>
      </c>
      <c r="F118" s="200">
        <f>IF(Init!$R$9="Yes",SUMPRODUCT('Staging Table'!L120:AI120,LS_Demand_Rates_Restatement!$C$4:$Z$4)-IF(Init!$R$12="No",('Staging Table'!BH120*Rates_previous!$H$34), 0),SUMPRODUCT('Staging Table'!BY120:CV120,LS_Demand_Rates_Restatement!$C$4:$Z$4)-IF(Init!$R$12="No", 'Staging Table'!DU120*Rates_previous!$H$34, 0))</f>
        <v>-398391.70101158111</v>
      </c>
      <c r="G118" s="200">
        <f>IF(Init!$R$9="Yes",SUMPRODUCT('Staging Table'!AJ120:AU120,LS_Demand_Rates_Restatement!$C$10:$N$10),SUMPRODUCT(LS_Demand_Rates_Restatement!$C$10:$N$10,'Staging Table'!CW120:DH120))*1000</f>
        <v>0</v>
      </c>
      <c r="H118" s="201">
        <f>IF(Init!$R$9="Yes",'Staging Table'!BQ120,'Staging Table'!ED120)*IF(Init!$R$3=2022,Rates_previous!$C$88,Rates_previous!$D$88)</f>
        <v>0</v>
      </c>
      <c r="I118" s="199">
        <v>0</v>
      </c>
      <c r="J118" s="201">
        <f>IF(Init!$R$9="Yes",IF('Staging Table'!D120=1,'Staging Table'!H120*-1,'Staging Table'!H120*SUM(D118:I118)*(-1)),IF('Staging Table'!D120=1,'Staging Table'!BU120*-1,'Staging Table'!BU120*SUM(D118:I118)*(-1)))</f>
        <v>-2920740.0419390276</v>
      </c>
      <c r="K118" s="199">
        <f>IF(Init!$R$9="Yes",'Staging Table'!K120,'Staging Table'!BX120)*(-1)*Rates_previous!$H$32</f>
        <v>-2493619.4543000003</v>
      </c>
      <c r="L118" s="199">
        <f>IF('Staging Table'!C120=1,"",SUM(D118:K118))</f>
        <v>26288018.034847777</v>
      </c>
      <c r="M118" s="199">
        <f>IF('Staging Table'!C120=1,"",IF(Init!$R$9="Yes",(RT1SC!$C$3*'Staging Table'!E120*'Staging Table'!$F$2)+SUM('Staging Table'!L120:AI120)-IF(Init!$R$12="No",'Staging Table'!BH120, 0),X118))</f>
        <v>946115.04</v>
      </c>
      <c r="N118" s="297">
        <f>IF('Staging Table'!C120=1,"",IF(M118=0, 0, L118/M118))</f>
        <v>27.785223702656474</v>
      </c>
      <c r="O118" s="199">
        <f>'Staging Table'!BR120*Rates_current!$E$76*100*12</f>
        <v>39931900.801920004</v>
      </c>
      <c r="P118" s="199">
        <f>'Staging Table'!BS120*Rates_current!$E$77*100*12</f>
        <v>-7017560.1129600015</v>
      </c>
      <c r="Q118" s="200">
        <f>SUMPRODUCT('Staging Table'!BY120:CV120, LS_Demand_Rates_Restatement!$C$5:$Z$5)-IF(Init!$R$12="No",('Staging Table'!DU120*Rates_current!$H$34), 0)</f>
        <v>1456120.9547590092</v>
      </c>
      <c r="R118" s="200">
        <f>SUMPRODUCT('Staging Table'!CW120:DH120, LS_Demand_Rates_Restatement!$C$11:$N$11)*1000</f>
        <v>0</v>
      </c>
      <c r="S118" s="201">
        <f>'Staging Table'!ED120*IF(Init!$R$15="Yes",IF(Init!$R$6=2024,Rates_current!$C$88,Rates_current!$D$88),Rates_current!$H$33)</f>
        <v>0</v>
      </c>
      <c r="T118" s="201">
        <v>0</v>
      </c>
      <c r="U118" s="201">
        <f>IF('Staging Table'!D120=1, 'Staging Table'!BU120*-1,SUM(O118:T118)*'Staging Table'!BU120*-1)</f>
        <v>-2693526.1048083766</v>
      </c>
      <c r="V118" s="199">
        <f>'Staging Table'!BX120*Rates_current!$H$32*-1</f>
        <v>-2646896.9803900002</v>
      </c>
      <c r="W118" s="199">
        <f>IF('Staging Table'!C120=1,"",SUM(O118:V118))</f>
        <v>29030038.558520634</v>
      </c>
      <c r="X118" s="199">
        <f>IF('Staging Table'!C120=1,"",(RT1SC!$C$4*'Staging Table'!BR120*'Staging Table'!$BS$2)+SUM('Staging Table'!BY120:CV120)-IF(Init!$R$12="No",'Staging Table'!DU120, 0))</f>
        <v>994550.83199999994</v>
      </c>
      <c r="Y118" s="297">
        <f>IF('Staging Table'!C120=1,"",IF(X118=0, 0, W118/X118))</f>
        <v>29.189094840072123</v>
      </c>
      <c r="Z118" s="76">
        <f ca="1">IF('Staging Table'!C120=1,"",(Y118/N118-1)+(RAND()/100000000000000))</f>
        <v>5.0525817335117504E-2</v>
      </c>
      <c r="AA118" s="53">
        <f t="shared" ca="1" si="1"/>
        <v>1</v>
      </c>
      <c r="AD118" s="204"/>
      <c r="AE118" s="204"/>
      <c r="AF118" s="208"/>
      <c r="AG118" s="204"/>
      <c r="AH118" s="204"/>
    </row>
    <row r="119" spans="2:34">
      <c r="B119" s="3">
        <v>10391</v>
      </c>
      <c r="C119" s="4" t="s">
        <v>122</v>
      </c>
      <c r="D119" s="199">
        <f>IF(Init!$R$9="Yes",'Staging Table'!E121,'Staging Table'!BR121)*Rates_previous!$E$76*100*12</f>
        <v>10179698.08881147</v>
      </c>
      <c r="E119" s="199">
        <f>IF(Init!$R$9="Yes",'Staging Table'!F121,'Staging Table'!BS121)*Rates_previous!$E$77*100*12</f>
        <v>-1680692.5805887752</v>
      </c>
      <c r="F119" s="200">
        <f>IF(Init!$R$9="Yes",SUMPRODUCT('Staging Table'!L121:AI121,LS_Demand_Rates_Restatement!$C$4:$Z$4)-IF(Init!$R$12="No",('Staging Table'!BH121*Rates_previous!$H$34), 0),SUMPRODUCT('Staging Table'!BY121:CV121,LS_Demand_Rates_Restatement!$C$4:$Z$4)-IF(Init!$R$12="No", 'Staging Table'!DU121*Rates_previous!$H$34, 0))</f>
        <v>-145622.76667959453</v>
      </c>
      <c r="G119" s="200">
        <f>IF(Init!$R$9="Yes",SUMPRODUCT('Staging Table'!AJ121:AU121,LS_Demand_Rates_Restatement!$C$10:$N$10),SUMPRODUCT(LS_Demand_Rates_Restatement!$C$10:$N$10,'Staging Table'!CW121:DH121))*1000</f>
        <v>524420.43209944817</v>
      </c>
      <c r="H119" s="201">
        <f>IF(Init!$R$9="Yes",'Staging Table'!BQ121,'Staging Table'!ED121)*IF(Init!$R$3=2022,Rates_previous!$C$88,Rates_previous!$D$88)</f>
        <v>0</v>
      </c>
      <c r="I119" s="199">
        <v>0</v>
      </c>
      <c r="J119" s="201">
        <f>IF(Init!$R$9="Yes",IF('Staging Table'!D121=1,'Staging Table'!H121*-1,'Staging Table'!H121*SUM(D119:I119)*(-1)),IF('Staging Table'!D121=1,'Staging Table'!BU121*-1,'Staging Table'!BU121*SUM(D119:I119)*(-1)))</f>
        <v>-302910.64428468375</v>
      </c>
      <c r="K119" s="199">
        <f>IF(Init!$R$9="Yes",'Staging Table'!K121,'Staging Table'!BX121)*(-1)*Rates_previous!$H$32</f>
        <v>-482544.66769999999</v>
      </c>
      <c r="L119" s="199">
        <f>IF('Staging Table'!C121=1,"",SUM(D119:K119))</f>
        <v>8092347.8616578653</v>
      </c>
      <c r="M119" s="199">
        <f>IF('Staging Table'!C121=1,"",IF(Init!$R$9="Yes",(RT1SC!$C$3*'Staging Table'!E121*'Staging Table'!$F$2)+SUM('Staging Table'!L121:AI121)-IF(Init!$R$12="No",'Staging Table'!BH121, 0),X119))</f>
        <v>250492.19999999998</v>
      </c>
      <c r="N119" s="297">
        <f>IF('Staging Table'!C121=1,"",IF(M119=0, 0, L119/M119))</f>
        <v>32.305787811588011</v>
      </c>
      <c r="O119" s="199">
        <f>'Staging Table'!BR121*Rates_current!$E$76*100*12</f>
        <v>10572377.788800001</v>
      </c>
      <c r="P119" s="199">
        <f>'Staging Table'!BS121*Rates_current!$E$77*100*12</f>
        <v>-1857970.5744000003</v>
      </c>
      <c r="Q119" s="200">
        <f>SUMPRODUCT('Staging Table'!BY121:CV121, LS_Demand_Rates_Restatement!$C$5:$Z$5)-IF(Init!$R$12="No",('Staging Table'!DU121*Rates_current!$H$34), 0)</f>
        <v>2192.1878753571295</v>
      </c>
      <c r="R119" s="200">
        <f>SUMPRODUCT('Staging Table'!CW121:DH121, LS_Demand_Rates_Restatement!$C$11:$N$11)*1000</f>
        <v>544490.07532905985</v>
      </c>
      <c r="S119" s="201">
        <f>'Staging Table'!ED121*IF(Init!$R$15="Yes",IF(Init!$R$6=2024,Rates_current!$C$88,Rates_current!$D$88),Rates_current!$H$33)</f>
        <v>0</v>
      </c>
      <c r="T119" s="201">
        <v>0</v>
      </c>
      <c r="U119" s="201">
        <f>IF('Staging Table'!D121=1, 'Staging Table'!BU121*-1,SUM(O119:T119)*'Staging Table'!BU121*-1)</f>
        <v>-352691.8961011027</v>
      </c>
      <c r="V119" s="199">
        <f>'Staging Table'!BX121*Rates_current!$H$32*-1</f>
        <v>-512205.67021000001</v>
      </c>
      <c r="W119" s="199">
        <f>IF('Staging Table'!C121=1,"",SUM(O119:V119))</f>
        <v>8396191.9112933148</v>
      </c>
      <c r="X119" s="199">
        <f>IF('Staging Table'!C121=1,"",(RT1SC!$C$4*'Staging Table'!BR121*'Staging Table'!$BS$2)+SUM('Staging Table'!BY121:CV121)-IF(Init!$R$12="No",'Staging Table'!DU121, 0))</f>
        <v>263317.96799999999</v>
      </c>
      <c r="Y119" s="297">
        <f>IF('Staging Table'!C121=1,"",IF(X119=0, 0, W119/X119))</f>
        <v>31.886133616576121</v>
      </c>
      <c r="Z119" s="76">
        <f ca="1">IF('Staging Table'!C121=1,"",(Y119/N119-1)+(RAND()/100000000000000))</f>
        <v>-1.2990062259403847E-2</v>
      </c>
      <c r="AA119" s="53">
        <f t="shared" ca="1" si="1"/>
        <v>86</v>
      </c>
      <c r="AD119" s="204"/>
      <c r="AE119" s="204"/>
      <c r="AF119" s="208"/>
      <c r="AG119" s="204"/>
      <c r="AH119" s="204"/>
    </row>
    <row r="120" spans="2:34">
      <c r="B120" s="3">
        <v>10406</v>
      </c>
      <c r="C120" s="4" t="s">
        <v>123</v>
      </c>
      <c r="D120" s="199">
        <f>IF(Init!$R$9="Yes",'Staging Table'!E122,'Staging Table'!BR122)*Rates_previous!$E$76*100*12</f>
        <v>155636.7419642075</v>
      </c>
      <c r="E120" s="199">
        <f>IF(Init!$R$9="Yes",'Staging Table'!F122,'Staging Table'!BS122)*Rates_previous!$E$77*100*12</f>
        <v>-25695.999547742351</v>
      </c>
      <c r="F120" s="200">
        <f>IF(Init!$R$9="Yes",SUMPRODUCT('Staging Table'!L122:AI122,LS_Demand_Rates_Restatement!$C$4:$Z$4)-IF(Init!$R$12="No",('Staging Table'!BH122*Rates_previous!$H$34), 0),SUMPRODUCT('Staging Table'!BY122:CV122,LS_Demand_Rates_Restatement!$C$4:$Z$4)-IF(Init!$R$12="No", 'Staging Table'!DU122*Rates_previous!$H$34, 0))</f>
        <v>4794.7601944241833</v>
      </c>
      <c r="G120" s="200">
        <f>IF(Init!$R$9="Yes",SUMPRODUCT('Staging Table'!AJ122:AU122,LS_Demand_Rates_Restatement!$C$10:$N$10),SUMPRODUCT(LS_Demand_Rates_Restatement!$C$10:$N$10,'Staging Table'!CW122:DH122))*1000</f>
        <v>9537.7299252403845</v>
      </c>
      <c r="H120" s="201">
        <f>IF(Init!$R$9="Yes",'Staging Table'!BQ122,'Staging Table'!ED122)*IF(Init!$R$3=2022,Rates_previous!$C$88,Rates_previous!$D$88)</f>
        <v>0</v>
      </c>
      <c r="I120" s="199">
        <v>0</v>
      </c>
      <c r="J120" s="201">
        <f>IF(Init!$R$9="Yes",IF('Staging Table'!D122=1,'Staging Table'!H122*-1,'Staging Table'!H122*SUM(D120:I120)*(-1)),IF('Staging Table'!D122=1,'Staging Table'!BU122*-1,'Staging Table'!BU122*SUM(D120:I120)*(-1)))</f>
        <v>0</v>
      </c>
      <c r="K120" s="199">
        <f>IF(Init!$R$9="Yes",'Staging Table'!K122,'Staging Table'!BX122)*(-1)*Rates_previous!$H$32</f>
        <v>0</v>
      </c>
      <c r="L120" s="199">
        <f>IF('Staging Table'!C122=1,"",SUM(D120:K120))</f>
        <v>144273.23253612971</v>
      </c>
      <c r="M120" s="199">
        <f>IF('Staging Table'!C122=1,"",IF(Init!$R$9="Yes",(RT1SC!$C$3*'Staging Table'!E122*'Staging Table'!$F$2)+SUM('Staging Table'!L122:AI122)-IF(Init!$R$12="No",'Staging Table'!BH122, 0),X120))</f>
        <v>3828.12</v>
      </c>
      <c r="N120" s="297">
        <f>IF('Staging Table'!C122=1,"",IF(M120=0, 0, L120/M120))</f>
        <v>37.687750785275725</v>
      </c>
      <c r="O120" s="199">
        <f>'Staging Table'!BR122*Rates_current!$E$76*100*12</f>
        <v>161425.56096</v>
      </c>
      <c r="P120" s="199">
        <f>'Staging Table'!BS122*Rates_current!$E$77*100*12</f>
        <v>-28368.636479999997</v>
      </c>
      <c r="Q120" s="200">
        <f>SUMPRODUCT('Staging Table'!BY122:CV122, LS_Demand_Rates_Restatement!$C$5:$Z$5)-IF(Init!$R$12="No",('Staging Table'!DU122*Rates_current!$H$34), 0)</f>
        <v>6438.1620486534812</v>
      </c>
      <c r="R120" s="200">
        <f>SUMPRODUCT('Staging Table'!CW122:DH122, LS_Demand_Rates_Restatement!$C$11:$N$11)*1000</f>
        <v>8830.482026442307</v>
      </c>
      <c r="S120" s="201">
        <f>'Staging Table'!ED122*IF(Init!$R$15="Yes",IF(Init!$R$6=2024,Rates_current!$C$88,Rates_current!$D$88),Rates_current!$H$33)</f>
        <v>0</v>
      </c>
      <c r="T120" s="201">
        <v>0</v>
      </c>
      <c r="U120" s="201">
        <f>IF('Staging Table'!D122=1, 'Staging Table'!BU122*-1,SUM(O120:T120)*'Staging Table'!BU122*-1)</f>
        <v>0</v>
      </c>
      <c r="V120" s="199">
        <f>'Staging Table'!BX122*Rates_current!$H$32*-1</f>
        <v>0</v>
      </c>
      <c r="W120" s="199">
        <f>IF('Staging Table'!C122=1,"",SUM(O120:V120))</f>
        <v>148325.56855509582</v>
      </c>
      <c r="X120" s="199">
        <f>IF('Staging Table'!C122=1,"",(RT1SC!$C$4*'Staging Table'!BR122*'Staging Table'!$BS$2)+SUM('Staging Table'!BY122:CV122)-IF(Init!$R$12="No",'Staging Table'!DU122, 0))</f>
        <v>4023.0720000000001</v>
      </c>
      <c r="Y120" s="297">
        <f>IF('Staging Table'!C122=1,"",IF(X120=0, 0, W120/X120))</f>
        <v>36.868733285185009</v>
      </c>
      <c r="Z120" s="76">
        <f ca="1">IF('Staging Table'!C122=1,"",(Y120/N120-1)+(RAND()/100000000000000))</f>
        <v>-2.1731663021143301E-2</v>
      </c>
      <c r="AA120" s="53">
        <f t="shared" ca="1" si="1"/>
        <v>109</v>
      </c>
      <c r="AD120" s="204"/>
      <c r="AE120" s="204"/>
      <c r="AF120" s="208"/>
      <c r="AG120" s="204"/>
      <c r="AH120" s="204"/>
    </row>
    <row r="121" spans="2:34">
      <c r="B121" s="3">
        <v>10408</v>
      </c>
      <c r="C121" s="4" t="s">
        <v>124</v>
      </c>
      <c r="D121" s="199">
        <f>IF(Init!$R$9="Yes",'Staging Table'!E123,'Staging Table'!BR123)*Rates_previous!$E$76*100*12</f>
        <v>518709.20318733552</v>
      </c>
      <c r="E121" s="199">
        <f>IF(Init!$R$9="Yes",'Staging Table'!F123,'Staging Table'!BS123)*Rates_previous!$E$77*100*12</f>
        <v>-85640.134085927129</v>
      </c>
      <c r="F121" s="200">
        <f>IF(Init!$R$9="Yes",SUMPRODUCT('Staging Table'!L123:AI123,LS_Demand_Rates_Restatement!$C$4:$Z$4)-IF(Init!$R$12="No",('Staging Table'!BH123*Rates_previous!$H$34), 0),SUMPRODUCT('Staging Table'!BY123:CV123,LS_Demand_Rates_Restatement!$C$4:$Z$4)-IF(Init!$R$12="No", 'Staging Table'!DU123*Rates_previous!$H$34, 0))</f>
        <v>-875.90719091247593</v>
      </c>
      <c r="G121" s="200">
        <f>IF(Init!$R$9="Yes",SUMPRODUCT('Staging Table'!AJ123:AU123,LS_Demand_Rates_Restatement!$C$10:$N$10),SUMPRODUCT(LS_Demand_Rates_Restatement!$C$10:$N$10,'Staging Table'!CW123:DH123))*1000</f>
        <v>25245.055773878204</v>
      </c>
      <c r="H121" s="201">
        <f>IF(Init!$R$9="Yes",'Staging Table'!BQ123,'Staging Table'!ED123)*IF(Init!$R$3=2022,Rates_previous!$C$88,Rates_previous!$D$88)</f>
        <v>0</v>
      </c>
      <c r="I121" s="199">
        <v>0</v>
      </c>
      <c r="J121" s="201">
        <f>IF(Init!$R$9="Yes",IF('Staging Table'!D123=1,'Staging Table'!H123*-1,'Staging Table'!H123*SUM(D121:I121)*(-1)),IF('Staging Table'!D123=1,'Staging Table'!BU123*-1,'Staging Table'!BU123*SUM(D121:I121)*(-1)))</f>
        <v>0</v>
      </c>
      <c r="K121" s="199">
        <f>IF(Init!$R$9="Yes",'Staging Table'!K123,'Staging Table'!BX123)*(-1)*Rates_previous!$H$32</f>
        <v>0</v>
      </c>
      <c r="L121" s="199">
        <f>IF('Staging Table'!C123=1,"",SUM(D121:K121))</f>
        <v>457438.21768437407</v>
      </c>
      <c r="M121" s="199">
        <f>IF('Staging Table'!C123=1,"",IF(Init!$R$9="Yes",(RT1SC!$C$3*'Staging Table'!E123*'Staging Table'!$F$2)+SUM('Staging Table'!L123:AI123)-IF(Init!$R$12="No",'Staging Table'!BH123, 0),X121))</f>
        <v>12763.320000000002</v>
      </c>
      <c r="N121" s="297">
        <f>IF('Staging Table'!C123=1,"",IF(M121=0, 0, L121/M121))</f>
        <v>35.840064942693125</v>
      </c>
      <c r="O121" s="199">
        <f>'Staging Table'!BR123*Rates_current!$E$76*100*12</f>
        <v>538583.43024000002</v>
      </c>
      <c r="P121" s="199">
        <f>'Staging Table'!BS123*Rates_current!$E$77*100*12</f>
        <v>-94649.679120000001</v>
      </c>
      <c r="Q121" s="200">
        <f>SUMPRODUCT('Staging Table'!BY123:CV123, LS_Demand_Rates_Restatement!$C$5:$Z$5)-IF(Init!$R$12="No",('Staging Table'!DU123*Rates_current!$H$34), 0)</f>
        <v>-6151.1376461180807</v>
      </c>
      <c r="R121" s="200">
        <f>SUMPRODUCT('Staging Table'!CW123:DH123, LS_Demand_Rates_Restatement!$C$11:$N$11)*1000</f>
        <v>25274.029146874993</v>
      </c>
      <c r="S121" s="201">
        <f>'Staging Table'!ED123*IF(Init!$R$15="Yes",IF(Init!$R$6=2024,Rates_current!$C$88,Rates_current!$D$88),Rates_current!$H$33)</f>
        <v>0</v>
      </c>
      <c r="T121" s="201">
        <v>0</v>
      </c>
      <c r="U121" s="201">
        <f>IF('Staging Table'!D123=1, 'Staging Table'!BU123*-1,SUM(O121:T121)*'Staging Table'!BU123*-1)</f>
        <v>0</v>
      </c>
      <c r="V121" s="199">
        <f>'Staging Table'!BX123*Rates_current!$H$32*-1</f>
        <v>0</v>
      </c>
      <c r="W121" s="199">
        <f>IF('Staging Table'!C123=1,"",SUM(O121:V121))</f>
        <v>463056.64262075699</v>
      </c>
      <c r="X121" s="199">
        <f>IF('Staging Table'!C123=1,"",(RT1SC!$C$4*'Staging Table'!BR123*'Staging Table'!$BS$2)+SUM('Staging Table'!BY123:CV123)-IF(Init!$R$12="No",'Staging Table'!DU123, 0))</f>
        <v>13413.168</v>
      </c>
      <c r="Y121" s="297">
        <f>IF('Staging Table'!C123=1,"",IF(X121=0, 0, W121/X121))</f>
        <v>34.522541029886227</v>
      </c>
      <c r="Z121" s="76">
        <f ca="1">IF('Staging Table'!C123=1,"",(Y121/N121-1)+(RAND()/100000000000000))</f>
        <v>-3.6761203276651867E-2</v>
      </c>
      <c r="AA121" s="53">
        <f t="shared" ca="1" si="1"/>
        <v>119</v>
      </c>
      <c r="AD121" s="204"/>
      <c r="AE121" s="204"/>
      <c r="AF121" s="208"/>
      <c r="AG121" s="204"/>
      <c r="AH121" s="204"/>
    </row>
    <row r="122" spans="2:34">
      <c r="B122" s="3">
        <v>10409</v>
      </c>
      <c r="C122" s="4" t="s">
        <v>125</v>
      </c>
      <c r="D122" s="199">
        <f>IF(Init!$R$9="Yes",'Staging Table'!E124,'Staging Table'!BR124)*Rates_previous!$E$76*100*12</f>
        <v>6934827.8954097871</v>
      </c>
      <c r="E122" s="199">
        <f>IF(Init!$R$9="Yes",'Staging Table'!F124,'Staging Table'!BS124)*Rates_previous!$E$77*100*12</f>
        <v>-1144956.7256111144</v>
      </c>
      <c r="F122" s="200">
        <f>IF(Init!$R$9="Yes",SUMPRODUCT('Staging Table'!L124:AI124,LS_Demand_Rates_Restatement!$C$4:$Z$4)-IF(Init!$R$12="No",('Staging Table'!BH124*Rates_previous!$H$34), 0),SUMPRODUCT('Staging Table'!BY124:CV124,LS_Demand_Rates_Restatement!$C$4:$Z$4)-IF(Init!$R$12="No", 'Staging Table'!DU124*Rates_previous!$H$34, 0))</f>
        <v>17621.399211286858</v>
      </c>
      <c r="G122" s="200">
        <f>IF(Init!$R$9="Yes",SUMPRODUCT('Staging Table'!AJ124:AU124,LS_Demand_Rates_Restatement!$C$10:$N$10),SUMPRODUCT(LS_Demand_Rates_Restatement!$C$10:$N$10,'Staging Table'!CW124:DH124))*1000</f>
        <v>702930.30084846879</v>
      </c>
      <c r="H122" s="201">
        <f>IF(Init!$R$9="Yes",'Staging Table'!BQ124,'Staging Table'!ED124)*IF(Init!$R$3=2022,Rates_previous!$C$88,Rates_previous!$D$88)</f>
        <v>0</v>
      </c>
      <c r="I122" s="199">
        <v>0</v>
      </c>
      <c r="J122" s="201">
        <f>IF(Init!$R$9="Yes",IF('Staging Table'!D124=1,'Staging Table'!H124*-1,'Staging Table'!H124*SUM(D122:I122)*(-1)),IF('Staging Table'!D124=1,'Staging Table'!BU124*-1,'Staging Table'!BU124*SUM(D122:I122)*(-1)))</f>
        <v>0</v>
      </c>
      <c r="K122" s="199">
        <f>IF(Init!$R$9="Yes",'Staging Table'!K124,'Staging Table'!BX124)*(-1)*Rates_previous!$H$32</f>
        <v>0</v>
      </c>
      <c r="L122" s="199">
        <f>IF('Staging Table'!C124=1,"",SUM(D122:K122))</f>
        <v>6510422.8698584279</v>
      </c>
      <c r="M122" s="199">
        <f>IF('Staging Table'!C124=1,"",IF(Init!$R$9="Yes",(RT1SC!$C$3*'Staging Table'!E124*'Staging Table'!$F$2)+SUM('Staging Table'!L124:AI124)-IF(Init!$R$12="No",'Staging Table'!BH124, 0),X122))</f>
        <v>170644.80000000002</v>
      </c>
      <c r="N122" s="297">
        <f>IF('Staging Table'!C124=1,"",IF(M122=0, 0, L122/M122))</f>
        <v>38.151897214907379</v>
      </c>
      <c r="O122" s="199">
        <f>'Staging Table'!BR124*Rates_current!$E$76*100*12</f>
        <v>7202120.9767199997</v>
      </c>
      <c r="P122" s="199">
        <f>'Staging Table'!BS124*Rates_current!$E$77*100*12</f>
        <v>-1265687.7303599999</v>
      </c>
      <c r="Q122" s="200">
        <f>SUMPRODUCT('Staging Table'!BY124:CV124, LS_Demand_Rates_Restatement!$C$5:$Z$5)-IF(Init!$R$12="No",('Staging Table'!DU124*Rates_current!$H$34), 0)</f>
        <v>54337.401247665868</v>
      </c>
      <c r="R122" s="200">
        <f>SUMPRODUCT('Staging Table'!CW124:DH124, LS_Demand_Rates_Restatement!$C$11:$N$11)*1000</f>
        <v>700824.99666300742</v>
      </c>
      <c r="S122" s="201">
        <f>'Staging Table'!ED124*IF(Init!$R$15="Yes",IF(Init!$R$6=2024,Rates_current!$C$88,Rates_current!$D$88),Rates_current!$H$33)</f>
        <v>0</v>
      </c>
      <c r="T122" s="201">
        <v>0</v>
      </c>
      <c r="U122" s="201">
        <f>IF('Staging Table'!D124=1, 'Staging Table'!BU124*-1,SUM(O122:T122)*'Staging Table'!BU124*-1)</f>
        <v>0</v>
      </c>
      <c r="V122" s="199">
        <f>'Staging Table'!BX124*Rates_current!$H$32*-1</f>
        <v>0</v>
      </c>
      <c r="W122" s="199">
        <f>IF('Staging Table'!C124=1,"",SUM(O122:V122))</f>
        <v>6691595.6442706734</v>
      </c>
      <c r="X122" s="199">
        <f>IF('Staging Table'!C124=1,"",(RT1SC!$C$4*'Staging Table'!BR124*'Staging Table'!$BS$2)+SUM('Staging Table'!BY124:CV124)-IF(Init!$R$12="No",'Staging Table'!DU124, 0))</f>
        <v>179378.06399999998</v>
      </c>
      <c r="Y122" s="297">
        <f>IF('Staging Table'!C124=1,"",IF(X122=0, 0, W122/X122))</f>
        <v>37.304425608421518</v>
      </c>
      <c r="Z122" s="76">
        <f ca="1">IF('Staging Table'!C124=1,"",(Y122/N122-1)+(RAND()/100000000000000))</f>
        <v>-2.2213092096364597E-2</v>
      </c>
      <c r="AA122" s="53">
        <f t="shared" ca="1" si="1"/>
        <v>110</v>
      </c>
      <c r="AD122" s="204"/>
      <c r="AE122" s="204"/>
      <c r="AF122" s="208"/>
      <c r="AG122" s="204"/>
      <c r="AH122" s="204"/>
    </row>
    <row r="123" spans="2:34">
      <c r="B123" s="3">
        <v>10426</v>
      </c>
      <c r="C123" s="4" t="s">
        <v>126</v>
      </c>
      <c r="D123" s="199">
        <f>IF(Init!$R$9="Yes",'Staging Table'!E125,'Staging Table'!BR125)*Rates_previous!$E$76*100*12</f>
        <v>5831941.3371765204</v>
      </c>
      <c r="E123" s="199">
        <f>IF(Init!$R$9="Yes",'Staging Table'!F125,'Staging Table'!BS125)*Rates_previous!$E$77*100*12</f>
        <v>-962867.50847695861</v>
      </c>
      <c r="F123" s="200">
        <f>IF(Init!$R$9="Yes",SUMPRODUCT('Staging Table'!L125:AI125,LS_Demand_Rates_Restatement!$C$4:$Z$4)-IF(Init!$R$12="No",('Staging Table'!BH125*Rates_previous!$H$34), 0),SUMPRODUCT('Staging Table'!BY125:CV125,LS_Demand_Rates_Restatement!$C$4:$Z$4)-IF(Init!$R$12="No", 'Staging Table'!DU125*Rates_previous!$H$34, 0))</f>
        <v>3797577.6068957746</v>
      </c>
      <c r="G123" s="200">
        <f>IF(Init!$R$9="Yes",SUMPRODUCT('Staging Table'!AJ125:AU125,LS_Demand_Rates_Restatement!$C$10:$N$10),SUMPRODUCT(LS_Demand_Rates_Restatement!$C$10:$N$10,'Staging Table'!CW125:DH125))*1000</f>
        <v>524596.1951985223</v>
      </c>
      <c r="H123" s="201">
        <f>IF(Init!$R$9="Yes",'Staging Table'!BQ125,'Staging Table'!ED125)*IF(Init!$R$3=2022,Rates_previous!$C$88,Rates_previous!$D$88)</f>
        <v>950359.76754153473</v>
      </c>
      <c r="I123" s="199">
        <v>0</v>
      </c>
      <c r="J123" s="201">
        <f>IF(Init!$R$9="Yes",IF('Staging Table'!D125=1,'Staging Table'!H125*-1,'Staging Table'!H125*SUM(D123:I123)*(-1)),IF('Staging Table'!D125=1,'Staging Table'!BU125*-1,'Staging Table'!BU125*SUM(D123:I123)*(-1)))</f>
        <v>0</v>
      </c>
      <c r="K123" s="199">
        <f>IF(Init!$R$9="Yes",'Staging Table'!K125,'Staging Table'!BX125)*(-1)*Rates_previous!$H$32</f>
        <v>0</v>
      </c>
      <c r="L123" s="199">
        <f>IF('Staging Table'!C125=1,"",SUM(D123:K123))</f>
        <v>10141607.398335395</v>
      </c>
      <c r="M123" s="199">
        <f>IF('Staging Table'!C125=1,"",IF(Init!$R$9="Yes",(RT1SC!$C$3*'Staging Table'!E125*'Staging Table'!$F$2)+SUM('Staging Table'!L125:AI125)-IF(Init!$R$12="No",'Staging Table'!BH125, 0),X123))</f>
        <v>278417.0823410367</v>
      </c>
      <c r="N123" s="297">
        <f>IF('Staging Table'!C125=1,"",IF(M123=0, 0, L123/M123))</f>
        <v>36.425952434602443</v>
      </c>
      <c r="O123" s="199">
        <f>'Staging Table'!BR125*Rates_current!$E$76*100*12</f>
        <v>11178720.096480001</v>
      </c>
      <c r="P123" s="199">
        <f>'Staging Table'!BS125*Rates_current!$E$77*100*12</f>
        <v>-1964528.0762399998</v>
      </c>
      <c r="Q123" s="200">
        <f>SUMPRODUCT('Staging Table'!BY125:CV125, LS_Demand_Rates_Restatement!$C$5:$Z$5)-IF(Init!$R$12="No",('Staging Table'!DU125*Rates_current!$H$34), 0)</f>
        <v>154226.26729943181</v>
      </c>
      <c r="R123" s="200">
        <f>SUMPRODUCT('Staging Table'!CW125:DH125, LS_Demand_Rates_Restatement!$C$11:$N$11)*1000</f>
        <v>519888.15608111658</v>
      </c>
      <c r="S123" s="201">
        <f>'Staging Table'!ED125*IF(Init!$R$15="Yes",IF(Init!$R$6=2024,Rates_current!$C$88,Rates_current!$D$88),Rates_current!$H$33)</f>
        <v>3.9553810626198542</v>
      </c>
      <c r="T123" s="201">
        <v>0</v>
      </c>
      <c r="U123" s="201">
        <f>IF('Staging Table'!D125=1, 'Staging Table'!BU125*-1,SUM(O123:T123)*'Staging Table'!BU125*-1)</f>
        <v>0</v>
      </c>
      <c r="V123" s="199">
        <f>'Staging Table'!BX125*Rates_current!$H$32*-1</f>
        <v>0</v>
      </c>
      <c r="W123" s="199">
        <f>IF('Staging Table'!C125=1,"",SUM(O123:V123))</f>
        <v>9888310.3990016114</v>
      </c>
      <c r="X123" s="199">
        <f>IF('Staging Table'!C125=1,"",(RT1SC!$C$4*'Staging Table'!BR125*'Staging Table'!$BS$2)+SUM('Staging Table'!BY125:CV125)-IF(Init!$R$12="No",'Staging Table'!DU125, 0))</f>
        <v>278417.07627621654</v>
      </c>
      <c r="Y123" s="297">
        <f>IF('Staging Table'!C125=1,"",IF(X123=0, 0, W123/X123))</f>
        <v>35.516177855382175</v>
      </c>
      <c r="Z123" s="76">
        <f ca="1">IF('Staging Table'!C125=1,"",(Y123/N123-1)+(RAND()/100000000000000))</f>
        <v>-2.4975999758785082E-2</v>
      </c>
      <c r="AA123" s="53">
        <f t="shared" ca="1" si="1"/>
        <v>112</v>
      </c>
      <c r="AD123" s="204"/>
      <c r="AE123" s="204"/>
      <c r="AF123" s="208"/>
      <c r="AG123" s="204"/>
      <c r="AH123" s="204"/>
    </row>
    <row r="124" spans="2:34">
      <c r="B124" s="3">
        <v>10434</v>
      </c>
      <c r="C124" s="4" t="s">
        <v>127</v>
      </c>
      <c r="D124" s="199">
        <f>IF(Init!$R$9="Yes",'Staging Table'!E126,'Staging Table'!BR126)*Rates_previous!$E$76*100*12</f>
        <v>9221896.6290194131</v>
      </c>
      <c r="E124" s="199">
        <f>IF(Init!$R$9="Yes",'Staging Table'!F126,'Staging Table'!BS126)*Rates_previous!$E$77*100*12</f>
        <v>-1522557.2613381082</v>
      </c>
      <c r="F124" s="200">
        <f>IF(Init!$R$9="Yes",SUMPRODUCT('Staging Table'!L126:AI126,LS_Demand_Rates_Restatement!$C$4:$Z$4)-IF(Init!$R$12="No",('Staging Table'!BH126*Rates_previous!$H$34), 0),SUMPRODUCT('Staging Table'!BY126:CV126,LS_Demand_Rates_Restatement!$C$4:$Z$4)-IF(Init!$R$12="No", 'Staging Table'!DU126*Rates_previous!$H$34, 0))</f>
        <v>138375.16555148191</v>
      </c>
      <c r="G124" s="200">
        <f>IF(Init!$R$9="Yes",SUMPRODUCT('Staging Table'!AJ126:AU126,LS_Demand_Rates_Restatement!$C$10:$N$10),SUMPRODUCT(LS_Demand_Rates_Restatement!$C$10:$N$10,'Staging Table'!CW126:DH126))*1000</f>
        <v>588677.60374529916</v>
      </c>
      <c r="H124" s="201">
        <f>IF(Init!$R$9="Yes",'Staging Table'!BQ126,'Staging Table'!ED126)*IF(Init!$R$3=2022,Rates_previous!$C$88,Rates_previous!$D$88)</f>
        <v>0</v>
      </c>
      <c r="I124" s="199">
        <v>0</v>
      </c>
      <c r="J124" s="201">
        <f>IF(Init!$R$9="Yes",IF('Staging Table'!D126=1,'Staging Table'!H126*-1,'Staging Table'!H126*SUM(D124:I124)*(-1)),IF('Staging Table'!D126=1,'Staging Table'!BU126*-1,'Staging Table'!BU126*SUM(D124:I124)*(-1)))</f>
        <v>0</v>
      </c>
      <c r="K124" s="199">
        <f>IF(Init!$R$9="Yes",'Staging Table'!K126,'Staging Table'!BX126)*(-1)*Rates_previous!$H$32</f>
        <v>0</v>
      </c>
      <c r="L124" s="199">
        <f>IF('Staging Table'!C126=1,"",SUM(D124:K124))</f>
        <v>8426392.1369780861</v>
      </c>
      <c r="M124" s="199">
        <f>IF('Staging Table'!C126=1,"",IF(Init!$R$9="Yes",(RT1SC!$C$3*'Staging Table'!E126*'Staging Table'!$F$2)+SUM('Staging Table'!L126:AI126)-IF(Init!$R$12="No",'Staging Table'!BH126, 0),X124))</f>
        <v>226472.07560818974</v>
      </c>
      <c r="N124" s="297">
        <f>IF('Staging Table'!C126=1,"",IF(M124=0, 0, L124/M124))</f>
        <v>37.207201436861688</v>
      </c>
      <c r="O124" s="199">
        <f>'Staging Table'!BR126*Rates_current!$E$76*100*12</f>
        <v>9577916.6169600002</v>
      </c>
      <c r="P124" s="199">
        <f>'Staging Table'!BS126*Rates_current!$E$77*100*12</f>
        <v>-1683205.7644800001</v>
      </c>
      <c r="Q124" s="200">
        <f>SUMPRODUCT('Staging Table'!BY126:CV126, LS_Demand_Rates_Restatement!$C$5:$Z$5)-IF(Init!$R$12="No",('Staging Table'!DU126*Rates_current!$H$34), 0)</f>
        <v>361702.22006792825</v>
      </c>
      <c r="R124" s="200">
        <f>SUMPRODUCT('Staging Table'!CW126:DH126, LS_Demand_Rates_Restatement!$C$11:$N$11)*1000</f>
        <v>634337.05820208334</v>
      </c>
      <c r="S124" s="201">
        <f>'Staging Table'!ED126*IF(Init!$R$15="Yes",IF(Init!$R$6=2024,Rates_current!$C$88,Rates_current!$D$88),Rates_current!$H$33)</f>
        <v>0</v>
      </c>
      <c r="T124" s="201">
        <v>0</v>
      </c>
      <c r="U124" s="201">
        <f>IF('Staging Table'!D126=1, 'Staging Table'!BU126*-1,SUM(O124:T124)*'Staging Table'!BU126*-1)</f>
        <v>0</v>
      </c>
      <c r="V124" s="199">
        <f>'Staging Table'!BX126*Rates_current!$H$32*-1</f>
        <v>0</v>
      </c>
      <c r="W124" s="199">
        <f>IF('Staging Table'!C126=1,"",SUM(O124:V124))</f>
        <v>8890750.1307500117</v>
      </c>
      <c r="X124" s="199">
        <f>IF('Staging Table'!C126=1,"",(RT1SC!$C$4*'Staging Table'!BR126*'Staging Table'!$BS$2)+SUM('Staging Table'!BY126:CV126)-IF(Init!$R$12="No",'Staging Table'!DU126, 0))</f>
        <v>238547.08799999999</v>
      </c>
      <c r="Y124" s="297">
        <f>IF('Staging Table'!C126=1,"",IF(X124=0, 0, W124/X124))</f>
        <v>37.270419879323832</v>
      </c>
      <c r="Z124" s="76">
        <f ca="1">IF('Staging Table'!C126=1,"",(Y124/N124-1)+(RAND()/100000000000000))</f>
        <v>1.6990915742418351E-3</v>
      </c>
      <c r="AA124" s="53">
        <f t="shared" ca="1" si="1"/>
        <v>29</v>
      </c>
      <c r="AD124" s="204"/>
      <c r="AE124" s="204"/>
      <c r="AF124" s="208"/>
      <c r="AG124" s="204"/>
      <c r="AH124" s="204"/>
    </row>
    <row r="125" spans="2:34">
      <c r="B125" s="3">
        <v>10436</v>
      </c>
      <c r="C125" s="4" t="s">
        <v>128</v>
      </c>
      <c r="D125" s="199">
        <f>IF(Init!$R$9="Yes",'Staging Table'!E127,'Staging Table'!BR127)*Rates_previous!$E$76*100*12</f>
        <v>6503649.3714473154</v>
      </c>
      <c r="E125" s="199">
        <f>IF(Init!$R$9="Yes",'Staging Table'!F127,'Staging Table'!BS127)*Rates_previous!$E$77*100*12</f>
        <v>-1073768.1166945649</v>
      </c>
      <c r="F125" s="200">
        <f>IF(Init!$R$9="Yes",SUMPRODUCT('Staging Table'!L127:AI127,LS_Demand_Rates_Restatement!$C$4:$Z$4)-IF(Init!$R$12="No",('Staging Table'!BH127*Rates_previous!$H$34), 0),SUMPRODUCT('Staging Table'!BY127:CV127,LS_Demand_Rates_Restatement!$C$4:$Z$4)-IF(Init!$R$12="No", 'Staging Table'!DU127*Rates_previous!$H$34, 0))</f>
        <v>-66930.943474721629</v>
      </c>
      <c r="G125" s="200">
        <f>IF(Init!$R$9="Yes",SUMPRODUCT('Staging Table'!AJ127:AU127,LS_Demand_Rates_Restatement!$C$10:$N$10),SUMPRODUCT(LS_Demand_Rates_Restatement!$C$10:$N$10,'Staging Table'!CW127:DH127))*1000</f>
        <v>243545.27390520851</v>
      </c>
      <c r="H125" s="201">
        <f>IF(Init!$R$9="Yes",'Staging Table'!BQ127,'Staging Table'!ED127)*IF(Init!$R$3=2022,Rates_previous!$C$88,Rates_previous!$D$88)</f>
        <v>0</v>
      </c>
      <c r="I125" s="199">
        <v>0</v>
      </c>
      <c r="J125" s="201">
        <f>IF(Init!$R$9="Yes",IF('Staging Table'!D127=1,'Staging Table'!H127*-1,'Staging Table'!H127*SUM(D125:I125)*(-1)),IF('Staging Table'!D127=1,'Staging Table'!BU127*-1,'Staging Table'!BU127*SUM(D125:I125)*(-1)))</f>
        <v>-456088.41585465631</v>
      </c>
      <c r="K125" s="199">
        <f>IF(Init!$R$9="Yes",'Staging Table'!K127,'Staging Table'!BX127)*(-1)*Rates_previous!$H$32</f>
        <v>-423609.51219999994</v>
      </c>
      <c r="L125" s="199">
        <f>IF('Staging Table'!C127=1,"",SUM(D125:K125))</f>
        <v>4726797.6571285808</v>
      </c>
      <c r="M125" s="199">
        <f>IF('Staging Table'!C127=1,"",IF(Init!$R$9="Yes",(RT1SC!$C$3*'Staging Table'!E127*'Staging Table'!$F$2)+SUM('Staging Table'!L127:AI127)-IF(Init!$R$12="No",'Staging Table'!BH127, 0),X125))</f>
        <v>160036.43999999997</v>
      </c>
      <c r="N125" s="297">
        <f>IF('Staging Table'!C127=1,"",IF(M125=0, 0, L125/M125))</f>
        <v>29.535758588035211</v>
      </c>
      <c r="O125" s="199">
        <f>'Staging Table'!BR127*Rates_current!$E$76*100*12</f>
        <v>6754713.0947999991</v>
      </c>
      <c r="P125" s="199">
        <f>'Staging Table'!BS127*Rates_current!$E$77*100*12</f>
        <v>-1187061.0774000001</v>
      </c>
      <c r="Q125" s="200">
        <f>SUMPRODUCT('Staging Table'!BY127:CV127, LS_Demand_Rates_Restatement!$C$5:$Z$5)-IF(Init!$R$12="No",('Staging Table'!DU127*Rates_current!$H$34), 0)</f>
        <v>106319.9802245251</v>
      </c>
      <c r="R125" s="200">
        <f>SUMPRODUCT('Staging Table'!CW127:DH127, LS_Demand_Rates_Restatement!$C$11:$N$11)*1000</f>
        <v>276463.11923293263</v>
      </c>
      <c r="S125" s="201">
        <f>'Staging Table'!ED127*IF(Init!$R$15="Yes",IF(Init!$R$6=2024,Rates_current!$C$88,Rates_current!$D$88),Rates_current!$H$33)</f>
        <v>0</v>
      </c>
      <c r="T125" s="201">
        <v>0</v>
      </c>
      <c r="U125" s="201">
        <f>IF('Staging Table'!D127=1, 'Staging Table'!BU127*-1,SUM(O125:T125)*'Staging Table'!BU127*-1)</f>
        <v>-541498.2951005738</v>
      </c>
      <c r="V125" s="199">
        <f>'Staging Table'!BX127*Rates_current!$H$32*-1</f>
        <v>-449647.89505999995</v>
      </c>
      <c r="W125" s="199">
        <f>IF('Staging Table'!C127=1,"",SUM(O125:V125))</f>
        <v>4959288.9266968844</v>
      </c>
      <c r="X125" s="199">
        <f>IF('Staging Table'!C127=1,"",(RT1SC!$C$4*'Staging Table'!BR127*'Staging Table'!$BS$2)+SUM('Staging Table'!BY127:CV127)-IF(Init!$R$12="No",'Staging Table'!DU127, 0))</f>
        <v>168227.51277115056</v>
      </c>
      <c r="Y125" s="297">
        <f>IF('Staging Table'!C127=1,"",IF(X125=0, 0, W125/X125))</f>
        <v>29.479654338367865</v>
      </c>
      <c r="Z125" s="76">
        <f ca="1">IF('Staging Table'!C127=1,"",(Y125/N125-1)+(RAND()/100000000000000))</f>
        <v>-1.899536438175958E-3</v>
      </c>
      <c r="AA125" s="53">
        <f t="shared" ca="1" si="1"/>
        <v>36</v>
      </c>
      <c r="AD125" s="204"/>
      <c r="AE125" s="204"/>
      <c r="AF125" s="208"/>
      <c r="AG125" s="204"/>
      <c r="AH125" s="204"/>
    </row>
    <row r="126" spans="2:34">
      <c r="B126" s="3">
        <v>10440</v>
      </c>
      <c r="C126" s="4" t="s">
        <v>129</v>
      </c>
      <c r="D126" s="199">
        <f>IF(Init!$R$9="Yes",'Staging Table'!E128,'Staging Table'!BR128)*Rates_previous!$E$76*100*12</f>
        <v>1699773.8475228085</v>
      </c>
      <c r="E126" s="199">
        <f>IF(Init!$R$9="Yes",'Staging Table'!F128,'Staging Table'!BS128)*Rates_previous!$E$77*100*12</f>
        <v>-280636.7408234172</v>
      </c>
      <c r="F126" s="200">
        <f>IF(Init!$R$9="Yes",SUMPRODUCT('Staging Table'!L128:AI128,LS_Demand_Rates_Restatement!$C$4:$Z$4)-IF(Init!$R$12="No",('Staging Table'!BH128*Rates_previous!$H$34), 0),SUMPRODUCT('Staging Table'!BY128:CV128,LS_Demand_Rates_Restatement!$C$4:$Z$4)-IF(Init!$R$12="No", 'Staging Table'!DU128*Rates_previous!$H$34, 0))</f>
        <v>36921.039571921996</v>
      </c>
      <c r="G126" s="200">
        <f>IF(Init!$R$9="Yes",SUMPRODUCT('Staging Table'!AJ128:AU128,LS_Demand_Rates_Restatement!$C$10:$N$10),SUMPRODUCT(LS_Demand_Rates_Restatement!$C$10:$N$10,'Staging Table'!CW128:DH128))*1000</f>
        <v>42222.181522453684</v>
      </c>
      <c r="H126" s="201">
        <f>IF(Init!$R$9="Yes",'Staging Table'!BQ128,'Staging Table'!ED128)*IF(Init!$R$3=2022,Rates_previous!$C$88,Rates_previous!$D$88)</f>
        <v>0</v>
      </c>
      <c r="I126" s="199">
        <v>0</v>
      </c>
      <c r="J126" s="201">
        <f>IF(Init!$R$9="Yes",IF('Staging Table'!D128=1,'Staging Table'!H128*-1,'Staging Table'!H128*SUM(D126:I126)*(-1)),IF('Staging Table'!D128=1,'Staging Table'!BU128*-1,'Staging Table'!BU128*SUM(D126:I126)*(-1)))</f>
        <v>-84922.528979350711</v>
      </c>
      <c r="K126" s="199">
        <f>IF(Init!$R$9="Yes",'Staging Table'!K128,'Staging Table'!BX128)*(-1)*Rates_previous!$H$32</f>
        <v>0</v>
      </c>
      <c r="L126" s="199">
        <f>IF('Staging Table'!C128=1,"",SUM(D126:K126))</f>
        <v>1413357.7988144162</v>
      </c>
      <c r="M126" s="199">
        <f>IF('Staging Table'!C128=1,"",IF(Init!$R$9="Yes",(RT1SC!$C$3*'Staging Table'!E128*'Staging Table'!$F$2)+SUM('Staging Table'!L128:AI128)-IF(Init!$R$12="No",'Staging Table'!BH128, 0),X126))</f>
        <v>41829</v>
      </c>
      <c r="N126" s="297">
        <f>IF('Staging Table'!C128=1,"",IF(M126=0, 0, L126/M126))</f>
        <v>33.788945440111313</v>
      </c>
      <c r="O126" s="199">
        <f>'Staging Table'!BR128*Rates_current!$E$76*100*12</f>
        <v>1765218.4027200001</v>
      </c>
      <c r="P126" s="199">
        <f>'Staging Table'!BS128*Rates_current!$E$77*100*12</f>
        <v>-310216.29336000001</v>
      </c>
      <c r="Q126" s="200">
        <f>SUMPRODUCT('Staging Table'!BY128:CV128, LS_Demand_Rates_Restatement!$C$5:$Z$5)-IF(Init!$R$12="No",('Staging Table'!DU128*Rates_current!$H$34), 0)</f>
        <v>47833.269537640183</v>
      </c>
      <c r="R126" s="200">
        <f>SUMPRODUCT('Staging Table'!CW128:DH128, LS_Demand_Rates_Restatement!$C$11:$N$11)*1000</f>
        <v>37841.431376869652</v>
      </c>
      <c r="S126" s="201">
        <f>'Staging Table'!ED128*IF(Init!$R$15="Yes",IF(Init!$R$6=2024,Rates_current!$C$88,Rates_current!$D$88),Rates_current!$H$33)</f>
        <v>0</v>
      </c>
      <c r="T126" s="201">
        <v>0</v>
      </c>
      <c r="U126" s="201">
        <f>IF('Staging Table'!D128=1, 'Staging Table'!BU128*-1,SUM(O126:T126)*'Staging Table'!BU128*-1)</f>
        <v>-88919.061621557426</v>
      </c>
      <c r="V126" s="199">
        <f>'Staging Table'!BX128*Rates_current!$H$32*-1</f>
        <v>0</v>
      </c>
      <c r="W126" s="199">
        <f>IF('Staging Table'!C128=1,"",SUM(O126:V126))</f>
        <v>1451757.7486529525</v>
      </c>
      <c r="X126" s="199">
        <f>IF('Staging Table'!C128=1,"",(RT1SC!$C$4*'Staging Table'!BR128*'Staging Table'!$BS$2)+SUM('Staging Table'!BY128:CV128)-IF(Init!$R$12="No",'Staging Table'!DU128, 0))</f>
        <v>43963.92</v>
      </c>
      <c r="Y126" s="297">
        <f>IF('Staging Table'!C128=1,"",IF(X126=0, 0, W126/X126))</f>
        <v>33.021571976587907</v>
      </c>
      <c r="Z126" s="76">
        <f ca="1">IF('Staging Table'!C128=1,"",(Y126/N126-1)+(RAND()/100000000000000))</f>
        <v>-2.2710784652432123E-2</v>
      </c>
      <c r="AA126" s="53">
        <f t="shared" ca="1" si="1"/>
        <v>111</v>
      </c>
      <c r="AD126" s="204"/>
      <c r="AE126" s="204"/>
      <c r="AF126" s="208"/>
      <c r="AG126" s="204"/>
      <c r="AH126" s="204"/>
    </row>
    <row r="127" spans="2:34">
      <c r="B127" s="3">
        <v>10442</v>
      </c>
      <c r="C127" s="4" t="s">
        <v>130</v>
      </c>
      <c r="D127" s="199">
        <f>IF(Init!$R$9="Yes",'Staging Table'!E129,'Staging Table'!BR129)*Rates_previous!$E$76*100*12</f>
        <v>4528573.552006308</v>
      </c>
      <c r="E127" s="199">
        <f>IF(Init!$R$9="Yes",'Staging Table'!F129,'Staging Table'!BS129)*Rates_previous!$E$77*100*12</f>
        <v>-747678.35972198227</v>
      </c>
      <c r="F127" s="200">
        <f>IF(Init!$R$9="Yes",SUMPRODUCT('Staging Table'!L129:AI129,LS_Demand_Rates_Restatement!$C$4:$Z$4)-IF(Init!$R$12="No",('Staging Table'!BH129*Rates_previous!$H$34), 0),SUMPRODUCT('Staging Table'!BY129:CV129,LS_Demand_Rates_Restatement!$C$4:$Z$4)-IF(Init!$R$12="No", 'Staging Table'!DU129*Rates_previous!$H$34, 0))</f>
        <v>1619.2610705822972</v>
      </c>
      <c r="G127" s="200">
        <f>IF(Init!$R$9="Yes",SUMPRODUCT('Staging Table'!AJ129:AU129,LS_Demand_Rates_Restatement!$C$10:$N$10),SUMPRODUCT(LS_Demand_Rates_Restatement!$C$10:$N$10,'Staging Table'!CW129:DH129))*1000</f>
        <v>346370.71503513178</v>
      </c>
      <c r="H127" s="201">
        <f>IF(Init!$R$9="Yes",'Staging Table'!BQ129,'Staging Table'!ED129)*IF(Init!$R$3=2022,Rates_previous!$C$88,Rates_previous!$D$88)</f>
        <v>-6303.2165559379764</v>
      </c>
      <c r="I127" s="199">
        <v>0</v>
      </c>
      <c r="J127" s="201">
        <f>IF(Init!$R$9="Yes",IF('Staging Table'!D129=1,'Staging Table'!H129*-1,'Staging Table'!H129*SUM(D127:I127)*(-1)),IF('Staging Table'!D129=1,'Staging Table'!BU129*-1,'Staging Table'!BU129*SUM(D127:I127)*(-1)))</f>
        <v>-288580.73662838712</v>
      </c>
      <c r="K127" s="199">
        <f>IF(Init!$R$9="Yes",'Staging Table'!K129,'Staging Table'!BX129)*(-1)*Rates_previous!$H$32</f>
        <v>-106093.29700000001</v>
      </c>
      <c r="L127" s="199">
        <f>IF('Staging Table'!C129=1,"",SUM(D127:K127))</f>
        <v>3727907.9182057143</v>
      </c>
      <c r="M127" s="199">
        <f>IF('Staging Table'!C129=1,"",IF(Init!$R$9="Yes",(RT1SC!$C$3*'Staging Table'!E129*'Staging Table'!$F$2)+SUM('Staging Table'!L129:AI129)-IF(Init!$R$12="No",'Staging Table'!BH129, 0),X127))</f>
        <v>110541.1707004045</v>
      </c>
      <c r="N127" s="297">
        <f>IF('Staging Table'!C129=1,"",IF(M127=0, 0, L127/M127))</f>
        <v>33.724158108559571</v>
      </c>
      <c r="O127" s="199">
        <f>'Staging Table'!BR129*Rates_current!$E$76*100*12</f>
        <v>4438455.5858399998</v>
      </c>
      <c r="P127" s="199">
        <f>'Staging Table'!BS129*Rates_current!$E$77*100*12</f>
        <v>-780006.16691999999</v>
      </c>
      <c r="Q127" s="200">
        <f>SUMPRODUCT('Staging Table'!BY129:CV129, LS_Demand_Rates_Restatement!$C$5:$Z$5)-IF(Init!$R$12="No",('Staging Table'!DU129*Rates_current!$H$34), 0)</f>
        <v>120548.21317613551</v>
      </c>
      <c r="R127" s="200">
        <f>SUMPRODUCT('Staging Table'!CW129:DH129, LS_Demand_Rates_Restatement!$C$11:$N$11)*1000</f>
        <v>347966.87385109509</v>
      </c>
      <c r="S127" s="201">
        <f>'Staging Table'!ED129*IF(Init!$R$15="Yes",IF(Init!$R$6=2024,Rates_current!$C$88,Rates_current!$D$88),Rates_current!$H$33)</f>
        <v>36.84333980492142</v>
      </c>
      <c r="T127" s="201">
        <v>0</v>
      </c>
      <c r="U127" s="201">
        <f>IF('Staging Table'!D129=1, 'Staging Table'!BU129*-1,SUM(O127:T127)*'Staging Table'!BU129*-1)</f>
        <v>-288890.09445009253</v>
      </c>
      <c r="V127" s="199">
        <f>'Staging Table'!BX129*Rates_current!$H$32*-1</f>
        <v>-112614.6281</v>
      </c>
      <c r="W127" s="199">
        <f>IF('Staging Table'!C129=1,"",SUM(O127:V127))</f>
        <v>3725496.6267369431</v>
      </c>
      <c r="X127" s="199">
        <f>IF('Staging Table'!C129=1,"",(RT1SC!$C$4*'Staging Table'!BR129*'Staging Table'!$BS$2)+SUM('Staging Table'!BY129:CV129)-IF(Init!$R$12="No",'Staging Table'!DU129, 0))</f>
        <v>110541.16550671548</v>
      </c>
      <c r="Y127" s="297">
        <f>IF('Staging Table'!C129=1,"",IF(X127=0, 0, W127/X127))</f>
        <v>33.702346177186051</v>
      </c>
      <c r="Z127" s="76">
        <f ca="1">IF('Staging Table'!C129=1,"",(Y127/N127-1)+(RAND()/100000000000000))</f>
        <v>-6.4677467419764077E-4</v>
      </c>
      <c r="AA127" s="53">
        <f t="shared" ca="1" si="1"/>
        <v>34</v>
      </c>
      <c r="AD127" s="204"/>
      <c r="AE127" s="204"/>
      <c r="AF127" s="208"/>
      <c r="AG127" s="204"/>
      <c r="AH127" s="204"/>
    </row>
    <row r="128" spans="2:34">
      <c r="B128" s="3">
        <v>10446</v>
      </c>
      <c r="C128" s="4" t="s">
        <v>131</v>
      </c>
      <c r="D128" s="199">
        <f>IF(Init!$R$9="Yes",'Staging Table'!E130,'Staging Table'!BR130)*Rates_previous!$E$76*100*12</f>
        <v>32522083.818517663</v>
      </c>
      <c r="E128" s="199">
        <f>IF(Init!$R$9="Yes",'Staging Table'!F130,'Staging Table'!BS130)*Rates_previous!$E$77*100*12</f>
        <v>-5369474.0749870986</v>
      </c>
      <c r="F128" s="200">
        <f>IF(Init!$R$9="Yes",SUMPRODUCT('Staging Table'!L130:AI130,LS_Demand_Rates_Restatement!$C$4:$Z$4)-IF(Init!$R$12="No",('Staging Table'!BH130*Rates_previous!$H$34), 0),SUMPRODUCT('Staging Table'!BY130:CV130,LS_Demand_Rates_Restatement!$C$4:$Z$4)-IF(Init!$R$12="No", 'Staging Table'!DU130*Rates_previous!$H$34, 0))</f>
        <v>-1109964.969742229</v>
      </c>
      <c r="G128" s="200">
        <f>IF(Init!$R$9="Yes",SUMPRODUCT('Staging Table'!AJ130:AU130,LS_Demand_Rates_Restatement!$C$10:$N$10),SUMPRODUCT(LS_Demand_Rates_Restatement!$C$10:$N$10,'Staging Table'!CW130:DH130))*1000</f>
        <v>894324.51549498795</v>
      </c>
      <c r="H128" s="201">
        <f>IF(Init!$R$9="Yes",'Staging Table'!BQ130,'Staging Table'!ED130)*IF(Init!$R$3=2022,Rates_previous!$C$88,Rates_previous!$D$88)</f>
        <v>0</v>
      </c>
      <c r="I128" s="199">
        <v>0</v>
      </c>
      <c r="J128" s="201">
        <f>IF(Init!$R$9="Yes",IF('Staging Table'!D130=1,'Staging Table'!H130*-1,'Staging Table'!H130*SUM(D128:I128)*(-1)),IF('Staging Table'!D130=1,'Staging Table'!BU130*-1,'Staging Table'!BU130*SUM(D128:I128)*(-1)))</f>
        <v>-2079534.0291326728</v>
      </c>
      <c r="K128" s="199">
        <f>IF(Init!$R$9="Yes",'Staging Table'!K130,'Staging Table'!BX130)*(-1)*Rates_previous!$H$32</f>
        <v>-78167.606</v>
      </c>
      <c r="L128" s="199">
        <f>IF('Staging Table'!C130=1,"",SUM(D128:K128))</f>
        <v>24779267.654150654</v>
      </c>
      <c r="M128" s="199">
        <f>IF('Staging Table'!C130=1,"",IF(Init!$R$9="Yes",(RT1SC!$C$3*'Staging Table'!E130*'Staging Table'!$F$2)+SUM('Staging Table'!L130:AI130)-IF(Init!$R$12="No",'Staging Table'!BH130, 0),X128))</f>
        <v>769843.38493762224</v>
      </c>
      <c r="N128" s="297">
        <f>IF('Staging Table'!C130=1,"",IF(M128=0, 0, L128/M128))</f>
        <v>32.187413880497829</v>
      </c>
      <c r="O128" s="199">
        <f>'Staging Table'!BR130*Rates_current!$E$76*100*12</f>
        <v>33776803.949759997</v>
      </c>
      <c r="P128" s="199">
        <f>'Staging Table'!BS130*Rates_current!$E$77*100*12</f>
        <v>-5935874.510879999</v>
      </c>
      <c r="Q128" s="200">
        <f>SUMPRODUCT('Staging Table'!BY130:CV130, LS_Demand_Rates_Restatement!$C$5:$Z$5)-IF(Init!$R$12="No",('Staging Table'!DU130*Rates_current!$H$34), 0)</f>
        <v>-77112.531610545877</v>
      </c>
      <c r="R128" s="200">
        <f>SUMPRODUCT('Staging Table'!CW130:DH130, LS_Demand_Rates_Restatement!$C$11:$N$11)*1000</f>
        <v>879321.88751599903</v>
      </c>
      <c r="S128" s="201">
        <f>'Staging Table'!ED130*IF(Init!$R$15="Yes",IF(Init!$R$6=2024,Rates_current!$C$88,Rates_current!$D$88),Rates_current!$H$33)</f>
        <v>0</v>
      </c>
      <c r="T128" s="201">
        <v>0</v>
      </c>
      <c r="U128" s="201">
        <f>IF('Staging Table'!D130=1, 'Staging Table'!BU130*-1,SUM(O128:T128)*'Staging Table'!BU130*-1)</f>
        <v>-1885870.9456653602</v>
      </c>
      <c r="V128" s="199">
        <f>'Staging Table'!BX130*Rates_current!$H$32*-1</f>
        <v>-82972.4038</v>
      </c>
      <c r="W128" s="199">
        <f>IF('Staging Table'!C130=1,"",SUM(O128:V128))</f>
        <v>26674295.445320092</v>
      </c>
      <c r="X128" s="199">
        <f>IF('Staging Table'!C130=1,"",(RT1SC!$C$4*'Staging Table'!BR130*'Staging Table'!$BS$2)+SUM('Staging Table'!BY130:CV130)-IF(Init!$R$12="No",'Staging Table'!DU130, 0))</f>
        <v>841251.43585612264</v>
      </c>
      <c r="Y128" s="297">
        <f>IF('Staging Table'!C130=1,"",IF(X128=0, 0, W128/X128))</f>
        <v>31.707875087516804</v>
      </c>
      <c r="Z128" s="76">
        <f ca="1">IF('Staging Table'!C130=1,"",(Y128/N128-1)+(RAND()/100000000000000))</f>
        <v>-1.4898332458804127E-2</v>
      </c>
      <c r="AA128" s="53">
        <f t="shared" ca="1" si="1"/>
        <v>91</v>
      </c>
      <c r="AD128" s="204"/>
      <c r="AE128" s="204"/>
      <c r="AF128" s="208"/>
      <c r="AG128" s="204"/>
      <c r="AH128" s="204"/>
    </row>
    <row r="129" spans="1:34">
      <c r="B129" s="3">
        <v>10448</v>
      </c>
      <c r="C129" s="4" t="s">
        <v>132</v>
      </c>
      <c r="D129" s="199">
        <f>IF(Init!$R$9="Yes",'Staging Table'!E131,'Staging Table'!BR131)*Rates_previous!$E$76*100*12</f>
        <v>2879879.2515380085</v>
      </c>
      <c r="E129" s="199">
        <f>IF(Init!$R$9="Yes",'Staging Table'!F131,'Staging Table'!BS131)*Rates_previous!$E$77*100*12</f>
        <v>-475474.97468233877</v>
      </c>
      <c r="F129" s="200">
        <f>IF(Init!$R$9="Yes",SUMPRODUCT('Staging Table'!L131:AI131,LS_Demand_Rates_Restatement!$C$4:$Z$4)-IF(Init!$R$12="No",('Staging Table'!BH131*Rates_previous!$H$34), 0),SUMPRODUCT('Staging Table'!BY131:CV131,LS_Demand_Rates_Restatement!$C$4:$Z$4)-IF(Init!$R$12="No", 'Staging Table'!DU131*Rates_previous!$H$34, 0))</f>
        <v>0</v>
      </c>
      <c r="G129" s="200">
        <f>IF(Init!$R$9="Yes",SUMPRODUCT('Staging Table'!AJ131:AU131,LS_Demand_Rates_Restatement!$C$10:$N$10),SUMPRODUCT(LS_Demand_Rates_Restatement!$C$10:$N$10,'Staging Table'!CW131:DH131))*1000</f>
        <v>0</v>
      </c>
      <c r="H129" s="201">
        <f>IF(Init!$R$9="Yes",'Staging Table'!BQ131,'Staging Table'!ED131)*IF(Init!$R$3=2022,Rates_previous!$C$88,Rates_previous!$D$88)</f>
        <v>0</v>
      </c>
      <c r="I129" s="199">
        <v>0</v>
      </c>
      <c r="J129" s="201">
        <f>IF(Init!$R$9="Yes",IF('Staging Table'!D131=1,'Staging Table'!H131*-1,'Staging Table'!H131*SUM(D129:I129)*(-1)),IF('Staging Table'!D131=1,'Staging Table'!BU131*-1,'Staging Table'!BU131*SUM(D129:I129)*(-1)))</f>
        <v>-171770.64153856906</v>
      </c>
      <c r="K129" s="199">
        <f>IF(Init!$R$9="Yes",'Staging Table'!K131,'Staging Table'!BX131)*(-1)*Rates_previous!$H$32</f>
        <v>0</v>
      </c>
      <c r="L129" s="199" t="str">
        <f>IF('Staging Table'!C131=1,"",SUM(D129:K129))</f>
        <v/>
      </c>
      <c r="M129" s="199" t="str">
        <f>IF('Staging Table'!C131=1,"",IF(Init!$R$9="Yes",(RT1SC!$C$3*'Staging Table'!E131*'Staging Table'!$F$2)+SUM('Staging Table'!L131:AI131)-IF(Init!$R$12="No",'Staging Table'!BH131, 0),X129))</f>
        <v/>
      </c>
      <c r="N129" s="297" t="str">
        <f>IF('Staging Table'!C131=1,"",IF(M129=0, 0, L129/M129))</f>
        <v/>
      </c>
      <c r="O129" s="199">
        <f>'Staging Table'!BR131*Rates_current!$E$76*100*12</f>
        <v>2906407.4378399998</v>
      </c>
      <c r="P129" s="199">
        <f>'Staging Table'!BS131*Rates_current!$E$77*100*12</f>
        <v>-510766.79291999998</v>
      </c>
      <c r="Q129" s="200">
        <f>SUMPRODUCT('Staging Table'!BY131:CV131, LS_Demand_Rates_Restatement!$C$5:$Z$5)-IF(Init!$R$12="No",('Staging Table'!DU131*Rates_current!$H$34), 0)</f>
        <v>0</v>
      </c>
      <c r="R129" s="200">
        <f>SUMPRODUCT('Staging Table'!CW131:DH131, LS_Demand_Rates_Restatement!$C$11:$N$11)*1000</f>
        <v>0</v>
      </c>
      <c r="S129" s="201">
        <f>'Staging Table'!ED131*IF(Init!$R$15="Yes",IF(Init!$R$6=2024,Rates_current!$C$88,Rates_current!$D$88),Rates_current!$H$33)</f>
        <v>10.171228879509437</v>
      </c>
      <c r="T129" s="201">
        <v>0</v>
      </c>
      <c r="U129" s="201">
        <f>IF('Staging Table'!D131=1, 'Staging Table'!BU131*-1,SUM(O129:T129)*'Staging Table'!BU131*-1)</f>
        <v>-167695.55713042157</v>
      </c>
      <c r="V129" s="199">
        <f>'Staging Table'!BX131*Rates_current!$H$32*-1</f>
        <v>0</v>
      </c>
      <c r="W129" s="199" t="str">
        <f>IF('Staging Table'!C131=1,"",SUM(O129:V129))</f>
        <v/>
      </c>
      <c r="X129" s="199" t="str">
        <f>IF('Staging Table'!C131=1,"",(RT1SC!$C$4*'Staging Table'!BR131*'Staging Table'!$BS$2)+SUM('Staging Table'!BY131:CV131)-IF(Init!$R$12="No",'Staging Table'!DU131, 0))</f>
        <v/>
      </c>
      <c r="Y129" s="297" t="str">
        <f>IF('Staging Table'!C131=1,"",IF(X129=0, 0, W129/X129))</f>
        <v/>
      </c>
      <c r="Z129" s="76" t="str">
        <f ca="1">IF('Staging Table'!C131=1,"",(Y129/N129-1)+(RAND()/100000000000000))</f>
        <v/>
      </c>
      <c r="AA129" s="53" t="str">
        <f t="shared" ca="1" si="1"/>
        <v/>
      </c>
      <c r="AD129" s="204"/>
      <c r="AE129" s="204"/>
      <c r="AF129" s="208"/>
      <c r="AG129" s="204"/>
      <c r="AH129" s="204"/>
    </row>
    <row r="130" spans="1:34">
      <c r="B130" s="3">
        <v>10451</v>
      </c>
      <c r="C130" s="4" t="s">
        <v>133</v>
      </c>
      <c r="D130" s="199">
        <f>IF(Init!$R$9="Yes",'Staging Table'!E132,'Staging Table'!BR132)*Rates_previous!$E$76*100*12</f>
        <v>9112063.6123482175</v>
      </c>
      <c r="E130" s="199">
        <f>IF(Init!$R$9="Yes",'Staging Table'!F132,'Staging Table'!BS132)*Rates_previous!$E$77*100*12</f>
        <v>-1504423.5667420125</v>
      </c>
      <c r="F130" s="200">
        <f>IF(Init!$R$9="Yes",SUMPRODUCT('Staging Table'!L132:AI132,LS_Demand_Rates_Restatement!$C$4:$Z$4)-IF(Init!$R$12="No",('Staging Table'!BH132*Rates_previous!$H$34), 0),SUMPRODUCT('Staging Table'!BY132:CV132,LS_Demand_Rates_Restatement!$C$4:$Z$4)-IF(Init!$R$12="No", 'Staging Table'!DU132*Rates_previous!$H$34, 0))</f>
        <v>-289195.34547206294</v>
      </c>
      <c r="G130" s="200">
        <f>IF(Init!$R$9="Yes",SUMPRODUCT('Staging Table'!AJ132:AU132,LS_Demand_Rates_Restatement!$C$10:$N$10),SUMPRODUCT(LS_Demand_Rates_Restatement!$C$10:$N$10,'Staging Table'!CW132:DH132))*1000</f>
        <v>378693.31752054847</v>
      </c>
      <c r="H130" s="201">
        <f>IF(Init!$R$9="Yes",'Staging Table'!BQ132,'Staging Table'!ED132)*IF(Init!$R$3=2022,Rates_previous!$C$88,Rates_previous!$D$88)</f>
        <v>0</v>
      </c>
      <c r="I130" s="199">
        <v>0</v>
      </c>
      <c r="J130" s="201">
        <f>IF(Init!$R$9="Yes",IF('Staging Table'!D132=1,'Staging Table'!H132*-1,'Staging Table'!H132*SUM(D130:I130)*(-1)),IF('Staging Table'!D132=1,'Staging Table'!BU132*-1,'Staging Table'!BU132*SUM(D130:I130)*(-1)))</f>
        <v>0</v>
      </c>
      <c r="K130" s="199">
        <f>IF(Init!$R$9="Yes",'Staging Table'!K132,'Staging Table'!BX132)*(-1)*Rates_previous!$H$32</f>
        <v>0</v>
      </c>
      <c r="L130" s="199">
        <f>IF('Staging Table'!C132=1,"",SUM(D130:K130))</f>
        <v>7697138.0176546909</v>
      </c>
      <c r="M130" s="199">
        <f>IF('Staging Table'!C132=1,"",IF(Init!$R$9="Yes",(RT1SC!$C$3*'Staging Table'!E132*'Staging Table'!$F$2)+SUM('Staging Table'!L132:AI132)-IF(Init!$R$12="No",'Staging Table'!BH132, 0),X130))</f>
        <v>216259.00446993593</v>
      </c>
      <c r="N130" s="297">
        <f>IF('Staging Table'!C132=1,"",IF(M130=0, 0, L130/M130))</f>
        <v>35.59221978534881</v>
      </c>
      <c r="O130" s="199">
        <f>'Staging Table'!BR132*Rates_current!$E$76*100*12</f>
        <v>9255065.4950400013</v>
      </c>
      <c r="P130" s="199">
        <f>'Staging Table'!BS132*Rates_current!$E$77*100*12</f>
        <v>-1626468.4915200002</v>
      </c>
      <c r="Q130" s="200">
        <f>SUMPRODUCT('Staging Table'!BY132:CV132, LS_Demand_Rates_Restatement!$C$5:$Z$5)-IF(Init!$R$12="No",('Staging Table'!DU132*Rates_current!$H$34), 0)</f>
        <v>-63425.43063590987</v>
      </c>
      <c r="R130" s="200">
        <f>SUMPRODUCT('Staging Table'!CW132:DH132, LS_Demand_Rates_Restatement!$C$11:$N$11)*1000</f>
        <v>373644.9268986914</v>
      </c>
      <c r="S130" s="201">
        <f>'Staging Table'!ED132*IF(Init!$R$15="Yes",IF(Init!$R$6=2024,Rates_current!$C$88,Rates_current!$D$88),Rates_current!$H$33)</f>
        <v>-12.020160937304901</v>
      </c>
      <c r="T130" s="201">
        <v>0</v>
      </c>
      <c r="U130" s="201">
        <f>IF('Staging Table'!D132=1, 'Staging Table'!BU132*-1,SUM(O130:T130)*'Staging Table'!BU132*-1)</f>
        <v>0</v>
      </c>
      <c r="V130" s="199">
        <f>'Staging Table'!BX132*Rates_current!$H$32*-1</f>
        <v>0</v>
      </c>
      <c r="W130" s="199">
        <f>IF('Staging Table'!C132=1,"",SUM(O130:V130))</f>
        <v>7938804.4796218453</v>
      </c>
      <c r="X130" s="199">
        <f>IF('Staging Table'!C132=1,"",(RT1SC!$C$4*'Staging Table'!BR132*'Staging Table'!$BS$2)+SUM('Staging Table'!BY132:CV132)-IF(Init!$R$12="No",'Staging Table'!DU132, 0))</f>
        <v>230511.51405660287</v>
      </c>
      <c r="Y130" s="297">
        <f>IF('Staging Table'!C132=1,"",IF(X130=0, 0, W130/X130))</f>
        <v>34.439947662104402</v>
      </c>
      <c r="Z130" s="76">
        <f ca="1">IF('Staging Table'!C132=1,"",(Y130/N130-1)+(RAND()/100000000000000))</f>
        <v>-3.2374269719433572E-2</v>
      </c>
      <c r="AA130" s="53">
        <f t="shared" ca="1" si="1"/>
        <v>118</v>
      </c>
      <c r="AD130" s="204"/>
      <c r="AE130" s="204"/>
      <c r="AF130" s="208"/>
      <c r="AG130" s="204"/>
      <c r="AH130" s="204"/>
    </row>
    <row r="131" spans="1:34">
      <c r="B131" s="3">
        <v>10482</v>
      </c>
      <c r="C131" s="4" t="s">
        <v>134</v>
      </c>
      <c r="D131" s="199">
        <f>IF(Init!$R$9="Yes",'Staging Table'!E133,'Staging Table'!BR133)*Rates_previous!$E$76*100*12</f>
        <v>998808.98348370439</v>
      </c>
      <c r="E131" s="199">
        <f>IF(Init!$R$9="Yes",'Staging Table'!F133,'Staging Table'!BS133)*Rates_previous!$E$77*100*12</f>
        <v>-164905.75980947132</v>
      </c>
      <c r="F131" s="200">
        <f>IF(Init!$R$9="Yes",SUMPRODUCT('Staging Table'!L133:AI133,LS_Demand_Rates_Restatement!$C$4:$Z$4)-IF(Init!$R$12="No",('Staging Table'!BH133*Rates_previous!$H$34), 0),SUMPRODUCT('Staging Table'!BY133:CV133,LS_Demand_Rates_Restatement!$C$4:$Z$4)-IF(Init!$R$12="No", 'Staging Table'!DU133*Rates_previous!$H$34, 0))</f>
        <v>-8786.3904438961727</v>
      </c>
      <c r="G131" s="200">
        <f>IF(Init!$R$9="Yes",SUMPRODUCT('Staging Table'!AJ133:AU133,LS_Demand_Rates_Restatement!$C$10:$N$10),SUMPRODUCT(LS_Demand_Rates_Restatement!$C$10:$N$10,'Staging Table'!CW133:DH133))*1000</f>
        <v>34002.31588945871</v>
      </c>
      <c r="H131" s="201">
        <f>IF(Init!$R$9="Yes",'Staging Table'!BQ133,'Staging Table'!ED133)*IF(Init!$R$3=2022,Rates_previous!$C$88,Rates_previous!$D$88)</f>
        <v>-1415.399996304161</v>
      </c>
      <c r="I131" s="199">
        <v>0</v>
      </c>
      <c r="J131" s="201">
        <f>IF(Init!$R$9="Yes",IF('Staging Table'!D133=1,'Staging Table'!H133*-1,'Staging Table'!H133*SUM(D131:I131)*(-1)),IF('Staging Table'!D133=1,'Staging Table'!BU133*-1,'Staging Table'!BU133*SUM(D131:I131)*(-1)))</f>
        <v>0</v>
      </c>
      <c r="K131" s="199">
        <f>IF(Init!$R$9="Yes",'Staging Table'!K133,'Staging Table'!BX133)*(-1)*Rates_previous!$H$32</f>
        <v>0</v>
      </c>
      <c r="L131" s="199">
        <f>IF('Staging Table'!C133=1,"",SUM(D131:K131))</f>
        <v>857703.74912349146</v>
      </c>
      <c r="M131" s="199">
        <f>IF('Staging Table'!C133=1,"",IF(Init!$R$9="Yes",(RT1SC!$C$3*'Staging Table'!E133*'Staging Table'!$F$2)+SUM('Staging Table'!L133:AI133)-IF(Init!$R$12="No",'Staging Table'!BH133, 0),X131))</f>
        <v>24379.633257264599</v>
      </c>
      <c r="N131" s="297">
        <f>IF('Staging Table'!C133=1,"",IF(M131=0, 0, L131/M131))</f>
        <v>35.18115880057033</v>
      </c>
      <c r="O131" s="199">
        <f>'Staging Table'!BR133*Rates_current!$E$76*100*12</f>
        <v>978767.02008000005</v>
      </c>
      <c r="P131" s="199">
        <f>'Staging Table'!BS133*Rates_current!$E$77*100*12</f>
        <v>-172006.74804000003</v>
      </c>
      <c r="Q131" s="200">
        <f>SUMPRODUCT('Staging Table'!BY133:CV133, LS_Demand_Rates_Restatement!$C$5:$Z$5)-IF(Init!$R$12="No",('Staging Table'!DU133*Rates_current!$H$34), 0)</f>
        <v>1976.3196887666227</v>
      </c>
      <c r="R131" s="200">
        <f>SUMPRODUCT('Staging Table'!CW133:DH133, LS_Demand_Rates_Restatement!$C$11:$N$11)*1000</f>
        <v>35602.7462385951</v>
      </c>
      <c r="S131" s="201">
        <f>'Staging Table'!ED133*IF(Init!$R$15="Yes",IF(Init!$R$6=2024,Rates_current!$C$88,Rates_current!$D$88),Rates_current!$H$33)</f>
        <v>-27.1361120153041</v>
      </c>
      <c r="T131" s="201">
        <v>0</v>
      </c>
      <c r="U131" s="201">
        <f>IF('Staging Table'!D133=1, 'Staging Table'!BU133*-1,SUM(O131:T131)*'Staging Table'!BU133*-1)</f>
        <v>0</v>
      </c>
      <c r="V131" s="199">
        <f>'Staging Table'!BX133*Rates_current!$H$32*-1</f>
        <v>0</v>
      </c>
      <c r="W131" s="199">
        <f>IF('Staging Table'!C133=1,"",SUM(O131:V131))</f>
        <v>844312.20185534633</v>
      </c>
      <c r="X131" s="199">
        <f>IF('Staging Table'!C133=1,"",(RT1SC!$C$4*'Staging Table'!BR133*'Staging Table'!$BS$2)+SUM('Staging Table'!BY133:CV133)-IF(Init!$R$12="No",'Staging Table'!DU133, 0))</f>
        <v>24379.632111740757</v>
      </c>
      <c r="Y131" s="297">
        <f>IF('Staging Table'!C133=1,"",IF(X131=0, 0, W131/X131))</f>
        <v>34.631868027604156</v>
      </c>
      <c r="Z131" s="76">
        <f ca="1">IF('Staging Table'!C133=1,"",(Y131/N131-1)+(RAND()/100000000000000))</f>
        <v>-1.5613208651813881E-2</v>
      </c>
      <c r="AA131" s="53">
        <f t="shared" ca="1" si="1"/>
        <v>93</v>
      </c>
      <c r="AD131" s="204"/>
      <c r="AE131" s="204"/>
      <c r="AF131" s="208"/>
      <c r="AG131" s="204"/>
      <c r="AH131" s="204"/>
    </row>
    <row r="132" spans="1:34">
      <c r="B132" s="3">
        <v>10502</v>
      </c>
      <c r="C132" s="4" t="s">
        <v>135</v>
      </c>
      <c r="D132" s="199">
        <f>IF(Init!$R$9="Yes",'Staging Table'!E134,'Staging Table'!BR134)*Rates_previous!$E$76*100*12</f>
        <v>6352808.8310844703</v>
      </c>
      <c r="E132" s="199">
        <f>IF(Init!$R$9="Yes",'Staging Table'!F134,'Staging Table'!BS134)*Rates_previous!$E$77*100*12</f>
        <v>-1048863.9815396653</v>
      </c>
      <c r="F132" s="200">
        <f>IF(Init!$R$9="Yes",SUMPRODUCT('Staging Table'!L134:AI134,LS_Demand_Rates_Restatement!$C$4:$Z$4)-IF(Init!$R$12="No",('Staging Table'!BH134*Rates_previous!$H$34), 0),SUMPRODUCT('Staging Table'!BY134:CV134,LS_Demand_Rates_Restatement!$C$4:$Z$4)-IF(Init!$R$12="No", 'Staging Table'!DU134*Rates_previous!$H$34, 0))</f>
        <v>-90336.272910045052</v>
      </c>
      <c r="G132" s="200">
        <f>IF(Init!$R$9="Yes",SUMPRODUCT('Staging Table'!AJ134:AU134,LS_Demand_Rates_Restatement!$C$10:$N$10),SUMPRODUCT(LS_Demand_Rates_Restatement!$C$10:$N$10,'Staging Table'!CW134:DH134))*1000</f>
        <v>269010.86689771188</v>
      </c>
      <c r="H132" s="201">
        <f>IF(Init!$R$9="Yes",'Staging Table'!BQ134,'Staging Table'!ED134)*IF(Init!$R$3=2022,Rates_previous!$C$88,Rates_previous!$D$88)</f>
        <v>0</v>
      </c>
      <c r="I132" s="199">
        <v>0</v>
      </c>
      <c r="J132" s="201">
        <f>IF(Init!$R$9="Yes",IF('Staging Table'!D134=1,'Staging Table'!H134*-1,'Staging Table'!H134*SUM(D132:I132)*(-1)),IF('Staging Table'!D134=1,'Staging Table'!BU134*-1,'Staging Table'!BU134*SUM(D132:I132)*(-1)))</f>
        <v>-396119.25479522097</v>
      </c>
      <c r="K132" s="199">
        <f>IF(Init!$R$9="Yes",'Staging Table'!K134,'Staging Table'!BX134)*(-1)*Rates_previous!$H$32</f>
        <v>-78367.6973</v>
      </c>
      <c r="L132" s="199">
        <f>IF('Staging Table'!C134=1,"",SUM(D132:K132))</f>
        <v>5008132.4914372498</v>
      </c>
      <c r="M132" s="199">
        <f>IF('Staging Table'!C134=1,"",IF(Init!$R$9="Yes",(RT1SC!$C$3*'Staging Table'!E134*'Staging Table'!$F$2)+SUM('Staging Table'!L134:AI134)-IF(Init!$R$12="No",'Staging Table'!BH134, 0),X132))</f>
        <v>156322.19999999998</v>
      </c>
      <c r="N132" s="297">
        <f>IF('Staging Table'!C134=1,"",IF(M132=0, 0, L132/M132))</f>
        <v>32.037244175409832</v>
      </c>
      <c r="O132" s="199">
        <f>'Staging Table'!BR134*Rates_current!$E$76*100*12</f>
        <v>6565137.7060800008</v>
      </c>
      <c r="P132" s="199">
        <f>'Staging Table'!BS134*Rates_current!$E$77*100*12</f>
        <v>-1153745.4410399999</v>
      </c>
      <c r="Q132" s="200">
        <f>SUMPRODUCT('Staging Table'!BY134:CV134, LS_Demand_Rates_Restatement!$C$5:$Z$5)-IF(Init!$R$12="No",('Staging Table'!DU134*Rates_current!$H$34), 0)</f>
        <v>166186.09462564153</v>
      </c>
      <c r="R132" s="200">
        <f>SUMPRODUCT('Staging Table'!CW134:DH134, LS_Demand_Rates_Restatement!$C$11:$N$11)*1000</f>
        <v>264897.26671888359</v>
      </c>
      <c r="S132" s="201">
        <f>'Staging Table'!ED134*IF(Init!$R$15="Yes",IF(Init!$R$6=2024,Rates_current!$C$88,Rates_current!$D$88),Rates_current!$H$33)</f>
        <v>-6.6071741875095178</v>
      </c>
      <c r="T132" s="201">
        <v>0</v>
      </c>
      <c r="U132" s="201">
        <f>IF('Staging Table'!D134=1, 'Staging Table'!BU134*-1,SUM(O132:T132)*'Staging Table'!BU134*-1)</f>
        <v>-408972.83134472376</v>
      </c>
      <c r="V132" s="199">
        <f>'Staging Table'!BX134*Rates_current!$H$32*-1</f>
        <v>-83184.794289999991</v>
      </c>
      <c r="W132" s="199">
        <f>IF('Staging Table'!C134=1,"",SUM(O132:V132))</f>
        <v>5350311.3935756152</v>
      </c>
      <c r="X132" s="199">
        <f>IF('Staging Table'!C134=1,"",(RT1SC!$C$4*'Staging Table'!BR134*'Staging Table'!$BS$2)+SUM('Staging Table'!BY134:CV134)-IF(Init!$R$12="No",'Staging Table'!DU134, 0))</f>
        <v>163515.14174950778</v>
      </c>
      <c r="Y132" s="297">
        <f>IF('Staging Table'!C134=1,"",IF(X132=0, 0, W132/X132))</f>
        <v>32.720586829639714</v>
      </c>
      <c r="Z132" s="76">
        <f ca="1">IF('Staging Table'!C134=1,"",(Y132/N132-1)+(RAND()/100000000000000))</f>
        <v>2.1329632801396908E-2</v>
      </c>
      <c r="AA132" s="53">
        <f t="shared" ref="AA132:AA138" ca="1" si="2">IF(Z132="","",RANK(Z132,$Z$4:$Z$138))</f>
        <v>12</v>
      </c>
      <c r="AD132" s="204"/>
      <c r="AE132" s="204"/>
      <c r="AF132" s="208"/>
      <c r="AG132" s="204"/>
      <c r="AH132" s="204"/>
    </row>
    <row r="133" spans="1:34" s="71" customFormat="1">
      <c r="A133" s="72"/>
      <c r="B133" s="24">
        <v>13927</v>
      </c>
      <c r="C133" s="25" t="s">
        <v>238</v>
      </c>
      <c r="D133" s="199">
        <f>IF(Init!$R$9="Yes",'Staging Table'!E135,'Staging Table'!BR135)*Rates_previous!$E$76*100*12</f>
        <v>1346053.9794223369</v>
      </c>
      <c r="E133" s="199">
        <f>IF(Init!$R$9="Yes",'Staging Table'!F135,'Staging Table'!BS135)*Rates_previous!$E$77*100*12</f>
        <v>-222236.74185127555</v>
      </c>
      <c r="F133" s="200">
        <f>IF(Init!$R$9="Yes",SUMPRODUCT('Staging Table'!L135:AI135,LS_Demand_Rates_Restatement!$C$4:$Z$4)-IF(Init!$R$12="No",('Staging Table'!BH135*Rates_previous!$H$34), 0),SUMPRODUCT('Staging Table'!BY135:CV135,LS_Demand_Rates_Restatement!$C$4:$Z$4)-IF(Init!$R$12="No", 'Staging Table'!DU135*Rates_previous!$H$34, 0))</f>
        <v>-52318.125326967449</v>
      </c>
      <c r="G133" s="200">
        <f>IF(Init!$R$9="Yes",SUMPRODUCT('Staging Table'!AJ135:AU135,LS_Demand_Rates_Restatement!$C$10:$N$10),SUMPRODUCT(LS_Demand_Rates_Restatement!$C$10:$N$10,'Staging Table'!CW135:DH135))*1000</f>
        <v>10087.374292592578</v>
      </c>
      <c r="H133" s="201">
        <f>IF(Init!$R$9="Yes",'Staging Table'!BQ135,'Staging Table'!ED135)*IF(Init!$R$3=2022,Rates_previous!$C$88,Rates_previous!$D$88)</f>
        <v>-12642.343183303577</v>
      </c>
      <c r="I133" s="199">
        <v>0</v>
      </c>
      <c r="J133" s="201">
        <f>IF(Init!$R$9="Yes",IF('Staging Table'!D135=1,'Staging Table'!H135*-1,'Staging Table'!H135*SUM(D133:I133)*(-1)),IF('Staging Table'!D135=1,'Staging Table'!BU135*-1,'Staging Table'!BU135*SUM(D133:I133)*(-1)))</f>
        <v>0</v>
      </c>
      <c r="K133" s="199">
        <f>IF(Init!$R$9="Yes",'Staging Table'!K135,'Staging Table'!BX135)*(-1)*Rates_previous!$H$32</f>
        <v>0</v>
      </c>
      <c r="L133" s="199">
        <f>IF('Staging Table'!C135=1,"",SUM(D133:K133))</f>
        <v>1068944.1433533828</v>
      </c>
      <c r="M133" s="199">
        <f>IF('Staging Table'!C135=1,"",IF(Init!$R$9="Yes",(RT1SC!$C$3*'Staging Table'!E135*'Staging Table'!$F$2)+SUM('Staging Table'!L135:AI135)-IF(Init!$R$12="No",'Staging Table'!BH135, 0),X133))</f>
        <v>31326.883694364034</v>
      </c>
      <c r="N133" s="297">
        <f>IF('Staging Table'!C135=1,"",IF(M133=0, 0, L133/M133))</f>
        <v>34.122262328496298</v>
      </c>
      <c r="O133" s="199">
        <f>'Staging Table'!BR135*Rates_current!$E$76*100*12</f>
        <v>1257774.1624799999</v>
      </c>
      <c r="P133" s="199">
        <f>'Staging Table'!BS135*Rates_current!$E$77*100*12</f>
        <v>-221038.95923999997</v>
      </c>
      <c r="Q133" s="200">
        <f>SUMPRODUCT('Staging Table'!BY135:CV135, LS_Demand_Rates_Restatement!$C$5:$Z$5)-IF(Init!$R$12="No",('Staging Table'!DU135*Rates_current!$H$34), 0)</f>
        <v>19404.338233877177</v>
      </c>
      <c r="R133" s="200">
        <f>SUMPRODUCT('Staging Table'!CW135:DH135, LS_Demand_Rates_Restatement!$C$11:$N$11)*1000</f>
        <v>13890.70799145298</v>
      </c>
      <c r="S133" s="201">
        <f>'Staging Table'!ED135*IF(Init!$R$15="Yes",IF(Init!$R$6=2024,Rates_current!$C$88,Rates_current!$D$88),Rates_current!$H$33)</f>
        <v>-21.119706384671154</v>
      </c>
      <c r="T133" s="201">
        <v>0</v>
      </c>
      <c r="U133" s="201">
        <f>IF('Staging Table'!D135=1, 'Staging Table'!BU135*-1,SUM(O133:T133)*'Staging Table'!BU135*-1)</f>
        <v>0</v>
      </c>
      <c r="V133" s="199">
        <f>'Staging Table'!BX135*Rates_current!$H$32*-1</f>
        <v>0</v>
      </c>
      <c r="W133" s="199">
        <f>IF('Staging Table'!C135=1,"",SUM(O133:V133))</f>
        <v>1070009.1297589454</v>
      </c>
      <c r="X133" s="199">
        <f>IF('Staging Table'!C135=1,"",(RT1SC!$C$4*'Staging Table'!BR135*'Staging Table'!$BS$2)+SUM('Staging Table'!BY135:CV135)-IF(Init!$R$12="No",'Staging Table'!DU135, 0))</f>
        <v>31326.882143593561</v>
      </c>
      <c r="Y133" s="297">
        <f>IF('Staging Table'!C135=1,"",IF(X133=0, 0, W133/X133))</f>
        <v>34.156259944871834</v>
      </c>
      <c r="Z133" s="76">
        <f ca="1">IF('Staging Table'!C135=1,"",(Y133/N133-1)+(RAND()/100000000000000))</f>
        <v>9.9634707829511612E-4</v>
      </c>
      <c r="AA133" s="53">
        <f t="shared" ca="1" si="2"/>
        <v>30</v>
      </c>
      <c r="AB133"/>
      <c r="AC133"/>
      <c r="AD133" s="204"/>
      <c r="AE133" s="204"/>
      <c r="AF133" s="208"/>
      <c r="AG133" s="204"/>
      <c r="AH133" s="204"/>
    </row>
    <row r="134" spans="1:34">
      <c r="B134" s="3">
        <v>10597</v>
      </c>
      <c r="C134" s="4" t="s">
        <v>136</v>
      </c>
      <c r="D134" s="199">
        <f>IF(Init!$R$9="Yes",'Staging Table'!E136,'Staging Table'!BR136)*Rates_previous!$E$76*100*12</f>
        <v>4381330.1628444847</v>
      </c>
      <c r="E134" s="199">
        <f>IF(Init!$R$9="Yes",'Staging Table'!F136,'Staging Table'!BS136)*Rates_previous!$E$77*100*12</f>
        <v>-723368.12286171457</v>
      </c>
      <c r="F134" s="200">
        <f>IF(Init!$R$9="Yes",SUMPRODUCT('Staging Table'!L136:AI136,LS_Demand_Rates_Restatement!$C$4:$Z$4)-IF(Init!$R$12="No",('Staging Table'!BH136*Rates_previous!$H$34), 0),SUMPRODUCT('Staging Table'!BY136:CV136,LS_Demand_Rates_Restatement!$C$4:$Z$4)-IF(Init!$R$12="No", 'Staging Table'!DU136*Rates_previous!$H$34, 0))</f>
        <v>59834.542451754634</v>
      </c>
      <c r="G134" s="200">
        <f>IF(Init!$R$9="Yes",SUMPRODUCT('Staging Table'!AJ136:AU136,LS_Demand_Rates_Restatement!$C$10:$N$10),SUMPRODUCT(LS_Demand_Rates_Restatement!$C$10:$N$10,'Staging Table'!CW136:DH136))*1000</f>
        <v>206878.12192215098</v>
      </c>
      <c r="H134" s="201">
        <f>IF(Init!$R$9="Yes",'Staging Table'!BQ136,'Staging Table'!ED136)*IF(Init!$R$3=2022,Rates_previous!$C$88,Rates_previous!$D$88)</f>
        <v>2098.0917182057519</v>
      </c>
      <c r="I134" s="199">
        <v>0</v>
      </c>
      <c r="J134" s="201">
        <f>IF(Init!$R$9="Yes",IF('Staging Table'!D136=1,'Staging Table'!H136*-1,'Staging Table'!H136*SUM(D134:I134)*(-1)),IF('Staging Table'!D136=1,'Staging Table'!BU136*-1,'Staging Table'!BU136*SUM(D134:I134)*(-1)))</f>
        <v>0</v>
      </c>
      <c r="K134" s="199">
        <f>IF(Init!$R$9="Yes",'Staging Table'!K136,'Staging Table'!BX136)*(-1)*Rates_previous!$H$32</f>
        <v>0</v>
      </c>
      <c r="L134" s="199">
        <f>IF('Staging Table'!C136=1,"",SUM(D134:K134))</f>
        <v>3926772.7960748817</v>
      </c>
      <c r="M134" s="199">
        <f>IF('Staging Table'!C136=1,"",IF(Init!$R$9="Yes",(RT1SC!$C$3*'Staging Table'!E136*'Staging Table'!$F$2)+SUM('Staging Table'!L136:AI136)-IF(Init!$R$12="No",'Staging Table'!BH136, 0),X134))</f>
        <v>108107.15999999999</v>
      </c>
      <c r="N134" s="297">
        <f>IF('Staging Table'!C136=1,"",IF(M134=0, 0, L134/M134))</f>
        <v>36.322966916112513</v>
      </c>
      <c r="O134" s="199">
        <f>'Staging Table'!BR136*Rates_current!$E$76*100*12</f>
        <v>4343294.2212000005</v>
      </c>
      <c r="P134" s="199">
        <f>'Staging Table'!BS136*Rates_current!$E$77*100*12</f>
        <v>-763282.68060000008</v>
      </c>
      <c r="Q134" s="200">
        <f>SUMPRODUCT('Staging Table'!BY136:CV136, LS_Demand_Rates_Restatement!$C$5:$Z$5)-IF(Init!$R$12="No",('Staging Table'!DU136*Rates_current!$H$34), 0)</f>
        <v>176981.66142321369</v>
      </c>
      <c r="R134" s="200">
        <f>SUMPRODUCT('Staging Table'!CW136:DH136, LS_Demand_Rates_Restatement!$C$11:$N$11)*1000</f>
        <v>211034.60247609511</v>
      </c>
      <c r="S134" s="201">
        <f>'Staging Table'!ED136*IF(Init!$R$15="Yes",IF(Init!$R$6=2024,Rates_current!$C$88,Rates_current!$D$88),Rates_current!$H$33)</f>
        <v>5.939252920064173</v>
      </c>
      <c r="T134" s="201">
        <v>0</v>
      </c>
      <c r="U134" s="201">
        <f>IF('Staging Table'!D136=1, 'Staging Table'!BU136*-1,SUM(O134:T134)*'Staging Table'!BU136*-1)</f>
        <v>0</v>
      </c>
      <c r="V134" s="199">
        <f>'Staging Table'!BX136*Rates_current!$H$32*-1</f>
        <v>0</v>
      </c>
      <c r="W134" s="199">
        <f>IF('Staging Table'!C136=1,"",SUM(O134:V134))</f>
        <v>3968033.7437522295</v>
      </c>
      <c r="X134" s="199">
        <f>IF('Staging Table'!C136=1,"",(RT1SC!$C$4*'Staging Table'!BR136*'Staging Table'!$BS$2)+SUM('Staging Table'!BY136:CV136)-IF(Init!$R$12="No",'Staging Table'!DU136, 0))</f>
        <v>108174.07749585139</v>
      </c>
      <c r="Y134" s="297">
        <f>IF('Staging Table'!C136=1,"",IF(X134=0, 0, W134/X134))</f>
        <v>36.68192819952089</v>
      </c>
      <c r="Z134" s="76">
        <f ca="1">IF('Staging Table'!C136=1,"",(Y134/N134-1)+(RAND()/100000000000000))</f>
        <v>9.8824879651941751E-3</v>
      </c>
      <c r="AA134" s="53">
        <f t="shared" ca="1" si="2"/>
        <v>15</v>
      </c>
      <c r="AD134" s="204"/>
      <c r="AE134" s="204"/>
      <c r="AF134" s="208"/>
      <c r="AG134" s="204"/>
      <c r="AH134" s="204"/>
    </row>
    <row r="135" spans="1:34">
      <c r="B135" s="3">
        <v>10706</v>
      </c>
      <c r="C135" s="4" t="s">
        <v>137</v>
      </c>
      <c r="D135" s="199">
        <f>IF(Init!$R$9="Yes",'Staging Table'!E137,'Staging Table'!BR137)*Rates_previous!$E$76*100*12</f>
        <v>5867433.2290266016</v>
      </c>
      <c r="E135" s="199">
        <f>IF(Init!$R$9="Yes",'Staging Table'!F137,'Staging Table'!BS137)*Rates_previous!$E$77*100*12</f>
        <v>-968727.30498399411</v>
      </c>
      <c r="F135" s="200">
        <f>IF(Init!$R$9="Yes",SUMPRODUCT('Staging Table'!L137:AI137,LS_Demand_Rates_Restatement!$C$4:$Z$4)-IF(Init!$R$12="No",('Staging Table'!BH137*Rates_previous!$H$34), 0),SUMPRODUCT('Staging Table'!BY137:CV137,LS_Demand_Rates_Restatement!$C$4:$Z$4)-IF(Init!$R$12="No", 'Staging Table'!DU137*Rates_previous!$H$34, 0))</f>
        <v>-36608.64498657301</v>
      </c>
      <c r="G135" s="200">
        <f>IF(Init!$R$9="Yes",SUMPRODUCT('Staging Table'!AJ137:AU137,LS_Demand_Rates_Restatement!$C$10:$N$10),SUMPRODUCT(LS_Demand_Rates_Restatement!$C$10:$N$10,'Staging Table'!CW137:DH137))*1000</f>
        <v>228098.93106493048</v>
      </c>
      <c r="H135" s="201">
        <f>IF(Init!$R$9="Yes",'Staging Table'!BQ137,'Staging Table'!ED137)*IF(Init!$R$3=2022,Rates_previous!$C$88,Rates_previous!$D$88)</f>
        <v>0</v>
      </c>
      <c r="I135" s="199">
        <v>0</v>
      </c>
      <c r="J135" s="201">
        <f>IF(Init!$R$9="Yes",IF('Staging Table'!D137=1,'Staging Table'!H137*-1,'Staging Table'!H137*SUM(D135:I135)*(-1)),IF('Staging Table'!D137=1,'Staging Table'!BU137*-1,'Staging Table'!BU137*SUM(D135:I135)*(-1)))</f>
        <v>0</v>
      </c>
      <c r="K135" s="199">
        <f>IF(Init!$R$9="Yes",'Staging Table'!K137,'Staging Table'!BX137)*(-1)*Rates_previous!$H$32</f>
        <v>0</v>
      </c>
      <c r="L135" s="199">
        <f>IF('Staging Table'!C137=1,"",SUM(D135:K135))</f>
        <v>5090196.2101209657</v>
      </c>
      <c r="M135" s="199">
        <f>IF('Staging Table'!C137=1,"",IF(Init!$R$9="Yes",(RT1SC!$C$3*'Staging Table'!E137*'Staging Table'!$F$2)+SUM('Staging Table'!L137:AI137)-IF(Init!$R$12="No",'Staging Table'!BH137, 0),X135))</f>
        <v>144382.32</v>
      </c>
      <c r="N135" s="297">
        <f>IF('Staging Table'!C137=1,"",IF(M135=0, 0, L135/M135))</f>
        <v>35.254982813137822</v>
      </c>
      <c r="O135" s="199">
        <f>'Staging Table'!BR137*Rates_current!$E$76*100*12</f>
        <v>5908474.4673599992</v>
      </c>
      <c r="P135" s="199">
        <f>'Staging Table'!BS137*Rates_current!$E$77*100*12</f>
        <v>-1038344.62968</v>
      </c>
      <c r="Q135" s="200">
        <f>SUMPRODUCT('Staging Table'!BY137:CV137, LS_Demand_Rates_Restatement!$C$5:$Z$5)-IF(Init!$R$12="No",('Staging Table'!DU137*Rates_current!$H$34), 0)</f>
        <v>25338.082936686085</v>
      </c>
      <c r="R135" s="200">
        <f>SUMPRODUCT('Staging Table'!CW137:DH137, LS_Demand_Rates_Restatement!$C$11:$N$11)*1000</f>
        <v>229434.67946362172</v>
      </c>
      <c r="S135" s="201">
        <f>'Staging Table'!ED137*IF(Init!$R$15="Yes",IF(Init!$R$6=2024,Rates_current!$C$88,Rates_current!$D$88),Rates_current!$H$33)</f>
        <v>28.039370346478247</v>
      </c>
      <c r="T135" s="201">
        <v>0</v>
      </c>
      <c r="U135" s="201">
        <f>IF('Staging Table'!D137=1, 'Staging Table'!BU137*-1,SUM(O135:T135)*'Staging Table'!BU137*-1)</f>
        <v>0</v>
      </c>
      <c r="V135" s="199">
        <f>'Staging Table'!BX137*Rates_current!$H$32*-1</f>
        <v>0</v>
      </c>
      <c r="W135" s="199">
        <f>IF('Staging Table'!C137=1,"",SUM(O135:V135))</f>
        <v>5124930.6394506544</v>
      </c>
      <c r="X135" s="199">
        <f>IF('Staging Table'!C137=1,"",(RT1SC!$C$4*'Staging Table'!BR137*'Staging Table'!$BS$2)+SUM('Staging Table'!BY137:CV137)-IF(Init!$R$12="No",'Staging Table'!DU137, 0))</f>
        <v>147154.18567453991</v>
      </c>
      <c r="Y135" s="297">
        <f>IF('Staging Table'!C137=1,"",IF(X135=0, 0, W135/X135))</f>
        <v>34.826944377820382</v>
      </c>
      <c r="Z135" s="76">
        <f ca="1">IF('Staging Table'!C137=1,"",(Y135/N135-1)+(RAND()/100000000000000))</f>
        <v>-1.2141218096341935E-2</v>
      </c>
      <c r="AA135" s="53">
        <f t="shared" ca="1" si="2"/>
        <v>81</v>
      </c>
      <c r="AD135" s="204"/>
      <c r="AE135" s="204"/>
      <c r="AF135" s="208"/>
      <c r="AG135" s="204"/>
      <c r="AH135" s="204"/>
    </row>
    <row r="136" spans="1:34">
      <c r="B136" s="3">
        <v>11680</v>
      </c>
      <c r="C136" s="4" t="s">
        <v>138</v>
      </c>
      <c r="D136" s="199">
        <f>IF(Init!$R$9="Yes",'Staging Table'!E138,'Staging Table'!BR138)*Rates_previous!$E$76*100*12</f>
        <v>2149177.9375704583</v>
      </c>
      <c r="E136" s="199">
        <f>IF(Init!$R$9="Yes",'Staging Table'!F138,'Staging Table'!BS138)*Rates_previous!$E$77*100*12</f>
        <v>-354834.43443276884</v>
      </c>
      <c r="F136" s="200">
        <f>IF(Init!$R$9="Yes",SUMPRODUCT('Staging Table'!L138:AI138,LS_Demand_Rates_Restatement!$C$4:$Z$4)-IF(Init!$R$12="No",('Staging Table'!BH138*Rates_previous!$H$34), 0),SUMPRODUCT('Staging Table'!BY138:CV138,LS_Demand_Rates_Restatement!$C$4:$Z$4)-IF(Init!$R$12="No", 'Staging Table'!DU138*Rates_previous!$H$34, 0))</f>
        <v>34211.022528781265</v>
      </c>
      <c r="G136" s="200">
        <f>IF(Init!$R$9="Yes",SUMPRODUCT('Staging Table'!AJ138:AU138,LS_Demand_Rates_Restatement!$C$10:$N$10),SUMPRODUCT(LS_Demand_Rates_Restatement!$C$10:$N$10,'Staging Table'!CW138:DH138))*1000</f>
        <v>58443.509003490057</v>
      </c>
      <c r="H136" s="201">
        <f>IF(Init!$R$9="Yes",'Staging Table'!BQ138,'Staging Table'!ED138)*IF(Init!$R$3=2022,Rates_previous!$C$88,Rates_previous!$D$88)</f>
        <v>0</v>
      </c>
      <c r="I136" s="199">
        <v>0</v>
      </c>
      <c r="J136" s="201">
        <f>IF(Init!$R$9="Yes",IF('Staging Table'!D138=1,'Staging Table'!H138*-1,'Staging Table'!H138*SUM(D136:I136)*(-1)),IF('Staging Table'!D138=1,'Staging Table'!BU138*-1,'Staging Table'!BU138*SUM(D136:I136)*(-1)))</f>
        <v>0</v>
      </c>
      <c r="K136" s="199">
        <f>IF(Init!$R$9="Yes",'Staging Table'!K138,'Staging Table'!BX138)*(-1)*Rates_previous!$H$32</f>
        <v>0</v>
      </c>
      <c r="L136" s="199">
        <f>IF('Staging Table'!C138=1,"",SUM(D136:K136))</f>
        <v>1886998.0346699608</v>
      </c>
      <c r="M136" s="199">
        <f>IF('Staging Table'!C138=1,"",IF(Init!$R$9="Yes",(RT1SC!$C$3*'Staging Table'!E138*'Staging Table'!$F$2)+SUM('Staging Table'!L138:AI138)-IF(Init!$R$12="No",'Staging Table'!BH138, 0),X136))</f>
        <v>52884.12</v>
      </c>
      <c r="N136" s="297">
        <f>IF('Staging Table'!C138=1,"",IF(M136=0, 0, L136/M136))</f>
        <v>35.681751623549012</v>
      </c>
      <c r="O136" s="199">
        <f>'Staging Table'!BR138*Rates_current!$E$76*100*12</f>
        <v>2232057.1392000001</v>
      </c>
      <c r="P136" s="199">
        <f>'Staging Table'!BS138*Rates_current!$E$77*100*12</f>
        <v>-392257.68960000004</v>
      </c>
      <c r="Q136" s="200">
        <f>SUMPRODUCT('Staging Table'!BY138:CV138, LS_Demand_Rates_Restatement!$C$5:$Z$5)-IF(Init!$R$12="No",('Staging Table'!DU138*Rates_current!$H$34), 0)</f>
        <v>99448.175136800637</v>
      </c>
      <c r="R136" s="200">
        <f>SUMPRODUCT('Staging Table'!CW138:DH138, LS_Demand_Rates_Restatement!$C$11:$N$11)*1000</f>
        <v>52466.508926068433</v>
      </c>
      <c r="S136" s="201">
        <f>'Staging Table'!ED138*IF(Init!$R$15="Yes",IF(Init!$R$6=2024,Rates_current!$C$88,Rates_current!$D$88),Rates_current!$H$33)</f>
        <v>0</v>
      </c>
      <c r="T136" s="201">
        <v>0</v>
      </c>
      <c r="U136" s="201">
        <f>IF('Staging Table'!D138=1, 'Staging Table'!BU138*-1,SUM(O136:T136)*'Staging Table'!BU138*-1)</f>
        <v>0</v>
      </c>
      <c r="V136" s="199">
        <f>'Staging Table'!BX138*Rates_current!$H$32*-1</f>
        <v>0</v>
      </c>
      <c r="W136" s="199">
        <f>IF('Staging Table'!C138=1,"",SUM(O136:V136))</f>
        <v>1991714.133662869</v>
      </c>
      <c r="X136" s="199">
        <f>IF('Staging Table'!C138=1,"",(RT1SC!$C$4*'Staging Table'!BR138*'Staging Table'!$BS$2)+SUM('Staging Table'!BY138:CV138)-IF(Init!$R$12="No",'Staging Table'!DU138, 0))</f>
        <v>55593.935999999994</v>
      </c>
      <c r="Y136" s="297">
        <f>IF('Staging Table'!C138=1,"",IF(X136=0, 0, W136/X136))</f>
        <v>35.826104013626043</v>
      </c>
      <c r="Z136" s="76">
        <f ca="1">IF('Staging Table'!C138=1,"",(Y136/N136-1)+(RAND()/100000000000000))</f>
        <v>4.045552236345464E-3</v>
      </c>
      <c r="AA136" s="53">
        <f t="shared" ca="1" si="2"/>
        <v>23</v>
      </c>
      <c r="AD136" s="204"/>
      <c r="AE136" s="204"/>
      <c r="AF136" s="208"/>
      <c r="AG136" s="204"/>
      <c r="AH136" s="204"/>
    </row>
    <row r="137" spans="1:34">
      <c r="B137" s="3">
        <v>12026</v>
      </c>
      <c r="C137" s="4" t="s">
        <v>139</v>
      </c>
      <c r="D137" s="199">
        <f>IF(Init!$R$9="Yes",'Staging Table'!E139,'Staging Table'!BR139)*Rates_previous!$E$76*100*12</f>
        <v>15340171.201797262</v>
      </c>
      <c r="E137" s="199">
        <f>IF(Init!$R$9="Yes",'Staging Table'!F139,'Staging Table'!BS139)*Rates_previous!$E$77*100*12</f>
        <v>-2532699.07406777</v>
      </c>
      <c r="F137" s="200">
        <f>IF(Init!$R$9="Yes",SUMPRODUCT('Staging Table'!L139:AI139,LS_Demand_Rates_Restatement!$C$4:$Z$4)-IF(Init!$R$12="No",('Staging Table'!BH139*Rates_previous!$H$34), 0),SUMPRODUCT('Staging Table'!BY139:CV139,LS_Demand_Rates_Restatement!$C$4:$Z$4)-IF(Init!$R$12="No", 'Staging Table'!DU139*Rates_previous!$H$34, 0))</f>
        <v>250247.68410437787</v>
      </c>
      <c r="G137" s="200">
        <f>IF(Init!$R$9="Yes",SUMPRODUCT('Staging Table'!AJ139:AU139,LS_Demand_Rates_Restatement!$C$10:$N$10),SUMPRODUCT(LS_Demand_Rates_Restatement!$C$10:$N$10,'Staging Table'!CW139:DH139))*1000</f>
        <v>675432.3526669069</v>
      </c>
      <c r="H137" s="201">
        <f>IF(Init!$R$9="Yes",'Staging Table'!BQ139,'Staging Table'!ED139)*IF(Init!$R$3=2022,Rates_previous!$C$88,Rates_previous!$D$88)</f>
        <v>0</v>
      </c>
      <c r="I137" s="199">
        <v>0</v>
      </c>
      <c r="J137" s="201">
        <f>IF(Init!$R$9="Yes",IF('Staging Table'!D139=1,'Staging Table'!H139*-1,'Staging Table'!H139*SUM(D137:I137)*(-1)),IF('Staging Table'!D139=1,'Staging Table'!BU139*-1,'Staging Table'!BU139*SUM(D137:I137)*(-1)))</f>
        <v>0</v>
      </c>
      <c r="K137" s="199">
        <f>IF(Init!$R$9="Yes",'Staging Table'!K139,'Staging Table'!BX139)*(-1)*Rates_previous!$H$32</f>
        <v>0</v>
      </c>
      <c r="L137" s="199">
        <f>IF('Staging Table'!C139=1,"",SUM(D137:K137))</f>
        <v>13733152.164500777</v>
      </c>
      <c r="M137" s="199">
        <f>IF('Staging Table'!C139=1,"",IF(Init!$R$9="Yes",(RT1SC!$C$3*'Staging Table'!E139*'Staging Table'!$F$2)+SUM('Staging Table'!L139:AI139)-IF(Init!$R$12="No",'Staging Table'!BH139, 0),X137))</f>
        <v>377477.16000000003</v>
      </c>
      <c r="N137" s="297">
        <f>IF('Staging Table'!C139=1,"",IF(M137=0, 0, L137/M137))</f>
        <v>36.381412227698164</v>
      </c>
      <c r="O137" s="199">
        <f>'Staging Table'!BR139*Rates_current!$E$76*100*12</f>
        <v>15931806.058080001</v>
      </c>
      <c r="P137" s="199">
        <f>'Staging Table'!BS139*Rates_current!$E$77*100*12</f>
        <v>-2799826.8170399996</v>
      </c>
      <c r="Q137" s="200">
        <f>SUMPRODUCT('Staging Table'!BY139:CV139, LS_Demand_Rates_Restatement!$C$5:$Z$5)-IF(Init!$R$12="No",('Staging Table'!DU139*Rates_current!$H$34), 0)</f>
        <v>345379.30643872666</v>
      </c>
      <c r="R137" s="200">
        <f>SUMPRODUCT('Staging Table'!CW139:DH139, LS_Demand_Rates_Restatement!$C$11:$N$11)*1000</f>
        <v>668404.69099086535</v>
      </c>
      <c r="S137" s="201">
        <f>'Staging Table'!ED139*IF(Init!$R$15="Yes",IF(Init!$R$6=2024,Rates_current!$C$88,Rates_current!$D$88),Rates_current!$H$33)</f>
        <v>0</v>
      </c>
      <c r="T137" s="201">
        <v>0</v>
      </c>
      <c r="U137" s="201">
        <f>IF('Staging Table'!D139=1, 'Staging Table'!BU139*-1,SUM(O137:T137)*'Staging Table'!BU139*-1)</f>
        <v>0</v>
      </c>
      <c r="V137" s="199">
        <f>'Staging Table'!BX139*Rates_current!$H$32*-1</f>
        <v>0</v>
      </c>
      <c r="W137" s="199">
        <f>IF('Staging Table'!C139=1,"",SUM(O137:V137))</f>
        <v>14145763.238469593</v>
      </c>
      <c r="X137" s="199">
        <f>IF('Staging Table'!C139=1,"",(RT1SC!$C$4*'Staging Table'!BR139*'Staging Table'!$BS$2)+SUM('Staging Table'!BY139:CV139)-IF(Init!$R$12="No",'Staging Table'!DU139, 0))</f>
        <v>396799.63200000004</v>
      </c>
      <c r="Y137" s="297">
        <f>IF('Staging Table'!C139=1,"",IF(X137=0, 0, W137/X137))</f>
        <v>35.649637997823525</v>
      </c>
      <c r="Z137" s="76">
        <f ca="1">IF('Staging Table'!C139=1,"",(Y137/N137-1)+(RAND()/100000000000000))</f>
        <v>-2.0113958889073327E-2</v>
      </c>
      <c r="AA137" s="53">
        <f t="shared" ca="1" si="2"/>
        <v>105</v>
      </c>
      <c r="AD137" s="204"/>
      <c r="AE137" s="204"/>
      <c r="AF137" s="208"/>
      <c r="AG137" s="204"/>
      <c r="AH137" s="204"/>
    </row>
    <row r="138" spans="1:34">
      <c r="B138" s="3">
        <v>10298</v>
      </c>
      <c r="C138" s="4" t="s">
        <v>140</v>
      </c>
      <c r="D138" s="199">
        <f>IF(Init!$R$9="Yes",'Staging Table'!E140,'Staging Table'!BR140)*Rates_previous!$E$76*100*12</f>
        <v>204357277.26108623</v>
      </c>
      <c r="E138" s="199">
        <f>IF(Init!$R$9="Yes",'Staging Table'!F140,'Staging Table'!BS140)*Rates_previous!$E$77*100*12</f>
        <v>-33739876.829896398</v>
      </c>
      <c r="F138" s="200">
        <f>IF(Init!$R$9="Yes",SUMPRODUCT('Staging Table'!L140:AI140,LS_Demand_Rates_Restatement!$C$4:$Z$4)-IF(Init!$R$12="No",('Staging Table'!BH140*Rates_previous!$H$34), 0),SUMPRODUCT('Staging Table'!BY140:CV140,LS_Demand_Rates_Restatement!$C$4:$Z$4)-IF(Init!$R$12="No", 'Staging Table'!DU140*Rates_previous!$H$34, 0))</f>
        <v>2886706.222761305</v>
      </c>
      <c r="G138" s="200">
        <f>IF(Init!$R$9="Yes",SUMPRODUCT('Staging Table'!AJ140:AU140,LS_Demand_Rates_Restatement!$C$10:$N$10),SUMPRODUCT(LS_Demand_Rates_Restatement!$C$10:$N$10,'Staging Table'!CW140:DH140))*1000</f>
        <v>12105395.683502745</v>
      </c>
      <c r="H138" s="201">
        <f>IF(Init!$R$9="Yes",'Staging Table'!BQ140,'Staging Table'!ED140)*IF(Init!$R$3=2022,Rates_previous!$C$88,Rates_previous!$D$88)</f>
        <v>0</v>
      </c>
      <c r="I138" s="199">
        <v>0</v>
      </c>
      <c r="J138" s="201">
        <f>IF(Init!$R$9="Yes",IF('Staging Table'!D140=1,'Staging Table'!H140*-1,'Staging Table'!H140*SUM(D138:I138)*(-1)),IF('Staging Table'!D140=1,'Staging Table'!BU140*-1,'Staging Table'!BU140*SUM(D138:I138)*(-1)))</f>
        <v>-9748393.3086277694</v>
      </c>
      <c r="K138" s="199">
        <f>IF(Init!$R$9="Yes",'Staging Table'!K140,'Staging Table'!BX140)*(-1)*Rates_previous!$H$32</f>
        <v>-2381457.1899000001</v>
      </c>
      <c r="L138" s="199">
        <f>IF('Staging Table'!C140=1,"",SUM(D138:K138))</f>
        <v>173479651.83892611</v>
      </c>
      <c r="M138" s="199">
        <f>IF('Staging Table'!C140=1,"",IF(Init!$R$9="Yes",(RT1SC!$C$3*'Staging Table'!E140*'Staging Table'!$F$2)+SUM('Staging Table'!L140:AI140)-IF(Init!$R$12="No",'Staging Table'!BH140, 0),X138))</f>
        <v>5032733.88</v>
      </c>
      <c r="N138" s="297">
        <f>IF('Staging Table'!C140=1,"",IF(M138=0, 0, L138/M138))</f>
        <v>34.470261288468151</v>
      </c>
      <c r="O138" s="199">
        <f>'Staging Table'!BR140*Rates_current!$E$76*100*12</f>
        <v>210947335.82783997</v>
      </c>
      <c r="P138" s="199">
        <f>'Staging Table'!BS140*Rates_current!$E$77*100*12</f>
        <v>-37071503.737920001</v>
      </c>
      <c r="Q138" s="200">
        <f>SUMPRODUCT('Staging Table'!BY140:CV140, LS_Demand_Rates_Restatement!$C$5:$Z$5)-IF(Init!$R$12="No",('Staging Table'!DU140*Rates_current!$H$34), 0)</f>
        <v>6495227.9609705079</v>
      </c>
      <c r="R138" s="200">
        <f>SUMPRODUCT('Staging Table'!CW140:DH140, LS_Demand_Rates_Restatement!$C$11:$N$11)*1000</f>
        <v>12198696.416568385</v>
      </c>
      <c r="S138" s="201">
        <f>'Staging Table'!ED140*IF(Init!$R$15="Yes",IF(Init!$R$6=2024,Rates_current!$C$88,Rates_current!$D$88),Rates_current!$H$33)</f>
        <v>0</v>
      </c>
      <c r="T138" s="201">
        <v>0</v>
      </c>
      <c r="U138" s="201">
        <f>IF('Staging Table'!D140=1, 'Staging Table'!BU140*-1,SUM(O138:T138)*'Staging Table'!BU140*-1)</f>
        <v>-9975501.3551306315</v>
      </c>
      <c r="V138" s="199">
        <f>'Staging Table'!BX140*Rates_current!$H$32*-1</f>
        <v>-2527840.3382700002</v>
      </c>
      <c r="W138" s="199">
        <f>IF('Staging Table'!C140=1,"",SUM(O138:V138))</f>
        <v>180066414.77405825</v>
      </c>
      <c r="X138" s="199">
        <f>IF('Staging Table'!C140=1,"",(RT1SC!$C$4*'Staging Table'!BR140*'Staging Table'!$BS$2)+SUM('Staging Table'!BY140:CV140)-IF(Init!$R$12="No",'Staging Table'!DU140, 0))</f>
        <v>5254528.9200827638</v>
      </c>
      <c r="Y138" s="297">
        <f>IF('Staging Table'!C140=1,"",IF(X138=0, 0, W138/X138))</f>
        <v>34.268802686734865</v>
      </c>
      <c r="Z138" s="76">
        <f ca="1">IF('Staging Table'!C140=1,"",(Y138/N138-1)+(RAND()/100000000000000))</f>
        <v>-5.8444175994815384E-3</v>
      </c>
      <c r="AA138" s="53">
        <f t="shared" ca="1" si="2"/>
        <v>47</v>
      </c>
      <c r="AD138" s="204"/>
      <c r="AE138" s="204"/>
      <c r="AF138" s="208"/>
      <c r="AG138" s="204"/>
      <c r="AH138" s="204"/>
    </row>
    <row r="139" spans="1:34">
      <c r="B139" s="2"/>
      <c r="C139" s="2"/>
      <c r="D139" s="2"/>
      <c r="E139" s="2"/>
      <c r="F139" s="2"/>
      <c r="G139" s="2"/>
      <c r="H139" s="2"/>
      <c r="I139" s="239"/>
      <c r="J139" s="190"/>
      <c r="K139" s="2"/>
      <c r="L139" s="2"/>
      <c r="O139" s="2"/>
      <c r="P139" s="2"/>
      <c r="Q139" s="72"/>
      <c r="R139" s="2"/>
      <c r="S139" s="2"/>
      <c r="T139" s="239"/>
      <c r="U139" s="2"/>
      <c r="V139" s="2"/>
      <c r="W139" s="2"/>
      <c r="AD139" s="204"/>
      <c r="AE139" s="204"/>
      <c r="AF139" s="208"/>
      <c r="AG139" s="204"/>
      <c r="AH139" s="204"/>
    </row>
    <row r="140" spans="1:34">
      <c r="A140" s="18"/>
      <c r="B140" s="2"/>
      <c r="C140" s="2"/>
      <c r="D140" s="301"/>
      <c r="E140" s="301"/>
      <c r="F140" s="301"/>
      <c r="G140" s="301"/>
      <c r="H140" s="301"/>
      <c r="I140" s="301"/>
      <c r="J140" s="301"/>
      <c r="K140" s="301"/>
      <c r="L140" s="301"/>
      <c r="M140" s="301"/>
      <c r="N140" s="408"/>
      <c r="O140" s="301"/>
      <c r="P140" s="301"/>
      <c r="Q140" s="301"/>
      <c r="R140" s="301"/>
      <c r="S140" s="301"/>
      <c r="T140" s="301"/>
      <c r="U140" s="301"/>
      <c r="V140" s="301"/>
      <c r="W140" s="301"/>
      <c r="X140" s="301"/>
      <c r="Y140" s="408"/>
      <c r="Z140" s="404"/>
      <c r="AD140" s="204"/>
      <c r="AE140" s="204"/>
      <c r="AF140" s="208"/>
      <c r="AG140" s="204"/>
      <c r="AH140" s="204"/>
    </row>
    <row r="141" spans="1:34">
      <c r="A141" s="18"/>
      <c r="D141" s="2"/>
      <c r="E141" s="301"/>
      <c r="F141" s="2"/>
      <c r="G141" s="2"/>
      <c r="H141" s="2"/>
      <c r="I141" s="239"/>
      <c r="J141" s="190"/>
      <c r="K141" s="2"/>
      <c r="L141" s="2"/>
      <c r="O141" s="2"/>
      <c r="P141" s="2"/>
      <c r="Q141" s="72"/>
      <c r="R141" s="2"/>
      <c r="S141" s="2"/>
      <c r="T141" s="239"/>
      <c r="U141" s="2"/>
      <c r="V141" s="2"/>
      <c r="W141" s="2"/>
      <c r="AD141" s="204"/>
      <c r="AE141" s="204"/>
      <c r="AF141" s="208"/>
      <c r="AG141" s="204"/>
      <c r="AH141" s="204"/>
    </row>
    <row r="142" spans="1:34">
      <c r="A142" s="18"/>
      <c r="B142" s="2"/>
      <c r="C142" s="2"/>
      <c r="D142" s="2"/>
      <c r="E142" s="301"/>
      <c r="F142" s="2"/>
      <c r="G142" s="2"/>
      <c r="H142" s="2"/>
      <c r="I142" s="239"/>
      <c r="J142" s="190"/>
      <c r="K142" s="2"/>
      <c r="L142" s="2"/>
      <c r="O142" s="2"/>
      <c r="P142" s="2"/>
      <c r="Q142" s="72"/>
      <c r="R142" s="2"/>
      <c r="S142" s="2"/>
      <c r="T142" s="239"/>
      <c r="U142" s="2"/>
      <c r="V142" s="2"/>
      <c r="W142" s="2"/>
    </row>
    <row r="143" spans="1:34">
      <c r="B143" s="2"/>
      <c r="C143" s="2"/>
      <c r="D143" s="2"/>
      <c r="E143" s="2"/>
      <c r="F143" s="2"/>
      <c r="G143" s="2"/>
      <c r="H143" s="2"/>
      <c r="I143" s="239"/>
      <c r="J143" s="190"/>
      <c r="K143" s="2"/>
      <c r="L143" s="2"/>
      <c r="O143" s="2"/>
      <c r="P143" s="2"/>
      <c r="Q143" s="72"/>
      <c r="R143" s="2"/>
      <c r="S143" s="84"/>
      <c r="T143" s="84"/>
      <c r="U143" s="2"/>
      <c r="V143" s="2"/>
      <c r="W143" s="2"/>
    </row>
    <row r="144" spans="1:34">
      <c r="B144" s="3"/>
      <c r="C144" s="4"/>
      <c r="G144" s="44"/>
    </row>
    <row r="145" spans="2:3">
      <c r="B145" s="3"/>
      <c r="C145" s="4"/>
    </row>
    <row r="146" spans="2:3">
      <c r="B146" s="3"/>
      <c r="C146" s="4"/>
    </row>
    <row r="147" spans="2:3">
      <c r="B147" s="3"/>
      <c r="C147" s="4"/>
    </row>
    <row r="148" spans="2:3">
      <c r="B148" s="3"/>
      <c r="C148" s="4"/>
    </row>
    <row r="149" spans="2:3">
      <c r="B149" s="3"/>
      <c r="C149" s="4"/>
    </row>
    <row r="150" spans="2:3">
      <c r="B150" s="3"/>
      <c r="C150" s="4"/>
    </row>
    <row r="151" spans="2:3">
      <c r="B151" s="3"/>
      <c r="C151" s="4"/>
    </row>
    <row r="152" spans="2:3">
      <c r="B152" s="3"/>
      <c r="C152" s="4"/>
    </row>
    <row r="153" spans="2:3">
      <c r="B153" s="3"/>
      <c r="C153" s="4"/>
    </row>
    <row r="154" spans="2:3">
      <c r="B154" s="3"/>
      <c r="C154" s="4"/>
    </row>
    <row r="155" spans="2:3">
      <c r="B155" s="3"/>
      <c r="C155" s="4"/>
    </row>
    <row r="156" spans="2:3">
      <c r="B156" s="3"/>
      <c r="C156" s="4"/>
    </row>
    <row r="157" spans="2:3">
      <c r="B157" s="3"/>
      <c r="C157" s="4"/>
    </row>
    <row r="158" spans="2:3">
      <c r="B158" s="3"/>
      <c r="C158" s="4"/>
    </row>
    <row r="159" spans="2:3">
      <c r="B159" s="3"/>
      <c r="C159" s="4"/>
    </row>
    <row r="160" spans="2:3">
      <c r="B160" s="3"/>
      <c r="C160" s="4"/>
    </row>
    <row r="161" spans="2:3">
      <c r="B161" s="3"/>
      <c r="C161" s="4"/>
    </row>
    <row r="162" spans="2:3">
      <c r="B162" s="3"/>
      <c r="C162" s="4"/>
    </row>
    <row r="163" spans="2:3">
      <c r="B163" s="3"/>
      <c r="C163" s="4"/>
    </row>
    <row r="164" spans="2:3">
      <c r="B164" s="3"/>
      <c r="C164" s="4"/>
    </row>
    <row r="165" spans="2:3">
      <c r="B165" s="3"/>
      <c r="C165" s="4"/>
    </row>
    <row r="166" spans="2:3">
      <c r="B166" s="3"/>
      <c r="C166" s="4"/>
    </row>
    <row r="167" spans="2:3">
      <c r="B167" s="3"/>
      <c r="C167" s="4"/>
    </row>
    <row r="168" spans="2:3">
      <c r="B168" s="21"/>
      <c r="C168" s="21"/>
    </row>
    <row r="169" spans="2:3">
      <c r="B169" s="21"/>
      <c r="C169" s="21"/>
    </row>
    <row r="170" spans="2:3">
      <c r="B170" s="21"/>
      <c r="C170" s="21"/>
    </row>
  </sheetData>
  <conditionalFormatting sqref="B2">
    <cfRule type="expression" dxfId="2" priority="5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theme="9" tint="0.39997558519241921"/>
  </sheetPr>
  <dimension ref="A1:AI170"/>
  <sheetViews>
    <sheetView topLeftCell="B1" zoomScaleNormal="100" workbookViewId="0">
      <pane xSplit="2" ySplit="3" topLeftCell="D4" activePane="bottomRight" state="frozen"/>
      <selection activeCell="B1" sqref="B1"/>
      <selection pane="topRight" activeCell="D1" sqref="D1"/>
      <selection pane="bottomLeft" activeCell="B4" sqref="B4"/>
      <selection pane="bottomRight" activeCell="B1" sqref="B1"/>
    </sheetView>
  </sheetViews>
  <sheetFormatPr defaultColWidth="9.109375" defaultRowHeight="14.4"/>
  <cols>
    <col min="1" max="1" width="9.5546875" style="239" customWidth="1"/>
    <col min="2" max="2" width="9.109375" style="141"/>
    <col min="3" max="3" width="28.44140625" style="141" bestFit="1" customWidth="1"/>
    <col min="4" max="19" width="12.6640625" style="232" customWidth="1"/>
    <col min="20" max="20" width="13.5546875" style="232" customWidth="1"/>
    <col min="21" max="25" width="12.6640625" style="232" customWidth="1"/>
    <col min="26" max="26" width="15" style="232" bestFit="1" customWidth="1"/>
    <col min="27" max="27" width="8.44140625" style="53" bestFit="1" customWidth="1"/>
    <col min="28" max="28" width="13.5546875" style="232" bestFit="1" customWidth="1"/>
    <col min="29" max="29" width="10.88671875" bestFit="1" customWidth="1"/>
    <col min="30" max="30" width="9.88671875" style="232" bestFit="1" customWidth="1"/>
    <col min="31" max="32" width="9.109375" style="232"/>
    <col min="33" max="33" width="9.88671875" style="232" bestFit="1" customWidth="1"/>
    <col min="34" max="16384" width="9.109375" style="232"/>
  </cols>
  <sheetData>
    <row r="1" spans="1:35" ht="15.6">
      <c r="B1" s="47" t="s">
        <v>214</v>
      </c>
      <c r="C1" s="48"/>
    </row>
    <row r="2" spans="1:35">
      <c r="A2" s="49" t="s">
        <v>0</v>
      </c>
      <c r="B2" s="50"/>
      <c r="C2" s="48"/>
      <c r="D2" s="233" t="s">
        <v>149</v>
      </c>
      <c r="O2" s="233" t="s">
        <v>150</v>
      </c>
    </row>
    <row r="3" spans="1:35" s="57" customFormat="1">
      <c r="A3" s="55" t="s">
        <v>1</v>
      </c>
      <c r="B3" s="56" t="s">
        <v>2</v>
      </c>
      <c r="C3" s="51" t="s">
        <v>3</v>
      </c>
      <c r="D3" s="197" t="s">
        <v>159</v>
      </c>
      <c r="E3" s="197" t="s">
        <v>258</v>
      </c>
      <c r="F3" s="197" t="s">
        <v>208</v>
      </c>
      <c r="G3" s="197" t="s">
        <v>203</v>
      </c>
      <c r="H3" s="198" t="s">
        <v>239</v>
      </c>
      <c r="I3" s="197" t="s">
        <v>265</v>
      </c>
      <c r="J3" s="198" t="s">
        <v>259</v>
      </c>
      <c r="K3" s="197" t="s">
        <v>215</v>
      </c>
      <c r="L3" s="197" t="s">
        <v>179</v>
      </c>
      <c r="M3" s="197" t="s">
        <v>216</v>
      </c>
      <c r="N3" s="197" t="s">
        <v>221</v>
      </c>
      <c r="O3" s="202" t="s">
        <v>159</v>
      </c>
      <c r="P3" s="202" t="s">
        <v>258</v>
      </c>
      <c r="Q3" s="203" t="s">
        <v>208</v>
      </c>
      <c r="R3" s="203" t="s">
        <v>203</v>
      </c>
      <c r="S3" s="202" t="s">
        <v>239</v>
      </c>
      <c r="T3" s="203" t="s">
        <v>265</v>
      </c>
      <c r="U3" s="202" t="s">
        <v>259</v>
      </c>
      <c r="V3" s="203" t="s">
        <v>215</v>
      </c>
      <c r="W3" s="202" t="s">
        <v>179</v>
      </c>
      <c r="X3" s="203" t="s">
        <v>216</v>
      </c>
      <c r="Y3" s="203" t="s">
        <v>221</v>
      </c>
      <c r="Z3" s="205" t="s">
        <v>222</v>
      </c>
      <c r="AA3" s="206" t="s">
        <v>224</v>
      </c>
      <c r="AB3" s="232"/>
      <c r="AC3"/>
      <c r="AD3" s="232"/>
      <c r="AE3" s="232"/>
      <c r="AF3" s="232"/>
      <c r="AG3" s="232"/>
      <c r="AH3" s="232"/>
      <c r="AI3" s="232"/>
    </row>
    <row r="4" spans="1:35">
      <c r="B4" s="123">
        <v>10005</v>
      </c>
      <c r="C4" s="124" t="s">
        <v>7</v>
      </c>
      <c r="D4" s="199">
        <f>IF(Init!$R$9="Yes",'Staging Table'!F6,'Staging Table'!BS6)*Rates_previous!$E$76*100*12</f>
        <v>186092.62213285826</v>
      </c>
      <c r="E4" s="199">
        <f>IF(Init!$R$9="Yes",'Staging Table'!F6,'Staging Table'!BS6)*Rates_previous!$E$77*100*12</f>
        <v>-30724.338442292861</v>
      </c>
      <c r="F4" s="200">
        <f>IF(Init!$R$9="Yes",SUMPRODUCT('Staging Table'!L6:AI6,LS_Demand_Rates_Restatement!$C$4:$Z$4)-IF(Init!$R$12="No",('Staging Table'!BH6*Rates_previous!$H$34), 0),SUMPRODUCT('Staging Table'!BY6:CV6,LS_Demand_Rates_Restatement!$C$4:$Z$4)-IF(Init!$R$12="No", 'Staging Table'!DU6*Rates_previous!$H$34, 0))</f>
        <v>4107.9229739180228</v>
      </c>
      <c r="G4" s="200">
        <f>IF(Init!$R$9="Yes",SUMPRODUCT('Staging Table'!AJ6:AU6,LS_Demand_Rates_Restatement!$C$10:$N$10),SUMPRODUCT(LS_Demand_Rates_Restatement!$C$10:$N$10,'Staging Table'!CW6:DH6))*1000</f>
        <v>11802.05841203704</v>
      </c>
      <c r="H4" s="201">
        <f>IF(Init!$R$9="Yes",'Staging Table'!BQ6,'Staging Table'!ED6)*IF(Init!$R$3=2022,Rates_previous!$C$88,Rates_previous!$D$88)</f>
        <v>0</v>
      </c>
      <c r="I4" s="199">
        <v>0</v>
      </c>
      <c r="J4" s="201">
        <f>IF(Init!$R$9="Yes",IF('Staging Table'!D6=1,'Staging Table'!H6*-1*'Staging Table'!BS6/'Staging Table'!BR6,'Staging Table'!H6*SUM(D4:I4)*(-1)),IF('Staging Table'!D6=1,'Staging Table'!BU6*-1*'Staging Table'!BS6/'Staging Table'!BR6,'Staging Table'!BU6*SUM(D4:I4)*(-1)))</f>
        <v>-4079.8482741227181</v>
      </c>
      <c r="K4" s="199">
        <f>IF(Init!$R$9="Yes",'Staging Table'!K6,'Staging Table'!BX6)*(-1)*Rates_previous!$H$32</f>
        <v>0</v>
      </c>
      <c r="L4" s="199">
        <f>IF('Staging Table'!C6=1,"",SUM(D4:K4))</f>
        <v>167198.41680239775</v>
      </c>
      <c r="M4" s="199">
        <f>IF('Staging Table'!C6=1,"",IF(Init!$R$9="Yes",(RT1SC!$C$3*'Staging Table'!F6*'Staging Table'!$F$2)+SUM('Staging Table'!L6:AI6)-IF(Init!$R$12="No",'Staging Table'!BH6, 0),X4))</f>
        <v>4581.4800000000005</v>
      </c>
      <c r="N4" s="83">
        <f>IF('Staging Table'!C6=1,"",IF(M4=0, 0, L4/M4))</f>
        <v>36.494411588045288</v>
      </c>
      <c r="O4" s="199">
        <f>'Staging Table'!BS6*Rates_current!$E$76*100*12</f>
        <v>193312.09151999999</v>
      </c>
      <c r="P4" s="199">
        <f>'Staging Table'!BS6*Rates_current!$E$77*100*12</f>
        <v>-33972.317760000005</v>
      </c>
      <c r="Q4" s="200">
        <f>SUMPRODUCT('Staging Table'!BY6:CV6, LS_Demand_Rates_Restatement!$C$5:$Z$5)-IF(Init!$R$12="No",('Staging Table'!DU6*Rates_current!$H$34), 0)</f>
        <v>3931.5674596373428</v>
      </c>
      <c r="R4" s="200">
        <f>SUMPRODUCT('Staging Table'!CW6:DH6, LS_Demand_Rates_Restatement!$C$11:$N$11)*1000</f>
        <v>11948.385077831197</v>
      </c>
      <c r="S4" s="201">
        <f>'Staging Table'!ED6*IF(Init!$R$15="Yes",IF(Init!$R$6=2024,Rates_current!$C$88,Rates_current!$D$88),Rates_current!$H$33)</f>
        <v>0</v>
      </c>
      <c r="T4" s="201">
        <v>0</v>
      </c>
      <c r="U4" s="201">
        <f>IF('Staging Table'!D6=1, 'Staging Table'!BU6*-1*'Staging Table'!BS6/'Staging Table'!BR6,SUM(O4:T4)*'Staging Table'!BU6*-1)</f>
        <v>-3261.3890661207638</v>
      </c>
      <c r="V4" s="199">
        <f>'Staging Table'!BX6*Rates_current!$H$32*-1</f>
        <v>0</v>
      </c>
      <c r="W4" s="199">
        <f>IF('Staging Table'!C6=1,"", SUM(O4:V4))</f>
        <v>171958.33723134774</v>
      </c>
      <c r="X4" s="199">
        <f>IF('Staging Table'!C6=1,"", (RT1SC!$C$4*'Staging Table'!BS6*'Staging Table'!$BS$2)+SUM('Staging Table'!BY6:CV6)-IF(Init!$R$12="No",'Staging Table'!DU6, 0))</f>
        <v>4813.6320000000005</v>
      </c>
      <c r="Y4" s="83">
        <f>IF('Staging Table'!C6=1,"",IF(X4=0, 0, W4/X4))</f>
        <v>35.72319970270842</v>
      </c>
      <c r="Z4" s="76">
        <f ca="1">IF('Staging Table'!C6=1,"",(Y4/N4-1)+(RAND()/100000000000000))</f>
        <v>-2.113232826007316E-2</v>
      </c>
      <c r="AA4" s="53">
        <f t="shared" ref="AA4:AA67" ca="1" si="0">IF(Z4="","",RANK(Z4,$Z$4:$Z$138))</f>
        <v>106</v>
      </c>
      <c r="AC4" s="405"/>
      <c r="AD4" s="204"/>
      <c r="AE4" s="204"/>
      <c r="AG4" s="204"/>
      <c r="AH4" s="204"/>
    </row>
    <row r="5" spans="1:35">
      <c r="B5" s="123">
        <v>10015</v>
      </c>
      <c r="C5" s="124" t="s">
        <v>8</v>
      </c>
      <c r="D5" s="199">
        <f>IF(Init!$R$9="Yes",'Staging Table'!F7,'Staging Table'!BS7)*Rates_previous!$E$76*100*12</f>
        <v>194725.78501531042</v>
      </c>
      <c r="E5" s="199">
        <f>IF(Init!$R$9="Yes",'Staging Table'!F7,'Staging Table'!BS7)*Rates_previous!$E$77*100*12</f>
        <v>-32149.694349409532</v>
      </c>
      <c r="F5" s="200">
        <f>IF(Init!$R$9="Yes",SUMPRODUCT('Staging Table'!L7:AI7,LS_Demand_Rates_Restatement!$C$4:$Z$4)-IF(Init!$R$12="No",('Staging Table'!BH7*Rates_previous!$H$34), 0),SUMPRODUCT('Staging Table'!BY7:CV7,LS_Demand_Rates_Restatement!$C$4:$Z$4)-IF(Init!$R$12="No", 'Staging Table'!DU7*Rates_previous!$H$34, 0))</f>
        <v>-7996.3485901835847</v>
      </c>
      <c r="G5" s="200">
        <f>IF(Init!$R$9="Yes",SUMPRODUCT('Staging Table'!AJ7:AU7,LS_Demand_Rates_Restatement!$C$10:$N$10),SUMPRODUCT(LS_Demand_Rates_Restatement!$C$10:$N$10,'Staging Table'!CW7:DH7))*1000</f>
        <v>29805.445854335823</v>
      </c>
      <c r="H5" s="201">
        <f>IF(Init!$R$9="Yes",'Staging Table'!BQ7,'Staging Table'!ED7)*IF(Init!$R$3=2022,Rates_previous!$C$88,Rates_previous!$D$88)</f>
        <v>0</v>
      </c>
      <c r="I5" s="199">
        <v>0</v>
      </c>
      <c r="J5" s="201">
        <f>IF(Init!$R$9="Yes",IF('Staging Table'!D7=1,'Staging Table'!H7*-1*'Staging Table'!BS7/'Staging Table'!BR7,'Staging Table'!H7*SUM(D5:I5)*(-1)),IF('Staging Table'!D7=1,'Staging Table'!BU7*-1*'Staging Table'!BS7/'Staging Table'!BR7,'Staging Table'!BU7*SUM(D5:I5)*(-1)))</f>
        <v>0</v>
      </c>
      <c r="K5" s="199">
        <f>IF(Init!$R$9="Yes",'Staging Table'!K7,'Staging Table'!BX7)*(-1)*Rates_previous!$H$32</f>
        <v>0</v>
      </c>
      <c r="L5" s="199">
        <f>IF('Staging Table'!C7=1,"",SUM(D5:K5))</f>
        <v>184385.18793005313</v>
      </c>
      <c r="M5" s="199">
        <f>IF('Staging Table'!C7=1,"",IF(Init!$R$9="Yes",(RT1SC!$C$3*'Staging Table'!F7*'Staging Table'!$F$2)+SUM('Staging Table'!L7:AI7)-IF(Init!$R$12="No",'Staging Table'!BH7, 0),X5))</f>
        <v>4791.72</v>
      </c>
      <c r="N5" s="297">
        <f>IF('Staging Table'!C7=1,"",IF(M5=0, 0, L5/M5))</f>
        <v>38.479958747600676</v>
      </c>
      <c r="O5" s="199">
        <f>'Staging Table'!BS7*Rates_current!$E$76*100*12</f>
        <v>202031.06472000002</v>
      </c>
      <c r="P5" s="199">
        <f>'Staging Table'!BS7*Rates_current!$E$77*100*12</f>
        <v>-35504.574359999999</v>
      </c>
      <c r="Q5" s="200">
        <f>SUMPRODUCT('Staging Table'!BY7:CV7, LS_Demand_Rates_Restatement!$C$5:$Z$5)-IF(Init!$R$12="No",('Staging Table'!DU7*Rates_current!$H$34), 0)</f>
        <v>2322.7725069005364</v>
      </c>
      <c r="R5" s="200">
        <f>SUMPRODUCT('Staging Table'!CW7:DH7, LS_Demand_Rates_Restatement!$C$11:$N$11)*1000</f>
        <v>30078.719940598286</v>
      </c>
      <c r="S5" s="201">
        <f>'Staging Table'!ED7*IF(Init!$R$15="Yes",IF(Init!$R$6=2024,Rates_current!$C$88,Rates_current!$D$88),Rates_current!$H$33)</f>
        <v>0</v>
      </c>
      <c r="T5" s="201">
        <v>0</v>
      </c>
      <c r="U5" s="201">
        <f>IF('Staging Table'!D7=1, 'Staging Table'!BU7*-1*'Staging Table'!BS7/'Staging Table'!BR7,SUM(O5:T5)*'Staging Table'!BU7*-1)</f>
        <v>0</v>
      </c>
      <c r="V5" s="199">
        <f>'Staging Table'!BX7*Rates_current!$H$32*-1</f>
        <v>0</v>
      </c>
      <c r="W5" s="199">
        <f>IF('Staging Table'!C7=1,"", SUM(O5:V5))</f>
        <v>198927.98280749886</v>
      </c>
      <c r="X5" s="199">
        <f>IF('Staging Table'!C7=1,"", (RT1SC!$C$4*'Staging Table'!BS7*'Staging Table'!$BS$2)+SUM('Staging Table'!BY7:CV7)-IF(Init!$R$12="No",'Staging Table'!DU7, 0))</f>
        <v>5033.232</v>
      </c>
      <c r="Y5" s="297">
        <f>IF('Staging Table'!C7=1,"",IF(X5=0, 0, W5/X5))</f>
        <v>39.522911482621673</v>
      </c>
      <c r="Z5" s="76">
        <f ca="1">IF('Staging Table'!C7=1,"",(Y5/N5-1)+(RAND()/100000000000000))</f>
        <v>2.7103790361687339E-2</v>
      </c>
      <c r="AA5" s="53">
        <f t="shared" ca="1" si="0"/>
        <v>9</v>
      </c>
      <c r="AC5" s="405"/>
      <c r="AD5" s="204"/>
      <c r="AE5" s="204"/>
      <c r="AG5" s="204"/>
      <c r="AH5" s="204"/>
    </row>
    <row r="6" spans="1:35">
      <c r="B6" s="123">
        <v>10024</v>
      </c>
      <c r="C6" s="124" t="s">
        <v>9</v>
      </c>
      <c r="D6" s="199">
        <f>IF(Init!$R$9="Yes",'Staging Table'!F8,'Staging Table'!BS8)*Rates_previous!$E$76*100*12</f>
        <v>68351148.641174644</v>
      </c>
      <c r="E6" s="199">
        <f>IF(Init!$R$9="Yes",'Staging Table'!F8,'Staging Table'!BS8)*Rates_previous!$E$77*100*12</f>
        <v>-11284938.64883917</v>
      </c>
      <c r="F6" s="200">
        <f>IF(Init!$R$9="Yes",SUMPRODUCT('Staging Table'!L8:AI8,LS_Demand_Rates_Restatement!$C$4:$Z$4)-IF(Init!$R$12="No",('Staging Table'!BH8*Rates_previous!$H$34), 0),SUMPRODUCT('Staging Table'!BY8:CV8,LS_Demand_Rates_Restatement!$C$4:$Z$4)-IF(Init!$R$12="No", 'Staging Table'!DU8*Rates_previous!$H$34, 0))</f>
        <v>-1323634.0078960115</v>
      </c>
      <c r="G6" s="200">
        <f>IF(Init!$R$9="Yes",SUMPRODUCT('Staging Table'!AJ8:AU8,LS_Demand_Rates_Restatement!$C$10:$N$10),SUMPRODUCT(LS_Demand_Rates_Restatement!$C$10:$N$10,'Staging Table'!CW8:DH8))*1000</f>
        <v>3379270.3141434025</v>
      </c>
      <c r="H6" s="201">
        <f>IF(Init!$R$9="Yes",'Staging Table'!BQ8,'Staging Table'!ED8)*IF(Init!$R$3=2022,Rates_previous!$C$88,Rates_previous!$D$88)</f>
        <v>0</v>
      </c>
      <c r="I6" s="199">
        <v>0</v>
      </c>
      <c r="J6" s="201">
        <f>IF(Init!$R$9="Yes",IF('Staging Table'!D8=1,'Staging Table'!H8*-1*'Staging Table'!BS8/'Staging Table'!BR8,'Staging Table'!H8*SUM(D6:I6)*(-1)),IF('Staging Table'!D8=1,'Staging Table'!BU8*-1*'Staging Table'!BS8/'Staging Table'!BR8,'Staging Table'!BU8*SUM(D6:I6)*(-1)))</f>
        <v>0</v>
      </c>
      <c r="K6" s="199">
        <f>IF(Init!$R$9="Yes",'Staging Table'!K8,'Staging Table'!BX8)*(-1)*Rates_previous!$H$32</f>
        <v>-3403407.2800000003</v>
      </c>
      <c r="L6" s="199">
        <f>IF('Staging Table'!C8=1,"",SUM(D6:K6))</f>
        <v>55718439.018582866</v>
      </c>
      <c r="M6" s="199">
        <f>IF('Staging Table'!C8=1,"",IF(Init!$R$9="Yes",(RT1SC!$C$3*'Staging Table'!F8*'Staging Table'!$F$2)+SUM('Staging Table'!L8:AI8)-IF(Init!$R$12="No",'Staging Table'!BH8, 0),X6))</f>
        <v>1652559.5450379523</v>
      </c>
      <c r="N6" s="297">
        <f>IF('Staging Table'!C8=1,"",IF(M6=0, 0, L6/M6))</f>
        <v>33.716448636229472</v>
      </c>
      <c r="O6" s="199">
        <f>'Staging Table'!BS8*Rates_current!$E$76*100*12</f>
        <v>70862333.67216</v>
      </c>
      <c r="P6" s="199">
        <f>'Staging Table'!BS8*Rates_current!$E$77*100*12</f>
        <v>-12453218.512080001</v>
      </c>
      <c r="Q6" s="200">
        <f>SUMPRODUCT('Staging Table'!BY8:CV8, LS_Demand_Rates_Restatement!$C$5:$Z$5)-IF(Init!$R$12="No",('Staging Table'!DU8*Rates_current!$H$34), 0)</f>
        <v>-1019138.4433696726</v>
      </c>
      <c r="R6" s="200">
        <f>SUMPRODUCT('Staging Table'!CW8:DH8, LS_Demand_Rates_Restatement!$C$11:$N$11)*1000</f>
        <v>3389052.1608673879</v>
      </c>
      <c r="S6" s="201">
        <f>'Staging Table'!ED8*IF(Init!$R$15="Yes",IF(Init!$R$6=2024,Rates_current!$C$88,Rates_current!$D$88),Rates_current!$H$33)</f>
        <v>0</v>
      </c>
      <c r="T6" s="201">
        <v>0</v>
      </c>
      <c r="U6" s="201">
        <f>IF('Staging Table'!D8=1, 'Staging Table'!BU8*-1*'Staging Table'!BS8/'Staging Table'!BR8,SUM(O6:T6)*'Staging Table'!BU8*-1)</f>
        <v>0</v>
      </c>
      <c r="V6" s="199">
        <f>'Staging Table'!BX8*Rates_current!$H$32*-1</f>
        <v>-3612607.5440000002</v>
      </c>
      <c r="W6" s="199">
        <f>IF('Staging Table'!C8=1,"", SUM(O6:V6))</f>
        <v>57166421.333577715</v>
      </c>
      <c r="X6" s="199">
        <f>IF('Staging Table'!C8=1,"", (RT1SC!$C$4*'Staging Table'!BS8*'Staging Table'!$BS$2)+SUM('Staging Table'!BY8:CV8)-IF(Init!$R$12="No",'Staging Table'!DU8, 0))</f>
        <v>1711907.8910899854</v>
      </c>
      <c r="Y6" s="297">
        <f>IF('Staging Table'!C8=1,"",IF(X6=0, 0, W6/X6))</f>
        <v>33.393397875617829</v>
      </c>
      <c r="Z6" s="76">
        <f ca="1">IF('Staging Table'!C8=1,"",(Y6/N6-1)+(RAND()/100000000000000))</f>
        <v>-9.5813993963878505E-3</v>
      </c>
      <c r="AA6" s="53">
        <f t="shared" ca="1" si="0"/>
        <v>66</v>
      </c>
      <c r="AC6" s="405"/>
      <c r="AD6" s="204"/>
      <c r="AE6" s="204"/>
      <c r="AG6" s="204"/>
      <c r="AH6" s="204"/>
    </row>
    <row r="7" spans="1:35">
      <c r="B7" s="123">
        <v>10025</v>
      </c>
      <c r="C7" s="124" t="s">
        <v>10</v>
      </c>
      <c r="D7" s="199">
        <f>IF(Init!$R$9="Yes",'Staging Table'!F9,'Staging Table'!BS9)*Rates_previous!$E$76*100*12</f>
        <v>20259155.564154468</v>
      </c>
      <c r="E7" s="199">
        <f>IF(Init!$R$9="Yes",'Staging Table'!F9,'Staging Table'!BS9)*Rates_previous!$E$77*100*12</f>
        <v>-3344835.1953671398</v>
      </c>
      <c r="F7" s="200">
        <f>IF(Init!$R$9="Yes",SUMPRODUCT('Staging Table'!L9:AI9,LS_Demand_Rates_Restatement!$C$4:$Z$4)-IF(Init!$R$12="No",('Staging Table'!BH9*Rates_previous!$H$34), 0),SUMPRODUCT('Staging Table'!BY9:CV9,LS_Demand_Rates_Restatement!$C$4:$Z$4)-IF(Init!$R$12="No", 'Staging Table'!DU9*Rates_previous!$H$34, 0))</f>
        <v>-670350.10222459876</v>
      </c>
      <c r="G7" s="200">
        <f>IF(Init!$R$9="Yes",SUMPRODUCT('Staging Table'!AJ9:AU9,LS_Demand_Rates_Restatement!$C$10:$N$10),SUMPRODUCT(LS_Demand_Rates_Restatement!$C$10:$N$10,'Staging Table'!CW9:DH9))*1000</f>
        <v>875127.49292962975</v>
      </c>
      <c r="H7" s="201">
        <f>IF(Init!$R$9="Yes",'Staging Table'!BQ9,'Staging Table'!ED9)*IF(Init!$R$3=2022,Rates_previous!$C$88,Rates_previous!$D$88)</f>
        <v>0</v>
      </c>
      <c r="I7" s="199">
        <v>0</v>
      </c>
      <c r="J7" s="201">
        <f>IF(Init!$R$9="Yes",IF('Staging Table'!D9=1,'Staging Table'!H9*-1*'Staging Table'!BS9/'Staging Table'!BR9,'Staging Table'!H9*SUM(D7:I7)*(-1)),IF('Staging Table'!D9=1,'Staging Table'!BU9*-1*'Staging Table'!BS9/'Staging Table'!BR9,'Staging Table'!BU9*SUM(D7:I7)*(-1)))</f>
        <v>-1102983.4686440928</v>
      </c>
      <c r="K7" s="199">
        <f>IF(Init!$R$9="Yes",'Staging Table'!K9,'Staging Table'!BX9)*(-1)*Rates_previous!$H$32</f>
        <v>-903619.34130000009</v>
      </c>
      <c r="L7" s="199">
        <f>IF('Staging Table'!C9=1,"",SUM(D7:K7))</f>
        <v>15112494.949548267</v>
      </c>
      <c r="M7" s="199">
        <f>IF('Staging Table'!C9=1,"",IF(Init!$R$9="Yes",(RT1SC!$C$3*'Staging Table'!F9*'Staging Table'!$F$2)+SUM('Staging Table'!L9:AI9)-IF(Init!$R$12="No",'Staging Table'!BH9, 0),X7))</f>
        <v>479550.30850149185</v>
      </c>
      <c r="N7" s="297">
        <f>IF('Staging Table'!C9=1,"",IF(M7=0, 0, L7/M7))</f>
        <v>31.513888494352315</v>
      </c>
      <c r="O7" s="199">
        <f>'Staging Table'!BS9*Rates_current!$E$76*100*12</f>
        <v>21040875.23976</v>
      </c>
      <c r="P7" s="199">
        <f>'Staging Table'!BS9*Rates_current!$E$77*100*12</f>
        <v>-3697685.4058800004</v>
      </c>
      <c r="Q7" s="200">
        <f>SUMPRODUCT('Staging Table'!BY9:CV9, LS_Demand_Rates_Restatement!$C$5:$Z$5)-IF(Init!$R$12="No",('Staging Table'!DU9*Rates_current!$H$34), 0)</f>
        <v>193389.8999841226</v>
      </c>
      <c r="R7" s="200">
        <f>SUMPRODUCT('Staging Table'!CW9:DH9, LS_Demand_Rates_Restatement!$C$11:$N$11)*1000</f>
        <v>960566.94925870735</v>
      </c>
      <c r="S7" s="201">
        <f>'Staging Table'!ED9*IF(Init!$R$15="Yes",IF(Init!$R$6=2024,Rates_current!$C$88,Rates_current!$D$88),Rates_current!$H$33)</f>
        <v>0</v>
      </c>
      <c r="T7" s="201">
        <v>0</v>
      </c>
      <c r="U7" s="201">
        <f>IF('Staging Table'!D9=1, 'Staging Table'!BU9*-1*'Staging Table'!BS9/'Staging Table'!BR9,SUM(O7:T7)*'Staging Table'!BU9*-1)</f>
        <v>-1105419.9200836672</v>
      </c>
      <c r="V7" s="199">
        <f>'Staging Table'!BX9*Rates_current!$H$32*-1</f>
        <v>-959162.91549000004</v>
      </c>
      <c r="W7" s="199">
        <f>IF('Staging Table'!C9=1,"", SUM(O7:V7))</f>
        <v>16432563.847549161</v>
      </c>
      <c r="X7" s="199">
        <f>IF('Staging Table'!C9=1,"", (RT1SC!$C$4*'Staging Table'!BS9*'Staging Table'!$BS$2)+SUM('Staging Table'!BY9:CV9)-IF(Init!$R$12="No",'Staging Table'!DU9, 0))</f>
        <v>519652.24540212768</v>
      </c>
      <c r="Y7" s="297">
        <f>IF('Staging Table'!C9=1,"",IF(X7=0, 0, W7/X7))</f>
        <v>31.622231969445231</v>
      </c>
      <c r="Z7" s="76">
        <f ca="1">IF('Staging Table'!C9=1,"",(Y7/N7-1)+(RAND()/100000000000000))</f>
        <v>3.4379595876436642E-3</v>
      </c>
      <c r="AA7" s="53">
        <f t="shared" ca="1" si="0"/>
        <v>24</v>
      </c>
      <c r="AC7" s="405"/>
      <c r="AD7" s="204"/>
      <c r="AE7" s="204"/>
      <c r="AG7" s="204"/>
      <c r="AH7" s="204"/>
    </row>
    <row r="8" spans="1:35">
      <c r="B8" s="123">
        <v>10027</v>
      </c>
      <c r="C8" s="124" t="s">
        <v>11</v>
      </c>
      <c r="D8" s="199">
        <f>IF(Init!$R$9="Yes",'Staging Table'!F10,'Staging Table'!BS10)*Rates_previous!$E$76*100*12</f>
        <v>20780502.678222552</v>
      </c>
      <c r="E8" s="199">
        <f>IF(Init!$R$9="Yes",'Staging Table'!F10,'Staging Table'!BS10)*Rates_previous!$E$77*100*12</f>
        <v>-3430910.8548691305</v>
      </c>
      <c r="F8" s="200">
        <f>IF(Init!$R$9="Yes",SUMPRODUCT('Staging Table'!L10:AI10,LS_Demand_Rates_Restatement!$C$4:$Z$4)-IF(Init!$R$12="No",('Staging Table'!BH10*Rates_previous!$H$34), 0),SUMPRODUCT('Staging Table'!BY10:CV10,LS_Demand_Rates_Restatement!$C$4:$Z$4)-IF(Init!$R$12="No", 'Staging Table'!DU10*Rates_previous!$H$34, 0))</f>
        <v>-846901.66200050223</v>
      </c>
      <c r="G8" s="200">
        <f>IF(Init!$R$9="Yes",SUMPRODUCT('Staging Table'!AJ10:AU10,LS_Demand_Rates_Restatement!$C$10:$N$10),SUMPRODUCT(LS_Demand_Rates_Restatement!$C$10:$N$10,'Staging Table'!CW10:DH10))*1000</f>
        <v>1251505.6317212158</v>
      </c>
      <c r="H8" s="201">
        <f>IF(Init!$R$9="Yes",'Staging Table'!BQ10,'Staging Table'!ED10)*IF(Init!$R$3=2022,Rates_previous!$C$88,Rates_previous!$D$88)</f>
        <v>0</v>
      </c>
      <c r="I8" s="199">
        <v>0</v>
      </c>
      <c r="J8" s="201">
        <f>IF(Init!$R$9="Yes",IF('Staging Table'!D10=1,'Staging Table'!H10*-1*'Staging Table'!BS10/'Staging Table'!BR10,'Staging Table'!H10*SUM(D8:I8)*(-1)),IF('Staging Table'!D10=1,'Staging Table'!BU10*-1*'Staging Table'!BS10/'Staging Table'!BR10,'Staging Table'!BU10*SUM(D8:I8)*(-1)))</f>
        <v>-1410925.9396756014</v>
      </c>
      <c r="K8" s="199">
        <f>IF(Init!$R$9="Yes",'Staging Table'!K10,'Staging Table'!BX10)*(-1)*Rates_previous!$H$32</f>
        <v>-2285397.986</v>
      </c>
      <c r="L8" s="199">
        <f>IF('Staging Table'!C10=1,"",SUM(D8:K8))</f>
        <v>14057871.867398534</v>
      </c>
      <c r="M8" s="199">
        <f>IF('Staging Table'!C10=1,"",IF(Init!$R$9="Yes",(RT1SC!$C$3*'Staging Table'!F10*'Staging Table'!$F$2)+SUM('Staging Table'!L10:AI10)-IF(Init!$R$12="No",'Staging Table'!BH10, 0),X8))</f>
        <v>511347.48</v>
      </c>
      <c r="N8" s="297">
        <f>IF('Staging Table'!C10=1,"",IF(M8=0, 0, L8/M8))</f>
        <v>27.491818024405898</v>
      </c>
      <c r="O8" s="199">
        <f>'Staging Table'!BS10*Rates_current!$E$76*100*12</f>
        <v>21582198.918720003</v>
      </c>
      <c r="P8" s="199">
        <f>'Staging Table'!BS10*Rates_current!$E$77*100*12</f>
        <v>-3792816.6513600005</v>
      </c>
      <c r="Q8" s="200">
        <f>SUMPRODUCT('Staging Table'!BY10:CV10, LS_Demand_Rates_Restatement!$C$5:$Z$5)-IF(Init!$R$12="No",('Staging Table'!DU10*Rates_current!$H$34), 0)</f>
        <v>-382746.72654391848</v>
      </c>
      <c r="R8" s="200">
        <f>SUMPRODUCT('Staging Table'!CW10:DH10, LS_Demand_Rates_Restatement!$C$11:$N$11)*1000</f>
        <v>1294239.7322166399</v>
      </c>
      <c r="S8" s="201">
        <f>'Staging Table'!ED10*IF(Init!$R$15="Yes",IF(Init!$R$6=2024,Rates_current!$C$88,Rates_current!$D$88),Rates_current!$H$33)</f>
        <v>0</v>
      </c>
      <c r="T8" s="201">
        <v>0</v>
      </c>
      <c r="U8" s="201">
        <f>IF('Staging Table'!D10=1, 'Staging Table'!BU10*-1*'Staging Table'!BS10/'Staging Table'!BR10,SUM(O8:T8)*'Staging Table'!BU10*-1)</f>
        <v>-1450184.2091445453</v>
      </c>
      <c r="V8" s="199">
        <f>'Staging Table'!BX10*Rates_current!$H$32*-1</f>
        <v>-2425876.5778000001</v>
      </c>
      <c r="W8" s="199">
        <f>IF('Staging Table'!C10=1,"", SUM(O8:V8))</f>
        <v>14824814.486088181</v>
      </c>
      <c r="X8" s="199">
        <f>IF('Staging Table'!C10=1,"", (RT1SC!$C$4*'Staging Table'!BS10*'Staging Table'!$BS$2)+SUM('Staging Table'!BY10:CV10)-IF(Init!$R$12="No",'Staging Table'!DU10, 0))</f>
        <v>537528.09600000002</v>
      </c>
      <c r="Y8" s="297">
        <f>IF('Staging Table'!C10=1,"",IF(X8=0, 0, W8/X8))</f>
        <v>27.5796085756384</v>
      </c>
      <c r="Z8" s="76">
        <f ca="1">IF('Staging Table'!C10=1,"",(Y8/N8-1)+(RAND()/100000000000000))</f>
        <v>3.1933337822398675E-3</v>
      </c>
      <c r="AA8" s="53">
        <f t="shared" ca="1" si="0"/>
        <v>26</v>
      </c>
      <c r="AC8" s="405"/>
      <c r="AD8" s="204"/>
      <c r="AE8" s="204"/>
      <c r="AG8" s="204"/>
      <c r="AH8" s="204"/>
    </row>
    <row r="9" spans="1:35">
      <c r="B9" s="123">
        <v>10029</v>
      </c>
      <c r="C9" s="124" t="s">
        <v>12</v>
      </c>
      <c r="D9" s="199">
        <f>IF(Init!$R$9="Yes",'Staging Table'!F11,'Staging Table'!BS11)*Rates_previous!$E$76*100*12</f>
        <v>5982062.4472991619</v>
      </c>
      <c r="E9" s="199">
        <f>IF(Init!$R$9="Yes",'Staging Table'!F11,'Staging Table'!BS11)*Rates_previous!$E$77*100*12</f>
        <v>-987652.8639729321</v>
      </c>
      <c r="F9" s="200">
        <f>IF(Init!$R$9="Yes",SUMPRODUCT('Staging Table'!L11:AI11,LS_Demand_Rates_Restatement!$C$4:$Z$4)-IF(Init!$R$12="No",('Staging Table'!BH11*Rates_previous!$H$34), 0),SUMPRODUCT('Staging Table'!BY11:CV11,LS_Demand_Rates_Restatement!$C$4:$Z$4)-IF(Init!$R$12="No", 'Staging Table'!DU11*Rates_previous!$H$34, 0))</f>
        <v>0</v>
      </c>
      <c r="G9" s="200">
        <f>IF(Init!$R$9="Yes",SUMPRODUCT('Staging Table'!AJ11:AU11,LS_Demand_Rates_Restatement!$C$10:$N$10),SUMPRODUCT(LS_Demand_Rates_Restatement!$C$10:$N$10,'Staging Table'!CW11:DH11))*1000</f>
        <v>0</v>
      </c>
      <c r="H9" s="201">
        <f>IF(Init!$R$9="Yes",'Staging Table'!BQ11,'Staging Table'!ED11)*IF(Init!$R$3=2022,Rates_previous!$C$88,Rates_previous!$D$88)</f>
        <v>0</v>
      </c>
      <c r="I9" s="199">
        <v>0</v>
      </c>
      <c r="J9" s="201">
        <f>IF(Init!$R$9="Yes",IF('Staging Table'!D11=1,'Staging Table'!H11*-1*'Staging Table'!BS11/'Staging Table'!BR11,'Staging Table'!H11*SUM(D9:I9)*(-1)),IF('Staging Table'!D11=1,'Staging Table'!BU11*-1*'Staging Table'!BS11/'Staging Table'!BR11,'Staging Table'!BU11*SUM(D9:I9)*(-1)))</f>
        <v>-423376.1003785645</v>
      </c>
      <c r="K9" s="199">
        <f>IF(Init!$R$9="Yes",'Staging Table'!K11,'Staging Table'!BX11)*(-1)*Rates_previous!$H$32</f>
        <v>0</v>
      </c>
      <c r="L9" s="199" t="str">
        <f>IF('Staging Table'!C11=1,"",SUM(D9:K9))</f>
        <v/>
      </c>
      <c r="M9" s="199" t="str">
        <f>IF('Staging Table'!C11=1,"",IF(Init!$R$9="Yes",(RT1SC!$C$3*'Staging Table'!F11*'Staging Table'!$F$2)+SUM('Staging Table'!L11:AI11)-IF(Init!$R$12="No",'Staging Table'!BH11, 0),X9))</f>
        <v/>
      </c>
      <c r="N9" s="297" t="str">
        <f>IF('Staging Table'!C11=1,"",IF(M9=0, 0, L9/M9))</f>
        <v/>
      </c>
      <c r="O9" s="199">
        <f>'Staging Table'!BS11*Rates_current!$E$76*100*12</f>
        <v>6212891.1888000006</v>
      </c>
      <c r="P9" s="199">
        <f>'Staging Table'!BS11*Rates_current!$E$77*100*12</f>
        <v>-1091842.2744</v>
      </c>
      <c r="Q9" s="200">
        <f>SUMPRODUCT('Staging Table'!BY11:CV11, LS_Demand_Rates_Restatement!$C$5:$Z$5)-IF(Init!$R$12="No",('Staging Table'!DU11*Rates_current!$H$34), 0)</f>
        <v>0</v>
      </c>
      <c r="R9" s="200">
        <f>SUMPRODUCT('Staging Table'!CW11:DH11, LS_Demand_Rates_Restatement!$C$11:$N$11)*1000</f>
        <v>0</v>
      </c>
      <c r="S9" s="201">
        <f>'Staging Table'!ED11*IF(Init!$R$15="Yes",IF(Init!$R$6=2024,Rates_current!$C$88,Rates_current!$D$88),Rates_current!$H$33)</f>
        <v>0</v>
      </c>
      <c r="T9" s="201">
        <v>0</v>
      </c>
      <c r="U9" s="201">
        <f>IF('Staging Table'!D11=1, 'Staging Table'!BU11*-1*'Staging Table'!BS11/'Staging Table'!BR11,SUM(O9:T9)*'Staging Table'!BU11*-1)</f>
        <v>-409641.76101232087</v>
      </c>
      <c r="V9" s="199">
        <f>'Staging Table'!BX11*Rates_current!$H$32*-1</f>
        <v>0</v>
      </c>
      <c r="W9" s="199" t="str">
        <f>IF('Staging Table'!C11=1,"", SUM(O9:V9))</f>
        <v/>
      </c>
      <c r="X9" s="199" t="str">
        <f>IF('Staging Table'!C11=1,"", (RT1SC!$C$4*'Staging Table'!BS11*'Staging Table'!$BS$2)+SUM('Staging Table'!BY11:CV11)-IF(Init!$R$12="No",'Staging Table'!DU11, 0))</f>
        <v/>
      </c>
      <c r="Y9" s="297" t="str">
        <f>IF('Staging Table'!C11=1,"",IF(X9=0, 0, W9/X9))</f>
        <v/>
      </c>
      <c r="Z9" s="76" t="str">
        <f ca="1">IF('Staging Table'!C11=1,"",(Y9/N9-1)+(RAND()/100000000000000))</f>
        <v/>
      </c>
      <c r="AA9" s="53" t="str">
        <f t="shared" ca="1" si="0"/>
        <v/>
      </c>
      <c r="AC9" s="405"/>
      <c r="AD9" s="204"/>
      <c r="AE9" s="204"/>
      <c r="AG9" s="204"/>
      <c r="AH9" s="204"/>
    </row>
    <row r="10" spans="1:35">
      <c r="B10" s="123">
        <v>10044</v>
      </c>
      <c r="C10" s="124" t="s">
        <v>13</v>
      </c>
      <c r="D10" s="199">
        <f>IF(Init!$R$9="Yes",'Staging Table'!F12,'Staging Table'!BS12)*Rates_previous!$E$76*100*12</f>
        <v>6896698.0926789567</v>
      </c>
      <c r="E10" s="199">
        <f>IF(Init!$R$9="Yes",'Staging Table'!F12,'Staging Table'!BS12)*Rates_previous!$E$77*100*12</f>
        <v>-1138661.4036880156</v>
      </c>
      <c r="F10" s="200">
        <f>IF(Init!$R$9="Yes",SUMPRODUCT('Staging Table'!L12:AI12,LS_Demand_Rates_Restatement!$C$4:$Z$4)-IF(Init!$R$12="No",('Staging Table'!BH12*Rates_previous!$H$34), 0),SUMPRODUCT('Staging Table'!BY12:CV12,LS_Demand_Rates_Restatement!$C$4:$Z$4)-IF(Init!$R$12="No", 'Staging Table'!DU12*Rates_previous!$H$34, 0))</f>
        <v>94471.395084161719</v>
      </c>
      <c r="G10" s="200">
        <f>IF(Init!$R$9="Yes",SUMPRODUCT('Staging Table'!AJ12:AU12,LS_Demand_Rates_Restatement!$C$10:$N$10),SUMPRODUCT(LS_Demand_Rates_Restatement!$C$10:$N$10,'Staging Table'!CW12:DH12))*1000</f>
        <v>281784.84224092786</v>
      </c>
      <c r="H10" s="201">
        <f>IF(Init!$R$9="Yes",'Staging Table'!BQ12,'Staging Table'!ED12)*IF(Init!$R$3=2022,Rates_previous!$C$88,Rates_previous!$D$88)</f>
        <v>0</v>
      </c>
      <c r="I10" s="199">
        <v>0</v>
      </c>
      <c r="J10" s="201">
        <f>IF(Init!$R$9="Yes",IF('Staging Table'!D12=1,'Staging Table'!H12*-1*'Staging Table'!BS12/'Staging Table'!BR12,'Staging Table'!H12*SUM(D10:I10)*(-1)),IF('Staging Table'!D12=1,'Staging Table'!BU12*-1*'Staging Table'!BS12/'Staging Table'!BR12,'Staging Table'!BU12*SUM(D10:I10)*(-1)))</f>
        <v>0</v>
      </c>
      <c r="K10" s="199">
        <f>IF(Init!$R$9="Yes",'Staging Table'!K12,'Staging Table'!BX12)*(-1)*Rates_previous!$H$32</f>
        <v>0</v>
      </c>
      <c r="L10" s="199">
        <f>IF('Staging Table'!C12=1,"",SUM(D10:K10))</f>
        <v>6134292.9263160303</v>
      </c>
      <c r="M10" s="199">
        <f>IF('Staging Table'!C12=1,"",IF(Init!$R$9="Yes",(RT1SC!$C$3*'Staging Table'!F12*'Staging Table'!$F$2)+SUM('Staging Table'!L12:AI12)-IF(Init!$R$12="No",'Staging Table'!BH12, 0),X10))</f>
        <v>169707.48</v>
      </c>
      <c r="N10" s="297">
        <f>IF('Staging Table'!C12=1,"",IF(M10=0, 0, L10/M10))</f>
        <v>36.146273141973644</v>
      </c>
      <c r="O10" s="199">
        <f>'Staging Table'!BS12*Rates_current!$E$76*100*12</f>
        <v>7162761.0405599996</v>
      </c>
      <c r="P10" s="199">
        <f>'Staging Table'!BS12*Rates_current!$E$77*100*12</f>
        <v>-1258770.68628</v>
      </c>
      <c r="Q10" s="200">
        <f>SUMPRODUCT('Staging Table'!BY12:CV12, LS_Demand_Rates_Restatement!$C$5:$Z$5)-IF(Init!$R$12="No",('Staging Table'!DU12*Rates_current!$H$34), 0)</f>
        <v>260238.4022747493</v>
      </c>
      <c r="R10" s="200">
        <f>SUMPRODUCT('Staging Table'!CW12:DH12, LS_Demand_Rates_Restatement!$C$11:$N$11)*1000</f>
        <v>295574.41056952463</v>
      </c>
      <c r="S10" s="201">
        <f>'Staging Table'!ED12*IF(Init!$R$15="Yes",IF(Init!$R$6=2024,Rates_current!$C$88,Rates_current!$D$88),Rates_current!$H$33)</f>
        <v>0</v>
      </c>
      <c r="T10" s="201">
        <v>0</v>
      </c>
      <c r="U10" s="201">
        <f>IF('Staging Table'!D12=1, 'Staging Table'!BU12*-1*'Staging Table'!BS12/'Staging Table'!BR12,SUM(O10:T10)*'Staging Table'!BU12*-1)</f>
        <v>0</v>
      </c>
      <c r="V10" s="199">
        <f>'Staging Table'!BX12*Rates_current!$H$32*-1</f>
        <v>0</v>
      </c>
      <c r="W10" s="199">
        <f>IF('Staging Table'!C12=1,"", SUM(O10:V10))</f>
        <v>6459803.1671242733</v>
      </c>
      <c r="X10" s="199">
        <f>IF('Staging Table'!C12=1,"", (RT1SC!$C$4*'Staging Table'!BS12*'Staging Table'!$BS$2)+SUM('Staging Table'!BY12:CV12)-IF(Init!$R$12="No",'Staging Table'!DU12, 0))</f>
        <v>178392.2208177353</v>
      </c>
      <c r="Y10" s="297">
        <f>IF('Staging Table'!C12=1,"",IF(X10=0, 0, W10/X10))</f>
        <v>36.211238009780168</v>
      </c>
      <c r="Z10" s="76">
        <f ca="1">IF('Staging Table'!C12=1,"",(Y10/N10-1)+(RAND()/100000000000000))</f>
        <v>1.7972770678558892E-3</v>
      </c>
      <c r="AA10" s="53">
        <f t="shared" ca="1" si="0"/>
        <v>29</v>
      </c>
      <c r="AC10" s="405"/>
      <c r="AD10" s="204"/>
      <c r="AE10" s="204"/>
      <c r="AG10" s="204"/>
      <c r="AH10" s="204"/>
    </row>
    <row r="11" spans="1:35">
      <c r="B11" s="123">
        <v>10046</v>
      </c>
      <c r="C11" s="124" t="s">
        <v>14</v>
      </c>
      <c r="D11" s="199">
        <f>IF(Init!$R$9="Yes",'Staging Table'!F13,'Staging Table'!BS13)*Rates_previous!$E$76*100*12</f>
        <v>27795187.330295019</v>
      </c>
      <c r="E11" s="199">
        <f>IF(Init!$R$9="Yes",'Staging Table'!F13,'Staging Table'!BS13)*Rates_previous!$E$77*100*12</f>
        <v>-4589052.1226210743</v>
      </c>
      <c r="F11" s="200">
        <f>IF(Init!$R$9="Yes",SUMPRODUCT('Staging Table'!L13:AI13,LS_Demand_Rates_Restatement!$C$4:$Z$4)-IF(Init!$R$12="No",('Staging Table'!BH13*Rates_previous!$H$34), 0),SUMPRODUCT('Staging Table'!BY13:CV13,LS_Demand_Rates_Restatement!$C$4:$Z$4)-IF(Init!$R$12="No", 'Staging Table'!DU13*Rates_previous!$H$34, 0))</f>
        <v>0</v>
      </c>
      <c r="G11" s="200">
        <f>IF(Init!$R$9="Yes",SUMPRODUCT('Staging Table'!AJ13:AU13,LS_Demand_Rates_Restatement!$C$10:$N$10),SUMPRODUCT(LS_Demand_Rates_Restatement!$C$10:$N$10,'Staging Table'!CW13:DH13))*1000</f>
        <v>0</v>
      </c>
      <c r="H11" s="201">
        <f>IF(Init!$R$9="Yes",'Staging Table'!BQ13,'Staging Table'!ED13)*IF(Init!$R$3=2022,Rates_previous!$C$88,Rates_previous!$D$88)</f>
        <v>0</v>
      </c>
      <c r="I11" s="199">
        <v>0</v>
      </c>
      <c r="J11" s="201">
        <f>IF(Init!$R$9="Yes",IF('Staging Table'!D13=1,'Staging Table'!H13*-1*'Staging Table'!BS13/'Staging Table'!BR13,'Staging Table'!H13*SUM(D11:I11)*(-1)),IF('Staging Table'!D13=1,'Staging Table'!BU13*-1*'Staging Table'!BS13/'Staging Table'!BR13,'Staging Table'!BU13*SUM(D11:I11)*(-1)))</f>
        <v>-1851385.4668682273</v>
      </c>
      <c r="K11" s="199">
        <f>IF(Init!$R$9="Yes",'Staging Table'!K13,'Staging Table'!BX13)*(-1)*Rates_previous!$H$32</f>
        <v>-447831.48130000004</v>
      </c>
      <c r="L11" s="199" t="str">
        <f>IF('Staging Table'!C13=1,"",SUM(D11:K11))</f>
        <v/>
      </c>
      <c r="M11" s="199" t="str">
        <f>IF('Staging Table'!C13=1,"",IF(Init!$R$9="Yes",(RT1SC!$C$3*'Staging Table'!F13*'Staging Table'!$F$2)+SUM('Staging Table'!L13:AI13)-IF(Init!$R$12="No",'Staging Table'!BH13, 0),X11))</f>
        <v/>
      </c>
      <c r="N11" s="297" t="str">
        <f>IF('Staging Table'!C13=1,"",IF(M11=0, 0, L11/M11))</f>
        <v/>
      </c>
      <c r="O11" s="199">
        <f>'Staging Table'!BS13*Rates_current!$E$76*100*12</f>
        <v>28867523.811120003</v>
      </c>
      <c r="P11" s="199">
        <f>'Staging Table'!BS13*Rates_current!$E$77*100*12</f>
        <v>-5073126.4875600003</v>
      </c>
      <c r="Q11" s="200">
        <f>SUMPRODUCT('Staging Table'!BY13:CV13, LS_Demand_Rates_Restatement!$C$5:$Z$5)-IF(Init!$R$12="No",('Staging Table'!DU13*Rates_current!$H$34), 0)</f>
        <v>0</v>
      </c>
      <c r="R11" s="200">
        <f>SUMPRODUCT('Staging Table'!CW13:DH13, LS_Demand_Rates_Restatement!$C$11:$N$11)*1000</f>
        <v>0</v>
      </c>
      <c r="S11" s="201">
        <f>'Staging Table'!ED13*IF(Init!$R$15="Yes",IF(Init!$R$6=2024,Rates_current!$C$88,Rates_current!$D$88),Rates_current!$H$33)</f>
        <v>0</v>
      </c>
      <c r="T11" s="201">
        <v>0</v>
      </c>
      <c r="U11" s="201">
        <f>IF('Staging Table'!D13=1, 'Staging Table'!BU13*-1*'Staging Table'!BS13/'Staging Table'!BR13,SUM(O11:T11)*'Staging Table'!BU13*-1)</f>
        <v>-1868392.6139223569</v>
      </c>
      <c r="V11" s="199">
        <f>'Staging Table'!BX13*Rates_current!$H$32*-1</f>
        <v>-475358.73749000003</v>
      </c>
      <c r="W11" s="199" t="str">
        <f>IF('Staging Table'!C13=1,"", SUM(O11:V11))</f>
        <v/>
      </c>
      <c r="X11" s="199" t="str">
        <f>IF('Staging Table'!C13=1,"", (RT1SC!$C$4*'Staging Table'!BS13*'Staging Table'!$BS$2)+SUM('Staging Table'!BY13:CV13)-IF(Init!$R$12="No",'Staging Table'!DU13, 0))</f>
        <v/>
      </c>
      <c r="Y11" s="297" t="str">
        <f>IF('Staging Table'!C13=1,"",IF(X11=0, 0, W11/X11))</f>
        <v/>
      </c>
      <c r="Z11" s="76" t="str">
        <f ca="1">IF('Staging Table'!C13=1,"",(Y11/N11-1)+(RAND()/100000000000000))</f>
        <v/>
      </c>
      <c r="AA11" s="53" t="str">
        <f t="shared" ca="1" si="0"/>
        <v/>
      </c>
      <c r="AC11" s="405"/>
      <c r="AD11" s="204"/>
      <c r="AE11" s="204"/>
      <c r="AG11" s="204"/>
      <c r="AH11" s="204"/>
    </row>
    <row r="12" spans="1:35">
      <c r="B12" s="123">
        <v>10047</v>
      </c>
      <c r="C12" s="124" t="s">
        <v>15</v>
      </c>
      <c r="D12" s="199">
        <f>IF(Init!$R$9="Yes",'Staging Table'!F14,'Staging Table'!BS14)*Rates_previous!$E$76*100*12</f>
        <v>53203305.123592012</v>
      </c>
      <c r="E12" s="199">
        <f>IF(Init!$R$9="Yes",'Staging Table'!F14,'Staging Table'!BS14)*Rates_previous!$E$77*100*12</f>
        <v>-8783993.3369243853</v>
      </c>
      <c r="F12" s="200">
        <f>IF(Init!$R$9="Yes",SUMPRODUCT('Staging Table'!L14:AI14,LS_Demand_Rates_Restatement!$C$4:$Z$4)-IF(Init!$R$12="No",('Staging Table'!BH14*Rates_previous!$H$34), 0),SUMPRODUCT('Staging Table'!BY14:CV14,LS_Demand_Rates_Restatement!$C$4:$Z$4)-IF(Init!$R$12="No", 'Staging Table'!DU14*Rates_previous!$H$34, 0))</f>
        <v>112832.60258474443</v>
      </c>
      <c r="G12" s="200">
        <f>IF(Init!$R$9="Yes",SUMPRODUCT('Staging Table'!AJ14:AU14,LS_Demand_Rates_Restatement!$C$10:$N$10),SUMPRODUCT(LS_Demand_Rates_Restatement!$C$10:$N$10,'Staging Table'!CW14:DH14))*1000</f>
        <v>1178518.3224042642</v>
      </c>
      <c r="H12" s="201">
        <f>IF(Init!$R$9="Yes",'Staging Table'!BQ14,'Staging Table'!ED14)*IF(Init!$R$3=2022,Rates_previous!$C$88,Rates_previous!$D$88)</f>
        <v>0</v>
      </c>
      <c r="I12" s="199">
        <v>0</v>
      </c>
      <c r="J12" s="201">
        <f>IF(Init!$R$9="Yes",IF('Staging Table'!D14=1,'Staging Table'!H14*-1*'Staging Table'!BS14/'Staging Table'!BR14,'Staging Table'!H14*SUM(D12:I12)*(-1)),IF('Staging Table'!D14=1,'Staging Table'!BU14*-1*'Staging Table'!BS14/'Staging Table'!BR14,'Staging Table'!BU14*SUM(D12:I12)*(-1)))</f>
        <v>0</v>
      </c>
      <c r="K12" s="199">
        <f>IF(Init!$R$9="Yes",'Staging Table'!K14,'Staging Table'!BX14)*(-1)*Rates_previous!$H$32</f>
        <v>0</v>
      </c>
      <c r="L12" s="199">
        <f>IF('Staging Table'!C14=1,"",SUM(D12:K12))</f>
        <v>45710662.711656637</v>
      </c>
      <c r="M12" s="199">
        <f>IF('Staging Table'!C14=1,"",IF(Init!$R$9="Yes",(RT1SC!$C$3*'Staging Table'!F14*'Staging Table'!$F$2)+SUM('Staging Table'!L14:AI14)-IF(Init!$R$12="No",'Staging Table'!BH14, 0),X12))</f>
        <v>1301068.6029703952</v>
      </c>
      <c r="N12" s="297">
        <f>IF('Staging Table'!C14=1,"",IF(M12=0, 0, L12/M12))</f>
        <v>35.133168694792296</v>
      </c>
      <c r="O12" s="199">
        <f>'Staging Table'!BS14*Rates_current!$E$76*100*12</f>
        <v>53718341.225760005</v>
      </c>
      <c r="P12" s="199">
        <f>'Staging Table'!BS14*Rates_current!$E$77*100*12</f>
        <v>-9440364.2488800008</v>
      </c>
      <c r="Q12" s="200">
        <f>SUMPRODUCT('Staging Table'!BY14:CV14, LS_Demand_Rates_Restatement!$C$5:$Z$5)-IF(Init!$R$12="No",('Staging Table'!DU14*Rates_current!$H$34), 0)</f>
        <v>749064.11516524246</v>
      </c>
      <c r="R12" s="200">
        <f>SUMPRODUCT('Staging Table'!CW14:DH14, LS_Demand_Rates_Restatement!$C$11:$N$11)*1000</f>
        <v>1075907.9000328784</v>
      </c>
      <c r="S12" s="201">
        <f>'Staging Table'!ED14*IF(Init!$R$15="Yes",IF(Init!$R$6=2024,Rates_current!$C$88,Rates_current!$D$88),Rates_current!$H$33)</f>
        <v>28.870806628647262</v>
      </c>
      <c r="T12" s="201">
        <v>0</v>
      </c>
      <c r="U12" s="201">
        <f>IF('Staging Table'!D14=1, 'Staging Table'!BU14*-1*'Staging Table'!BS14/'Staging Table'!BR14,SUM(O12:T12)*'Staging Table'!BU14*-1)</f>
        <v>0</v>
      </c>
      <c r="V12" s="199">
        <f>'Staging Table'!BX14*Rates_current!$H$32*-1</f>
        <v>0</v>
      </c>
      <c r="W12" s="199">
        <f>IF('Staging Table'!C14=1,"", SUM(O12:V12))</f>
        <v>46102977.862884752</v>
      </c>
      <c r="X12" s="199">
        <f>IF('Staging Table'!C14=1,"", (RT1SC!$C$4*'Staging Table'!BS14*'Staging Table'!$BS$2)+SUM('Staging Table'!BY14:CV14)-IF(Init!$R$12="No",'Staging Table'!DU14, 0))</f>
        <v>1337913.1021327446</v>
      </c>
      <c r="Y12" s="297">
        <f>IF('Staging Table'!C14=1,"",IF(X12=0, 0, W12/X12))</f>
        <v>34.458873143100831</v>
      </c>
      <c r="Z12" s="76">
        <f ca="1">IF('Staging Table'!C14=1,"",(Y12/N12-1)+(RAND()/100000000000000))</f>
        <v>-1.9192562946683846E-2</v>
      </c>
      <c r="AA12" s="53">
        <f t="shared" ca="1" si="0"/>
        <v>98</v>
      </c>
      <c r="AC12" s="405"/>
      <c r="AD12" s="204"/>
      <c r="AE12" s="204"/>
      <c r="AG12" s="204"/>
      <c r="AH12" s="204"/>
    </row>
    <row r="13" spans="1:35">
      <c r="B13" s="123">
        <v>10055</v>
      </c>
      <c r="C13" s="124" t="s">
        <v>16</v>
      </c>
      <c r="D13" s="199">
        <f>IF(Init!$R$9="Yes",'Staging Table'!F15,'Staging Table'!BS15)*Rates_previous!$E$76*100*12</f>
        <v>135252.8851584176</v>
      </c>
      <c r="E13" s="199">
        <f>IF(Init!$R$9="Yes",'Staging Table'!F15,'Staging Table'!BS15)*Rates_previous!$E$77*100*12</f>
        <v>-22330.575878161304</v>
      </c>
      <c r="F13" s="200">
        <f>IF(Init!$R$9="Yes",SUMPRODUCT('Staging Table'!L15:AI15,LS_Demand_Rates_Restatement!$C$4:$Z$4)-IF(Init!$R$12="No",('Staging Table'!BH15*Rates_previous!$H$34), 0),SUMPRODUCT('Staging Table'!BY15:CV15,LS_Demand_Rates_Restatement!$C$4:$Z$4)-IF(Init!$R$12="No", 'Staging Table'!DU15*Rates_previous!$H$34, 0))</f>
        <v>3126.6853897136393</v>
      </c>
      <c r="G13" s="200">
        <f>IF(Init!$R$9="Yes",SUMPRODUCT('Staging Table'!AJ15:AU15,LS_Demand_Rates_Restatement!$C$10:$N$10),SUMPRODUCT(LS_Demand_Rates_Restatement!$C$10:$N$10,'Staging Table'!CW15:DH15))*1000</f>
        <v>7545.772947061967</v>
      </c>
      <c r="H13" s="201">
        <f>IF(Init!$R$9="Yes",'Staging Table'!BQ15,'Staging Table'!ED15)*IF(Init!$R$3=2022,Rates_previous!$C$88,Rates_previous!$D$88)</f>
        <v>0</v>
      </c>
      <c r="I13" s="199">
        <v>0</v>
      </c>
      <c r="J13" s="201">
        <f>IF(Init!$R$9="Yes",IF('Staging Table'!D15=1,'Staging Table'!H15*-1*'Staging Table'!BS15/'Staging Table'!BR15,'Staging Table'!H15*SUM(D13:I13)*(-1)),IF('Staging Table'!D15=1,'Staging Table'!BU15*-1*'Staging Table'!BS15/'Staging Table'!BR15,'Staging Table'!BU15*SUM(D13:I13)*(-1)))</f>
        <v>0</v>
      </c>
      <c r="K13" s="199">
        <f>IF(Init!$R$9="Yes",'Staging Table'!K15,'Staging Table'!BX15)*(-1)*Rates_previous!$H$32</f>
        <v>0</v>
      </c>
      <c r="L13" s="199">
        <f>IF('Staging Table'!C15=1,"",SUM(D13:K13))</f>
        <v>123594.76761703192</v>
      </c>
      <c r="M13" s="199">
        <f>IF('Staging Table'!C15=1,"",IF(Init!$R$9="Yes",(RT1SC!$C$3*'Staging Table'!F15*'Staging Table'!$F$2)+SUM('Staging Table'!L15:AI15)-IF(Init!$R$12="No",'Staging Table'!BH15, 0),X13))</f>
        <v>3328.8</v>
      </c>
      <c r="N13" s="297">
        <f>IF('Staging Table'!C15=1,"",IF(M13=0, 0, L13/M13))</f>
        <v>37.128925623958153</v>
      </c>
      <c r="O13" s="199">
        <f>'Staging Table'!BS15*Rates_current!$E$76*100*12</f>
        <v>138008.89008000001</v>
      </c>
      <c r="P13" s="199">
        <f>'Staging Table'!BS15*Rates_current!$E$77*100*12</f>
        <v>-24253.433039999996</v>
      </c>
      <c r="Q13" s="200">
        <f>SUMPRODUCT('Staging Table'!BY15:CV15, LS_Demand_Rates_Restatement!$C$5:$Z$5)-IF(Init!$R$12="No",('Staging Table'!DU15*Rates_current!$H$34), 0)</f>
        <v>4890.1443686349621</v>
      </c>
      <c r="R13" s="200">
        <f>SUMPRODUCT('Staging Table'!CW15:DH15, LS_Demand_Rates_Restatement!$C$11:$N$11)*1000</f>
        <v>7816.5149948717981</v>
      </c>
      <c r="S13" s="201">
        <f>'Staging Table'!ED15*IF(Init!$R$15="Yes",IF(Init!$R$6=2024,Rates_current!$C$88,Rates_current!$D$88),Rates_current!$H$33)</f>
        <v>24.604773963739905</v>
      </c>
      <c r="T13" s="201">
        <v>0</v>
      </c>
      <c r="U13" s="201">
        <f>IF('Staging Table'!D15=1, 'Staging Table'!BU15*-1*'Staging Table'!BS15/'Staging Table'!BR15,SUM(O13:T13)*'Staging Table'!BU15*-1)</f>
        <v>0</v>
      </c>
      <c r="V13" s="199">
        <f>'Staging Table'!BX15*Rates_current!$H$32*-1</f>
        <v>0</v>
      </c>
      <c r="W13" s="199">
        <f>IF('Staging Table'!C15=1,"", SUM(O13:V13))</f>
        <v>126486.72117747052</v>
      </c>
      <c r="X13" s="199">
        <f>IF('Staging Table'!C15=1,"", (RT1SC!$C$4*'Staging Table'!BS15*'Staging Table'!$BS$2)+SUM('Staging Table'!BY15:CV15)-IF(Init!$R$12="No",'Staging Table'!DU15, 0))</f>
        <v>3430.8880157557596</v>
      </c>
      <c r="Y13" s="297">
        <f>IF('Staging Table'!C15=1,"",IF(X13=0, 0, W13/X13))</f>
        <v>36.867050336997927</v>
      </c>
      <c r="Z13" s="76">
        <f ca="1">IF('Staging Table'!C15=1,"",(Y13/N13-1)+(RAND()/100000000000000))</f>
        <v>-7.053133980018984E-3</v>
      </c>
      <c r="AA13" s="53">
        <f t="shared" ca="1" si="0"/>
        <v>56</v>
      </c>
      <c r="AC13" s="405"/>
      <c r="AD13" s="204"/>
      <c r="AE13" s="204"/>
      <c r="AG13" s="204"/>
      <c r="AH13" s="204"/>
    </row>
    <row r="14" spans="1:35">
      <c r="B14" s="123">
        <v>10057</v>
      </c>
      <c r="C14" s="124" t="s">
        <v>17</v>
      </c>
      <c r="D14" s="199">
        <f>IF(Init!$R$9="Yes",'Staging Table'!F16,'Staging Table'!BS16)*Rates_previous!$E$76*100*12</f>
        <v>7111328.1143399216</v>
      </c>
      <c r="E14" s="199">
        <f>IF(Init!$R$9="Yes",'Staging Table'!F16,'Staging Table'!BS16)*Rates_previous!$E$77*100*12</f>
        <v>-1174097.3352677221</v>
      </c>
      <c r="F14" s="200">
        <f>IF(Init!$R$9="Yes",SUMPRODUCT('Staging Table'!L16:AI16,LS_Demand_Rates_Restatement!$C$4:$Z$4)-IF(Init!$R$12="No",('Staging Table'!BH16*Rates_previous!$H$34), 0),SUMPRODUCT('Staging Table'!BY16:CV16,LS_Demand_Rates_Restatement!$C$4:$Z$4)-IF(Init!$R$12="No", 'Staging Table'!DU16*Rates_previous!$H$34, 0))</f>
        <v>131556.62354678588</v>
      </c>
      <c r="G14" s="200">
        <f>IF(Init!$R$9="Yes",SUMPRODUCT('Staging Table'!AJ16:AU16,LS_Demand_Rates_Restatement!$C$10:$N$10),SUMPRODUCT(LS_Demand_Rates_Restatement!$C$10:$N$10,'Staging Table'!CW16:DH16))*1000</f>
        <v>125706.55927368233</v>
      </c>
      <c r="H14" s="201">
        <f>IF(Init!$R$9="Yes",'Staging Table'!BQ16,'Staging Table'!ED16)*IF(Init!$R$3=2022,Rates_previous!$C$88,Rates_previous!$D$88)</f>
        <v>4488.8691435215878</v>
      </c>
      <c r="I14" s="199">
        <v>0</v>
      </c>
      <c r="J14" s="201">
        <f>IF(Init!$R$9="Yes",IF('Staging Table'!D16=1,'Staging Table'!H16*-1*'Staging Table'!BS16/'Staging Table'!BR16,'Staging Table'!H16*SUM(D14:I14)*(-1)),IF('Staging Table'!D16=1,'Staging Table'!BU16*-1*'Staging Table'!BS16/'Staging Table'!BR16,'Staging Table'!BU16*SUM(D14:I14)*(-1)))</f>
        <v>0</v>
      </c>
      <c r="K14" s="199">
        <f>IF(Init!$R$9="Yes",'Staging Table'!K16,'Staging Table'!BX16)*(-1)*Rates_previous!$H$32</f>
        <v>0</v>
      </c>
      <c r="L14" s="199">
        <f>IF('Staging Table'!C16=1,"",SUM(D14:K14))</f>
        <v>6198982.8310361886</v>
      </c>
      <c r="M14" s="199">
        <f>IF('Staging Table'!C16=1,"",IF(Init!$R$9="Yes",(RT1SC!$C$3*'Staging Table'!F16*'Staging Table'!$F$2)+SUM('Staging Table'!L16:AI16)-IF(Init!$R$12="No",'Staging Table'!BH16, 0),X14))</f>
        <v>175626.98895148249</v>
      </c>
      <c r="N14" s="297">
        <f>IF('Staging Table'!C16=1,"",IF(M14=0, 0, L14/M14))</f>
        <v>35.296299663536779</v>
      </c>
      <c r="O14" s="199">
        <f>'Staging Table'!BS16*Rates_current!$E$76*100*12</f>
        <v>7051656.4106399994</v>
      </c>
      <c r="P14" s="199">
        <f>'Staging Table'!BS16*Rates_current!$E$77*100*12</f>
        <v>-1239245.35932</v>
      </c>
      <c r="Q14" s="200">
        <f>SUMPRODUCT('Staging Table'!BY16:CV16, LS_Demand_Rates_Restatement!$C$5:$Z$5)-IF(Init!$R$12="No",('Staging Table'!DU16*Rates_current!$H$34), 0)</f>
        <v>305545.96400667884</v>
      </c>
      <c r="R14" s="200">
        <f>SUMPRODUCT('Staging Table'!CW16:DH16, LS_Demand_Rates_Restatement!$C$11:$N$11)*1000</f>
        <v>120542.63681741449</v>
      </c>
      <c r="S14" s="201">
        <f>'Staging Table'!ED16*IF(Init!$R$15="Yes",IF(Init!$R$6=2024,Rates_current!$C$88,Rates_current!$D$88),Rates_current!$H$33)</f>
        <v>2.1212620062695353</v>
      </c>
      <c r="T14" s="201">
        <v>0</v>
      </c>
      <c r="U14" s="201">
        <f>IF('Staging Table'!D16=1, 'Staging Table'!BU16*-1*'Staging Table'!BS16/'Staging Table'!BR16,SUM(O14:T14)*'Staging Table'!BU16*-1)</f>
        <v>0</v>
      </c>
      <c r="V14" s="199">
        <f>'Staging Table'!BX16*Rates_current!$H$32*-1</f>
        <v>0</v>
      </c>
      <c r="W14" s="199">
        <f>IF('Staging Table'!C16=1,"", SUM(O14:V14))</f>
        <v>6238501.7734060995</v>
      </c>
      <c r="X14" s="199">
        <f>IF('Staging Table'!C16=1,"", (RT1SC!$C$4*'Staging Table'!BS16*'Staging Table'!$BS$2)+SUM('Staging Table'!BY16:CV16)-IF(Init!$R$12="No",'Staging Table'!DU16, 0))</f>
        <v>175626.98080505108</v>
      </c>
      <c r="Y14" s="297">
        <f>IF('Staging Table'!C16=1,"",IF(X14=0, 0, W14/X14))</f>
        <v>35.521317651818784</v>
      </c>
      <c r="Z14" s="76">
        <f ca="1">IF('Staging Table'!C16=1,"",(Y14/N14-1)+(RAND()/100000000000000))</f>
        <v>6.375115534127904E-3</v>
      </c>
      <c r="AA14" s="53">
        <f t="shared" ca="1" si="0"/>
        <v>19</v>
      </c>
      <c r="AC14" s="405"/>
      <c r="AD14" s="204"/>
      <c r="AE14" s="204"/>
      <c r="AG14" s="204"/>
      <c r="AH14" s="204"/>
    </row>
    <row r="15" spans="1:35">
      <c r="B15" s="123">
        <v>10059</v>
      </c>
      <c r="C15" s="124" t="s">
        <v>18</v>
      </c>
      <c r="D15" s="199">
        <f>IF(Init!$R$9="Yes",'Staging Table'!F17,'Staging Table'!BS17)*Rates_previous!$E$76*100*12</f>
        <v>2594025.6360968137</v>
      </c>
      <c r="E15" s="199">
        <f>IF(Init!$R$9="Yes",'Staging Table'!F17,'Staging Table'!BS17)*Rates_previous!$E$77*100*12</f>
        <v>-428279.8568689198</v>
      </c>
      <c r="F15" s="200">
        <f>IF(Init!$R$9="Yes",SUMPRODUCT('Staging Table'!L17:AI17,LS_Demand_Rates_Restatement!$C$4:$Z$4)-IF(Init!$R$12="No",('Staging Table'!BH17*Rates_previous!$H$34), 0),SUMPRODUCT('Staging Table'!BY17:CV17,LS_Demand_Rates_Restatement!$C$4:$Z$4)-IF(Init!$R$12="No", 'Staging Table'!DU17*Rates_previous!$H$34, 0))</f>
        <v>33284.471925725331</v>
      </c>
      <c r="G15" s="200">
        <f>IF(Init!$R$9="Yes",SUMPRODUCT('Staging Table'!AJ17:AU17,LS_Demand_Rates_Restatement!$C$10:$N$10),SUMPRODUCT(LS_Demand_Rates_Restatement!$C$10:$N$10,'Staging Table'!CW17:DH17))*1000</f>
        <v>105293.28112394942</v>
      </c>
      <c r="H15" s="201">
        <f>IF(Init!$R$9="Yes",'Staging Table'!BQ17,'Staging Table'!ED17)*IF(Init!$R$3=2022,Rates_previous!$C$88,Rates_previous!$D$88)</f>
        <v>0</v>
      </c>
      <c r="I15" s="199">
        <v>0</v>
      </c>
      <c r="J15" s="201">
        <f>IF(Init!$R$9="Yes",IF('Staging Table'!D17=1,'Staging Table'!H17*-1*'Staging Table'!BS17/'Staging Table'!BR17,'Staging Table'!H17*SUM(D15:I15)*(-1)),IF('Staging Table'!D17=1,'Staging Table'!BU17*-1*'Staging Table'!BS17/'Staging Table'!BR17,'Staging Table'!BU17*SUM(D15:I15)*(-1)))</f>
        <v>0</v>
      </c>
      <c r="K15" s="199">
        <f>IF(Init!$R$9="Yes",'Staging Table'!K17,'Staging Table'!BX17)*(-1)*Rates_previous!$H$32</f>
        <v>0</v>
      </c>
      <c r="L15" s="199">
        <f>IF('Staging Table'!C17=1,"",SUM(D15:K15))</f>
        <v>2304323.5322775682</v>
      </c>
      <c r="M15" s="199">
        <f>IF('Staging Table'!C17=1,"",IF(Init!$R$9="Yes",(RT1SC!$C$3*'Staging Table'!F17*'Staging Table'!$F$2)+SUM('Staging Table'!L17:AI17)-IF(Init!$R$12="No",'Staging Table'!BH17, 0),X15))</f>
        <v>63834.12</v>
      </c>
      <c r="N15" s="297">
        <f>IF('Staging Table'!C17=1,"",IF(M15=0, 0, L15/M15))</f>
        <v>36.09861829813849</v>
      </c>
      <c r="O15" s="199">
        <f>'Staging Table'!BS17*Rates_current!$E$76*100*12</f>
        <v>2681707.0427999999</v>
      </c>
      <c r="P15" s="199">
        <f>'Staging Table'!BS17*Rates_current!$E$77*100*12</f>
        <v>-471278.35140000004</v>
      </c>
      <c r="Q15" s="200">
        <f>SUMPRODUCT('Staging Table'!BY17:CV17, LS_Demand_Rates_Restatement!$C$5:$Z$5)-IF(Init!$R$12="No",('Staging Table'!DU17*Rates_current!$H$34), 0)</f>
        <v>51709.094611886801</v>
      </c>
      <c r="R15" s="200">
        <f>SUMPRODUCT('Staging Table'!CW17:DH17, LS_Demand_Rates_Restatement!$C$11:$N$11)*1000</f>
        <v>101047.72091757478</v>
      </c>
      <c r="S15" s="201">
        <f>'Staging Table'!ED17*IF(Init!$R$15="Yes",IF(Init!$R$6=2024,Rates_current!$C$88,Rates_current!$D$88),Rates_current!$H$33)</f>
        <v>-20.764110433828755</v>
      </c>
      <c r="T15" s="201">
        <v>0</v>
      </c>
      <c r="U15" s="201">
        <f>IF('Staging Table'!D17=1, 'Staging Table'!BU17*-1*'Staging Table'!BS17/'Staging Table'!BR17,SUM(O15:T15)*'Staging Table'!BU17*-1)</f>
        <v>0</v>
      </c>
      <c r="V15" s="199">
        <f>'Staging Table'!BX17*Rates_current!$H$32*-1</f>
        <v>0</v>
      </c>
      <c r="W15" s="199">
        <f>IF('Staging Table'!C17=1,"", SUM(O15:V15))</f>
        <v>2363164.7428190275</v>
      </c>
      <c r="X15" s="199">
        <f>IF('Staging Table'!C17=1,"", (RT1SC!$C$4*'Staging Table'!BS17*'Staging Table'!$BS$2)+SUM('Staging Table'!BY17:CV17)-IF(Init!$R$12="No",'Staging Table'!DU17, 0))</f>
        <v>66796.621306156594</v>
      </c>
      <c r="Y15" s="297">
        <f>IF('Staging Table'!C17=1,"",IF(X15=0, 0, W15/X15))</f>
        <v>35.378507125198212</v>
      </c>
      <c r="Z15" s="76">
        <f ca="1">IF('Staging Table'!C17=1,"",(Y15/N15-1)+(RAND()/100000000000000))</f>
        <v>-1.9948441433207648E-2</v>
      </c>
      <c r="AA15" s="53">
        <f t="shared" ca="1" si="0"/>
        <v>102</v>
      </c>
      <c r="AC15" s="405"/>
      <c r="AD15" s="204"/>
      <c r="AE15" s="204"/>
      <c r="AG15" s="204"/>
      <c r="AH15" s="204"/>
    </row>
    <row r="16" spans="1:35">
      <c r="B16" s="123">
        <v>10061</v>
      </c>
      <c r="C16" s="124" t="s">
        <v>19</v>
      </c>
      <c r="D16" s="199">
        <f>IF(Init!$R$9="Yes",'Staging Table'!F18,'Staging Table'!BS18)*Rates_previous!$E$76*100*12</f>
        <v>2970047.8416436207</v>
      </c>
      <c r="E16" s="199">
        <f>IF(Init!$R$9="Yes",'Staging Table'!F18,'Staging Table'!BS18)*Rates_previous!$E$77*100*12</f>
        <v>-490362.02526777971</v>
      </c>
      <c r="F16" s="200">
        <f>IF(Init!$R$9="Yes",SUMPRODUCT('Staging Table'!L18:AI18,LS_Demand_Rates_Restatement!$C$4:$Z$4)-IF(Init!$R$12="No",('Staging Table'!BH18*Rates_previous!$H$34), 0),SUMPRODUCT('Staging Table'!BY18:CV18,LS_Demand_Rates_Restatement!$C$4:$Z$4)-IF(Init!$R$12="No", 'Staging Table'!DU18*Rates_previous!$H$34, 0))</f>
        <v>32797.560068810912</v>
      </c>
      <c r="G16" s="200">
        <f>IF(Init!$R$9="Yes",SUMPRODUCT('Staging Table'!AJ18:AU18,LS_Demand_Rates_Restatement!$C$10:$N$10),SUMPRODUCT(LS_Demand_Rates_Restatement!$C$10:$N$10,'Staging Table'!CW18:DH18))*1000</f>
        <v>123390.70216137818</v>
      </c>
      <c r="H16" s="201">
        <f>IF(Init!$R$9="Yes",'Staging Table'!BQ18,'Staging Table'!ED18)*IF(Init!$R$3=2022,Rates_previous!$C$88,Rates_previous!$D$88)</f>
        <v>0</v>
      </c>
      <c r="I16" s="199">
        <v>0</v>
      </c>
      <c r="J16" s="201">
        <f>IF(Init!$R$9="Yes",IF('Staging Table'!D18=1,'Staging Table'!H18*-1*'Staging Table'!BS18/'Staging Table'!BR18,'Staging Table'!H18*SUM(D16:I16)*(-1)),IF('Staging Table'!D18=1,'Staging Table'!BU18*-1*'Staging Table'!BS18/'Staging Table'!BR18,'Staging Table'!BU18*SUM(D16:I16)*(-1)))</f>
        <v>0</v>
      </c>
      <c r="K16" s="199">
        <f>IF(Init!$R$9="Yes",'Staging Table'!K18,'Staging Table'!BX18)*(-1)*Rates_previous!$H$32</f>
        <v>0</v>
      </c>
      <c r="L16" s="199">
        <f>IF('Staging Table'!C18=1,"",SUM(D16:K16))</f>
        <v>2635874.07860603</v>
      </c>
      <c r="M16" s="199">
        <f>IF('Staging Table'!C18=1,"",IF(Init!$R$9="Yes",(RT1SC!$C$3*'Staging Table'!F18*'Staging Table'!$F$2)+SUM('Staging Table'!L18:AI18)-IF(Init!$R$12="No",'Staging Table'!BH18, 0),X16))</f>
        <v>73084.679999999993</v>
      </c>
      <c r="N16" s="297">
        <f>IF('Staging Table'!C18=1,"",IF(M16=0, 0, L16/M16))</f>
        <v>36.066027498595197</v>
      </c>
      <c r="O16" s="199">
        <f>'Staging Table'!BS18*Rates_current!$E$76*100*12</f>
        <v>3085021.8316799998</v>
      </c>
      <c r="P16" s="199">
        <f>'Staging Table'!BS18*Rates_current!$E$77*100*12</f>
        <v>-542156.16384000005</v>
      </c>
      <c r="Q16" s="200">
        <f>SUMPRODUCT('Staging Table'!BY18:CV18, LS_Demand_Rates_Restatement!$C$5:$Z$5)-IF(Init!$R$12="No",('Staging Table'!DU18*Rates_current!$H$34), 0)</f>
        <v>67744.688194523449</v>
      </c>
      <c r="R16" s="200">
        <f>SUMPRODUCT('Staging Table'!CW18:DH18, LS_Demand_Rates_Restatement!$C$11:$N$11)*1000</f>
        <v>126980.79254639422</v>
      </c>
      <c r="S16" s="201">
        <f>'Staging Table'!ED18*IF(Init!$R$15="Yes",IF(Init!$R$6=2024,Rates_current!$C$88,Rates_current!$D$88),Rates_current!$H$33)</f>
        <v>0</v>
      </c>
      <c r="T16" s="201">
        <v>0</v>
      </c>
      <c r="U16" s="201">
        <f>IF('Staging Table'!D18=1, 'Staging Table'!BU18*-1*'Staging Table'!BS18/'Staging Table'!BR18,SUM(O16:T16)*'Staging Table'!BU18*-1)</f>
        <v>0</v>
      </c>
      <c r="V16" s="199">
        <f>'Staging Table'!BX18*Rates_current!$H$32*-1</f>
        <v>0</v>
      </c>
      <c r="W16" s="199">
        <f>IF('Staging Table'!C18=1,"", SUM(O16:V16))</f>
        <v>2737591.1485809176</v>
      </c>
      <c r="X16" s="199">
        <f>IF('Staging Table'!C18=1,"", (RT1SC!$C$4*'Staging Table'!BS18*'Staging Table'!$BS$2)+SUM('Staging Table'!BY18:CV18)-IF(Init!$R$12="No",'Staging Table'!DU18, 0))</f>
        <v>76833.648000000001</v>
      </c>
      <c r="Y16" s="297">
        <f>IF('Staging Table'!C18=1,"",IF(X16=0, 0, W16/X16))</f>
        <v>35.630107639571108</v>
      </c>
      <c r="Z16" s="76">
        <f ca="1">IF('Staging Table'!C18=1,"",(Y16/N16-1)+(RAND()/100000000000000))</f>
        <v>-1.2086716759728024E-2</v>
      </c>
      <c r="AA16" s="53">
        <f t="shared" ca="1" si="0"/>
        <v>75</v>
      </c>
      <c r="AC16" s="405"/>
      <c r="AD16" s="204"/>
      <c r="AE16" s="204"/>
      <c r="AG16" s="204"/>
      <c r="AH16" s="204"/>
    </row>
    <row r="17" spans="2:34">
      <c r="B17" s="123">
        <v>10062</v>
      </c>
      <c r="C17" s="124" t="s">
        <v>20</v>
      </c>
      <c r="D17" s="199">
        <f>IF(Init!$R$9="Yes",'Staging Table'!F19,'Staging Table'!BS19)*Rates_previous!$E$76*100*12</f>
        <v>1806249.5230730523</v>
      </c>
      <c r="E17" s="199">
        <f>IF(Init!$R$9="Yes",'Staging Table'!F19,'Staging Table'!BS19)*Rates_previous!$E$77*100*12</f>
        <v>-298216.13034452294</v>
      </c>
      <c r="F17" s="200">
        <f>IF(Init!$R$9="Yes",SUMPRODUCT('Staging Table'!L19:AI19,LS_Demand_Rates_Restatement!$C$4:$Z$4)-IF(Init!$R$12="No",('Staging Table'!BH19*Rates_previous!$H$34), 0),SUMPRODUCT('Staging Table'!BY19:CV19,LS_Demand_Rates_Restatement!$C$4:$Z$4)-IF(Init!$R$12="No", 'Staging Table'!DU19*Rates_previous!$H$34, 0))</f>
        <v>118775.88222244996</v>
      </c>
      <c r="G17" s="200">
        <f>IF(Init!$R$9="Yes",SUMPRODUCT('Staging Table'!AJ19:AU19,LS_Demand_Rates_Restatement!$C$10:$N$10),SUMPRODUCT(LS_Demand_Rates_Restatement!$C$10:$N$10,'Staging Table'!CW19:DH19))*1000</f>
        <v>85220.849915304512</v>
      </c>
      <c r="H17" s="201">
        <f>IF(Init!$R$9="Yes",'Staging Table'!BQ19,'Staging Table'!ED19)*IF(Init!$R$3=2022,Rates_previous!$C$88,Rates_previous!$D$88)</f>
        <v>0</v>
      </c>
      <c r="I17" s="199">
        <v>0</v>
      </c>
      <c r="J17" s="201">
        <f>IF(Init!$R$9="Yes",IF('Staging Table'!D19=1,'Staging Table'!H19*-1*'Staging Table'!BS19/'Staging Table'!BR19,'Staging Table'!H19*SUM(D17:I17)*(-1)),IF('Staging Table'!D19=1,'Staging Table'!BU19*-1*'Staging Table'!BS19/'Staging Table'!BR19,'Staging Table'!BU19*SUM(D17:I17)*(-1)))</f>
        <v>0</v>
      </c>
      <c r="K17" s="199">
        <f>IF(Init!$R$9="Yes",'Staging Table'!K19,'Staging Table'!BX19)*(-1)*Rates_previous!$H$32</f>
        <v>0</v>
      </c>
      <c r="L17" s="199">
        <f>IF('Staging Table'!C19=1,"",SUM(D17:K17))</f>
        <v>1712030.1248662837</v>
      </c>
      <c r="M17" s="199">
        <f>IF('Staging Table'!C19=1,"",IF(Init!$R$9="Yes",(RT1SC!$C$3*'Staging Table'!F19*'Staging Table'!$F$2)+SUM('Staging Table'!L19:AI19)-IF(Init!$R$12="No",'Staging Table'!BH19, 0),X17))</f>
        <v>44230.406273641536</v>
      </c>
      <c r="N17" s="297">
        <f>IF('Staging Table'!C19=1,"",IF(M17=0, 0, L17/M17))</f>
        <v>38.707085670306022</v>
      </c>
      <c r="O17" s="199">
        <f>'Staging Table'!BS19*Rates_current!$E$76*100*12</f>
        <v>1876323.0326399999</v>
      </c>
      <c r="P17" s="199">
        <f>'Staging Table'!BS19*Rates_current!$E$77*100*12</f>
        <v>-329741.62031999999</v>
      </c>
      <c r="Q17" s="200">
        <f>SUMPRODUCT('Staging Table'!BY19:CV19, LS_Demand_Rates_Restatement!$C$5:$Z$5)-IF(Init!$R$12="No",('Staging Table'!DU19*Rates_current!$H$34), 0)</f>
        <v>243247.46309786738</v>
      </c>
      <c r="R17" s="200">
        <f>SUMPRODUCT('Staging Table'!CW19:DH19, LS_Demand_Rates_Restatement!$C$11:$N$11)*1000</f>
        <v>86113.7783560096</v>
      </c>
      <c r="S17" s="201">
        <f>'Staging Table'!ED19*IF(Init!$R$15="Yes",IF(Init!$R$6=2024,Rates_current!$C$88,Rates_current!$D$88),Rates_current!$H$33)</f>
        <v>0</v>
      </c>
      <c r="T17" s="201">
        <v>0</v>
      </c>
      <c r="U17" s="201">
        <f>IF('Staging Table'!D19=1, 'Staging Table'!BU19*-1*'Staging Table'!BS19/'Staging Table'!BR19,SUM(O17:T17)*'Staging Table'!BU19*-1)</f>
        <v>0</v>
      </c>
      <c r="V17" s="199">
        <f>'Staging Table'!BX19*Rates_current!$H$32*-1</f>
        <v>0</v>
      </c>
      <c r="W17" s="199">
        <f>IF('Staging Table'!C19=1,"", SUM(O17:V17))</f>
        <v>1875942.6537738768</v>
      </c>
      <c r="X17" s="199">
        <f>IF('Staging Table'!C19=1,"", (RT1SC!$C$4*'Staging Table'!BS19*'Staging Table'!$BS$2)+SUM('Staging Table'!BY19:CV19)-IF(Init!$R$12="No",'Staging Table'!DU19, 0))</f>
        <v>46727.460214210078</v>
      </c>
      <c r="Y17" s="297">
        <f>IF('Staging Table'!C19=1,"",IF(X17=0, 0, W17/X17))</f>
        <v>40.146471585960334</v>
      </c>
      <c r="Z17" s="76">
        <f ca="1">IF('Staging Table'!C19=1,"",(Y17/N17-1)+(RAND()/100000000000000))</f>
        <v>3.7186625929798607E-2</v>
      </c>
      <c r="AA17" s="53">
        <f t="shared" ca="1" si="0"/>
        <v>4</v>
      </c>
      <c r="AC17" s="405"/>
      <c r="AD17" s="204"/>
      <c r="AE17" s="204"/>
      <c r="AG17" s="204"/>
      <c r="AH17" s="204"/>
    </row>
    <row r="18" spans="2:34">
      <c r="B18" s="123">
        <v>10064</v>
      </c>
      <c r="C18" s="124" t="s">
        <v>21</v>
      </c>
      <c r="D18" s="199">
        <f>IF(Init!$R$9="Yes",'Staging Table'!F20,'Staging Table'!BS20)*Rates_previous!$E$76*100*12</f>
        <v>4776057.5546366042</v>
      </c>
      <c r="E18" s="199">
        <f>IF(Init!$R$9="Yes",'Staging Table'!F20,'Staging Table'!BS20)*Rates_previous!$E$77*100*12</f>
        <v>-788538.56239266042</v>
      </c>
      <c r="F18" s="200">
        <f>IF(Init!$R$9="Yes",SUMPRODUCT('Staging Table'!L20:AI20,LS_Demand_Rates_Restatement!$C$4:$Z$4)-IF(Init!$R$12="No",('Staging Table'!BH20*Rates_previous!$H$34), 0),SUMPRODUCT('Staging Table'!BY20:CV20,LS_Demand_Rates_Restatement!$C$4:$Z$4)-IF(Init!$R$12="No", 'Staging Table'!DU20*Rates_previous!$H$34, 0))</f>
        <v>74280.086075242492</v>
      </c>
      <c r="G18" s="200">
        <f>IF(Init!$R$9="Yes",SUMPRODUCT('Staging Table'!AJ20:AU20,LS_Demand_Rates_Restatement!$C$10:$N$10),SUMPRODUCT(LS_Demand_Rates_Restatement!$C$10:$N$10,'Staging Table'!CW20:DH20))*1000</f>
        <v>269927.64776016731</v>
      </c>
      <c r="H18" s="201">
        <f>IF(Init!$R$9="Yes",'Staging Table'!BQ20,'Staging Table'!ED20)*IF(Init!$R$3=2022,Rates_previous!$C$88,Rates_previous!$D$88)</f>
        <v>0</v>
      </c>
      <c r="I18" s="199">
        <v>0</v>
      </c>
      <c r="J18" s="201">
        <f>IF(Init!$R$9="Yes",IF('Staging Table'!D20=1,'Staging Table'!H20*-1*'Staging Table'!BS20/'Staging Table'!BR20,'Staging Table'!H20*SUM(D18:I18)*(-1)),IF('Staging Table'!D20=1,'Staging Table'!BU20*-1*'Staging Table'!BS20/'Staging Table'!BR20,'Staging Table'!BU20*SUM(D18:I18)*(-1)))</f>
        <v>0</v>
      </c>
      <c r="K18" s="199">
        <f>IF(Init!$R$9="Yes",'Staging Table'!K20,'Staging Table'!BX20)*(-1)*Rates_previous!$H$32</f>
        <v>0</v>
      </c>
      <c r="L18" s="199">
        <f>IF('Staging Table'!C20=1,"",SUM(D18:K18))</f>
        <v>4331726.7260793541</v>
      </c>
      <c r="M18" s="199">
        <f>IF('Staging Table'!C20=1,"",IF(Init!$R$9="Yes",(RT1SC!$C$3*'Staging Table'!F20*'Staging Table'!$F$2)+SUM('Staging Table'!L20:AI20)-IF(Init!$R$12="No",'Staging Table'!BH20, 0),X18))</f>
        <v>117524.16</v>
      </c>
      <c r="N18" s="297">
        <f>IF('Staging Table'!C20=1,"",IF(M18=0, 0, L18/M18))</f>
        <v>36.858180701562588</v>
      </c>
      <c r="O18" s="199">
        <f>'Staging Table'!BS20*Rates_current!$E$76*100*12</f>
        <v>4960099.29672</v>
      </c>
      <c r="P18" s="199">
        <f>'Staging Table'!BS20*Rates_current!$E$77*100*12</f>
        <v>-871678.89036000008</v>
      </c>
      <c r="Q18" s="200">
        <f>SUMPRODUCT('Staging Table'!BY20:CV20, LS_Demand_Rates_Restatement!$C$5:$Z$5)-IF(Init!$R$12="No",('Staging Table'!DU20*Rates_current!$H$34), 0)</f>
        <v>192404.46005972417</v>
      </c>
      <c r="R18" s="200">
        <f>SUMPRODUCT('Staging Table'!CW20:DH20, LS_Demand_Rates_Restatement!$C$11:$N$11)*1000</f>
        <v>276584.74909666134</v>
      </c>
      <c r="S18" s="201">
        <f>'Staging Table'!ED20*IF(Init!$R$15="Yes",IF(Init!$R$6=2024,Rates_current!$C$88,Rates_current!$D$88),Rates_current!$H$33)</f>
        <v>0</v>
      </c>
      <c r="T18" s="201">
        <v>0</v>
      </c>
      <c r="U18" s="201">
        <f>IF('Staging Table'!D20=1, 'Staging Table'!BU20*-1*'Staging Table'!BS20/'Staging Table'!BR20,SUM(O18:T18)*'Staging Table'!BU20*-1)</f>
        <v>0</v>
      </c>
      <c r="V18" s="199">
        <f>'Staging Table'!BX20*Rates_current!$H$32*-1</f>
        <v>0</v>
      </c>
      <c r="W18" s="199">
        <f>IF('Staging Table'!C20=1,"", SUM(O18:V18))</f>
        <v>4557409.6155163851</v>
      </c>
      <c r="X18" s="199">
        <f>IF('Staging Table'!C20=1,"", (RT1SC!$C$4*'Staging Table'!BS20*'Staging Table'!$BS$2)+SUM('Staging Table'!BY20:CV20)-IF(Init!$R$12="No",'Staging Table'!DU20, 0))</f>
        <v>123538.17600000001</v>
      </c>
      <c r="Y18" s="297">
        <f>IF('Staging Table'!C20=1,"",IF(X18=0, 0, W18/X18))</f>
        <v>36.89069859276848</v>
      </c>
      <c r="Z18" s="76">
        <f ca="1">IF('Staging Table'!C20=1,"",(Y18/N18-1)+(RAND()/100000000000000))</f>
        <v>8.8224352334341277E-4</v>
      </c>
      <c r="AA18" s="53">
        <f t="shared" ca="1" si="0"/>
        <v>32</v>
      </c>
      <c r="AC18" s="405"/>
      <c r="AD18" s="204"/>
      <c r="AE18" s="204"/>
      <c r="AG18" s="204"/>
      <c r="AH18" s="204"/>
    </row>
    <row r="19" spans="2:34">
      <c r="B19" s="123">
        <v>10065</v>
      </c>
      <c r="C19" s="124" t="s">
        <v>22</v>
      </c>
      <c r="D19" s="199">
        <f>IF(Init!$R$9="Yes",'Staging Table'!F21,'Staging Table'!BS21)*Rates_previous!$E$76*100*12</f>
        <v>807440.53958934755</v>
      </c>
      <c r="E19" s="199">
        <f>IF(Init!$R$9="Yes",'Staging Table'!F21,'Staging Table'!BS21)*Rates_previous!$E$77*100*12</f>
        <v>-133310.37053505162</v>
      </c>
      <c r="F19" s="200">
        <f>IF(Init!$R$9="Yes",SUMPRODUCT('Staging Table'!L21:AI21,LS_Demand_Rates_Restatement!$C$4:$Z$4)-IF(Init!$R$12="No",('Staging Table'!BH21*Rates_previous!$H$34), 0),SUMPRODUCT('Staging Table'!BY21:CV21,LS_Demand_Rates_Restatement!$C$4:$Z$4)-IF(Init!$R$12="No", 'Staging Table'!DU21*Rates_previous!$H$34, 0))</f>
        <v>5935.0616311272897</v>
      </c>
      <c r="G19" s="200">
        <f>IF(Init!$R$9="Yes",SUMPRODUCT('Staging Table'!AJ21:AU21,LS_Demand_Rates_Restatement!$C$10:$N$10),SUMPRODUCT(LS_Demand_Rates_Restatement!$C$10:$N$10,'Staging Table'!CW21:DH21))*1000</f>
        <v>9980.3396193108983</v>
      </c>
      <c r="H19" s="201">
        <f>IF(Init!$R$9="Yes",'Staging Table'!BQ21,'Staging Table'!ED21)*IF(Init!$R$3=2022,Rates_previous!$C$88,Rates_previous!$D$88)</f>
        <v>0</v>
      </c>
      <c r="I19" s="199">
        <v>0</v>
      </c>
      <c r="J19" s="201">
        <f>IF(Init!$R$9="Yes",IF('Staging Table'!D21=1,'Staging Table'!H21*-1*'Staging Table'!BS21/'Staging Table'!BR21,'Staging Table'!H21*SUM(D19:I19)*(-1)),IF('Staging Table'!D21=1,'Staging Table'!BU21*-1*'Staging Table'!BS21/'Staging Table'!BR21,'Staging Table'!BU21*SUM(D19:I19)*(-1)))</f>
        <v>-53112.807546355376</v>
      </c>
      <c r="K19" s="199">
        <f>IF(Init!$R$9="Yes",'Staging Table'!K21,'Staging Table'!BX21)*(-1)*Rates_previous!$H$32</f>
        <v>0</v>
      </c>
      <c r="L19" s="199">
        <f>IF('Staging Table'!C21=1,"",SUM(D19:K19))</f>
        <v>636932.76275837864</v>
      </c>
      <c r="M19" s="199">
        <f>IF('Staging Table'!C21=1,"",IF(Init!$R$9="Yes",(RT1SC!$C$3*'Staging Table'!F21*'Staging Table'!$F$2)+SUM('Staging Table'!L21:AI21)-IF(Init!$R$12="No",'Staging Table'!BH21, 0),X19))</f>
        <v>19867.679999999997</v>
      </c>
      <c r="N19" s="297">
        <f>IF('Staging Table'!C21=1,"",IF(M19=0, 0, L19/M19))</f>
        <v>32.058738753512174</v>
      </c>
      <c r="O19" s="199">
        <f>'Staging Table'!BS21*Rates_current!$E$76*100*12</f>
        <v>838765.22184000001</v>
      </c>
      <c r="P19" s="199">
        <f>'Staging Table'!BS21*Rates_current!$E$77*100*12</f>
        <v>-147403.08491999999</v>
      </c>
      <c r="Q19" s="200">
        <f>SUMPRODUCT('Staging Table'!BY21:CV21, LS_Demand_Rates_Restatement!$C$5:$Z$5)-IF(Init!$R$12="No",('Staging Table'!DU21*Rates_current!$H$34), 0)</f>
        <v>3379.762395826624</v>
      </c>
      <c r="R19" s="200">
        <f>SUMPRODUCT('Staging Table'!CW21:DH21, LS_Demand_Rates_Restatement!$C$11:$N$11)*1000</f>
        <v>8987.1702624999907</v>
      </c>
      <c r="S19" s="201">
        <f>'Staging Table'!ED21*IF(Init!$R$15="Yes",IF(Init!$R$6=2024,Rates_current!$C$88,Rates_current!$D$88),Rates_current!$H$33)</f>
        <v>0</v>
      </c>
      <c r="T19" s="201">
        <v>0</v>
      </c>
      <c r="U19" s="201">
        <f>IF('Staging Table'!D21=1, 'Staging Table'!BU21*-1*'Staging Table'!BS21/'Staging Table'!BR21,SUM(O19:T19)*'Staging Table'!BU21*-1)</f>
        <v>-53362.668556082361</v>
      </c>
      <c r="V19" s="199">
        <f>'Staging Table'!BX21*Rates_current!$H$32*-1</f>
        <v>0</v>
      </c>
      <c r="W19" s="199">
        <f>IF('Staging Table'!C21=1,"", SUM(O19:V19))</f>
        <v>650366.40102224413</v>
      </c>
      <c r="X19" s="199">
        <f>IF('Staging Table'!C21=1,"", (RT1SC!$C$4*'Staging Table'!BS21*'Staging Table'!$BS$2)+SUM('Staging Table'!BY21:CV21)-IF(Init!$R$12="No",'Staging Table'!DU21, 0))</f>
        <v>20888.352000000003</v>
      </c>
      <c r="Y19" s="297">
        <f>IF('Staging Table'!C21=1,"",IF(X19=0, 0, W19/X19))</f>
        <v>31.135361996113627</v>
      </c>
      <c r="Z19" s="76">
        <f ca="1">IF('Staging Table'!C21=1,"",(Y19/N19-1)+(RAND()/100000000000000))</f>
        <v>-2.8802653919041903E-2</v>
      </c>
      <c r="AA19" s="53">
        <f t="shared" ca="1" si="0"/>
        <v>115</v>
      </c>
      <c r="AC19" s="405"/>
      <c r="AD19" s="204"/>
      <c r="AE19" s="204"/>
      <c r="AG19" s="204"/>
      <c r="AH19" s="204"/>
    </row>
    <row r="20" spans="2:34">
      <c r="B20" s="123">
        <v>10066</v>
      </c>
      <c r="C20" s="124" t="s">
        <v>23</v>
      </c>
      <c r="D20" s="199">
        <f>IF(Init!$R$9="Yes",'Staging Table'!F22,'Staging Table'!BS22)*Rates_previous!$E$76*100*12</f>
        <v>8276085.6732307617</v>
      </c>
      <c r="E20" s="199">
        <f>IF(Init!$R$9="Yes",'Staging Table'!F22,'Staging Table'!BS22)*Rates_previous!$E$77*100*12</f>
        <v>-1366401.6030695476</v>
      </c>
      <c r="F20" s="200">
        <f>IF(Init!$R$9="Yes",SUMPRODUCT('Staging Table'!L22:AI22,LS_Demand_Rates_Restatement!$C$4:$Z$4)-IF(Init!$R$12="No",('Staging Table'!BH22*Rates_previous!$H$34), 0),SUMPRODUCT('Staging Table'!BY22:CV22,LS_Demand_Rates_Restatement!$C$4:$Z$4)-IF(Init!$R$12="No", 'Staging Table'!DU22*Rates_previous!$H$34, 0))</f>
        <v>95737.022037416566</v>
      </c>
      <c r="G20" s="200">
        <f>IF(Init!$R$9="Yes",SUMPRODUCT('Staging Table'!AJ22:AU22,LS_Demand_Rates_Restatement!$C$10:$N$10),SUMPRODUCT(LS_Demand_Rates_Restatement!$C$10:$N$10,'Staging Table'!CW22:DH22))*1000</f>
        <v>357415.95512643334</v>
      </c>
      <c r="H20" s="201">
        <f>IF(Init!$R$9="Yes",'Staging Table'!BQ22,'Staging Table'!ED22)*IF(Init!$R$3=2022,Rates_previous!$C$88,Rates_previous!$D$88)</f>
        <v>0</v>
      </c>
      <c r="I20" s="199">
        <v>0</v>
      </c>
      <c r="J20" s="201">
        <f>IF(Init!$R$9="Yes",IF('Staging Table'!D22=1,'Staging Table'!H22*-1*'Staging Table'!BS22/'Staging Table'!BR22,'Staging Table'!H22*SUM(D20:I20)*(-1)),IF('Staging Table'!D22=1,'Staging Table'!BU22*-1*'Staging Table'!BS22/'Staging Table'!BR22,'Staging Table'!BU22*SUM(D20:I20)*(-1)))</f>
        <v>0</v>
      </c>
      <c r="K20" s="199">
        <f>IF(Init!$R$9="Yes",'Staging Table'!K22,'Staging Table'!BX22)*(-1)*Rates_previous!$H$32</f>
        <v>0</v>
      </c>
      <c r="L20" s="199">
        <f>IF('Staging Table'!C22=1,"",SUM(D20:K20))</f>
        <v>7362837.0473250644</v>
      </c>
      <c r="M20" s="199">
        <f>IF('Staging Table'!C22=1,"",IF(Init!$R$9="Yes",(RT1SC!$C$3*'Staging Table'!F22*'Staging Table'!$F$2)+SUM('Staging Table'!L22:AI22)-IF(Init!$R$12="No",'Staging Table'!BH22, 0),X20))</f>
        <v>200316.77841763716</v>
      </c>
      <c r="N20" s="297">
        <f>IF('Staging Table'!C22=1,"",IF(M20=0, 0, L20/M20))</f>
        <v>36.755967750112305</v>
      </c>
      <c r="O20" s="199">
        <f>'Staging Table'!BS22*Rates_current!$E$76*100*12</f>
        <v>8595163.7805599999</v>
      </c>
      <c r="P20" s="199">
        <f>'Staging Table'!BS22*Rates_current!$E$77*100*12</f>
        <v>-1510498.5562799999</v>
      </c>
      <c r="Q20" s="200">
        <f>SUMPRODUCT('Staging Table'!BY22:CV22, LS_Demand_Rates_Restatement!$C$5:$Z$5)-IF(Init!$R$12="No",('Staging Table'!DU22*Rates_current!$H$34), 0)</f>
        <v>291063.15010667971</v>
      </c>
      <c r="R20" s="200">
        <f>SUMPRODUCT('Staging Table'!CW22:DH22, LS_Demand_Rates_Restatement!$C$11:$N$11)*1000</f>
        <v>363367.30899882468</v>
      </c>
      <c r="S20" s="201">
        <f>'Staging Table'!ED22*IF(Init!$R$15="Yes",IF(Init!$R$6=2024,Rates_current!$C$88,Rates_current!$D$88),Rates_current!$H$33)</f>
        <v>0</v>
      </c>
      <c r="T20" s="201">
        <v>0</v>
      </c>
      <c r="U20" s="201">
        <f>IF('Staging Table'!D22=1, 'Staging Table'!BU22*-1*'Staging Table'!BS22/'Staging Table'!BR22,SUM(O20:T20)*'Staging Table'!BU22*-1)</f>
        <v>0</v>
      </c>
      <c r="V20" s="199">
        <f>'Staging Table'!BX22*Rates_current!$H$32*-1</f>
        <v>0</v>
      </c>
      <c r="W20" s="199">
        <f>IF('Staging Table'!C22=1,"", SUM(O20:V20))</f>
        <v>7739095.6833855044</v>
      </c>
      <c r="X20" s="199">
        <f>IF('Staging Table'!C22=1,"", (RT1SC!$C$4*'Staging Table'!BS22*'Staging Table'!$BS$2)+SUM('Staging Table'!BY22:CV22)-IF(Init!$R$12="No",'Staging Table'!DU22, 0))</f>
        <v>214074.864</v>
      </c>
      <c r="Y20" s="297">
        <f>IF('Staging Table'!C22=1,"",IF(X20=0, 0, W20/X20))</f>
        <v>36.151351628958665</v>
      </c>
      <c r="Z20" s="76">
        <f ca="1">IF('Staging Table'!C22=1,"",(Y20/N20-1)+(RAND()/100000000000000))</f>
        <v>-1.6449468158858119E-2</v>
      </c>
      <c r="AA20" s="53">
        <f t="shared" ca="1" si="0"/>
        <v>92</v>
      </c>
      <c r="AC20" s="405"/>
      <c r="AD20" s="204"/>
      <c r="AE20" s="204"/>
      <c r="AG20" s="204"/>
      <c r="AH20" s="204"/>
    </row>
    <row r="21" spans="2:34">
      <c r="B21" s="123">
        <v>10067</v>
      </c>
      <c r="C21" s="124" t="s">
        <v>24</v>
      </c>
      <c r="D21" s="199">
        <f>IF(Init!$R$9="Yes",'Staging Table'!F23,'Staging Table'!BS23)*Rates_previous!$E$76*100*12</f>
        <v>5371266.1733656693</v>
      </c>
      <c r="E21" s="199">
        <f>IF(Init!$R$9="Yes",'Staging Table'!F23,'Staging Table'!BS23)*Rates_previous!$E$77*100*12</f>
        <v>-886808.93354442716</v>
      </c>
      <c r="F21" s="200">
        <f>IF(Init!$R$9="Yes",SUMPRODUCT('Staging Table'!L23:AI23,LS_Demand_Rates_Restatement!$C$4:$Z$4)-IF(Init!$R$12="No",('Staging Table'!BH23*Rates_previous!$H$34), 0),SUMPRODUCT('Staging Table'!BY23:CV23,LS_Demand_Rates_Restatement!$C$4:$Z$4)-IF(Init!$R$12="No", 'Staging Table'!DU23*Rates_previous!$H$34, 0))</f>
        <v>65597.774358037437</v>
      </c>
      <c r="G21" s="200">
        <f>IF(Init!$R$9="Yes",SUMPRODUCT('Staging Table'!AJ23:AU23,LS_Demand_Rates_Restatement!$C$10:$N$10),SUMPRODUCT(LS_Demand_Rates_Restatement!$C$10:$N$10,'Staging Table'!CW23:DH23))*1000</f>
        <v>525821.1146169604</v>
      </c>
      <c r="H21" s="201">
        <f>IF(Init!$R$9="Yes",'Staging Table'!BQ23,'Staging Table'!ED23)*IF(Init!$R$3=2022,Rates_previous!$C$88,Rates_previous!$D$88)</f>
        <v>0</v>
      </c>
      <c r="I21" s="199">
        <v>0</v>
      </c>
      <c r="J21" s="201">
        <f>IF(Init!$R$9="Yes",IF('Staging Table'!D23=1,'Staging Table'!H23*-1*'Staging Table'!BS23/'Staging Table'!BR23,'Staging Table'!H23*SUM(D21:I21)*(-1)),IF('Staging Table'!D23=1,'Staging Table'!BU23*-1*'Staging Table'!BS23/'Staging Table'!BR23,'Staging Table'!BU23*SUM(D21:I21)*(-1)))</f>
        <v>0</v>
      </c>
      <c r="K21" s="199">
        <f>IF(Init!$R$9="Yes",'Staging Table'!K23,'Staging Table'!BX23)*(-1)*Rates_previous!$H$32</f>
        <v>0</v>
      </c>
      <c r="L21" s="199">
        <f>IF('Staging Table'!C23=1,"",SUM(D21:K21))</f>
        <v>5075876.1287962403</v>
      </c>
      <c r="M21" s="199">
        <f>IF('Staging Table'!C23=1,"",IF(Init!$R$9="Yes",(RT1SC!$C$3*'Staging Table'!F23*'Staging Table'!$F$2)+SUM('Staging Table'!L23:AI23)-IF(Init!$R$12="No",'Staging Table'!BH23, 0),X21))</f>
        <v>132170.88</v>
      </c>
      <c r="N21" s="297">
        <f>IF('Staging Table'!C23=1,"",IF(M21=0, 0, L21/M21))</f>
        <v>38.403891453217533</v>
      </c>
      <c r="O21" s="199">
        <f>'Staging Table'!BS23*Rates_current!$E$76*100*12</f>
        <v>5578399.0533600003</v>
      </c>
      <c r="P21" s="199">
        <f>'Staging Table'!BS23*Rates_current!$E$77*100*12</f>
        <v>-980337.77267999994</v>
      </c>
      <c r="Q21" s="200">
        <f>SUMPRODUCT('Staging Table'!BY23:CV23, LS_Demand_Rates_Restatement!$C$5:$Z$5)-IF(Init!$R$12="No",('Staging Table'!DU23*Rates_current!$H$34), 0)</f>
        <v>150909.59391930065</v>
      </c>
      <c r="R21" s="200">
        <f>SUMPRODUCT('Staging Table'!CW23:DH23, LS_Demand_Rates_Restatement!$C$11:$N$11)*1000</f>
        <v>522584.56241017632</v>
      </c>
      <c r="S21" s="201">
        <f>'Staging Table'!ED23*IF(Init!$R$15="Yes",IF(Init!$R$6=2024,Rates_current!$C$88,Rates_current!$D$88),Rates_current!$H$33)</f>
        <v>0</v>
      </c>
      <c r="T21" s="201">
        <v>0</v>
      </c>
      <c r="U21" s="201">
        <f>IF('Staging Table'!D23=1, 'Staging Table'!BU23*-1*'Staging Table'!BS23/'Staging Table'!BR23,SUM(O21:T21)*'Staging Table'!BU23*-1)</f>
        <v>0</v>
      </c>
      <c r="V21" s="199">
        <f>'Staging Table'!BX23*Rates_current!$H$32*-1</f>
        <v>0</v>
      </c>
      <c r="W21" s="199">
        <f>IF('Staging Table'!C23=1,"", SUM(O21:V21))</f>
        <v>5271555.437009478</v>
      </c>
      <c r="X21" s="199">
        <f>IF('Staging Table'!C23=1,"", (RT1SC!$C$4*'Staging Table'!BS23*'Staging Table'!$BS$2)+SUM('Staging Table'!BY23:CV23)-IF(Init!$R$12="No",'Staging Table'!DU23, 0))</f>
        <v>138933.45363685692</v>
      </c>
      <c r="Y21" s="297">
        <f>IF('Staging Table'!C23=1,"",IF(X21=0, 0, W21/X21))</f>
        <v>37.94302451293138</v>
      </c>
      <c r="Z21" s="76">
        <f ca="1">IF('Staging Table'!C23=1,"",(Y21/N21-1)+(RAND()/100000000000000))</f>
        <v>-1.2000527104068195E-2</v>
      </c>
      <c r="AA21" s="53">
        <f t="shared" ca="1" si="0"/>
        <v>74</v>
      </c>
      <c r="AC21" s="405"/>
      <c r="AD21" s="204"/>
      <c r="AE21" s="204"/>
      <c r="AG21" s="204"/>
      <c r="AH21" s="204"/>
    </row>
    <row r="22" spans="2:34">
      <c r="B22" s="123">
        <v>10068</v>
      </c>
      <c r="C22" s="124" t="s">
        <v>25</v>
      </c>
      <c r="D22" s="199">
        <f>IF(Init!$R$9="Yes",'Staging Table'!F24,'Staging Table'!BS24)*Rates_previous!$E$76*100*12</f>
        <v>921590.13770177099</v>
      </c>
      <c r="E22" s="199">
        <f>IF(Init!$R$9="Yes",'Staging Table'!F24,'Staging Table'!BS24)*Rates_previous!$E$77*100*12</f>
        <v>-152156.74308470549</v>
      </c>
      <c r="F22" s="200">
        <f>IF(Init!$R$9="Yes",SUMPRODUCT('Staging Table'!L24:AI24,LS_Demand_Rates_Restatement!$C$4:$Z$4)-IF(Init!$R$12="No",('Staging Table'!BH24*Rates_previous!$H$34), 0),SUMPRODUCT('Staging Table'!BY24:CV24,LS_Demand_Rates_Restatement!$C$4:$Z$4)-IF(Init!$R$12="No", 'Staging Table'!DU24*Rates_previous!$H$34, 0))</f>
        <v>247.86418304368635</v>
      </c>
      <c r="G22" s="200">
        <f>IF(Init!$R$9="Yes",SUMPRODUCT('Staging Table'!AJ24:AU24,LS_Demand_Rates_Restatement!$C$10:$N$10),SUMPRODUCT(LS_Demand_Rates_Restatement!$C$10:$N$10,'Staging Table'!CW24:DH24))*1000</f>
        <v>46465.901033333321</v>
      </c>
      <c r="H22" s="201">
        <f>IF(Init!$R$9="Yes",'Staging Table'!BQ24,'Staging Table'!ED24)*IF(Init!$R$3=2022,Rates_previous!$C$88,Rates_previous!$D$88)</f>
        <v>-3711.6290691067497</v>
      </c>
      <c r="I22" s="199">
        <v>0</v>
      </c>
      <c r="J22" s="201">
        <f>IF(Init!$R$9="Yes",IF('Staging Table'!D24=1,'Staging Table'!H24*-1*'Staging Table'!BS24/'Staging Table'!BR24,'Staging Table'!H24*SUM(D22:I22)*(-1)),IF('Staging Table'!D24=1,'Staging Table'!BU24*-1*'Staging Table'!BS24/'Staging Table'!BR24,'Staging Table'!BU24*SUM(D22:I22)*(-1)))</f>
        <v>0</v>
      </c>
      <c r="K22" s="199">
        <f>IF(Init!$R$9="Yes",'Staging Table'!K24,'Staging Table'!BX24)*(-1)*Rates_previous!$H$32</f>
        <v>0</v>
      </c>
      <c r="L22" s="199">
        <f>IF('Staging Table'!C24=1,"",SUM(D22:K22))</f>
        <v>812435.53076433577</v>
      </c>
      <c r="M22" s="199">
        <f>IF('Staging Table'!C24=1,"",IF(Init!$R$9="Yes",(RT1SC!$C$3*'Staging Table'!F24*'Staging Table'!$F$2)+SUM('Staging Table'!L24:AI24)-IF(Init!$R$12="No",'Staging Table'!BH24, 0),X22))</f>
        <v>22152.746160064315</v>
      </c>
      <c r="N22" s="297">
        <f>IF('Staging Table'!C24=1,"",IF(M22=0, 0, L22/M22))</f>
        <v>36.674258121051707</v>
      </c>
      <c r="O22" s="199">
        <f>'Staging Table'!BS24*Rates_current!$E$76*100*12</f>
        <v>889584.37992000009</v>
      </c>
      <c r="P22" s="199">
        <f>'Staging Table'!BS24*Rates_current!$E$77*100*12</f>
        <v>-156333.95196000001</v>
      </c>
      <c r="Q22" s="200">
        <f>SUMPRODUCT('Staging Table'!BY24:CV24, LS_Demand_Rates_Restatement!$C$5:$Z$5)-IF(Init!$R$12="No",('Staging Table'!DU24*Rates_current!$H$34), 0)</f>
        <v>30498.633221526081</v>
      </c>
      <c r="R22" s="200">
        <f>SUMPRODUCT('Staging Table'!CW24:DH24, LS_Demand_Rates_Restatement!$C$11:$N$11)*1000</f>
        <v>47626.154299278838</v>
      </c>
      <c r="S22" s="201">
        <f>'Staging Table'!ED24*IF(Init!$R$15="Yes",IF(Init!$R$6=2024,Rates_current!$C$88,Rates_current!$D$88),Rates_current!$H$33)</f>
        <v>3.3845065063267978</v>
      </c>
      <c r="T22" s="201">
        <v>0</v>
      </c>
      <c r="U22" s="201">
        <f>IF('Staging Table'!D24=1, 'Staging Table'!BU24*-1*'Staging Table'!BS24/'Staging Table'!BR24,SUM(O22:T22)*'Staging Table'!BU24*-1)</f>
        <v>0</v>
      </c>
      <c r="V22" s="199">
        <f>'Staging Table'!BX24*Rates_current!$H$32*-1</f>
        <v>0</v>
      </c>
      <c r="W22" s="199">
        <f>IF('Staging Table'!C24=1,"", SUM(O22:V22))</f>
        <v>811378.59998731141</v>
      </c>
      <c r="X22" s="199">
        <f>IF('Staging Table'!C24=1,"", (RT1SC!$C$4*'Staging Table'!BS24*'Staging Table'!$BS$2)+SUM('Staging Table'!BY24:CV24)-IF(Init!$R$12="No",'Staging Table'!DU24, 0))</f>
        <v>22152.745101559238</v>
      </c>
      <c r="Y22" s="297">
        <f>IF('Staging Table'!C24=1,"",IF(X22=0, 0, W22/X22))</f>
        <v>36.62654882126558</v>
      </c>
      <c r="Z22" s="76">
        <f ca="1">IF('Staging Table'!C24=1,"",(Y22/N22-1)+(RAND()/100000000000000))</f>
        <v>-1.3008933849017208E-3</v>
      </c>
      <c r="AA22" s="53">
        <f t="shared" ca="1" si="0"/>
        <v>36</v>
      </c>
      <c r="AC22" s="405"/>
      <c r="AD22" s="204"/>
      <c r="AE22" s="204"/>
      <c r="AG22" s="204"/>
      <c r="AH22" s="204"/>
    </row>
    <row r="23" spans="2:34">
      <c r="B23" s="123">
        <v>10070</v>
      </c>
      <c r="C23" s="124" t="s">
        <v>26</v>
      </c>
      <c r="D23" s="199">
        <f>IF(Init!$R$9="Yes",'Staging Table'!F25,'Staging Table'!BS25)*Rates_previous!$E$76*100*12</f>
        <v>121823.5206746031</v>
      </c>
      <c r="E23" s="199">
        <f>IF(Init!$R$9="Yes",'Staging Table'!F25,'Staging Table'!BS25)*Rates_previous!$E$77*100*12</f>
        <v>-20113.355578202027</v>
      </c>
      <c r="F23" s="200">
        <f>IF(Init!$R$9="Yes",SUMPRODUCT('Staging Table'!L25:AI25,LS_Demand_Rates_Restatement!$C$4:$Z$4)-IF(Init!$R$12="No",('Staging Table'!BH25*Rates_previous!$H$34), 0),SUMPRODUCT('Staging Table'!BY25:CV25,LS_Demand_Rates_Restatement!$C$4:$Z$4)-IF(Init!$R$12="No", 'Staging Table'!DU25*Rates_previous!$H$34, 0))</f>
        <v>1850.8630788314185</v>
      </c>
      <c r="G23" s="200">
        <f>IF(Init!$R$9="Yes",SUMPRODUCT('Staging Table'!AJ25:AU25,LS_Demand_Rates_Restatement!$C$10:$N$10),SUMPRODUCT(LS_Demand_Rates_Restatement!$C$10:$N$10,'Staging Table'!CW25:DH25))*1000</f>
        <v>6586.8047182781365</v>
      </c>
      <c r="H23" s="201">
        <f>IF(Init!$R$9="Yes",'Staging Table'!BQ25,'Staging Table'!ED25)*IF(Init!$R$3=2022,Rates_previous!$C$88,Rates_previous!$D$88)</f>
        <v>0</v>
      </c>
      <c r="I23" s="199">
        <v>0</v>
      </c>
      <c r="J23" s="201">
        <f>IF(Init!$R$9="Yes",IF('Staging Table'!D25=1,'Staging Table'!H25*-1*'Staging Table'!BS25/'Staging Table'!BR25,'Staging Table'!H25*SUM(D23:I23)*(-1)),IF('Staging Table'!D25=1,'Staging Table'!BU25*-1*'Staging Table'!BS25/'Staging Table'!BR25,'Staging Table'!BU25*SUM(D23:I23)*(-1)))</f>
        <v>0</v>
      </c>
      <c r="K23" s="199">
        <f>IF(Init!$R$9="Yes",'Staging Table'!K25,'Staging Table'!BX25)*(-1)*Rates_previous!$H$32</f>
        <v>0</v>
      </c>
      <c r="L23" s="199">
        <f>IF('Staging Table'!C25=1,"",SUM(D23:K23))</f>
        <v>110147.83289351063</v>
      </c>
      <c r="M23" s="199">
        <f>IF('Staging Table'!C25=1,"",IF(Init!$R$9="Yes",(RT1SC!$C$3*'Staging Table'!F25*'Staging Table'!$F$2)+SUM('Staging Table'!L25:AI25)-IF(Init!$R$12="No",'Staging Table'!BH25, 0),X23))</f>
        <v>2995.92</v>
      </c>
      <c r="N23" s="297">
        <f>IF('Staging Table'!C25=1,"",IF(M23=0, 0, L23/M23))</f>
        <v>36.765945984375627</v>
      </c>
      <c r="O23" s="199">
        <f>'Staging Table'!BS25*Rates_current!$E$76*100*12</f>
        <v>126549.66816000002</v>
      </c>
      <c r="P23" s="199">
        <f>'Staging Table'!BS25*Rates_current!$E$77*100*12</f>
        <v>-22239.610079999999</v>
      </c>
      <c r="Q23" s="200">
        <f>SUMPRODUCT('Staging Table'!BY25:CV25, LS_Demand_Rates_Restatement!$C$5:$Z$5)-IF(Init!$R$12="No",('Staging Table'!DU25*Rates_current!$H$34), 0)</f>
        <v>4197.6496873662072</v>
      </c>
      <c r="R23" s="200">
        <f>SUMPRODUCT('Staging Table'!CW25:DH25, LS_Demand_Rates_Restatement!$C$11:$N$11)*1000</f>
        <v>6882.8899819444441</v>
      </c>
      <c r="S23" s="201">
        <f>'Staging Table'!ED25*IF(Init!$R$15="Yes",IF(Init!$R$6=2024,Rates_current!$C$88,Rates_current!$D$88),Rates_current!$H$33)</f>
        <v>0</v>
      </c>
      <c r="T23" s="201">
        <v>0</v>
      </c>
      <c r="U23" s="201">
        <f>IF('Staging Table'!D25=1, 'Staging Table'!BU25*-1*'Staging Table'!BS25/'Staging Table'!BR25,SUM(O23:T23)*'Staging Table'!BU25*-1)</f>
        <v>0</v>
      </c>
      <c r="V23" s="199">
        <f>'Staging Table'!BX25*Rates_current!$H$32*-1</f>
        <v>0</v>
      </c>
      <c r="W23" s="199">
        <f>IF('Staging Table'!C25=1,"", SUM(O23:V23))</f>
        <v>115390.59774931068</v>
      </c>
      <c r="X23" s="199">
        <f>IF('Staging Table'!C25=1,"", (RT1SC!$C$4*'Staging Table'!BS25*'Staging Table'!$BS$2)+SUM('Staging Table'!BY25:CV25)-IF(Init!$R$12="No",'Staging Table'!DU25, 0))</f>
        <v>3153.4559999999997</v>
      </c>
      <c r="Y23" s="297">
        <f>IF('Staging Table'!C25=1,"",IF(X23=0, 0, W23/X23))</f>
        <v>36.591789373091203</v>
      </c>
      <c r="Z23" s="76">
        <f ca="1">IF('Staging Table'!C25=1,"",(Y23/N23-1)+(RAND()/100000000000000))</f>
        <v>-4.7369000476206883E-3</v>
      </c>
      <c r="AA23" s="53">
        <f t="shared" ca="1" si="0"/>
        <v>42</v>
      </c>
      <c r="AC23" s="405"/>
      <c r="AD23" s="204"/>
      <c r="AE23" s="204"/>
      <c r="AG23" s="204"/>
      <c r="AH23" s="204"/>
    </row>
    <row r="24" spans="2:34">
      <c r="B24" s="123">
        <v>10071</v>
      </c>
      <c r="C24" s="124" t="s">
        <v>27</v>
      </c>
      <c r="D24" s="199">
        <f>IF(Init!$R$9="Yes",'Staging Table'!F26,'Staging Table'!BS26)*Rates_previous!$E$76*100*12</f>
        <v>650125.12706466322</v>
      </c>
      <c r="E24" s="199">
        <f>IF(Init!$R$9="Yes",'Staging Table'!F26,'Staging Table'!BS26)*Rates_previous!$E$77*100*12</f>
        <v>-107337.21844981436</v>
      </c>
      <c r="F24" s="200">
        <f>IF(Init!$R$9="Yes",SUMPRODUCT('Staging Table'!L26:AI26,LS_Demand_Rates_Restatement!$C$4:$Z$4)-IF(Init!$R$12="No",('Staging Table'!BH26*Rates_previous!$H$34), 0),SUMPRODUCT('Staging Table'!BY26:CV26,LS_Demand_Rates_Restatement!$C$4:$Z$4)-IF(Init!$R$12="No", 'Staging Table'!DU26*Rates_previous!$H$34, 0))</f>
        <v>10160.799812955107</v>
      </c>
      <c r="G24" s="200">
        <f>IF(Init!$R$9="Yes",SUMPRODUCT('Staging Table'!AJ26:AU26,LS_Demand_Rates_Restatement!$C$10:$N$10),SUMPRODUCT(LS_Demand_Rates_Restatement!$C$10:$N$10,'Staging Table'!CW26:DH26))*1000</f>
        <v>19396.527488586187</v>
      </c>
      <c r="H24" s="201">
        <f>IF(Init!$R$9="Yes",'Staging Table'!BQ26,'Staging Table'!ED26)*IF(Init!$R$3=2022,Rates_previous!$C$88,Rates_previous!$D$88)</f>
        <v>0</v>
      </c>
      <c r="I24" s="199">
        <v>0</v>
      </c>
      <c r="J24" s="201">
        <f>IF(Init!$R$9="Yes",IF('Staging Table'!D26=1,'Staging Table'!H26*-1*'Staging Table'!BS26/'Staging Table'!BR26,'Staging Table'!H26*SUM(D24:I24)*(-1)),IF('Staging Table'!D26=1,'Staging Table'!BU26*-1*'Staging Table'!BS26/'Staging Table'!BR26,'Staging Table'!BU26*SUM(D24:I24)*(-1)))</f>
        <v>0</v>
      </c>
      <c r="K24" s="199">
        <f>IF(Init!$R$9="Yes",'Staging Table'!K26,'Staging Table'!BX26)*(-1)*Rates_previous!$H$32</f>
        <v>0</v>
      </c>
      <c r="L24" s="199">
        <f>IF('Staging Table'!C26=1,"",SUM(D24:K24))</f>
        <v>572345.23591639008</v>
      </c>
      <c r="M24" s="199">
        <f>IF('Staging Table'!C26=1,"",IF(Init!$R$9="Yes",(RT1SC!$C$3*'Staging Table'!F26*'Staging Table'!$F$2)+SUM('Staging Table'!L26:AI26)-IF(Init!$R$12="No",'Staging Table'!BH26, 0),X24))</f>
        <v>15995.76</v>
      </c>
      <c r="N24" s="297">
        <f>IF('Staging Table'!C26=1,"",IF(M24=0, 0, L24/M24))</f>
        <v>35.781059225469129</v>
      </c>
      <c r="O24" s="199">
        <f>'Staging Table'!BS26*Rates_current!$E$76*100*12</f>
        <v>657659.69280000008</v>
      </c>
      <c r="P24" s="199">
        <f>'Staging Table'!BS26*Rates_current!$E$77*100*12</f>
        <v>-115575.92640000003</v>
      </c>
      <c r="Q24" s="200">
        <f>SUMPRODUCT('Staging Table'!BY26:CV26, LS_Demand_Rates_Restatement!$C$5:$Z$5)-IF(Init!$R$12="No",('Staging Table'!DU26*Rates_current!$H$34), 0)</f>
        <v>18519.83202490296</v>
      </c>
      <c r="R24" s="200">
        <f>SUMPRODUCT('Staging Table'!CW26:DH26, LS_Demand_Rates_Restatement!$C$11:$N$11)*1000</f>
        <v>18809.565260683761</v>
      </c>
      <c r="S24" s="201">
        <f>'Staging Table'!ED26*IF(Init!$R$15="Yes",IF(Init!$R$6=2024,Rates_current!$C$88,Rates_current!$D$88),Rates_current!$H$33)</f>
        <v>16.313014700827154</v>
      </c>
      <c r="T24" s="201">
        <v>0</v>
      </c>
      <c r="U24" s="201">
        <f>IF('Staging Table'!D26=1, 'Staging Table'!BU26*-1*'Staging Table'!BS26/'Staging Table'!BR26,SUM(O24:T24)*'Staging Table'!BU26*-1)</f>
        <v>0</v>
      </c>
      <c r="V24" s="199">
        <f>'Staging Table'!BX26*Rates_current!$H$32*-1</f>
        <v>0</v>
      </c>
      <c r="W24" s="199">
        <f>IF('Staging Table'!C26=1,"", SUM(O24:V24))</f>
        <v>579429.47670028755</v>
      </c>
      <c r="X24" s="199">
        <f>IF('Staging Table'!C26=1,"", (RT1SC!$C$4*'Staging Table'!BS26*'Staging Table'!$BS$2)+SUM('Staging Table'!BY26:CV26)-IF(Init!$R$12="No",'Staging Table'!DU26, 0))</f>
        <v>16379.736075081601</v>
      </c>
      <c r="Y24" s="297">
        <f>IF('Staging Table'!C26=1,"",IF(X24=0, 0, W24/X24))</f>
        <v>35.374774907501127</v>
      </c>
      <c r="Z24" s="76">
        <f ca="1">IF('Staging Table'!C26=1,"",(Y24/N24-1)+(RAND()/100000000000000))</f>
        <v>-1.1354731435082985E-2</v>
      </c>
      <c r="AA24" s="53">
        <f t="shared" ca="1" si="0"/>
        <v>72</v>
      </c>
      <c r="AC24" s="405"/>
      <c r="AD24" s="204"/>
      <c r="AE24" s="204"/>
      <c r="AG24" s="204"/>
      <c r="AH24" s="204"/>
    </row>
    <row r="25" spans="2:34">
      <c r="B25" s="123">
        <v>10072</v>
      </c>
      <c r="C25" s="124" t="s">
        <v>28</v>
      </c>
      <c r="D25" s="199">
        <f>IF(Init!$R$9="Yes",'Staging Table'!F27,'Staging Table'!BS27)*Rates_previous!$E$76*100*12</f>
        <v>8143950.3191132303</v>
      </c>
      <c r="E25" s="199">
        <f>IF(Init!$R$9="Yes",'Staging Table'!F27,'Staging Table'!BS27)*Rates_previous!$E$77*100*12</f>
        <v>-1344585.7390467338</v>
      </c>
      <c r="F25" s="200">
        <f>IF(Init!$R$9="Yes",SUMPRODUCT('Staging Table'!L27:AI27,LS_Demand_Rates_Restatement!$C$4:$Z$4)-IF(Init!$R$12="No",('Staging Table'!BH27*Rates_previous!$H$34), 0),SUMPRODUCT('Staging Table'!BY27:CV27,LS_Demand_Rates_Restatement!$C$4:$Z$4)-IF(Init!$R$12="No", 'Staging Table'!DU27*Rates_previous!$H$34, 0))</f>
        <v>114946.6444185017</v>
      </c>
      <c r="G25" s="200">
        <f>IF(Init!$R$9="Yes",SUMPRODUCT('Staging Table'!AJ27:AU27,LS_Demand_Rates_Restatement!$C$10:$N$10),SUMPRODUCT(LS_Demand_Rates_Restatement!$C$10:$N$10,'Staging Table'!CW27:DH27))*1000</f>
        <v>260915.9995519587</v>
      </c>
      <c r="H25" s="201">
        <f>IF(Init!$R$9="Yes",'Staging Table'!BQ27,'Staging Table'!ED27)*IF(Init!$R$3=2022,Rates_previous!$C$88,Rates_previous!$D$88)</f>
        <v>0</v>
      </c>
      <c r="I25" s="199">
        <v>0</v>
      </c>
      <c r="J25" s="201">
        <f>IF(Init!$R$9="Yes",IF('Staging Table'!D27=1,'Staging Table'!H27*-1*'Staging Table'!BS27/'Staging Table'!BR27,'Staging Table'!H27*SUM(D25:I25)*(-1)),IF('Staging Table'!D27=1,'Staging Table'!BU27*-1*'Staging Table'!BS27/'Staging Table'!BR27,'Staging Table'!BU27*SUM(D25:I25)*(-1)))</f>
        <v>0</v>
      </c>
      <c r="K25" s="199">
        <f>IF(Init!$R$9="Yes",'Staging Table'!K27,'Staging Table'!BX27)*(-1)*Rates_previous!$H$32</f>
        <v>0</v>
      </c>
      <c r="L25" s="199">
        <f>IF('Staging Table'!C27=1,"",SUM(D25:K25))</f>
        <v>7175227.2240369562</v>
      </c>
      <c r="M25" s="199">
        <f>IF('Staging Table'!C27=1,"",IF(Init!$R$9="Yes",(RT1SC!$C$3*'Staging Table'!F27*'Staging Table'!$F$2)+SUM('Staging Table'!L27:AI27)-IF(Init!$R$12="No",'Staging Table'!BH27, 0),X25))</f>
        <v>200402.52</v>
      </c>
      <c r="N25" s="297">
        <f>IF('Staging Table'!C27=1,"",IF(M25=0, 0, L25/M25))</f>
        <v>35.804076835146368</v>
      </c>
      <c r="O25" s="199">
        <f>'Staging Table'!BS27*Rates_current!$E$76*100*12</f>
        <v>8458151.344560001</v>
      </c>
      <c r="P25" s="199">
        <f>'Staging Table'!BS27*Rates_current!$E$77*100*12</f>
        <v>-1486420.2382799999</v>
      </c>
      <c r="Q25" s="200">
        <f>SUMPRODUCT('Staging Table'!BY27:CV27, LS_Demand_Rates_Restatement!$C$5:$Z$5)-IF(Init!$R$12="No",('Staging Table'!DU27*Rates_current!$H$34), 0)</f>
        <v>254314.43089187783</v>
      </c>
      <c r="R25" s="200">
        <f>SUMPRODUCT('Staging Table'!CW27:DH27, LS_Demand_Rates_Restatement!$C$11:$N$11)*1000</f>
        <v>277675.74317657592</v>
      </c>
      <c r="S25" s="201">
        <f>'Staging Table'!ED27*IF(Init!$R$15="Yes",IF(Init!$R$6=2024,Rates_current!$C$88,Rates_current!$D$88),Rates_current!$H$33)</f>
        <v>0</v>
      </c>
      <c r="T25" s="201">
        <v>0</v>
      </c>
      <c r="U25" s="201">
        <f>IF('Staging Table'!D27=1, 'Staging Table'!BU27*-1*'Staging Table'!BS27/'Staging Table'!BR27,SUM(O25:T25)*'Staging Table'!BU27*-1)</f>
        <v>0</v>
      </c>
      <c r="V25" s="199">
        <f>'Staging Table'!BX27*Rates_current!$H$32*-1</f>
        <v>0</v>
      </c>
      <c r="W25" s="199">
        <f>IF('Staging Table'!C27=1,"", SUM(O25:V25))</f>
        <v>7503721.2803484546</v>
      </c>
      <c r="X25" s="199">
        <f>IF('Staging Table'!C27=1,"", (RT1SC!$C$4*'Staging Table'!BS27*'Staging Table'!$BS$2)+SUM('Staging Table'!BY27:CV27)-IF(Init!$R$12="No",'Staging Table'!DU27, 0))</f>
        <v>210657.88800000001</v>
      </c>
      <c r="Y25" s="297">
        <f>IF('Staging Table'!C27=1,"",IF(X25=0, 0, W25/X25))</f>
        <v>35.620414462469377</v>
      </c>
      <c r="Z25" s="76">
        <f ca="1">IF('Staging Table'!C27=1,"",(Y25/N25-1)+(RAND()/100000000000000))</f>
        <v>-5.1296497190052312E-3</v>
      </c>
      <c r="AA25" s="53">
        <f t="shared" ca="1" si="0"/>
        <v>44</v>
      </c>
      <c r="AC25" s="405"/>
      <c r="AD25" s="204"/>
      <c r="AE25" s="204"/>
      <c r="AG25" s="204"/>
      <c r="AH25" s="204"/>
    </row>
    <row r="26" spans="2:34">
      <c r="B26" s="123">
        <v>10074</v>
      </c>
      <c r="C26" s="124" t="s">
        <v>29</v>
      </c>
      <c r="D26" s="199">
        <f>IF(Init!$R$9="Yes",'Staging Table'!F28,'Staging Table'!BS28)*Rates_previous!$E$76*100*12</f>
        <v>9060744.2552136388</v>
      </c>
      <c r="E26" s="199">
        <f>IF(Init!$R$9="Yes",'Staging Table'!F28,'Staging Table'!BS28)*Rates_previous!$E$77*100*12</f>
        <v>-1495950.6177385966</v>
      </c>
      <c r="F26" s="200">
        <f>IF(Init!$R$9="Yes",SUMPRODUCT('Staging Table'!L28:AI28,LS_Demand_Rates_Restatement!$C$4:$Z$4)-IF(Init!$R$12="No",('Staging Table'!BH28*Rates_previous!$H$34), 0),SUMPRODUCT('Staging Table'!BY28:CV28,LS_Demand_Rates_Restatement!$C$4:$Z$4)-IF(Init!$R$12="No", 'Staging Table'!DU28*Rates_previous!$H$34, 0))</f>
        <v>139623.67384995695</v>
      </c>
      <c r="G26" s="200">
        <f>IF(Init!$R$9="Yes",SUMPRODUCT('Staging Table'!AJ28:AU28,LS_Demand_Rates_Restatement!$C$10:$N$10),SUMPRODUCT(LS_Demand_Rates_Restatement!$C$10:$N$10,'Staging Table'!CW28:DH28))*1000</f>
        <v>404580.27322195511</v>
      </c>
      <c r="H26" s="201">
        <f>IF(Init!$R$9="Yes",'Staging Table'!BQ28,'Staging Table'!ED28)*IF(Init!$R$3=2022,Rates_previous!$C$88,Rates_previous!$D$88)</f>
        <v>0</v>
      </c>
      <c r="I26" s="199">
        <v>0</v>
      </c>
      <c r="J26" s="201">
        <f>IF(Init!$R$9="Yes",IF('Staging Table'!D28=1,'Staging Table'!H28*-1*'Staging Table'!BS28/'Staging Table'!BR28,'Staging Table'!H28*SUM(D26:I26)*(-1)),IF('Staging Table'!D28=1,'Staging Table'!BU28*-1*'Staging Table'!BS28/'Staging Table'!BR28,'Staging Table'!BU28*SUM(D26:I26)*(-1)))</f>
        <v>0</v>
      </c>
      <c r="K26" s="199">
        <f>IF(Init!$R$9="Yes",'Staging Table'!K28,'Staging Table'!BX28)*(-1)*Rates_previous!$H$32</f>
        <v>0</v>
      </c>
      <c r="L26" s="199">
        <f>IF('Staging Table'!C28=1,"",SUM(D26:K26))</f>
        <v>8108997.5845469534</v>
      </c>
      <c r="M26" s="199">
        <f>IF('Staging Table'!C28=1,"",IF(Init!$R$9="Yes",(RT1SC!$C$3*'Staging Table'!F28*'Staging Table'!$F$2)+SUM('Staging Table'!L28:AI28)-IF(Init!$R$12="No",'Staging Table'!BH28, 0),X26))</f>
        <v>222959.52000000002</v>
      </c>
      <c r="N26" s="297">
        <f>IF('Staging Table'!C28=1,"",IF(M26=0, 0, L26/M26))</f>
        <v>36.369819887246585</v>
      </c>
      <c r="O26" s="199">
        <f>'Staging Table'!BS28*Rates_current!$E$76*100*12</f>
        <v>9410263.2180000003</v>
      </c>
      <c r="P26" s="199">
        <f>'Staging Table'!BS28*Rates_current!$E$77*100*12</f>
        <v>-1653742.659</v>
      </c>
      <c r="Q26" s="200">
        <f>SUMPRODUCT('Staging Table'!BY28:CV28, LS_Demand_Rates_Restatement!$C$5:$Z$5)-IF(Init!$R$12="No",('Staging Table'!DU28*Rates_current!$H$34), 0)</f>
        <v>307580.37447280786</v>
      </c>
      <c r="R26" s="200">
        <f>SUMPRODUCT('Staging Table'!CW28:DH28, LS_Demand_Rates_Restatement!$C$11:$N$11)*1000</f>
        <v>421627.92201490368</v>
      </c>
      <c r="S26" s="201">
        <f>'Staging Table'!ED28*IF(Init!$R$15="Yes",IF(Init!$R$6=2024,Rates_current!$C$88,Rates_current!$D$88),Rates_current!$H$33)</f>
        <v>0</v>
      </c>
      <c r="T26" s="201">
        <v>0</v>
      </c>
      <c r="U26" s="201">
        <f>IF('Staging Table'!D28=1, 'Staging Table'!BU28*-1*'Staging Table'!BS28/'Staging Table'!BR28,SUM(O26:T26)*'Staging Table'!BU28*-1)</f>
        <v>0</v>
      </c>
      <c r="V26" s="199">
        <f>'Staging Table'!BX28*Rates_current!$H$32*-1</f>
        <v>0</v>
      </c>
      <c r="W26" s="199">
        <f>IF('Staging Table'!C28=1,"", SUM(O26:V26))</f>
        <v>8485728.8554877117</v>
      </c>
      <c r="X26" s="199">
        <f>IF('Staging Table'!C28=1,"", (RT1SC!$C$4*'Staging Table'!BS28*'Staging Table'!$BS$2)+SUM('Staging Table'!BY28:CV28)-IF(Init!$R$12="No",'Staging Table'!DU28, 0))</f>
        <v>234368.79007432098</v>
      </c>
      <c r="Y26" s="297">
        <f>IF('Staging Table'!C28=1,"",IF(X26=0, 0, W26/X26))</f>
        <v>36.206735772270669</v>
      </c>
      <c r="Z26" s="76">
        <f ca="1">IF('Staging Table'!C28=1,"",(Y26/N26-1)+(RAND()/100000000000000))</f>
        <v>-4.4840506629214112E-3</v>
      </c>
      <c r="AA26" s="53">
        <f t="shared" ca="1" si="0"/>
        <v>39</v>
      </c>
      <c r="AC26" s="405"/>
      <c r="AD26" s="204"/>
      <c r="AE26" s="204"/>
      <c r="AG26" s="204"/>
      <c r="AH26" s="204"/>
    </row>
    <row r="27" spans="2:34">
      <c r="B27" s="123">
        <v>10076</v>
      </c>
      <c r="C27" s="124" t="s">
        <v>30</v>
      </c>
      <c r="D27" s="199">
        <f>IF(Init!$R$9="Yes",'Staging Table'!F29,'Staging Table'!BS29)*Rates_previous!$E$76*100*12</f>
        <v>1635744.5561446212</v>
      </c>
      <c r="E27" s="199">
        <f>IF(Init!$R$9="Yes",'Staging Table'!F29,'Staging Table'!BS29)*Rates_previous!$E$77*100*12</f>
        <v>-270065.35117896856</v>
      </c>
      <c r="F27" s="200">
        <f>IF(Init!$R$9="Yes",SUMPRODUCT('Staging Table'!L29:AI29,LS_Demand_Rates_Restatement!$C$4:$Z$4)-IF(Init!$R$12="No",('Staging Table'!BH29*Rates_previous!$H$34), 0),SUMPRODUCT('Staging Table'!BY29:CV29,LS_Demand_Rates_Restatement!$C$4:$Z$4)-IF(Init!$R$12="No", 'Staging Table'!DU29*Rates_previous!$H$34, 0))</f>
        <v>16589.685176356099</v>
      </c>
      <c r="G27" s="200">
        <f>IF(Init!$R$9="Yes",SUMPRODUCT('Staging Table'!AJ29:AU29,LS_Demand_Rates_Restatement!$C$10:$N$10),SUMPRODUCT(LS_Demand_Rates_Restatement!$C$10:$N$10,'Staging Table'!CW29:DH29))*1000</f>
        <v>50921.344438639586</v>
      </c>
      <c r="H27" s="201">
        <f>IF(Init!$R$9="Yes",'Staging Table'!BQ29,'Staging Table'!ED29)*IF(Init!$R$3=2022,Rates_previous!$C$88,Rates_previous!$D$88)</f>
        <v>0</v>
      </c>
      <c r="I27" s="199">
        <v>0</v>
      </c>
      <c r="J27" s="201">
        <f>IF(Init!$R$9="Yes",IF('Staging Table'!D29=1,'Staging Table'!H29*-1*'Staging Table'!BS29/'Staging Table'!BR29,'Staging Table'!H29*SUM(D27:I27)*(-1)),IF('Staging Table'!D29=1,'Staging Table'!BU29*-1*'Staging Table'!BS29/'Staging Table'!BR29,'Staging Table'!BU29*SUM(D27:I27)*(-1)))</f>
        <v>0</v>
      </c>
      <c r="K27" s="199">
        <f>IF(Init!$R$9="Yes",'Staging Table'!K29,'Staging Table'!BX29)*(-1)*Rates_previous!$H$32</f>
        <v>0</v>
      </c>
      <c r="L27" s="199">
        <f>IF('Staging Table'!C29=1,"",SUM(D27:K27))</f>
        <v>1433190.2345806481</v>
      </c>
      <c r="M27" s="199">
        <f>IF('Staging Table'!C29=1,"",IF(Init!$R$9="Yes",(RT1SC!$C$3*'Staging Table'!F29*'Staging Table'!$F$2)+SUM('Staging Table'!L29:AI29)-IF(Init!$R$12="No",'Staging Table'!BH29, 0),X27))</f>
        <v>40252.199999999997</v>
      </c>
      <c r="N27" s="297">
        <f>IF('Staging Table'!C29=1,"",IF(M27=0, 0, L27/M27))</f>
        <v>35.605264670767021</v>
      </c>
      <c r="O27" s="199">
        <f>'Staging Table'!BS29*Rates_current!$E$76*100*12</f>
        <v>1698954.2063999996</v>
      </c>
      <c r="P27" s="199">
        <f>'Staging Table'!BS29*Rates_current!$E$77*100*12</f>
        <v>-298571.14319999999</v>
      </c>
      <c r="Q27" s="200">
        <f>SUMPRODUCT('Staging Table'!BY29:CV29, LS_Demand_Rates_Restatement!$C$5:$Z$5)-IF(Init!$R$12="No",('Staging Table'!DU29*Rates_current!$H$34), 0)</f>
        <v>36497.267190372077</v>
      </c>
      <c r="R27" s="200">
        <f>SUMPRODUCT('Staging Table'!CW29:DH29, LS_Demand_Rates_Restatement!$C$11:$N$11)*1000</f>
        <v>50261.956292254261</v>
      </c>
      <c r="S27" s="201">
        <f>'Staging Table'!ED29*IF(Init!$R$15="Yes",IF(Init!$R$6=2024,Rates_current!$C$88,Rates_current!$D$88),Rates_current!$H$33)</f>
        <v>0</v>
      </c>
      <c r="T27" s="201">
        <v>0</v>
      </c>
      <c r="U27" s="201">
        <f>IF('Staging Table'!D29=1, 'Staging Table'!BU29*-1*'Staging Table'!BS29/'Staging Table'!BR29,SUM(O27:T27)*'Staging Table'!BU29*-1)</f>
        <v>0</v>
      </c>
      <c r="V27" s="199">
        <f>'Staging Table'!BX29*Rates_current!$H$32*-1</f>
        <v>0</v>
      </c>
      <c r="W27" s="199">
        <f>IF('Staging Table'!C29=1,"", SUM(O27:V27))</f>
        <v>1487142.2866826258</v>
      </c>
      <c r="X27" s="199">
        <f>IF('Staging Table'!C29=1,"", (RT1SC!$C$4*'Staging Table'!BS29*'Staging Table'!$BS$2)+SUM('Staging Table'!BY29:CV29)-IF(Init!$R$12="No",'Staging Table'!DU29, 0))</f>
        <v>42312.527999999998</v>
      </c>
      <c r="Y27" s="297">
        <f>IF('Staging Table'!C29=1,"",IF(X27=0, 0, W27/X27))</f>
        <v>35.146618672432567</v>
      </c>
      <c r="Z27" s="76">
        <f ca="1">IF('Staging Table'!C29=1,"",(Y27/N27-1)+(RAND()/100000000000000))</f>
        <v>-1.2881409605445373E-2</v>
      </c>
      <c r="AA27" s="53">
        <f t="shared" ca="1" si="0"/>
        <v>80</v>
      </c>
      <c r="AC27" s="405"/>
      <c r="AD27" s="204"/>
      <c r="AE27" s="204"/>
      <c r="AG27" s="204"/>
      <c r="AH27" s="204"/>
    </row>
    <row r="28" spans="2:34">
      <c r="B28" s="123">
        <v>10078</v>
      </c>
      <c r="C28" s="124" t="s">
        <v>31</v>
      </c>
      <c r="D28" s="199">
        <f>IF(Init!$R$9="Yes",'Staging Table'!F30,'Staging Table'!BS30)*Rates_previous!$E$76*100*12</f>
        <v>1262360.2614785642</v>
      </c>
      <c r="E28" s="199">
        <f>IF(Init!$R$9="Yes",'Staging Table'!F30,'Staging Table'!BS30)*Rates_previous!$E$77*100*12</f>
        <v>-208418.7081961722</v>
      </c>
      <c r="F28" s="200">
        <f>IF(Init!$R$9="Yes",SUMPRODUCT('Staging Table'!L30:AI30,LS_Demand_Rates_Restatement!$C$4:$Z$4)-IF(Init!$R$12="No",('Staging Table'!BH30*Rates_previous!$H$34), 0),SUMPRODUCT('Staging Table'!BY30:CV30,LS_Demand_Rates_Restatement!$C$4:$Z$4)-IF(Init!$R$12="No", 'Staging Table'!DU30*Rates_previous!$H$34, 0))</f>
        <v>26577.574422238133</v>
      </c>
      <c r="G28" s="200">
        <f>IF(Init!$R$9="Yes",SUMPRODUCT('Staging Table'!AJ30:AU30,LS_Demand_Rates_Restatement!$C$10:$N$10),SUMPRODUCT(LS_Demand_Rates_Restatement!$C$10:$N$10,'Staging Table'!CW30:DH30))*1000</f>
        <v>128394.37887164354</v>
      </c>
      <c r="H28" s="201">
        <f>IF(Init!$R$9="Yes",'Staging Table'!BQ30,'Staging Table'!ED30)*IF(Init!$R$3=2022,Rates_previous!$C$88,Rates_previous!$D$88)</f>
        <v>0</v>
      </c>
      <c r="I28" s="199">
        <v>0</v>
      </c>
      <c r="J28" s="201">
        <f>IF(Init!$R$9="Yes",IF('Staging Table'!D30=1,'Staging Table'!H30*-1*'Staging Table'!BS30/'Staging Table'!BR30,'Staging Table'!H30*SUM(D28:I28)*(-1)),IF('Staging Table'!D30=1,'Staging Table'!BU30*-1*'Staging Table'!BS30/'Staging Table'!BR30,'Staging Table'!BU30*SUM(D28:I28)*(-1)))</f>
        <v>0</v>
      </c>
      <c r="K28" s="199">
        <f>IF(Init!$R$9="Yes",'Staging Table'!K30,'Staging Table'!BX30)*(-1)*Rates_previous!$H$32</f>
        <v>0</v>
      </c>
      <c r="L28" s="199">
        <f>IF('Staging Table'!C30=1,"",SUM(D28:K28))</f>
        <v>1208913.5065762736</v>
      </c>
      <c r="M28" s="199">
        <f>IF('Staging Table'!C30=1,"",IF(Init!$R$9="Yes",(RT1SC!$C$3*'Staging Table'!F30*'Staging Table'!$F$2)+SUM('Staging Table'!L30:AI30)-IF(Init!$R$12="No",'Staging Table'!BH30, 0),X28))</f>
        <v>31062.959999999999</v>
      </c>
      <c r="N28" s="297">
        <f>IF('Staging Table'!C30=1,"",IF(M28=0, 0, L28/M28))</f>
        <v>38.918168345073155</v>
      </c>
      <c r="O28" s="199">
        <f>'Staging Table'!BS30*Rates_current!$E$76*100*12</f>
        <v>1311333.5692799999</v>
      </c>
      <c r="P28" s="199">
        <f>'Staging Table'!BS30*Rates_current!$E$77*100*12</f>
        <v>-230451.39263999998</v>
      </c>
      <c r="Q28" s="200">
        <f>SUMPRODUCT('Staging Table'!BY30:CV30, LS_Demand_Rates_Restatement!$C$5:$Z$5)-IF(Init!$R$12="No",('Staging Table'!DU30*Rates_current!$H$34), 0)</f>
        <v>51367.803071388742</v>
      </c>
      <c r="R28" s="200">
        <f>SUMPRODUCT('Staging Table'!CW30:DH30, LS_Demand_Rates_Restatement!$C$11:$N$11)*1000</f>
        <v>126756.9448877137</v>
      </c>
      <c r="S28" s="201">
        <f>'Staging Table'!ED30*IF(Init!$R$15="Yes",IF(Init!$R$6=2024,Rates_current!$C$88,Rates_current!$D$88),Rates_current!$H$33)</f>
        <v>0</v>
      </c>
      <c r="T28" s="201">
        <v>0</v>
      </c>
      <c r="U28" s="201">
        <f>IF('Staging Table'!D30=1, 'Staging Table'!BU30*-1*'Staging Table'!BS30/'Staging Table'!BR30,SUM(O28:T28)*'Staging Table'!BU30*-1)</f>
        <v>0</v>
      </c>
      <c r="V28" s="199">
        <f>'Staging Table'!BX30*Rates_current!$H$32*-1</f>
        <v>0</v>
      </c>
      <c r="W28" s="199">
        <f>IF('Staging Table'!C30=1,"", SUM(O28:V28))</f>
        <v>1259006.9245991025</v>
      </c>
      <c r="X28" s="199">
        <f>IF('Staging Table'!C30=1,"", (RT1SC!$C$4*'Staging Table'!BS30*'Staging Table'!$BS$2)+SUM('Staging Table'!BY30:CV30)-IF(Init!$R$12="No",'Staging Table'!DU30, 0))</f>
        <v>32658.912</v>
      </c>
      <c r="Y28" s="297">
        <f>IF('Staging Table'!C30=1,"",IF(X28=0, 0, W28/X28))</f>
        <v>38.550179644658783</v>
      </c>
      <c r="Z28" s="76">
        <f ca="1">IF('Staging Table'!C30=1,"",(Y28/N28-1)+(RAND()/100000000000000))</f>
        <v>-9.4554475727519557E-3</v>
      </c>
      <c r="AA28" s="53">
        <f t="shared" ca="1" si="0"/>
        <v>65</v>
      </c>
      <c r="AC28" s="405"/>
      <c r="AD28" s="204"/>
      <c r="AE28" s="204"/>
      <c r="AG28" s="204"/>
      <c r="AH28" s="204"/>
    </row>
    <row r="29" spans="2:34">
      <c r="B29" s="123">
        <v>10079</v>
      </c>
      <c r="C29" s="124" t="s">
        <v>32</v>
      </c>
      <c r="D29" s="199">
        <f>IF(Init!$R$9="Yes",'Staging Table'!F31,'Staging Table'!BS31)*Rates_previous!$E$76*100*12</f>
        <v>28908145.911891147</v>
      </c>
      <c r="E29" s="199">
        <f>IF(Init!$R$9="Yes",'Staging Table'!F31,'Staging Table'!BS31)*Rates_previous!$E$77*100*12</f>
        <v>-4772804.254980199</v>
      </c>
      <c r="F29" s="200">
        <f>IF(Init!$R$9="Yes",SUMPRODUCT('Staging Table'!L31:AI31,LS_Demand_Rates_Restatement!$C$4:$Z$4)-IF(Init!$R$12="No",('Staging Table'!BH31*Rates_previous!$H$34), 0),SUMPRODUCT('Staging Table'!BY31:CV31,LS_Demand_Rates_Restatement!$C$4:$Z$4)-IF(Init!$R$12="No", 'Staging Table'!DU31*Rates_previous!$H$34, 0))</f>
        <v>418133.52752181876</v>
      </c>
      <c r="G29" s="200">
        <f>IF(Init!$R$9="Yes",SUMPRODUCT('Staging Table'!AJ31:AU31,LS_Demand_Rates_Restatement!$C$10:$N$10),SUMPRODUCT(LS_Demand_Rates_Restatement!$C$10:$N$10,'Staging Table'!CW31:DH31))*1000</f>
        <v>2412552.9414321673</v>
      </c>
      <c r="H29" s="201">
        <f>IF(Init!$R$9="Yes",'Staging Table'!BQ31,'Staging Table'!ED31)*IF(Init!$R$3=2022,Rates_previous!$C$88,Rates_previous!$D$88)</f>
        <v>48923.6004397863</v>
      </c>
      <c r="I29" s="199">
        <v>0</v>
      </c>
      <c r="J29" s="201">
        <f>IF(Init!$R$9="Yes",IF('Staging Table'!D31=1,'Staging Table'!H31*-1*'Staging Table'!BS31/'Staging Table'!BR31,'Staging Table'!H31*SUM(D29:I29)*(-1)),IF('Staging Table'!D31=1,'Staging Table'!BU31*-1*'Staging Table'!BS31/'Staging Table'!BR31,'Staging Table'!BU31*SUM(D29:I29)*(-1)))</f>
        <v>0</v>
      </c>
      <c r="K29" s="199">
        <f>IF(Init!$R$9="Yes",'Staging Table'!K31,'Staging Table'!BX31)*(-1)*Rates_previous!$H$32</f>
        <v>0</v>
      </c>
      <c r="L29" s="199">
        <f>IF('Staging Table'!C31=1,"",SUM(D29:K29))</f>
        <v>27014951.726304721</v>
      </c>
      <c r="M29" s="199">
        <f>IF('Staging Table'!C31=1,"",IF(Init!$R$9="Yes",(RT1SC!$C$3*'Staging Table'!F31*'Staging Table'!$F$2)+SUM('Staging Table'!L31:AI31)-IF(Init!$R$12="No",'Staging Table'!BH31, 0),X29))</f>
        <v>718292.11538852786</v>
      </c>
      <c r="N29" s="297">
        <f>IF('Staging Table'!C31=1,"",IF(M29=0, 0, L29/M29))</f>
        <v>37.609979488208914</v>
      </c>
      <c r="O29" s="199">
        <f>'Staging Table'!BS31*Rates_current!$E$76*100*12</f>
        <v>28840121.323919997</v>
      </c>
      <c r="P29" s="199">
        <f>'Staging Table'!BS31*Rates_current!$E$77*100*12</f>
        <v>-5068310.8239599988</v>
      </c>
      <c r="Q29" s="200">
        <f>SUMPRODUCT('Staging Table'!BY31:CV31, LS_Demand_Rates_Restatement!$C$5:$Z$5)-IF(Init!$R$12="No",('Staging Table'!DU31*Rates_current!$H$34), 0)</f>
        <v>667116.41318990523</v>
      </c>
      <c r="R29" s="200">
        <f>SUMPRODUCT('Staging Table'!CW31:DH31, LS_Demand_Rates_Restatement!$C$11:$N$11)*1000</f>
        <v>2363015.8064503749</v>
      </c>
      <c r="S29" s="201">
        <f>'Staging Table'!ED31*IF(Init!$R$15="Yes",IF(Init!$R$6=2024,Rates_current!$C$88,Rates_current!$D$88),Rates_current!$H$33)</f>
        <v>13.121531292033616</v>
      </c>
      <c r="T29" s="201">
        <v>0</v>
      </c>
      <c r="U29" s="201">
        <f>IF('Staging Table'!D31=1, 'Staging Table'!BU31*-1*'Staging Table'!BS31/'Staging Table'!BR31,SUM(O29:T29)*'Staging Table'!BU31*-1)</f>
        <v>0</v>
      </c>
      <c r="V29" s="199">
        <f>'Staging Table'!BX31*Rates_current!$H$32*-1</f>
        <v>0</v>
      </c>
      <c r="W29" s="199">
        <f>IF('Staging Table'!C31=1,"", SUM(O29:V29))</f>
        <v>26801955.841131572</v>
      </c>
      <c r="X29" s="199">
        <f>IF('Staging Table'!C31=1,"", (RT1SC!$C$4*'Staging Table'!BS31*'Staging Table'!$BS$2)+SUM('Staging Table'!BY31:CV31)-IF(Init!$R$12="No",'Staging Table'!DU31, 0))</f>
        <v>718292.08229252719</v>
      </c>
      <c r="Y29" s="297">
        <f>IF('Staging Table'!C31=1,"",IF(X29=0, 0, W29/X29))</f>
        <v>37.313450199241338</v>
      </c>
      <c r="Z29" s="76">
        <f ca="1">IF('Staging Table'!C31=1,"",(Y29/N29-1)+(RAND()/100000000000000))</f>
        <v>-7.8843246660244594E-3</v>
      </c>
      <c r="AA29" s="53">
        <f t="shared" ca="1" si="0"/>
        <v>60</v>
      </c>
      <c r="AC29" s="405"/>
      <c r="AD29" s="204"/>
      <c r="AE29" s="204"/>
      <c r="AG29" s="204"/>
      <c r="AH29" s="204"/>
    </row>
    <row r="30" spans="2:34">
      <c r="B30" s="123">
        <v>10080</v>
      </c>
      <c r="C30" s="124" t="s">
        <v>33</v>
      </c>
      <c r="D30" s="199">
        <f>IF(Init!$R$9="Yes",'Staging Table'!F32,'Staging Table'!BS32)*Rates_previous!$E$76*100*12</f>
        <v>2442225.8554136967</v>
      </c>
      <c r="E30" s="199">
        <f>IF(Init!$R$9="Yes",'Staging Table'!F32,'Staging Table'!BS32)*Rates_previous!$E$77*100*12</f>
        <v>-403217.3488354517</v>
      </c>
      <c r="F30" s="200">
        <f>IF(Init!$R$9="Yes",SUMPRODUCT('Staging Table'!L32:AI32,LS_Demand_Rates_Restatement!$C$4:$Z$4)-IF(Init!$R$12="No",('Staging Table'!BH32*Rates_previous!$H$34), 0),SUMPRODUCT('Staging Table'!BY32:CV32,LS_Demand_Rates_Restatement!$C$4:$Z$4)-IF(Init!$R$12="No", 'Staging Table'!DU32*Rates_previous!$H$34, 0))</f>
        <v>-20516.48012309218</v>
      </c>
      <c r="G30" s="200">
        <f>IF(Init!$R$9="Yes",SUMPRODUCT('Staging Table'!AJ32:AU32,LS_Demand_Rates_Restatement!$C$10:$N$10),SUMPRODUCT(LS_Demand_Rates_Restatement!$C$10:$N$10,'Staging Table'!CW32:DH32))*1000</f>
        <v>114706.51989987533</v>
      </c>
      <c r="H30" s="201">
        <f>IF(Init!$R$9="Yes",'Staging Table'!BQ32,'Staging Table'!ED32)*IF(Init!$R$3=2022,Rates_previous!$C$88,Rates_previous!$D$88)</f>
        <v>-14407.536979042481</v>
      </c>
      <c r="I30" s="199">
        <v>0</v>
      </c>
      <c r="J30" s="201">
        <f>IF(Init!$R$9="Yes",IF('Staging Table'!D32=1,'Staging Table'!H32*-1*'Staging Table'!BS32/'Staging Table'!BR32,'Staging Table'!H32*SUM(D30:I30)*(-1)),IF('Staging Table'!D32=1,'Staging Table'!BU32*-1*'Staging Table'!BS32/'Staging Table'!BR32,'Staging Table'!BU32*SUM(D30:I30)*(-1)))</f>
        <v>0</v>
      </c>
      <c r="K30" s="199">
        <f>IF(Init!$R$9="Yes",'Staging Table'!K32,'Staging Table'!BX32)*(-1)*Rates_previous!$H$32</f>
        <v>0</v>
      </c>
      <c r="L30" s="199">
        <f>IF('Staging Table'!C32=1,"",SUM(D30:K30))</f>
        <v>2118791.0093759857</v>
      </c>
      <c r="M30" s="199">
        <f>IF('Staging Table'!C32=1,"",IF(Init!$R$9="Yes",(RT1SC!$C$3*'Staging Table'!F32*'Staging Table'!$F$2)+SUM('Staging Table'!L32:AI32)-IF(Init!$R$12="No",'Staging Table'!BH32, 0),X30))</f>
        <v>58048.341074185526</v>
      </c>
      <c r="N30" s="297">
        <f>IF('Staging Table'!C32=1,"",IF(M30=0, 0, L30/M30))</f>
        <v>36.500457552579839</v>
      </c>
      <c r="O30" s="199">
        <f>'Staging Table'!BS32*Rates_current!$E$76*100*12</f>
        <v>2330456.9796000002</v>
      </c>
      <c r="P30" s="199">
        <f>'Staging Table'!BS32*Rates_current!$E$77*100*12</f>
        <v>-409550.29980000004</v>
      </c>
      <c r="Q30" s="200">
        <f>SUMPRODUCT('Staging Table'!BY32:CV32, LS_Demand_Rates_Restatement!$C$5:$Z$5)-IF(Init!$R$12="No",('Staging Table'!DU32*Rates_current!$H$34), 0)</f>
        <v>61813.890070631693</v>
      </c>
      <c r="R30" s="200">
        <f>SUMPRODUCT('Staging Table'!CW32:DH32, LS_Demand_Rates_Restatement!$C$11:$N$11)*1000</f>
        <v>121101.45385998928</v>
      </c>
      <c r="S30" s="201">
        <f>'Staging Table'!ED32*IF(Init!$R$15="Yes",IF(Init!$R$6=2024,Rates_current!$C$88,Rates_current!$D$88),Rates_current!$H$33)</f>
        <v>-24.673970558223811</v>
      </c>
      <c r="T30" s="201">
        <v>0</v>
      </c>
      <c r="U30" s="201">
        <f>IF('Staging Table'!D32=1, 'Staging Table'!BU32*-1*'Staging Table'!BS32/'Staging Table'!BR32,SUM(O30:T30)*'Staging Table'!BU32*-1)</f>
        <v>0</v>
      </c>
      <c r="V30" s="199">
        <f>'Staging Table'!BX32*Rates_current!$H$32*-1</f>
        <v>0</v>
      </c>
      <c r="W30" s="199">
        <f>IF('Staging Table'!C32=1,"", SUM(O30:V30))</f>
        <v>2103797.3497600625</v>
      </c>
      <c r="X30" s="199">
        <f>IF('Staging Table'!C32=1,"", (RT1SC!$C$4*'Staging Table'!BS32*'Staging Table'!$BS$2)+SUM('Staging Table'!BY32:CV32)-IF(Init!$R$12="No",'Staging Table'!DU32, 0))</f>
        <v>58048.338266056198</v>
      </c>
      <c r="Y30" s="297">
        <f>IF('Staging Table'!C32=1,"",IF(X30=0, 0, W30/X30))</f>
        <v>36.242163214347507</v>
      </c>
      <c r="Z30" s="76">
        <f ca="1">IF('Staging Table'!C32=1,"",(Y30/N30-1)+(RAND()/100000000000000))</f>
        <v>-7.0764685034462533E-3</v>
      </c>
      <c r="AA30" s="53">
        <f t="shared" ca="1" si="0"/>
        <v>57</v>
      </c>
      <c r="AC30" s="405"/>
      <c r="AD30" s="204"/>
      <c r="AE30" s="204"/>
      <c r="AG30" s="204"/>
      <c r="AH30" s="204"/>
    </row>
    <row r="31" spans="2:34">
      <c r="B31" s="123">
        <v>10081</v>
      </c>
      <c r="C31" s="124" t="s">
        <v>34</v>
      </c>
      <c r="D31" s="199">
        <f>IF(Init!$R$9="Yes",'Staging Table'!F33,'Staging Table'!BS33)*Rates_previous!$E$76*100*12</f>
        <v>3283239.8062125808</v>
      </c>
      <c r="E31" s="199">
        <f>IF(Init!$R$9="Yes",'Staging Table'!F33,'Staging Table'!BS33)*Rates_previous!$E$77*100*12</f>
        <v>-542070.7701204014</v>
      </c>
      <c r="F31" s="200">
        <f>IF(Init!$R$9="Yes",SUMPRODUCT('Staging Table'!L33:AI33,LS_Demand_Rates_Restatement!$C$4:$Z$4)-IF(Init!$R$12="No",('Staging Table'!BH33*Rates_previous!$H$34), 0),SUMPRODUCT('Staging Table'!BY33:CV33,LS_Demand_Rates_Restatement!$C$4:$Z$4)-IF(Init!$R$12="No", 'Staging Table'!DU33*Rates_previous!$H$34, 0))</f>
        <v>67229.327071106178</v>
      </c>
      <c r="G31" s="200">
        <f>IF(Init!$R$9="Yes",SUMPRODUCT('Staging Table'!AJ33:AU33,LS_Demand_Rates_Restatement!$C$10:$N$10),SUMPRODUCT(LS_Demand_Rates_Restatement!$C$10:$N$10,'Staging Table'!CW33:DH33))*1000</f>
        <v>166587.80037167025</v>
      </c>
      <c r="H31" s="201">
        <f>IF(Init!$R$9="Yes",'Staging Table'!BQ33,'Staging Table'!ED33)*IF(Init!$R$3=2022,Rates_previous!$C$88,Rates_previous!$D$88)</f>
        <v>-5243.227762061475</v>
      </c>
      <c r="I31" s="199">
        <v>0</v>
      </c>
      <c r="J31" s="201">
        <f>IF(Init!$R$9="Yes",IF('Staging Table'!D33=1,'Staging Table'!H33*-1*'Staging Table'!BS33/'Staging Table'!BR33,'Staging Table'!H33*SUM(D31:I31)*(-1)),IF('Staging Table'!D33=1,'Staging Table'!BU33*-1*'Staging Table'!BS33/'Staging Table'!BR33,'Staging Table'!BU33*SUM(D31:I31)*(-1)))</f>
        <v>0</v>
      </c>
      <c r="K31" s="199">
        <f>IF(Init!$R$9="Yes",'Staging Table'!K33,'Staging Table'!BX33)*(-1)*Rates_previous!$H$32</f>
        <v>0</v>
      </c>
      <c r="L31" s="199">
        <f>IF('Staging Table'!C33=1,"",SUM(D31:K31))</f>
        <v>2969742.935772894</v>
      </c>
      <c r="M31" s="199">
        <f>IF('Staging Table'!C33=1,"",IF(Init!$R$9="Yes",(RT1SC!$C$3*'Staging Table'!F33*'Staging Table'!$F$2)+SUM('Staging Table'!L33:AI33)-IF(Init!$R$12="No",'Staging Table'!BH33, 0),X31))</f>
        <v>80049.16413282344</v>
      </c>
      <c r="N31" s="297">
        <f>IF('Staging Table'!C33=1,"",IF(M31=0, 0, L31/M31))</f>
        <v>37.098987452826847</v>
      </c>
      <c r="O31" s="199">
        <f>'Staging Table'!BS33*Rates_current!$E$76*100*12</f>
        <v>3214062.6350400001</v>
      </c>
      <c r="P31" s="199">
        <f>'Staging Table'!BS33*Rates_current!$E$77*100*12</f>
        <v>-564833.5615200001</v>
      </c>
      <c r="Q31" s="200">
        <f>SUMPRODUCT('Staging Table'!BY33:CV33, LS_Demand_Rates_Restatement!$C$5:$Z$5)-IF(Init!$R$12="No",('Staging Table'!DU33*Rates_current!$H$34), 0)</f>
        <v>194577.48805647684</v>
      </c>
      <c r="R31" s="200">
        <f>SUMPRODUCT('Staging Table'!CW33:DH33, LS_Demand_Rates_Restatement!$C$11:$N$11)*1000</f>
        <v>166282.920380422</v>
      </c>
      <c r="S31" s="201">
        <f>'Staging Table'!ED33*IF(Init!$R$15="Yes",IF(Init!$R$6=2024,Rates_current!$C$88,Rates_current!$D$88),Rates_current!$H$33)</f>
        <v>-3.8251094583256058</v>
      </c>
      <c r="T31" s="201">
        <v>0</v>
      </c>
      <c r="U31" s="201">
        <f>IF('Staging Table'!D33=1, 'Staging Table'!BU33*-1*'Staging Table'!BS33/'Staging Table'!BR33,SUM(O31:T31)*'Staging Table'!BU33*-1)</f>
        <v>0</v>
      </c>
      <c r="V31" s="199">
        <f>'Staging Table'!BX33*Rates_current!$H$32*-1</f>
        <v>0</v>
      </c>
      <c r="W31" s="199">
        <f>IF('Staging Table'!C33=1,"", SUM(O31:V31))</f>
        <v>3010085.6568474402</v>
      </c>
      <c r="X31" s="199">
        <f>IF('Staging Table'!C33=1,"", (RT1SC!$C$4*'Staging Table'!BS33*'Staging Table'!$BS$2)+SUM('Staging Table'!BY33:CV33)-IF(Init!$R$12="No",'Staging Table'!DU33, 0))</f>
        <v>80049.160366932876</v>
      </c>
      <c r="Y31" s="297">
        <f>IF('Staging Table'!C33=1,"",IF(X31=0, 0, W31/X31))</f>
        <v>37.60296351703974</v>
      </c>
      <c r="Z31" s="76">
        <f ca="1">IF('Staging Table'!C33=1,"",(Y31/N31-1)+(RAND()/100000000000000))</f>
        <v>1.3584631247788087E-2</v>
      </c>
      <c r="AA31" s="53">
        <f t="shared" ca="1" si="0"/>
        <v>13</v>
      </c>
      <c r="AC31" s="405"/>
      <c r="AD31" s="204"/>
      <c r="AE31" s="204"/>
      <c r="AG31" s="204"/>
      <c r="AH31" s="204"/>
    </row>
    <row r="32" spans="2:34">
      <c r="B32" s="123">
        <v>10082</v>
      </c>
      <c r="C32" s="124" t="s">
        <v>35</v>
      </c>
      <c r="D32" s="199">
        <f>IF(Init!$R$9="Yes",'Staging Table'!F34,'Staging Table'!BS34)*Rates_previous!$E$76*100*12</f>
        <v>33813.2212896044</v>
      </c>
      <c r="E32" s="199">
        <f>IF(Init!$R$9="Yes",'Staging Table'!F34,'Staging Table'!BS34)*Rates_previous!$E$77*100*12</f>
        <v>-5582.643969540326</v>
      </c>
      <c r="F32" s="200">
        <f>IF(Init!$R$9="Yes",SUMPRODUCT('Staging Table'!L34:AI34,LS_Demand_Rates_Restatement!$C$4:$Z$4)-IF(Init!$R$12="No",('Staging Table'!BH34*Rates_previous!$H$34), 0),SUMPRODUCT('Staging Table'!BY34:CV34,LS_Demand_Rates_Restatement!$C$4:$Z$4)-IF(Init!$R$12="No", 'Staging Table'!DU34*Rates_previous!$H$34, 0))</f>
        <v>1728.9636846940305</v>
      </c>
      <c r="G32" s="200">
        <f>IF(Init!$R$9="Yes",SUMPRODUCT('Staging Table'!AJ34:AU34,LS_Demand_Rates_Restatement!$C$10:$N$10),SUMPRODUCT(LS_Demand_Rates_Restatement!$C$10:$N$10,'Staging Table'!CW34:DH34))*1000</f>
        <v>1807.6591562678063</v>
      </c>
      <c r="H32" s="201">
        <f>IF(Init!$R$9="Yes",'Staging Table'!BQ34,'Staging Table'!ED34)*IF(Init!$R$3=2022,Rates_previous!$C$88,Rates_previous!$D$88)</f>
        <v>294.40517217217553</v>
      </c>
      <c r="I32" s="199">
        <v>0</v>
      </c>
      <c r="J32" s="201">
        <f>IF(Init!$R$9="Yes",IF('Staging Table'!D34=1,'Staging Table'!H34*-1*'Staging Table'!BS34/'Staging Table'!BR34,'Staging Table'!H34*SUM(D32:I32)*(-1)),IF('Staging Table'!D34=1,'Staging Table'!BU34*-1*'Staging Table'!BS34/'Staging Table'!BR34,'Staging Table'!BU34*SUM(D32:I32)*(-1)))</f>
        <v>0</v>
      </c>
      <c r="K32" s="199">
        <f>IF(Init!$R$9="Yes",'Staging Table'!K34,'Staging Table'!BX34)*(-1)*Rates_previous!$H$32</f>
        <v>0</v>
      </c>
      <c r="L32" s="199">
        <f>IF('Staging Table'!C34=1,"",SUM(D32:K32))</f>
        <v>32061.605333198091</v>
      </c>
      <c r="M32" s="199">
        <f>IF('Staging Table'!C34=1,"",IF(Init!$R$9="Yes",(RT1SC!$C$3*'Staging Table'!F34*'Staging Table'!$F$2)+SUM('Staging Table'!L34:AI34)-IF(Init!$R$12="No",'Staging Table'!BH34, 0),X32))</f>
        <v>873.99304256285927</v>
      </c>
      <c r="N32" s="297">
        <f>IF('Staging Table'!C34=1,"",IF(M32=0, 0, L32/M32))</f>
        <v>36.684050984184076</v>
      </c>
      <c r="O32" s="199">
        <f>'Staging Table'!BS34*Rates_current!$E$76*100*12</f>
        <v>34875.892800000001</v>
      </c>
      <c r="P32" s="199">
        <f>'Staging Table'!BS34*Rates_current!$E$77*100*12</f>
        <v>-6129.0264000000006</v>
      </c>
      <c r="Q32" s="200">
        <f>SUMPRODUCT('Staging Table'!BY34:CV34, LS_Demand_Rates_Restatement!$C$5:$Z$5)-IF(Init!$R$12="No",('Staging Table'!DU34*Rates_current!$H$34), 0)</f>
        <v>986.02153813879772</v>
      </c>
      <c r="R32" s="200">
        <f>SUMPRODUCT('Staging Table'!CW34:DH34, LS_Demand_Rates_Restatement!$C$11:$N$11)*1000</f>
        <v>1837.906761725427</v>
      </c>
      <c r="S32" s="201">
        <f>'Staging Table'!ED34*IF(Init!$R$15="Yes",IF(Init!$R$6=2024,Rates_current!$C$88,Rates_current!$D$88),Rates_current!$H$33)</f>
        <v>-29.457236796167702</v>
      </c>
      <c r="T32" s="201">
        <v>0</v>
      </c>
      <c r="U32" s="201">
        <f>IF('Staging Table'!D34=1, 'Staging Table'!BU34*-1*'Staging Table'!BS34/'Staging Table'!BR34,SUM(O32:T32)*'Staging Table'!BU34*-1)</f>
        <v>0</v>
      </c>
      <c r="V32" s="199">
        <f>'Staging Table'!BX34*Rates_current!$H$32*-1</f>
        <v>0</v>
      </c>
      <c r="W32" s="199">
        <f>IF('Staging Table'!C34=1,"", SUM(O32:V32))</f>
        <v>31541.337463068056</v>
      </c>
      <c r="X32" s="199">
        <f>IF('Staging Table'!C34=1,"", (RT1SC!$C$4*'Staging Table'!BS34*'Staging Table'!$BS$2)+SUM('Staging Table'!BY34:CV34)-IF(Init!$R$12="No",'Staging Table'!DU34, 0))</f>
        <v>873.99300398159994</v>
      </c>
      <c r="Y32" s="297">
        <f>IF('Staging Table'!C34=1,"",IF(X32=0, 0, W32/X32))</f>
        <v>36.08877567598023</v>
      </c>
      <c r="Z32" s="76">
        <f ca="1">IF('Staging Table'!C34=1,"",(Y32/N32-1)+(RAND()/100000000000000))</f>
        <v>-1.6227087582567003E-2</v>
      </c>
      <c r="AA32" s="53">
        <f t="shared" ca="1" si="0"/>
        <v>91</v>
      </c>
      <c r="AC32" s="405"/>
      <c r="AD32" s="204"/>
      <c r="AE32" s="204"/>
      <c r="AG32" s="204"/>
      <c r="AH32" s="204"/>
    </row>
    <row r="33" spans="2:34">
      <c r="B33" s="123">
        <v>10083</v>
      </c>
      <c r="C33" s="124" t="s">
        <v>36</v>
      </c>
      <c r="D33" s="199">
        <f>IF(Init!$R$9="Yes",'Staging Table'!F35,'Staging Table'!BS35)*Rates_previous!$E$76*100*12</f>
        <v>2840070.7782467012</v>
      </c>
      <c r="E33" s="199">
        <f>IF(Init!$R$9="Yes",'Staging Table'!F35,'Staging Table'!BS35)*Rates_previous!$E$77*100*12</f>
        <v>-468902.50022174523</v>
      </c>
      <c r="F33" s="200">
        <f>IF(Init!$R$9="Yes",SUMPRODUCT('Staging Table'!L35:AI35,LS_Demand_Rates_Restatement!$C$4:$Z$4)-IF(Init!$R$12="No",('Staging Table'!BH35*Rates_previous!$H$34), 0),SUMPRODUCT('Staging Table'!BY35:CV35,LS_Demand_Rates_Restatement!$C$4:$Z$4)-IF(Init!$R$12="No", 'Staging Table'!DU35*Rates_previous!$H$34, 0))</f>
        <v>41354.568224260467</v>
      </c>
      <c r="G33" s="200">
        <f>IF(Init!$R$9="Yes",SUMPRODUCT('Staging Table'!AJ35:AU35,LS_Demand_Rates_Restatement!$C$10:$N$10),SUMPRODUCT(LS_Demand_Rates_Restatement!$C$10:$N$10,'Staging Table'!CW35:DH35))*1000</f>
        <v>153294.21319558402</v>
      </c>
      <c r="H33" s="201">
        <f>IF(Init!$R$9="Yes",'Staging Table'!BQ35,'Staging Table'!ED35)*IF(Init!$R$3=2022,Rates_previous!$C$88,Rates_previous!$D$88)</f>
        <v>0</v>
      </c>
      <c r="I33" s="199">
        <v>0</v>
      </c>
      <c r="J33" s="201">
        <f>IF(Init!$R$9="Yes",IF('Staging Table'!D35=1,'Staging Table'!H35*-1*'Staging Table'!BS35/'Staging Table'!BR35,'Staging Table'!H35*SUM(D33:I33)*(-1)),IF('Staging Table'!D35=1,'Staging Table'!BU35*-1*'Staging Table'!BS35/'Staging Table'!BR35,'Staging Table'!BU35*SUM(D33:I33)*(-1)))</f>
        <v>0</v>
      </c>
      <c r="K33" s="199">
        <f>IF(Init!$R$9="Yes",'Staging Table'!K35,'Staging Table'!BX35)*(-1)*Rates_previous!$H$32</f>
        <v>0</v>
      </c>
      <c r="L33" s="199">
        <f>IF('Staging Table'!C35=1,"",SUM(D33:K33))</f>
        <v>2565817.059444801</v>
      </c>
      <c r="M33" s="199">
        <f>IF('Staging Table'!C35=1,"",IF(Init!$R$9="Yes",(RT1SC!$C$3*'Staging Table'!F35*'Staging Table'!$F$2)+SUM('Staging Table'!L35:AI35)-IF(Init!$R$12="No",'Staging Table'!BH35, 0),X33))</f>
        <v>69887.28</v>
      </c>
      <c r="N33" s="297">
        <f>IF('Staging Table'!C35=1,"",IF(M33=0, 0, L33/M33))</f>
        <v>36.713648884958765</v>
      </c>
      <c r="O33" s="199">
        <f>'Staging Table'!BS35*Rates_current!$E$76*100*12</f>
        <v>2949504.0767999999</v>
      </c>
      <c r="P33" s="199">
        <f>'Staging Table'!BS35*Rates_current!$E$77*100*12</f>
        <v>-518340.5184</v>
      </c>
      <c r="Q33" s="200">
        <f>SUMPRODUCT('Staging Table'!BY35:CV35, LS_Demand_Rates_Restatement!$C$5:$Z$5)-IF(Init!$R$12="No",('Staging Table'!DU35*Rates_current!$H$34), 0)</f>
        <v>88027.133830924533</v>
      </c>
      <c r="R33" s="200">
        <f>SUMPRODUCT('Staging Table'!CW35:DH35, LS_Demand_Rates_Restatement!$C$11:$N$11)*1000</f>
        <v>160035.91572045934</v>
      </c>
      <c r="S33" s="201">
        <f>'Staging Table'!ED35*IF(Init!$R$15="Yes",IF(Init!$R$6=2024,Rates_current!$C$88,Rates_current!$D$88),Rates_current!$H$33)</f>
        <v>0</v>
      </c>
      <c r="T33" s="201">
        <v>0</v>
      </c>
      <c r="U33" s="201">
        <f>IF('Staging Table'!D35=1, 'Staging Table'!BU35*-1*'Staging Table'!BS35/'Staging Table'!BR35,SUM(O33:T33)*'Staging Table'!BU35*-1)</f>
        <v>0</v>
      </c>
      <c r="V33" s="199">
        <f>'Staging Table'!BX35*Rates_current!$H$32*-1</f>
        <v>0</v>
      </c>
      <c r="W33" s="199">
        <f>IF('Staging Table'!C35=1,"", SUM(O33:V33))</f>
        <v>2679226.607951384</v>
      </c>
      <c r="X33" s="199">
        <f>IF('Staging Table'!C35=1,"", (RT1SC!$C$4*'Staging Table'!BS35*'Staging Table'!$BS$2)+SUM('Staging Table'!BY35:CV35)-IF(Init!$R$12="No",'Staging Table'!DU35, 0))</f>
        <v>73460.59199999999</v>
      </c>
      <c r="Y33" s="297">
        <f>IF('Staging Table'!C35=1,"",IF(X33=0, 0, W33/X33))</f>
        <v>36.471617434710907</v>
      </c>
      <c r="Z33" s="76">
        <f ca="1">IF('Staging Table'!C35=1,"",(Y33/N33-1)+(RAND()/100000000000000))</f>
        <v>-6.5924106592074585E-3</v>
      </c>
      <c r="AA33" s="53">
        <f t="shared" ca="1" si="0"/>
        <v>53</v>
      </c>
      <c r="AC33" s="405"/>
      <c r="AD33" s="204"/>
      <c r="AE33" s="204"/>
      <c r="AG33" s="204"/>
      <c r="AH33" s="204"/>
    </row>
    <row r="34" spans="2:34">
      <c r="B34" s="123">
        <v>10086</v>
      </c>
      <c r="C34" s="124" t="s">
        <v>37</v>
      </c>
      <c r="D34" s="199">
        <f>IF(Init!$R$9="Yes",'Staging Table'!F36,'Staging Table'!BS36)*Rates_previous!$E$76*100*12</f>
        <v>1339579.1072604978</v>
      </c>
      <c r="E34" s="199">
        <f>IF(Init!$R$9="Yes",'Staging Table'!F36,'Staging Table'!BS36)*Rates_previous!$E$77*100*12</f>
        <v>-221167.72492093802</v>
      </c>
      <c r="F34" s="200">
        <f>IF(Init!$R$9="Yes",SUMPRODUCT('Staging Table'!L36:AI36,LS_Demand_Rates_Restatement!$C$4:$Z$4)-IF(Init!$R$12="No",('Staging Table'!BH36*Rates_previous!$H$34), 0),SUMPRODUCT('Staging Table'!BY36:CV36,LS_Demand_Rates_Restatement!$C$4:$Z$4)-IF(Init!$R$12="No", 'Staging Table'!DU36*Rates_previous!$H$34, 0))</f>
        <v>18047.537290987359</v>
      </c>
      <c r="G34" s="200">
        <f>IF(Init!$R$9="Yes",SUMPRODUCT('Staging Table'!AJ36:AU36,LS_Demand_Rates_Restatement!$C$10:$N$10),SUMPRODUCT(LS_Demand_Rates_Restatement!$C$10:$N$10,'Staging Table'!CW36:DH36))*1000</f>
        <v>74814.805284241491</v>
      </c>
      <c r="H34" s="201">
        <f>IF(Init!$R$9="Yes",'Staging Table'!BQ36,'Staging Table'!ED36)*IF(Init!$R$3=2022,Rates_previous!$C$88,Rates_previous!$D$88)</f>
        <v>0</v>
      </c>
      <c r="I34" s="199">
        <v>0</v>
      </c>
      <c r="J34" s="201">
        <f>IF(Init!$R$9="Yes",IF('Staging Table'!D36=1,'Staging Table'!H36*-1*'Staging Table'!BS36/'Staging Table'!BR36,'Staging Table'!H36*SUM(D34:I34)*(-1)),IF('Staging Table'!D36=1,'Staging Table'!BU36*-1*'Staging Table'!BS36/'Staging Table'!BR36,'Staging Table'!BU36*SUM(D34:I34)*(-1)))</f>
        <v>0</v>
      </c>
      <c r="K34" s="199">
        <f>IF(Init!$R$9="Yes",'Staging Table'!K36,'Staging Table'!BX36)*(-1)*Rates_previous!$H$32</f>
        <v>0</v>
      </c>
      <c r="L34" s="199">
        <f>IF('Staging Table'!C36=1,"",SUM(D34:K34))</f>
        <v>1211273.7249147885</v>
      </c>
      <c r="M34" s="199">
        <f>IF('Staging Table'!C36=1,"",IF(Init!$R$9="Yes",(RT1SC!$C$3*'Staging Table'!F36*'Staging Table'!$F$2)+SUM('Staging Table'!L36:AI36)-IF(Init!$R$12="No",'Staging Table'!BH36, 0),X34))</f>
        <v>32963.879999999997</v>
      </c>
      <c r="N34" s="297">
        <f>IF('Staging Table'!C36=1,"",IF(M34=0, 0, L34/M34))</f>
        <v>36.745483993837759</v>
      </c>
      <c r="O34" s="199">
        <f>'Staging Table'!BS36*Rates_current!$E$76*100*12</f>
        <v>1364643.86256</v>
      </c>
      <c r="P34" s="199">
        <f>'Staging Table'!BS36*Rates_current!$E$77*100*12</f>
        <v>-239820.04728</v>
      </c>
      <c r="Q34" s="200">
        <f>SUMPRODUCT('Staging Table'!BY36:CV36, LS_Demand_Rates_Restatement!$C$5:$Z$5)-IF(Init!$R$12="No",('Staging Table'!DU36*Rates_current!$H$34), 0)</f>
        <v>30858.016169173847</v>
      </c>
      <c r="R34" s="200">
        <f>SUMPRODUCT('Staging Table'!CW36:DH36, LS_Demand_Rates_Restatement!$C$11:$N$11)*1000</f>
        <v>73617.022972996812</v>
      </c>
      <c r="S34" s="201">
        <f>'Staging Table'!ED36*IF(Init!$R$15="Yes",IF(Init!$R$6=2024,Rates_current!$C$88,Rates_current!$D$88),Rates_current!$H$33)</f>
        <v>-1.0778484957335606</v>
      </c>
      <c r="T34" s="201">
        <v>0</v>
      </c>
      <c r="U34" s="201">
        <f>IF('Staging Table'!D36=1, 'Staging Table'!BU36*-1*'Staging Table'!BS36/'Staging Table'!BR36,SUM(O34:T34)*'Staging Table'!BU36*-1)</f>
        <v>0</v>
      </c>
      <c r="V34" s="199">
        <f>'Staging Table'!BX36*Rates_current!$H$32*-1</f>
        <v>0</v>
      </c>
      <c r="W34" s="199">
        <f>IF('Staging Table'!C36=1,"", SUM(O34:V34))</f>
        <v>1229297.776573675</v>
      </c>
      <c r="X34" s="199">
        <f>IF('Staging Table'!C36=1,"", (RT1SC!$C$4*'Staging Table'!BS36*'Staging Table'!$BS$2)+SUM('Staging Table'!BY36:CV36)-IF(Init!$R$12="No",'Staging Table'!DU36, 0))</f>
        <v>33985.456155794316</v>
      </c>
      <c r="Y34" s="297">
        <f>IF('Staging Table'!C36=1,"",IF(X34=0, 0, W34/X34))</f>
        <v>36.171289593359987</v>
      </c>
      <c r="Z34" s="76">
        <f ca="1">IF('Staging Table'!C36=1,"",(Y34/N34-1)+(RAND()/100000000000000))</f>
        <v>-1.5626257653158108E-2</v>
      </c>
      <c r="AA34" s="53">
        <f t="shared" ca="1" si="0"/>
        <v>88</v>
      </c>
      <c r="AC34" s="405"/>
      <c r="AD34" s="204"/>
      <c r="AE34" s="204"/>
      <c r="AG34" s="204"/>
      <c r="AH34" s="204"/>
    </row>
    <row r="35" spans="2:34">
      <c r="B35" s="123">
        <v>10087</v>
      </c>
      <c r="C35" s="124" t="s">
        <v>38</v>
      </c>
      <c r="D35" s="199">
        <f>IF(Init!$R$9="Yes",'Staging Table'!F37,'Staging Table'!BS37)*Rates_previous!$E$76*100*12</f>
        <v>20030616.557849549</v>
      </c>
      <c r="E35" s="199">
        <f>IF(Init!$R$9="Yes",'Staging Table'!F37,'Staging Table'!BS37)*Rates_previous!$E$77*100*12</f>
        <v>-3307102.8570481902</v>
      </c>
      <c r="F35" s="200">
        <f>IF(Init!$R$9="Yes",SUMPRODUCT('Staging Table'!L37:AI37,LS_Demand_Rates_Restatement!$C$4:$Z$4)-IF(Init!$R$12="No",('Staging Table'!BH37*Rates_previous!$H$34), 0),SUMPRODUCT('Staging Table'!BY37:CV37,LS_Demand_Rates_Restatement!$C$4:$Z$4)-IF(Init!$R$12="No", 'Staging Table'!DU37*Rates_previous!$H$34, 0))</f>
        <v>-2146542.9472448337</v>
      </c>
      <c r="G35" s="200">
        <f>IF(Init!$R$9="Yes",SUMPRODUCT('Staging Table'!AJ37:AU37,LS_Demand_Rates_Restatement!$C$10:$N$10),SUMPRODUCT(LS_Demand_Rates_Restatement!$C$10:$N$10,'Staging Table'!CW37:DH37))*1000</f>
        <v>53744.108798076981</v>
      </c>
      <c r="H35" s="201">
        <f>IF(Init!$R$9="Yes",'Staging Table'!BQ37,'Staging Table'!ED37)*IF(Init!$R$3=2022,Rates_previous!$C$88,Rates_previous!$D$88)</f>
        <v>-576815.19430971111</v>
      </c>
      <c r="I35" s="199">
        <v>0</v>
      </c>
      <c r="J35" s="201">
        <f>IF(Init!$R$9="Yes",IF('Staging Table'!D37=1,'Staging Table'!H37*-1*'Staging Table'!BS37/'Staging Table'!BR37,'Staging Table'!H37*SUM(D35:I35)*(-1)),IF('Staging Table'!D37=1,'Staging Table'!BU37*-1*'Staging Table'!BS37/'Staging Table'!BR37,'Staging Table'!BU37*SUM(D35:I35)*(-1)))</f>
        <v>0</v>
      </c>
      <c r="K35" s="199">
        <f>IF(Init!$R$9="Yes",'Staging Table'!K37,'Staging Table'!BX37)*(-1)*Rates_previous!$H$32</f>
        <v>0</v>
      </c>
      <c r="L35" s="199">
        <f>IF('Staging Table'!C37=1,"",SUM(D35:K35))</f>
        <v>14053899.668044889</v>
      </c>
      <c r="M35" s="199">
        <f>IF('Staging Table'!C37=1,"",IF(Init!$R$9="Yes",(RT1SC!$C$3*'Staging Table'!F37*'Staging Table'!$F$2)+SUM('Staging Table'!L37:AI37)-IF(Init!$R$12="No",'Staging Table'!BH37, 0),X35))</f>
        <v>411015.63721381524</v>
      </c>
      <c r="N35" s="297">
        <f>IF('Staging Table'!C37=1,"",IF(M35=0, 0, L35/M35))</f>
        <v>34.193102148894354</v>
      </c>
      <c r="O35" s="199">
        <f>'Staging Table'!BS37*Rates_current!$E$76*100*12</f>
        <v>16502525.132400002</v>
      </c>
      <c r="P35" s="199">
        <f>'Staging Table'!BS37*Rates_current!$E$77*100*12</f>
        <v>-2900123.9561999999</v>
      </c>
      <c r="Q35" s="200">
        <f>SUMPRODUCT('Staging Table'!BY37:CV37, LS_Demand_Rates_Restatement!$C$5:$Z$5)-IF(Init!$R$12="No",('Staging Table'!DU37*Rates_current!$H$34), 0)</f>
        <v>178219.3224843186</v>
      </c>
      <c r="R35" s="200">
        <f>SUMPRODUCT('Staging Table'!CW37:DH37, LS_Demand_Rates_Restatement!$C$11:$N$11)*1000</f>
        <v>24923.911675000018</v>
      </c>
      <c r="S35" s="201">
        <f>'Staging Table'!ED37*IF(Init!$R$15="Yes",IF(Init!$R$6=2024,Rates_current!$C$88,Rates_current!$D$88),Rates_current!$H$33)</f>
        <v>-23.35231937262812</v>
      </c>
      <c r="T35" s="201">
        <v>0</v>
      </c>
      <c r="U35" s="201">
        <f>IF('Staging Table'!D37=1, 'Staging Table'!BU37*-1*'Staging Table'!BS37/'Staging Table'!BR37,SUM(O35:T35)*'Staging Table'!BU37*-1)</f>
        <v>0</v>
      </c>
      <c r="V35" s="199">
        <f>'Staging Table'!BX37*Rates_current!$H$32*-1</f>
        <v>0</v>
      </c>
      <c r="W35" s="199">
        <f>IF('Staging Table'!C37=1,"", SUM(O35:V35))</f>
        <v>13805521.058039948</v>
      </c>
      <c r="X35" s="199">
        <f>IF('Staging Table'!C37=1,"", (RT1SC!$C$4*'Staging Table'!BS37*'Staging Table'!$BS$2)+SUM('Staging Table'!BY37:CV37)-IF(Init!$R$12="No",'Staging Table'!DU37, 0))</f>
        <v>411015.61388400779</v>
      </c>
      <c r="Y35" s="297">
        <f>IF('Staging Table'!C37=1,"",IF(X35=0, 0, W35/X35))</f>
        <v>33.588799529002777</v>
      </c>
      <c r="Z35" s="76">
        <f ca="1">IF('Staging Table'!C37=1,"",(Y35/N35-1)+(RAND()/100000000000000))</f>
        <v>-1.7673231789849551E-2</v>
      </c>
      <c r="AA35" s="53">
        <f t="shared" ca="1" si="0"/>
        <v>94</v>
      </c>
      <c r="AC35" s="405"/>
      <c r="AD35" s="204"/>
      <c r="AE35" s="204"/>
      <c r="AG35" s="204"/>
      <c r="AH35" s="204"/>
    </row>
    <row r="36" spans="2:34">
      <c r="B36" s="123">
        <v>10089</v>
      </c>
      <c r="C36" s="124" t="s">
        <v>39</v>
      </c>
      <c r="D36" s="199">
        <f>IF(Init!$R$9="Yes",'Staging Table'!F38,'Staging Table'!BS38)*Rates_previous!$E$76*100*12</f>
        <v>35267909.23529759</v>
      </c>
      <c r="E36" s="199">
        <f>IF(Init!$R$9="Yes",'Staging Table'!F38,'Staging Table'!BS38)*Rates_previous!$E$77*100*12</f>
        <v>-5822816.4398894869</v>
      </c>
      <c r="F36" s="200">
        <f>IF(Init!$R$9="Yes",SUMPRODUCT('Staging Table'!L38:AI38,LS_Demand_Rates_Restatement!$C$4:$Z$4)-IF(Init!$R$12="No",('Staging Table'!BH38*Rates_previous!$H$34), 0),SUMPRODUCT('Staging Table'!BY38:CV38,LS_Demand_Rates_Restatement!$C$4:$Z$4)-IF(Init!$R$12="No", 'Staging Table'!DU38*Rates_previous!$H$34, 0))</f>
        <v>391730.53585715644</v>
      </c>
      <c r="G36" s="200">
        <f>IF(Init!$R$9="Yes",SUMPRODUCT('Staging Table'!AJ38:AU38,LS_Demand_Rates_Restatement!$C$10:$N$10),SUMPRODUCT(LS_Demand_Rates_Restatement!$C$10:$N$10,'Staging Table'!CW38:DH38))*1000</f>
        <v>1649583.0623423078</v>
      </c>
      <c r="H36" s="201">
        <f>IF(Init!$R$9="Yes",'Staging Table'!BQ38,'Staging Table'!ED38)*IF(Init!$R$3=2022,Rates_previous!$C$88,Rates_previous!$D$88)</f>
        <v>0</v>
      </c>
      <c r="I36" s="199">
        <v>0</v>
      </c>
      <c r="J36" s="201">
        <f>IF(Init!$R$9="Yes",IF('Staging Table'!D38=1,'Staging Table'!H38*-1*'Staging Table'!BS38/'Staging Table'!BR38,'Staging Table'!H38*SUM(D36:I36)*(-1)),IF('Staging Table'!D38=1,'Staging Table'!BU38*-1*'Staging Table'!BS38/'Staging Table'!BR38,'Staging Table'!BU38*SUM(D36:I36)*(-1)))</f>
        <v>0</v>
      </c>
      <c r="K36" s="199">
        <f>IF(Init!$R$9="Yes",'Staging Table'!K38,'Staging Table'!BX38)*(-1)*Rates_previous!$H$32</f>
        <v>0</v>
      </c>
      <c r="L36" s="199">
        <f>IF('Staging Table'!C38=1,"",SUM(D36:K36))</f>
        <v>31486406.393607568</v>
      </c>
      <c r="M36" s="199">
        <f>IF('Staging Table'!C38=1,"",IF(Init!$R$9="Yes",(RT1SC!$C$3*'Staging Table'!F38*'Staging Table'!$F$2)+SUM('Staging Table'!L38:AI38)-IF(Init!$R$12="No",'Staging Table'!BH38, 0),X36))</f>
        <v>867844.44000000006</v>
      </c>
      <c r="N36" s="297">
        <f>IF('Staging Table'!C38=1,"",IF(M36=0, 0, L36/M36))</f>
        <v>36.281163930263318</v>
      </c>
      <c r="O36" s="199">
        <f>'Staging Table'!BS38*Rates_current!$E$76*100*12</f>
        <v>36754208.740800001</v>
      </c>
      <c r="P36" s="199">
        <f>'Staging Table'!BS38*Rates_current!$E$77*100*12</f>
        <v>-6459118.2503999993</v>
      </c>
      <c r="Q36" s="200">
        <f>SUMPRODUCT('Staging Table'!BY38:CV38, LS_Demand_Rates_Restatement!$C$5:$Z$5)-IF(Init!$R$12="No",('Staging Table'!DU38*Rates_current!$H$34), 0)</f>
        <v>1367533.5224085595</v>
      </c>
      <c r="R36" s="200">
        <f>SUMPRODUCT('Staging Table'!CW38:DH38, LS_Demand_Rates_Restatement!$C$11:$N$11)*1000</f>
        <v>1694608.0009146631</v>
      </c>
      <c r="S36" s="201">
        <f>'Staging Table'!ED38*IF(Init!$R$15="Yes",IF(Init!$R$6=2024,Rates_current!$C$88,Rates_current!$D$88),Rates_current!$H$33)</f>
        <v>0</v>
      </c>
      <c r="T36" s="201">
        <v>0</v>
      </c>
      <c r="U36" s="201">
        <f>IF('Staging Table'!D38=1, 'Staging Table'!BU38*-1*'Staging Table'!BS38/'Staging Table'!BR38,SUM(O36:T36)*'Staging Table'!BU38*-1)</f>
        <v>0</v>
      </c>
      <c r="V36" s="199">
        <f>'Staging Table'!BX38*Rates_current!$H$32*-1</f>
        <v>0</v>
      </c>
      <c r="W36" s="199">
        <f>IF('Staging Table'!C38=1,"", SUM(O36:V36))</f>
        <v>33357232.013723224</v>
      </c>
      <c r="X36" s="199">
        <f>IF('Staging Table'!C38=1,"", (RT1SC!$C$4*'Staging Table'!BS38*'Staging Table'!$BS$2)+SUM('Staging Table'!BY38:CV38)-IF(Init!$R$12="No",'Staging Table'!DU38, 0))</f>
        <v>915404.33119603759</v>
      </c>
      <c r="Y36" s="297">
        <f>IF('Staging Table'!C38=1,"",IF(X36=0, 0, W36/X36))</f>
        <v>36.439888775859025</v>
      </c>
      <c r="Z36" s="76">
        <f ca="1">IF('Staging Table'!C38=1,"",(Y36/N36-1)+(RAND()/100000000000000))</f>
        <v>4.3748553905531432E-3</v>
      </c>
      <c r="AA36" s="53">
        <f t="shared" ca="1" si="0"/>
        <v>22</v>
      </c>
      <c r="AC36" s="405"/>
      <c r="AD36" s="204"/>
      <c r="AE36" s="204"/>
      <c r="AG36" s="204"/>
      <c r="AH36" s="204"/>
    </row>
    <row r="37" spans="2:34">
      <c r="B37" s="123">
        <v>10091</v>
      </c>
      <c r="C37" s="124" t="s">
        <v>40</v>
      </c>
      <c r="D37" s="199">
        <f>IF(Init!$R$9="Yes",'Staging Table'!F39,'Staging Table'!BS39)*Rates_previous!$E$76*100*12</f>
        <v>3199785.8983488763</v>
      </c>
      <c r="E37" s="199">
        <f>IF(Init!$R$9="Yes",'Staging Table'!F39,'Staging Table'!BS39)*Rates_previous!$E$77*100*12</f>
        <v>-528292.32968494017</v>
      </c>
      <c r="F37" s="200">
        <f>IF(Init!$R$9="Yes",SUMPRODUCT('Staging Table'!L39:AI39,LS_Demand_Rates_Restatement!$C$4:$Z$4)-IF(Init!$R$12="No",('Staging Table'!BH39*Rates_previous!$H$34), 0),SUMPRODUCT('Staging Table'!BY39:CV39,LS_Demand_Rates_Restatement!$C$4:$Z$4)-IF(Init!$R$12="No", 'Staging Table'!DU39*Rates_previous!$H$34, 0))</f>
        <v>43167.726850344538</v>
      </c>
      <c r="G37" s="200">
        <f>IF(Init!$R$9="Yes",SUMPRODUCT('Staging Table'!AJ39:AU39,LS_Demand_Rates_Restatement!$C$10:$N$10),SUMPRODUCT(LS_Demand_Rates_Restatement!$C$10:$N$10,'Staging Table'!CW39:DH39))*1000</f>
        <v>95488.416599813034</v>
      </c>
      <c r="H37" s="201">
        <f>IF(Init!$R$9="Yes",'Staging Table'!BQ39,'Staging Table'!ED39)*IF(Init!$R$3=2022,Rates_previous!$C$88,Rates_previous!$D$88)</f>
        <v>0</v>
      </c>
      <c r="I37" s="199">
        <v>0</v>
      </c>
      <c r="J37" s="201">
        <f>IF(Init!$R$9="Yes",IF('Staging Table'!D39=1,'Staging Table'!H39*-1*'Staging Table'!BS39/'Staging Table'!BR39,'Staging Table'!H39*SUM(D37:I37)*(-1)),IF('Staging Table'!D39=1,'Staging Table'!BU39*-1*'Staging Table'!BS39/'Staging Table'!BR39,'Staging Table'!BU39*SUM(D37:I37)*(-1)))</f>
        <v>0</v>
      </c>
      <c r="K37" s="199">
        <f>IF(Init!$R$9="Yes",'Staging Table'!K39,'Staging Table'!BX39)*(-1)*Rates_previous!$H$32</f>
        <v>0</v>
      </c>
      <c r="L37" s="199">
        <f>IF('Staging Table'!C39=1,"",SUM(D37:K37))</f>
        <v>2810149.7121140934</v>
      </c>
      <c r="M37" s="199">
        <f>IF('Staging Table'!C39=1,"",IF(Init!$R$9="Yes",(RT1SC!$C$3*'Staging Table'!F39*'Staging Table'!$F$2)+SUM('Staging Table'!L39:AI39)-IF(Init!$R$12="No",'Staging Table'!BH39, 0),X37))</f>
        <v>78734.87999999999</v>
      </c>
      <c r="N37" s="297">
        <f>IF('Staging Table'!C39=1,"",IF(M37=0, 0, L37/M37))</f>
        <v>35.691293517105677</v>
      </c>
      <c r="O37" s="199">
        <f>'Staging Table'!BS39*Rates_current!$E$76*100*12</f>
        <v>3186411.0343200001</v>
      </c>
      <c r="P37" s="199">
        <f>'Staging Table'!BS39*Rates_current!$E$77*100*12</f>
        <v>-559974.11916</v>
      </c>
      <c r="Q37" s="200">
        <f>SUMPRODUCT('Staging Table'!BY39:CV39, LS_Demand_Rates_Restatement!$C$5:$Z$5)-IF(Init!$R$12="No",('Staging Table'!DU39*Rates_current!$H$34), 0)</f>
        <v>89789.331338952426</v>
      </c>
      <c r="R37" s="200">
        <f>SUMPRODUCT('Staging Table'!CW39:DH39, LS_Demand_Rates_Restatement!$C$11:$N$11)*1000</f>
        <v>98180.890035176228</v>
      </c>
      <c r="S37" s="201">
        <f>'Staging Table'!ED39*IF(Init!$R$15="Yes",IF(Init!$R$6=2024,Rates_current!$C$88,Rates_current!$D$88),Rates_current!$H$33)</f>
        <v>-2.1291282127791784</v>
      </c>
      <c r="T37" s="201">
        <v>0</v>
      </c>
      <c r="U37" s="201">
        <f>IF('Staging Table'!D39=1, 'Staging Table'!BU39*-1*'Staging Table'!BS39/'Staging Table'!BR39,SUM(O37:T37)*'Staging Table'!BU39*-1)</f>
        <v>0</v>
      </c>
      <c r="V37" s="199">
        <f>'Staging Table'!BX39*Rates_current!$H$32*-1</f>
        <v>0</v>
      </c>
      <c r="W37" s="199">
        <f>IF('Staging Table'!C39=1,"", SUM(O37:V37))</f>
        <v>2814405.0074059162</v>
      </c>
      <c r="X37" s="199">
        <f>IF('Staging Table'!C39=1,"", (RT1SC!$C$4*'Staging Table'!BS39*'Staging Table'!$BS$2)+SUM('Staging Table'!BY39:CV39)-IF(Init!$R$12="No",'Staging Table'!DU39, 0))</f>
        <v>79363.756363776047</v>
      </c>
      <c r="Y37" s="297">
        <f>IF('Staging Table'!C39=1,"",IF(X37=0, 0, W37/X37))</f>
        <v>35.462094239915459</v>
      </c>
      <c r="Z37" s="76">
        <f ca="1">IF('Staging Table'!C39=1,"",(Y37/N37-1)+(RAND()/100000000000000))</f>
        <v>-6.4217139420882302E-3</v>
      </c>
      <c r="AA37" s="53">
        <f t="shared" ca="1" si="0"/>
        <v>50</v>
      </c>
      <c r="AC37" s="405"/>
      <c r="AD37" s="204"/>
      <c r="AE37" s="204"/>
      <c r="AG37" s="204"/>
      <c r="AH37" s="204"/>
    </row>
    <row r="38" spans="2:34">
      <c r="B38" s="123">
        <v>10094</v>
      </c>
      <c r="C38" s="124" t="s">
        <v>41</v>
      </c>
      <c r="D38" s="199">
        <f>IF(Init!$R$9="Yes",'Staging Table'!F40,'Staging Table'!BS40)*Rates_previous!$E$76*100*12</f>
        <v>1031423.1543729682</v>
      </c>
      <c r="E38" s="199">
        <f>IF(Init!$R$9="Yes",'Staging Table'!F40,'Staging Table'!BS40)*Rates_previous!$E$77*100*12</f>
        <v>-170290.437680801</v>
      </c>
      <c r="F38" s="200">
        <f>IF(Init!$R$9="Yes",SUMPRODUCT('Staging Table'!L40:AI40,LS_Demand_Rates_Restatement!$C$4:$Z$4)-IF(Init!$R$12="No",('Staging Table'!BH40*Rates_previous!$H$34), 0),SUMPRODUCT('Staging Table'!BY40:CV40,LS_Demand_Rates_Restatement!$C$4:$Z$4)-IF(Init!$R$12="No", 'Staging Table'!DU40*Rates_previous!$H$34, 0))</f>
        <v>12738.494091422632</v>
      </c>
      <c r="G38" s="200">
        <f>IF(Init!$R$9="Yes",SUMPRODUCT('Staging Table'!AJ40:AU40,LS_Demand_Rates_Restatement!$C$10:$N$10),SUMPRODUCT(LS_Demand_Rates_Restatement!$C$10:$N$10,'Staging Table'!CW40:DH40))*1000</f>
        <v>53528.555375275981</v>
      </c>
      <c r="H38" s="201">
        <f>IF(Init!$R$9="Yes",'Staging Table'!BQ40,'Staging Table'!ED40)*IF(Init!$R$3=2022,Rates_previous!$C$88,Rates_previous!$D$88)</f>
        <v>0</v>
      </c>
      <c r="I38" s="199">
        <v>0</v>
      </c>
      <c r="J38" s="201">
        <f>IF(Init!$R$9="Yes",IF('Staging Table'!D40=1,'Staging Table'!H40*-1*'Staging Table'!BS40/'Staging Table'!BR40,'Staging Table'!H40*SUM(D38:I38)*(-1)),IF('Staging Table'!D40=1,'Staging Table'!BU40*-1*'Staging Table'!BS40/'Staging Table'!BR40,'Staging Table'!BU40*SUM(D38:I38)*(-1)))</f>
        <v>0</v>
      </c>
      <c r="K38" s="199">
        <f>IF(Init!$R$9="Yes",'Staging Table'!K40,'Staging Table'!BX40)*(-1)*Rates_previous!$H$32</f>
        <v>0</v>
      </c>
      <c r="L38" s="199">
        <f>IF('Staging Table'!C40=1,"",SUM(D38:K38))</f>
        <v>927399.76615886588</v>
      </c>
      <c r="M38" s="199">
        <f>IF('Staging Table'!C40=1,"",IF(Init!$R$9="Yes",(RT1SC!$C$3*'Staging Table'!F40*'Staging Table'!$F$2)+SUM('Staging Table'!L40:AI40)-IF(Init!$R$12="No",'Staging Table'!BH40, 0),X38))</f>
        <v>25377.719999999998</v>
      </c>
      <c r="N38" s="297">
        <f>IF('Staging Table'!C40=1,"",IF(M38=0, 0, L38/M38))</f>
        <v>36.543856822396414</v>
      </c>
      <c r="O38" s="199">
        <f>'Staging Table'!BS40*Rates_current!$E$76*100*12</f>
        <v>1069444.34136</v>
      </c>
      <c r="P38" s="199">
        <f>'Staging Table'!BS40*Rates_current!$E$77*100*12</f>
        <v>-187942.21668000001</v>
      </c>
      <c r="Q38" s="200">
        <f>SUMPRODUCT('Staging Table'!BY40:CV40, LS_Demand_Rates_Restatement!$C$5:$Z$5)-IF(Init!$R$12="No",('Staging Table'!DU40*Rates_current!$H$34), 0)</f>
        <v>27817.999369927486</v>
      </c>
      <c r="R38" s="200">
        <f>SUMPRODUCT('Staging Table'!CW40:DH40, LS_Demand_Rates_Restatement!$C$11:$N$11)*1000</f>
        <v>53335.040328018149</v>
      </c>
      <c r="S38" s="201">
        <f>'Staging Table'!ED40*IF(Init!$R$15="Yes",IF(Init!$R$6=2024,Rates_current!$C$88,Rates_current!$D$88),Rates_current!$H$33)</f>
        <v>-48.073211685344397</v>
      </c>
      <c r="T38" s="201">
        <v>0</v>
      </c>
      <c r="U38" s="201">
        <f>IF('Staging Table'!D40=1, 'Staging Table'!BU40*-1*'Staging Table'!BS40/'Staging Table'!BR40,SUM(O38:T38)*'Staging Table'!BU40*-1)</f>
        <v>0</v>
      </c>
      <c r="V38" s="199">
        <f>'Staging Table'!BX40*Rates_current!$H$32*-1</f>
        <v>0</v>
      </c>
      <c r="W38" s="199">
        <f>IF('Staging Table'!C40=1,"", SUM(O38:V38))</f>
        <v>962607.09116626019</v>
      </c>
      <c r="X38" s="199">
        <f>IF('Staging Table'!C40=1,"", (RT1SC!$C$4*'Staging Table'!BS40*'Staging Table'!$BS$2)+SUM('Staging Table'!BY40:CV40)-IF(Init!$R$12="No",'Staging Table'!DU40, 0))</f>
        <v>26640.231122092919</v>
      </c>
      <c r="Y38" s="297">
        <f>IF('Staging Table'!C40=1,"",IF(X38=0, 0, W38/X38))</f>
        <v>36.133586332438526</v>
      </c>
      <c r="Z38" s="76">
        <f ca="1">IF('Staging Table'!C40=1,"",(Y38/N38-1)+(RAND()/100000000000000))</f>
        <v>-1.122679776115581E-2</v>
      </c>
      <c r="AA38" s="53">
        <f t="shared" ca="1" si="0"/>
        <v>70</v>
      </c>
      <c r="AC38" s="405"/>
      <c r="AD38" s="204"/>
      <c r="AE38" s="204"/>
      <c r="AG38" s="204"/>
      <c r="AH38" s="204"/>
    </row>
    <row r="39" spans="2:34">
      <c r="B39" s="123">
        <v>10095</v>
      </c>
      <c r="C39" s="124" t="s">
        <v>42</v>
      </c>
      <c r="D39" s="199">
        <f>IF(Init!$R$9="Yes",'Staging Table'!F41,'Staging Table'!BS41)*Rates_previous!$E$76*100*12</f>
        <v>1237180.2030714122</v>
      </c>
      <c r="E39" s="199">
        <f>IF(Init!$R$9="Yes",'Staging Table'!F41,'Staging Table'!BS41)*Rates_previous!$E$77*100*12</f>
        <v>-204261.4201337485</v>
      </c>
      <c r="F39" s="200">
        <f>IF(Init!$R$9="Yes",SUMPRODUCT('Staging Table'!L41:AI41,LS_Demand_Rates_Restatement!$C$4:$Z$4)-IF(Init!$R$12="No",('Staging Table'!BH41*Rates_previous!$H$34), 0),SUMPRODUCT('Staging Table'!BY41:CV41,LS_Demand_Rates_Restatement!$C$4:$Z$4)-IF(Init!$R$12="No", 'Staging Table'!DU41*Rates_previous!$H$34, 0))</f>
        <v>6828.163331413627</v>
      </c>
      <c r="G39" s="200">
        <f>IF(Init!$R$9="Yes",SUMPRODUCT('Staging Table'!AJ41:AU41,LS_Demand_Rates_Restatement!$C$10:$N$10),SUMPRODUCT(LS_Demand_Rates_Restatement!$C$10:$N$10,'Staging Table'!CW41:DH41))*1000</f>
        <v>32677.188686761034</v>
      </c>
      <c r="H39" s="201">
        <f>IF(Init!$R$9="Yes",'Staging Table'!BQ41,'Staging Table'!ED41)*IF(Init!$R$3=2022,Rates_previous!$C$88,Rates_previous!$D$88)</f>
        <v>0</v>
      </c>
      <c r="I39" s="199">
        <v>0</v>
      </c>
      <c r="J39" s="201">
        <f>IF(Init!$R$9="Yes",IF('Staging Table'!D41=1,'Staging Table'!H41*-1*'Staging Table'!BS41/'Staging Table'!BR41,'Staging Table'!H41*SUM(D39:I39)*(-1)),IF('Staging Table'!D41=1,'Staging Table'!BU41*-1*'Staging Table'!BS41/'Staging Table'!BR41,'Staging Table'!BU41*SUM(D39:I39)*(-1)))</f>
        <v>0</v>
      </c>
      <c r="K39" s="199">
        <f>IF(Init!$R$9="Yes",'Staging Table'!K41,'Staging Table'!BX41)*(-1)*Rates_previous!$H$32</f>
        <v>0</v>
      </c>
      <c r="L39" s="199">
        <f>IF('Staging Table'!C41=1,"",SUM(D39:K39))</f>
        <v>1072424.1349558383</v>
      </c>
      <c r="M39" s="199">
        <f>IF('Staging Table'!C41=1,"",IF(Init!$R$9="Yes",(RT1SC!$C$3*'Staging Table'!F41*'Staging Table'!$F$2)+SUM('Staging Table'!L41:AI41)-IF(Init!$R$12="No",'Staging Table'!BH41, 0),X39))</f>
        <v>30441</v>
      </c>
      <c r="N39" s="297">
        <f>IF('Staging Table'!C41=1,"",IF(M39=0, 0, L39/M39))</f>
        <v>35.229596102488038</v>
      </c>
      <c r="O39" s="199">
        <f>'Staging Table'!BS41*Rates_current!$E$76*100*12</f>
        <v>1284927.5361600001</v>
      </c>
      <c r="P39" s="199">
        <f>'Staging Table'!BS41*Rates_current!$E$77*100*12</f>
        <v>-225810.84407999998</v>
      </c>
      <c r="Q39" s="200">
        <f>SUMPRODUCT('Staging Table'!BY41:CV41, LS_Demand_Rates_Restatement!$C$5:$Z$5)-IF(Init!$R$12="No",('Staging Table'!DU41*Rates_current!$H$34), 0)</f>
        <v>21268.164874272457</v>
      </c>
      <c r="R39" s="200">
        <f>SUMPRODUCT('Staging Table'!CW41:DH41, LS_Demand_Rates_Restatement!$C$11:$N$11)*1000</f>
        <v>32835.040221447649</v>
      </c>
      <c r="S39" s="201">
        <f>'Staging Table'!ED41*IF(Init!$R$15="Yes",IF(Init!$R$6=2024,Rates_current!$C$88,Rates_current!$D$88),Rates_current!$H$33)</f>
        <v>0</v>
      </c>
      <c r="T39" s="201">
        <v>0</v>
      </c>
      <c r="U39" s="201">
        <f>IF('Staging Table'!D41=1, 'Staging Table'!BU41*-1*'Staging Table'!BS41/'Staging Table'!BR41,SUM(O39:T39)*'Staging Table'!BU41*-1)</f>
        <v>0</v>
      </c>
      <c r="V39" s="199">
        <f>'Staging Table'!BX41*Rates_current!$H$32*-1</f>
        <v>0</v>
      </c>
      <c r="W39" s="199">
        <f>IF('Staging Table'!C41=1,"", SUM(O39:V39))</f>
        <v>1113219.8971757202</v>
      </c>
      <c r="X39" s="199">
        <f>IF('Staging Table'!C41=1,"", (RT1SC!$C$4*'Staging Table'!BS41*'Staging Table'!$BS$2)+SUM('Staging Table'!BY41:CV41)-IF(Init!$R$12="No",'Staging Table'!DU41, 0))</f>
        <v>32000.111999999997</v>
      </c>
      <c r="Y39" s="297">
        <f>IF('Staging Table'!C41=1,"",IF(X39=0, 0, W39/X39))</f>
        <v>34.788000028741159</v>
      </c>
      <c r="Z39" s="76">
        <f ca="1">IF('Staging Table'!C41=1,"",(Y39/N39-1)+(RAND()/100000000000000))</f>
        <v>-1.2534803761649456E-2</v>
      </c>
      <c r="AA39" s="53">
        <f t="shared" ca="1" si="0"/>
        <v>78</v>
      </c>
      <c r="AC39" s="405"/>
      <c r="AD39" s="204"/>
      <c r="AE39" s="204"/>
      <c r="AG39" s="204"/>
      <c r="AH39" s="204"/>
    </row>
    <row r="40" spans="2:34">
      <c r="B40" s="123">
        <v>10097</v>
      </c>
      <c r="C40" s="124" t="s">
        <v>43</v>
      </c>
      <c r="D40" s="199">
        <f>IF(Init!$R$9="Yes",'Staging Table'!F42,'Staging Table'!BS42)*Rates_previous!$E$76*100*12</f>
        <v>692091.89107658365</v>
      </c>
      <c r="E40" s="199">
        <f>IF(Init!$R$9="Yes",'Staging Table'!F42,'Staging Table'!BS42)*Rates_previous!$E$77*100*12</f>
        <v>-114266.03188718711</v>
      </c>
      <c r="F40" s="200">
        <f>IF(Init!$R$9="Yes",SUMPRODUCT('Staging Table'!L42:AI42,LS_Demand_Rates_Restatement!$C$4:$Z$4)-IF(Init!$R$12="No",('Staging Table'!BH42*Rates_previous!$H$34), 0),SUMPRODUCT('Staging Table'!BY42:CV42,LS_Demand_Rates_Restatement!$C$4:$Z$4)-IF(Init!$R$12="No", 'Staging Table'!DU42*Rates_previous!$H$34, 0))</f>
        <v>15404.692137774458</v>
      </c>
      <c r="G40" s="200">
        <f>IF(Init!$R$9="Yes",SUMPRODUCT('Staging Table'!AJ42:AU42,LS_Demand_Rates_Restatement!$C$10:$N$10),SUMPRODUCT(LS_Demand_Rates_Restatement!$C$10:$N$10,'Staging Table'!CW42:DH42))*1000</f>
        <v>43215.475586707624</v>
      </c>
      <c r="H40" s="201">
        <f>IF(Init!$R$9="Yes",'Staging Table'!BQ42,'Staging Table'!ED42)*IF(Init!$R$3=2022,Rates_previous!$C$88,Rates_previous!$D$88)</f>
        <v>0</v>
      </c>
      <c r="I40" s="199">
        <v>0</v>
      </c>
      <c r="J40" s="201">
        <f>IF(Init!$R$9="Yes",IF('Staging Table'!D42=1,'Staging Table'!H42*-1*'Staging Table'!BS42/'Staging Table'!BR42,'Staging Table'!H42*SUM(D40:I40)*(-1)),IF('Staging Table'!D42=1,'Staging Table'!BU42*-1*'Staging Table'!BS42/'Staging Table'!BR42,'Staging Table'!BU42*SUM(D40:I40)*(-1)))</f>
        <v>0</v>
      </c>
      <c r="K40" s="199">
        <f>IF(Init!$R$9="Yes",'Staging Table'!K42,'Staging Table'!BX42)*(-1)*Rates_previous!$H$32</f>
        <v>0</v>
      </c>
      <c r="L40" s="199">
        <f>IF('Staging Table'!C42=1,"",SUM(D40:K40))</f>
        <v>636446.02691387851</v>
      </c>
      <c r="M40" s="199">
        <f>IF('Staging Table'!C42=1,"",IF(Init!$R$9="Yes",(RT1SC!$C$3*'Staging Table'!F42*'Staging Table'!$F$2)+SUM('Staging Table'!L42:AI42)-IF(Init!$R$12="No",'Staging Table'!BH42, 0),X40))</f>
        <v>17029.439999999999</v>
      </c>
      <c r="N40" s="297">
        <f>IF('Staging Table'!C42=1,"",IF(M40=0, 0, L40/M40))</f>
        <v>37.373279856171344</v>
      </c>
      <c r="O40" s="199">
        <f>'Staging Table'!BS42*Rates_current!$E$76*100*12</f>
        <v>704243.92103999993</v>
      </c>
      <c r="P40" s="199">
        <f>'Staging Table'!BS42*Rates_current!$E$77*100*12</f>
        <v>-123762.55452000001</v>
      </c>
      <c r="Q40" s="200">
        <f>SUMPRODUCT('Staging Table'!BY42:CV42, LS_Demand_Rates_Restatement!$C$5:$Z$5)-IF(Init!$R$12="No",('Staging Table'!DU42*Rates_current!$H$34), 0)</f>
        <v>22036.950545417065</v>
      </c>
      <c r="R40" s="200">
        <f>SUMPRODUCT('Staging Table'!CW42:DH42, LS_Demand_Rates_Restatement!$C$11:$N$11)*1000</f>
        <v>42713.927012232904</v>
      </c>
      <c r="S40" s="201">
        <f>'Staging Table'!ED42*IF(Init!$R$15="Yes",IF(Init!$R$6=2024,Rates_current!$C$88,Rates_current!$D$88),Rates_current!$H$33)</f>
        <v>-10.27052109118562</v>
      </c>
      <c r="T40" s="201">
        <v>0</v>
      </c>
      <c r="U40" s="201">
        <f>IF('Staging Table'!D42=1, 'Staging Table'!BU42*-1*'Staging Table'!BS42/'Staging Table'!BR42,SUM(O40:T40)*'Staging Table'!BU42*-1)</f>
        <v>0</v>
      </c>
      <c r="V40" s="199">
        <f>'Staging Table'!BX42*Rates_current!$H$32*-1</f>
        <v>0</v>
      </c>
      <c r="W40" s="199">
        <f>IF('Staging Table'!C42=1,"", SUM(O40:V40))</f>
        <v>645221.97355655872</v>
      </c>
      <c r="X40" s="199">
        <f>IF('Staging Table'!C42=1,"", (RT1SC!$C$4*'Staging Table'!BS42*'Staging Table'!$BS$2)+SUM('Staging Table'!BY42:CV42)-IF(Init!$R$12="No",'Staging Table'!DU42, 0))</f>
        <v>17543.17408039988</v>
      </c>
      <c r="Y40" s="297">
        <f>IF('Staging Table'!C42=1,"",IF(X40=0, 0, W40/X40))</f>
        <v>36.779089724557501</v>
      </c>
      <c r="Z40" s="76">
        <f ca="1">IF('Staging Table'!C42=1,"",(Y40/N40-1)+(RAND()/100000000000000))</f>
        <v>-1.589879544691709E-2</v>
      </c>
      <c r="AA40" s="53">
        <f t="shared" ca="1" si="0"/>
        <v>90</v>
      </c>
      <c r="AC40" s="405"/>
      <c r="AD40" s="204"/>
      <c r="AE40" s="204"/>
      <c r="AG40" s="204"/>
      <c r="AH40" s="204"/>
    </row>
    <row r="41" spans="2:34">
      <c r="B41" s="123">
        <v>10101</v>
      </c>
      <c r="C41" s="124" t="s">
        <v>44</v>
      </c>
      <c r="D41" s="199">
        <f>IF(Init!$R$9="Yes",'Staging Table'!F43,'Staging Table'!BS43)*Rates_previous!$E$76*100*12</f>
        <v>25817713.410053335</v>
      </c>
      <c r="E41" s="199">
        <f>IF(Init!$R$9="Yes",'Staging Table'!F43,'Staging Table'!BS43)*Rates_previous!$E$77*100*12</f>
        <v>-4262566.4334520716</v>
      </c>
      <c r="F41" s="200">
        <f>IF(Init!$R$9="Yes",SUMPRODUCT('Staging Table'!L43:AI43,LS_Demand_Rates_Restatement!$C$4:$Z$4)-IF(Init!$R$12="No",('Staging Table'!BH43*Rates_previous!$H$34), 0),SUMPRODUCT('Staging Table'!BY43:CV43,LS_Demand_Rates_Restatement!$C$4:$Z$4)-IF(Init!$R$12="No", 'Staging Table'!DU43*Rates_previous!$H$34, 0))</f>
        <v>530937.06859623699</v>
      </c>
      <c r="G41" s="200">
        <f>IF(Init!$R$9="Yes",SUMPRODUCT('Staging Table'!AJ43:AU43,LS_Demand_Rates_Restatement!$C$10:$N$10),SUMPRODUCT(LS_Demand_Rates_Restatement!$C$10:$N$10,'Staging Table'!CW43:DH43))*1000</f>
        <v>1567381.3403903665</v>
      </c>
      <c r="H41" s="201">
        <f>IF(Init!$R$9="Yes",'Staging Table'!BQ43,'Staging Table'!ED43)*IF(Init!$R$3=2022,Rates_previous!$C$88,Rates_previous!$D$88)</f>
        <v>0</v>
      </c>
      <c r="I41" s="199">
        <v>0</v>
      </c>
      <c r="J41" s="201">
        <f>IF(Init!$R$9="Yes",IF('Staging Table'!D43=1,'Staging Table'!H43*-1*'Staging Table'!BS43/'Staging Table'!BR43,'Staging Table'!H43*SUM(D41:I41)*(-1)),IF('Staging Table'!D43=1,'Staging Table'!BU43*-1*'Staging Table'!BS43/'Staging Table'!BR43,'Staging Table'!BU43*SUM(D41:I41)*(-1)))</f>
        <v>-1251977.9228591658</v>
      </c>
      <c r="K41" s="199">
        <f>IF(Init!$R$9="Yes",'Staging Table'!K43,'Staging Table'!BX43)*(-1)*Rates_previous!$H$32</f>
        <v>0</v>
      </c>
      <c r="L41" s="199">
        <f>IF('Staging Table'!C43=1,"",SUM(D41:K41))</f>
        <v>22401487.462728702</v>
      </c>
      <c r="M41" s="199">
        <f>IF('Staging Table'!C43=1,"",IF(Init!$R$9="Yes",(RT1SC!$C$3*'Staging Table'!F43*'Staging Table'!$F$2)+SUM('Staging Table'!L43:AI43)-IF(Init!$R$12="No",'Staging Table'!BH43, 0),X41))</f>
        <v>635301.48</v>
      </c>
      <c r="N41" s="297">
        <f>IF('Staging Table'!C43=1,"",IF(M41=0, 0, L41/M41))</f>
        <v>35.261191997740511</v>
      </c>
      <c r="O41" s="199">
        <f>'Staging Table'!BS43*Rates_current!$E$76*100*12</f>
        <v>26813831.952239998</v>
      </c>
      <c r="P41" s="199">
        <f>'Staging Table'!BS43*Rates_current!$E$77*100*12</f>
        <v>-4712214.3901199996</v>
      </c>
      <c r="Q41" s="200">
        <f>SUMPRODUCT('Staging Table'!BY43:CV43, LS_Demand_Rates_Restatement!$C$5:$Z$5)-IF(Init!$R$12="No",('Staging Table'!DU43*Rates_current!$H$34), 0)</f>
        <v>712816.65292706492</v>
      </c>
      <c r="R41" s="200">
        <f>SUMPRODUCT('Staging Table'!CW43:DH43, LS_Demand_Rates_Restatement!$C$11:$N$11)*1000</f>
        <v>1542503.2635639959</v>
      </c>
      <c r="S41" s="201">
        <f>'Staging Table'!ED43*IF(Init!$R$15="Yes",IF(Init!$R$6=2024,Rates_current!$C$88,Rates_current!$D$88),Rates_current!$H$33)</f>
        <v>0</v>
      </c>
      <c r="T41" s="201">
        <v>0</v>
      </c>
      <c r="U41" s="201">
        <f>IF('Staging Table'!D43=1, 'Staging Table'!BU43*-1*'Staging Table'!BS43/'Staging Table'!BR43,SUM(O41:T41)*'Staging Table'!BU43*-1)</f>
        <v>-1241073.553143465</v>
      </c>
      <c r="V41" s="199">
        <f>'Staging Table'!BX43*Rates_current!$H$32*-1</f>
        <v>0</v>
      </c>
      <c r="W41" s="199">
        <f>IF('Staging Table'!C43=1,"", SUM(O41:V41))</f>
        <v>23115863.925467592</v>
      </c>
      <c r="X41" s="199">
        <f>IF('Staging Table'!C43=1,"", (RT1SC!$C$4*'Staging Table'!BS43*'Staging Table'!$BS$2)+SUM('Staging Table'!BY43:CV43)-IF(Init!$R$12="No",'Staging Table'!DU43, 0))</f>
        <v>667829.95200000005</v>
      </c>
      <c r="Y41" s="297">
        <f>IF('Staging Table'!C43=1,"",IF(X41=0, 0, W41/X41))</f>
        <v>34.613398000854552</v>
      </c>
      <c r="Z41" s="76">
        <f ca="1">IF('Staging Table'!C43=1,"",(Y41/N41-1)+(RAND()/100000000000000))</f>
        <v>-1.8371301711168714E-2</v>
      </c>
      <c r="AA41" s="53">
        <f t="shared" ca="1" si="0"/>
        <v>95</v>
      </c>
      <c r="AC41" s="405"/>
      <c r="AD41" s="204"/>
      <c r="AE41" s="204"/>
      <c r="AG41" s="204"/>
      <c r="AH41" s="204"/>
    </row>
    <row r="42" spans="2:34">
      <c r="B42" s="123">
        <v>10103</v>
      </c>
      <c r="C42" s="124" t="s">
        <v>45</v>
      </c>
      <c r="D42" s="199">
        <f>IF(Init!$R$9="Yes",'Staging Table'!F44,'Staging Table'!BS44)*Rates_previous!$E$76*100*12</f>
        <v>55824908.91889666</v>
      </c>
      <c r="E42" s="199">
        <f>IF(Init!$R$9="Yes",'Staging Table'!F44,'Staging Table'!BS44)*Rates_previous!$E$77*100*12</f>
        <v>-9216826.414052153</v>
      </c>
      <c r="F42" s="200">
        <f>IF(Init!$R$9="Yes",SUMPRODUCT('Staging Table'!L44:AI44,LS_Demand_Rates_Restatement!$C$4:$Z$4)-IF(Init!$R$12="No",('Staging Table'!BH44*Rates_previous!$H$34), 0),SUMPRODUCT('Staging Table'!BY44:CV44,LS_Demand_Rates_Restatement!$C$4:$Z$4)-IF(Init!$R$12="No", 'Staging Table'!DU44*Rates_previous!$H$34, 0))</f>
        <v>234438.99249824689</v>
      </c>
      <c r="G42" s="200">
        <f>IF(Init!$R$9="Yes",SUMPRODUCT('Staging Table'!AJ44:AU44,LS_Demand_Rates_Restatement!$C$10:$N$10),SUMPRODUCT(LS_Demand_Rates_Restatement!$C$10:$N$10,'Staging Table'!CW44:DH44))*1000</f>
        <v>0</v>
      </c>
      <c r="H42" s="201">
        <f>IF(Init!$R$9="Yes",'Staging Table'!BQ44,'Staging Table'!ED44)*IF(Init!$R$3=2022,Rates_previous!$C$88,Rates_previous!$D$88)</f>
        <v>0</v>
      </c>
      <c r="I42" s="199">
        <v>0</v>
      </c>
      <c r="J42" s="201">
        <f>IF(Init!$R$9="Yes",IF('Staging Table'!D44=1,'Staging Table'!H44*-1*'Staging Table'!BS44/'Staging Table'!BR44,'Staging Table'!H44*SUM(D42:I42)*(-1)),IF('Staging Table'!D44=1,'Staging Table'!BU44*-1*'Staging Table'!BS44/'Staging Table'!BR44,'Staging Table'!BU44*SUM(D42:I42)*(-1)))</f>
        <v>0</v>
      </c>
      <c r="K42" s="199">
        <f>IF(Init!$R$9="Yes",'Staging Table'!K44,'Staging Table'!BX44)*(-1)*Rates_previous!$H$32</f>
        <v>0</v>
      </c>
      <c r="L42" s="199">
        <f>IF('Staging Table'!C44=1,"",SUM(D42:K42))</f>
        <v>46842521.497342758</v>
      </c>
      <c r="M42" s="199">
        <f>IF('Staging Table'!C44=1,"",IF(Init!$R$9="Yes",(RT1SC!$C$3*'Staging Table'!F44*'Staging Table'!$F$2)+SUM('Staging Table'!L44:AI44)-IF(Init!$R$12="No",'Staging Table'!BH44, 0),X42))</f>
        <v>1373695.5247756226</v>
      </c>
      <c r="N42" s="297">
        <f>IF('Staging Table'!C44=1,"",IF(M42=0, 0, L42/M42))</f>
        <v>34.099639004788884</v>
      </c>
      <c r="O42" s="199">
        <f>'Staging Table'!BS44*Rates_current!$E$76*100*12</f>
        <v>57978929.758319989</v>
      </c>
      <c r="P42" s="199">
        <f>'Staging Table'!BS44*Rates_current!$E$77*100*12</f>
        <v>-10189112.38116</v>
      </c>
      <c r="Q42" s="200">
        <f>SUMPRODUCT('Staging Table'!BY44:CV44, LS_Demand_Rates_Restatement!$C$5:$Z$5)-IF(Init!$R$12="No",('Staging Table'!DU44*Rates_current!$H$34), 0)</f>
        <v>534925.62584351201</v>
      </c>
      <c r="R42" s="200">
        <f>SUMPRODUCT('Staging Table'!CW44:DH44, LS_Demand_Rates_Restatement!$C$11:$N$11)*1000</f>
        <v>0</v>
      </c>
      <c r="S42" s="201">
        <f>'Staging Table'!ED44*IF(Init!$R$15="Yes",IF(Init!$R$6=2024,Rates_current!$C$88,Rates_current!$D$88),Rates_current!$H$33)</f>
        <v>0</v>
      </c>
      <c r="T42" s="201">
        <v>0</v>
      </c>
      <c r="U42" s="201">
        <f>IF('Staging Table'!D44=1, 'Staging Table'!BU44*-1*'Staging Table'!BS44/'Staging Table'!BR44,SUM(O42:T42)*'Staging Table'!BU44*-1)</f>
        <v>0</v>
      </c>
      <c r="V42" s="199">
        <f>'Staging Table'!BX44*Rates_current!$H$32*-1</f>
        <v>0</v>
      </c>
      <c r="W42" s="199">
        <f>IF('Staging Table'!C44=1,"", SUM(O42:V42))</f>
        <v>48324743.0030035</v>
      </c>
      <c r="X42" s="199">
        <f>IF('Staging Table'!C44=1,"", (RT1SC!$C$4*'Staging Table'!BS44*'Staging Table'!$BS$2)+SUM('Staging Table'!BY44:CV44)-IF(Init!$R$12="No",'Staging Table'!DU44, 0))</f>
        <v>1444030.5175215565</v>
      </c>
      <c r="Y42" s="297">
        <f>IF('Staging Table'!C44=1,"",IF(X42=0, 0, W42/X42))</f>
        <v>33.465181252502241</v>
      </c>
      <c r="Z42" s="76">
        <f ca="1">IF('Staging Table'!C44=1,"",(Y42/N42-1)+(RAND()/100000000000000))</f>
        <v>-1.8605996157240418E-2</v>
      </c>
      <c r="AA42" s="53">
        <f t="shared" ca="1" si="0"/>
        <v>96</v>
      </c>
      <c r="AC42" s="405"/>
      <c r="AD42" s="204"/>
      <c r="AE42" s="204"/>
      <c r="AG42" s="204"/>
      <c r="AH42" s="204"/>
    </row>
    <row r="43" spans="2:34">
      <c r="B43" s="123">
        <v>10105</v>
      </c>
      <c r="C43" s="124" t="s">
        <v>46</v>
      </c>
      <c r="D43" s="199">
        <f>IF(Init!$R$9="Yes",'Staging Table'!F45,'Staging Table'!BS45)*Rates_previous!$E$76*100*12</f>
        <v>12548302.249644255</v>
      </c>
      <c r="E43" s="199">
        <f>IF(Init!$R$9="Yes",'Staging Table'!F45,'Staging Table'!BS45)*Rates_previous!$E$77*100*12</f>
        <v>-2071754.8109940928</v>
      </c>
      <c r="F43" s="200">
        <f>IF(Init!$R$9="Yes",SUMPRODUCT('Staging Table'!L45:AI45,LS_Demand_Rates_Restatement!$C$4:$Z$4)-IF(Init!$R$12="No",('Staging Table'!BH45*Rates_previous!$H$34), 0),SUMPRODUCT('Staging Table'!BY45:CV45,LS_Demand_Rates_Restatement!$C$4:$Z$4)-IF(Init!$R$12="No", 'Staging Table'!DU45*Rates_previous!$H$34, 0))</f>
        <v>-34712.422972475382</v>
      </c>
      <c r="G43" s="200">
        <f>IF(Init!$R$9="Yes",SUMPRODUCT('Staging Table'!AJ45:AU45,LS_Demand_Rates_Restatement!$C$10:$N$10),SUMPRODUCT(LS_Demand_Rates_Restatement!$C$10:$N$10,'Staging Table'!CW45:DH45))*1000</f>
        <v>0</v>
      </c>
      <c r="H43" s="201">
        <f>IF(Init!$R$9="Yes",'Staging Table'!BQ45,'Staging Table'!ED45)*IF(Init!$R$3=2022,Rates_previous!$C$88,Rates_previous!$D$88)</f>
        <v>0</v>
      </c>
      <c r="I43" s="199">
        <v>0</v>
      </c>
      <c r="J43" s="201">
        <f>IF(Init!$R$9="Yes",IF('Staging Table'!D45=1,'Staging Table'!H45*-1*'Staging Table'!BS45/'Staging Table'!BR45,'Staging Table'!H45*SUM(D43:I43)*(-1)),IF('Staging Table'!D45=1,'Staging Table'!BU45*-1*'Staging Table'!BS45/'Staging Table'!BR45,'Staging Table'!BU45*SUM(D43:I43)*(-1)))</f>
        <v>0</v>
      </c>
      <c r="K43" s="199">
        <f>IF(Init!$R$9="Yes",'Staging Table'!K45,'Staging Table'!BX45)*(-1)*Rates_previous!$H$32</f>
        <v>0</v>
      </c>
      <c r="L43" s="199">
        <f>IF('Staging Table'!C45=1,"",SUM(D43:K43))</f>
        <v>10441835.015677687</v>
      </c>
      <c r="M43" s="199">
        <f>IF('Staging Table'!C45=1,"",IF(Init!$R$9="Yes",(RT1SC!$C$3*'Staging Table'!F45*'Staging Table'!$F$2)+SUM('Staging Table'!L45:AI45)-IF(Init!$R$12="No",'Staging Table'!BH45, 0),X43))</f>
        <v>308776.65393411723</v>
      </c>
      <c r="N43" s="297">
        <f>IF('Staging Table'!C45=1,"",IF(M43=0, 0, L43/M43))</f>
        <v>33.816789199048806</v>
      </c>
      <c r="O43" s="199">
        <f>'Staging Table'!BS45*Rates_current!$E$76*100*12</f>
        <v>11518012.710720001</v>
      </c>
      <c r="P43" s="199">
        <f>'Staging Table'!BS45*Rates_current!$E$77*100*12</f>
        <v>-2024154.7473600002</v>
      </c>
      <c r="Q43" s="200">
        <f>SUMPRODUCT('Staging Table'!BY45:CV45, LS_Demand_Rates_Restatement!$C$5:$Z$5)-IF(Init!$R$12="No",('Staging Table'!DU45*Rates_current!$H$34), 0)</f>
        <v>17173.126278666881</v>
      </c>
      <c r="R43" s="200">
        <f>SUMPRODUCT('Staging Table'!CW45:DH45, LS_Demand_Rates_Restatement!$C$11:$N$11)*1000</f>
        <v>0</v>
      </c>
      <c r="S43" s="201">
        <f>'Staging Table'!ED45*IF(Init!$R$15="Yes",IF(Init!$R$6=2024,Rates_current!$C$88,Rates_current!$D$88),Rates_current!$H$33)</f>
        <v>0</v>
      </c>
      <c r="T43" s="201">
        <v>0</v>
      </c>
      <c r="U43" s="201">
        <f>IF('Staging Table'!D45=1, 'Staging Table'!BU45*-1*'Staging Table'!BS45/'Staging Table'!BR45,SUM(O43:T43)*'Staging Table'!BU45*-1)</f>
        <v>0</v>
      </c>
      <c r="V43" s="199">
        <f>'Staging Table'!BX45*Rates_current!$H$32*-1</f>
        <v>0</v>
      </c>
      <c r="W43" s="199">
        <f>IF('Staging Table'!C45=1,"", SUM(O43:V43))</f>
        <v>9511031.0896386672</v>
      </c>
      <c r="X43" s="199">
        <f>IF('Staging Table'!C45=1,"", (RT1SC!$C$4*'Staging Table'!BS45*'Staging Table'!$BS$2)+SUM('Staging Table'!BY45:CV45)-IF(Init!$R$12="No",'Staging Table'!DU45, 0))</f>
        <v>286868.6226905972</v>
      </c>
      <c r="Y43" s="297">
        <f>IF('Staging Table'!C45=1,"",IF(X43=0, 0, W43/X43))</f>
        <v>33.154658046714339</v>
      </c>
      <c r="Z43" s="76">
        <f ca="1">IF('Staging Table'!C45=1,"",(Y43/N43-1)+(RAND()/100000000000000))</f>
        <v>-1.9579953272227259E-2</v>
      </c>
      <c r="AA43" s="53">
        <f t="shared" ca="1" si="0"/>
        <v>101</v>
      </c>
      <c r="AC43" s="405"/>
      <c r="AD43" s="204"/>
      <c r="AE43" s="204"/>
      <c r="AG43" s="204"/>
      <c r="AH43" s="204"/>
    </row>
    <row r="44" spans="2:34">
      <c r="B44" s="123">
        <v>10106</v>
      </c>
      <c r="C44" s="124" t="s">
        <v>47</v>
      </c>
      <c r="D44" s="199">
        <f>IF(Init!$R$9="Yes",'Staging Table'!F46,'Staging Table'!BS46)*Rates_previous!$E$76*100*12</f>
        <v>8108938.0474232845</v>
      </c>
      <c r="E44" s="199">
        <f>IF(Init!$R$9="Yes",'Staging Table'!F46,'Staging Table'!BS46)*Rates_previous!$E$77*100*12</f>
        <v>-1338805.1289789828</v>
      </c>
      <c r="F44" s="200">
        <f>IF(Init!$R$9="Yes",SUMPRODUCT('Staging Table'!L46:AI46,LS_Demand_Rates_Restatement!$C$4:$Z$4)-IF(Init!$R$12="No",('Staging Table'!BH46*Rates_previous!$H$34), 0),SUMPRODUCT('Staging Table'!BY46:CV46,LS_Demand_Rates_Restatement!$C$4:$Z$4)-IF(Init!$R$12="No", 'Staging Table'!DU46*Rates_previous!$H$34, 0))</f>
        <v>0</v>
      </c>
      <c r="G44" s="200">
        <f>IF(Init!$R$9="Yes",SUMPRODUCT('Staging Table'!AJ46:AU46,LS_Demand_Rates_Restatement!$C$10:$N$10),SUMPRODUCT(LS_Demand_Rates_Restatement!$C$10:$N$10,'Staging Table'!CW46:DH46))*1000</f>
        <v>0</v>
      </c>
      <c r="H44" s="201">
        <f>IF(Init!$R$9="Yes",'Staging Table'!BQ46,'Staging Table'!ED46)*IF(Init!$R$3=2022,Rates_previous!$C$88,Rates_previous!$D$88)</f>
        <v>0</v>
      </c>
      <c r="I44" s="199">
        <v>0</v>
      </c>
      <c r="J44" s="201">
        <f>IF(Init!$R$9="Yes",IF('Staging Table'!D46=1,'Staging Table'!H46*-1*'Staging Table'!BS46/'Staging Table'!BR46,'Staging Table'!H46*SUM(D44:I44)*(-1)),IF('Staging Table'!D46=1,'Staging Table'!BU46*-1*'Staging Table'!BS46/'Staging Table'!BR46,'Staging Table'!BU46*SUM(D44:I44)*(-1)))</f>
        <v>-492797.97513356071</v>
      </c>
      <c r="K44" s="199">
        <f>IF(Init!$R$9="Yes",'Staging Table'!K46,'Staging Table'!BX46)*(-1)*Rates_previous!$H$32</f>
        <v>0</v>
      </c>
      <c r="L44" s="199" t="str">
        <f>IF('Staging Table'!C46=1,"",SUM(D44:K44))</f>
        <v/>
      </c>
      <c r="M44" s="199" t="str">
        <f>IF('Staging Table'!C46=1,"",IF(Init!$R$9="Yes",(RT1SC!$C$3*'Staging Table'!F46*'Staging Table'!$F$2)+SUM('Staging Table'!L46:AI46)-IF(Init!$R$12="No",'Staging Table'!BH46, 0),X44))</f>
        <v/>
      </c>
      <c r="N44" s="297" t="str">
        <f>IF('Staging Table'!C46=1,"",IF(M44=0, 0, L44/M44))</f>
        <v/>
      </c>
      <c r="O44" s="199">
        <f>'Staging Table'!BS46*Rates_current!$E$76*100*12</f>
        <v>8421780.7706400007</v>
      </c>
      <c r="P44" s="199">
        <f>'Staging Table'!BS46*Rates_current!$E$77*100*12</f>
        <v>-1480028.53932</v>
      </c>
      <c r="Q44" s="200">
        <f>SUMPRODUCT('Staging Table'!BY46:CV46, LS_Demand_Rates_Restatement!$C$5:$Z$5)-IF(Init!$R$12="No",('Staging Table'!DU46*Rates_current!$H$34), 0)</f>
        <v>0</v>
      </c>
      <c r="R44" s="200">
        <f>SUMPRODUCT('Staging Table'!CW46:DH46, LS_Demand_Rates_Restatement!$C$11:$N$11)*1000</f>
        <v>0</v>
      </c>
      <c r="S44" s="201">
        <f>'Staging Table'!ED46*IF(Init!$R$15="Yes",IF(Init!$R$6=2024,Rates_current!$C$88,Rates_current!$D$88),Rates_current!$H$33)</f>
        <v>0</v>
      </c>
      <c r="T44" s="201">
        <v>0</v>
      </c>
      <c r="U44" s="201">
        <f>IF('Staging Table'!D46=1, 'Staging Table'!BU46*-1*'Staging Table'!BS46/'Staging Table'!BR46,SUM(O44:T44)*'Staging Table'!BU46*-1)</f>
        <v>-491030.34858757124</v>
      </c>
      <c r="V44" s="199">
        <f>'Staging Table'!BX46*Rates_current!$H$32*-1</f>
        <v>0</v>
      </c>
      <c r="W44" s="199" t="str">
        <f>IF('Staging Table'!C46=1,"", SUM(O44:V44))</f>
        <v/>
      </c>
      <c r="X44" s="199" t="str">
        <f>IF('Staging Table'!C46=1,"", (RT1SC!$C$4*'Staging Table'!BS46*'Staging Table'!$BS$2)+SUM('Staging Table'!BY46:CV46)-IF(Init!$R$12="No",'Staging Table'!DU46, 0))</f>
        <v/>
      </c>
      <c r="Y44" s="297" t="str">
        <f>IF('Staging Table'!C46=1,"",IF(X44=0, 0, W44/X44))</f>
        <v/>
      </c>
      <c r="Z44" s="76" t="str">
        <f ca="1">IF('Staging Table'!C46=1,"",(Y44/N44-1)+(RAND()/100000000000000))</f>
        <v/>
      </c>
      <c r="AA44" s="53" t="str">
        <f t="shared" ca="1" si="0"/>
        <v/>
      </c>
      <c r="AC44" s="405"/>
      <c r="AD44" s="204"/>
      <c r="AE44" s="204"/>
      <c r="AG44" s="204"/>
      <c r="AH44" s="204"/>
    </row>
    <row r="45" spans="2:34">
      <c r="B45" s="123">
        <v>10109</v>
      </c>
      <c r="C45" s="124" t="s">
        <v>48</v>
      </c>
      <c r="D45" s="199">
        <f>IF(Init!$R$9="Yes",'Staging Table'!F47,'Staging Table'!BS47)*Rates_previous!$E$76*100*12</f>
        <v>4115380.7840489438</v>
      </c>
      <c r="E45" s="199">
        <f>IF(Init!$R$9="Yes",'Staging Table'!F47,'Staging Table'!BS47)*Rates_previous!$E$77*100*12</f>
        <v>-679459.24227859243</v>
      </c>
      <c r="F45" s="200">
        <f>IF(Init!$R$9="Yes",SUMPRODUCT('Staging Table'!L47:AI47,LS_Demand_Rates_Restatement!$C$4:$Z$4)-IF(Init!$R$12="No",('Staging Table'!BH47*Rates_previous!$H$34), 0),SUMPRODUCT('Staging Table'!BY47:CV47,LS_Demand_Rates_Restatement!$C$4:$Z$4)-IF(Init!$R$12="No", 'Staging Table'!DU47*Rates_previous!$H$34, 0))</f>
        <v>-81346.685805085319</v>
      </c>
      <c r="G45" s="200">
        <f>IF(Init!$R$9="Yes",SUMPRODUCT('Staging Table'!AJ47:AU47,LS_Demand_Rates_Restatement!$C$10:$N$10),SUMPRODUCT(LS_Demand_Rates_Restatement!$C$10:$N$10,'Staging Table'!CW47:DH47))*1000</f>
        <v>431945.68967993226</v>
      </c>
      <c r="H45" s="201">
        <f>IF(Init!$R$9="Yes",'Staging Table'!BQ47,'Staging Table'!ED47)*IF(Init!$R$3=2022,Rates_previous!$C$88,Rates_previous!$D$88)</f>
        <v>0</v>
      </c>
      <c r="I45" s="199">
        <v>0</v>
      </c>
      <c r="J45" s="201">
        <f>IF(Init!$R$9="Yes",IF('Staging Table'!D47=1,'Staging Table'!H47*-1*'Staging Table'!BS47/'Staging Table'!BR47,'Staging Table'!H47*SUM(D45:I45)*(-1)),IF('Staging Table'!D47=1,'Staging Table'!BU47*-1*'Staging Table'!BS47/'Staging Table'!BR47,'Staging Table'!BU47*SUM(D45:I45)*(-1)))</f>
        <v>-312463.67542664177</v>
      </c>
      <c r="K45" s="199">
        <f>IF(Init!$R$9="Yes",'Staging Table'!K47,'Staging Table'!BX47)*(-1)*Rates_previous!$H$32</f>
        <v>-229993.65150000004</v>
      </c>
      <c r="L45" s="199">
        <f>IF('Staging Table'!C47=1,"",SUM(D45:K45))</f>
        <v>3244063.2187185562</v>
      </c>
      <c r="M45" s="199">
        <f>IF('Staging Table'!C47=1,"",IF(Init!$R$9="Yes",(RT1SC!$C$3*'Staging Table'!F47*'Staging Table'!$F$2)+SUM('Staging Table'!L47:AI47)-IF(Init!$R$12="No",'Staging Table'!BH47, 0),X45))</f>
        <v>101265.60000000001</v>
      </c>
      <c r="N45" s="297">
        <f>IF('Staging Table'!C47=1,"",IF(M45=0, 0, L45/M45))</f>
        <v>32.035194762274216</v>
      </c>
      <c r="O45" s="199">
        <f>'Staging Table'!BS47*Rates_current!$E$76*100*12</f>
        <v>4273791.5491199996</v>
      </c>
      <c r="P45" s="199">
        <f>'Staging Table'!BS47*Rates_current!$E$77*100*12</f>
        <v>-751068.40656000003</v>
      </c>
      <c r="Q45" s="200">
        <f>SUMPRODUCT('Staging Table'!BY47:CV47, LS_Demand_Rates_Restatement!$C$5:$Z$5)-IF(Init!$R$12="No",('Staging Table'!DU47*Rates_current!$H$34), 0)</f>
        <v>-55313.581724077136</v>
      </c>
      <c r="R45" s="200">
        <f>SUMPRODUCT('Staging Table'!CW47:DH47, LS_Demand_Rates_Restatement!$C$11:$N$11)*1000</f>
        <v>434008.25651477033</v>
      </c>
      <c r="S45" s="201">
        <f>'Staging Table'!ED47*IF(Init!$R$15="Yes",IF(Init!$R$6=2024,Rates_current!$C$88,Rates_current!$D$88),Rates_current!$H$33)</f>
        <v>0</v>
      </c>
      <c r="T45" s="201">
        <v>0</v>
      </c>
      <c r="U45" s="201">
        <f>IF('Staging Table'!D47=1, 'Staging Table'!BU47*-1*'Staging Table'!BS47/'Staging Table'!BR47,SUM(O45:T45)*'Staging Table'!BU47*-1)</f>
        <v>-334308.8160736601</v>
      </c>
      <c r="V45" s="199">
        <f>'Staging Table'!BX47*Rates_current!$H$32*-1</f>
        <v>-244130.87595000005</v>
      </c>
      <c r="W45" s="199">
        <f>IF('Staging Table'!C47=1,"", SUM(O45:V45))</f>
        <v>3322978.1253270325</v>
      </c>
      <c r="X45" s="199">
        <f>IF('Staging Table'!C47=1,"", (RT1SC!$C$4*'Staging Table'!BS47*'Staging Table'!$BS$2)+SUM('Staging Table'!BY47:CV47)-IF(Init!$R$12="No",'Staging Table'!DU47, 0))</f>
        <v>106443.95248791664</v>
      </c>
      <c r="Y45" s="297">
        <f>IF('Staging Table'!C47=1,"",IF(X45=0, 0, W45/X45))</f>
        <v>31.218101617414593</v>
      </c>
      <c r="Z45" s="76">
        <f ca="1">IF('Staging Table'!C47=1,"",(Y45/N45-1)+(RAND()/100000000000000))</f>
        <v>-2.5506108232611839E-2</v>
      </c>
      <c r="AA45" s="53">
        <f t="shared" ca="1" si="0"/>
        <v>113</v>
      </c>
      <c r="AC45" s="405"/>
      <c r="AD45" s="204"/>
      <c r="AE45" s="204"/>
      <c r="AG45" s="204"/>
      <c r="AH45" s="204"/>
    </row>
    <row r="46" spans="2:34">
      <c r="B46" s="123">
        <v>10111</v>
      </c>
      <c r="C46" s="124" t="s">
        <v>49</v>
      </c>
      <c r="D46" s="199">
        <f>IF(Init!$R$9="Yes",'Staging Table'!F48,'Staging Table'!BS48)*Rates_previous!$E$76*100*12</f>
        <v>1085860.0425484306</v>
      </c>
      <c r="E46" s="199">
        <f>IF(Init!$R$9="Yes",'Staging Table'!F48,'Staging Table'!BS48)*Rates_previous!$E$77*100*12</f>
        <v>-179278.09853956453</v>
      </c>
      <c r="F46" s="200">
        <f>IF(Init!$R$9="Yes",SUMPRODUCT('Staging Table'!L48:AI48,LS_Demand_Rates_Restatement!$C$4:$Z$4)-IF(Init!$R$12="No",('Staging Table'!BH48*Rates_previous!$H$34), 0),SUMPRODUCT('Staging Table'!BY48:CV48,LS_Demand_Rates_Restatement!$C$4:$Z$4)-IF(Init!$R$12="No", 'Staging Table'!DU48*Rates_previous!$H$34, 0))</f>
        <v>12328.198701390696</v>
      </c>
      <c r="G46" s="200">
        <f>IF(Init!$R$9="Yes",SUMPRODUCT('Staging Table'!AJ48:AU48,LS_Demand_Rates_Restatement!$C$10:$N$10),SUMPRODUCT(LS_Demand_Rates_Restatement!$C$10:$N$10,'Staging Table'!CW48:DH48))*1000</f>
        <v>64469.588809971501</v>
      </c>
      <c r="H46" s="201">
        <f>IF(Init!$R$9="Yes",'Staging Table'!BQ48,'Staging Table'!ED48)*IF(Init!$R$3=2022,Rates_previous!$C$88,Rates_previous!$D$88)</f>
        <v>2221.508878100321</v>
      </c>
      <c r="I46" s="199">
        <v>0</v>
      </c>
      <c r="J46" s="201">
        <f>IF(Init!$R$9="Yes",IF('Staging Table'!D48=1,'Staging Table'!H48*-1*'Staging Table'!BS48/'Staging Table'!BR48,'Staging Table'!H48*SUM(D46:I46)*(-1)),IF('Staging Table'!D48=1,'Staging Table'!BU48*-1*'Staging Table'!BS48/'Staging Table'!BR48,'Staging Table'!BU48*SUM(D46:I46)*(-1)))</f>
        <v>-68992.086827883002</v>
      </c>
      <c r="K46" s="199">
        <f>IF(Init!$R$9="Yes",'Staging Table'!K48,'Staging Table'!BX48)*(-1)*Rates_previous!$H$32</f>
        <v>-56981.374099999994</v>
      </c>
      <c r="L46" s="199">
        <f>IF('Staging Table'!C48=1,"",SUM(D46:K46))</f>
        <v>859627.77947044547</v>
      </c>
      <c r="M46" s="199">
        <f>IF('Staging Table'!C48=1,"",IF(Init!$R$9="Yes",(RT1SC!$C$3*'Staging Table'!F48*'Staging Table'!$F$2)+SUM('Staging Table'!L48:AI48)-IF(Init!$R$12="No",'Staging Table'!BH48, 0),X46))</f>
        <v>27033.359999999997</v>
      </c>
      <c r="N46" s="297">
        <f>IF('Staging Table'!C48=1,"",IF(M46=0, 0, L46/M46))</f>
        <v>31.798776751038183</v>
      </c>
      <c r="O46" s="199">
        <f>'Staging Table'!BS48*Rates_current!$E$76*100*12</f>
        <v>1106313.1423200001</v>
      </c>
      <c r="P46" s="199">
        <f>'Staging Table'!BS48*Rates_current!$E$77*100*12</f>
        <v>-194421.47315999999</v>
      </c>
      <c r="Q46" s="200">
        <f>SUMPRODUCT('Staging Table'!BY48:CV48, LS_Demand_Rates_Restatement!$C$5:$Z$5)-IF(Init!$R$12="No",('Staging Table'!DU48*Rates_current!$H$34), 0)</f>
        <v>32792.586129959993</v>
      </c>
      <c r="R46" s="200">
        <f>SUMPRODUCT('Staging Table'!CW48:DH48, LS_Demand_Rates_Restatement!$C$11:$N$11)*1000</f>
        <v>65237.063042681628</v>
      </c>
      <c r="S46" s="201">
        <f>'Staging Table'!ED48*IF(Init!$R$15="Yes",IF(Init!$R$6=2024,Rates_current!$C$88,Rates_current!$D$88),Rates_current!$H$33)</f>
        <v>6.7627999872873996</v>
      </c>
      <c r="T46" s="201">
        <v>0</v>
      </c>
      <c r="U46" s="201">
        <f>IF('Staging Table'!D48=1, 'Staging Table'!BU48*-1*'Staging Table'!BS48/'Staging Table'!BR48,SUM(O46:T46)*'Staging Table'!BU48*-1)</f>
        <v>-70694.96567928404</v>
      </c>
      <c r="V46" s="199">
        <f>'Staging Table'!BX48*Rates_current!$H$32*-1</f>
        <v>-60483.898929999996</v>
      </c>
      <c r="W46" s="199">
        <f>IF('Staging Table'!C48=1,"", SUM(O46:V46))</f>
        <v>878749.21652334498</v>
      </c>
      <c r="X46" s="199">
        <f>IF('Staging Table'!C48=1,"", (RT1SC!$C$4*'Staging Table'!BS48*'Staging Table'!$BS$2)+SUM('Staging Table'!BY48:CV48)-IF(Init!$R$12="No",'Staging Table'!DU48, 0))</f>
        <v>27554.403126302037</v>
      </c>
      <c r="Y46" s="297">
        <f>IF('Staging Table'!C48=1,"",IF(X46=0, 0, W46/X46))</f>
        <v>31.891426299288462</v>
      </c>
      <c r="Z46" s="76">
        <f ca="1">IF('Staging Table'!C48=1,"",(Y46/N46-1)+(RAND()/100000000000000))</f>
        <v>2.9136198846851547E-3</v>
      </c>
      <c r="AA46" s="53">
        <f t="shared" ca="1" si="0"/>
        <v>28</v>
      </c>
      <c r="AC46" s="405"/>
      <c r="AD46" s="204"/>
      <c r="AE46" s="204"/>
      <c r="AG46" s="204"/>
      <c r="AH46" s="204"/>
    </row>
    <row r="47" spans="2:34">
      <c r="B47" s="123">
        <v>10112</v>
      </c>
      <c r="C47" s="124" t="s">
        <v>50</v>
      </c>
      <c r="D47" s="199">
        <f>IF(Init!$R$9="Yes",'Staging Table'!F49,'Staging Table'!BS49)*Rates_previous!$E$76*100*12</f>
        <v>19607111.956449255</v>
      </c>
      <c r="E47" s="199">
        <f>IF(Init!$R$9="Yes",'Staging Table'!F49,'Staging Table'!BS49)*Rates_previous!$E$77*100*12</f>
        <v>-3237181.2311601886</v>
      </c>
      <c r="F47" s="200">
        <f>IF(Init!$R$9="Yes",SUMPRODUCT('Staging Table'!L49:AI49,LS_Demand_Rates_Restatement!$C$4:$Z$4)-IF(Init!$R$12="No",('Staging Table'!BH49*Rates_previous!$H$34), 0),SUMPRODUCT('Staging Table'!BY49:CV49,LS_Demand_Rates_Restatement!$C$4:$Z$4)-IF(Init!$R$12="No", 'Staging Table'!DU49*Rates_previous!$H$34, 0))</f>
        <v>292144.77831488301</v>
      </c>
      <c r="G47" s="200">
        <f>IF(Init!$R$9="Yes",SUMPRODUCT('Staging Table'!AJ49:AU49,LS_Demand_Rates_Restatement!$C$10:$N$10),SUMPRODUCT(LS_Demand_Rates_Restatement!$C$10:$N$10,'Staging Table'!CW49:DH49))*1000</f>
        <v>921236.56771262467</v>
      </c>
      <c r="H47" s="201">
        <f>IF(Init!$R$9="Yes",'Staging Table'!BQ49,'Staging Table'!ED49)*IF(Init!$R$3=2022,Rates_previous!$C$88,Rates_previous!$D$88)</f>
        <v>30113.787014249123</v>
      </c>
      <c r="I47" s="199">
        <v>0</v>
      </c>
      <c r="J47" s="201">
        <f>IF(Init!$R$9="Yes",IF('Staging Table'!D49=1,'Staging Table'!H49*-1*'Staging Table'!BS49/'Staging Table'!BR49,'Staging Table'!H49*SUM(D47:I47)*(-1)),IF('Staging Table'!D49=1,'Staging Table'!BU49*-1*'Staging Table'!BS49/'Staging Table'!BR49,'Staging Table'!BU49*SUM(D47:I47)*(-1)))</f>
        <v>0</v>
      </c>
      <c r="K47" s="199">
        <f>IF(Init!$R$9="Yes",'Staging Table'!K49,'Staging Table'!BX49)*(-1)*Rates_previous!$H$32</f>
        <v>0</v>
      </c>
      <c r="L47" s="199">
        <f>IF('Staging Table'!C49=1,"",SUM(D47:K47))</f>
        <v>17613425.858330823</v>
      </c>
      <c r="M47" s="199">
        <f>IF('Staging Table'!C49=1,"",IF(Init!$R$9="Yes",(RT1SC!$C$3*'Staging Table'!F49*'Staging Table'!$F$2)+SUM('Staging Table'!L49:AI49)-IF(Init!$R$12="No",'Staging Table'!BH49, 0),X47))</f>
        <v>486749.39999999997</v>
      </c>
      <c r="N47" s="297">
        <f>IF('Staging Table'!C49=1,"",IF(M47=0, 0, L47/M47))</f>
        <v>36.185819352485744</v>
      </c>
      <c r="O47" s="199">
        <f>'Staging Table'!BS49*Rates_current!$E$76*100*12</f>
        <v>20543893.767360002</v>
      </c>
      <c r="P47" s="199">
        <f>'Staging Table'!BS49*Rates_current!$E$77*100*12</f>
        <v>-3610346.7796800002</v>
      </c>
      <c r="Q47" s="200">
        <f>SUMPRODUCT('Staging Table'!BY49:CV49, LS_Demand_Rates_Restatement!$C$5:$Z$5)-IF(Init!$R$12="No",('Staging Table'!DU49*Rates_current!$H$34), 0)</f>
        <v>483727.79806461523</v>
      </c>
      <c r="R47" s="200">
        <f>SUMPRODUCT('Staging Table'!CW49:DH49, LS_Demand_Rates_Restatement!$C$11:$N$11)*1000</f>
        <v>930597.55871116463</v>
      </c>
      <c r="S47" s="201">
        <f>'Staging Table'!ED49*IF(Init!$R$15="Yes",IF(Init!$R$6=2024,Rates_current!$C$88,Rates_current!$D$88),Rates_current!$H$33)</f>
        <v>0</v>
      </c>
      <c r="T47" s="201">
        <v>0</v>
      </c>
      <c r="U47" s="201">
        <f>IF('Staging Table'!D49=1, 'Staging Table'!BU49*-1*'Staging Table'!BS49/'Staging Table'!BR49,SUM(O47:T47)*'Staging Table'!BU49*-1)</f>
        <v>0</v>
      </c>
      <c r="V47" s="199">
        <f>'Staging Table'!BX49*Rates_current!$H$32*-1</f>
        <v>0</v>
      </c>
      <c r="W47" s="199">
        <f>IF('Staging Table'!C49=1,"", SUM(O47:V47))</f>
        <v>18347872.344455782</v>
      </c>
      <c r="X47" s="199">
        <f>IF('Staging Table'!C49=1,"", (RT1SC!$C$4*'Staging Table'!BS49*'Staging Table'!$BS$2)+SUM('Staging Table'!BY49:CV49)-IF(Init!$R$12="No",'Staging Table'!DU49, 0))</f>
        <v>511668</v>
      </c>
      <c r="Y47" s="297">
        <f>IF('Staging Table'!C49=1,"",IF(X47=0, 0, W47/X47))</f>
        <v>35.858940454466143</v>
      </c>
      <c r="Z47" s="76">
        <f ca="1">IF('Staging Table'!C49=1,"",(Y47/N47-1)+(RAND()/100000000000000))</f>
        <v>-9.0333424493000882E-3</v>
      </c>
      <c r="AA47" s="53">
        <f t="shared" ca="1" si="0"/>
        <v>63</v>
      </c>
      <c r="AC47" s="405"/>
      <c r="AD47" s="204"/>
      <c r="AE47" s="204"/>
      <c r="AG47" s="204"/>
      <c r="AH47" s="204"/>
    </row>
    <row r="48" spans="2:34">
      <c r="B48" s="123">
        <v>10113</v>
      </c>
      <c r="C48" s="124" t="s">
        <v>51</v>
      </c>
      <c r="D48" s="199">
        <f>IF(Init!$R$9="Yes",'Staging Table'!F50,'Staging Table'!BS50)*Rates_previous!$E$76*100*12</f>
        <v>12799863.02363571</v>
      </c>
      <c r="E48" s="199">
        <f>IF(Init!$R$9="Yes",'Staging Table'!F50,'Staging Table'!BS50)*Rates_previous!$E$77*100*12</f>
        <v>-2113288.0983986873</v>
      </c>
      <c r="F48" s="200">
        <f>IF(Init!$R$9="Yes",SUMPRODUCT('Staging Table'!L50:AI50,LS_Demand_Rates_Restatement!$C$4:$Z$4)-IF(Init!$R$12="No",('Staging Table'!BH50*Rates_previous!$H$34), 0),SUMPRODUCT('Staging Table'!BY50:CV50,LS_Demand_Rates_Restatement!$C$4:$Z$4)-IF(Init!$R$12="No", 'Staging Table'!DU50*Rates_previous!$H$34, 0))</f>
        <v>-413571.71598301752</v>
      </c>
      <c r="G48" s="200">
        <f>IF(Init!$R$9="Yes",SUMPRODUCT('Staging Table'!AJ50:AU50,LS_Demand_Rates_Restatement!$C$10:$N$10),SUMPRODUCT(LS_Demand_Rates_Restatement!$C$10:$N$10,'Staging Table'!CW50:DH50))*1000</f>
        <v>252786.59322742146</v>
      </c>
      <c r="H48" s="201">
        <f>IF(Init!$R$9="Yes",'Staging Table'!BQ50,'Staging Table'!ED50)*IF(Init!$R$3=2022,Rates_previous!$C$88,Rates_previous!$D$88)</f>
        <v>0</v>
      </c>
      <c r="I48" s="199">
        <v>0</v>
      </c>
      <c r="J48" s="201">
        <f>IF(Init!$R$9="Yes",IF('Staging Table'!D50=1,'Staging Table'!H50*-1*'Staging Table'!BS50/'Staging Table'!BR50,'Staging Table'!H50*SUM(D48:I48)*(-1)),IF('Staging Table'!D50=1,'Staging Table'!BU50*-1*'Staging Table'!BS50/'Staging Table'!BR50,'Staging Table'!BU50*SUM(D48:I48)*(-1)))</f>
        <v>-870272.30086916429</v>
      </c>
      <c r="K48" s="199">
        <f>IF(Init!$R$9="Yes",'Staging Table'!K50,'Staging Table'!BX50)*(-1)*Rates_previous!$H$32</f>
        <v>-1467749.9858000001</v>
      </c>
      <c r="L48" s="199">
        <f>IF('Staging Table'!C50=1,"",SUM(D48:K48))</f>
        <v>8187767.515812261</v>
      </c>
      <c r="M48" s="199">
        <f>IF('Staging Table'!C50=1,"",IF(Init!$R$9="Yes",(RT1SC!$C$3*'Staging Table'!F50*'Staging Table'!$F$2)+SUM('Staging Table'!L50:AI50)-IF(Init!$R$12="No",'Staging Table'!BH50, 0),X48))</f>
        <v>314965.8</v>
      </c>
      <c r="N48" s="297">
        <f>IF('Staging Table'!C50=1,"",IF(M48=0, 0, L48/M48))</f>
        <v>25.995735142711563</v>
      </c>
      <c r="O48" s="199">
        <f>'Staging Table'!BS50*Rates_current!$E$76*100*12</f>
        <v>13293693.881279999</v>
      </c>
      <c r="P48" s="199">
        <f>'Staging Table'!BS50*Rates_current!$E$77*100*12</f>
        <v>-2336209.7486399999</v>
      </c>
      <c r="Q48" s="200">
        <f>SUMPRODUCT('Staging Table'!BY50:CV50, LS_Demand_Rates_Restatement!$C$5:$Z$5)-IF(Init!$R$12="No",('Staging Table'!DU50*Rates_current!$H$34), 0)</f>
        <v>-55098.584228425985</v>
      </c>
      <c r="R48" s="200">
        <f>SUMPRODUCT('Staging Table'!CW50:DH50, LS_Demand_Rates_Restatement!$C$11:$N$11)*1000</f>
        <v>277915.47811292735</v>
      </c>
      <c r="S48" s="201">
        <f>'Staging Table'!ED50*IF(Init!$R$15="Yes",IF(Init!$R$6=2024,Rates_current!$C$88,Rates_current!$D$88),Rates_current!$H$33)</f>
        <v>0</v>
      </c>
      <c r="T48" s="201">
        <v>0</v>
      </c>
      <c r="U48" s="201">
        <f>IF('Staging Table'!D50=1, 'Staging Table'!BU50*-1*'Staging Table'!BS50/'Staging Table'!BR50,SUM(O48:T48)*'Staging Table'!BU50*-1)</f>
        <v>-903752.61705640948</v>
      </c>
      <c r="V48" s="199">
        <f>'Staging Table'!BX50*Rates_current!$H$32*-1</f>
        <v>-1557969.48034</v>
      </c>
      <c r="W48" s="199">
        <f>IF('Staging Table'!C50=1,"", SUM(O48:V48))</f>
        <v>8718578.9291280918</v>
      </c>
      <c r="X48" s="199">
        <f>IF('Staging Table'!C50=1,"", (RT1SC!$C$4*'Staging Table'!BS50*'Staging Table'!$BS$2)+SUM('Staging Table'!BY50:CV50)-IF(Init!$R$12="No",'Staging Table'!DU50, 0))</f>
        <v>331095.31199999998</v>
      </c>
      <c r="Y48" s="297">
        <f>IF('Staging Table'!C50=1,"",IF(X48=0, 0, W48/X48))</f>
        <v>26.332535113418015</v>
      </c>
      <c r="Z48" s="76">
        <f ca="1">IF('Staging Table'!C50=1,"",(Y48/N48-1)+(RAND()/100000000000000))</f>
        <v>1.2955970233482142E-2</v>
      </c>
      <c r="AA48" s="53">
        <f t="shared" ca="1" si="0"/>
        <v>14</v>
      </c>
      <c r="AC48" s="405"/>
      <c r="AD48" s="204"/>
      <c r="AE48" s="204"/>
      <c r="AG48" s="204"/>
      <c r="AH48" s="204"/>
    </row>
    <row r="49" spans="2:34">
      <c r="B49" s="123">
        <v>10116</v>
      </c>
      <c r="C49" s="124" t="s">
        <v>52</v>
      </c>
      <c r="D49" s="199">
        <f>IF(Init!$R$9="Yes",'Staging Table'!F51,'Staging Table'!BS51)*Rates_previous!$E$76*100*12</f>
        <v>77218.845781933429</v>
      </c>
      <c r="E49" s="199">
        <f>IF(Init!$R$9="Yes",'Staging Table'!F51,'Staging Table'!BS51)*Rates_previous!$E$77*100*12</f>
        <v>-12749.016724765848</v>
      </c>
      <c r="F49" s="200">
        <f>IF(Init!$R$9="Yes",SUMPRODUCT('Staging Table'!L51:AI51,LS_Demand_Rates_Restatement!$C$4:$Z$4)-IF(Init!$R$12="No",('Staging Table'!BH51*Rates_previous!$H$34), 0),SUMPRODUCT('Staging Table'!BY51:CV51,LS_Demand_Rates_Restatement!$C$4:$Z$4)-IF(Init!$R$12="No", 'Staging Table'!DU51*Rates_previous!$H$34, 0))</f>
        <v>-81.923797743929754</v>
      </c>
      <c r="G49" s="200">
        <f>IF(Init!$R$9="Yes",SUMPRODUCT('Staging Table'!AJ51:AU51,LS_Demand_Rates_Restatement!$C$10:$N$10),SUMPRODUCT(LS_Demand_Rates_Restatement!$C$10:$N$10,'Staging Table'!CW51:DH51))*1000</f>
        <v>0</v>
      </c>
      <c r="H49" s="201">
        <f>IF(Init!$R$9="Yes",'Staging Table'!BQ51,'Staging Table'!ED51)*IF(Init!$R$3=2022,Rates_previous!$C$88,Rates_previous!$D$88)</f>
        <v>0</v>
      </c>
      <c r="I49" s="199">
        <v>0</v>
      </c>
      <c r="J49" s="201">
        <f>IF(Init!$R$9="Yes",IF('Staging Table'!D51=1,'Staging Table'!H51*-1*'Staging Table'!BS51/'Staging Table'!BR51,'Staging Table'!H51*SUM(D49:I49)*(-1)),IF('Staging Table'!D51=1,'Staging Table'!BU51*-1*'Staging Table'!BS51/'Staging Table'!BR51,'Staging Table'!BU51*SUM(D49:I49)*(-1)))</f>
        <v>0</v>
      </c>
      <c r="K49" s="199">
        <f>IF(Init!$R$9="Yes",'Staging Table'!K51,'Staging Table'!BX51)*(-1)*Rates_previous!$H$32</f>
        <v>0</v>
      </c>
      <c r="L49" s="199">
        <f>IF('Staging Table'!C51=1,"",SUM(D49:K49))</f>
        <v>64387.905259423656</v>
      </c>
      <c r="M49" s="199">
        <f>IF('Staging Table'!C51=1,"",IF(Init!$R$9="Yes",(RT1SC!$C$3*'Staging Table'!F51*'Staging Table'!$F$2)+SUM('Staging Table'!L51:AI51)-IF(Init!$R$12="No",'Staging Table'!BH51, 0),X49))</f>
        <v>1900.92</v>
      </c>
      <c r="N49" s="297">
        <f>IF('Staging Table'!C51=1,"",IF(M49=0, 0, L49/M49))</f>
        <v>33.871970024737315</v>
      </c>
      <c r="O49" s="199">
        <f>'Staging Table'!BS51*Rates_current!$E$76*100*12</f>
        <v>80463.666959999988</v>
      </c>
      <c r="P49" s="199">
        <f>'Staging Table'!BS51*Rates_current!$E$77*100*12</f>
        <v>-14140.539480000001</v>
      </c>
      <c r="Q49" s="200">
        <f>SUMPRODUCT('Staging Table'!BY51:CV51, LS_Demand_Rates_Restatement!$C$5:$Z$5)-IF(Init!$R$12="No",('Staging Table'!DU51*Rates_current!$H$34), 0)</f>
        <v>-591.47051697949314</v>
      </c>
      <c r="R49" s="200">
        <f>SUMPRODUCT('Staging Table'!CW51:DH51, LS_Demand_Rates_Restatement!$C$11:$N$11)*1000</f>
        <v>0</v>
      </c>
      <c r="S49" s="201">
        <f>'Staging Table'!ED51*IF(Init!$R$15="Yes",IF(Init!$R$6=2024,Rates_current!$C$88,Rates_current!$D$88),Rates_current!$H$33)</f>
        <v>0</v>
      </c>
      <c r="T49" s="201">
        <v>0</v>
      </c>
      <c r="U49" s="201">
        <f>IF('Staging Table'!D51=1, 'Staging Table'!BU51*-1*'Staging Table'!BS51/'Staging Table'!BR51,SUM(O49:T49)*'Staging Table'!BU51*-1)</f>
        <v>0</v>
      </c>
      <c r="V49" s="199">
        <f>'Staging Table'!BX51*Rates_current!$H$32*-1</f>
        <v>0</v>
      </c>
      <c r="W49" s="199">
        <f>IF('Staging Table'!C51=1,"", SUM(O49:V49))</f>
        <v>65731.65696302049</v>
      </c>
      <c r="X49" s="199">
        <f>IF('Staging Table'!C51=1,"", (RT1SC!$C$4*'Staging Table'!BS51*'Staging Table'!$BS$2)+SUM('Staging Table'!BY51:CV51)-IF(Init!$R$12="No",'Staging Table'!DU51, 0))</f>
        <v>2002.7520000000002</v>
      </c>
      <c r="Y49" s="297">
        <f>IF('Staging Table'!C51=1,"",IF(X49=0, 0, W49/X49))</f>
        <v>32.820667243383348</v>
      </c>
      <c r="Z49" s="76">
        <f ca="1">IF('Staging Table'!C51=1,"",(Y49/N49-1)+(RAND()/100000000000000))</f>
        <v>-3.1037544630148951E-2</v>
      </c>
      <c r="AA49" s="53">
        <f t="shared" ca="1" si="0"/>
        <v>116</v>
      </c>
      <c r="AC49" s="405"/>
      <c r="AD49" s="204"/>
      <c r="AE49" s="204"/>
      <c r="AG49" s="204"/>
      <c r="AH49" s="204"/>
    </row>
    <row r="50" spans="2:34">
      <c r="B50" s="123">
        <v>10118</v>
      </c>
      <c r="C50" s="124" t="s">
        <v>53</v>
      </c>
      <c r="D50" s="199">
        <f>IF(Init!$R$9="Yes",'Staging Table'!F52,'Staging Table'!BS52)*Rates_previous!$E$76*100*12</f>
        <v>15509956.738485491</v>
      </c>
      <c r="E50" s="199">
        <f>IF(Init!$R$9="Yes",'Staging Table'!F52,'Staging Table'!BS52)*Rates_previous!$E$77*100*12</f>
        <v>-2560731.0735743977</v>
      </c>
      <c r="F50" s="200">
        <f>IF(Init!$R$9="Yes",SUMPRODUCT('Staging Table'!L52:AI52,LS_Demand_Rates_Restatement!$C$4:$Z$4)-IF(Init!$R$12="No",('Staging Table'!BH52*Rates_previous!$H$34), 0),SUMPRODUCT('Staging Table'!BY52:CV52,LS_Demand_Rates_Restatement!$C$4:$Z$4)-IF(Init!$R$12="No", 'Staging Table'!DU52*Rates_previous!$H$34, 0))</f>
        <v>0</v>
      </c>
      <c r="G50" s="200">
        <f>IF(Init!$R$9="Yes",SUMPRODUCT('Staging Table'!AJ52:AU52,LS_Demand_Rates_Restatement!$C$10:$N$10),SUMPRODUCT(LS_Demand_Rates_Restatement!$C$10:$N$10,'Staging Table'!CW52:DH52))*1000</f>
        <v>0</v>
      </c>
      <c r="H50" s="201">
        <f>IF(Init!$R$9="Yes",'Staging Table'!BQ52,'Staging Table'!ED52)*IF(Init!$R$3=2022,Rates_previous!$C$88,Rates_previous!$D$88)</f>
        <v>0</v>
      </c>
      <c r="I50" s="199">
        <v>0</v>
      </c>
      <c r="J50" s="201">
        <f>IF(Init!$R$9="Yes",IF('Staging Table'!D52=1,'Staging Table'!H52*-1*'Staging Table'!BS52/'Staging Table'!BR52,'Staging Table'!H52*SUM(D50:I50)*(-1)),IF('Staging Table'!D52=1,'Staging Table'!BU52*-1*'Staging Table'!BS52/'Staging Table'!BR52,'Staging Table'!BU52*SUM(D50:I50)*(-1)))</f>
        <v>-959926.09853985941</v>
      </c>
      <c r="K50" s="199">
        <f>IF(Init!$R$9="Yes",'Staging Table'!K52,'Staging Table'!BX52)*(-1)*Rates_previous!$H$32</f>
        <v>0</v>
      </c>
      <c r="L50" s="199" t="str">
        <f>IF('Staging Table'!C52=1,"",SUM(D50:K50))</f>
        <v/>
      </c>
      <c r="M50" s="199" t="str">
        <f>IF('Staging Table'!C52=1,"",IF(Init!$R$9="Yes",(RT1SC!$C$3*'Staging Table'!F52*'Staging Table'!$F$2)+SUM('Staging Table'!L52:AI52)-IF(Init!$R$12="No",'Staging Table'!BH52, 0),X50))</f>
        <v/>
      </c>
      <c r="N50" s="297" t="str">
        <f>IF('Staging Table'!C52=1,"",IF(M50=0, 0, L50/M50))</f>
        <v/>
      </c>
      <c r="O50" s="199">
        <f>'Staging Table'!BS52*Rates_current!$E$76*100*12</f>
        <v>16108427.543760002</v>
      </c>
      <c r="P50" s="199">
        <f>'Staging Table'!BS52*Rates_current!$E$77*100*12</f>
        <v>-2830865.9578799997</v>
      </c>
      <c r="Q50" s="200">
        <f>SUMPRODUCT('Staging Table'!BY52:CV52, LS_Demand_Rates_Restatement!$C$5:$Z$5)-IF(Init!$R$12="No",('Staging Table'!DU52*Rates_current!$H$34), 0)</f>
        <v>0</v>
      </c>
      <c r="R50" s="200">
        <f>SUMPRODUCT('Staging Table'!CW52:DH52, LS_Demand_Rates_Restatement!$C$11:$N$11)*1000</f>
        <v>0</v>
      </c>
      <c r="S50" s="201">
        <f>'Staging Table'!ED52*IF(Init!$R$15="Yes",IF(Init!$R$6=2024,Rates_current!$C$88,Rates_current!$D$88),Rates_current!$H$33)</f>
        <v>0</v>
      </c>
      <c r="T50" s="201">
        <v>0</v>
      </c>
      <c r="U50" s="201">
        <f>IF('Staging Table'!D52=1, 'Staging Table'!BU52*-1*'Staging Table'!BS52/'Staging Table'!BR52,SUM(O50:T50)*'Staging Table'!BU52*-1)</f>
        <v>-929988.91398162278</v>
      </c>
      <c r="V50" s="199">
        <f>'Staging Table'!BX52*Rates_current!$H$32*-1</f>
        <v>0</v>
      </c>
      <c r="W50" s="199" t="str">
        <f>IF('Staging Table'!C52=1,"", SUM(O50:V50))</f>
        <v/>
      </c>
      <c r="X50" s="199" t="str">
        <f>IF('Staging Table'!C52=1,"", (RT1SC!$C$4*'Staging Table'!BS52*'Staging Table'!$BS$2)+SUM('Staging Table'!BY52:CV52)-IF(Init!$R$12="No",'Staging Table'!DU52, 0))</f>
        <v/>
      </c>
      <c r="Y50" s="297" t="str">
        <f>IF('Staging Table'!C52=1,"",IF(X50=0, 0, W50/X50))</f>
        <v/>
      </c>
      <c r="Z50" s="76" t="str">
        <f ca="1">IF('Staging Table'!C52=1,"",(Y50/N50-1)+(RAND()/100000000000000))</f>
        <v/>
      </c>
      <c r="AA50" s="53" t="str">
        <f t="shared" ca="1" si="0"/>
        <v/>
      </c>
      <c r="AC50" s="405"/>
      <c r="AD50" s="204"/>
      <c r="AE50" s="204"/>
      <c r="AG50" s="204"/>
      <c r="AH50" s="204"/>
    </row>
    <row r="51" spans="2:34">
      <c r="B51" s="123">
        <v>10121</v>
      </c>
      <c r="C51" s="124" t="s">
        <v>54</v>
      </c>
      <c r="D51" s="199">
        <f>IF(Init!$R$9="Yes",'Staging Table'!F53,'Staging Table'!BS53)*Rates_previous!$E$76*100*12</f>
        <v>13850950.604574263</v>
      </c>
      <c r="E51" s="199">
        <f>IF(Init!$R$9="Yes",'Staging Table'!F53,'Staging Table'!BS53)*Rates_previous!$E$77*100*12</f>
        <v>-2286825.1800901429</v>
      </c>
      <c r="F51" s="200">
        <f>IF(Init!$R$9="Yes",SUMPRODUCT('Staging Table'!L53:AI53,LS_Demand_Rates_Restatement!$C$4:$Z$4)-IF(Init!$R$12="No",('Staging Table'!BH53*Rates_previous!$H$34), 0),SUMPRODUCT('Staging Table'!BY53:CV53,LS_Demand_Rates_Restatement!$C$4:$Z$4)-IF(Init!$R$12="No", 'Staging Table'!DU53*Rates_previous!$H$34, 0))</f>
        <v>0</v>
      </c>
      <c r="G51" s="200">
        <f>IF(Init!$R$9="Yes",SUMPRODUCT('Staging Table'!AJ53:AU53,LS_Demand_Rates_Restatement!$C$10:$N$10),SUMPRODUCT(LS_Demand_Rates_Restatement!$C$10:$N$10,'Staging Table'!CW53:DH53))*1000</f>
        <v>0</v>
      </c>
      <c r="H51" s="201">
        <f>IF(Init!$R$9="Yes",'Staging Table'!BQ53,'Staging Table'!ED53)*IF(Init!$R$3=2022,Rates_previous!$C$88,Rates_previous!$D$88)</f>
        <v>-8.496518614075292</v>
      </c>
      <c r="I51" s="199">
        <v>0</v>
      </c>
      <c r="J51" s="201">
        <f>IF(Init!$R$9="Yes",IF('Staging Table'!D53=1,'Staging Table'!H53*-1*'Staging Table'!BS53/'Staging Table'!BR53,'Staging Table'!H53*SUM(D51:I51)*(-1)),IF('Staging Table'!D53=1,'Staging Table'!BU53*-1*'Staging Table'!BS53/'Staging Table'!BR53,'Staging Table'!BU53*SUM(D51:I51)*(-1)))</f>
        <v>-693847.01567793044</v>
      </c>
      <c r="K51" s="199">
        <f>IF(Init!$R$9="Yes",'Staging Table'!K53,'Staging Table'!BX53)*(-1)*Rates_previous!$H$32</f>
        <v>0</v>
      </c>
      <c r="L51" s="199" t="str">
        <f>IF('Staging Table'!C53=1,"",SUM(D51:K51))</f>
        <v/>
      </c>
      <c r="M51" s="199" t="str">
        <f>IF('Staging Table'!C53=1,"",IF(Init!$R$9="Yes",(RT1SC!$C$3*'Staging Table'!F53*'Staging Table'!$F$2)+SUM('Staging Table'!L53:AI53)-IF(Init!$R$12="No",'Staging Table'!BH53, 0),X51))</f>
        <v/>
      </c>
      <c r="N51" s="297" t="str">
        <f>IF('Staging Table'!C53=1,"",IF(M51=0, 0, L51/M51))</f>
        <v/>
      </c>
      <c r="O51" s="199">
        <f>'Staging Table'!BS53*Rates_current!$E$76*100*12</f>
        <v>13928933.357279997</v>
      </c>
      <c r="P51" s="199">
        <f>'Staging Table'!BS53*Rates_current!$E$77*100*12</f>
        <v>-2447845.5866399999</v>
      </c>
      <c r="Q51" s="200">
        <f>SUMPRODUCT('Staging Table'!BY53:CV53, LS_Demand_Rates_Restatement!$C$5:$Z$5)-IF(Init!$R$12="No",('Staging Table'!DU53*Rates_current!$H$34), 0)</f>
        <v>0</v>
      </c>
      <c r="R51" s="200">
        <f>SUMPRODUCT('Staging Table'!CW53:DH53, LS_Demand_Rates_Restatement!$C$11:$N$11)*1000</f>
        <v>0</v>
      </c>
      <c r="S51" s="201">
        <f>'Staging Table'!ED53*IF(Init!$R$15="Yes",IF(Init!$R$6=2024,Rates_current!$C$88,Rates_current!$D$88),Rates_current!$H$33)</f>
        <v>-5.8561217757005943</v>
      </c>
      <c r="T51" s="201">
        <v>0</v>
      </c>
      <c r="U51" s="201">
        <f>IF('Staging Table'!D53=1, 'Staging Table'!BU53*-1*'Staging Table'!BS53/'Staging Table'!BR53,SUM(O51:T51)*'Staging Table'!BU53*-1)</f>
        <v>-688864.91487109323</v>
      </c>
      <c r="V51" s="199">
        <f>'Staging Table'!BX53*Rates_current!$H$32*-1</f>
        <v>0</v>
      </c>
      <c r="W51" s="199" t="str">
        <f>IF('Staging Table'!C53=1,"", SUM(O51:V51))</f>
        <v/>
      </c>
      <c r="X51" s="199" t="str">
        <f>IF('Staging Table'!C53=1,"", (RT1SC!$C$4*'Staging Table'!BS53*'Staging Table'!$BS$2)+SUM('Staging Table'!BY53:CV53)-IF(Init!$R$12="No",'Staging Table'!DU53, 0))</f>
        <v/>
      </c>
      <c r="Y51" s="297" t="str">
        <f>IF('Staging Table'!C53=1,"",IF(X51=0, 0, W51/X51))</f>
        <v/>
      </c>
      <c r="Z51" s="76" t="str">
        <f ca="1">IF('Staging Table'!C53=1,"",(Y51/N51-1)+(RAND()/100000000000000))</f>
        <v/>
      </c>
      <c r="AA51" s="53" t="str">
        <f t="shared" ca="1" si="0"/>
        <v/>
      </c>
      <c r="AC51" s="405"/>
      <c r="AD51" s="204"/>
      <c r="AE51" s="204"/>
      <c r="AG51" s="204"/>
      <c r="AH51" s="204"/>
    </row>
    <row r="52" spans="2:34">
      <c r="B52" s="123">
        <v>10123</v>
      </c>
      <c r="C52" s="124" t="s">
        <v>55</v>
      </c>
      <c r="D52" s="199">
        <f>IF(Init!$R$9="Yes",'Staging Table'!F54,'Staging Table'!BS54)*Rates_previous!$E$76*100*12</f>
        <v>90852768.264046073</v>
      </c>
      <c r="E52" s="199">
        <f>IF(Init!$R$9="Yes",'Staging Table'!F54,'Staging Table'!BS54)*Rates_previous!$E$77*100*12</f>
        <v>-15000010.041079866</v>
      </c>
      <c r="F52" s="200">
        <f>IF(Init!$R$9="Yes",SUMPRODUCT('Staging Table'!L54:AI54,LS_Demand_Rates_Restatement!$C$4:$Z$4)-IF(Init!$R$12="No",('Staging Table'!BH54*Rates_previous!$H$34), 0),SUMPRODUCT('Staging Table'!BY54:CV54,LS_Demand_Rates_Restatement!$C$4:$Z$4)-IF(Init!$R$12="No", 'Staging Table'!DU54*Rates_previous!$H$34, 0))</f>
        <v>-389750.96235913323</v>
      </c>
      <c r="G52" s="200">
        <f>IF(Init!$R$9="Yes",SUMPRODUCT('Staging Table'!AJ54:AU54,LS_Demand_Rates_Restatement!$C$10:$N$10),SUMPRODUCT(LS_Demand_Rates_Restatement!$C$10:$N$10,'Staging Table'!CW54:DH54))*1000</f>
        <v>0</v>
      </c>
      <c r="H52" s="201">
        <f>IF(Init!$R$9="Yes",'Staging Table'!BQ54,'Staging Table'!ED54)*IF(Init!$R$3=2022,Rates_previous!$C$88,Rates_previous!$D$88)</f>
        <v>0</v>
      </c>
      <c r="I52" s="199">
        <v>0</v>
      </c>
      <c r="J52" s="201">
        <f>IF(Init!$R$9="Yes",IF('Staging Table'!D54=1,'Staging Table'!H54*-1*'Staging Table'!BS54/'Staging Table'!BR54,'Staging Table'!H54*SUM(D52:I52)*(-1)),IF('Staging Table'!D54=1,'Staging Table'!BU54*-1*'Staging Table'!BS54/'Staging Table'!BR54,'Staging Table'!BU54*SUM(D52:I52)*(-1)))</f>
        <v>0</v>
      </c>
      <c r="K52" s="199">
        <f>IF(Init!$R$9="Yes",'Staging Table'!K54,'Staging Table'!BX54)*(-1)*Rates_previous!$H$32</f>
        <v>0</v>
      </c>
      <c r="L52" s="199">
        <f>IF('Staging Table'!C54=1,"",SUM(D52:K52))</f>
        <v>75463007.260607079</v>
      </c>
      <c r="M52" s="199">
        <f>IF('Staging Table'!C54=1,"",IF(Init!$R$9="Yes",(RT1SC!$C$3*'Staging Table'!F54*'Staging Table'!$F$2)+SUM('Staging Table'!L54:AI54)-IF(Init!$R$12="No",'Staging Table'!BH54, 0),X52))</f>
        <v>2235631.5797191528</v>
      </c>
      <c r="N52" s="297">
        <f>IF('Staging Table'!C54=1,"",IF(M52=0, 0, L52/M52))</f>
        <v>33.754670467701565</v>
      </c>
      <c r="O52" s="199">
        <f>'Staging Table'!BS54*Rates_current!$E$76*100*12</f>
        <v>88359070.862880021</v>
      </c>
      <c r="P52" s="199">
        <f>'Staging Table'!BS54*Rates_current!$E$77*100*12</f>
        <v>-15528063.499440003</v>
      </c>
      <c r="Q52" s="200">
        <f>SUMPRODUCT('Staging Table'!BY54:CV54, LS_Demand_Rates_Restatement!$C$5:$Z$5)-IF(Init!$R$12="No",('Staging Table'!DU54*Rates_current!$H$34), 0)</f>
        <v>21041.919822512078</v>
      </c>
      <c r="R52" s="200">
        <f>SUMPRODUCT('Staging Table'!CW54:DH54, LS_Demand_Rates_Restatement!$C$11:$N$11)*1000</f>
        <v>0</v>
      </c>
      <c r="S52" s="201">
        <f>'Staging Table'!ED54*IF(Init!$R$15="Yes",IF(Init!$R$6=2024,Rates_current!$C$88,Rates_current!$D$88),Rates_current!$H$33)</f>
        <v>0</v>
      </c>
      <c r="T52" s="201">
        <v>0</v>
      </c>
      <c r="U52" s="201">
        <f>IF('Staging Table'!D54=1, 'Staging Table'!BU54*-1*'Staging Table'!BS54/'Staging Table'!BR54,SUM(O52:T52)*'Staging Table'!BU54*-1)</f>
        <v>0</v>
      </c>
      <c r="V52" s="199">
        <f>'Staging Table'!BX54*Rates_current!$H$32*-1</f>
        <v>0</v>
      </c>
      <c r="W52" s="199">
        <f>IF('Staging Table'!C54=1,"", SUM(O52:V52))</f>
        <v>72852049.283262536</v>
      </c>
      <c r="X52" s="199">
        <f>IF('Staging Table'!C54=1,"", (RT1SC!$C$4*'Staging Table'!BS54*'Staging Table'!$BS$2)+SUM('Staging Table'!BY54:CV54)-IF(Init!$R$12="No",'Staging Table'!DU54, 0))</f>
        <v>2200688.8374991771</v>
      </c>
      <c r="Y52" s="297">
        <f>IF('Staging Table'!C54=1,"",IF(X52=0, 0, W52/X52))</f>
        <v>33.104202666856928</v>
      </c>
      <c r="Z52" s="76">
        <f ca="1">IF('Staging Table'!C54=1,"",(Y52/N52-1)+(RAND()/100000000000000))</f>
        <v>-1.9270453298219286E-2</v>
      </c>
      <c r="AA52" s="53">
        <f t="shared" ca="1" si="0"/>
        <v>100</v>
      </c>
      <c r="AC52" s="405"/>
      <c r="AD52" s="204"/>
      <c r="AE52" s="204"/>
      <c r="AG52" s="204"/>
      <c r="AH52" s="204"/>
    </row>
    <row r="53" spans="2:34">
      <c r="B53" s="123">
        <v>10136</v>
      </c>
      <c r="C53" s="124" t="s">
        <v>56</v>
      </c>
      <c r="D53" s="199">
        <f>IF(Init!$R$9="Yes",'Staging Table'!F55,'Staging Table'!BS55)*Rates_previous!$E$76*100*12</f>
        <v>6295014.6017880533</v>
      </c>
      <c r="E53" s="199">
        <f>IF(Init!$R$9="Yes",'Staging Table'!F55,'Staging Table'!BS55)*Rates_previous!$E$77*100*12</f>
        <v>-1039322.0156059118</v>
      </c>
      <c r="F53" s="200">
        <f>IF(Init!$R$9="Yes",SUMPRODUCT('Staging Table'!L55:AI55,LS_Demand_Rates_Restatement!$C$4:$Z$4)-IF(Init!$R$12="No",('Staging Table'!BH55*Rates_previous!$H$34), 0),SUMPRODUCT('Staging Table'!BY55:CV55,LS_Demand_Rates_Restatement!$C$4:$Z$4)-IF(Init!$R$12="No", 'Staging Table'!DU55*Rates_previous!$H$34, 0))</f>
        <v>0</v>
      </c>
      <c r="G53" s="200">
        <f>IF(Init!$R$9="Yes",SUMPRODUCT('Staging Table'!AJ55:AU55,LS_Demand_Rates_Restatement!$C$10:$N$10),SUMPRODUCT(LS_Demand_Rates_Restatement!$C$10:$N$10,'Staging Table'!CW55:DH55))*1000</f>
        <v>0</v>
      </c>
      <c r="H53" s="201">
        <f>IF(Init!$R$9="Yes",'Staging Table'!BQ55,'Staging Table'!ED55)*IF(Init!$R$3=2022,Rates_previous!$C$88,Rates_previous!$D$88)</f>
        <v>0</v>
      </c>
      <c r="I53" s="199">
        <v>0</v>
      </c>
      <c r="J53" s="201">
        <f>IF(Init!$R$9="Yes",IF('Staging Table'!D55=1,'Staging Table'!H55*-1*'Staging Table'!BS55/'Staging Table'!BR55,'Staging Table'!H55*SUM(D53:I53)*(-1)),IF('Staging Table'!D55=1,'Staging Table'!BU55*-1*'Staging Table'!BS55/'Staging Table'!BR55,'Staging Table'!BU55*SUM(D53:I53)*(-1)))</f>
        <v>-379828.90320338338</v>
      </c>
      <c r="K53" s="199">
        <f>IF(Init!$R$9="Yes",'Staging Table'!K55,'Staging Table'!BX55)*(-1)*Rates_previous!$H$32</f>
        <v>0</v>
      </c>
      <c r="L53" s="199" t="str">
        <f>IF('Staging Table'!C55=1,"",SUM(D53:K53))</f>
        <v/>
      </c>
      <c r="M53" s="199" t="str">
        <f>IF('Staging Table'!C55=1,"",IF(Init!$R$9="Yes",(RT1SC!$C$3*'Staging Table'!F55*'Staging Table'!$F$2)+SUM('Staging Table'!L55:AI55)-IF(Init!$R$12="No",'Staging Table'!BH55, 0),X53))</f>
        <v/>
      </c>
      <c r="N53" s="297" t="str">
        <f>IF('Staging Table'!C55=1,"",IF(M53=0, 0, L53/M53))</f>
        <v/>
      </c>
      <c r="O53" s="199">
        <f>'Staging Table'!BS55*Rates_current!$E$76*100*12</f>
        <v>6487912.5148800015</v>
      </c>
      <c r="P53" s="199">
        <f>'Staging Table'!BS55*Rates_current!$E$77*100*12</f>
        <v>-1140174.02544</v>
      </c>
      <c r="Q53" s="200">
        <f>SUMPRODUCT('Staging Table'!BY55:CV55, LS_Demand_Rates_Restatement!$C$5:$Z$5)-IF(Init!$R$12="No",('Staging Table'!DU55*Rates_current!$H$34), 0)</f>
        <v>0</v>
      </c>
      <c r="R53" s="200">
        <f>SUMPRODUCT('Staging Table'!CW55:DH55, LS_Demand_Rates_Restatement!$C$11:$N$11)*1000</f>
        <v>0</v>
      </c>
      <c r="S53" s="201">
        <f>'Staging Table'!ED55*IF(Init!$R$15="Yes",IF(Init!$R$6=2024,Rates_current!$C$88,Rates_current!$D$88),Rates_current!$H$33)</f>
        <v>10.179475606172055</v>
      </c>
      <c r="T53" s="201">
        <v>0</v>
      </c>
      <c r="U53" s="201">
        <f>IF('Staging Table'!D55=1, 'Staging Table'!BU55*-1*'Staging Table'!BS55/'Staging Table'!BR55,SUM(O53:T53)*'Staging Table'!BU55*-1)</f>
        <v>-374342.40682409261</v>
      </c>
      <c r="V53" s="199">
        <f>'Staging Table'!BX55*Rates_current!$H$32*-1</f>
        <v>0</v>
      </c>
      <c r="W53" s="199" t="str">
        <f>IF('Staging Table'!C55=1,"", SUM(O53:V53))</f>
        <v/>
      </c>
      <c r="X53" s="199" t="str">
        <f>IF('Staging Table'!C55=1,"", (RT1SC!$C$4*'Staging Table'!BS55*'Staging Table'!$BS$2)+SUM('Staging Table'!BY55:CV55)-IF(Init!$R$12="No",'Staging Table'!DU55, 0))</f>
        <v/>
      </c>
      <c r="Y53" s="297" t="str">
        <f>IF('Staging Table'!C55=1,"",IF(X53=0, 0, W53/X53))</f>
        <v/>
      </c>
      <c r="Z53" s="76" t="str">
        <f ca="1">IF('Staging Table'!C55=1,"",(Y53/N53-1)+(RAND()/100000000000000))</f>
        <v/>
      </c>
      <c r="AA53" s="53" t="str">
        <f t="shared" ca="1" si="0"/>
        <v/>
      </c>
      <c r="AC53" s="405"/>
      <c r="AD53" s="204"/>
      <c r="AE53" s="204"/>
      <c r="AG53" s="204"/>
      <c r="AH53" s="204"/>
    </row>
    <row r="54" spans="2:34">
      <c r="B54" s="123">
        <v>10142</v>
      </c>
      <c r="C54" s="124" t="s">
        <v>57</v>
      </c>
      <c r="D54" s="199">
        <f>IF(Init!$R$9="Yes",'Staging Table'!F56,'Staging Table'!BS56)*Rates_previous!$E$76*100*12</f>
        <v>912477.35465918249</v>
      </c>
      <c r="E54" s="199">
        <f>IF(Init!$R$9="Yes",'Staging Table'!F56,'Staging Table'!BS56)*Rates_previous!$E$77*100*12</f>
        <v>-150652.20073830453</v>
      </c>
      <c r="F54" s="200">
        <f>IF(Init!$R$9="Yes",SUMPRODUCT('Staging Table'!L56:AI56,LS_Demand_Rates_Restatement!$C$4:$Z$4)-IF(Init!$R$12="No",('Staging Table'!BH56*Rates_previous!$H$34), 0),SUMPRODUCT('Staging Table'!BY56:CV56,LS_Demand_Rates_Restatement!$C$4:$Z$4)-IF(Init!$R$12="No", 'Staging Table'!DU56*Rates_previous!$H$34, 0))</f>
        <v>-12669.951512947038</v>
      </c>
      <c r="G54" s="200">
        <f>IF(Init!$R$9="Yes",SUMPRODUCT('Staging Table'!AJ56:AU56,LS_Demand_Rates_Restatement!$C$10:$N$10),SUMPRODUCT(LS_Demand_Rates_Restatement!$C$10:$N$10,'Staging Table'!CW56:DH56))*1000</f>
        <v>66117.05096721866</v>
      </c>
      <c r="H54" s="201">
        <f>IF(Init!$R$9="Yes",'Staging Table'!BQ56,'Staging Table'!ED56)*IF(Init!$R$3=2022,Rates_previous!$C$88,Rates_previous!$D$88)</f>
        <v>0</v>
      </c>
      <c r="I54" s="199">
        <v>0</v>
      </c>
      <c r="J54" s="201">
        <f>IF(Init!$R$9="Yes",IF('Staging Table'!D56=1,'Staging Table'!H56*-1*'Staging Table'!BS56/'Staging Table'!BR56,'Staging Table'!H56*SUM(D54:I54)*(-1)),IF('Staging Table'!D56=1,'Staging Table'!BU56*-1*'Staging Table'!BS56/'Staging Table'!BR56,'Staging Table'!BU56*SUM(D54:I54)*(-1)))</f>
        <v>-23854.866133756881</v>
      </c>
      <c r="K54" s="199">
        <f>IF(Init!$R$9="Yes",'Staging Table'!K56,'Staging Table'!BX56)*(-1)*Rates_previous!$H$32</f>
        <v>-62887.375600000007</v>
      </c>
      <c r="L54" s="199">
        <f>IF('Staging Table'!C56=1,"",SUM(D54:K54))</f>
        <v>728530.01164139272</v>
      </c>
      <c r="M54" s="199">
        <f>IF('Staging Table'!C56=1,"",IF(Init!$R$9="Yes",(RT1SC!$C$3*'Staging Table'!F56*'Staging Table'!$F$2)+SUM('Staging Table'!L56:AI56)-IF(Init!$R$12="No",'Staging Table'!BH56, 0),X54))</f>
        <v>22451.88</v>
      </c>
      <c r="N54" s="297">
        <f>IF('Staging Table'!C56=1,"",IF(M54=0, 0, L54/M54))</f>
        <v>32.448508171315396</v>
      </c>
      <c r="O54" s="199">
        <f>'Staging Table'!BS56*Rates_current!$E$76*100*12</f>
        <v>947627.83007999999</v>
      </c>
      <c r="P54" s="199">
        <f>'Staging Table'!BS56*Rates_current!$E$77*100*12</f>
        <v>-166534.40304</v>
      </c>
      <c r="Q54" s="200">
        <f>SUMPRODUCT('Staging Table'!BY56:CV56, LS_Demand_Rates_Restatement!$C$5:$Z$5)-IF(Init!$R$12="No",('Staging Table'!DU56*Rates_current!$H$34), 0)</f>
        <v>17095.07490677468</v>
      </c>
      <c r="R54" s="200">
        <f>SUMPRODUCT('Staging Table'!CW56:DH56, LS_Demand_Rates_Restatement!$C$11:$N$11)*1000</f>
        <v>68564.015360844031</v>
      </c>
      <c r="S54" s="201">
        <f>'Staging Table'!ED56*IF(Init!$R$15="Yes",IF(Init!$R$6=2024,Rates_current!$C$88,Rates_current!$D$88),Rates_current!$H$33)</f>
        <v>0</v>
      </c>
      <c r="T54" s="201">
        <v>0</v>
      </c>
      <c r="U54" s="201">
        <f>IF('Staging Table'!D56=1, 'Staging Table'!BU56*-1*'Staging Table'!BS56/'Staging Table'!BR56,SUM(O54:T54)*'Staging Table'!BU56*-1)</f>
        <v>-26725.138094133312</v>
      </c>
      <c r="V54" s="199">
        <f>'Staging Table'!BX56*Rates_current!$H$32*-1</f>
        <v>-66752.929880000011</v>
      </c>
      <c r="W54" s="199">
        <f>IF('Staging Table'!C56=1,"", SUM(O54:V54))</f>
        <v>773274.44933348522</v>
      </c>
      <c r="X54" s="199">
        <f>IF('Staging Table'!C56=1,"", (RT1SC!$C$4*'Staging Table'!BS56*'Staging Table'!$BS$2)+SUM('Staging Table'!BY56:CV56)-IF(Init!$R$12="No",'Staging Table'!DU56, 0))</f>
        <v>23602.608</v>
      </c>
      <c r="Y54" s="297">
        <f>IF('Staging Table'!C56=1,"",IF(X54=0, 0, W54/X54))</f>
        <v>32.762245991353382</v>
      </c>
      <c r="Z54" s="76">
        <f ca="1">IF('Staging Table'!C56=1,"",(Y54/N54-1)+(RAND()/100000000000000))</f>
        <v>9.6687902686182475E-3</v>
      </c>
      <c r="AA54" s="53">
        <f t="shared" ca="1" si="0"/>
        <v>16</v>
      </c>
      <c r="AC54" s="405"/>
      <c r="AD54" s="204"/>
      <c r="AE54" s="204"/>
      <c r="AG54" s="204"/>
      <c r="AH54" s="204"/>
    </row>
    <row r="55" spans="2:34">
      <c r="B55" s="123">
        <v>10144</v>
      </c>
      <c r="C55" s="124" t="s">
        <v>58</v>
      </c>
      <c r="D55" s="199">
        <f>IF(Init!$R$9="Yes",'Staging Table'!F57,'Staging Table'!BS57)*Rates_previous!$E$76*100*12</f>
        <v>1143894.0819249148</v>
      </c>
      <c r="E55" s="199">
        <f>IF(Init!$R$9="Yes",'Staging Table'!F57,'Staging Table'!BS57)*Rates_previous!$E$77*100*12</f>
        <v>-188859.65769295997</v>
      </c>
      <c r="F55" s="200">
        <f>IF(Init!$R$9="Yes",SUMPRODUCT('Staging Table'!L57:AI57,LS_Demand_Rates_Restatement!$C$4:$Z$4)-IF(Init!$R$12="No",('Staging Table'!BH57*Rates_previous!$H$34), 0),SUMPRODUCT('Staging Table'!BY57:CV57,LS_Demand_Rates_Restatement!$C$4:$Z$4)-IF(Init!$R$12="No", 'Staging Table'!DU57*Rates_previous!$H$34, 0))</f>
        <v>23967.904144314118</v>
      </c>
      <c r="G55" s="200">
        <f>IF(Init!$R$9="Yes",SUMPRODUCT('Staging Table'!AJ57:AU57,LS_Demand_Rates_Restatement!$C$10:$N$10),SUMPRODUCT(LS_Demand_Rates_Restatement!$C$10:$N$10,'Staging Table'!CW57:DH57))*1000</f>
        <v>86129.382717663786</v>
      </c>
      <c r="H55" s="201">
        <f>IF(Init!$R$9="Yes",'Staging Table'!BQ57,'Staging Table'!ED57)*IF(Init!$R$3=2022,Rates_previous!$C$88,Rates_previous!$D$88)</f>
        <v>0</v>
      </c>
      <c r="I55" s="199">
        <v>0</v>
      </c>
      <c r="J55" s="201">
        <f>IF(Init!$R$9="Yes",IF('Staging Table'!D57=1,'Staging Table'!H57*-1*'Staging Table'!BS57/'Staging Table'!BR57,'Staging Table'!H57*SUM(D55:I55)*(-1)),IF('Staging Table'!D57=1,'Staging Table'!BU57*-1*'Staging Table'!BS57/'Staging Table'!BR57,'Staging Table'!BU57*SUM(D55:I55)*(-1)))</f>
        <v>0</v>
      </c>
      <c r="K55" s="199">
        <f>IF(Init!$R$9="Yes",'Staging Table'!K57,'Staging Table'!BX57)*(-1)*Rates_previous!$H$32</f>
        <v>0</v>
      </c>
      <c r="L55" s="199">
        <f>IF('Staging Table'!C57=1,"",SUM(D55:K55))</f>
        <v>1065131.7110939329</v>
      </c>
      <c r="M55" s="199">
        <f>IF('Staging Table'!C57=1,"",IF(Init!$R$9="Yes",(RT1SC!$C$3*'Staging Table'!F57*'Staging Table'!$F$2)+SUM('Staging Table'!L57:AI57)-IF(Init!$R$12="No",'Staging Table'!BH57, 0),X55))</f>
        <v>28145.88</v>
      </c>
      <c r="N55" s="297">
        <f>IF('Staging Table'!C57=1,"",IF(M55=0, 0, L55/M55))</f>
        <v>37.843254895349972</v>
      </c>
      <c r="O55" s="199">
        <f>'Staging Table'!BS57*Rates_current!$E$76*100*12</f>
        <v>1148662.4407199998</v>
      </c>
      <c r="P55" s="199">
        <f>'Staging Table'!BS57*Rates_current!$E$77*100*12</f>
        <v>-201863.86235999997</v>
      </c>
      <c r="Q55" s="200">
        <f>SUMPRODUCT('Staging Table'!BY57:CV57, LS_Demand_Rates_Restatement!$C$5:$Z$5)-IF(Init!$R$12="No",('Staging Table'!DU57*Rates_current!$H$34), 0)</f>
        <v>36581.38852770003</v>
      </c>
      <c r="R55" s="200">
        <f>SUMPRODUCT('Staging Table'!CW57:DH57, LS_Demand_Rates_Restatement!$C$11:$N$11)*1000</f>
        <v>85312.802363595096</v>
      </c>
      <c r="S55" s="201">
        <f>'Staging Table'!ED57*IF(Init!$R$15="Yes",IF(Init!$R$6=2024,Rates_current!$C$88,Rates_current!$D$88),Rates_current!$H$33)</f>
        <v>16.097277449092619</v>
      </c>
      <c r="T55" s="201">
        <v>0</v>
      </c>
      <c r="U55" s="201">
        <f>IF('Staging Table'!D57=1, 'Staging Table'!BU57*-1*'Staging Table'!BS57/'Staging Table'!BR57,SUM(O55:T55)*'Staging Table'!BU57*-1)</f>
        <v>0</v>
      </c>
      <c r="V55" s="199">
        <f>'Staging Table'!BX57*Rates_current!$H$32*-1</f>
        <v>0</v>
      </c>
      <c r="W55" s="199">
        <f>IF('Staging Table'!C57=1,"", SUM(O55:V55))</f>
        <v>1068708.8665287439</v>
      </c>
      <c r="X55" s="199">
        <f>IF('Staging Table'!C57=1,"", (RT1SC!$C$4*'Staging Table'!BS57*'Staging Table'!$BS$2)+SUM('Staging Table'!BY57:CV57)-IF(Init!$R$12="No",'Staging Table'!DU57, 0))</f>
        <v>28607.096131136837</v>
      </c>
      <c r="Y55" s="297">
        <f>IF('Staging Table'!C57=1,"",IF(X55=0, 0, W55/X55))</f>
        <v>37.358173707310634</v>
      </c>
      <c r="Z55" s="76">
        <f ca="1">IF('Staging Table'!C57=1,"",(Y55/N55-1)+(RAND()/100000000000000))</f>
        <v>-1.2818167712595639E-2</v>
      </c>
      <c r="AA55" s="53">
        <f t="shared" ca="1" si="0"/>
        <v>79</v>
      </c>
      <c r="AC55" s="405"/>
      <c r="AD55" s="204"/>
      <c r="AE55" s="204"/>
      <c r="AG55" s="204"/>
      <c r="AH55" s="204"/>
    </row>
    <row r="56" spans="2:34">
      <c r="B56" s="123">
        <v>10156</v>
      </c>
      <c r="C56" s="124" t="s">
        <v>59</v>
      </c>
      <c r="D56" s="199">
        <f>IF(Init!$R$9="Yes",'Staging Table'!F58,'Staging Table'!BS58)*Rates_previous!$E$76*100*12</f>
        <v>10947569.965189576</v>
      </c>
      <c r="E56" s="199">
        <f>IF(Init!$R$9="Yes",'Staging Table'!F58,'Staging Table'!BS58)*Rates_previous!$E$77*100*12</f>
        <v>-1807470.0698828753</v>
      </c>
      <c r="F56" s="200">
        <f>IF(Init!$R$9="Yes",SUMPRODUCT('Staging Table'!L58:AI58,LS_Demand_Rates_Restatement!$C$4:$Z$4)-IF(Init!$R$12="No",('Staging Table'!BH58*Rates_previous!$H$34), 0),SUMPRODUCT('Staging Table'!BY58:CV58,LS_Demand_Rates_Restatement!$C$4:$Z$4)-IF(Init!$R$12="No", 'Staging Table'!DU58*Rates_previous!$H$34, 0))</f>
        <v>228781.09562781977</v>
      </c>
      <c r="G56" s="200">
        <f>IF(Init!$R$9="Yes",SUMPRODUCT('Staging Table'!AJ58:AU58,LS_Demand_Rates_Restatement!$C$10:$N$10),SUMPRODUCT(LS_Demand_Rates_Restatement!$C$10:$N$10,'Staging Table'!CW58:DH58))*1000</f>
        <v>655641.61043895106</v>
      </c>
      <c r="H56" s="201">
        <f>IF(Init!$R$9="Yes",'Staging Table'!BQ58,'Staging Table'!ED58)*IF(Init!$R$3=2022,Rates_previous!$C$88,Rates_previous!$D$88)</f>
        <v>0</v>
      </c>
      <c r="I56" s="199">
        <v>0</v>
      </c>
      <c r="J56" s="201">
        <f>IF(Init!$R$9="Yes",IF('Staging Table'!D58=1,'Staging Table'!H58*-1*'Staging Table'!BS58/'Staging Table'!BR58,'Staging Table'!H58*SUM(D56:I56)*(-1)),IF('Staging Table'!D58=1,'Staging Table'!BU58*-1*'Staging Table'!BS58/'Staging Table'!BR58,'Staging Table'!BU58*SUM(D56:I56)*(-1)))</f>
        <v>0</v>
      </c>
      <c r="K56" s="199">
        <f>IF(Init!$R$9="Yes",'Staging Table'!K58,'Staging Table'!BX58)*(-1)*Rates_previous!$H$32</f>
        <v>0</v>
      </c>
      <c r="L56" s="199">
        <f>IF('Staging Table'!C58=1,"",SUM(D56:K56))</f>
        <v>10024522.601373471</v>
      </c>
      <c r="M56" s="199">
        <f>IF('Staging Table'!C58=1,"",IF(Init!$R$9="Yes",(RT1SC!$C$3*'Staging Table'!F58*'Staging Table'!$F$2)+SUM('Staging Table'!L58:AI58)-IF(Init!$R$12="No",'Staging Table'!BH58, 0),X56))</f>
        <v>269387.52000000002</v>
      </c>
      <c r="N56" s="297">
        <f>IF('Staging Table'!C58=1,"",IF(M56=0, 0, L56/M56))</f>
        <v>37.212275466114654</v>
      </c>
      <c r="O56" s="199">
        <f>'Staging Table'!BS58*Rates_current!$E$76*100*12</f>
        <v>11369790.16632</v>
      </c>
      <c r="P56" s="199">
        <f>'Staging Table'!BS58*Rates_current!$E$77*100*12</f>
        <v>-1998106.3851600001</v>
      </c>
      <c r="Q56" s="200">
        <f>SUMPRODUCT('Staging Table'!BY58:CV58, LS_Demand_Rates_Restatement!$C$5:$Z$5)-IF(Init!$R$12="No",('Staging Table'!DU58*Rates_current!$H$34), 0)</f>
        <v>353783.65456241032</v>
      </c>
      <c r="R56" s="200">
        <f>SUMPRODUCT('Staging Table'!CW58:DH58, LS_Demand_Rates_Restatement!$C$11:$N$11)*1000</f>
        <v>687047.24206247309</v>
      </c>
      <c r="S56" s="201">
        <f>'Staging Table'!ED58*IF(Init!$R$15="Yes",IF(Init!$R$6=2024,Rates_current!$C$88,Rates_current!$D$88),Rates_current!$H$33)</f>
        <v>0</v>
      </c>
      <c r="T56" s="201">
        <v>0</v>
      </c>
      <c r="U56" s="201">
        <f>IF('Staging Table'!D58=1, 'Staging Table'!BU58*-1*'Staging Table'!BS58/'Staging Table'!BR58,SUM(O56:T56)*'Staging Table'!BU58*-1)</f>
        <v>0</v>
      </c>
      <c r="V56" s="199">
        <f>'Staging Table'!BX58*Rates_current!$H$32*-1</f>
        <v>0</v>
      </c>
      <c r="W56" s="199">
        <f>IF('Staging Table'!C58=1,"", SUM(O56:V56))</f>
        <v>10412514.677784884</v>
      </c>
      <c r="X56" s="199">
        <f>IF('Staging Table'!C58=1,"", (RT1SC!$C$4*'Staging Table'!BS58*'Staging Table'!$BS$2)+SUM('Staging Table'!BY58:CV58)-IF(Init!$R$12="No",'Staging Table'!DU58, 0))</f>
        <v>283178.592</v>
      </c>
      <c r="Y56" s="297">
        <f>IF('Staging Table'!C58=1,"",IF(X56=0, 0, W56/X56))</f>
        <v>36.770133661039196</v>
      </c>
      <c r="Z56" s="76">
        <f ca="1">IF('Staging Table'!C58=1,"",(Y56/N56-1)+(RAND()/100000000000000))</f>
        <v>-1.1881611633181089E-2</v>
      </c>
      <c r="AA56" s="53">
        <f t="shared" ca="1" si="0"/>
        <v>73</v>
      </c>
      <c r="AC56" s="405"/>
      <c r="AD56" s="204"/>
      <c r="AE56" s="204"/>
      <c r="AG56" s="204"/>
      <c r="AH56" s="204"/>
    </row>
    <row r="57" spans="2:34">
      <c r="B57" s="123">
        <v>10157</v>
      </c>
      <c r="C57" s="124" t="s">
        <v>60</v>
      </c>
      <c r="D57" s="199">
        <f>IF(Init!$R$9="Yes",'Staging Table'!F59,'Staging Table'!BS59)*Rates_previous!$E$76*100*12</f>
        <v>8096707.7333398107</v>
      </c>
      <c r="E57" s="199">
        <f>IF(Init!$R$9="Yes",'Staging Table'!F59,'Staging Table'!BS59)*Rates_previous!$E$77*100*12</f>
        <v>-1336785.8747772344</v>
      </c>
      <c r="F57" s="200">
        <f>IF(Init!$R$9="Yes",SUMPRODUCT('Staging Table'!L59:AI59,LS_Demand_Rates_Restatement!$C$4:$Z$4)-IF(Init!$R$12="No",('Staging Table'!BH59*Rates_previous!$H$34), 0),SUMPRODUCT('Staging Table'!BY59:CV59,LS_Demand_Rates_Restatement!$C$4:$Z$4)-IF(Init!$R$12="No", 'Staging Table'!DU59*Rates_previous!$H$34, 0))</f>
        <v>67489.956694142486</v>
      </c>
      <c r="G57" s="200">
        <f>IF(Init!$R$9="Yes",SUMPRODUCT('Staging Table'!AJ59:AU59,LS_Demand_Rates_Restatement!$C$10:$N$10),SUMPRODUCT(LS_Demand_Rates_Restatement!$C$10:$N$10,'Staging Table'!CW59:DH59))*1000</f>
        <v>0</v>
      </c>
      <c r="H57" s="201">
        <f>IF(Init!$R$9="Yes",'Staging Table'!BQ59,'Staging Table'!ED59)*IF(Init!$R$3=2022,Rates_previous!$C$88,Rates_previous!$D$88)</f>
        <v>0</v>
      </c>
      <c r="I57" s="199">
        <v>0</v>
      </c>
      <c r="J57" s="201">
        <f>IF(Init!$R$9="Yes",IF('Staging Table'!D59=1,'Staging Table'!H59*-1*'Staging Table'!BS59/'Staging Table'!BR59,'Staging Table'!H59*SUM(D57:I57)*(-1)),IF('Staging Table'!D59=1,'Staging Table'!BU59*-1*'Staging Table'!BS59/'Staging Table'!BR59,'Staging Table'!BU59*SUM(D57:I57)*(-1)))</f>
        <v>-481083.13539192401</v>
      </c>
      <c r="K57" s="199">
        <f>IF(Init!$R$9="Yes",'Staging Table'!K59,'Staging Table'!BX59)*(-1)*Rates_previous!$H$32</f>
        <v>0</v>
      </c>
      <c r="L57" s="199">
        <f>IF('Staging Table'!C59=1,"",SUM(D57:K57))</f>
        <v>6346328.6798647959</v>
      </c>
      <c r="M57" s="199">
        <f>IF('Staging Table'!C59=1,"",IF(Init!$R$9="Yes",(RT1SC!$C$3*'Staging Table'!F59*'Staging Table'!$F$2)+SUM('Staging Table'!L59:AI59)-IF(Init!$R$12="No",'Staging Table'!BH59, 0),X57))</f>
        <v>199236.9744564626</v>
      </c>
      <c r="N57" s="297">
        <f>IF('Staging Table'!C59=1,"",IF(M57=0, 0, L57/M57))</f>
        <v>31.853167300789341</v>
      </c>
      <c r="O57" s="199">
        <f>'Staging Table'!BS59*Rates_current!$E$76*100*12</f>
        <v>8409075.9811199997</v>
      </c>
      <c r="P57" s="199">
        <f>'Staging Table'!BS59*Rates_current!$E$77*100*12</f>
        <v>-1477795.8225599998</v>
      </c>
      <c r="Q57" s="200">
        <f>SUMPRODUCT('Staging Table'!BY59:CV59, LS_Demand_Rates_Restatement!$C$5:$Z$5)-IF(Init!$R$12="No",('Staging Table'!DU59*Rates_current!$H$34), 0)</f>
        <v>150318.92591832331</v>
      </c>
      <c r="R57" s="200">
        <f>SUMPRODUCT('Staging Table'!CW59:DH59, LS_Demand_Rates_Restatement!$C$11:$N$11)*1000</f>
        <v>0</v>
      </c>
      <c r="S57" s="201">
        <f>'Staging Table'!ED59*IF(Init!$R$15="Yes",IF(Init!$R$6=2024,Rates_current!$C$88,Rates_current!$D$88),Rates_current!$H$33)</f>
        <v>0</v>
      </c>
      <c r="T57" s="201">
        <v>0</v>
      </c>
      <c r="U57" s="201">
        <f>IF('Staging Table'!D59=1, 'Staging Table'!BU59*-1*'Staging Table'!BS59/'Staging Table'!BR59,SUM(O57:T57)*'Staging Table'!BU59*-1)</f>
        <v>-481083.13539192401</v>
      </c>
      <c r="V57" s="199">
        <f>'Staging Table'!BX59*Rates_current!$H$32*-1</f>
        <v>0</v>
      </c>
      <c r="W57" s="199">
        <f>IF('Staging Table'!C59=1,"", SUM(O57:V57))</f>
        <v>6600515.9490863997</v>
      </c>
      <c r="X57" s="199">
        <f>IF('Staging Table'!C59=1,"", (RT1SC!$C$4*'Staging Table'!BS59*'Staging Table'!$BS$2)+SUM('Staging Table'!BY59:CV59)-IF(Init!$R$12="No",'Staging Table'!DU59, 0))</f>
        <v>209439.78291001619</v>
      </c>
      <c r="Y57" s="297">
        <f>IF('Staging Table'!C59=1,"",IF(X57=0, 0, W57/X57))</f>
        <v>31.515101177899179</v>
      </c>
      <c r="Z57" s="76">
        <f ca="1">IF('Staging Table'!C59=1,"",(Y57/N57-1)+(RAND()/100000000000000))</f>
        <v>-1.0613265541155546E-2</v>
      </c>
      <c r="AA57" s="53">
        <f t="shared" ca="1" si="0"/>
        <v>68</v>
      </c>
      <c r="AC57" s="405"/>
      <c r="AD57" s="204"/>
      <c r="AE57" s="204"/>
      <c r="AG57" s="204"/>
      <c r="AH57" s="204"/>
    </row>
    <row r="58" spans="2:34">
      <c r="B58" s="123">
        <v>10158</v>
      </c>
      <c r="C58" s="124" t="s">
        <v>61</v>
      </c>
      <c r="D58" s="199">
        <f>IF(Init!$R$9="Yes",'Staging Table'!F60,'Staging Table'!BS60)*Rates_previous!$E$76*100*12</f>
        <v>844850.91207997373</v>
      </c>
      <c r="E58" s="199">
        <f>IF(Init!$R$9="Yes",'Staging Table'!F60,'Staging Table'!BS60)*Rates_previous!$E$77*100*12</f>
        <v>-139486.91279922391</v>
      </c>
      <c r="F58" s="200">
        <f>IF(Init!$R$9="Yes",SUMPRODUCT('Staging Table'!L60:AI60,LS_Demand_Rates_Restatement!$C$4:$Z$4)-IF(Init!$R$12="No",('Staging Table'!BH60*Rates_previous!$H$34), 0),SUMPRODUCT('Staging Table'!BY60:CV60,LS_Demand_Rates_Restatement!$C$4:$Z$4)-IF(Init!$R$12="No", 'Staging Table'!DU60*Rates_previous!$H$34, 0))</f>
        <v>-14310.34515633282</v>
      </c>
      <c r="G58" s="200">
        <f>IF(Init!$R$9="Yes",SUMPRODUCT('Staging Table'!AJ60:AU60,LS_Demand_Rates_Restatement!$C$10:$N$10),SUMPRODUCT(LS_Demand_Rates_Restatement!$C$10:$N$10,'Staging Table'!CW60:DH60))*1000</f>
        <v>39140.162489066955</v>
      </c>
      <c r="H58" s="201">
        <f>IF(Init!$R$9="Yes",'Staging Table'!BQ60,'Staging Table'!ED60)*IF(Init!$R$3=2022,Rates_previous!$C$88,Rates_previous!$D$88)</f>
        <v>-6034.43650205618</v>
      </c>
      <c r="I58" s="199">
        <v>0</v>
      </c>
      <c r="J58" s="201">
        <f>IF(Init!$R$9="Yes",IF('Staging Table'!D60=1,'Staging Table'!H60*-1*'Staging Table'!BS60/'Staging Table'!BR60,'Staging Table'!H60*SUM(D58:I58)*(-1)),IF('Staging Table'!D60=1,'Staging Table'!BU60*-1*'Staging Table'!BS60/'Staging Table'!BR60,'Staging Table'!BU60*SUM(D58:I58)*(-1)))</f>
        <v>0</v>
      </c>
      <c r="K58" s="199">
        <f>IF(Init!$R$9="Yes",'Staging Table'!K60,'Staging Table'!BX60)*(-1)*Rates_previous!$H$32</f>
        <v>0</v>
      </c>
      <c r="L58" s="199">
        <f>IF('Staging Table'!C60=1,"",SUM(D58:K58))</f>
        <v>724159.38011142774</v>
      </c>
      <c r="M58" s="199">
        <f>IF('Staging Table'!C60=1,"",IF(Init!$R$9="Yes",(RT1SC!$C$3*'Staging Table'!F60*'Staging Table'!$F$2)+SUM('Staging Table'!L60:AI60)-IF(Init!$R$12="No",'Staging Table'!BH60, 0),X58))</f>
        <v>19930.846063467754</v>
      </c>
      <c r="N58" s="297">
        <f>IF('Staging Table'!C60=1,"",IF(M58=0, 0, L58/M58))</f>
        <v>36.333599577530016</v>
      </c>
      <c r="O58" s="199">
        <f>'Staging Table'!BS60*Rates_current!$E$76*100*12</f>
        <v>800152.62624000013</v>
      </c>
      <c r="P58" s="199">
        <f>'Staging Table'!BS60*Rates_current!$E$77*100*12</f>
        <v>-140617.37712000002</v>
      </c>
      <c r="Q58" s="200">
        <f>SUMPRODUCT('Staging Table'!BY60:CV60, LS_Demand_Rates_Restatement!$C$5:$Z$5)-IF(Init!$R$12="No",('Staging Table'!DU60*Rates_current!$H$34), 0)</f>
        <v>16123.713245298692</v>
      </c>
      <c r="R58" s="200">
        <f>SUMPRODUCT('Staging Table'!CW60:DH60, LS_Demand_Rates_Restatement!$C$11:$N$11)*1000</f>
        <v>39105.256602029913</v>
      </c>
      <c r="S58" s="201">
        <f>'Staging Table'!ED60*IF(Init!$R$15="Yes",IF(Init!$R$6=2024,Rates_current!$C$88,Rates_current!$D$88),Rates_current!$H$33)</f>
        <v>0.34261521936379724</v>
      </c>
      <c r="T58" s="201">
        <v>0</v>
      </c>
      <c r="U58" s="201">
        <f>IF('Staging Table'!D60=1, 'Staging Table'!BU60*-1*'Staging Table'!BS60/'Staging Table'!BR60,SUM(O58:T58)*'Staging Table'!BU60*-1)</f>
        <v>0</v>
      </c>
      <c r="V58" s="199">
        <f>'Staging Table'!BX60*Rates_current!$H$32*-1</f>
        <v>0</v>
      </c>
      <c r="W58" s="199">
        <f>IF('Staging Table'!C60=1,"", SUM(O58:V58))</f>
        <v>714764.56158254808</v>
      </c>
      <c r="X58" s="199">
        <f>IF('Staging Table'!C60=1,"", (RT1SC!$C$4*'Staging Table'!BS60*'Staging Table'!$BS$2)+SUM('Staging Table'!BY60:CV60)-IF(Init!$R$12="No",'Staging Table'!DU60, 0))</f>
        <v>19930.845091349278</v>
      </c>
      <c r="Y58" s="297">
        <f>IF('Staging Table'!C60=1,"",IF(X58=0, 0, W58/X58))</f>
        <v>35.86223054298798</v>
      </c>
      <c r="Z58" s="76">
        <f ca="1">IF('Staging Table'!C60=1,"",(Y58/N58-1)+(RAND()/100000000000000))</f>
        <v>-1.2973364599785788E-2</v>
      </c>
      <c r="AA58" s="53">
        <f t="shared" ca="1" si="0"/>
        <v>81</v>
      </c>
      <c r="AC58" s="405"/>
      <c r="AD58" s="204"/>
      <c r="AE58" s="204"/>
      <c r="AG58" s="204"/>
      <c r="AH58" s="204"/>
    </row>
    <row r="59" spans="2:34">
      <c r="B59" s="123">
        <v>10170</v>
      </c>
      <c r="C59" s="124" t="s">
        <v>62</v>
      </c>
      <c r="D59" s="199">
        <f>IF(Init!$R$9="Yes",'Staging Table'!F61,'Staging Table'!BS61)*Rates_previous!$E$76*100*12</f>
        <v>39225494.986661717</v>
      </c>
      <c r="E59" s="199">
        <f>IF(Init!$R$9="Yes",'Staging Table'!F61,'Staging Table'!BS61)*Rates_previous!$E$77*100*12</f>
        <v>-6476223.3436435573</v>
      </c>
      <c r="F59" s="200">
        <f>IF(Init!$R$9="Yes",SUMPRODUCT('Staging Table'!L61:AI61,LS_Demand_Rates_Restatement!$C$4:$Z$4)-IF(Init!$R$12="No",('Staging Table'!BH61*Rates_previous!$H$34), 0),SUMPRODUCT('Staging Table'!BY61:CV61,LS_Demand_Rates_Restatement!$C$4:$Z$4)-IF(Init!$R$12="No", 'Staging Table'!DU61*Rates_previous!$H$34, 0))</f>
        <v>281446.60212855507</v>
      </c>
      <c r="G59" s="200">
        <f>IF(Init!$R$9="Yes",SUMPRODUCT('Staging Table'!AJ61:AU61,LS_Demand_Rates_Restatement!$C$10:$N$10),SUMPRODUCT(LS_Demand_Rates_Restatement!$C$10:$N$10,'Staging Table'!CW61:DH61))*1000</f>
        <v>0</v>
      </c>
      <c r="H59" s="201">
        <f>IF(Init!$R$9="Yes",'Staging Table'!BQ61,'Staging Table'!ED61)*IF(Init!$R$3=2022,Rates_previous!$C$88,Rates_previous!$D$88)</f>
        <v>0</v>
      </c>
      <c r="I59" s="199">
        <v>0</v>
      </c>
      <c r="J59" s="201">
        <f>IF(Init!$R$9="Yes",IF('Staging Table'!D61=1,'Staging Table'!H61*-1*'Staging Table'!BS61/'Staging Table'!BR61,'Staging Table'!H61*SUM(D59:I59)*(-1)),IF('Staging Table'!D61=1,'Staging Table'!BU61*-1*'Staging Table'!BS61/'Staging Table'!BR61,'Staging Table'!BU61*SUM(D59:I59)*(-1)))</f>
        <v>0</v>
      </c>
      <c r="K59" s="199">
        <f>IF(Init!$R$9="Yes",'Staging Table'!K61,'Staging Table'!BX61)*(-1)*Rates_previous!$H$32</f>
        <v>0</v>
      </c>
      <c r="L59" s="199">
        <f>IF('Staging Table'!C61=1,"",SUM(D59:K59))</f>
        <v>33030718.245146714</v>
      </c>
      <c r="M59" s="199">
        <f>IF('Staging Table'!C61=1,"",IF(Init!$R$9="Yes",(RT1SC!$C$3*'Staging Table'!F61*'Staging Table'!$F$2)+SUM('Staging Table'!L61:AI61)-IF(Init!$R$12="No",'Staging Table'!BH61, 0),X59))</f>
        <v>965228.19326862786</v>
      </c>
      <c r="N59" s="297">
        <f>IF('Staging Table'!C61=1,"",IF(M59=0, 0, L59/M59))</f>
        <v>34.220631427364552</v>
      </c>
      <c r="O59" s="199">
        <f>'Staging Table'!BS61*Rates_current!$E$76*100*12</f>
        <v>36579331.049759999</v>
      </c>
      <c r="P59" s="199">
        <f>'Staging Table'!BS61*Rates_current!$E$77*100*12</f>
        <v>-6428385.5608799998</v>
      </c>
      <c r="Q59" s="200">
        <f>SUMPRODUCT('Staging Table'!BY61:CV61, LS_Demand_Rates_Restatement!$C$5:$Z$5)-IF(Init!$R$12="No",('Staging Table'!DU61*Rates_current!$H$34), 0)</f>
        <v>837902.95613211731</v>
      </c>
      <c r="R59" s="200">
        <f>SUMPRODUCT('Staging Table'!CW61:DH61, LS_Demand_Rates_Restatement!$C$11:$N$11)*1000</f>
        <v>0</v>
      </c>
      <c r="S59" s="201">
        <f>'Staging Table'!ED61*IF(Init!$R$15="Yes",IF(Init!$R$6=2024,Rates_current!$C$88,Rates_current!$D$88),Rates_current!$H$33)</f>
        <v>0</v>
      </c>
      <c r="T59" s="201">
        <v>0</v>
      </c>
      <c r="U59" s="201">
        <f>IF('Staging Table'!D61=1, 'Staging Table'!BU61*-1*'Staging Table'!BS61/'Staging Table'!BR61,SUM(O59:T59)*'Staging Table'!BU61*-1)</f>
        <v>0</v>
      </c>
      <c r="V59" s="199">
        <f>'Staging Table'!BX61*Rates_current!$H$32*-1</f>
        <v>0</v>
      </c>
      <c r="W59" s="199">
        <f>IF('Staging Table'!C61=1,"", SUM(O59:V59))</f>
        <v>30988848.445012119</v>
      </c>
      <c r="X59" s="199">
        <f>IF('Staging Table'!C61=1,"", (RT1SC!$C$4*'Staging Table'!BS61*'Staging Table'!$BS$2)+SUM('Staging Table'!BY61:CV61)-IF(Init!$R$12="No",'Staging Table'!DU61, 0))</f>
        <v>911051.88974899997</v>
      </c>
      <c r="Y59" s="297">
        <f>IF('Staging Table'!C61=1,"",IF(X59=0, 0, W59/X59))</f>
        <v>34.014361633726182</v>
      </c>
      <c r="Z59" s="76">
        <f ca="1">IF('Staging Table'!C61=1,"",(Y59/N59-1)+(RAND()/100000000000000))</f>
        <v>-6.0276442904302046E-3</v>
      </c>
      <c r="AA59" s="53">
        <f t="shared" ca="1" si="0"/>
        <v>49</v>
      </c>
      <c r="AC59" s="405"/>
      <c r="AD59" s="204"/>
      <c r="AE59" s="204"/>
      <c r="AG59" s="204"/>
      <c r="AH59" s="204"/>
    </row>
    <row r="60" spans="2:34">
      <c r="B60" s="123">
        <v>10172</v>
      </c>
      <c r="C60" s="124" t="s">
        <v>63</v>
      </c>
      <c r="D60" s="199">
        <f>IF(Init!$R$9="Yes",'Staging Table'!F62,'Staging Table'!BS62)*Rates_previous!$E$76*100*12</f>
        <v>1947257.8501531044</v>
      </c>
      <c r="E60" s="199">
        <f>IF(Init!$R$9="Yes",'Staging Table'!F62,'Staging Table'!BS62)*Rates_previous!$E$77*100*12</f>
        <v>-321496.94349409535</v>
      </c>
      <c r="F60" s="200">
        <f>IF(Init!$R$9="Yes",SUMPRODUCT('Staging Table'!L62:AI62,LS_Demand_Rates_Restatement!$C$4:$Z$4)-IF(Init!$R$12="No",('Staging Table'!BH62*Rates_previous!$H$34), 0),SUMPRODUCT('Staging Table'!BY62:CV62,LS_Demand_Rates_Restatement!$C$4:$Z$4)-IF(Init!$R$12="No", 'Staging Table'!DU62*Rates_previous!$H$34, 0))</f>
        <v>-37899.977284570734</v>
      </c>
      <c r="G60" s="200">
        <f>IF(Init!$R$9="Yes",SUMPRODUCT('Staging Table'!AJ62:AU62,LS_Demand_Rates_Restatement!$C$10:$N$10),SUMPRODUCT(LS_Demand_Rates_Restatement!$C$10:$N$10,'Staging Table'!CW62:DH62))*1000</f>
        <v>139908.12676879452</v>
      </c>
      <c r="H60" s="201">
        <f>IF(Init!$R$9="Yes",'Staging Table'!BQ62,'Staging Table'!ED62)*IF(Init!$R$3=2022,Rates_previous!$C$88,Rates_previous!$D$88)</f>
        <v>-11276.33812950036</v>
      </c>
      <c r="I60" s="199">
        <v>0</v>
      </c>
      <c r="J60" s="201">
        <f>IF(Init!$R$9="Yes",IF('Staging Table'!D62=1,'Staging Table'!H62*-1*'Staging Table'!BS62/'Staging Table'!BR62,'Staging Table'!H62*SUM(D60:I60)*(-1)),IF('Staging Table'!D62=1,'Staging Table'!BU62*-1*'Staging Table'!BS62/'Staging Table'!BR62,'Staging Table'!BU62*SUM(D60:I60)*(-1)))</f>
        <v>0</v>
      </c>
      <c r="K60" s="199">
        <f>IF(Init!$R$9="Yes",'Staging Table'!K62,'Staging Table'!BX62)*(-1)*Rates_previous!$H$32</f>
        <v>0</v>
      </c>
      <c r="L60" s="199">
        <f>IF('Staging Table'!C62=1,"",SUM(D60:K60))</f>
        <v>1716492.7180137325</v>
      </c>
      <c r="M60" s="199">
        <f>IF('Staging Table'!C62=1,"",IF(Init!$R$9="Yes",(RT1SC!$C$3*'Staging Table'!F62*'Staging Table'!$F$2)+SUM('Staging Table'!L62:AI62)-IF(Init!$R$12="No",'Staging Table'!BH62, 0),X60))</f>
        <v>46316.438451137707</v>
      </c>
      <c r="N60" s="297">
        <f>IF('Staging Table'!C62=1,"",IF(M60=0, 0, L60/M60))</f>
        <v>37.060118942966113</v>
      </c>
      <c r="O60" s="199">
        <f>'Staging Table'!BS62*Rates_current!$E$76*100*12</f>
        <v>1859632.4268</v>
      </c>
      <c r="P60" s="199">
        <f>'Staging Table'!BS62*Rates_current!$E$77*100*12</f>
        <v>-326808.44339999999</v>
      </c>
      <c r="Q60" s="200">
        <f>SUMPRODUCT('Staging Table'!BY62:CV62, LS_Demand_Rates_Restatement!$C$5:$Z$5)-IF(Init!$R$12="No",('Staging Table'!DU62*Rates_current!$H$34), 0)</f>
        <v>38393.470435758034</v>
      </c>
      <c r="R60" s="200">
        <f>SUMPRODUCT('Staging Table'!CW62:DH62, LS_Demand_Rates_Restatement!$C$11:$N$11)*1000</f>
        <v>137232.96968856838</v>
      </c>
      <c r="S60" s="201">
        <f>'Staging Table'!ED62*IF(Init!$R$15="Yes",IF(Init!$R$6=2024,Rates_current!$C$88,Rates_current!$D$88),Rates_current!$H$33)</f>
        <v>10.739651190077712</v>
      </c>
      <c r="T60" s="201">
        <v>0</v>
      </c>
      <c r="U60" s="201">
        <f>IF('Staging Table'!D62=1, 'Staging Table'!BU62*-1*'Staging Table'!BS62/'Staging Table'!BR62,SUM(O60:T60)*'Staging Table'!BU62*-1)</f>
        <v>0</v>
      </c>
      <c r="V60" s="199">
        <f>'Staging Table'!BX62*Rates_current!$H$32*-1</f>
        <v>0</v>
      </c>
      <c r="W60" s="199">
        <f>IF('Staging Table'!C62=1,"", SUM(O60:V60))</f>
        <v>1708461.1631755168</v>
      </c>
      <c r="X60" s="199">
        <f>IF('Staging Table'!C62=1,"", (RT1SC!$C$4*'Staging Table'!BS62*'Staging Table'!$BS$2)+SUM('Staging Table'!BY62:CV62)-IF(Init!$R$12="No",'Staging Table'!DU62, 0))</f>
        <v>46316.436212304594</v>
      </c>
      <c r="Y60" s="297">
        <f>IF('Staging Table'!C62=1,"",IF(X60=0, 0, W60/X60))</f>
        <v>36.886714585386009</v>
      </c>
      <c r="Z60" s="76">
        <f ca="1">IF('Staging Table'!C62=1,"",(Y60/N60-1)+(RAND()/100000000000000))</f>
        <v>-4.6790016472095276E-3</v>
      </c>
      <c r="AA60" s="53">
        <f t="shared" ca="1" si="0"/>
        <v>41</v>
      </c>
      <c r="AC60" s="405"/>
      <c r="AD60" s="204"/>
      <c r="AE60" s="204"/>
      <c r="AG60" s="204"/>
      <c r="AH60" s="204"/>
    </row>
    <row r="61" spans="2:34">
      <c r="B61" s="123">
        <v>10173</v>
      </c>
      <c r="C61" s="124" t="s">
        <v>64</v>
      </c>
      <c r="D61" s="199">
        <f>IF(Init!$R$9="Yes",'Staging Table'!F63,'Staging Table'!BS63)*Rates_previous!$E$76*100*12</f>
        <v>11250450.096315607</v>
      </c>
      <c r="E61" s="199">
        <f>IF(Init!$R$9="Yes",'Staging Table'!F63,'Staging Table'!BS63)*Rates_previous!$E$77*100*12</f>
        <v>-1857476.3062908857</v>
      </c>
      <c r="F61" s="200">
        <f>IF(Init!$R$9="Yes",SUMPRODUCT('Staging Table'!L63:AI63,LS_Demand_Rates_Restatement!$C$4:$Z$4)-IF(Init!$R$12="No",('Staging Table'!BH63*Rates_previous!$H$34), 0),SUMPRODUCT('Staging Table'!BY63:CV63,LS_Demand_Rates_Restatement!$C$4:$Z$4)-IF(Init!$R$12="No", 'Staging Table'!DU63*Rates_previous!$H$34, 0))</f>
        <v>0</v>
      </c>
      <c r="G61" s="200">
        <f>IF(Init!$R$9="Yes",SUMPRODUCT('Staging Table'!AJ63:AU63,LS_Demand_Rates_Restatement!$C$10:$N$10),SUMPRODUCT(LS_Demand_Rates_Restatement!$C$10:$N$10,'Staging Table'!CW63:DH63))*1000</f>
        <v>0</v>
      </c>
      <c r="H61" s="201">
        <f>IF(Init!$R$9="Yes",'Staging Table'!BQ63,'Staging Table'!ED63)*IF(Init!$R$3=2022,Rates_previous!$C$88,Rates_previous!$D$88)</f>
        <v>0</v>
      </c>
      <c r="I61" s="199">
        <v>0</v>
      </c>
      <c r="J61" s="201">
        <f>IF(Init!$R$9="Yes",IF('Staging Table'!D63=1,'Staging Table'!H63*-1*'Staging Table'!BS63/'Staging Table'!BR63,'Staging Table'!H63*SUM(D61:I61)*(-1)),IF('Staging Table'!D63=1,'Staging Table'!BU63*-1*'Staging Table'!BS63/'Staging Table'!BR63,'Staging Table'!BU63*SUM(D61:I61)*(-1)))</f>
        <v>-796805.96660779719</v>
      </c>
      <c r="K61" s="199">
        <f>IF(Init!$R$9="Yes",'Staging Table'!K63,'Staging Table'!BX63)*(-1)*Rates_previous!$H$32</f>
        <v>-482978.95640000002</v>
      </c>
      <c r="L61" s="199" t="str">
        <f>IF('Staging Table'!C63=1,"",SUM(D61:K61))</f>
        <v/>
      </c>
      <c r="M61" s="199" t="str">
        <f>IF('Staging Table'!C63=1,"",IF(Init!$R$9="Yes",(RT1SC!$C$3*'Staging Table'!F63*'Staging Table'!$F$2)+SUM('Staging Table'!L63:AI63)-IF(Init!$R$12="No",'Staging Table'!BH63, 0),X61))</f>
        <v/>
      </c>
      <c r="N61" s="297" t="str">
        <f>IF('Staging Table'!C63=1,"",IF(M61=0, 0, L61/M61))</f>
        <v/>
      </c>
      <c r="O61" s="199">
        <f>'Staging Table'!BS63*Rates_current!$E$76*100*12</f>
        <v>11684420.542079998</v>
      </c>
      <c r="P61" s="199">
        <f>'Staging Table'!BS63*Rates_current!$E$77*100*12</f>
        <v>-2053398.9590399999</v>
      </c>
      <c r="Q61" s="200">
        <f>SUMPRODUCT('Staging Table'!BY63:CV63, LS_Demand_Rates_Restatement!$C$5:$Z$5)-IF(Init!$R$12="No",('Staging Table'!DU63*Rates_current!$H$34), 0)</f>
        <v>0</v>
      </c>
      <c r="R61" s="200">
        <f>SUMPRODUCT('Staging Table'!CW63:DH63, LS_Demand_Rates_Restatement!$C$11:$N$11)*1000</f>
        <v>0</v>
      </c>
      <c r="S61" s="201">
        <f>'Staging Table'!ED63*IF(Init!$R$15="Yes",IF(Init!$R$6=2024,Rates_current!$C$88,Rates_current!$D$88),Rates_current!$H$33)</f>
        <v>0</v>
      </c>
      <c r="T61" s="201">
        <v>0</v>
      </c>
      <c r="U61" s="201">
        <f>IF('Staging Table'!D63=1, 'Staging Table'!BU63*-1*'Staging Table'!BS63/'Staging Table'!BR63,SUM(O61:T61)*'Staging Table'!BU63*-1)</f>
        <v>-816473.99723338266</v>
      </c>
      <c r="V61" s="199">
        <f>'Staging Table'!BX63*Rates_current!$H$32*-1</f>
        <v>-512666.65372</v>
      </c>
      <c r="W61" s="199" t="str">
        <f>IF('Staging Table'!C63=1,"", SUM(O61:V61))</f>
        <v/>
      </c>
      <c r="X61" s="199" t="str">
        <f>IF('Staging Table'!C63=1,"", (RT1SC!$C$4*'Staging Table'!BS63*'Staging Table'!$BS$2)+SUM('Staging Table'!BY63:CV63)-IF(Init!$R$12="No",'Staging Table'!DU63, 0))</f>
        <v/>
      </c>
      <c r="Y61" s="297" t="str">
        <f>IF('Staging Table'!C63=1,"",IF(X61=0, 0, W61/X61))</f>
        <v/>
      </c>
      <c r="Z61" s="76" t="str">
        <f ca="1">IF('Staging Table'!C63=1,"",(Y61/N61-1)+(RAND()/100000000000000))</f>
        <v/>
      </c>
      <c r="AA61" s="53" t="str">
        <f t="shared" ca="1" si="0"/>
        <v/>
      </c>
      <c r="AC61" s="405"/>
      <c r="AD61" s="204"/>
      <c r="AE61" s="204"/>
      <c r="AG61" s="204"/>
      <c r="AH61" s="204"/>
    </row>
    <row r="62" spans="2:34">
      <c r="B62" s="123">
        <v>10174</v>
      </c>
      <c r="C62" s="124" t="s">
        <v>65</v>
      </c>
      <c r="D62" s="199">
        <f>IF(Init!$R$9="Yes",'Staging Table'!F64,'Staging Table'!BS64)*Rates_previous!$E$76*100*12</f>
        <v>172183.63748890749</v>
      </c>
      <c r="E62" s="199">
        <f>IF(Init!$R$9="Yes",'Staging Table'!F64,'Staging Table'!BS64)*Rates_previous!$E$77*100*12</f>
        <v>-28427.931703049318</v>
      </c>
      <c r="F62" s="200">
        <f>IF(Init!$R$9="Yes",SUMPRODUCT('Staging Table'!L64:AI64,LS_Demand_Rates_Restatement!$C$4:$Z$4)-IF(Init!$R$12="No",('Staging Table'!BH64*Rates_previous!$H$34), 0),SUMPRODUCT('Staging Table'!BY64:CV64,LS_Demand_Rates_Restatement!$C$4:$Z$4)-IF(Init!$R$12="No", 'Staging Table'!DU64*Rates_previous!$H$34, 0))</f>
        <v>2479.6218749120699</v>
      </c>
      <c r="G62" s="200">
        <f>IF(Init!$R$9="Yes",SUMPRODUCT('Staging Table'!AJ64:AU64,LS_Demand_Rates_Restatement!$C$10:$N$10),SUMPRODUCT(LS_Demand_Rates_Restatement!$C$10:$N$10,'Staging Table'!CW64:DH64))*1000</f>
        <v>5239.6362990829748</v>
      </c>
      <c r="H62" s="201">
        <f>IF(Init!$R$9="Yes",'Staging Table'!BQ64,'Staging Table'!ED64)*IF(Init!$R$3=2022,Rates_previous!$C$88,Rates_previous!$D$88)</f>
        <v>0</v>
      </c>
      <c r="I62" s="199">
        <v>0</v>
      </c>
      <c r="J62" s="201">
        <f>IF(Init!$R$9="Yes",IF('Staging Table'!D64=1,'Staging Table'!H64*-1*'Staging Table'!BS64/'Staging Table'!BR64,'Staging Table'!H64*SUM(D62:I62)*(-1)),IF('Staging Table'!D64=1,'Staging Table'!BU64*-1*'Staging Table'!BS64/'Staging Table'!BR64,'Staging Table'!BU64*SUM(D62:I62)*(-1)))</f>
        <v>0</v>
      </c>
      <c r="K62" s="199">
        <f>IF(Init!$R$9="Yes",'Staging Table'!K64,'Staging Table'!BX64)*(-1)*Rates_previous!$H$32</f>
        <v>0</v>
      </c>
      <c r="L62" s="199">
        <f>IF('Staging Table'!C64=1,"",SUM(D62:K62))</f>
        <v>151474.96395985322</v>
      </c>
      <c r="M62" s="199">
        <f>IF('Staging Table'!C64=1,"",IF(Init!$R$9="Yes",(RT1SC!$C$3*'Staging Table'!F64*'Staging Table'!$F$2)+SUM('Staging Table'!L64:AI64)-IF(Init!$R$12="No",'Staging Table'!BH64, 0),X62))</f>
        <v>4239.84</v>
      </c>
      <c r="N62" s="297">
        <f>IF('Staging Table'!C64=1,"",IF(M62=0, 0, L62/M62))</f>
        <v>35.726575521683181</v>
      </c>
      <c r="O62" s="199">
        <f>'Staging Table'!BS64*Rates_current!$E$76*100*12</f>
        <v>174877.69104000001</v>
      </c>
      <c r="P62" s="199">
        <f>'Staging Table'!BS64*Rates_current!$E$77*100*12</f>
        <v>-30732.68952</v>
      </c>
      <c r="Q62" s="200">
        <f>SUMPRODUCT('Staging Table'!BY64:CV64, LS_Demand_Rates_Restatement!$C$5:$Z$5)-IF(Init!$R$12="No",('Staging Table'!DU64*Rates_current!$H$34), 0)</f>
        <v>4765.9165786673993</v>
      </c>
      <c r="R62" s="200">
        <f>SUMPRODUCT('Staging Table'!CW64:DH64, LS_Demand_Rates_Restatement!$C$11:$N$11)*1000</f>
        <v>5423.8762712606795</v>
      </c>
      <c r="S62" s="201">
        <f>'Staging Table'!ED64*IF(Init!$R$15="Yes",IF(Init!$R$6=2024,Rates_current!$C$88,Rates_current!$D$88),Rates_current!$H$33)</f>
        <v>13.554085636356641</v>
      </c>
      <c r="T62" s="201">
        <v>0</v>
      </c>
      <c r="U62" s="201">
        <f>IF('Staging Table'!D64=1, 'Staging Table'!BU64*-1*'Staging Table'!BS64/'Staging Table'!BR64,SUM(O62:T62)*'Staging Table'!BU64*-1)</f>
        <v>0</v>
      </c>
      <c r="V62" s="199">
        <f>'Staging Table'!BX64*Rates_current!$H$32*-1</f>
        <v>0</v>
      </c>
      <c r="W62" s="199">
        <f>IF('Staging Table'!C64=1,"", SUM(O62:V62))</f>
        <v>154348.34845556444</v>
      </c>
      <c r="X62" s="199">
        <f>IF('Staging Table'!C64=1,"", (RT1SC!$C$4*'Staging Table'!BS64*'Staging Table'!$BS$2)+SUM('Staging Table'!BY64:CV64)-IF(Init!$R$12="No",'Staging Table'!DU64, 0))</f>
        <v>4354.8500199648797</v>
      </c>
      <c r="Y62" s="297">
        <f>IF('Staging Table'!C64=1,"",IF(X62=0, 0, W62/X62))</f>
        <v>35.442862038405906</v>
      </c>
      <c r="Z62" s="76">
        <f ca="1">IF('Staging Table'!C64=1,"",(Y62/N62-1)+(RAND()/100000000000000))</f>
        <v>-7.9412448334121102E-3</v>
      </c>
      <c r="AA62" s="53">
        <f t="shared" ca="1" si="0"/>
        <v>61</v>
      </c>
      <c r="AC62" s="405"/>
      <c r="AD62" s="204"/>
      <c r="AE62" s="204"/>
      <c r="AG62" s="204"/>
      <c r="AH62" s="204"/>
    </row>
    <row r="63" spans="2:34">
      <c r="B63" s="123">
        <v>10177</v>
      </c>
      <c r="C63" s="124" t="s">
        <v>66</v>
      </c>
      <c r="D63" s="199">
        <f>IF(Init!$R$9="Yes",'Staging Table'!F65,'Staging Table'!BS65)*Rates_previous!$E$76*100*12</f>
        <v>3170768.8786606342</v>
      </c>
      <c r="E63" s="199">
        <f>IF(Init!$R$9="Yes",'Staging Table'!F65,'Staging Table'!BS65)*Rates_previous!$E$77*100*12</f>
        <v>-523501.55010824249</v>
      </c>
      <c r="F63" s="200">
        <f>IF(Init!$R$9="Yes",SUMPRODUCT('Staging Table'!L65:AI65,LS_Demand_Rates_Restatement!$C$4:$Z$4)-IF(Init!$R$12="No",('Staging Table'!BH65*Rates_previous!$H$34), 0),SUMPRODUCT('Staging Table'!BY65:CV65,LS_Demand_Rates_Restatement!$C$4:$Z$4)-IF(Init!$R$12="No", 'Staging Table'!DU65*Rates_previous!$H$34, 0))</f>
        <v>-3732.649817698586</v>
      </c>
      <c r="G63" s="200">
        <f>IF(Init!$R$9="Yes",SUMPRODUCT('Staging Table'!AJ65:AU65,LS_Demand_Rates_Restatement!$C$10:$N$10),SUMPRODUCT(LS_Demand_Rates_Restatement!$C$10:$N$10,'Staging Table'!CW65:DH65))*1000</f>
        <v>75465.5814631588</v>
      </c>
      <c r="H63" s="201">
        <f>IF(Init!$R$9="Yes",'Staging Table'!BQ65,'Staging Table'!ED65)*IF(Init!$R$3=2022,Rates_previous!$C$88,Rates_previous!$D$88)</f>
        <v>-13956.860643266573</v>
      </c>
      <c r="I63" s="199">
        <v>0</v>
      </c>
      <c r="J63" s="201">
        <f>IF(Init!$R$9="Yes",IF('Staging Table'!D65=1,'Staging Table'!H65*-1*'Staging Table'!BS65/'Staging Table'!BR65,'Staging Table'!H65*SUM(D63:I63)*(-1)),IF('Staging Table'!D65=1,'Staging Table'!BU65*-1*'Staging Table'!BS65/'Staging Table'!BR65,'Staging Table'!BU65*SUM(D63:I63)*(-1)))</f>
        <v>-189353.03796882098</v>
      </c>
      <c r="K63" s="199">
        <f>IF(Init!$R$9="Yes",'Staging Table'!K65,'Staging Table'!BX65)*(-1)*Rates_previous!$H$32</f>
        <v>0</v>
      </c>
      <c r="L63" s="199">
        <f>IF('Staging Table'!C65=1,"",SUM(D63:K63))</f>
        <v>2515690.3615857642</v>
      </c>
      <c r="M63" s="199">
        <f>IF('Staging Table'!C65=1,"",IF(Init!$R$9="Yes",(RT1SC!$C$3*'Staging Table'!F65*'Staging Table'!$F$2)+SUM('Staging Table'!L65:AI65)-IF(Init!$R$12="No",'Staging Table'!BH65, 0),X63))</f>
        <v>76044.037991249133</v>
      </c>
      <c r="N63" s="297">
        <f>IF('Staging Table'!C65=1,"",IF(M63=0, 0, L63/M63))</f>
        <v>33.082019682795654</v>
      </c>
      <c r="O63" s="199">
        <f>'Staging Table'!BS65*Rates_current!$E$76*100*12</f>
        <v>3053135.30112</v>
      </c>
      <c r="P63" s="199">
        <f>'Staging Table'!BS65*Rates_current!$E$77*100*12</f>
        <v>-536552.48256000003</v>
      </c>
      <c r="Q63" s="200">
        <f>SUMPRODUCT('Staging Table'!BY65:CV65, LS_Demand_Rates_Restatement!$C$5:$Z$5)-IF(Init!$R$12="No",('Staging Table'!DU65*Rates_current!$H$34), 0)</f>
        <v>90671.70460106495</v>
      </c>
      <c r="R63" s="200">
        <f>SUMPRODUCT('Staging Table'!CW65:DH65, LS_Demand_Rates_Restatement!$C$11:$N$11)*1000</f>
        <v>85564.236218696518</v>
      </c>
      <c r="S63" s="201">
        <f>'Staging Table'!ED65*IF(Init!$R$15="Yes",IF(Init!$R$6=2024,Rates_current!$C$88,Rates_current!$D$88),Rates_current!$H$33)</f>
        <v>-6.3689258130046076</v>
      </c>
      <c r="T63" s="201">
        <v>0</v>
      </c>
      <c r="U63" s="201">
        <f>IF('Staging Table'!D65=1, 'Staging Table'!BU65*-1*'Staging Table'!BS65/'Staging Table'!BR65,SUM(O63:T63)*'Staging Table'!BU65*-1)</f>
        <v>-188496.86733177639</v>
      </c>
      <c r="V63" s="199">
        <f>'Staging Table'!BX65*Rates_current!$H$32*-1</f>
        <v>0</v>
      </c>
      <c r="W63" s="199">
        <f>IF('Staging Table'!C65=1,"", SUM(O63:V63))</f>
        <v>2504315.5231221719</v>
      </c>
      <c r="X63" s="199">
        <f>IF('Staging Table'!C65=1,"", (RT1SC!$C$4*'Staging Table'!BS65*'Staging Table'!$BS$2)+SUM('Staging Table'!BY65:CV65)-IF(Init!$R$12="No",'Staging Table'!DU65, 0))</f>
        <v>76044.034348560628</v>
      </c>
      <c r="Y63" s="297">
        <f>IF('Staging Table'!C65=1,"",IF(X63=0, 0, W63/X63))</f>
        <v>32.932439008209641</v>
      </c>
      <c r="Z63" s="76">
        <f ca="1">IF('Staging Table'!C65=1,"",(Y63/N63-1)+(RAND()/100000000000000))</f>
        <v>-4.5215097512202734E-3</v>
      </c>
      <c r="AA63" s="53">
        <f t="shared" ca="1" si="0"/>
        <v>40</v>
      </c>
      <c r="AC63" s="405"/>
      <c r="AD63" s="204"/>
      <c r="AE63" s="204"/>
      <c r="AG63" s="204"/>
      <c r="AH63" s="204"/>
    </row>
    <row r="64" spans="2:34">
      <c r="B64" s="123">
        <v>10179</v>
      </c>
      <c r="C64" s="124" t="s">
        <v>67</v>
      </c>
      <c r="D64" s="199">
        <f>IF(Init!$R$9="Yes",'Staging Table'!F66,'Staging Table'!BS66)*Rates_previous!$E$76*100*12</f>
        <v>56649855.594330966</v>
      </c>
      <c r="E64" s="199">
        <f>IF(Init!$R$9="Yes",'Staging Table'!F66,'Staging Table'!BS66)*Rates_previous!$E$77*100*12</f>
        <v>-9353027.0896210782</v>
      </c>
      <c r="F64" s="200">
        <f>IF(Init!$R$9="Yes",SUMPRODUCT('Staging Table'!L66:AI66,LS_Demand_Rates_Restatement!$C$4:$Z$4)-IF(Init!$R$12="No",('Staging Table'!BH66*Rates_previous!$H$34), 0),SUMPRODUCT('Staging Table'!BY66:CV66,LS_Demand_Rates_Restatement!$C$4:$Z$4)-IF(Init!$R$12="No", 'Staging Table'!DU66*Rates_previous!$H$34, 0))</f>
        <v>0</v>
      </c>
      <c r="G64" s="200">
        <f>IF(Init!$R$9="Yes",SUMPRODUCT('Staging Table'!AJ66:AU66,LS_Demand_Rates_Restatement!$C$10:$N$10),SUMPRODUCT(LS_Demand_Rates_Restatement!$C$10:$N$10,'Staging Table'!CW66:DH66))*1000</f>
        <v>0</v>
      </c>
      <c r="H64" s="201">
        <f>IF(Init!$R$9="Yes",'Staging Table'!BQ66,'Staging Table'!ED66)*IF(Init!$R$3=2022,Rates_previous!$C$88,Rates_previous!$D$88)</f>
        <v>0</v>
      </c>
      <c r="I64" s="199">
        <v>0</v>
      </c>
      <c r="J64" s="201">
        <f>IF(Init!$R$9="Yes",IF('Staging Table'!D66=1,'Staging Table'!H66*-1*'Staging Table'!BS66/'Staging Table'!BR66,'Staging Table'!H66*SUM(D64:I64)*(-1)),IF('Staging Table'!D66=1,'Staging Table'!BU66*-1*'Staging Table'!BS66/'Staging Table'!BR66,'Staging Table'!BU66*SUM(D64:I64)*(-1)))</f>
        <v>0</v>
      </c>
      <c r="K64" s="199">
        <f>IF(Init!$R$9="Yes",'Staging Table'!K66,'Staging Table'!BX66)*(-1)*Rates_previous!$H$32</f>
        <v>0</v>
      </c>
      <c r="L64" s="199" t="str">
        <f>IF('Staging Table'!C66=1,"",SUM(D64:K64))</f>
        <v/>
      </c>
      <c r="M64" s="199" t="str">
        <f>IF('Staging Table'!C66=1,"",IF(Init!$R$9="Yes",(RT1SC!$C$3*'Staging Table'!F66*'Staging Table'!$F$2)+SUM('Staging Table'!L66:AI66)-IF(Init!$R$12="No",'Staging Table'!BH66, 0),X64))</f>
        <v/>
      </c>
      <c r="N64" s="297" t="str">
        <f>IF('Staging Table'!C66=1,"",IF(M64=0, 0, L64/M64))</f>
        <v/>
      </c>
      <c r="O64" s="199">
        <f>'Staging Table'!BS66*Rates_current!$E$76*100*12</f>
        <v>58835382.040080003</v>
      </c>
      <c r="P64" s="199">
        <f>'Staging Table'!BS66*Rates_current!$E$77*100*12</f>
        <v>-10339623.75804</v>
      </c>
      <c r="Q64" s="200">
        <f>SUMPRODUCT('Staging Table'!BY66:CV66, LS_Demand_Rates_Restatement!$C$5:$Z$5)-IF(Init!$R$12="No",('Staging Table'!DU66*Rates_current!$H$34), 0)</f>
        <v>0</v>
      </c>
      <c r="R64" s="200">
        <f>SUMPRODUCT('Staging Table'!CW66:DH66, LS_Demand_Rates_Restatement!$C$11:$N$11)*1000</f>
        <v>0</v>
      </c>
      <c r="S64" s="201">
        <f>'Staging Table'!ED66*IF(Init!$R$15="Yes",IF(Init!$R$6=2024,Rates_current!$C$88,Rates_current!$D$88),Rates_current!$H$33)</f>
        <v>0</v>
      </c>
      <c r="T64" s="201">
        <v>0</v>
      </c>
      <c r="U64" s="201">
        <f>IF('Staging Table'!D66=1, 'Staging Table'!BU66*-1*'Staging Table'!BS66/'Staging Table'!BR66,SUM(O64:T64)*'Staging Table'!BU66*-1)</f>
        <v>0</v>
      </c>
      <c r="V64" s="199">
        <f>'Staging Table'!BX66*Rates_current!$H$32*-1</f>
        <v>0</v>
      </c>
      <c r="W64" s="199" t="str">
        <f>IF('Staging Table'!C66=1,"", SUM(O64:V64))</f>
        <v/>
      </c>
      <c r="X64" s="199" t="str">
        <f>IF('Staging Table'!C66=1,"", (RT1SC!$C$4*'Staging Table'!BS66*'Staging Table'!$BS$2)+SUM('Staging Table'!BY66:CV66)-IF(Init!$R$12="No",'Staging Table'!DU66, 0))</f>
        <v/>
      </c>
      <c r="Y64" s="297" t="str">
        <f>IF('Staging Table'!C66=1,"",IF(X64=0, 0, W64/X64))</f>
        <v/>
      </c>
      <c r="Z64" s="76" t="str">
        <f ca="1">IF('Staging Table'!C66=1,"",(Y64/N64-1)+(RAND()/100000000000000))</f>
        <v/>
      </c>
      <c r="AA64" s="53" t="str">
        <f t="shared" ca="1" si="0"/>
        <v/>
      </c>
      <c r="AC64" s="405"/>
      <c r="AD64" s="204"/>
      <c r="AE64" s="204"/>
      <c r="AG64" s="204"/>
      <c r="AH64" s="204"/>
    </row>
    <row r="65" spans="2:34">
      <c r="B65" s="123">
        <v>10183</v>
      </c>
      <c r="C65" s="124" t="s">
        <v>68</v>
      </c>
      <c r="D65" s="199">
        <f>IF(Init!$R$9="Yes",'Staging Table'!F67,'Staging Table'!BS67)*Rates_previous!$E$76*100*12</f>
        <v>21170673.678493369</v>
      </c>
      <c r="E65" s="199">
        <f>IF(Init!$R$9="Yes",'Staging Table'!F67,'Staging Table'!BS67)*Rates_previous!$E$77*100*12</f>
        <v>-3495329.0232268749</v>
      </c>
      <c r="F65" s="200">
        <f>IF(Init!$R$9="Yes",SUMPRODUCT('Staging Table'!L67:AI67,LS_Demand_Rates_Restatement!$C$4:$Z$4)-IF(Init!$R$12="No",('Staging Table'!BH67*Rates_previous!$H$34), 0),SUMPRODUCT('Staging Table'!BY67:CV67,LS_Demand_Rates_Restatement!$C$4:$Z$4)-IF(Init!$R$12="No", 'Staging Table'!DU67*Rates_previous!$H$34, 0))</f>
        <v>-137551.7344772483</v>
      </c>
      <c r="G65" s="200">
        <f>IF(Init!$R$9="Yes",SUMPRODUCT('Staging Table'!AJ67:AU67,LS_Demand_Rates_Restatement!$C$10:$N$10),SUMPRODUCT(LS_Demand_Rates_Restatement!$C$10:$N$10,'Staging Table'!CW67:DH67))*1000</f>
        <v>0</v>
      </c>
      <c r="H65" s="201">
        <f>IF(Init!$R$9="Yes",'Staging Table'!BQ67,'Staging Table'!ED67)*IF(Init!$R$3=2022,Rates_previous!$C$88,Rates_previous!$D$88)</f>
        <v>0</v>
      </c>
      <c r="I65" s="199">
        <v>0</v>
      </c>
      <c r="J65" s="201">
        <f>IF(Init!$R$9="Yes",IF('Staging Table'!D67=1,'Staging Table'!H67*-1*'Staging Table'!BS67/'Staging Table'!BR67,'Staging Table'!H67*SUM(D65:I65)*(-1)),IF('Staging Table'!D67=1,'Staging Table'!BU67*-1*'Staging Table'!BS67/'Staging Table'!BR67,'Staging Table'!BU67*SUM(D65:I65)*(-1)))</f>
        <v>0</v>
      </c>
      <c r="K65" s="199">
        <f>IF(Init!$R$9="Yes",'Staging Table'!K67,'Staging Table'!BX67)*(-1)*Rates_previous!$H$32</f>
        <v>-1029038.9923</v>
      </c>
      <c r="L65" s="199">
        <f>IF('Staging Table'!C67=1,"",SUM(D65:K65))</f>
        <v>16508753.928489245</v>
      </c>
      <c r="M65" s="199">
        <f>IF('Staging Table'!C67=1,"",IF(Init!$R$9="Yes",(RT1SC!$C$3*'Staging Table'!F67*'Staging Table'!$F$2)+SUM('Staging Table'!L67:AI67)-IF(Init!$R$12="No",'Staging Table'!BH67, 0),X65))</f>
        <v>520949.6427114135</v>
      </c>
      <c r="N65" s="297">
        <f>IF('Staging Table'!C67=1,"",IF(M65=0, 0, L65/M65))</f>
        <v>31.689730781972095</v>
      </c>
      <c r="O65" s="199">
        <f>'Staging Table'!BS67*Rates_current!$E$76*100*12</f>
        <v>21987008.388719998</v>
      </c>
      <c r="P65" s="199">
        <f>'Staging Table'!BS67*Rates_current!$E$77*100*12</f>
        <v>-3863957.1363599999</v>
      </c>
      <c r="Q65" s="200">
        <f>SUMPRODUCT('Staging Table'!BY67:CV67, LS_Demand_Rates_Restatement!$C$5:$Z$5)-IF(Init!$R$12="No",('Staging Table'!DU67*Rates_current!$H$34), 0)</f>
        <v>373763.27958553639</v>
      </c>
      <c r="R65" s="200">
        <f>SUMPRODUCT('Staging Table'!CW67:DH67, LS_Demand_Rates_Restatement!$C$11:$N$11)*1000</f>
        <v>0</v>
      </c>
      <c r="S65" s="201">
        <f>'Staging Table'!ED67*IF(Init!$R$15="Yes",IF(Init!$R$6=2024,Rates_current!$C$88,Rates_current!$D$88),Rates_current!$H$33)</f>
        <v>0</v>
      </c>
      <c r="T65" s="201">
        <v>0</v>
      </c>
      <c r="U65" s="201">
        <f>IF('Staging Table'!D67=1, 'Staging Table'!BU67*-1*'Staging Table'!BS67/'Staging Table'!BR67,SUM(O65:T65)*'Staging Table'!BU67*-1)</f>
        <v>0</v>
      </c>
      <c r="V65" s="199">
        <f>'Staging Table'!BX67*Rates_current!$H$32*-1</f>
        <v>-1092291.84779</v>
      </c>
      <c r="W65" s="199">
        <f>IF('Staging Table'!C67=1,"", SUM(O65:V65))</f>
        <v>17404522.684155535</v>
      </c>
      <c r="X65" s="199">
        <f>IF('Staging Table'!C67=1,"", (RT1SC!$C$4*'Staging Table'!BS67*'Staging Table'!$BS$2)+SUM('Staging Table'!BY67:CV67)-IF(Init!$R$12="No",'Staging Table'!DU67, 0))</f>
        <v>547614.05966807751</v>
      </c>
      <c r="Y65" s="297">
        <f>IF('Staging Table'!C67=1,"",IF(X65=0, 0, W65/X65))</f>
        <v>31.782461346417673</v>
      </c>
      <c r="Z65" s="76">
        <f ca="1">IF('Staging Table'!C67=1,"",(Y65/N65-1)+(RAND()/100000000000000))</f>
        <v>2.926202342446972E-3</v>
      </c>
      <c r="AA65" s="53">
        <f t="shared" ca="1" si="0"/>
        <v>27</v>
      </c>
      <c r="AC65" s="405"/>
      <c r="AD65" s="204"/>
      <c r="AE65" s="204"/>
      <c r="AG65" s="204"/>
      <c r="AH65" s="204"/>
    </row>
    <row r="66" spans="2:34">
      <c r="B66" s="123">
        <v>10186</v>
      </c>
      <c r="C66" s="124" t="s">
        <v>69</v>
      </c>
      <c r="D66" s="199">
        <f>IF(Init!$R$9="Yes",'Staging Table'!F68,'Staging Table'!BS68)*Rates_previous!$E$76*100*12</f>
        <v>6461922.4175154632</v>
      </c>
      <c r="E66" s="199">
        <f>IF(Init!$R$9="Yes",'Staging Table'!F68,'Staging Table'!BS68)*Rates_previous!$E$77*100*12</f>
        <v>-1066878.8964768343</v>
      </c>
      <c r="F66" s="200">
        <f>IF(Init!$R$9="Yes",SUMPRODUCT('Staging Table'!L68:AI68,LS_Demand_Rates_Restatement!$C$4:$Z$4)-IF(Init!$R$12="No",('Staging Table'!BH68*Rates_previous!$H$34), 0),SUMPRODUCT('Staging Table'!BY68:CV68,LS_Demand_Rates_Restatement!$C$4:$Z$4)-IF(Init!$R$12="No", 'Staging Table'!DU68*Rates_previous!$H$34, 0))</f>
        <v>-66148.100110813379</v>
      </c>
      <c r="G66" s="200">
        <f>IF(Init!$R$9="Yes",SUMPRODUCT('Staging Table'!AJ68:AU68,LS_Demand_Rates_Restatement!$C$10:$N$10),SUMPRODUCT(LS_Demand_Rates_Restatement!$C$10:$N$10,'Staging Table'!CW68:DH68))*1000</f>
        <v>307984.13907045947</v>
      </c>
      <c r="H66" s="201">
        <f>IF(Init!$R$9="Yes",'Staging Table'!BQ68,'Staging Table'!ED68)*IF(Init!$R$3=2022,Rates_previous!$C$88,Rates_previous!$D$88)</f>
        <v>-28173.32596070386</v>
      </c>
      <c r="I66" s="199">
        <v>0</v>
      </c>
      <c r="J66" s="201">
        <f>IF(Init!$R$9="Yes",IF('Staging Table'!D68=1,'Staging Table'!H68*-1*'Staging Table'!BS68/'Staging Table'!BR68,'Staging Table'!H68*SUM(D66:I66)*(-1)),IF('Staging Table'!D68=1,'Staging Table'!BU68*-1*'Staging Table'!BS68/'Staging Table'!BR68,'Staging Table'!BU68*SUM(D66:I66)*(-1)))</f>
        <v>-392609.43638263003</v>
      </c>
      <c r="K66" s="199">
        <f>IF(Init!$R$9="Yes",'Staging Table'!K68,'Staging Table'!BX68)*(-1)*Rates_previous!$H$32</f>
        <v>0</v>
      </c>
      <c r="L66" s="199">
        <f>IF('Staging Table'!C68=1,"",SUM(D66:K66))</f>
        <v>5216096.7976549417</v>
      </c>
      <c r="M66" s="199">
        <f>IF('Staging Table'!C68=1,"",IF(Init!$R$9="Yes",(RT1SC!$C$3*'Staging Table'!F68*'Staging Table'!$F$2)+SUM('Staging Table'!L68:AI68)-IF(Init!$R$12="No",'Staging Table'!BH68, 0),X66))</f>
        <v>155012.10313403409</v>
      </c>
      <c r="N66" s="297">
        <f>IF('Staging Table'!C68=1,"",IF(M66=0, 0, L66/M66))</f>
        <v>33.649609883331152</v>
      </c>
      <c r="O66" s="199">
        <f>'Staging Table'!BS68*Rates_current!$E$76*100*12</f>
        <v>6223852.1836799998</v>
      </c>
      <c r="P66" s="199">
        <f>'Staging Table'!BS68*Rates_current!$E$77*100*12</f>
        <v>-1093768.5398399998</v>
      </c>
      <c r="Q66" s="200">
        <f>SUMPRODUCT('Staging Table'!BY68:CV68, LS_Demand_Rates_Restatement!$C$5:$Z$5)-IF(Init!$R$12="No",('Staging Table'!DU68*Rates_current!$H$34), 0)</f>
        <v>113053.32803385516</v>
      </c>
      <c r="R66" s="200">
        <f>SUMPRODUCT('Staging Table'!CW68:DH68, LS_Demand_Rates_Restatement!$C$11:$N$11)*1000</f>
        <v>304818.56167275651</v>
      </c>
      <c r="S66" s="201">
        <f>'Staging Table'!ED68*IF(Init!$R$15="Yes",IF(Init!$R$6=2024,Rates_current!$C$88,Rates_current!$D$88),Rates_current!$H$33)</f>
        <v>-5.7050919674593024</v>
      </c>
      <c r="T66" s="201">
        <v>0</v>
      </c>
      <c r="U66" s="201">
        <f>IF('Staging Table'!D68=1, 'Staging Table'!BU68*-1*'Staging Table'!BS68/'Staging Table'!BR68,SUM(O66:T66)*'Staging Table'!BU68*-1)</f>
        <v>-388356.48799182515</v>
      </c>
      <c r="V66" s="199">
        <f>'Staging Table'!BX68*Rates_current!$H$32*-1</f>
        <v>0</v>
      </c>
      <c r="W66" s="199">
        <f>IF('Staging Table'!C68=1,"", SUM(O66:V66))</f>
        <v>5159593.3404628197</v>
      </c>
      <c r="X66" s="199">
        <f>IF('Staging Table'!C68=1,"", (RT1SC!$C$4*'Staging Table'!BS68*'Staging Table'!$BS$2)+SUM('Staging Table'!BY68:CV68)-IF(Init!$R$12="No",'Staging Table'!DU68, 0))</f>
        <v>155012.09571054493</v>
      </c>
      <c r="Y66" s="297">
        <f>IF('Staging Table'!C68=1,"",IF(X66=0, 0, W66/X66))</f>
        <v>33.285101506513151</v>
      </c>
      <c r="Z66" s="76">
        <f ca="1">IF('Staging Table'!C68=1,"",(Y66/N66-1)+(RAND()/100000000000000))</f>
        <v>-1.0832469620949409E-2</v>
      </c>
      <c r="AA66" s="53">
        <f t="shared" ca="1" si="0"/>
        <v>69</v>
      </c>
      <c r="AC66" s="405"/>
      <c r="AD66" s="204"/>
      <c r="AE66" s="204"/>
      <c r="AG66" s="204"/>
      <c r="AH66" s="204"/>
    </row>
    <row r="67" spans="2:34">
      <c r="B67" s="123">
        <v>10190</v>
      </c>
      <c r="C67" s="124" t="s">
        <v>70</v>
      </c>
      <c r="D67" s="199">
        <f>IF(Init!$R$9="Yes",'Staging Table'!F69,'Staging Table'!BS69)*Rates_previous!$E$76*100*12</f>
        <v>1762843.898580723</v>
      </c>
      <c r="E67" s="199">
        <f>IF(Init!$R$9="Yes",'Staging Table'!F69,'Staging Table'!BS69)*Rates_previous!$E$77*100*12</f>
        <v>-291049.75758929743</v>
      </c>
      <c r="F67" s="200">
        <f>IF(Init!$R$9="Yes",SUMPRODUCT('Staging Table'!L69:AI69,LS_Demand_Rates_Restatement!$C$4:$Z$4)-IF(Init!$R$12="No",('Staging Table'!BH69*Rates_previous!$H$34), 0),SUMPRODUCT('Staging Table'!BY69:CV69,LS_Demand_Rates_Restatement!$C$4:$Z$4)-IF(Init!$R$12="No", 'Staging Table'!DU69*Rates_previous!$H$34, 0))</f>
        <v>58965.748094226583</v>
      </c>
      <c r="G67" s="200">
        <f>IF(Init!$R$9="Yes",SUMPRODUCT('Staging Table'!AJ69:AU69,LS_Demand_Rates_Restatement!$C$10:$N$10),SUMPRODUCT(LS_Demand_Rates_Restatement!$C$10:$N$10,'Staging Table'!CW69:DH69))*1000</f>
        <v>168706.46791476142</v>
      </c>
      <c r="H67" s="201">
        <f>IF(Init!$R$9="Yes",'Staging Table'!BQ69,'Staging Table'!ED69)*IF(Init!$R$3=2022,Rates_previous!$C$88,Rates_previous!$D$88)</f>
        <v>0</v>
      </c>
      <c r="I67" s="199">
        <v>0</v>
      </c>
      <c r="J67" s="201">
        <f>IF(Init!$R$9="Yes",IF('Staging Table'!D69=1,'Staging Table'!H69*-1*'Staging Table'!BS69/'Staging Table'!BR69,'Staging Table'!H69*SUM(D67:I67)*(-1)),IF('Staging Table'!D69=1,'Staging Table'!BU69*-1*'Staging Table'!BS69/'Staging Table'!BR69,'Staging Table'!BU69*SUM(D67:I67)*(-1)))</f>
        <v>0</v>
      </c>
      <c r="K67" s="199">
        <f>IF(Init!$R$9="Yes",'Staging Table'!K69,'Staging Table'!BX69)*(-1)*Rates_previous!$H$32</f>
        <v>0</v>
      </c>
      <c r="L67" s="199">
        <f>IF('Staging Table'!C69=1,"",SUM(D67:K67))</f>
        <v>1699466.3570004138</v>
      </c>
      <c r="M67" s="199">
        <f>IF('Staging Table'!C69=1,"",IF(Init!$R$9="Yes",(RT1SC!$C$3*'Staging Table'!F69*'Staging Table'!$F$2)+SUM('Staging Table'!L69:AI69)-IF(Init!$R$12="No",'Staging Table'!BH69, 0),X67))</f>
        <v>43379.519999999997</v>
      </c>
      <c r="N67" s="297">
        <f>IF('Staging Table'!C69=1,"",IF(M67=0, 0, L67/M67))</f>
        <v>39.176698059370274</v>
      </c>
      <c r="O67" s="199">
        <f>'Staging Table'!BS69*Rates_current!$E$76*100*12</f>
        <v>1831233.4855200001</v>
      </c>
      <c r="P67" s="199">
        <f>'Staging Table'!BS69*Rates_current!$E$77*100*12</f>
        <v>-321817.66476000001</v>
      </c>
      <c r="Q67" s="200">
        <f>SUMPRODUCT('Staging Table'!BY69:CV69, LS_Demand_Rates_Restatement!$C$5:$Z$5)-IF(Init!$R$12="No",('Staging Table'!DU69*Rates_current!$H$34), 0)</f>
        <v>100829.4720446602</v>
      </c>
      <c r="R67" s="200">
        <f>SUMPRODUCT('Staging Table'!CW69:DH69, LS_Demand_Rates_Restatement!$C$11:$N$11)*1000</f>
        <v>166826.35745763886</v>
      </c>
      <c r="S67" s="201">
        <f>'Staging Table'!ED69*IF(Init!$R$15="Yes",IF(Init!$R$6=2024,Rates_current!$C$88,Rates_current!$D$88),Rates_current!$H$33)</f>
        <v>0</v>
      </c>
      <c r="T67" s="201">
        <v>0</v>
      </c>
      <c r="U67" s="201">
        <f>IF('Staging Table'!D69=1, 'Staging Table'!BU69*-1*'Staging Table'!BS69/'Staging Table'!BR69,SUM(O67:T67)*'Staging Table'!BU69*-1)</f>
        <v>0</v>
      </c>
      <c r="V67" s="199">
        <f>'Staging Table'!BX69*Rates_current!$H$32*-1</f>
        <v>0</v>
      </c>
      <c r="W67" s="199">
        <f>IF('Staging Table'!C69=1,"", SUM(O67:V67))</f>
        <v>1777071.6502622992</v>
      </c>
      <c r="X67" s="199">
        <f>IF('Staging Table'!C69=1,"", (RT1SC!$C$4*'Staging Table'!BS69*'Staging Table'!$BS$2)+SUM('Staging Table'!BY69:CV69)-IF(Init!$R$12="No",'Staging Table'!DU69, 0))</f>
        <v>45606.527999999998</v>
      </c>
      <c r="Y67" s="297">
        <f>IF('Staging Table'!C69=1,"",IF(X67=0, 0, W67/X67))</f>
        <v>38.965291334220822</v>
      </c>
      <c r="Z67" s="76">
        <f ca="1">IF('Staging Table'!C69=1,"",(Y67/N67-1)+(RAND()/100000000000000))</f>
        <v>-5.3962364267870202E-3</v>
      </c>
      <c r="AA67" s="53">
        <f t="shared" ca="1" si="0"/>
        <v>45</v>
      </c>
      <c r="AC67" s="405"/>
      <c r="AD67" s="204"/>
      <c r="AE67" s="204"/>
      <c r="AG67" s="204"/>
      <c r="AH67" s="204"/>
    </row>
    <row r="68" spans="2:34">
      <c r="B68" s="123">
        <v>10191</v>
      </c>
      <c r="C68" s="124" t="s">
        <v>71</v>
      </c>
      <c r="D68" s="199">
        <f>IF(Init!$R$9="Yes",'Staging Table'!F70,'Staging Table'!BS70)*Rates_previous!$E$76*100*12</f>
        <v>44559110.977456689</v>
      </c>
      <c r="E68" s="199">
        <f>IF(Init!$R$9="Yes",'Staging Table'!F70,'Staging Table'!BS70)*Rates_previous!$E$77*100*12</f>
        <v>-7356816.14170417</v>
      </c>
      <c r="F68" s="200">
        <f>IF(Init!$R$9="Yes",SUMPRODUCT('Staging Table'!L70:AI70,LS_Demand_Rates_Restatement!$C$4:$Z$4)-IF(Init!$R$12="No",('Staging Table'!BH70*Rates_previous!$H$34), 0),SUMPRODUCT('Staging Table'!BY70:CV70,LS_Demand_Rates_Restatement!$C$4:$Z$4)-IF(Init!$R$12="No", 'Staging Table'!DU70*Rates_previous!$H$34, 0))</f>
        <v>406792.14570172346</v>
      </c>
      <c r="G68" s="200">
        <f>IF(Init!$R$9="Yes",SUMPRODUCT('Staging Table'!AJ70:AU70,LS_Demand_Rates_Restatement!$C$10:$N$10),SUMPRODUCT(LS_Demand_Rates_Restatement!$C$10:$N$10,'Staging Table'!CW70:DH70))*1000</f>
        <v>1374023.6409377933</v>
      </c>
      <c r="H68" s="201">
        <f>IF(Init!$R$9="Yes",'Staging Table'!BQ70,'Staging Table'!ED70)*IF(Init!$R$3=2022,Rates_previous!$C$88,Rates_previous!$D$88)</f>
        <v>0</v>
      </c>
      <c r="I68" s="199">
        <v>0</v>
      </c>
      <c r="J68" s="201">
        <f>IF(Init!$R$9="Yes",IF('Staging Table'!D70=1,'Staging Table'!H70*-1*'Staging Table'!BS70/'Staging Table'!BR70,'Staging Table'!H70*SUM(D68:I68)*(-1)),IF('Staging Table'!D70=1,'Staging Table'!BU70*-1*'Staging Table'!BS70/'Staging Table'!BR70,'Staging Table'!BU70*SUM(D68:I68)*(-1)))</f>
        <v>0</v>
      </c>
      <c r="K68" s="199">
        <f>IF(Init!$R$9="Yes",'Staging Table'!K70,'Staging Table'!BX70)*(-1)*Rates_previous!$H$32</f>
        <v>0</v>
      </c>
      <c r="L68" s="199">
        <f>IF('Staging Table'!C70=1,"",SUM(D68:K68))</f>
        <v>38983110.622392029</v>
      </c>
      <c r="M68" s="199">
        <f>IF('Staging Table'!C70=1,"",IF(Init!$R$9="Yes",(RT1SC!$C$3*'Staging Table'!F70*'Staging Table'!$F$2)+SUM('Staging Table'!L70:AI70)-IF(Init!$R$12="No",'Staging Table'!BH70, 0),X68))</f>
        <v>1096471.6800000002</v>
      </c>
      <c r="N68" s="297">
        <f>IF('Staging Table'!C70=1,"",IF(M68=0, 0, L68/M68))</f>
        <v>35.553230724930373</v>
      </c>
      <c r="O68" s="199">
        <f>'Staging Table'!BS70*Rates_current!$E$76*100*12</f>
        <v>42486809.063040003</v>
      </c>
      <c r="P68" s="199">
        <f>'Staging Table'!BS70*Rates_current!$E$77*100*12</f>
        <v>-7466555.0755199995</v>
      </c>
      <c r="Q68" s="200">
        <f>SUMPRODUCT('Staging Table'!BY70:CV70, LS_Demand_Rates_Restatement!$C$5:$Z$5)-IF(Init!$R$12="No",('Staging Table'!DU70*Rates_current!$H$34), 0)</f>
        <v>4091014.0589906322</v>
      </c>
      <c r="R68" s="200">
        <f>SUMPRODUCT('Staging Table'!CW70:DH70, LS_Demand_Rates_Restatement!$C$11:$N$11)*1000</f>
        <v>1393634.2342493585</v>
      </c>
      <c r="S68" s="201">
        <f>'Staging Table'!ED70*IF(Init!$R$15="Yes",IF(Init!$R$6=2024,Rates_current!$C$88,Rates_current!$D$88),Rates_current!$H$33)</f>
        <v>-583738.28611385624</v>
      </c>
      <c r="T68" s="201">
        <v>0</v>
      </c>
      <c r="U68" s="201">
        <f>IF('Staging Table'!D70=1, 'Staging Table'!BU70*-1*'Staging Table'!BS70/'Staging Table'!BR70,SUM(O68:T68)*'Staging Table'!BU70*-1)</f>
        <v>0</v>
      </c>
      <c r="V68" s="199">
        <f>'Staging Table'!BX70*Rates_current!$H$32*-1</f>
        <v>0</v>
      </c>
      <c r="W68" s="199">
        <f>IF('Staging Table'!C70=1,"", SUM(O68:V68))</f>
        <v>39921163.994646139</v>
      </c>
      <c r="X68" s="199">
        <f>IF('Staging Table'!C70=1,"", (RT1SC!$C$4*'Staging Table'!BS70*'Staging Table'!$BS$2)+SUM('Staging Table'!BY70:CV70)-IF(Init!$R$12="No",'Staging Table'!DU70, 0))</f>
        <v>1144918.8718504987</v>
      </c>
      <c r="Y68" s="297">
        <f>IF('Staging Table'!C70=1,"",IF(X68=0, 0, W68/X68))</f>
        <v>34.868115965389528</v>
      </c>
      <c r="Z68" s="76">
        <f ca="1">IF('Staging Table'!C70=1,"",(Y68/N68-1)+(RAND()/100000000000000))</f>
        <v>-1.9270112604988756E-2</v>
      </c>
      <c r="AA68" s="53">
        <f t="shared" ref="AA68:AA131" ca="1" si="1">IF(Z68="","",RANK(Z68,$Z$4:$Z$138))</f>
        <v>99</v>
      </c>
      <c r="AC68" s="405"/>
      <c r="AD68" s="204"/>
      <c r="AE68" s="204"/>
      <c r="AG68" s="204"/>
      <c r="AH68" s="204"/>
    </row>
    <row r="69" spans="2:34">
      <c r="B69" s="123">
        <v>10197</v>
      </c>
      <c r="C69" s="124" t="s">
        <v>72</v>
      </c>
      <c r="D69" s="199">
        <f>IF(Init!$R$9="Yes",'Staging Table'!F71,'Staging Table'!BS71)*Rates_previous!$E$76*100*12</f>
        <v>7726440.9697146397</v>
      </c>
      <c r="E69" s="199">
        <f>IF(Init!$R$9="Yes",'Staging Table'!F71,'Staging Table'!BS71)*Rates_previous!$E$77*100*12</f>
        <v>-1275653.9436497856</v>
      </c>
      <c r="F69" s="200">
        <f>IF(Init!$R$9="Yes",SUMPRODUCT('Staging Table'!L71:AI71,LS_Demand_Rates_Restatement!$C$4:$Z$4)-IF(Init!$R$12="No",('Staging Table'!BH71*Rates_previous!$H$34), 0),SUMPRODUCT('Staging Table'!BY71:CV71,LS_Demand_Rates_Restatement!$C$4:$Z$4)-IF(Init!$R$12="No", 'Staging Table'!DU71*Rates_previous!$H$34, 0))</f>
        <v>-447918.07689067069</v>
      </c>
      <c r="G69" s="200">
        <f>IF(Init!$R$9="Yes",SUMPRODUCT('Staging Table'!AJ71:AU71,LS_Demand_Rates_Restatement!$C$10:$N$10),SUMPRODUCT(LS_Demand_Rates_Restatement!$C$10:$N$10,'Staging Table'!CW71:DH71))*1000</f>
        <v>372861.23926466348</v>
      </c>
      <c r="H69" s="201">
        <f>IF(Init!$R$9="Yes",'Staging Table'!BQ71,'Staging Table'!ED71)*IF(Init!$R$3=2022,Rates_previous!$C$88,Rates_previous!$D$88)</f>
        <v>0</v>
      </c>
      <c r="I69" s="199">
        <v>0</v>
      </c>
      <c r="J69" s="201">
        <f>IF(Init!$R$9="Yes",IF('Staging Table'!D71=1,'Staging Table'!H71*-1*'Staging Table'!BS71/'Staging Table'!BR71,'Staging Table'!H71*SUM(D69:I69)*(-1)),IF('Staging Table'!D71=1,'Staging Table'!BU71*-1*'Staging Table'!BS71/'Staging Table'!BR71,'Staging Table'!BU71*SUM(D69:I69)*(-1)))</f>
        <v>-548440.3108095096</v>
      </c>
      <c r="K69" s="199">
        <f>IF(Init!$R$9="Yes",'Staging Table'!K71,'Staging Table'!BX71)*(-1)*Rates_previous!$H$32</f>
        <v>-1088901.3344999999</v>
      </c>
      <c r="L69" s="199">
        <f>IF('Staging Table'!C71=1,"",SUM(D69:K69))</f>
        <v>4738388.543129337</v>
      </c>
      <c r="M69" s="199">
        <f>IF('Staging Table'!C71=1,"",IF(Init!$R$9="Yes",(RT1SC!$C$3*'Staging Table'!F71*'Staging Table'!$F$2)+SUM('Staging Table'!L71:AI71)-IF(Init!$R$12="No",'Staging Table'!BH71, 0),X69))</f>
        <v>190127.04</v>
      </c>
      <c r="N69" s="297">
        <f>IF('Staging Table'!C71=1,"",IF(M69=0, 0, L69/M69))</f>
        <v>24.922223283596782</v>
      </c>
      <c r="O69" s="199">
        <f>'Staging Table'!BS71*Rates_current!$E$76*100*12</f>
        <v>8024693.8197599994</v>
      </c>
      <c r="P69" s="199">
        <f>'Staging Table'!BS71*Rates_current!$E$77*100*12</f>
        <v>-1410245.19588</v>
      </c>
      <c r="Q69" s="200">
        <f>SUMPRODUCT('Staging Table'!BY71:CV71, LS_Demand_Rates_Restatement!$C$5:$Z$5)-IF(Init!$R$12="No",('Staging Table'!DU71*Rates_current!$H$34), 0)</f>
        <v>-92750.432311249693</v>
      </c>
      <c r="R69" s="200">
        <f>SUMPRODUCT('Staging Table'!CW71:DH71, LS_Demand_Rates_Restatement!$C$11:$N$11)*1000</f>
        <v>389328.45674254815</v>
      </c>
      <c r="S69" s="201">
        <f>'Staging Table'!ED71*IF(Init!$R$15="Yes",IF(Init!$R$6=2024,Rates_current!$C$88,Rates_current!$D$88),Rates_current!$H$33)</f>
        <v>0</v>
      </c>
      <c r="T69" s="201">
        <v>0</v>
      </c>
      <c r="U69" s="201">
        <f>IF('Staging Table'!D71=1, 'Staging Table'!BU71*-1*'Staging Table'!BS71/'Staging Table'!BR71,SUM(O69:T69)*'Staging Table'!BU71*-1)</f>
        <v>-600265.78048867045</v>
      </c>
      <c r="V69" s="199">
        <f>'Staging Table'!BX71*Rates_current!$H$32*-1</f>
        <v>-1155833.8018499999</v>
      </c>
      <c r="W69" s="199">
        <f>IF('Staging Table'!C71=1,"", SUM(O69:V69))</f>
        <v>5154927.0659726262</v>
      </c>
      <c r="X69" s="199">
        <f>IF('Staging Table'!C71=1,"", (RT1SC!$C$4*'Staging Table'!BS71*'Staging Table'!$BS$2)+SUM('Staging Table'!BY71:CV71)-IF(Init!$R$12="No",'Staging Table'!DU71, 0))</f>
        <v>199862.08591613767</v>
      </c>
      <c r="Y69" s="297">
        <f>IF('Staging Table'!C71=1,"",IF(X69=0, 0, W69/X69))</f>
        <v>25.79242102044126</v>
      </c>
      <c r="Z69" s="76">
        <f ca="1">IF('Staging Table'!C71=1,"",(Y69/N69-1)+(RAND()/100000000000000))</f>
        <v>3.4916537218306842E-2</v>
      </c>
      <c r="AA69" s="53">
        <f t="shared" ca="1" si="1"/>
        <v>5</v>
      </c>
      <c r="AC69" s="405"/>
      <c r="AD69" s="204"/>
      <c r="AE69" s="204"/>
      <c r="AG69" s="204"/>
      <c r="AH69" s="204"/>
    </row>
    <row r="70" spans="2:34">
      <c r="B70" s="123">
        <v>10202</v>
      </c>
      <c r="C70" s="124" t="s">
        <v>73</v>
      </c>
      <c r="D70" s="199">
        <f>IF(Init!$R$9="Yes",'Staging Table'!F72,'Staging Table'!BS72)*Rates_previous!$E$76*100*12</f>
        <v>4448237.175183489</v>
      </c>
      <c r="E70" s="199">
        <f>IF(Init!$R$9="Yes",'Staging Table'!F72,'Staging Table'!BS72)*Rates_previous!$E$77*100*12</f>
        <v>-734414.63114186889</v>
      </c>
      <c r="F70" s="200">
        <f>IF(Init!$R$9="Yes",SUMPRODUCT('Staging Table'!L72:AI72,LS_Demand_Rates_Restatement!$C$4:$Z$4)-IF(Init!$R$12="No",('Staging Table'!BH72*Rates_previous!$H$34), 0),SUMPRODUCT('Staging Table'!BY72:CV72,LS_Demand_Rates_Restatement!$C$4:$Z$4)-IF(Init!$R$12="No", 'Staging Table'!DU72*Rates_previous!$H$34, 0))</f>
        <v>116923.15508995409</v>
      </c>
      <c r="G70" s="200">
        <f>IF(Init!$R$9="Yes",SUMPRODUCT('Staging Table'!AJ72:AU72,LS_Demand_Rates_Restatement!$C$10:$N$10),SUMPRODUCT(LS_Demand_Rates_Restatement!$C$10:$N$10,'Staging Table'!CW72:DH72))*1000</f>
        <v>199531.09317061969</v>
      </c>
      <c r="H70" s="201">
        <f>IF(Init!$R$9="Yes",'Staging Table'!BQ72,'Staging Table'!ED72)*IF(Init!$R$3=2022,Rates_previous!$C$88,Rates_previous!$D$88)</f>
        <v>0</v>
      </c>
      <c r="I70" s="199">
        <v>0</v>
      </c>
      <c r="J70" s="201">
        <f>IF(Init!$R$9="Yes",IF('Staging Table'!D72=1,'Staging Table'!H72*-1*'Staging Table'!BS72/'Staging Table'!BR72,'Staging Table'!H72*SUM(D70:I70)*(-1)),IF('Staging Table'!D72=1,'Staging Table'!BU72*-1*'Staging Table'!BS72/'Staging Table'!BR72,'Staging Table'!BU72*SUM(D70:I70)*(-1)))</f>
        <v>0</v>
      </c>
      <c r="K70" s="199">
        <f>IF(Init!$R$9="Yes",'Staging Table'!K72,'Staging Table'!BX72)*(-1)*Rates_previous!$H$32</f>
        <v>0</v>
      </c>
      <c r="L70" s="199">
        <f>IF('Staging Table'!C72=1,"",SUM(D70:K70))</f>
        <v>4030276.7923021936</v>
      </c>
      <c r="M70" s="199">
        <f>IF('Staging Table'!C72=1,"",IF(Init!$R$9="Yes",(RT1SC!$C$3*'Staging Table'!F72*'Staging Table'!$F$2)+SUM('Staging Table'!L72:AI72)-IF(Init!$R$12="No",'Staging Table'!BH72, 0),X70))</f>
        <v>109456.2</v>
      </c>
      <c r="N70" s="297">
        <f>IF('Staging Table'!C72=1,"",IF(M70=0, 0, L70/M70))</f>
        <v>36.820909115264314</v>
      </c>
      <c r="O70" s="199">
        <f>'Staging Table'!BS72*Rates_current!$E$76*100*12</f>
        <v>4619810.2283999994</v>
      </c>
      <c r="P70" s="199">
        <f>'Staging Table'!BS72*Rates_current!$E$77*100*12</f>
        <v>-811877.10420000006</v>
      </c>
      <c r="Q70" s="200">
        <f>SUMPRODUCT('Staging Table'!BY72:CV72, LS_Demand_Rates_Restatement!$C$5:$Z$5)-IF(Init!$R$12="No",('Staging Table'!DU72*Rates_current!$H$34), 0)</f>
        <v>270070.19819845713</v>
      </c>
      <c r="R70" s="200">
        <f>SUMPRODUCT('Staging Table'!CW72:DH72, LS_Demand_Rates_Restatement!$C$11:$N$11)*1000</f>
        <v>195936.06707251613</v>
      </c>
      <c r="S70" s="201">
        <f>'Staging Table'!ED72*IF(Init!$R$15="Yes",IF(Init!$R$6=2024,Rates_current!$C$88,Rates_current!$D$88),Rates_current!$H$33)</f>
        <v>0</v>
      </c>
      <c r="T70" s="201">
        <v>0</v>
      </c>
      <c r="U70" s="201">
        <f>IF('Staging Table'!D72=1, 'Staging Table'!BU72*-1*'Staging Table'!BS72/'Staging Table'!BR72,SUM(O70:T70)*'Staging Table'!BU72*-1)</f>
        <v>0</v>
      </c>
      <c r="V70" s="199">
        <f>'Staging Table'!BX72*Rates_current!$H$32*-1</f>
        <v>0</v>
      </c>
      <c r="W70" s="199">
        <f>IF('Staging Table'!C72=1,"", SUM(O70:V70))</f>
        <v>4273939.3894709731</v>
      </c>
      <c r="X70" s="199">
        <f>IF('Staging Table'!C72=1,"", (RT1SC!$C$4*'Staging Table'!BS72*'Staging Table'!$BS$2)+SUM('Staging Table'!BY72:CV72)-IF(Init!$R$12="No",'Staging Table'!DU72, 0))</f>
        <v>115059.0175274198</v>
      </c>
      <c r="Y70" s="297">
        <f>IF('Staging Table'!C72=1,"",IF(X70=0, 0, W70/X70))</f>
        <v>37.145627359910733</v>
      </c>
      <c r="Z70" s="76">
        <f ca="1">IF('Staging Table'!C72=1,"",(Y70/N70-1)+(RAND()/100000000000000))</f>
        <v>8.8188546249670288E-3</v>
      </c>
      <c r="AA70" s="53">
        <f t="shared" ca="1" si="1"/>
        <v>18</v>
      </c>
      <c r="AC70" s="405"/>
      <c r="AD70" s="204"/>
      <c r="AE70" s="204"/>
      <c r="AG70" s="204"/>
      <c r="AH70" s="204"/>
    </row>
    <row r="71" spans="2:34">
      <c r="B71" s="123">
        <v>10203</v>
      </c>
      <c r="C71" s="124" t="s">
        <v>74</v>
      </c>
      <c r="D71" s="199">
        <f>IF(Init!$R$9="Yes",'Staging Table'!F73,'Staging Table'!BS73)*Rates_previous!$E$76*100*12</f>
        <v>2110088.8945193551</v>
      </c>
      <c r="E71" s="199">
        <f>IF(Init!$R$9="Yes",'Staging Table'!F73,'Staging Table'!BS73)*Rates_previous!$E$77*100*12</f>
        <v>-348380.73963110161</v>
      </c>
      <c r="F71" s="200">
        <f>IF(Init!$R$9="Yes",SUMPRODUCT('Staging Table'!L73:AI73,LS_Demand_Rates_Restatement!$C$4:$Z$4)-IF(Init!$R$12="No",('Staging Table'!BH73*Rates_previous!$H$34), 0),SUMPRODUCT('Staging Table'!BY73:CV73,LS_Demand_Rates_Restatement!$C$4:$Z$4)-IF(Init!$R$12="No", 'Staging Table'!DU73*Rates_previous!$H$34, 0))</f>
        <v>52866.954261505714</v>
      </c>
      <c r="G71" s="200">
        <f>IF(Init!$R$9="Yes",SUMPRODUCT('Staging Table'!AJ73:AU73,LS_Demand_Rates_Restatement!$C$10:$N$10),SUMPRODUCT(LS_Demand_Rates_Restatement!$C$10:$N$10,'Staging Table'!CW73:DH73))*1000</f>
        <v>115223.23175194985</v>
      </c>
      <c r="H71" s="201">
        <f>IF(Init!$R$9="Yes",'Staging Table'!BQ73,'Staging Table'!ED73)*IF(Init!$R$3=2022,Rates_previous!$C$88,Rates_previous!$D$88)</f>
        <v>0</v>
      </c>
      <c r="I71" s="199">
        <v>0</v>
      </c>
      <c r="J71" s="201">
        <f>IF(Init!$R$9="Yes",IF('Staging Table'!D73=1,'Staging Table'!H73*-1*'Staging Table'!BS73/'Staging Table'!BR73,'Staging Table'!H73*SUM(D71:I71)*(-1)),IF('Staging Table'!D73=1,'Staging Table'!BU73*-1*'Staging Table'!BS73/'Staging Table'!BR73,'Staging Table'!BU73*SUM(D71:I71)*(-1)))</f>
        <v>-147533.08316193568</v>
      </c>
      <c r="K71" s="199">
        <f>IF(Init!$R$9="Yes",'Staging Table'!K73,'Staging Table'!BX73)*(-1)*Rates_previous!$H$32</f>
        <v>0</v>
      </c>
      <c r="L71" s="199">
        <f>IF('Staging Table'!C73=1,"",SUM(D71:K71))</f>
        <v>1782265.2577397735</v>
      </c>
      <c r="M71" s="199">
        <f>IF('Staging Table'!C73=1,"",IF(Init!$R$9="Yes",(RT1SC!$C$3*'Staging Table'!F73*'Staging Table'!$F$2)+SUM('Staging Table'!L73:AI73)-IF(Init!$R$12="No",'Staging Table'!BH73, 0),X71))</f>
        <v>51920.52</v>
      </c>
      <c r="N71" s="297">
        <f>IF('Staging Table'!C73=1,"",IF(M71=0, 0, L71/M71))</f>
        <v>34.326799071730669</v>
      </c>
      <c r="O71" s="199">
        <f>'Staging Table'!BS73*Rates_current!$E$76*100*12</f>
        <v>2191202.5219200002</v>
      </c>
      <c r="P71" s="199">
        <f>'Staging Table'!BS73*Rates_current!$E$77*100*12</f>
        <v>-385077.97295999998</v>
      </c>
      <c r="Q71" s="200">
        <f>SUMPRODUCT('Staging Table'!BY73:CV73, LS_Demand_Rates_Restatement!$C$5:$Z$5)-IF(Init!$R$12="No",('Staging Table'!DU73*Rates_current!$H$34), 0)</f>
        <v>93762.130483808287</v>
      </c>
      <c r="R71" s="200">
        <f>SUMPRODUCT('Staging Table'!CW73:DH73, LS_Demand_Rates_Restatement!$C$11:$N$11)*1000</f>
        <v>115010.53484511218</v>
      </c>
      <c r="S71" s="201">
        <f>'Staging Table'!ED73*IF(Init!$R$15="Yes",IF(Init!$R$6=2024,Rates_current!$C$88,Rates_current!$D$88),Rates_current!$H$33)</f>
        <v>0</v>
      </c>
      <c r="T71" s="201">
        <v>0</v>
      </c>
      <c r="U71" s="201">
        <f>IF('Staging Table'!D73=1, 'Staging Table'!BU73*-1*'Staging Table'!BS73/'Staging Table'!BR73,SUM(O71:T71)*'Staging Table'!BU73*-1)</f>
        <v>-152756.64491332858</v>
      </c>
      <c r="V71" s="199">
        <f>'Staging Table'!BX73*Rates_current!$H$32*-1</f>
        <v>0</v>
      </c>
      <c r="W71" s="199">
        <f>IF('Staging Table'!C73=1,"", SUM(O71:V71))</f>
        <v>1862140.5693755921</v>
      </c>
      <c r="X71" s="199">
        <f>IF('Staging Table'!C73=1,"", (RT1SC!$C$4*'Staging Table'!BS73*'Staging Table'!$BS$2)+SUM('Staging Table'!BY73:CV73)-IF(Init!$R$12="No",'Staging Table'!DU73, 0))</f>
        <v>54574.991999999998</v>
      </c>
      <c r="Y71" s="297">
        <f>IF('Staging Table'!C73=1,"",IF(X71=0, 0, W71/X71))</f>
        <v>34.120766694305551</v>
      </c>
      <c r="Z71" s="76">
        <f ca="1">IF('Staging Table'!C73=1,"",(Y71/N71-1)+(RAND()/100000000000000))</f>
        <v>-6.002085338470518E-3</v>
      </c>
      <c r="AA71" s="53">
        <f t="shared" ca="1" si="1"/>
        <v>48</v>
      </c>
      <c r="AC71" s="405"/>
      <c r="AD71" s="204"/>
      <c r="AE71" s="204"/>
      <c r="AG71" s="204"/>
      <c r="AH71" s="204"/>
    </row>
    <row r="72" spans="2:34">
      <c r="B72" s="123">
        <v>10204</v>
      </c>
      <c r="C72" s="124" t="s">
        <v>75</v>
      </c>
      <c r="D72" s="199">
        <f>IF(Init!$R$9="Yes",'Staging Table'!F74,'Staging Table'!BS74)*Rates_previous!$E$76*100*12</f>
        <v>13852149.654974604</v>
      </c>
      <c r="E72" s="199">
        <f>IF(Init!$R$9="Yes",'Staging Table'!F74,'Staging Table'!BS74)*Rates_previous!$E$77*100*12</f>
        <v>-2287023.1461883537</v>
      </c>
      <c r="F72" s="200">
        <f>IF(Init!$R$9="Yes",SUMPRODUCT('Staging Table'!L74:AI74,LS_Demand_Rates_Restatement!$C$4:$Z$4)-IF(Init!$R$12="No",('Staging Table'!BH74*Rates_previous!$H$34), 0),SUMPRODUCT('Staging Table'!BY74:CV74,LS_Demand_Rates_Restatement!$C$4:$Z$4)-IF(Init!$R$12="No", 'Staging Table'!DU74*Rates_previous!$H$34, 0))</f>
        <v>39095.801203981493</v>
      </c>
      <c r="G72" s="200">
        <f>IF(Init!$R$9="Yes",SUMPRODUCT('Staging Table'!AJ74:AU74,LS_Demand_Rates_Restatement!$C$10:$N$10),SUMPRODUCT(LS_Demand_Rates_Restatement!$C$10:$N$10,'Staging Table'!CW74:DH74))*1000</f>
        <v>0</v>
      </c>
      <c r="H72" s="201">
        <f>IF(Init!$R$9="Yes",'Staging Table'!BQ74,'Staging Table'!ED74)*IF(Init!$R$3=2022,Rates_previous!$C$88,Rates_previous!$D$88)</f>
        <v>0</v>
      </c>
      <c r="I72" s="199">
        <v>0</v>
      </c>
      <c r="J72" s="201">
        <f>IF(Init!$R$9="Yes",IF('Staging Table'!D74=1,'Staging Table'!H74*-1*'Staging Table'!BS74/'Staging Table'!BR74,'Staging Table'!H74*SUM(D72:I72)*(-1)),IF('Staging Table'!D74=1,'Staging Table'!BU74*-1*'Staging Table'!BS74/'Staging Table'!BR74,'Staging Table'!BU74*SUM(D72:I72)*(-1)))</f>
        <v>0</v>
      </c>
      <c r="K72" s="199">
        <f>IF(Init!$R$9="Yes",'Staging Table'!K74,'Staging Table'!BX74)*(-1)*Rates_previous!$H$32</f>
        <v>0</v>
      </c>
      <c r="L72" s="199">
        <f>IF('Staging Table'!C74=1,"",SUM(D72:K72))</f>
        <v>11604222.309990231</v>
      </c>
      <c r="M72" s="199">
        <f>IF('Staging Table'!C74=1,"",IF(Init!$R$9="Yes",(RT1SC!$C$3*'Staging Table'!F74*'Staging Table'!$F$2)+SUM('Staging Table'!L74:AI74)-IF(Init!$R$12="No",'Staging Table'!BH74, 0),X72))</f>
        <v>340861.30978860694</v>
      </c>
      <c r="N72" s="297">
        <f>IF('Staging Table'!C74=1,"",IF(M72=0, 0, L72/M72))</f>
        <v>34.043823621950111</v>
      </c>
      <c r="O72" s="199">
        <f>'Staging Table'!BS74*Rates_current!$E$76*100*12</f>
        <v>14386554.893519998</v>
      </c>
      <c r="P72" s="199">
        <f>'Staging Table'!BS74*Rates_current!$E$77*100*12</f>
        <v>-2528267.1687599993</v>
      </c>
      <c r="Q72" s="200">
        <f>SUMPRODUCT('Staging Table'!BY74:CV74, LS_Demand_Rates_Restatement!$C$5:$Z$5)-IF(Init!$R$12="No",('Staging Table'!DU74*Rates_current!$H$34), 0)</f>
        <v>191592.17966849613</v>
      </c>
      <c r="R72" s="200">
        <f>SUMPRODUCT('Staging Table'!CW74:DH74, LS_Demand_Rates_Restatement!$C$11:$N$11)*1000</f>
        <v>0</v>
      </c>
      <c r="S72" s="201">
        <f>'Staging Table'!ED74*IF(Init!$R$15="Yes",IF(Init!$R$6=2024,Rates_current!$C$88,Rates_current!$D$88),Rates_current!$H$33)</f>
        <v>0</v>
      </c>
      <c r="T72" s="201">
        <v>0</v>
      </c>
      <c r="U72" s="201">
        <f>IF('Staging Table'!D74=1, 'Staging Table'!BU74*-1*'Staging Table'!BS74/'Staging Table'!BR74,SUM(O72:T72)*'Staging Table'!BU74*-1)</f>
        <v>0</v>
      </c>
      <c r="V72" s="199">
        <f>'Staging Table'!BX74*Rates_current!$H$32*-1</f>
        <v>0</v>
      </c>
      <c r="W72" s="199">
        <f>IF('Staging Table'!C74=1,"", SUM(O72:V72))</f>
        <v>12049879.904428493</v>
      </c>
      <c r="X72" s="199">
        <f>IF('Staging Table'!C74=1,"", (RT1SC!$C$4*'Staging Table'!BS74*'Staging Table'!$BS$2)+SUM('Staging Table'!BY74:CV74)-IF(Init!$R$12="No",'Staging Table'!DU74, 0))</f>
        <v>358312.94915337389</v>
      </c>
      <c r="Y72" s="297">
        <f>IF('Staging Table'!C74=1,"",IF(X72=0, 0, W72/X72))</f>
        <v>33.629484876000419</v>
      </c>
      <c r="Z72" s="76">
        <f ca="1">IF('Staging Table'!C74=1,"",(Y72/N72-1)+(RAND()/100000000000000))</f>
        <v>-1.2170746463460572E-2</v>
      </c>
      <c r="AA72" s="53">
        <f t="shared" ca="1" si="1"/>
        <v>77</v>
      </c>
      <c r="AC72" s="405"/>
      <c r="AD72" s="204"/>
      <c r="AE72" s="204"/>
      <c r="AG72" s="204"/>
      <c r="AH72" s="204"/>
    </row>
    <row r="73" spans="2:34">
      <c r="B73" s="123">
        <v>10209</v>
      </c>
      <c r="C73" s="124" t="s">
        <v>76</v>
      </c>
      <c r="D73" s="199">
        <f>IF(Init!$R$9="Yes",'Staging Table'!F75,'Staging Table'!BS75)*Rates_previous!$E$76*100*12</f>
        <v>35618991.192517318</v>
      </c>
      <c r="E73" s="199">
        <f>IF(Init!$R$9="Yes",'Staging Table'!F75,'Staging Table'!BS75)*Rates_previous!$E$77*100*12</f>
        <v>-5880780.9134455649</v>
      </c>
      <c r="F73" s="200">
        <f>IF(Init!$R$9="Yes",SUMPRODUCT('Staging Table'!L75:AI75,LS_Demand_Rates_Restatement!$C$4:$Z$4)-IF(Init!$R$12="No",('Staging Table'!BH75*Rates_previous!$H$34), 0),SUMPRODUCT('Staging Table'!BY75:CV75,LS_Demand_Rates_Restatement!$C$4:$Z$4)-IF(Init!$R$12="No", 'Staging Table'!DU75*Rates_previous!$H$34, 0))</f>
        <v>566269.24599477882</v>
      </c>
      <c r="G73" s="200">
        <f>IF(Init!$R$9="Yes",SUMPRODUCT('Staging Table'!AJ75:AU75,LS_Demand_Rates_Restatement!$C$10:$N$10),SUMPRODUCT(LS_Demand_Rates_Restatement!$C$10:$N$10,'Staging Table'!CW75:DH75))*1000</f>
        <v>2701640.5093732448</v>
      </c>
      <c r="H73" s="201">
        <f>IF(Init!$R$9="Yes",'Staging Table'!BQ75,'Staging Table'!ED75)*IF(Init!$R$3=2022,Rates_previous!$C$88,Rates_previous!$D$88)</f>
        <v>0</v>
      </c>
      <c r="I73" s="199">
        <v>0</v>
      </c>
      <c r="J73" s="201">
        <f>IF(Init!$R$9="Yes",IF('Staging Table'!D75=1,'Staging Table'!H75*-1*'Staging Table'!BS75/'Staging Table'!BR75,'Staging Table'!H75*SUM(D73:I73)*(-1)),IF('Staging Table'!D75=1,'Staging Table'!BU75*-1*'Staging Table'!BS75/'Staging Table'!BR75,'Staging Table'!BU75*SUM(D73:I73)*(-1)))</f>
        <v>-2719044.1684371484</v>
      </c>
      <c r="K73" s="199">
        <f>IF(Init!$R$9="Yes",'Staging Table'!K75,'Staging Table'!BX75)*(-1)*Rates_previous!$H$32</f>
        <v>-655228.44090000005</v>
      </c>
      <c r="L73" s="199">
        <f>IF('Staging Table'!C75=1,"",SUM(D73:K73))</f>
        <v>29631847.425102625</v>
      </c>
      <c r="M73" s="199">
        <f>IF('Staging Table'!C75=1,"",IF(Init!$R$9="Yes",(RT1SC!$C$3*'Staging Table'!F75*'Staging Table'!$F$2)+SUM('Staging Table'!L75:AI75)-IF(Init!$R$12="No",'Staging Table'!BH75, 0),X73))</f>
        <v>876481.8</v>
      </c>
      <c r="N73" s="297">
        <f>IF('Staging Table'!C75=1,"",IF(M73=0, 0, L73/M73))</f>
        <v>33.807715602426228</v>
      </c>
      <c r="O73" s="199">
        <f>'Staging Table'!BS75*Rates_current!$E$76*100*12</f>
        <v>36993108.606479995</v>
      </c>
      <c r="P73" s="199">
        <f>'Staging Table'!BS75*Rates_current!$E$77*100*12</f>
        <v>-6501102.0812400002</v>
      </c>
      <c r="Q73" s="200">
        <f>SUMPRODUCT('Staging Table'!BY75:CV75, LS_Demand_Rates_Restatement!$C$5:$Z$5)-IF(Init!$R$12="No",('Staging Table'!DU75*Rates_current!$H$34), 0)</f>
        <v>1299795.9093768131</v>
      </c>
      <c r="R73" s="200">
        <f>SUMPRODUCT('Staging Table'!CW75:DH75, LS_Demand_Rates_Restatement!$C$11:$N$11)*1000</f>
        <v>2665414.0181708862</v>
      </c>
      <c r="S73" s="201">
        <f>'Staging Table'!ED75*IF(Init!$R$15="Yes",IF(Init!$R$6=2024,Rates_current!$C$88,Rates_current!$D$88),Rates_current!$H$33)</f>
        <v>0</v>
      </c>
      <c r="T73" s="201">
        <v>0</v>
      </c>
      <c r="U73" s="201">
        <f>IF('Staging Table'!D75=1, 'Staging Table'!BU75*-1*'Staging Table'!BS75/'Staging Table'!BR75,SUM(O73:T73)*'Staging Table'!BU75*-1)</f>
        <v>-2940949.2121326602</v>
      </c>
      <c r="V73" s="199">
        <f>'Staging Table'!BX75*Rates_current!$H$32*-1</f>
        <v>-695503.95056999999</v>
      </c>
      <c r="W73" s="199">
        <f>IF('Staging Table'!C75=1,"", SUM(O73:V73))</f>
        <v>30820763.29008504</v>
      </c>
      <c r="X73" s="199">
        <f>IF('Staging Table'!C75=1,"", (RT1SC!$C$4*'Staging Table'!BS75*'Staging Table'!$BS$2)+SUM('Staging Table'!BY75:CV75)-IF(Init!$R$12="No",'Staging Table'!DU75, 0))</f>
        <v>921349.75322331162</v>
      </c>
      <c r="Y73" s="297">
        <f>IF('Staging Table'!C75=1,"",IF(X73=0, 0, W73/X73))</f>
        <v>33.451751826339148</v>
      </c>
      <c r="Z73" s="76">
        <f ca="1">IF('Staging Table'!C75=1,"",(Y73/N73-1)+(RAND()/100000000000000))</f>
        <v>-1.0529069170865504E-2</v>
      </c>
      <c r="AA73" s="53">
        <f t="shared" ca="1" si="1"/>
        <v>67</v>
      </c>
      <c r="AC73" s="405"/>
      <c r="AD73" s="204"/>
      <c r="AE73" s="204"/>
      <c r="AG73" s="204"/>
      <c r="AH73" s="204"/>
    </row>
    <row r="74" spans="2:34">
      <c r="B74" s="123">
        <v>10230</v>
      </c>
      <c r="C74" s="124" t="s">
        <v>77</v>
      </c>
      <c r="D74" s="199">
        <f>IF(Init!$R$9="Yes",'Staging Table'!F76,'Staging Table'!BS76)*Rates_previous!$E$76*100*12</f>
        <v>3294750.69005585</v>
      </c>
      <c r="E74" s="199">
        <f>IF(Init!$R$9="Yes",'Staging Table'!F76,'Staging Table'!BS76)*Rates_previous!$E$77*100*12</f>
        <v>-543971.24466322362</v>
      </c>
      <c r="F74" s="200">
        <f>IF(Init!$R$9="Yes",SUMPRODUCT('Staging Table'!L76:AI76,LS_Demand_Rates_Restatement!$C$4:$Z$4)-IF(Init!$R$12="No",('Staging Table'!BH76*Rates_previous!$H$34), 0),SUMPRODUCT('Staging Table'!BY76:CV76,LS_Demand_Rates_Restatement!$C$4:$Z$4)-IF(Init!$R$12="No", 'Staging Table'!DU76*Rates_previous!$H$34, 0))</f>
        <v>78981.104481220682</v>
      </c>
      <c r="G74" s="200">
        <f>IF(Init!$R$9="Yes",SUMPRODUCT('Staging Table'!AJ76:AU76,LS_Demand_Rates_Restatement!$C$10:$N$10),SUMPRODUCT(LS_Demand_Rates_Restatement!$C$10:$N$10,'Staging Table'!CW76:DH76))*1000</f>
        <v>355899.79847023688</v>
      </c>
      <c r="H74" s="201">
        <f>IF(Init!$R$9="Yes",'Staging Table'!BQ76,'Staging Table'!ED76)*IF(Init!$R$3=2022,Rates_previous!$C$88,Rates_previous!$D$88)</f>
        <v>0</v>
      </c>
      <c r="I74" s="199">
        <v>0</v>
      </c>
      <c r="J74" s="201">
        <f>IF(Init!$R$9="Yes",IF('Staging Table'!D76=1,'Staging Table'!H76*-1*'Staging Table'!BS76/'Staging Table'!BR76,'Staging Table'!H76*SUM(D74:I74)*(-1)),IF('Staging Table'!D76=1,'Staging Table'!BU76*-1*'Staging Table'!BS76/'Staging Table'!BR76,'Staging Table'!BU76*SUM(D74:I74)*(-1)))</f>
        <v>-296138.98598206602</v>
      </c>
      <c r="K74" s="199">
        <f>IF(Init!$R$9="Yes",'Staging Table'!K76,'Staging Table'!BX76)*(-1)*Rates_previous!$H$32</f>
        <v>0</v>
      </c>
      <c r="L74" s="199">
        <f>IF('Staging Table'!C76=1,"",SUM(D74:K74))</f>
        <v>2889521.3623620179</v>
      </c>
      <c r="M74" s="199">
        <f>IF('Staging Table'!C76=1,"",IF(Init!$R$9="Yes",(RT1SC!$C$3*'Staging Table'!F76*'Staging Table'!$F$2)+SUM('Staging Table'!L76:AI76)-IF(Init!$R$12="No",'Staging Table'!BH76, 0),X74))</f>
        <v>81073.8</v>
      </c>
      <c r="N74" s="297">
        <f>IF('Staging Table'!C76=1,"",IF(M74=0, 0, L74/M74))</f>
        <v>35.640630664431882</v>
      </c>
      <c r="O74" s="199">
        <f>'Staging Table'!BS76*Rates_current!$E$76*100*12</f>
        <v>3421823.31072</v>
      </c>
      <c r="P74" s="199">
        <f>'Staging Table'!BS76*Rates_current!$E$77*100*12</f>
        <v>-601345.04735999997</v>
      </c>
      <c r="Q74" s="200">
        <f>SUMPRODUCT('Staging Table'!BY76:CV76, LS_Demand_Rates_Restatement!$C$5:$Z$5)-IF(Init!$R$12="No",('Staging Table'!DU76*Rates_current!$H$34), 0)</f>
        <v>152569.73634138948</v>
      </c>
      <c r="R74" s="200">
        <f>SUMPRODUCT('Staging Table'!CW76:DH76, LS_Demand_Rates_Restatement!$C$11:$N$11)*1000</f>
        <v>354014.34128448187</v>
      </c>
      <c r="S74" s="201">
        <f>'Staging Table'!ED76*IF(Init!$R$15="Yes",IF(Init!$R$6=2024,Rates_current!$C$88,Rates_current!$D$88),Rates_current!$H$33)</f>
        <v>0</v>
      </c>
      <c r="T74" s="201">
        <v>0</v>
      </c>
      <c r="U74" s="201">
        <f>IF('Staging Table'!D76=1, 'Staging Table'!BU76*-1*'Staging Table'!BS76/'Staging Table'!BR76,SUM(O74:T74)*'Staging Table'!BU76*-1)</f>
        <v>-296170.96077260951</v>
      </c>
      <c r="V74" s="199">
        <f>'Staging Table'!BX76*Rates_current!$H$32*-1</f>
        <v>0</v>
      </c>
      <c r="W74" s="199">
        <f>IF('Staging Table'!C76=1,"", SUM(O74:V74))</f>
        <v>3030891.380213262</v>
      </c>
      <c r="X74" s="199">
        <f>IF('Staging Table'!C76=1,"", (RT1SC!$C$4*'Staging Table'!BS76*'Staging Table'!$BS$2)+SUM('Staging Table'!BY76:CV76)-IF(Init!$R$12="No",'Staging Table'!DU76, 0))</f>
        <v>85218.409390651839</v>
      </c>
      <c r="Y74" s="297">
        <f>IF('Staging Table'!C76=1,"",IF(X74=0, 0, W74/X74))</f>
        <v>35.566157616475536</v>
      </c>
      <c r="Z74" s="76">
        <f ca="1">IF('Staging Table'!C76=1,"",(Y74/N74-1)+(RAND()/100000000000000))</f>
        <v>-2.0895547179647579E-3</v>
      </c>
      <c r="AA74" s="53">
        <f t="shared" ca="1" si="1"/>
        <v>38</v>
      </c>
      <c r="AC74" s="405"/>
      <c r="AD74" s="204"/>
      <c r="AE74" s="204"/>
      <c r="AG74" s="204"/>
      <c r="AH74" s="204"/>
    </row>
    <row r="75" spans="2:34">
      <c r="B75" s="123">
        <v>10231</v>
      </c>
      <c r="C75" s="124" t="s">
        <v>78</v>
      </c>
      <c r="D75" s="199">
        <f>IF(Init!$R$9="Yes",'Staging Table'!F77,'Staging Table'!BS77)*Rates_previous!$E$76*100*12</f>
        <v>12448781.066415986</v>
      </c>
      <c r="E75" s="199">
        <f>IF(Init!$R$9="Yes",'Staging Table'!F77,'Staging Table'!BS77)*Rates_previous!$E$77*100*12</f>
        <v>-2055323.6248426088</v>
      </c>
      <c r="F75" s="200">
        <f>IF(Init!$R$9="Yes",SUMPRODUCT('Staging Table'!L77:AI77,LS_Demand_Rates_Restatement!$C$4:$Z$4)-IF(Init!$R$12="No",('Staging Table'!BH77*Rates_previous!$H$34), 0),SUMPRODUCT('Staging Table'!BY77:CV77,LS_Demand_Rates_Restatement!$C$4:$Z$4)-IF(Init!$R$12="No", 'Staging Table'!DU77*Rates_previous!$H$34, 0))</f>
        <v>250614.31924679736</v>
      </c>
      <c r="G75" s="200">
        <f>IF(Init!$R$9="Yes",SUMPRODUCT('Staging Table'!AJ77:AU77,LS_Demand_Rates_Restatement!$C$10:$N$10),SUMPRODUCT(LS_Demand_Rates_Restatement!$C$10:$N$10,'Staging Table'!CW77:DH77))*1000</f>
        <v>390820.00950098882</v>
      </c>
      <c r="H75" s="201">
        <f>IF(Init!$R$9="Yes",'Staging Table'!BQ77,'Staging Table'!ED77)*IF(Init!$R$3=2022,Rates_previous!$C$88,Rates_previous!$D$88)</f>
        <v>0</v>
      </c>
      <c r="I75" s="199">
        <v>0</v>
      </c>
      <c r="J75" s="201">
        <f>IF(Init!$R$9="Yes",IF('Staging Table'!D77=1,'Staging Table'!H77*-1*'Staging Table'!BS77/'Staging Table'!BR77,'Staging Table'!H77*SUM(D75:I75)*(-1)),IF('Staging Table'!D77=1,'Staging Table'!BU77*-1*'Staging Table'!BS77/'Staging Table'!BR77,'Staging Table'!BU77*SUM(D75:I75)*(-1)))</f>
        <v>-995126.53984756256</v>
      </c>
      <c r="K75" s="199">
        <f>IF(Init!$R$9="Yes",'Staging Table'!K77,'Staging Table'!BX77)*(-1)*Rates_previous!$H$32</f>
        <v>-235796.74609999999</v>
      </c>
      <c r="L75" s="199">
        <f>IF('Staging Table'!C77=1,"",SUM(D75:K75))</f>
        <v>9803968.484373603</v>
      </c>
      <c r="M75" s="199">
        <f>IF('Staging Table'!C77=1,"",IF(Init!$R$9="Yes",(RT1SC!$C$3*'Staging Table'!F77*'Staging Table'!$F$2)+SUM('Staging Table'!L77:AI77)-IF(Init!$R$12="No",'Staging Table'!BH77, 0),X75))</f>
        <v>306328.44</v>
      </c>
      <c r="N75" s="297">
        <f>IF('Staging Table'!C77=1,"",IF(M75=0, 0, L75/M75))</f>
        <v>32.004760917313469</v>
      </c>
      <c r="O75" s="199">
        <f>'Staging Table'!BS77*Rates_current!$E$76*100*12</f>
        <v>12928991.688000001</v>
      </c>
      <c r="P75" s="199">
        <f>'Staging Table'!BS77*Rates_current!$E$77*100*12</f>
        <v>-2272117.6439999999</v>
      </c>
      <c r="Q75" s="200">
        <f>SUMPRODUCT('Staging Table'!BY77:CV77, LS_Demand_Rates_Restatement!$C$5:$Z$5)-IF(Init!$R$12="No",('Staging Table'!DU77*Rates_current!$H$34), 0)</f>
        <v>694268.45162848954</v>
      </c>
      <c r="R75" s="200">
        <f>SUMPRODUCT('Staging Table'!CW77:DH77, LS_Demand_Rates_Restatement!$C$11:$N$11)*1000</f>
        <v>401204.94348141062</v>
      </c>
      <c r="S75" s="201">
        <f>'Staging Table'!ED77*IF(Init!$R$15="Yes",IF(Init!$R$6=2024,Rates_current!$C$88,Rates_current!$D$88),Rates_current!$H$33)</f>
        <v>0</v>
      </c>
      <c r="T75" s="201">
        <v>0</v>
      </c>
      <c r="U75" s="201">
        <f>IF('Staging Table'!D77=1, 'Staging Table'!BU77*-1*'Staging Table'!BS77/'Staging Table'!BR77,SUM(O75:T75)*'Staging Table'!BU77*-1)</f>
        <v>-1276443.6172170544</v>
      </c>
      <c r="V75" s="199">
        <f>'Staging Table'!BX77*Rates_current!$H$32*-1</f>
        <v>-250290.67452999999</v>
      </c>
      <c r="W75" s="199">
        <f>IF('Staging Table'!C77=1,"", SUM(O75:V75))</f>
        <v>10225613.147362847</v>
      </c>
      <c r="X75" s="199">
        <f>IF('Staging Table'!C77=1,"", (RT1SC!$C$4*'Staging Table'!BS77*'Staging Table'!$BS$2)+SUM('Staging Table'!BY77:CV77)-IF(Init!$R$12="No",'Staging Table'!DU77, 0))</f>
        <v>322012.65600000002</v>
      </c>
      <c r="Y75" s="297">
        <f>IF('Staging Table'!C77=1,"",IF(X75=0, 0, W75/X75))</f>
        <v>31.755314447525461</v>
      </c>
      <c r="Z75" s="76">
        <f ca="1">IF('Staging Table'!C77=1,"",(Y75/N75-1)+(RAND()/100000000000000))</f>
        <v>-7.7940425936081038E-3</v>
      </c>
      <c r="AA75" s="53">
        <f t="shared" ca="1" si="1"/>
        <v>58</v>
      </c>
      <c r="AC75" s="405"/>
      <c r="AD75" s="204"/>
      <c r="AE75" s="204"/>
      <c r="AG75" s="204"/>
      <c r="AH75" s="204"/>
    </row>
    <row r="76" spans="2:34">
      <c r="B76" s="123">
        <v>10234</v>
      </c>
      <c r="C76" s="124" t="s">
        <v>79</v>
      </c>
      <c r="D76" s="199">
        <f>IF(Init!$R$9="Yes",'Staging Table'!F78,'Staging Table'!BS78)*Rates_previous!$E$76*100*12</f>
        <v>17318364.552279156</v>
      </c>
      <c r="E76" s="199">
        <f>IF(Init!$R$9="Yes",'Staging Table'!F78,'Staging Table'!BS78)*Rates_previous!$E$77*100*12</f>
        <v>-2859303.5428957003</v>
      </c>
      <c r="F76" s="200">
        <f>IF(Init!$R$9="Yes",SUMPRODUCT('Staging Table'!L78:AI78,LS_Demand_Rates_Restatement!$C$4:$Z$4)-IF(Init!$R$12="No",('Staging Table'!BH78*Rates_previous!$H$34), 0),SUMPRODUCT('Staging Table'!BY78:CV78,LS_Demand_Rates_Restatement!$C$4:$Z$4)-IF(Init!$R$12="No", 'Staging Table'!DU78*Rates_previous!$H$34, 0))</f>
        <v>358238.64329121727</v>
      </c>
      <c r="G76" s="200">
        <f>IF(Init!$R$9="Yes",SUMPRODUCT('Staging Table'!AJ78:AU78,LS_Demand_Rates_Restatement!$C$10:$N$10),SUMPRODUCT(LS_Demand_Rates_Restatement!$C$10:$N$10,'Staging Table'!CW78:DH78))*1000</f>
        <v>1823282.4659983884</v>
      </c>
      <c r="H76" s="201">
        <f>IF(Init!$R$9="Yes",'Staging Table'!BQ78,'Staging Table'!ED78)*IF(Init!$R$3=2022,Rates_previous!$C$88,Rates_previous!$D$88)</f>
        <v>0</v>
      </c>
      <c r="I76" s="199">
        <v>0</v>
      </c>
      <c r="J76" s="201">
        <f>IF(Init!$R$9="Yes",IF('Staging Table'!D78=1,'Staging Table'!H78*-1*'Staging Table'!BS78/'Staging Table'!BR78,'Staging Table'!H78*SUM(D76:I76)*(-1)),IF('Staging Table'!D78=1,'Staging Table'!BU78*-1*'Staging Table'!BS78/'Staging Table'!BR78,'Staging Table'!BU78*SUM(D76:I76)*(-1)))</f>
        <v>0</v>
      </c>
      <c r="K76" s="199">
        <f>IF(Init!$R$9="Yes",'Staging Table'!K78,'Staging Table'!BX78)*(-1)*Rates_previous!$H$32</f>
        <v>0</v>
      </c>
      <c r="L76" s="199">
        <f>IF('Staging Table'!C78=1,"",SUM(D76:K76))</f>
        <v>16640582.11867306</v>
      </c>
      <c r="M76" s="199">
        <f>IF('Staging Table'!C78=1,"",IF(Init!$R$9="Yes",(RT1SC!$C$3*'Staging Table'!F78*'Staging Table'!$F$2)+SUM('Staging Table'!L78:AI78)-IF(Init!$R$12="No",'Staging Table'!BH78, 0),X76))</f>
        <v>426156.48000000004</v>
      </c>
      <c r="N76" s="297">
        <f>IF('Staging Table'!C78=1,"",IF(M76=0, 0, L76/M76))</f>
        <v>39.048056053666151</v>
      </c>
      <c r="O76" s="199">
        <f>'Staging Table'!BS78*Rates_current!$E$76*100*12</f>
        <v>17986494.371040002</v>
      </c>
      <c r="P76" s="199">
        <f>'Staging Table'!BS78*Rates_current!$E$77*100*12</f>
        <v>-3160914.0295200003</v>
      </c>
      <c r="Q76" s="200">
        <f>SUMPRODUCT('Staging Table'!BY78:CV78, LS_Demand_Rates_Restatement!$C$5:$Z$5)-IF(Init!$R$12="No",('Staging Table'!DU78*Rates_current!$H$34), 0)</f>
        <v>817714.7987373037</v>
      </c>
      <c r="R76" s="200">
        <f>SUMPRODUCT('Staging Table'!CW78:DH78, LS_Demand_Rates_Restatement!$C$11:$N$11)*1000</f>
        <v>1848351.691703392</v>
      </c>
      <c r="S76" s="201">
        <f>'Staging Table'!ED78*IF(Init!$R$15="Yes",IF(Init!$R$6=2024,Rates_current!$C$88,Rates_current!$D$88),Rates_current!$H$33)</f>
        <v>0</v>
      </c>
      <c r="T76" s="201">
        <v>0</v>
      </c>
      <c r="U76" s="201">
        <f>IF('Staging Table'!D78=1, 'Staging Table'!BU78*-1*'Staging Table'!BS78/'Staging Table'!BR78,SUM(O76:T76)*'Staging Table'!BU78*-1)</f>
        <v>0</v>
      </c>
      <c r="V76" s="199">
        <f>'Staging Table'!BX78*Rates_current!$H$32*-1</f>
        <v>0</v>
      </c>
      <c r="W76" s="199">
        <f>IF('Staging Table'!C78=1,"", SUM(O76:V76))</f>
        <v>17491646.831960697</v>
      </c>
      <c r="X76" s="199">
        <f>IF('Staging Table'!C78=1,"", (RT1SC!$C$4*'Staging Table'!BS78*'Staging Table'!$BS$2)+SUM('Staging Table'!BY78:CV78)-IF(Init!$R$12="No",'Staging Table'!DU78, 0))</f>
        <v>447975.21600000001</v>
      </c>
      <c r="Y76" s="297">
        <f>IF('Staging Table'!C78=1,"",IF(X76=0, 0, W76/X76))</f>
        <v>39.046014616935182</v>
      </c>
      <c r="Z76" s="76">
        <f ca="1">IF('Staging Table'!C78=1,"",(Y76/N76-1)+(RAND()/100000000000000))</f>
        <v>-5.2280111660948453E-5</v>
      </c>
      <c r="AA76" s="53">
        <f t="shared" ca="1" si="1"/>
        <v>34</v>
      </c>
      <c r="AC76" s="405"/>
      <c r="AD76" s="204"/>
      <c r="AE76" s="204"/>
      <c r="AG76" s="204"/>
      <c r="AH76" s="204"/>
    </row>
    <row r="77" spans="2:34">
      <c r="B77" s="123">
        <v>10235</v>
      </c>
      <c r="C77" s="124" t="s">
        <v>80</v>
      </c>
      <c r="D77" s="199">
        <f>IF(Init!$R$9="Yes",'Staging Table'!F79,'Staging Table'!BS79)*Rates_previous!$E$76*100*12</f>
        <v>10920471.426141882</v>
      </c>
      <c r="E77" s="199">
        <f>IF(Init!$R$9="Yes",'Staging Table'!F79,'Staging Table'!BS79)*Rates_previous!$E$77*100*12</f>
        <v>-1802996.0360633146</v>
      </c>
      <c r="F77" s="200">
        <f>IF(Init!$R$9="Yes",SUMPRODUCT('Staging Table'!L79:AI79,LS_Demand_Rates_Restatement!$C$4:$Z$4)-IF(Init!$R$12="No",('Staging Table'!BH79*Rates_previous!$H$34), 0),SUMPRODUCT('Staging Table'!BY79:CV79,LS_Demand_Rates_Restatement!$C$4:$Z$4)-IF(Init!$R$12="No", 'Staging Table'!DU79*Rates_previous!$H$34, 0))</f>
        <v>59156.637331962542</v>
      </c>
      <c r="G77" s="200">
        <f>IF(Init!$R$9="Yes",SUMPRODUCT('Staging Table'!AJ79:AU79,LS_Demand_Rates_Restatement!$C$10:$N$10),SUMPRODUCT(LS_Demand_Rates_Restatement!$C$10:$N$10,'Staging Table'!CW79:DH79))*1000</f>
        <v>494103.42468241649</v>
      </c>
      <c r="H77" s="201">
        <f>IF(Init!$R$9="Yes",'Staging Table'!BQ79,'Staging Table'!ED79)*IF(Init!$R$3=2022,Rates_previous!$C$88,Rates_previous!$D$88)</f>
        <v>-22012.93156964469</v>
      </c>
      <c r="I77" s="199">
        <v>0</v>
      </c>
      <c r="J77" s="201">
        <f>IF(Init!$R$9="Yes",IF('Staging Table'!D79=1,'Staging Table'!H79*-1*'Staging Table'!BS79/'Staging Table'!BR79,'Staging Table'!H79*SUM(D77:I77)*(-1)),IF('Staging Table'!D79=1,'Staging Table'!BU79*-1*'Staging Table'!BS79/'Staging Table'!BR79,'Staging Table'!BU79*SUM(D77:I77)*(-1)))</f>
        <v>0</v>
      </c>
      <c r="K77" s="199">
        <f>IF(Init!$R$9="Yes",'Staging Table'!K79,'Staging Table'!BX79)*(-1)*Rates_previous!$H$32</f>
        <v>0</v>
      </c>
      <c r="L77" s="199">
        <f>IF('Staging Table'!C79=1,"",SUM(D77:K77))</f>
        <v>9648722.5205233004</v>
      </c>
      <c r="M77" s="199">
        <f>IF('Staging Table'!C79=1,"",IF(Init!$R$9="Yes",(RT1SC!$C$3*'Staging Table'!F79*'Staging Table'!$F$2)+SUM('Staging Table'!L79:AI79)-IF(Init!$R$12="No",'Staging Table'!BH79, 0),X77))</f>
        <v>265596.85774629423</v>
      </c>
      <c r="N77" s="297">
        <f>IF('Staging Table'!C79=1,"",IF(M77=0, 0, L77/M77))</f>
        <v>36.32845133183028</v>
      </c>
      <c r="O77" s="199">
        <f>'Staging Table'!BS79*Rates_current!$E$76*100*12</f>
        <v>10663802.45064</v>
      </c>
      <c r="P77" s="199">
        <f>'Staging Table'!BS79*Rates_current!$E$77*100*12</f>
        <v>-1874037.3793200001</v>
      </c>
      <c r="Q77" s="200">
        <f>SUMPRODUCT('Staging Table'!BY79:CV79, LS_Demand_Rates_Restatement!$C$5:$Z$5)-IF(Init!$R$12="No",('Staging Table'!DU79*Rates_current!$H$34), 0)</f>
        <v>292543.65962391032</v>
      </c>
      <c r="R77" s="200">
        <f>SUMPRODUCT('Staging Table'!CW79:DH79, LS_Demand_Rates_Restatement!$C$11:$N$11)*1000</f>
        <v>499216.11016645317</v>
      </c>
      <c r="S77" s="201">
        <f>'Staging Table'!ED79*IF(Init!$R$15="Yes",IF(Init!$R$6=2024,Rates_current!$C$88,Rates_current!$D$88),Rates_current!$H$33)</f>
        <v>-25.716793310551441</v>
      </c>
      <c r="T77" s="201">
        <v>0</v>
      </c>
      <c r="U77" s="201">
        <f>IF('Staging Table'!D79=1, 'Staging Table'!BU79*-1*'Staging Table'!BS79/'Staging Table'!BR79,SUM(O77:T77)*'Staging Table'!BU79*-1)</f>
        <v>0</v>
      </c>
      <c r="V77" s="199">
        <f>'Staging Table'!BX79*Rates_current!$H$32*-1</f>
        <v>0</v>
      </c>
      <c r="W77" s="199">
        <f>IF('Staging Table'!C79=1,"", SUM(O77:V77))</f>
        <v>9581499.1243170537</v>
      </c>
      <c r="X77" s="199">
        <f>IF('Staging Table'!C79=1,"", (RT1SC!$C$4*'Staging Table'!BS79*'Staging Table'!$BS$2)+SUM('Staging Table'!BY79:CV79)-IF(Init!$R$12="No",'Staging Table'!DU79, 0))</f>
        <v>265596.84521743102</v>
      </c>
      <c r="Y77" s="297">
        <f>IF('Staging Table'!C79=1,"",IF(X77=0, 0, W77/X77))</f>
        <v>36.075349902869341</v>
      </c>
      <c r="Z77" s="76">
        <f ca="1">IF('Staging Table'!C79=1,"",(Y77/N77-1)+(RAND()/100000000000000))</f>
        <v>-6.9670305141558047E-3</v>
      </c>
      <c r="AA77" s="53">
        <f t="shared" ca="1" si="1"/>
        <v>55</v>
      </c>
      <c r="AC77" s="405"/>
      <c r="AD77" s="204"/>
      <c r="AE77" s="204"/>
      <c r="AG77" s="204"/>
      <c r="AH77" s="204"/>
    </row>
    <row r="78" spans="2:34">
      <c r="B78" s="123">
        <v>10236</v>
      </c>
      <c r="C78" s="124" t="s">
        <v>81</v>
      </c>
      <c r="D78" s="199">
        <f>IF(Init!$R$9="Yes",'Staging Table'!F80,'Staging Table'!BS80)*Rates_previous!$E$76*100*12</f>
        <v>9747080.7043685876</v>
      </c>
      <c r="E78" s="199">
        <f>IF(Init!$R$9="Yes",'Staging Table'!F80,'Staging Table'!BS80)*Rates_previous!$E$77*100*12</f>
        <v>-1609266.4123543729</v>
      </c>
      <c r="F78" s="200">
        <f>IF(Init!$R$9="Yes",SUMPRODUCT('Staging Table'!L80:AI80,LS_Demand_Rates_Restatement!$C$4:$Z$4)-IF(Init!$R$12="No",('Staging Table'!BH80*Rates_previous!$H$34), 0),SUMPRODUCT('Staging Table'!BY80:CV80,LS_Demand_Rates_Restatement!$C$4:$Z$4)-IF(Init!$R$12="No", 'Staging Table'!DU80*Rates_previous!$H$34, 0))</f>
        <v>0</v>
      </c>
      <c r="G78" s="200">
        <f>IF(Init!$R$9="Yes",SUMPRODUCT('Staging Table'!AJ80:AU80,LS_Demand_Rates_Restatement!$C$10:$N$10),SUMPRODUCT(LS_Demand_Rates_Restatement!$C$10:$N$10,'Staging Table'!CW80:DH80))*1000</f>
        <v>0</v>
      </c>
      <c r="H78" s="201">
        <f>IF(Init!$R$9="Yes",'Staging Table'!BQ80,'Staging Table'!ED80)*IF(Init!$R$3=2022,Rates_previous!$C$88,Rates_previous!$D$88)</f>
        <v>-4.2482963318196862</v>
      </c>
      <c r="I78" s="199">
        <v>0</v>
      </c>
      <c r="J78" s="201">
        <f>IF(Init!$R$9="Yes",IF('Staging Table'!D80=1,'Staging Table'!H80*-1*'Staging Table'!BS80/'Staging Table'!BR80,'Staging Table'!H80*SUM(D78:I78)*(-1)),IF('Staging Table'!D80=1,'Staging Table'!BU80*-1*'Staging Table'!BS80/'Staging Table'!BR80,'Staging Table'!BU80*SUM(D78:I78)*(-1)))</f>
        <v>-528957.65284166241</v>
      </c>
      <c r="K78" s="199">
        <f>IF(Init!$R$9="Yes",'Staging Table'!K80,'Staging Table'!BX80)*(-1)*Rates_previous!$H$32</f>
        <v>0</v>
      </c>
      <c r="L78" s="199" t="str">
        <f>IF('Staging Table'!C80=1,"",SUM(D78:K78))</f>
        <v/>
      </c>
      <c r="M78" s="199" t="str">
        <f>IF('Staging Table'!C80=1,"",IF(Init!$R$9="Yes",(RT1SC!$C$3*'Staging Table'!F80*'Staging Table'!$F$2)+SUM('Staging Table'!L80:AI80)-IF(Init!$R$12="No",'Staging Table'!BH80, 0),X78))</f>
        <v/>
      </c>
      <c r="N78" s="297" t="str">
        <f>IF('Staging Table'!C80=1,"",IF(M78=0, 0, L78/M78))</f>
        <v/>
      </c>
      <c r="O78" s="199">
        <f>'Staging Table'!BS80*Rates_current!$E$76*100*12</f>
        <v>9901016.8524000011</v>
      </c>
      <c r="P78" s="199">
        <f>'Staging Table'!BS80*Rates_current!$E$77*100*12</f>
        <v>-1739986.8161999998</v>
      </c>
      <c r="Q78" s="200">
        <f>SUMPRODUCT('Staging Table'!BY80:CV80, LS_Demand_Rates_Restatement!$C$5:$Z$5)-IF(Init!$R$12="No",('Staging Table'!DU80*Rates_current!$H$34), 0)</f>
        <v>0</v>
      </c>
      <c r="R78" s="200">
        <f>SUMPRODUCT('Staging Table'!CW80:DH80, LS_Demand_Rates_Restatement!$C$11:$N$11)*1000</f>
        <v>0</v>
      </c>
      <c r="S78" s="201">
        <f>'Staging Table'!ED80*IF(Init!$R$15="Yes",IF(Init!$R$6=2024,Rates_current!$C$88,Rates_current!$D$88),Rates_current!$H$33)</f>
        <v>-20.347393971515121</v>
      </c>
      <c r="T78" s="201">
        <v>0</v>
      </c>
      <c r="U78" s="201">
        <f>IF('Staging Table'!D80=1, 'Staging Table'!BU80*-1*'Staging Table'!BS80/'Staging Table'!BR80,SUM(O78:T78)*'Staging Table'!BU80*-1)</f>
        <v>-530465.62977239199</v>
      </c>
      <c r="V78" s="199">
        <f>'Staging Table'!BX80*Rates_current!$H$32*-1</f>
        <v>0</v>
      </c>
      <c r="W78" s="199" t="str">
        <f>IF('Staging Table'!C80=1,"", SUM(O78:V78))</f>
        <v/>
      </c>
      <c r="X78" s="199" t="str">
        <f>IF('Staging Table'!C80=1,"", (RT1SC!$C$4*'Staging Table'!BS80*'Staging Table'!$BS$2)+SUM('Staging Table'!BY80:CV80)-IF(Init!$R$12="No",'Staging Table'!DU80, 0))</f>
        <v/>
      </c>
      <c r="Y78" s="297" t="str">
        <f>IF('Staging Table'!C80=1,"",IF(X78=0, 0, W78/X78))</f>
        <v/>
      </c>
      <c r="Z78" s="76" t="str">
        <f ca="1">IF('Staging Table'!C80=1,"",(Y78/N78-1)+(RAND()/100000000000000))</f>
        <v/>
      </c>
      <c r="AA78" s="53" t="str">
        <f t="shared" ca="1" si="1"/>
        <v/>
      </c>
      <c r="AC78" s="405"/>
      <c r="AD78" s="204"/>
      <c r="AE78" s="204"/>
      <c r="AG78" s="204"/>
      <c r="AH78" s="204"/>
    </row>
    <row r="79" spans="2:34">
      <c r="B79" s="123">
        <v>10237</v>
      </c>
      <c r="C79" s="124" t="s">
        <v>82</v>
      </c>
      <c r="D79" s="199">
        <f>IF(Init!$R$9="Yes",'Staging Table'!F81,'Staging Table'!BS81)*Rates_previous!$E$76*100*12</f>
        <v>15588374.634667765</v>
      </c>
      <c r="E79" s="199">
        <f>IF(Init!$R$9="Yes",'Staging Table'!F81,'Staging Table'!BS81)*Rates_previous!$E$77*100*12</f>
        <v>-2573678.0563973747</v>
      </c>
      <c r="F79" s="200">
        <f>IF(Init!$R$9="Yes",SUMPRODUCT('Staging Table'!L81:AI81,LS_Demand_Rates_Restatement!$C$4:$Z$4)-IF(Init!$R$12="No",('Staging Table'!BH81*Rates_previous!$H$34), 0),SUMPRODUCT('Staging Table'!BY81:CV81,LS_Demand_Rates_Restatement!$C$4:$Z$4)-IF(Init!$R$12="No", 'Staging Table'!DU81*Rates_previous!$H$34, 0))</f>
        <v>75373.24814355337</v>
      </c>
      <c r="G79" s="200">
        <f>IF(Init!$R$9="Yes",SUMPRODUCT('Staging Table'!AJ81:AU81,LS_Demand_Rates_Restatement!$C$10:$N$10),SUMPRODUCT(LS_Demand_Rates_Restatement!$C$10:$N$10,'Staging Table'!CW81:DH81))*1000</f>
        <v>0</v>
      </c>
      <c r="H79" s="201">
        <f>IF(Init!$R$9="Yes",'Staging Table'!BQ81,'Staging Table'!ED81)*IF(Init!$R$3=2022,Rates_previous!$C$88,Rates_previous!$D$88)</f>
        <v>0</v>
      </c>
      <c r="I79" s="199">
        <v>0</v>
      </c>
      <c r="J79" s="201">
        <f>IF(Init!$R$9="Yes",IF('Staging Table'!D81=1,'Staging Table'!H81*-1*'Staging Table'!BS81/'Staging Table'!BR81,'Staging Table'!H81*SUM(D79:I79)*(-1)),IF('Staging Table'!D81=1,'Staging Table'!BU81*-1*'Staging Table'!BS81/'Staging Table'!BR81,'Staging Table'!BU81*SUM(D79:I79)*(-1)))</f>
        <v>-726508.38110261655</v>
      </c>
      <c r="K79" s="199">
        <f>IF(Init!$R$9="Yes",'Staging Table'!K81,'Staging Table'!BX81)*(-1)*Rates_previous!$H$32</f>
        <v>0</v>
      </c>
      <c r="L79" s="199">
        <f>IF('Staging Table'!C81=1,"",SUM(D79:K79))</f>
        <v>12363561.445311328</v>
      </c>
      <c r="M79" s="199">
        <f>IF('Staging Table'!C81=1,"",IF(Init!$R$9="Yes",(RT1SC!$C$3*'Staging Table'!F81*'Staging Table'!$F$2)+SUM('Staging Table'!L81:AI81)-IF(Init!$R$12="No",'Staging Table'!BH81, 0),X79))</f>
        <v>383588.35172830714</v>
      </c>
      <c r="N79" s="297">
        <f>IF('Staging Table'!C81=1,"",IF(M79=0, 0, L79/M79))</f>
        <v>32.231326602087101</v>
      </c>
      <c r="O79" s="199">
        <f>'Staging Table'!BS81*Rates_current!$E$76*100*12</f>
        <v>16189638.551280001</v>
      </c>
      <c r="P79" s="199">
        <f>'Staging Table'!BS81*Rates_current!$E$77*100*12</f>
        <v>-2845137.8336399999</v>
      </c>
      <c r="Q79" s="200">
        <f>SUMPRODUCT('Staging Table'!BY81:CV81, LS_Demand_Rates_Restatement!$C$5:$Z$5)-IF(Init!$R$12="No",('Staging Table'!DU81*Rates_current!$H$34), 0)</f>
        <v>105997.69757389235</v>
      </c>
      <c r="R79" s="200">
        <f>SUMPRODUCT('Staging Table'!CW81:DH81, LS_Demand_Rates_Restatement!$C$11:$N$11)*1000</f>
        <v>0</v>
      </c>
      <c r="S79" s="201">
        <f>'Staging Table'!ED81*IF(Init!$R$15="Yes",IF(Init!$R$6=2024,Rates_current!$C$88,Rates_current!$D$88),Rates_current!$H$33)</f>
        <v>0</v>
      </c>
      <c r="T79" s="201">
        <v>0</v>
      </c>
      <c r="U79" s="201">
        <f>IF('Staging Table'!D81=1, 'Staging Table'!BU81*-1*'Staging Table'!BS81/'Staging Table'!BR81,SUM(O79:T79)*'Staging Table'!BU81*-1)</f>
        <v>-726508.38110261655</v>
      </c>
      <c r="V79" s="199">
        <f>'Staging Table'!BX81*Rates_current!$H$32*-1</f>
        <v>0</v>
      </c>
      <c r="W79" s="199">
        <f>IF('Staging Table'!C81=1,"", SUM(O79:V79))</f>
        <v>12723990.034111278</v>
      </c>
      <c r="X79" s="199">
        <f>IF('Staging Table'!C81=1,"", (RT1SC!$C$4*'Staging Table'!BS81*'Staging Table'!$BS$2)+SUM('Staging Table'!BY81:CV81)-IF(Init!$R$12="No",'Staging Table'!DU81, 0))</f>
        <v>403220.02757912123</v>
      </c>
      <c r="Y79" s="297">
        <f>IF('Staging Table'!C81=1,"",IF(X79=0, 0, W79/X79))</f>
        <v>31.55594753193288</v>
      </c>
      <c r="Z79" s="76">
        <f ca="1">IF('Staging Table'!C81=1,"",(Y79/N79-1)+(RAND()/100000000000000))</f>
        <v>-2.0954119527620319E-2</v>
      </c>
      <c r="AA79" s="53">
        <f t="shared" ca="1" si="1"/>
        <v>105</v>
      </c>
      <c r="AC79" s="405"/>
      <c r="AD79" s="204"/>
      <c r="AE79" s="204"/>
      <c r="AG79" s="204"/>
      <c r="AH79" s="204"/>
    </row>
    <row r="80" spans="2:34">
      <c r="B80" s="123">
        <v>10239</v>
      </c>
      <c r="C80" s="124" t="s">
        <v>83</v>
      </c>
      <c r="D80" s="199">
        <f>IF(Init!$R$9="Yes",'Staging Table'!F82,'Staging Table'!BS82)*Rates_previous!$E$76*100*12</f>
        <v>4754234.8373504058</v>
      </c>
      <c r="E80" s="199">
        <f>IF(Init!$R$9="Yes",'Staging Table'!F82,'Staging Table'!BS82)*Rates_previous!$E$77*100*12</f>
        <v>-784935.57940522663</v>
      </c>
      <c r="F80" s="200">
        <f>IF(Init!$R$9="Yes",SUMPRODUCT('Staging Table'!L82:AI82,LS_Demand_Rates_Restatement!$C$4:$Z$4)-IF(Init!$R$12="No",('Staging Table'!BH82*Rates_previous!$H$34), 0),SUMPRODUCT('Staging Table'!BY82:CV82,LS_Demand_Rates_Restatement!$C$4:$Z$4)-IF(Init!$R$12="No", 'Staging Table'!DU82*Rates_previous!$H$34, 0))</f>
        <v>0</v>
      </c>
      <c r="G80" s="200">
        <f>IF(Init!$R$9="Yes",SUMPRODUCT('Staging Table'!AJ82:AU82,LS_Demand_Rates_Restatement!$C$10:$N$10),SUMPRODUCT(LS_Demand_Rates_Restatement!$C$10:$N$10,'Staging Table'!CW82:DH82))*1000</f>
        <v>0</v>
      </c>
      <c r="H80" s="201">
        <f>IF(Init!$R$9="Yes",'Staging Table'!BQ82,'Staging Table'!ED82)*IF(Init!$R$3=2022,Rates_previous!$C$88,Rates_previous!$D$88)</f>
        <v>0</v>
      </c>
      <c r="I80" s="199">
        <v>0</v>
      </c>
      <c r="J80" s="201">
        <f>IF(Init!$R$9="Yes",IF('Staging Table'!D82=1,'Staging Table'!H82*-1*'Staging Table'!BS82/'Staging Table'!BR82,'Staging Table'!H82*SUM(D80:I80)*(-1)),IF('Staging Table'!D82=1,'Staging Table'!BU82*-1*'Staging Table'!BS82/'Staging Table'!BR82,'Staging Table'!BU82*SUM(D80:I80)*(-1)))</f>
        <v>-304921.56899534864</v>
      </c>
      <c r="K80" s="199">
        <f>IF(Init!$R$9="Yes",'Staging Table'!K82,'Staging Table'!BX82)*(-1)*Rates_previous!$H$32</f>
        <v>0</v>
      </c>
      <c r="L80" s="199" t="str">
        <f>IF('Staging Table'!C82=1,"",SUM(D80:K80))</f>
        <v/>
      </c>
      <c r="M80" s="199" t="str">
        <f>IF('Staging Table'!C82=1,"",IF(Init!$R$9="Yes",(RT1SC!$C$3*'Staging Table'!F82*'Staging Table'!$F$2)+SUM('Staging Table'!L82:AI82)-IF(Init!$R$12="No",'Staging Table'!BH82, 0),X80))</f>
        <v/>
      </c>
      <c r="N80" s="297" t="str">
        <f>IF('Staging Table'!C82=1,"",IF(M80=0, 0, L80/M80))</f>
        <v/>
      </c>
      <c r="O80" s="199">
        <f>'Staging Table'!BS82*Rates_current!$E$76*100*12</f>
        <v>4937679.0799200013</v>
      </c>
      <c r="P80" s="199">
        <f>'Staging Table'!BS82*Rates_current!$E$77*100*12</f>
        <v>-867738.80196000007</v>
      </c>
      <c r="Q80" s="200">
        <f>SUMPRODUCT('Staging Table'!BY82:CV82, LS_Demand_Rates_Restatement!$C$5:$Z$5)-IF(Init!$R$12="No",('Staging Table'!DU82*Rates_current!$H$34), 0)</f>
        <v>0</v>
      </c>
      <c r="R80" s="200">
        <f>SUMPRODUCT('Staging Table'!CW82:DH82, LS_Demand_Rates_Restatement!$C$11:$N$11)*1000</f>
        <v>0</v>
      </c>
      <c r="S80" s="201">
        <f>'Staging Table'!ED82*IF(Init!$R$15="Yes",IF(Init!$R$6=2024,Rates_current!$C$88,Rates_current!$D$88),Rates_current!$H$33)</f>
        <v>0</v>
      </c>
      <c r="T80" s="201">
        <v>0</v>
      </c>
      <c r="U80" s="201">
        <f>IF('Staging Table'!D82=1, 'Staging Table'!BU82*-1*'Staging Table'!BS82/'Staging Table'!BR82,SUM(O80:T80)*'Staging Table'!BU82*-1)</f>
        <v>-307056.64427069237</v>
      </c>
      <c r="V80" s="199">
        <f>'Staging Table'!BX82*Rates_current!$H$32*-1</f>
        <v>0</v>
      </c>
      <c r="W80" s="199" t="str">
        <f>IF('Staging Table'!C82=1,"", SUM(O80:V80))</f>
        <v/>
      </c>
      <c r="X80" s="199" t="str">
        <f>IF('Staging Table'!C82=1,"", (RT1SC!$C$4*'Staging Table'!BS82*'Staging Table'!$BS$2)+SUM('Staging Table'!BY82:CV82)-IF(Init!$R$12="No",'Staging Table'!DU82, 0))</f>
        <v/>
      </c>
      <c r="Y80" s="297" t="str">
        <f>IF('Staging Table'!C82=1,"",IF(X80=0, 0, W80/X80))</f>
        <v/>
      </c>
      <c r="Z80" s="76" t="str">
        <f ca="1">IF('Staging Table'!C82=1,"",(Y80/N80-1)+(RAND()/100000000000000))</f>
        <v/>
      </c>
      <c r="AA80" s="53" t="str">
        <f t="shared" ca="1" si="1"/>
        <v/>
      </c>
      <c r="AC80" s="405"/>
      <c r="AD80" s="204"/>
      <c r="AE80" s="204"/>
      <c r="AG80" s="204"/>
      <c r="AH80" s="204"/>
    </row>
    <row r="81" spans="2:34">
      <c r="B81" s="123">
        <v>10242</v>
      </c>
      <c r="C81" s="124" t="s">
        <v>84</v>
      </c>
      <c r="D81" s="199">
        <f>IF(Init!$R$9="Yes",'Staging Table'!F83,'Staging Table'!BS83)*Rates_previous!$E$76*100*12</f>
        <v>3234798.1700388212</v>
      </c>
      <c r="E81" s="199">
        <f>IF(Init!$R$9="Yes",'Staging Table'!F83,'Staging Table'!BS83)*Rates_previous!$E$77*100*12</f>
        <v>-534072.93975269119</v>
      </c>
      <c r="F81" s="200">
        <f>IF(Init!$R$9="Yes",SUMPRODUCT('Staging Table'!L83:AI83,LS_Demand_Rates_Restatement!$C$4:$Z$4)-IF(Init!$R$12="No",('Staging Table'!BH83*Rates_previous!$H$34), 0),SUMPRODUCT('Staging Table'!BY83:CV83,LS_Demand_Rates_Restatement!$C$4:$Z$4)-IF(Init!$R$12="No", 'Staging Table'!DU83*Rates_previous!$H$34, 0))</f>
        <v>-114701.35007228708</v>
      </c>
      <c r="G81" s="200">
        <f>IF(Init!$R$9="Yes",SUMPRODUCT('Staging Table'!AJ83:AU83,LS_Demand_Rates_Restatement!$C$10:$N$10),SUMPRODUCT(LS_Demand_Rates_Restatement!$C$10:$N$10,'Staging Table'!CW83:DH83))*1000</f>
        <v>217051.21972686963</v>
      </c>
      <c r="H81" s="201">
        <f>IF(Init!$R$9="Yes",'Staging Table'!BQ83,'Staging Table'!ED83)*IF(Init!$R$3=2022,Rates_previous!$C$88,Rates_previous!$D$88)</f>
        <v>0</v>
      </c>
      <c r="I81" s="199">
        <v>0</v>
      </c>
      <c r="J81" s="201">
        <f>IF(Init!$R$9="Yes",IF('Staging Table'!D83=1,'Staging Table'!H83*-1*'Staging Table'!BS83/'Staging Table'!BR83,'Staging Table'!H83*SUM(D81:I81)*(-1)),IF('Staging Table'!D83=1,'Staging Table'!BU83*-1*'Staging Table'!BS83/'Staging Table'!BR83,'Staging Table'!BU83*SUM(D81:I81)*(-1)))</f>
        <v>-208100.29541959849</v>
      </c>
      <c r="K81" s="199">
        <f>IF(Init!$R$9="Yes",'Staging Table'!K83,'Staging Table'!BX83)*(-1)*Rates_previous!$H$32</f>
        <v>-409391.94459999999</v>
      </c>
      <c r="L81" s="199">
        <f>IF('Staging Table'!C83=1,"",SUM(D81:K81))</f>
        <v>2185582.8599211141</v>
      </c>
      <c r="M81" s="199">
        <f>IF('Staging Table'!C83=1,"",IF(Init!$R$9="Yes",(RT1SC!$C$3*'Staging Table'!F83*'Staging Table'!$F$2)+SUM('Staging Table'!L83:AI83)-IF(Init!$R$12="No",'Staging Table'!BH83, 0),X81))</f>
        <v>79602.12</v>
      </c>
      <c r="N81" s="297">
        <f>IF('Staging Table'!C83=1,"",IF(M81=0, 0, L81/M81))</f>
        <v>27.456339855284185</v>
      </c>
      <c r="O81" s="199">
        <f>'Staging Table'!BS83*Rates_current!$E$76*100*12</f>
        <v>3359544.9307200001</v>
      </c>
      <c r="P81" s="199">
        <f>'Staging Table'!BS83*Rates_current!$E$77*100*12</f>
        <v>-590400.35736000002</v>
      </c>
      <c r="Q81" s="200">
        <f>SUMPRODUCT('Staging Table'!BY83:CV83, LS_Demand_Rates_Restatement!$C$5:$Z$5)-IF(Init!$R$12="No",('Staging Table'!DU83*Rates_current!$H$34), 0)</f>
        <v>44798.771707534826</v>
      </c>
      <c r="R81" s="200">
        <f>SUMPRODUCT('Staging Table'!CW83:DH83, LS_Demand_Rates_Restatement!$C$11:$N$11)*1000</f>
        <v>227184.58315184285</v>
      </c>
      <c r="S81" s="201">
        <f>'Staging Table'!ED83*IF(Init!$R$15="Yes",IF(Init!$R$6=2024,Rates_current!$C$88,Rates_current!$D$88),Rates_current!$H$33)</f>
        <v>0</v>
      </c>
      <c r="T81" s="201">
        <v>0</v>
      </c>
      <c r="U81" s="201">
        <f>IF('Staging Table'!D83=1, 'Staging Table'!BU83*-1*'Staging Table'!BS83/'Staging Table'!BR83,SUM(O81:T81)*'Staging Table'!BU83*-1)</f>
        <v>-252589.84128558199</v>
      </c>
      <c r="V81" s="199">
        <f>'Staging Table'!BX83*Rates_current!$H$32*-1</f>
        <v>-434556.40358000004</v>
      </c>
      <c r="W81" s="199">
        <f>IF('Staging Table'!C83=1,"", SUM(O81:V81))</f>
        <v>2353981.6833537952</v>
      </c>
      <c r="X81" s="199">
        <f>IF('Staging Table'!C83=1,"", (RT1SC!$C$4*'Staging Table'!BS83*'Staging Table'!$BS$2)+SUM('Staging Table'!BY83:CV83)-IF(Init!$R$12="No",'Staging Table'!DU83, 0))</f>
        <v>83676.384000000005</v>
      </c>
      <c r="Y81" s="297">
        <f>IF('Staging Table'!C83=1,"",IF(X81=0, 0, W81/X81))</f>
        <v>28.131971899667594</v>
      </c>
      <c r="Z81" s="76">
        <f ca="1">IF('Staging Table'!C83=1,"",(Y81/N81-1)+(RAND()/100000000000000))</f>
        <v>2.4607505878224505E-2</v>
      </c>
      <c r="AA81" s="53">
        <f t="shared" ca="1" si="1"/>
        <v>11</v>
      </c>
      <c r="AC81" s="405"/>
      <c r="AD81" s="204"/>
      <c r="AE81" s="204"/>
      <c r="AG81" s="204"/>
      <c r="AH81" s="204"/>
    </row>
    <row r="82" spans="2:34">
      <c r="B82" s="123">
        <v>10244</v>
      </c>
      <c r="C82" s="124" t="s">
        <v>85</v>
      </c>
      <c r="D82" s="199">
        <f>IF(Init!$R$9="Yes",'Staging Table'!F84,'Staging Table'!BS84)*Rates_previous!$E$76*100*12</f>
        <v>29216781.484938815</v>
      </c>
      <c r="E82" s="199">
        <f>IF(Init!$R$9="Yes",'Staging Table'!F84,'Staging Table'!BS84)*Rates_previous!$E$77*100*12</f>
        <v>-4823760.7286596205</v>
      </c>
      <c r="F82" s="200">
        <f>IF(Init!$R$9="Yes",SUMPRODUCT('Staging Table'!L84:AI84,LS_Demand_Rates_Restatement!$C$4:$Z$4)-IF(Init!$R$12="No",('Staging Table'!BH84*Rates_previous!$H$34), 0),SUMPRODUCT('Staging Table'!BY84:CV84,LS_Demand_Rates_Restatement!$C$4:$Z$4)-IF(Init!$R$12="No", 'Staging Table'!DU84*Rates_previous!$H$34, 0))</f>
        <v>928520.16009937786</v>
      </c>
      <c r="G82" s="200">
        <f>IF(Init!$R$9="Yes",SUMPRODUCT('Staging Table'!AJ84:AU84,LS_Demand_Rates_Restatement!$C$10:$N$10),SUMPRODUCT(LS_Demand_Rates_Restatement!$C$10:$N$10,'Staging Table'!CW84:DH84))*1000</f>
        <v>2060264.3952961538</v>
      </c>
      <c r="H82" s="201">
        <f>IF(Init!$R$9="Yes",'Staging Table'!BQ84,'Staging Table'!ED84)*IF(Init!$R$3=2022,Rates_previous!$C$88,Rates_previous!$D$88)</f>
        <v>0</v>
      </c>
      <c r="I82" s="199">
        <v>0</v>
      </c>
      <c r="J82" s="201">
        <f>IF(Init!$R$9="Yes",IF('Staging Table'!D84=1,'Staging Table'!H84*-1*'Staging Table'!BS84/'Staging Table'!BR84,'Staging Table'!H84*SUM(D82:I82)*(-1)),IF('Staging Table'!D84=1,'Staging Table'!BU84*-1*'Staging Table'!BS84/'Staging Table'!BR84,'Staging Table'!BU84*SUM(D82:I82)*(-1)))</f>
        <v>-1964644.5311126614</v>
      </c>
      <c r="K82" s="199">
        <f>IF(Init!$R$9="Yes",'Staging Table'!K84,'Staging Table'!BX84)*(-1)*Rates_previous!$H$32</f>
        <v>0</v>
      </c>
      <c r="L82" s="199">
        <f>IF('Staging Table'!C84=1,"",SUM(D82:K82))</f>
        <v>25417160.780562066</v>
      </c>
      <c r="M82" s="199">
        <f>IF('Staging Table'!C84=1,"",IF(Init!$R$9="Yes",(RT1SC!$C$3*'Staging Table'!F84*'Staging Table'!$F$2)+SUM('Staging Table'!L84:AI84)-IF(Init!$R$12="No",'Staging Table'!BH84, 0),X82))</f>
        <v>718941.96</v>
      </c>
      <c r="N82" s="297">
        <f>IF('Staging Table'!C84=1,"",IF(M82=0, 0, L82/M82))</f>
        <v>35.353564257902079</v>
      </c>
      <c r="O82" s="199">
        <f>'Staging Table'!BS84*Rates_current!$E$76*100*12</f>
        <v>30344268.757679999</v>
      </c>
      <c r="P82" s="199">
        <f>'Staging Table'!BS84*Rates_current!$E$77*100*12</f>
        <v>-5332646.9768399997</v>
      </c>
      <c r="Q82" s="200">
        <f>SUMPRODUCT('Staging Table'!BY84:CV84, LS_Demand_Rates_Restatement!$C$5:$Z$5)-IF(Init!$R$12="No",('Staging Table'!DU84*Rates_current!$H$34), 0)</f>
        <v>1284228.6032600878</v>
      </c>
      <c r="R82" s="200">
        <f>SUMPRODUCT('Staging Table'!CW84:DH84, LS_Demand_Rates_Restatement!$C$11:$N$11)*1000</f>
        <v>2007273.9301954329</v>
      </c>
      <c r="S82" s="201">
        <f>'Staging Table'!ED84*IF(Init!$R$15="Yes",IF(Init!$R$6=2024,Rates_current!$C$88,Rates_current!$D$88),Rates_current!$H$33)</f>
        <v>0</v>
      </c>
      <c r="T82" s="201">
        <v>0</v>
      </c>
      <c r="U82" s="201">
        <f>IF('Staging Table'!D84=1, 'Staging Table'!BU84*-1*'Staging Table'!BS84/'Staging Table'!BR84,SUM(O82:T82)*'Staging Table'!BU84*-1)</f>
        <v>-1973053.8963859489</v>
      </c>
      <c r="V82" s="199">
        <f>'Staging Table'!BX84*Rates_current!$H$32*-1</f>
        <v>0</v>
      </c>
      <c r="W82" s="199">
        <f>IF('Staging Table'!C84=1,"", SUM(O82:V82))</f>
        <v>26330070.41790957</v>
      </c>
      <c r="X82" s="199">
        <f>IF('Staging Table'!C84=1,"", (RT1SC!$C$4*'Staging Table'!BS84*'Staging Table'!$BS$2)+SUM('Staging Table'!BY84:CV84)-IF(Init!$R$12="No",'Staging Table'!DU84, 0))</f>
        <v>755757.79200000002</v>
      </c>
      <c r="Y82" s="297">
        <f>IF('Staging Table'!C84=1,"",IF(X82=0, 0, W82/X82))</f>
        <v>34.83929732068124</v>
      </c>
      <c r="Z82" s="76">
        <f ca="1">IF('Staging Table'!C84=1,"",(Y82/N82-1)+(RAND()/100000000000000))</f>
        <v>-1.4546395759960043E-2</v>
      </c>
      <c r="AA82" s="53">
        <f t="shared" ca="1" si="1"/>
        <v>85</v>
      </c>
      <c r="AC82" s="405"/>
      <c r="AD82" s="204"/>
      <c r="AE82" s="204"/>
      <c r="AG82" s="204"/>
      <c r="AH82" s="204"/>
    </row>
    <row r="83" spans="2:34">
      <c r="B83" s="123">
        <v>10246</v>
      </c>
      <c r="C83" s="124" t="s">
        <v>86</v>
      </c>
      <c r="D83" s="199">
        <f>IF(Init!$R$9="Yes",'Staging Table'!F85,'Staging Table'!BS85)*Rates_previous!$E$76*100*12</f>
        <v>3051823.0789468479</v>
      </c>
      <c r="E83" s="199">
        <f>IF(Init!$R$9="Yes",'Staging Table'!F85,'Staging Table'!BS85)*Rates_previous!$E$77*100*12</f>
        <v>-503863.31316574605</v>
      </c>
      <c r="F83" s="200">
        <f>IF(Init!$R$9="Yes",SUMPRODUCT('Staging Table'!L85:AI85,LS_Demand_Rates_Restatement!$C$4:$Z$4)-IF(Init!$R$12="No",('Staging Table'!BH85*Rates_previous!$H$34), 0),SUMPRODUCT('Staging Table'!BY85:CV85,LS_Demand_Rates_Restatement!$C$4:$Z$4)-IF(Init!$R$12="No", 'Staging Table'!DU85*Rates_previous!$H$34, 0))</f>
        <v>70552.780222838788</v>
      </c>
      <c r="G83" s="200">
        <f>IF(Init!$R$9="Yes",SUMPRODUCT('Staging Table'!AJ85:AU85,LS_Demand_Rates_Restatement!$C$10:$N$10),SUMPRODUCT(LS_Demand_Rates_Restatement!$C$10:$N$10,'Staging Table'!CW85:DH85))*1000</f>
        <v>269749.74767509795</v>
      </c>
      <c r="H83" s="201">
        <f>IF(Init!$R$9="Yes",'Staging Table'!BQ85,'Staging Table'!ED85)*IF(Init!$R$3=2022,Rates_previous!$C$88,Rates_previous!$D$88)</f>
        <v>0</v>
      </c>
      <c r="I83" s="199">
        <v>0</v>
      </c>
      <c r="J83" s="201">
        <f>IF(Init!$R$9="Yes",IF('Staging Table'!D85=1,'Staging Table'!H85*-1*'Staging Table'!BS85/'Staging Table'!BR85,'Staging Table'!H85*SUM(D83:I83)*(-1)),IF('Staging Table'!D85=1,'Staging Table'!BU85*-1*'Staging Table'!BS85/'Staging Table'!BR85,'Staging Table'!BU85*SUM(D83:I83)*(-1)))</f>
        <v>-178927.84909341644</v>
      </c>
      <c r="K83" s="199">
        <f>IF(Init!$R$9="Yes",'Staging Table'!K85,'Staging Table'!BX85)*(-1)*Rates_previous!$H$32</f>
        <v>0</v>
      </c>
      <c r="L83" s="199">
        <f>IF('Staging Table'!C85=1,"",SUM(D83:K83))</f>
        <v>2709334.4445856223</v>
      </c>
      <c r="M83" s="199">
        <f>IF('Staging Table'!C85=1,"",IF(Init!$R$9="Yes",(RT1SC!$C$3*'Staging Table'!F85*'Staging Table'!$F$2)+SUM('Staging Table'!L85:AI85)-IF(Init!$R$12="No",'Staging Table'!BH85, 0),X83))</f>
        <v>75099.48000000001</v>
      </c>
      <c r="N83" s="297">
        <f>IF('Staging Table'!C85=1,"",IF(M83=0, 0, L83/M83))</f>
        <v>36.07660724928617</v>
      </c>
      <c r="O83" s="199">
        <f>'Staging Table'!BS85*Rates_current!$E$76*100*12</f>
        <v>3169471.3149600001</v>
      </c>
      <c r="P83" s="199">
        <f>'Staging Table'!BS85*Rates_current!$E$77*100*12</f>
        <v>-556997.1634800001</v>
      </c>
      <c r="Q83" s="200">
        <f>SUMPRODUCT('Staging Table'!BY85:CV85, LS_Demand_Rates_Restatement!$C$5:$Z$5)-IF(Init!$R$12="No",('Staging Table'!DU85*Rates_current!$H$34), 0)</f>
        <v>102178.12965518096</v>
      </c>
      <c r="R83" s="200">
        <f>SUMPRODUCT('Staging Table'!CW85:DH85, LS_Demand_Rates_Restatement!$C$11:$N$11)*1000</f>
        <v>261956.15559513896</v>
      </c>
      <c r="S83" s="201">
        <f>'Staging Table'!ED85*IF(Init!$R$15="Yes",IF(Init!$R$6=2024,Rates_current!$C$88,Rates_current!$D$88),Rates_current!$H$33)</f>
        <v>0</v>
      </c>
      <c r="T83" s="201">
        <v>0</v>
      </c>
      <c r="U83" s="201">
        <f>IF('Staging Table'!D85=1, 'Staging Table'!BU85*-1*'Staging Table'!BS85/'Staging Table'!BR85,SUM(O83:T83)*'Staging Table'!BU85*-1)</f>
        <v>0</v>
      </c>
      <c r="V83" s="199">
        <f>'Staging Table'!BX85*Rates_current!$H$32*-1</f>
        <v>0</v>
      </c>
      <c r="W83" s="199">
        <f>IF('Staging Table'!C85=1,"", SUM(O83:V83))</f>
        <v>2976608.4367303201</v>
      </c>
      <c r="X83" s="199">
        <f>IF('Staging Table'!C85=1,"", (RT1SC!$C$4*'Staging Table'!BS85*'Staging Table'!$BS$2)+SUM('Staging Table'!BY85:CV85)-IF(Init!$R$12="No",'Staging Table'!DU85, 0))</f>
        <v>78941.808000000005</v>
      </c>
      <c r="Y83" s="297">
        <f>IF('Staging Table'!C85=1,"",IF(X83=0, 0, W83/X83))</f>
        <v>37.70636259978135</v>
      </c>
      <c r="Z83" s="76">
        <f ca="1">IF('Staging Table'!C85=1,"",(Y83/N83-1)+(RAND()/100000000000000))</f>
        <v>4.5174850817704566E-2</v>
      </c>
      <c r="AA83" s="53">
        <f t="shared" ca="1" si="1"/>
        <v>2</v>
      </c>
      <c r="AC83" s="405"/>
      <c r="AD83" s="204"/>
      <c r="AE83" s="204"/>
      <c r="AG83" s="204"/>
      <c r="AH83" s="204"/>
    </row>
    <row r="84" spans="2:34">
      <c r="B84" s="123">
        <v>10247</v>
      </c>
      <c r="C84" s="124" t="s">
        <v>87</v>
      </c>
      <c r="D84" s="199">
        <f>IF(Init!$R$9="Yes",'Staging Table'!F86,'Staging Table'!BS86)*Rates_previous!$E$76*100*12</f>
        <v>27142424.29234961</v>
      </c>
      <c r="E84" s="199">
        <f>IF(Init!$R$9="Yes",'Staging Table'!F86,'Staging Table'!BS86)*Rates_previous!$E$77*100*12</f>
        <v>-4481279.378755196</v>
      </c>
      <c r="F84" s="200">
        <f>IF(Init!$R$9="Yes",SUMPRODUCT('Staging Table'!L86:AI86,LS_Demand_Rates_Restatement!$C$4:$Z$4)-IF(Init!$R$12="No",('Staging Table'!BH86*Rates_previous!$H$34), 0),SUMPRODUCT('Staging Table'!BY86:CV86,LS_Demand_Rates_Restatement!$C$4:$Z$4)-IF(Init!$R$12="No", 'Staging Table'!DU86*Rates_previous!$H$34, 0))</f>
        <v>496550.77662814502</v>
      </c>
      <c r="G84" s="200">
        <f>IF(Init!$R$9="Yes",SUMPRODUCT('Staging Table'!AJ86:AU86,LS_Demand_Rates_Restatement!$C$10:$N$10),SUMPRODUCT(LS_Demand_Rates_Restatement!$C$10:$N$10,'Staging Table'!CW86:DH86))*1000</f>
        <v>1284938.3948620553</v>
      </c>
      <c r="H84" s="201">
        <f>IF(Init!$R$9="Yes",'Staging Table'!BQ86,'Staging Table'!ED86)*IF(Init!$R$3=2022,Rates_previous!$C$88,Rates_previous!$D$88)</f>
        <v>0</v>
      </c>
      <c r="I84" s="199">
        <v>0</v>
      </c>
      <c r="J84" s="201">
        <f>IF(Init!$R$9="Yes",IF('Staging Table'!D86=1,'Staging Table'!H86*-1*'Staging Table'!BS86/'Staging Table'!BR86,'Staging Table'!H86*SUM(D84:I84)*(-1)),IF('Staging Table'!D86=1,'Staging Table'!BU86*-1*'Staging Table'!BS86/'Staging Table'!BR86,'Staging Table'!BU86*SUM(D84:I84)*(-1)))</f>
        <v>-1248529.7490661221</v>
      </c>
      <c r="K84" s="199">
        <f>IF(Init!$R$9="Yes",'Staging Table'!K86,'Staging Table'!BX86)*(-1)*Rates_previous!$H$32</f>
        <v>0</v>
      </c>
      <c r="L84" s="199">
        <f>IF('Staging Table'!C86=1,"",SUM(D84:K84))</f>
        <v>23194104.336018492</v>
      </c>
      <c r="M84" s="199">
        <f>IF('Staging Table'!C86=1,"",IF(Init!$R$9="Yes",(RT1SC!$C$3*'Staging Table'!F86*'Staging Table'!$F$2)+SUM('Staging Table'!L86:AI86)-IF(Init!$R$12="No",'Staging Table'!BH86, 0),X84))</f>
        <v>667897.43999999994</v>
      </c>
      <c r="N84" s="297">
        <f>IF('Staging Table'!C86=1,"",IF(M84=0, 0, L84/M84))</f>
        <v>34.727044822957389</v>
      </c>
      <c r="O84" s="199">
        <f>'Staging Table'!BS86*Rates_current!$E$76*100*12</f>
        <v>28189685.923199996</v>
      </c>
      <c r="P84" s="199">
        <f>'Staging Table'!BS86*Rates_current!$E$77*100*12</f>
        <v>-4954004.4815999996</v>
      </c>
      <c r="Q84" s="200">
        <f>SUMPRODUCT('Staging Table'!BY86:CV86, LS_Demand_Rates_Restatement!$C$5:$Z$5)-IF(Init!$R$12="No",('Staging Table'!DU86*Rates_current!$H$34), 0)</f>
        <v>740622.91585097625</v>
      </c>
      <c r="R84" s="200">
        <f>SUMPRODUCT('Staging Table'!CW86:DH86, LS_Demand_Rates_Restatement!$C$11:$N$11)*1000</f>
        <v>1331663.0931152778</v>
      </c>
      <c r="S84" s="201">
        <f>'Staging Table'!ED86*IF(Init!$R$15="Yes",IF(Init!$R$6=2024,Rates_current!$C$88,Rates_current!$D$88),Rates_current!$H$33)</f>
        <v>0</v>
      </c>
      <c r="T84" s="201">
        <v>0</v>
      </c>
      <c r="U84" s="201">
        <f>IF('Staging Table'!D86=1, 'Staging Table'!BU86*-1*'Staging Table'!BS86/'Staging Table'!BR86,SUM(O84:T84)*'Staging Table'!BU86*-1)</f>
        <v>0</v>
      </c>
      <c r="V84" s="199">
        <f>'Staging Table'!BX86*Rates_current!$H$32*-1</f>
        <v>0</v>
      </c>
      <c r="W84" s="199">
        <f>IF('Staging Table'!C86=1,"", SUM(O84:V84))</f>
        <v>25307967.450566247</v>
      </c>
      <c r="X84" s="199">
        <f>IF('Staging Table'!C86=1,"", (RT1SC!$C$4*'Staging Table'!BS86*'Staging Table'!$BS$2)+SUM('Staging Table'!BY86:CV86)-IF(Init!$R$12="No",'Staging Table'!DU86, 0))</f>
        <v>702096.33600000001</v>
      </c>
      <c r="Y84" s="297">
        <f>IF('Staging Table'!C86=1,"",IF(X84=0, 0, W84/X84))</f>
        <v>36.04628902459654</v>
      </c>
      <c r="Z84" s="76">
        <f ca="1">IF('Staging Table'!C86=1,"",(Y84/N84-1)+(RAND()/100000000000000))</f>
        <v>3.7988956686781761E-2</v>
      </c>
      <c r="AA84" s="53">
        <f t="shared" ca="1" si="1"/>
        <v>3</v>
      </c>
      <c r="AC84" s="405"/>
      <c r="AD84" s="204"/>
      <c r="AE84" s="204"/>
      <c r="AG84" s="204"/>
      <c r="AH84" s="204"/>
    </row>
    <row r="85" spans="2:34">
      <c r="B85" s="123">
        <v>10256</v>
      </c>
      <c r="C85" s="124" t="s">
        <v>88</v>
      </c>
      <c r="D85" s="199">
        <f>IF(Init!$R$9="Yes",'Staging Table'!F87,'Staging Table'!BS87)*Rates_previous!$E$76*100*12</f>
        <v>15873988.440028891</v>
      </c>
      <c r="E85" s="199">
        <f>IF(Init!$R$9="Yes",'Staging Table'!F87,'Staging Table'!BS87)*Rates_previous!$E$77*100*12</f>
        <v>-2620833.5809911513</v>
      </c>
      <c r="F85" s="200">
        <f>IF(Init!$R$9="Yes",SUMPRODUCT('Staging Table'!L87:AI87,LS_Demand_Rates_Restatement!$C$4:$Z$4)-IF(Init!$R$12="No",('Staging Table'!BH87*Rates_previous!$H$34), 0),SUMPRODUCT('Staging Table'!BY87:CV87,LS_Demand_Rates_Restatement!$C$4:$Z$4)-IF(Init!$R$12="No", 'Staging Table'!DU87*Rates_previous!$H$34, 0))</f>
        <v>160987.70479097334</v>
      </c>
      <c r="G85" s="200">
        <f>IF(Init!$R$9="Yes",SUMPRODUCT('Staging Table'!AJ87:AU87,LS_Demand_Rates_Restatement!$C$10:$N$10),SUMPRODUCT(LS_Demand_Rates_Restatement!$C$10:$N$10,'Staging Table'!CW87:DH87))*1000</f>
        <v>1078120.8919974358</v>
      </c>
      <c r="H85" s="201">
        <f>IF(Init!$R$9="Yes",'Staging Table'!BQ87,'Staging Table'!ED87)*IF(Init!$R$3=2022,Rates_previous!$C$88,Rates_previous!$D$88)</f>
        <v>0</v>
      </c>
      <c r="I85" s="199">
        <v>0</v>
      </c>
      <c r="J85" s="201">
        <f>IF(Init!$R$9="Yes",IF('Staging Table'!D87=1,'Staging Table'!H87*-1*'Staging Table'!BS87/'Staging Table'!BR87,'Staging Table'!H87*SUM(D85:I85)*(-1)),IF('Staging Table'!D87=1,'Staging Table'!BU87*-1*'Staging Table'!BS87/'Staging Table'!BR87,'Staging Table'!BU87*SUM(D85:I85)*(-1)))</f>
        <v>-996488.03522260615</v>
      </c>
      <c r="K85" s="199">
        <f>IF(Init!$R$9="Yes",'Staging Table'!K87,'Staging Table'!BX87)*(-1)*Rates_previous!$H$32</f>
        <v>-452233.52260000008</v>
      </c>
      <c r="L85" s="199">
        <f>IF('Staging Table'!C87=1,"",SUM(D85:K85))</f>
        <v>13043541.898003543</v>
      </c>
      <c r="M85" s="199">
        <f>IF('Staging Table'!C87=1,"",IF(Init!$R$9="Yes",(RT1SC!$C$3*'Staging Table'!F87*'Staging Table'!$F$2)+SUM('Staging Table'!L87:AI87)-IF(Init!$R$12="No",'Staging Table'!BH87, 0),X85))</f>
        <v>390617.16000000003</v>
      </c>
      <c r="N85" s="297">
        <f>IF('Staging Table'!C87=1,"",IF(M85=0, 0, L85/M85))</f>
        <v>33.392137452444594</v>
      </c>
      <c r="O85" s="199">
        <f>'Staging Table'!BS87*Rates_current!$E$76*100*12</f>
        <v>16486581.867120001</v>
      </c>
      <c r="P85" s="199">
        <f>'Staging Table'!BS87*Rates_current!$E$77*100*12</f>
        <v>-2897322.1155600003</v>
      </c>
      <c r="Q85" s="200">
        <f>SUMPRODUCT('Staging Table'!BY87:CV87, LS_Demand_Rates_Restatement!$C$5:$Z$5)-IF(Init!$R$12="No",('Staging Table'!DU87*Rates_current!$H$34), 0)</f>
        <v>316004.61561491608</v>
      </c>
      <c r="R85" s="200">
        <f>SUMPRODUCT('Staging Table'!CW87:DH87, LS_Demand_Rates_Restatement!$C$11:$N$11)*1000</f>
        <v>1041792.2591199522</v>
      </c>
      <c r="S85" s="201">
        <f>'Staging Table'!ED87*IF(Init!$R$15="Yes",IF(Init!$R$6=2024,Rates_current!$C$88,Rates_current!$D$88),Rates_current!$H$33)</f>
        <v>0</v>
      </c>
      <c r="T85" s="201">
        <v>0</v>
      </c>
      <c r="U85" s="201">
        <f>IF('Staging Table'!D87=1, 'Staging Table'!BU87*-1*'Staging Table'!BS87/'Staging Table'!BR87,SUM(O85:T85)*'Staging Table'!BU87*-1)</f>
        <v>-1197062.7171121626</v>
      </c>
      <c r="V85" s="199">
        <f>'Staging Table'!BX87*Rates_current!$H$32*-1</f>
        <v>-480031.36298000009</v>
      </c>
      <c r="W85" s="199">
        <f>IF('Staging Table'!C87=1,"", SUM(O85:V85))</f>
        <v>13269962.546202704</v>
      </c>
      <c r="X85" s="199">
        <f>IF('Staging Table'!C87=1,"", (RT1SC!$C$4*'Staging Table'!BS87*'Staging Table'!$BS$2)+SUM('Staging Table'!BY87:CV87)-IF(Init!$R$12="No",'Staging Table'!DU87, 0))</f>
        <v>410616.864</v>
      </c>
      <c r="Y85" s="297">
        <f>IF('Staging Table'!C87=1,"",IF(X85=0, 0, W85/X85))</f>
        <v>32.317139673549072</v>
      </c>
      <c r="Z85" s="76">
        <f ca="1">IF('Staging Table'!C87=1,"",(Y85/N85-1)+(RAND()/100000000000000))</f>
        <v>-3.2193140688476875E-2</v>
      </c>
      <c r="AA85" s="53">
        <f t="shared" ca="1" si="1"/>
        <v>117</v>
      </c>
      <c r="AC85" s="405"/>
      <c r="AD85" s="204"/>
      <c r="AE85" s="204"/>
      <c r="AG85" s="204"/>
      <c r="AH85" s="204"/>
    </row>
    <row r="86" spans="2:34">
      <c r="B86" s="123">
        <v>10258</v>
      </c>
      <c r="C86" s="124" t="s">
        <v>89</v>
      </c>
      <c r="D86" s="199">
        <f>IF(Init!$R$9="Yes",'Staging Table'!F88,'Staging Table'!BS88)*Rates_previous!$E$76*100*12</f>
        <v>12887633.512940638</v>
      </c>
      <c r="E86" s="199">
        <f>IF(Init!$R$9="Yes",'Staging Table'!F88,'Staging Table'!BS88)*Rates_previous!$E$77*100*12</f>
        <v>-2127779.2167877071</v>
      </c>
      <c r="F86" s="200">
        <f>IF(Init!$R$9="Yes",SUMPRODUCT('Staging Table'!L88:AI88,LS_Demand_Rates_Restatement!$C$4:$Z$4)-IF(Init!$R$12="No",('Staging Table'!BH88*Rates_previous!$H$34), 0),SUMPRODUCT('Staging Table'!BY88:CV88,LS_Demand_Rates_Restatement!$C$4:$Z$4)-IF(Init!$R$12="No", 'Staging Table'!DU88*Rates_previous!$H$34, 0))</f>
        <v>471339.43877418095</v>
      </c>
      <c r="G86" s="200">
        <f>IF(Init!$R$9="Yes",SUMPRODUCT('Staging Table'!AJ88:AU88,LS_Demand_Rates_Restatement!$C$10:$N$10),SUMPRODUCT(LS_Demand_Rates_Restatement!$C$10:$N$10,'Staging Table'!CW88:DH88))*1000</f>
        <v>825079.81683953898</v>
      </c>
      <c r="H86" s="201">
        <f>IF(Init!$R$9="Yes",'Staging Table'!BQ88,'Staging Table'!ED88)*IF(Init!$R$3=2022,Rates_previous!$C$88,Rates_previous!$D$88)</f>
        <v>0</v>
      </c>
      <c r="I86" s="199">
        <v>0</v>
      </c>
      <c r="J86" s="201">
        <f>IF(Init!$R$9="Yes",IF('Staging Table'!D88=1,'Staging Table'!H88*-1*'Staging Table'!BS88/'Staging Table'!BR88,'Staging Table'!H88*SUM(D86:I86)*(-1)),IF('Staging Table'!D88=1,'Staging Table'!BU88*-1*'Staging Table'!BS88/'Staging Table'!BR88,'Staging Table'!BU88*SUM(D86:I86)*(-1)))</f>
        <v>-710958.45134767937</v>
      </c>
      <c r="K86" s="199">
        <f>IF(Init!$R$9="Yes",'Staging Table'!K88,'Staging Table'!BX88)*(-1)*Rates_previous!$H$32</f>
        <v>-200418.53980000003</v>
      </c>
      <c r="L86" s="199">
        <f>IF('Staging Table'!C88=1,"",SUM(D86:K86))</f>
        <v>11144896.560618972</v>
      </c>
      <c r="M86" s="199">
        <f>IF('Staging Table'!C88=1,"",IF(Init!$R$9="Yes",(RT1SC!$C$3*'Staging Table'!F88*'Staging Table'!$F$2)+SUM('Staging Table'!L88:AI88)-IF(Init!$R$12="No",'Staging Table'!BH88, 0),X86))</f>
        <v>317129.51999999996</v>
      </c>
      <c r="N86" s="297">
        <f>IF('Staging Table'!C88=1,"",IF(M86=0, 0, L86/M86))</f>
        <v>35.14304363913827</v>
      </c>
      <c r="O86" s="199">
        <f>'Staging Table'!BS88*Rates_current!$E$76*100*12</f>
        <v>13385118.543119997</v>
      </c>
      <c r="P86" s="199">
        <f>'Staging Table'!BS88*Rates_current!$E$77*100*12</f>
        <v>-2352276.5535599999</v>
      </c>
      <c r="Q86" s="200">
        <f>SUMPRODUCT('Staging Table'!BY88:CV88, LS_Demand_Rates_Restatement!$C$5:$Z$5)-IF(Init!$R$12="No",('Staging Table'!DU88*Rates_current!$H$34), 0)</f>
        <v>862041.18622468505</v>
      </c>
      <c r="R86" s="200">
        <f>SUMPRODUCT('Staging Table'!CW88:DH88, LS_Demand_Rates_Restatement!$C$11:$N$11)*1000</f>
        <v>786091.21246263396</v>
      </c>
      <c r="S86" s="201">
        <f>'Staging Table'!ED88*IF(Init!$R$15="Yes",IF(Init!$R$6=2024,Rates_current!$C$88,Rates_current!$D$88),Rates_current!$H$33)</f>
        <v>0</v>
      </c>
      <c r="T86" s="201">
        <v>0</v>
      </c>
      <c r="U86" s="201">
        <f>IF('Staging Table'!D88=1, 'Staging Table'!BU88*-1*'Staging Table'!BS88/'Staging Table'!BR88,SUM(O86:T86)*'Staging Table'!BU88*-1)</f>
        <v>-688495.51474765514</v>
      </c>
      <c r="V86" s="199">
        <f>'Staging Table'!BX88*Rates_current!$H$32*-1</f>
        <v>-212737.84454000002</v>
      </c>
      <c r="W86" s="199">
        <f>IF('Staging Table'!C88=1,"", SUM(O86:V86))</f>
        <v>11779741.02895966</v>
      </c>
      <c r="X86" s="199">
        <f>IF('Staging Table'!C88=1,"", (RT1SC!$C$4*'Staging Table'!BS88*'Staging Table'!$BS$2)+SUM('Staging Table'!BY88:CV88)-IF(Init!$R$12="No",'Staging Table'!DU88, 0))</f>
        <v>333369.80452810961</v>
      </c>
      <c r="Y86" s="297">
        <f>IF('Staging Table'!C88=1,"",IF(X86=0, 0, W86/X86))</f>
        <v>35.335356918824949</v>
      </c>
      <c r="Z86" s="76">
        <f ca="1">IF('Staging Table'!C88=1,"",(Y86/N86-1)+(RAND()/100000000000000))</f>
        <v>5.4723000563538793E-3</v>
      </c>
      <c r="AA86" s="53">
        <f t="shared" ca="1" si="1"/>
        <v>21</v>
      </c>
      <c r="AC86" s="405"/>
      <c r="AD86" s="204"/>
      <c r="AE86" s="204"/>
      <c r="AG86" s="204"/>
      <c r="AH86" s="204"/>
    </row>
    <row r="87" spans="2:34">
      <c r="B87" s="123">
        <v>10259</v>
      </c>
      <c r="C87" s="124" t="s">
        <v>90</v>
      </c>
      <c r="D87" s="199">
        <f>IF(Init!$R$9="Yes",'Staging Table'!F89,'Staging Table'!BS89)*Rates_previous!$E$76*100*12</f>
        <v>9163622.7795628607</v>
      </c>
      <c r="E87" s="199">
        <f>IF(Init!$R$9="Yes",'Staging Table'!F89,'Staging Table'!BS89)*Rates_previous!$E$77*100*12</f>
        <v>-1512936.1089650705</v>
      </c>
      <c r="F87" s="200">
        <f>IF(Init!$R$9="Yes",SUMPRODUCT('Staging Table'!L89:AI89,LS_Demand_Rates_Restatement!$C$4:$Z$4)-IF(Init!$R$12="No",('Staging Table'!BH89*Rates_previous!$H$34), 0),SUMPRODUCT('Staging Table'!BY89:CV89,LS_Demand_Rates_Restatement!$C$4:$Z$4)-IF(Init!$R$12="No", 'Staging Table'!DU89*Rates_previous!$H$34, 0))</f>
        <v>168797.51439527143</v>
      </c>
      <c r="G87" s="200">
        <f>IF(Init!$R$9="Yes",SUMPRODUCT('Staging Table'!AJ89:AU89,LS_Demand_Rates_Restatement!$C$10:$N$10),SUMPRODUCT(LS_Demand_Rates_Restatement!$C$10:$N$10,'Staging Table'!CW89:DH89))*1000</f>
        <v>601733.37497370911</v>
      </c>
      <c r="H87" s="201">
        <f>IF(Init!$R$9="Yes",'Staging Table'!BQ89,'Staging Table'!ED89)*IF(Init!$R$3=2022,Rates_previous!$C$88,Rates_previous!$D$88)</f>
        <v>0</v>
      </c>
      <c r="I87" s="199">
        <v>0</v>
      </c>
      <c r="J87" s="201">
        <f>IF(Init!$R$9="Yes",IF('Staging Table'!D89=1,'Staging Table'!H89*-1*'Staging Table'!BS89/'Staging Table'!BR89,'Staging Table'!H89*SUM(D87:I87)*(-1)),IF('Staging Table'!D89=1,'Staging Table'!BU89*-1*'Staging Table'!BS89/'Staging Table'!BR89,'Staging Table'!BU89*SUM(D87:I87)*(-1)))</f>
        <v>-616769.97409196629</v>
      </c>
      <c r="K87" s="199">
        <f>IF(Init!$R$9="Yes",'Staging Table'!K89,'Staging Table'!BX89)*(-1)*Rates_previous!$H$32</f>
        <v>0</v>
      </c>
      <c r="L87" s="199">
        <f>IF('Staging Table'!C89=1,"",SUM(D87:K87))</f>
        <v>7804447.5858748043</v>
      </c>
      <c r="M87" s="199">
        <f>IF('Staging Table'!C89=1,"",IF(Init!$R$9="Yes",(RT1SC!$C$3*'Staging Table'!F89*'Staging Table'!$F$2)+SUM('Staging Table'!L89:AI89)-IF(Init!$R$12="No",'Staging Table'!BH89, 0),X87))</f>
        <v>225491.16</v>
      </c>
      <c r="N87" s="297">
        <f>IF('Staging Table'!C89=1,"",IF(M87=0, 0, L87/M87))</f>
        <v>34.610880470324446</v>
      </c>
      <c r="O87" s="199">
        <f>'Staging Table'!BS89*Rates_current!$E$76*100*12</f>
        <v>9517132.9180800002</v>
      </c>
      <c r="P87" s="199">
        <f>'Staging Table'!BS89*Rates_current!$E$77*100*12</f>
        <v>-1672523.7470399998</v>
      </c>
      <c r="Q87" s="200">
        <f>SUMPRODUCT('Staging Table'!BY89:CV89, LS_Demand_Rates_Restatement!$C$5:$Z$5)-IF(Init!$R$12="No",('Staging Table'!DU89*Rates_current!$H$34), 0)</f>
        <v>337444.43101479777</v>
      </c>
      <c r="R87" s="200">
        <f>SUMPRODUCT('Staging Table'!CW89:DH89, LS_Demand_Rates_Restatement!$C$11:$N$11)*1000</f>
        <v>601802.52522622864</v>
      </c>
      <c r="S87" s="201">
        <f>'Staging Table'!ED89*IF(Init!$R$15="Yes",IF(Init!$R$6=2024,Rates_current!$C$88,Rates_current!$D$88),Rates_current!$H$33)</f>
        <v>0</v>
      </c>
      <c r="T87" s="201">
        <v>0</v>
      </c>
      <c r="U87" s="201">
        <f>IF('Staging Table'!D89=1, 'Staging Table'!BU89*-1*'Staging Table'!BS89/'Staging Table'!BR89,SUM(O87:T87)*'Staging Table'!BU89*-1)</f>
        <v>-708160.76330206555</v>
      </c>
      <c r="V87" s="199">
        <f>'Staging Table'!BX89*Rates_current!$H$32*-1</f>
        <v>0</v>
      </c>
      <c r="W87" s="199">
        <f>IF('Staging Table'!C89=1,"", SUM(O87:V87))</f>
        <v>8075695.3639789615</v>
      </c>
      <c r="X87" s="199">
        <f>IF('Staging Table'!C89=1,"", (RT1SC!$C$4*'Staging Table'!BS89*'Staging Table'!$BS$2)+SUM('Staging Table'!BY89:CV89)-IF(Init!$R$12="No",'Staging Table'!DU89, 0))</f>
        <v>237036.24</v>
      </c>
      <c r="Y87" s="297">
        <f>IF('Staging Table'!C89=1,"",IF(X87=0, 0, W87/X87))</f>
        <v>34.069454375326579</v>
      </c>
      <c r="Z87" s="76">
        <f ca="1">IF('Staging Table'!C89=1,"",(Y87/N87-1)+(RAND()/100000000000000))</f>
        <v>-1.5643233793546527E-2</v>
      </c>
      <c r="AA87" s="53">
        <f t="shared" ca="1" si="1"/>
        <v>89</v>
      </c>
      <c r="AC87" s="405"/>
      <c r="AD87" s="204"/>
      <c r="AE87" s="204"/>
      <c r="AG87" s="204"/>
      <c r="AH87" s="204"/>
    </row>
    <row r="88" spans="2:34">
      <c r="B88" s="123">
        <v>10260</v>
      </c>
      <c r="C88" s="124" t="s">
        <v>91</v>
      </c>
      <c r="D88" s="199">
        <f>IF(Init!$R$9="Yes",'Staging Table'!F90,'Staging Table'!BS90)*Rates_previous!$E$76*100*12</f>
        <v>8925731.1801352892</v>
      </c>
      <c r="E88" s="199">
        <f>IF(Init!$R$9="Yes",'Staging Table'!F90,'Staging Table'!BS90)*Rates_previous!$E$77*100*12</f>
        <v>-1473659.6350800775</v>
      </c>
      <c r="F88" s="200">
        <f>IF(Init!$R$9="Yes",SUMPRODUCT('Staging Table'!L90:AI90,LS_Demand_Rates_Restatement!$C$4:$Z$4)-IF(Init!$R$12="No",('Staging Table'!BH90*Rates_previous!$H$34), 0),SUMPRODUCT('Staging Table'!BY90:CV90,LS_Demand_Rates_Restatement!$C$4:$Z$4)-IF(Init!$R$12="No", 'Staging Table'!DU90*Rates_previous!$H$34, 0))</f>
        <v>47023.971781856773</v>
      </c>
      <c r="G88" s="200">
        <f>IF(Init!$R$9="Yes",SUMPRODUCT('Staging Table'!AJ90:AU90,LS_Demand_Rates_Restatement!$C$10:$N$10),SUMPRODUCT(LS_Demand_Rates_Restatement!$C$10:$N$10,'Staging Table'!CW90:DH90))*1000</f>
        <v>648417.03731121775</v>
      </c>
      <c r="H88" s="201">
        <f>IF(Init!$R$9="Yes",'Staging Table'!BQ90,'Staging Table'!ED90)*IF(Init!$R$3=2022,Rates_previous!$C$88,Rates_previous!$D$88)</f>
        <v>0</v>
      </c>
      <c r="I88" s="199">
        <v>0</v>
      </c>
      <c r="J88" s="201">
        <f>IF(Init!$R$9="Yes",IF('Staging Table'!D90=1,'Staging Table'!H90*-1*'Staging Table'!BS90/'Staging Table'!BR90,'Staging Table'!H90*SUM(D88:I88)*(-1)),IF('Staging Table'!D90=1,'Staging Table'!BU90*-1*'Staging Table'!BS90/'Staging Table'!BR90,'Staging Table'!BU90*SUM(D88:I88)*(-1)))</f>
        <v>0</v>
      </c>
      <c r="K88" s="199">
        <f>IF(Init!$R$9="Yes",'Staging Table'!K90,'Staging Table'!BX90)*(-1)*Rates_previous!$H$32</f>
        <v>0</v>
      </c>
      <c r="L88" s="199">
        <f>IF('Staging Table'!C90=1,"",SUM(D88:K88))</f>
        <v>8147512.5541482856</v>
      </c>
      <c r="M88" s="199">
        <f>IF('Staging Table'!C90=1,"",IF(Init!$R$9="Yes",(RT1SC!$C$3*'Staging Table'!F90*'Staging Table'!$F$2)+SUM('Staging Table'!L90:AI90)-IF(Init!$R$12="No",'Staging Table'!BH90, 0),X88))</f>
        <v>217049.98723538738</v>
      </c>
      <c r="N88" s="297">
        <f>IF('Staging Table'!C90=1,"",IF(M88=0, 0, L88/M88))</f>
        <v>37.537493818474331</v>
      </c>
      <c r="O88" s="199">
        <f>'Staging Table'!BS90*Rates_current!$E$76*100*12</f>
        <v>9270261.41976</v>
      </c>
      <c r="P88" s="199">
        <f>'Staging Table'!BS90*Rates_current!$E$77*100*12</f>
        <v>-1629138.9958799998</v>
      </c>
      <c r="Q88" s="200">
        <f>SUMPRODUCT('Staging Table'!BY90:CV90, LS_Demand_Rates_Restatement!$C$5:$Z$5)-IF(Init!$R$12="No",('Staging Table'!DU90*Rates_current!$H$34), 0)</f>
        <v>297884.43337890389</v>
      </c>
      <c r="R88" s="200">
        <f>SUMPRODUCT('Staging Table'!CW90:DH90, LS_Demand_Rates_Restatement!$C$11:$N$11)*1000</f>
        <v>647256.22252115374</v>
      </c>
      <c r="S88" s="201">
        <f>'Staging Table'!ED90*IF(Init!$R$15="Yes",IF(Init!$R$6=2024,Rates_current!$C$88,Rates_current!$D$88),Rates_current!$H$33)</f>
        <v>0</v>
      </c>
      <c r="T88" s="201">
        <v>0</v>
      </c>
      <c r="U88" s="201">
        <f>IF('Staging Table'!D90=1, 'Staging Table'!BU90*-1*'Staging Table'!BS90/'Staging Table'!BR90,SUM(O88:T88)*'Staging Table'!BU90*-1)</f>
        <v>0</v>
      </c>
      <c r="V88" s="199">
        <f>'Staging Table'!BX90*Rates_current!$H$32*-1</f>
        <v>0</v>
      </c>
      <c r="W88" s="199">
        <f>IF('Staging Table'!C90=1,"", SUM(O88:V88))</f>
        <v>8586263.0797800571</v>
      </c>
      <c r="X88" s="199">
        <f>IF('Staging Table'!C90=1,"", (RT1SC!$C$4*'Staging Table'!BS90*'Staging Table'!$BS$2)+SUM('Staging Table'!BY90:CV90)-IF(Init!$R$12="No",'Staging Table'!DU90, 0))</f>
        <v>230887.44</v>
      </c>
      <c r="Y88" s="297">
        <f>IF('Staging Table'!C90=1,"",IF(X88=0, 0, W88/X88))</f>
        <v>37.18809078475666</v>
      </c>
      <c r="Z88" s="76">
        <f ca="1">IF('Staging Table'!C90=1,"",(Y88/N88-1)+(RAND()/100000000000000))</f>
        <v>-9.3081076591579014E-3</v>
      </c>
      <c r="AA88" s="53">
        <f t="shared" ca="1" si="1"/>
        <v>64</v>
      </c>
      <c r="AC88" s="405"/>
      <c r="AD88" s="204"/>
      <c r="AE88" s="204"/>
      <c r="AG88" s="204"/>
      <c r="AH88" s="204"/>
    </row>
    <row r="89" spans="2:34">
      <c r="B89" s="123">
        <v>10273</v>
      </c>
      <c r="C89" s="124" t="s">
        <v>92</v>
      </c>
      <c r="D89" s="199">
        <f>IF(Init!$R$9="Yes",'Staging Table'!F91,'Staging Table'!BS91)*Rates_previous!$E$76*100*12</f>
        <v>1997138.3468072722</v>
      </c>
      <c r="E89" s="199">
        <f>IF(Init!$R$9="Yes",'Staging Table'!F91,'Staging Table'!BS91)*Rates_previous!$E$77*100*12</f>
        <v>-329732.3331796584</v>
      </c>
      <c r="F89" s="200">
        <f>IF(Init!$R$9="Yes",SUMPRODUCT('Staging Table'!L91:AI91,LS_Demand_Rates_Restatement!$C$4:$Z$4)-IF(Init!$R$12="No",('Staging Table'!BH91*Rates_previous!$H$34), 0),SUMPRODUCT('Staging Table'!BY91:CV91,LS_Demand_Rates_Restatement!$C$4:$Z$4)-IF(Init!$R$12="No", 'Staging Table'!DU91*Rates_previous!$H$34, 0))</f>
        <v>-97760.936441475991</v>
      </c>
      <c r="G89" s="200">
        <f>IF(Init!$R$9="Yes",SUMPRODUCT('Staging Table'!AJ91:AU91,LS_Demand_Rates_Restatement!$C$10:$N$10),SUMPRODUCT(LS_Demand_Rates_Restatement!$C$10:$N$10,'Staging Table'!CW91:DH91))*1000</f>
        <v>224414.38267840989</v>
      </c>
      <c r="H89" s="201">
        <f>IF(Init!$R$9="Yes",'Staging Table'!BQ91,'Staging Table'!ED91)*IF(Init!$R$3=2022,Rates_previous!$C$88,Rates_previous!$D$88)</f>
        <v>0</v>
      </c>
      <c r="I89" s="199">
        <v>0</v>
      </c>
      <c r="J89" s="201">
        <f>IF(Init!$R$9="Yes",IF('Staging Table'!D91=1,'Staging Table'!H91*-1*'Staging Table'!BS91/'Staging Table'!BR91,'Staging Table'!H91*SUM(D89:I89)*(-1)),IF('Staging Table'!D91=1,'Staging Table'!BU91*-1*'Staging Table'!BS91/'Staging Table'!BR91,'Staging Table'!BU91*SUM(D89:I89)*(-1)))</f>
        <v>-189362.97598870302</v>
      </c>
      <c r="K89" s="199">
        <f>IF(Init!$R$9="Yes",'Staging Table'!K91,'Staging Table'!BX91)*(-1)*Rates_previous!$H$32</f>
        <v>-103790.07249999999</v>
      </c>
      <c r="L89" s="199">
        <f>IF('Staging Table'!C91=1,"",SUM(D89:K89))</f>
        <v>1500906.4113758446</v>
      </c>
      <c r="M89" s="199">
        <f>IF('Staging Table'!C91=1,"",IF(Init!$R$9="Yes",(RT1SC!$C$3*'Staging Table'!F91*'Staging Table'!$F$2)+SUM('Staging Table'!L91:AI91)-IF(Init!$R$12="No",'Staging Table'!BH91, 0),X89))</f>
        <v>46063.375513925464</v>
      </c>
      <c r="N89" s="297">
        <f>IF('Staging Table'!C91=1,"",IF(M89=0, 0, L89/M89))</f>
        <v>32.58350901622709</v>
      </c>
      <c r="O89" s="199">
        <f>'Staging Table'!BS91*Rates_current!$E$76*100*12</f>
        <v>2074119.1675199997</v>
      </c>
      <c r="P89" s="199">
        <f>'Staging Table'!BS91*Rates_current!$E$77*100*12</f>
        <v>-364501.95575999998</v>
      </c>
      <c r="Q89" s="200">
        <f>SUMPRODUCT('Staging Table'!BY91:CV91, LS_Demand_Rates_Restatement!$C$5:$Z$5)-IF(Init!$R$12="No",('Staging Table'!DU91*Rates_current!$H$34), 0)</f>
        <v>84481.710529210133</v>
      </c>
      <c r="R89" s="200">
        <f>SUMPRODUCT('Staging Table'!CW91:DH91, LS_Demand_Rates_Restatement!$C$11:$N$11)*1000</f>
        <v>238051.20006885685</v>
      </c>
      <c r="S89" s="201">
        <f>'Staging Table'!ED91*IF(Init!$R$15="Yes",IF(Init!$R$6=2024,Rates_current!$C$88,Rates_current!$D$88),Rates_current!$H$33)</f>
        <v>0</v>
      </c>
      <c r="T89" s="201">
        <v>0</v>
      </c>
      <c r="U89" s="201">
        <f>IF('Staging Table'!D91=1, 'Staging Table'!BU91*-1*'Staging Table'!BS91/'Staging Table'!BR91,SUM(O89:T89)*'Staging Table'!BU91*-1)</f>
        <v>-195561.1905710845</v>
      </c>
      <c r="V89" s="199">
        <f>'Staging Table'!BX91*Rates_current!$H$32*-1</f>
        <v>-110169.82925</v>
      </c>
      <c r="W89" s="199">
        <f>IF('Staging Table'!C91=1,"", SUM(O89:V89))</f>
        <v>1726419.1025369819</v>
      </c>
      <c r="X89" s="199">
        <f>IF('Staging Table'!C91=1,"", (RT1SC!$C$4*'Staging Table'!BS91*'Staging Table'!$BS$2)+SUM('Staging Table'!BY91:CV91)-IF(Init!$R$12="No",'Staging Table'!DU91, 0))</f>
        <v>51658.704000000005</v>
      </c>
      <c r="Y89" s="297">
        <f>IF('Staging Table'!C91=1,"",IF(X89=0, 0, W89/X89))</f>
        <v>33.419713791832287</v>
      </c>
      <c r="Z89" s="76">
        <f ca="1">IF('Staging Table'!C91=1,"",(Y89/N89-1)+(RAND()/100000000000000))</f>
        <v>2.5663435303699016E-2</v>
      </c>
      <c r="AA89" s="53">
        <f t="shared" ca="1" si="1"/>
        <v>10</v>
      </c>
      <c r="AC89" s="405"/>
      <c r="AD89" s="204"/>
      <c r="AE89" s="204"/>
      <c r="AG89" s="204"/>
      <c r="AH89" s="204"/>
    </row>
    <row r="90" spans="2:34">
      <c r="B90" s="123">
        <v>10278</v>
      </c>
      <c r="C90" s="124" t="s">
        <v>93</v>
      </c>
      <c r="D90" s="199">
        <f>IF(Init!$R$9="Yes",'Staging Table'!F92,'Staging Table'!BS92)*Rates_previous!$E$76*100*12</f>
        <v>12200577.633545486</v>
      </c>
      <c r="E90" s="199">
        <f>IF(Init!$R$9="Yes",'Staging Table'!F92,'Staging Table'!BS92)*Rates_previous!$E$77*100*12</f>
        <v>-2014344.6425130044</v>
      </c>
      <c r="F90" s="200">
        <f>IF(Init!$R$9="Yes",SUMPRODUCT('Staging Table'!L92:AI92,LS_Demand_Rates_Restatement!$C$4:$Z$4)-IF(Init!$R$12="No",('Staging Table'!BH92*Rates_previous!$H$34), 0),SUMPRODUCT('Staging Table'!BY92:CV92,LS_Demand_Rates_Restatement!$C$4:$Z$4)-IF(Init!$R$12="No", 'Staging Table'!DU92*Rates_previous!$H$34, 0))</f>
        <v>0</v>
      </c>
      <c r="G90" s="200">
        <f>IF(Init!$R$9="Yes",SUMPRODUCT('Staging Table'!AJ92:AU92,LS_Demand_Rates_Restatement!$C$10:$N$10),SUMPRODUCT(LS_Demand_Rates_Restatement!$C$10:$N$10,'Staging Table'!CW92:DH92))*1000</f>
        <v>0</v>
      </c>
      <c r="H90" s="201">
        <f>IF(Init!$R$9="Yes",'Staging Table'!BQ92,'Staging Table'!ED92)*IF(Init!$R$3=2022,Rates_previous!$C$88,Rates_previous!$D$88)</f>
        <v>0</v>
      </c>
      <c r="I90" s="199">
        <v>0</v>
      </c>
      <c r="J90" s="201">
        <f>IF(Init!$R$9="Yes",IF('Staging Table'!D92=1,'Staging Table'!H92*-1*'Staging Table'!BS92/'Staging Table'!BR92,'Staging Table'!H92*SUM(D90:I90)*(-1)),IF('Staging Table'!D92=1,'Staging Table'!BU92*-1*'Staging Table'!BS92/'Staging Table'!BR92,'Staging Table'!BU92*SUM(D90:I90)*(-1)))</f>
        <v>-742983.83436590922</v>
      </c>
      <c r="K90" s="199">
        <f>IF(Init!$R$9="Yes",'Staging Table'!K92,'Staging Table'!BX92)*(-1)*Rates_previous!$H$32</f>
        <v>0</v>
      </c>
      <c r="L90" s="199" t="str">
        <f>IF('Staging Table'!C92=1,"",SUM(D90:K90))</f>
        <v/>
      </c>
      <c r="M90" s="199" t="str">
        <f>IF('Staging Table'!C92=1,"",IF(Init!$R$9="Yes",(RT1SC!$C$3*'Staging Table'!F92*'Staging Table'!$F$2)+SUM('Staging Table'!L92:AI92)-IF(Init!$R$12="No",'Staging Table'!BH92, 0),X90))</f>
        <v/>
      </c>
      <c r="N90" s="297" t="str">
        <f>IF('Staging Table'!C92=1,"",IF(M90=0, 0, L90/M90))</f>
        <v/>
      </c>
      <c r="O90" s="199">
        <f>'Staging Table'!BS92*Rates_current!$E$76*100*12</f>
        <v>12671159.194799999</v>
      </c>
      <c r="P90" s="199">
        <f>'Staging Table'!BS92*Rates_current!$E$77*100*12</f>
        <v>-2226806.6274000001</v>
      </c>
      <c r="Q90" s="200">
        <f>SUMPRODUCT('Staging Table'!BY92:CV92, LS_Demand_Rates_Restatement!$C$5:$Z$5)-IF(Init!$R$12="No",('Staging Table'!DU92*Rates_current!$H$34), 0)</f>
        <v>0</v>
      </c>
      <c r="R90" s="200">
        <f>SUMPRODUCT('Staging Table'!CW92:DH92, LS_Demand_Rates_Restatement!$C$11:$N$11)*1000</f>
        <v>0</v>
      </c>
      <c r="S90" s="201">
        <f>'Staging Table'!ED92*IF(Init!$R$15="Yes",IF(Init!$R$6=2024,Rates_current!$C$88,Rates_current!$D$88),Rates_current!$H$33)</f>
        <v>0</v>
      </c>
      <c r="T90" s="201">
        <v>0</v>
      </c>
      <c r="U90" s="201">
        <f>IF('Staging Table'!D92=1, 'Staging Table'!BU92*-1*'Staging Table'!BS92/'Staging Table'!BR92,SUM(O90:T90)*'Staging Table'!BU92*-1)</f>
        <v>-747020.6311504523</v>
      </c>
      <c r="V90" s="199">
        <f>'Staging Table'!BX92*Rates_current!$H$32*-1</f>
        <v>0</v>
      </c>
      <c r="W90" s="199" t="str">
        <f>IF('Staging Table'!C92=1,"", SUM(O90:V90))</f>
        <v/>
      </c>
      <c r="X90" s="199" t="str">
        <f>IF('Staging Table'!C92=1,"", (RT1SC!$C$4*'Staging Table'!BS92*'Staging Table'!$BS$2)+SUM('Staging Table'!BY92:CV92)-IF(Init!$R$12="No",'Staging Table'!DU92, 0))</f>
        <v/>
      </c>
      <c r="Y90" s="297" t="str">
        <f>IF('Staging Table'!C92=1,"",IF(X90=0, 0, W90/X90))</f>
        <v/>
      </c>
      <c r="Z90" s="76" t="str">
        <f ca="1">IF('Staging Table'!C92=1,"",(Y90/N90-1)+(RAND()/100000000000000))</f>
        <v/>
      </c>
      <c r="AA90" s="53" t="str">
        <f t="shared" ca="1" si="1"/>
        <v/>
      </c>
      <c r="AC90" s="405"/>
      <c r="AD90" s="204"/>
      <c r="AE90" s="204"/>
      <c r="AG90" s="204"/>
      <c r="AH90" s="204"/>
    </row>
    <row r="91" spans="2:34">
      <c r="B91" s="123">
        <v>10279</v>
      </c>
      <c r="C91" s="124" t="s">
        <v>94</v>
      </c>
      <c r="D91" s="199">
        <f>IF(Init!$R$9="Yes",'Staging Table'!F93,'Staging Table'!BS93)*Rates_previous!$E$76*100*12</f>
        <v>21992982.44304695</v>
      </c>
      <c r="E91" s="199">
        <f>IF(Init!$R$9="Yes",'Staging Table'!F93,'Staging Table'!BS93)*Rates_previous!$E$77*100*12</f>
        <v>-3631094.1733797397</v>
      </c>
      <c r="F91" s="200">
        <f>IF(Init!$R$9="Yes",SUMPRODUCT('Staging Table'!L93:AI93,LS_Demand_Rates_Restatement!$C$4:$Z$4)-IF(Init!$R$12="No",('Staging Table'!BH93*Rates_previous!$H$34), 0),SUMPRODUCT('Staging Table'!BY93:CV93,LS_Demand_Rates_Restatement!$C$4:$Z$4)-IF(Init!$R$12="No", 'Staging Table'!DU93*Rates_previous!$H$34, 0))</f>
        <v>228608.9409040974</v>
      </c>
      <c r="G91" s="200">
        <f>IF(Init!$R$9="Yes",SUMPRODUCT('Staging Table'!AJ93:AU93,LS_Demand_Rates_Restatement!$C$10:$N$10),SUMPRODUCT(LS_Demand_Rates_Restatement!$C$10:$N$10,'Staging Table'!CW93:DH93))*1000</f>
        <v>0</v>
      </c>
      <c r="H91" s="201">
        <f>IF(Init!$R$9="Yes",'Staging Table'!BQ93,'Staging Table'!ED93)*IF(Init!$R$3=2022,Rates_previous!$C$88,Rates_previous!$D$88)</f>
        <v>0</v>
      </c>
      <c r="I91" s="199">
        <v>0</v>
      </c>
      <c r="J91" s="201">
        <f>IF(Init!$R$9="Yes",IF('Staging Table'!D93=1,'Staging Table'!H93*-1*'Staging Table'!BS93/'Staging Table'!BR93,'Staging Table'!H93*SUM(D91:I91)*(-1)),IF('Staging Table'!D93=1,'Staging Table'!BU93*-1*'Staging Table'!BS93/'Staging Table'!BR93,'Staging Table'!BU93*SUM(D91:I91)*(-1)))</f>
        <v>0</v>
      </c>
      <c r="K91" s="199">
        <f>IF(Init!$R$9="Yes",'Staging Table'!K93,'Staging Table'!BX93)*(-1)*Rates_previous!$H$32</f>
        <v>0</v>
      </c>
      <c r="L91" s="199">
        <f>IF('Staging Table'!C93=1,"",SUM(D91:K91))</f>
        <v>18590497.210571304</v>
      </c>
      <c r="M91" s="199">
        <f>IF('Staging Table'!C93=1,"",IF(Init!$R$9="Yes",(RT1SC!$C$3*'Staging Table'!F93*'Staging Table'!$F$2)+SUM('Staging Table'!L93:AI93)-IF(Init!$R$12="No",'Staging Table'!BH93, 0),X91))</f>
        <v>541184.04</v>
      </c>
      <c r="N91" s="297">
        <f>IF('Staging Table'!C93=1,"",IF(M91=0, 0, L91/M91))</f>
        <v>34.351525241896091</v>
      </c>
      <c r="O91" s="199">
        <f>'Staging Table'!BS93*Rates_current!$E$76*100*12</f>
        <v>22841467.762320001</v>
      </c>
      <c r="P91" s="199">
        <f>'Staging Table'!BS93*Rates_current!$E$77*100*12</f>
        <v>-4014118.2831599992</v>
      </c>
      <c r="Q91" s="200">
        <f>SUMPRODUCT('Staging Table'!BY93:CV93, LS_Demand_Rates_Restatement!$C$5:$Z$5)-IF(Init!$R$12="No",('Staging Table'!DU93*Rates_current!$H$34), 0)</f>
        <v>615303.82887154829</v>
      </c>
      <c r="R91" s="200">
        <f>SUMPRODUCT('Staging Table'!CW93:DH93, LS_Demand_Rates_Restatement!$C$11:$N$11)*1000</f>
        <v>0</v>
      </c>
      <c r="S91" s="201">
        <f>'Staging Table'!ED93*IF(Init!$R$15="Yes",IF(Init!$R$6=2024,Rates_current!$C$88,Rates_current!$D$88),Rates_current!$H$33)</f>
        <v>0</v>
      </c>
      <c r="T91" s="201">
        <v>0</v>
      </c>
      <c r="U91" s="201">
        <f>IF('Staging Table'!D93=1, 'Staging Table'!BU93*-1*'Staging Table'!BS93/'Staging Table'!BR93,SUM(O91:T91)*'Staging Table'!BU93*-1)</f>
        <v>0</v>
      </c>
      <c r="V91" s="199">
        <f>'Staging Table'!BX93*Rates_current!$H$32*-1</f>
        <v>0</v>
      </c>
      <c r="W91" s="199">
        <f>IF('Staging Table'!C93=1,"", SUM(O91:V91))</f>
        <v>19442653.308031552</v>
      </c>
      <c r="X91" s="199">
        <f>IF('Staging Table'!C93=1,"", (RT1SC!$C$4*'Staging Table'!BS93*'Staging Table'!$BS$2)+SUM('Staging Table'!BY93:CV93)-IF(Init!$R$12="No",'Staging Table'!DU93, 0))</f>
        <v>568893.3880820974</v>
      </c>
      <c r="Y91" s="297">
        <f>IF('Staging Table'!C93=1,"",IF(X91=0, 0, W91/X91))</f>
        <v>34.176268726866923</v>
      </c>
      <c r="Z91" s="76">
        <f ca="1">IF('Staging Table'!C93=1,"",(Y91/N91-1)+(RAND()/100000000000000))</f>
        <v>-5.1018554138385014E-3</v>
      </c>
      <c r="AA91" s="53">
        <f t="shared" ca="1" si="1"/>
        <v>43</v>
      </c>
      <c r="AC91" s="405"/>
      <c r="AD91" s="204"/>
      <c r="AE91" s="204"/>
      <c r="AG91" s="204"/>
      <c r="AH91" s="204"/>
    </row>
    <row r="92" spans="2:34">
      <c r="B92" s="123">
        <v>10284</v>
      </c>
      <c r="C92" s="124" t="s">
        <v>95</v>
      </c>
      <c r="D92" s="199">
        <f>IF(Init!$R$9="Yes",'Staging Table'!F94,'Staging Table'!BS94)*Rates_previous!$E$76*100*12</f>
        <v>3449668.0017798534</v>
      </c>
      <c r="E92" s="199">
        <f>IF(Init!$R$9="Yes",'Staging Table'!F94,'Staging Table'!BS94)*Rates_previous!$E$77*100*12</f>
        <v>-569548.46455203975</v>
      </c>
      <c r="F92" s="200">
        <f>IF(Init!$R$9="Yes",SUMPRODUCT('Staging Table'!L94:AI94,LS_Demand_Rates_Restatement!$C$4:$Z$4)-IF(Init!$R$12="No",('Staging Table'!BH94*Rates_previous!$H$34), 0),SUMPRODUCT('Staging Table'!BY94:CV94,LS_Demand_Rates_Restatement!$C$4:$Z$4)-IF(Init!$R$12="No", 'Staging Table'!DU94*Rates_previous!$H$34, 0))</f>
        <v>76773.122583108896</v>
      </c>
      <c r="G92" s="200">
        <f>IF(Init!$R$9="Yes",SUMPRODUCT('Staging Table'!AJ94:AU94,LS_Demand_Rates_Restatement!$C$10:$N$10),SUMPRODUCT(LS_Demand_Rates_Restatement!$C$10:$N$10,'Staging Table'!CW94:DH94))*1000</f>
        <v>246395.51347863243</v>
      </c>
      <c r="H92" s="201">
        <f>IF(Init!$R$9="Yes",'Staging Table'!BQ94,'Staging Table'!ED94)*IF(Init!$R$3=2022,Rates_previous!$C$88,Rates_previous!$D$88)</f>
        <v>0</v>
      </c>
      <c r="I92" s="199">
        <v>0</v>
      </c>
      <c r="J92" s="201">
        <f>IF(Init!$R$9="Yes",IF('Staging Table'!D94=1,'Staging Table'!H94*-1*'Staging Table'!BS94/'Staging Table'!BR94,'Staging Table'!H94*SUM(D92:I92)*(-1)),IF('Staging Table'!D94=1,'Staging Table'!BU94*-1*'Staging Table'!BS94/'Staging Table'!BR94,'Staging Table'!BU94*SUM(D92:I92)*(-1)))</f>
        <v>-161701.98698765674</v>
      </c>
      <c r="K92" s="199">
        <f>IF(Init!$R$9="Yes",'Staging Table'!K94,'Staging Table'!BX94)*(-1)*Rates_previous!$H$32</f>
        <v>0</v>
      </c>
      <c r="L92" s="199">
        <f>IF('Staging Table'!C94=1,"",SUM(D92:K92))</f>
        <v>3041586.1863018982</v>
      </c>
      <c r="M92" s="199">
        <f>IF('Staging Table'!C94=1,"",IF(Init!$R$9="Yes",(RT1SC!$C$3*'Staging Table'!F94*'Staging Table'!$F$2)+SUM('Staging Table'!L94:AI94)-IF(Init!$R$12="No",'Staging Table'!BH94, 0),X92))</f>
        <v>84884.4</v>
      </c>
      <c r="N92" s="297">
        <f>IF('Staging Table'!C94=1,"",IF(M92=0, 0, L92/M92))</f>
        <v>35.832098551699701</v>
      </c>
      <c r="O92" s="199">
        <f>'Staging Table'!BS94*Rates_current!$E$76*100*12</f>
        <v>3582501.5311199999</v>
      </c>
      <c r="P92" s="199">
        <f>'Staging Table'!BS94*Rates_current!$E$77*100*12</f>
        <v>-629582.34756000002</v>
      </c>
      <c r="Q92" s="200">
        <f>SUMPRODUCT('Staging Table'!BY94:CV94, LS_Demand_Rates_Restatement!$C$5:$Z$5)-IF(Init!$R$12="No",('Staging Table'!DU94*Rates_current!$H$34), 0)</f>
        <v>104580.6819703778</v>
      </c>
      <c r="R92" s="200">
        <f>SUMPRODUCT('Staging Table'!CW94:DH94, LS_Demand_Rates_Restatement!$C$11:$N$11)*1000</f>
        <v>247030.09364775641</v>
      </c>
      <c r="S92" s="201">
        <f>'Staging Table'!ED94*IF(Init!$R$15="Yes",IF(Init!$R$6=2024,Rates_current!$C$88,Rates_current!$D$88),Rates_current!$H$33)</f>
        <v>0</v>
      </c>
      <c r="T92" s="201">
        <v>0</v>
      </c>
      <c r="U92" s="201">
        <f>IF('Staging Table'!D94=1, 'Staging Table'!BU94*-1*'Staging Table'!BS94/'Staging Table'!BR94,SUM(O92:T92)*'Staging Table'!BU94*-1)</f>
        <v>-176466.06382714896</v>
      </c>
      <c r="V92" s="199">
        <f>'Staging Table'!BX94*Rates_current!$H$32*-1</f>
        <v>0</v>
      </c>
      <c r="W92" s="199">
        <f>IF('Staging Table'!C94=1,"", SUM(O92:V92))</f>
        <v>3128063.8953509852</v>
      </c>
      <c r="X92" s="199">
        <f>IF('Staging Table'!C94=1,"", (RT1SC!$C$4*'Staging Table'!BS94*'Staging Table'!$BS$2)+SUM('Staging Table'!BY94:CV94)-IF(Init!$R$12="No",'Staging Table'!DU94, 0))</f>
        <v>89227.871999999988</v>
      </c>
      <c r="Y92" s="297">
        <f>IF('Staging Table'!C94=1,"",IF(X92=0, 0, W92/X92))</f>
        <v>35.057026747774344</v>
      </c>
      <c r="Z92" s="76">
        <f ca="1">IF('Staging Table'!C94=1,"",(Y92/N92-1)+(RAND()/100000000000000))</f>
        <v>-2.1630656178482154E-2</v>
      </c>
      <c r="AA92" s="53">
        <f t="shared" ca="1" si="1"/>
        <v>107</v>
      </c>
      <c r="AC92" s="405"/>
      <c r="AD92" s="204"/>
      <c r="AE92" s="204"/>
      <c r="AG92" s="204"/>
      <c r="AH92" s="204"/>
    </row>
    <row r="93" spans="2:34">
      <c r="B93" s="123">
        <v>10285</v>
      </c>
      <c r="C93" s="124" t="s">
        <v>96</v>
      </c>
      <c r="D93" s="199">
        <f>IF(Init!$R$9="Yes",'Staging Table'!F95,'Staging Table'!BS95)*Rates_previous!$E$76*100*12</f>
        <v>2217044.1902297353</v>
      </c>
      <c r="E93" s="199">
        <f>IF(Init!$R$9="Yes",'Staging Table'!F95,'Staging Table'!BS95)*Rates_previous!$E$77*100*12</f>
        <v>-366039.31559149153</v>
      </c>
      <c r="F93" s="200">
        <f>IF(Init!$R$9="Yes",SUMPRODUCT('Staging Table'!L95:AI95,LS_Demand_Rates_Restatement!$C$4:$Z$4)-IF(Init!$R$12="No",('Staging Table'!BH95*Rates_previous!$H$34), 0),SUMPRODUCT('Staging Table'!BY95:CV95,LS_Demand_Rates_Restatement!$C$4:$Z$4)-IF(Init!$R$12="No", 'Staging Table'!DU95*Rates_previous!$H$34, 0))</f>
        <v>0</v>
      </c>
      <c r="G93" s="200">
        <f>IF(Init!$R$9="Yes",SUMPRODUCT('Staging Table'!AJ95:AU95,LS_Demand_Rates_Restatement!$C$10:$N$10),SUMPRODUCT(LS_Demand_Rates_Restatement!$C$10:$N$10,'Staging Table'!CW95:DH95))*1000</f>
        <v>0</v>
      </c>
      <c r="H93" s="201">
        <f>IF(Init!$R$9="Yes",'Staging Table'!BQ95,'Staging Table'!ED95)*IF(Init!$R$3=2022,Rates_previous!$C$88,Rates_previous!$D$88)</f>
        <v>0</v>
      </c>
      <c r="I93" s="199">
        <v>0</v>
      </c>
      <c r="J93" s="201">
        <f>IF(Init!$R$9="Yes",IF('Staging Table'!D95=1,'Staging Table'!H95*-1*'Staging Table'!BS95/'Staging Table'!BR95,'Staging Table'!H95*SUM(D93:I93)*(-1)),IF('Staging Table'!D95=1,'Staging Table'!BU95*-1*'Staging Table'!BS95/'Staging Table'!BR95,'Staging Table'!BU95*SUM(D93:I93)*(-1)))</f>
        <v>-133883.18258258418</v>
      </c>
      <c r="K93" s="199">
        <f>IF(Init!$R$9="Yes",'Staging Table'!K95,'Staging Table'!BX95)*(-1)*Rates_previous!$H$32</f>
        <v>0</v>
      </c>
      <c r="L93" s="199" t="str">
        <f>IF('Staging Table'!C95=1,"",SUM(D93:K93))</f>
        <v/>
      </c>
      <c r="M93" s="199" t="str">
        <f>IF('Staging Table'!C95=1,"",IF(Init!$R$9="Yes",(RT1SC!$C$3*'Staging Table'!F95*'Staging Table'!$F$2)+SUM('Staging Table'!L95:AI95)-IF(Init!$R$12="No",'Staging Table'!BH95, 0),X93))</f>
        <v/>
      </c>
      <c r="N93" s="297" t="str">
        <f>IF('Staging Table'!C95=1,"",IF(M93=0, 0, L93/M93))</f>
        <v/>
      </c>
      <c r="O93" s="199">
        <f>'Staging Table'!BS95*Rates_current!$E$76*100*12</f>
        <v>2302556.2653600001</v>
      </c>
      <c r="P93" s="199">
        <f>'Staging Table'!BS95*Rates_current!$E$77*100*12</f>
        <v>-404647.07867999992</v>
      </c>
      <c r="Q93" s="200">
        <f>SUMPRODUCT('Staging Table'!BY95:CV95, LS_Demand_Rates_Restatement!$C$5:$Z$5)-IF(Init!$R$12="No",('Staging Table'!DU95*Rates_current!$H$34), 0)</f>
        <v>0</v>
      </c>
      <c r="R93" s="200">
        <f>SUMPRODUCT('Staging Table'!CW95:DH95, LS_Demand_Rates_Restatement!$C$11:$N$11)*1000</f>
        <v>0</v>
      </c>
      <c r="S93" s="201">
        <f>'Staging Table'!ED95*IF(Init!$R$15="Yes",IF(Init!$R$6=2024,Rates_current!$C$88,Rates_current!$D$88),Rates_current!$H$33)</f>
        <v>0</v>
      </c>
      <c r="T93" s="201">
        <v>0</v>
      </c>
      <c r="U93" s="201">
        <f>IF('Staging Table'!D95=1, 'Staging Table'!BU95*-1*'Staging Table'!BS95/'Staging Table'!BR95,SUM(O93:T93)*'Staging Table'!BU95*-1)</f>
        <v>-147058.16633412143</v>
      </c>
      <c r="V93" s="199">
        <f>'Staging Table'!BX95*Rates_current!$H$32*-1</f>
        <v>0</v>
      </c>
      <c r="W93" s="199" t="str">
        <f>IF('Staging Table'!C95=1,"", SUM(O93:V93))</f>
        <v/>
      </c>
      <c r="X93" s="199" t="str">
        <f>IF('Staging Table'!C95=1,"", (RT1SC!$C$4*'Staging Table'!BS95*'Staging Table'!$BS$2)+SUM('Staging Table'!BY95:CV95)-IF(Init!$R$12="No",'Staging Table'!DU95, 0))</f>
        <v/>
      </c>
      <c r="Y93" s="297" t="str">
        <f>IF('Staging Table'!C95=1,"",IF(X93=0, 0, W93/X93))</f>
        <v/>
      </c>
      <c r="Z93" s="76" t="str">
        <f ca="1">IF('Staging Table'!C95=1,"",(Y93/N93-1)+(RAND()/100000000000000))</f>
        <v/>
      </c>
      <c r="AA93" s="53" t="str">
        <f t="shared" ca="1" si="1"/>
        <v/>
      </c>
      <c r="AC93" s="405"/>
      <c r="AD93" s="204"/>
      <c r="AE93" s="204"/>
      <c r="AG93" s="204"/>
      <c r="AH93" s="204"/>
    </row>
    <row r="94" spans="2:34">
      <c r="B94" s="123">
        <v>10286</v>
      </c>
      <c r="C94" s="124" t="s">
        <v>97</v>
      </c>
      <c r="D94" s="199">
        <f>IF(Init!$R$9="Yes",'Staging Table'!F96,'Staging Table'!BS96)*Rates_previous!$E$76*100*12</f>
        <v>15590772.735468445</v>
      </c>
      <c r="E94" s="199">
        <f>IF(Init!$R$9="Yes",'Staging Table'!F96,'Staging Table'!BS96)*Rates_previous!$E$77*100*12</f>
        <v>-2574073.9885937958</v>
      </c>
      <c r="F94" s="200">
        <f>IF(Init!$R$9="Yes",SUMPRODUCT('Staging Table'!L96:AI96,LS_Demand_Rates_Restatement!$C$4:$Z$4)-IF(Init!$R$12="No",('Staging Table'!BH96*Rates_previous!$H$34), 0),SUMPRODUCT('Staging Table'!BY96:CV96,LS_Demand_Rates_Restatement!$C$4:$Z$4)-IF(Init!$R$12="No", 'Staging Table'!DU96*Rates_previous!$H$34, 0))</f>
        <v>484561.1023844516</v>
      </c>
      <c r="G94" s="200">
        <f>IF(Init!$R$9="Yes",SUMPRODUCT('Staging Table'!AJ96:AU96,LS_Demand_Rates_Restatement!$C$10:$N$10),SUMPRODUCT(LS_Demand_Rates_Restatement!$C$10:$N$10,'Staging Table'!CW96:DH96))*1000</f>
        <v>0</v>
      </c>
      <c r="H94" s="201">
        <f>IF(Init!$R$9="Yes",'Staging Table'!BQ96,'Staging Table'!ED96)*IF(Init!$R$3=2022,Rates_previous!$C$88,Rates_previous!$D$88)</f>
        <v>0</v>
      </c>
      <c r="I94" s="199">
        <v>0</v>
      </c>
      <c r="J94" s="201">
        <f>IF(Init!$R$9="Yes",IF('Staging Table'!D96=1,'Staging Table'!H96*-1*'Staging Table'!BS96/'Staging Table'!BR96,'Staging Table'!H96*SUM(D94:I94)*(-1)),IF('Staging Table'!D96=1,'Staging Table'!BU96*-1*'Staging Table'!BS96/'Staging Table'!BR96,'Staging Table'!BU96*SUM(D94:I94)*(-1)))</f>
        <v>0</v>
      </c>
      <c r="K94" s="199">
        <f>IF(Init!$R$9="Yes",'Staging Table'!K96,'Staging Table'!BX96)*(-1)*Rates_previous!$H$32</f>
        <v>-603948.84590000007</v>
      </c>
      <c r="L94" s="199">
        <f>IF('Staging Table'!C96=1,"",SUM(D94:K94))</f>
        <v>12897311.003359102</v>
      </c>
      <c r="M94" s="199">
        <f>IF('Staging Table'!C96=1,"",IF(Init!$R$9="Yes",(RT1SC!$C$3*'Staging Table'!F96*'Staging Table'!$F$2)+SUM('Staging Table'!L96:AI96)-IF(Init!$R$12="No",'Staging Table'!BH96, 0),X94))</f>
        <v>383644.21962510049</v>
      </c>
      <c r="N94" s="297">
        <f>IF('Staging Table'!C96=1,"",IF(M94=0, 0, L94/M94))</f>
        <v>33.617894767090284</v>
      </c>
      <c r="O94" s="199">
        <f>'Staging Table'!BS96*Rates_current!$E$76*100*12</f>
        <v>16192129.686480001</v>
      </c>
      <c r="P94" s="199">
        <f>'Staging Table'!BS96*Rates_current!$E$77*100*12</f>
        <v>-2845575.6212400002</v>
      </c>
      <c r="Q94" s="200">
        <f>SUMPRODUCT('Staging Table'!BY96:CV96, LS_Demand_Rates_Restatement!$C$5:$Z$5)-IF(Init!$R$12="No",('Staging Table'!DU96*Rates_current!$H$34), 0)</f>
        <v>928230.1835679888</v>
      </c>
      <c r="R94" s="200">
        <f>SUMPRODUCT('Staging Table'!CW96:DH96, LS_Demand_Rates_Restatement!$C$11:$N$11)*1000</f>
        <v>0</v>
      </c>
      <c r="S94" s="201">
        <f>'Staging Table'!ED96*IF(Init!$R$15="Yes",IF(Init!$R$6=2024,Rates_current!$C$88,Rates_current!$D$88),Rates_current!$H$33)</f>
        <v>0</v>
      </c>
      <c r="T94" s="201">
        <v>0</v>
      </c>
      <c r="U94" s="201">
        <f>IF('Staging Table'!D96=1, 'Staging Table'!BU96*-1*'Staging Table'!BS96/'Staging Table'!BR96,SUM(O94:T94)*'Staging Table'!BU96*-1)</f>
        <v>0</v>
      </c>
      <c r="V94" s="199">
        <f>'Staging Table'!BX96*Rates_current!$H$32*-1</f>
        <v>-641072.3070700001</v>
      </c>
      <c r="W94" s="199">
        <f>IF('Staging Table'!C96=1,"", SUM(O94:V94))</f>
        <v>13633711.941737989</v>
      </c>
      <c r="X94" s="199">
        <f>IF('Staging Table'!C96=1,"", (RT1SC!$C$4*'Staging Table'!BS96*'Staging Table'!$BS$2)+SUM('Staging Table'!BY96:CV96)-IF(Init!$R$12="No",'Staging Table'!DU96, 0))</f>
        <v>403282.22584857157</v>
      </c>
      <c r="Y94" s="297">
        <f>IF('Staging Table'!C96=1,"",IF(X94=0, 0, W94/X94))</f>
        <v>33.806875353979301</v>
      </c>
      <c r="Z94" s="76">
        <f ca="1">IF('Staging Table'!C96=1,"",(Y94/N94-1)+(RAND()/100000000000000))</f>
        <v>5.6214283552992756E-3</v>
      </c>
      <c r="AA94" s="53">
        <f t="shared" ca="1" si="1"/>
        <v>20</v>
      </c>
      <c r="AC94" s="405"/>
      <c r="AD94" s="204"/>
      <c r="AE94" s="204"/>
      <c r="AG94" s="204"/>
      <c r="AH94" s="204"/>
    </row>
    <row r="95" spans="2:34">
      <c r="B95" s="123">
        <v>10288</v>
      </c>
      <c r="C95" s="124" t="s">
        <v>98</v>
      </c>
      <c r="D95" s="199">
        <f>IF(Init!$R$9="Yes",'Staging Table'!F97,'Staging Table'!BS97)*Rates_previous!$E$76*100*12</f>
        <v>8399348.0543857738</v>
      </c>
      <c r="E95" s="199">
        <f>IF(Init!$R$9="Yes",'Staging Table'!F97,'Staging Table'!BS97)*Rates_previous!$E$77*100*12</f>
        <v>-1386752.5179656022</v>
      </c>
      <c r="F95" s="200">
        <f>IF(Init!$R$9="Yes",SUMPRODUCT('Staging Table'!L97:AI97,LS_Demand_Rates_Restatement!$C$4:$Z$4)-IF(Init!$R$12="No",('Staging Table'!BH97*Rates_previous!$H$34), 0),SUMPRODUCT('Staging Table'!BY97:CV97,LS_Demand_Rates_Restatement!$C$4:$Z$4)-IF(Init!$R$12="No", 'Staging Table'!DU97*Rates_previous!$H$34, 0))</f>
        <v>0</v>
      </c>
      <c r="G95" s="200">
        <f>IF(Init!$R$9="Yes",SUMPRODUCT('Staging Table'!AJ97:AU97,LS_Demand_Rates_Restatement!$C$10:$N$10),SUMPRODUCT(LS_Demand_Rates_Restatement!$C$10:$N$10,'Staging Table'!CW97:DH97))*1000</f>
        <v>0</v>
      </c>
      <c r="H95" s="201">
        <f>IF(Init!$R$9="Yes",'Staging Table'!BQ97,'Staging Table'!ED97)*IF(Init!$R$3=2022,Rates_previous!$C$88,Rates_previous!$D$88)</f>
        <v>0</v>
      </c>
      <c r="I95" s="199">
        <v>0</v>
      </c>
      <c r="J95" s="201">
        <f>IF(Init!$R$9="Yes",IF('Staging Table'!D97=1,'Staging Table'!H97*-1*'Staging Table'!BS97/'Staging Table'!BR97,'Staging Table'!H97*SUM(D95:I95)*(-1)),IF('Staging Table'!D97=1,'Staging Table'!BU97*-1*'Staging Table'!BS97/'Staging Table'!BR97,'Staging Table'!BU97*SUM(D95:I95)*(-1)))</f>
        <v>-408974.57168402441</v>
      </c>
      <c r="K95" s="199">
        <f>IF(Init!$R$9="Yes",'Staging Table'!K97,'Staging Table'!BX97)*(-1)*Rates_previous!$H$32</f>
        <v>0</v>
      </c>
      <c r="L95" s="199" t="str">
        <f>IF('Staging Table'!C97=1,"",SUM(D95:K95))</f>
        <v/>
      </c>
      <c r="M95" s="199" t="str">
        <f>IF('Staging Table'!C97=1,"",IF(Init!$R$9="Yes",(RT1SC!$C$3*'Staging Table'!F97*'Staging Table'!$F$2)+SUM('Staging Table'!L97:AI97)-IF(Init!$R$12="No",'Staging Table'!BH97, 0),X95))</f>
        <v/>
      </c>
      <c r="N95" s="297" t="str">
        <f>IF('Staging Table'!C97=1,"",IF(M95=0, 0, L95/M95))</f>
        <v/>
      </c>
      <c r="O95" s="199">
        <f>'Staging Table'!BS97*Rates_current!$E$76*100*12</f>
        <v>8680360.6043999996</v>
      </c>
      <c r="P95" s="199">
        <f>'Staging Table'!BS97*Rates_current!$E$77*100*12</f>
        <v>-1525470.8922000001</v>
      </c>
      <c r="Q95" s="200">
        <f>SUMPRODUCT('Staging Table'!BY97:CV97, LS_Demand_Rates_Restatement!$C$5:$Z$5)-IF(Init!$R$12="No",('Staging Table'!DU97*Rates_current!$H$34), 0)</f>
        <v>0</v>
      </c>
      <c r="R95" s="200">
        <f>SUMPRODUCT('Staging Table'!CW97:DH97, LS_Demand_Rates_Restatement!$C$11:$N$11)*1000</f>
        <v>0</v>
      </c>
      <c r="S95" s="201">
        <f>'Staging Table'!ED97*IF(Init!$R$15="Yes",IF(Init!$R$6=2024,Rates_current!$C$88,Rates_current!$D$88),Rates_current!$H$33)</f>
        <v>-17.459561739735946</v>
      </c>
      <c r="T95" s="201">
        <v>0</v>
      </c>
      <c r="U95" s="201">
        <f>IF('Staging Table'!D97=1, 'Staging Table'!BU97*-1*'Staging Table'!BS97/'Staging Table'!BR97,SUM(O95:T95)*'Staging Table'!BU97*-1)</f>
        <v>-429292.33515829552</v>
      </c>
      <c r="V95" s="199">
        <f>'Staging Table'!BX97*Rates_current!$H$32*-1</f>
        <v>0</v>
      </c>
      <c r="W95" s="199" t="str">
        <f>IF('Staging Table'!C97=1,"", SUM(O95:V95))</f>
        <v/>
      </c>
      <c r="X95" s="199" t="str">
        <f>IF('Staging Table'!C97=1,"", (RT1SC!$C$4*'Staging Table'!BS97*'Staging Table'!$BS$2)+SUM('Staging Table'!BY97:CV97)-IF(Init!$R$12="No",'Staging Table'!DU97, 0))</f>
        <v/>
      </c>
      <c r="Y95" s="297" t="str">
        <f>IF('Staging Table'!C97=1,"",IF(X95=0, 0, W95/X95))</f>
        <v/>
      </c>
      <c r="Z95" s="76" t="str">
        <f ca="1">IF('Staging Table'!C97=1,"",(Y95/N95-1)+(RAND()/100000000000000))</f>
        <v/>
      </c>
      <c r="AA95" s="53" t="str">
        <f t="shared" ca="1" si="1"/>
        <v/>
      </c>
      <c r="AC95" s="405"/>
      <c r="AD95" s="204"/>
      <c r="AE95" s="204"/>
      <c r="AG95" s="204"/>
      <c r="AH95" s="204"/>
    </row>
    <row r="96" spans="2:34">
      <c r="B96" s="123">
        <v>10291</v>
      </c>
      <c r="C96" s="124" t="s">
        <v>99</v>
      </c>
      <c r="D96" s="199">
        <f>IF(Init!$R$9="Yes",'Staging Table'!F98,'Staging Table'!BS98)*Rates_previous!$E$76*100*12</f>
        <v>26888945.037717607</v>
      </c>
      <c r="E96" s="199">
        <f>IF(Init!$R$9="Yes",'Staging Table'!F98,'Staging Table'!BS98)*Rates_previous!$E$77*100*12</f>
        <v>-4439429.3455934646</v>
      </c>
      <c r="F96" s="200">
        <f>IF(Init!$R$9="Yes",SUMPRODUCT('Staging Table'!L98:AI98,LS_Demand_Rates_Restatement!$C$4:$Z$4)-IF(Init!$R$12="No",('Staging Table'!BH98*Rates_previous!$H$34), 0),SUMPRODUCT('Staging Table'!BY98:CV98,LS_Demand_Rates_Restatement!$C$4:$Z$4)-IF(Init!$R$12="No", 'Staging Table'!DU98*Rates_previous!$H$34, 0))</f>
        <v>-285793.63876614865</v>
      </c>
      <c r="G96" s="200">
        <f>IF(Init!$R$9="Yes",SUMPRODUCT('Staging Table'!AJ98:AU98,LS_Demand_Rates_Restatement!$C$10:$N$10),SUMPRODUCT(LS_Demand_Rates_Restatement!$C$10:$N$10,'Staging Table'!CW98:DH98))*1000</f>
        <v>1520374.5041061081</v>
      </c>
      <c r="H96" s="201">
        <f>IF(Init!$R$9="Yes",'Staging Table'!BQ98,'Staging Table'!ED98)*IF(Init!$R$3=2022,Rates_previous!$C$88,Rates_previous!$D$88)</f>
        <v>0</v>
      </c>
      <c r="I96" s="199">
        <v>0</v>
      </c>
      <c r="J96" s="201">
        <f>IF(Init!$R$9="Yes",IF('Staging Table'!D98=1,'Staging Table'!H98*-1*'Staging Table'!BS98/'Staging Table'!BR98,'Staging Table'!H98*SUM(D96:I96)*(-1)),IF('Staging Table'!D98=1,'Staging Table'!BU98*-1*'Staging Table'!BS98/'Staging Table'!BR98,'Staging Table'!BU98*SUM(D96:I96)*(-1)))</f>
        <v>-1259046.5729947917</v>
      </c>
      <c r="K96" s="199">
        <f>IF(Init!$R$9="Yes",'Staging Table'!K98,'Staging Table'!BX98)*(-1)*Rates_previous!$H$32</f>
        <v>-395240.55089999997</v>
      </c>
      <c r="L96" s="199">
        <f>IF('Staging Table'!C98=1,"",SUM(D96:K96))</f>
        <v>22029809.433569312</v>
      </c>
      <c r="M96" s="199">
        <f>IF('Staging Table'!C98=1,"",IF(Init!$R$9="Yes",(RT1SC!$C$3*'Staging Table'!F98*'Staging Table'!$F$2)+SUM('Staging Table'!L98:AI98)-IF(Init!$R$12="No",'Staging Table'!BH98, 0),X96))</f>
        <v>644936.48284683086</v>
      </c>
      <c r="N96" s="297">
        <f>IF('Staging Table'!C98=1,"",IF(M96=0, 0, L96/M96))</f>
        <v>34.158107068663504</v>
      </c>
      <c r="O96" s="199">
        <f>'Staging Table'!BS98*Rates_current!$E$76*100*12</f>
        <v>27574126.415279999</v>
      </c>
      <c r="P96" s="199">
        <f>'Staging Table'!BS98*Rates_current!$E$77*100*12</f>
        <v>-4845827.1656399993</v>
      </c>
      <c r="Q96" s="200">
        <f>SUMPRODUCT('Staging Table'!BY98:CV98, LS_Demand_Rates_Restatement!$C$5:$Z$5)-IF(Init!$R$12="No",('Staging Table'!DU98*Rates_current!$H$34), 0)</f>
        <v>639406.0100294681</v>
      </c>
      <c r="R96" s="200">
        <f>SUMPRODUCT('Staging Table'!CW98:DH98, LS_Demand_Rates_Restatement!$C$11:$N$11)*1000</f>
        <v>1572771.2592525911</v>
      </c>
      <c r="S96" s="201">
        <f>'Staging Table'!ED98*IF(Init!$R$15="Yes",IF(Init!$R$6=2024,Rates_current!$C$88,Rates_current!$D$88),Rates_current!$H$33)</f>
        <v>18.869923993181438</v>
      </c>
      <c r="T96" s="201">
        <v>0</v>
      </c>
      <c r="U96" s="201">
        <f>IF('Staging Table'!D98=1, 'Staging Table'!BU98*-1*'Staging Table'!BS98/'Staging Table'!BR98,SUM(O96:T96)*'Staging Table'!BU98*-1)</f>
        <v>-1247024.7694423029</v>
      </c>
      <c r="V96" s="199">
        <f>'Staging Table'!BX98*Rates_current!$H$32*-1</f>
        <v>-419535.15356999997</v>
      </c>
      <c r="W96" s="199">
        <f>IF('Staging Table'!C98=1,"", SUM(O96:V96))</f>
        <v>23273935.465833753</v>
      </c>
      <c r="X96" s="199">
        <f>IF('Staging Table'!C98=1,"", (RT1SC!$C$4*'Staging Table'!BS98*'Staging Table'!$BS$2)+SUM('Staging Table'!BY98:CV98)-IF(Init!$R$12="No",'Staging Table'!DU98, 0))</f>
        <v>686765.45214799501</v>
      </c>
      <c r="Y96" s="297">
        <f>IF('Staging Table'!C98=1,"",IF(X96=0, 0, W96/X96))</f>
        <v>33.889205394709229</v>
      </c>
      <c r="Z96" s="76">
        <f ca="1">IF('Staging Table'!C98=1,"",(Y96/N96-1)+(RAND()/100000000000000))</f>
        <v>-7.8722650940116646E-3</v>
      </c>
      <c r="AA96" s="53">
        <f t="shared" ca="1" si="1"/>
        <v>59</v>
      </c>
      <c r="AC96" s="405"/>
      <c r="AD96" s="204"/>
      <c r="AE96" s="204"/>
      <c r="AG96" s="204"/>
      <c r="AH96" s="204"/>
    </row>
    <row r="97" spans="2:34">
      <c r="B97" s="123">
        <v>10294</v>
      </c>
      <c r="C97" s="124" t="s">
        <v>100</v>
      </c>
      <c r="D97" s="199">
        <f>IF(Init!$R$9="Yes",'Staging Table'!F99,'Staging Table'!BS99)*Rates_previous!$E$76*100*12</f>
        <v>12335830.518703904</v>
      </c>
      <c r="E97" s="199">
        <f>IF(Init!$R$9="Yes",'Staging Table'!F99,'Staging Table'!BS99)*Rates_previous!$E$77*100*12</f>
        <v>-2036675.2183911661</v>
      </c>
      <c r="F97" s="200">
        <f>IF(Init!$R$9="Yes",SUMPRODUCT('Staging Table'!L99:AI99,LS_Demand_Rates_Restatement!$C$4:$Z$4)-IF(Init!$R$12="No",('Staging Table'!BH99*Rates_previous!$H$34), 0),SUMPRODUCT('Staging Table'!BY99:CV99,LS_Demand_Rates_Restatement!$C$4:$Z$4)-IF(Init!$R$12="No", 'Staging Table'!DU99*Rates_previous!$H$34, 0))</f>
        <v>154865.18859227613</v>
      </c>
      <c r="G97" s="200">
        <f>IF(Init!$R$9="Yes",SUMPRODUCT('Staging Table'!AJ99:AU99,LS_Demand_Rates_Restatement!$C$10:$N$10),SUMPRODUCT(LS_Demand_Rates_Restatement!$C$10:$N$10,'Staging Table'!CW99:DH99))*1000</f>
        <v>729969.32808466023</v>
      </c>
      <c r="H97" s="201">
        <f>IF(Init!$R$9="Yes",'Staging Table'!BQ99,'Staging Table'!ED99)*IF(Init!$R$3=2022,Rates_previous!$C$88,Rates_previous!$D$88)</f>
        <v>0</v>
      </c>
      <c r="I97" s="199">
        <v>0</v>
      </c>
      <c r="J97" s="201">
        <f>IF(Init!$R$9="Yes",IF('Staging Table'!D99=1,'Staging Table'!H99*-1*'Staging Table'!BS99/'Staging Table'!BR99,'Staging Table'!H99*SUM(D97:I97)*(-1)),IF('Staging Table'!D99=1,'Staging Table'!BU99*-1*'Staging Table'!BS99/'Staging Table'!BR99,'Staging Table'!BU99*SUM(D97:I97)*(-1)))</f>
        <v>0</v>
      </c>
      <c r="K97" s="199">
        <f>IF(Init!$R$9="Yes",'Staging Table'!K99,'Staging Table'!BX99)*(-1)*Rates_previous!$H$32</f>
        <v>0</v>
      </c>
      <c r="L97" s="199">
        <f>IF('Staging Table'!C99=1,"",SUM(D97:K97))</f>
        <v>11183989.816989675</v>
      </c>
      <c r="M97" s="199">
        <f>IF('Staging Table'!C99=1,"",IF(Init!$R$9="Yes",(RT1SC!$C$3*'Staging Table'!F99*'Staging Table'!$F$2)+SUM('Staging Table'!L99:AI99)-IF(Init!$R$12="No",'Staging Table'!BH99, 0),X97))</f>
        <v>301450.58252789709</v>
      </c>
      <c r="N97" s="297">
        <f>IF('Staging Table'!C99=1,"",IF(M97=0, 0, L97/M97))</f>
        <v>37.100574572466378</v>
      </c>
      <c r="O97" s="199">
        <f>'Staging Table'!BS99*Rates_current!$E$76*100*12</f>
        <v>12811908.3336</v>
      </c>
      <c r="P97" s="199">
        <f>'Staging Table'!BS99*Rates_current!$E$77*100*12</f>
        <v>-2251541.6268000002</v>
      </c>
      <c r="Q97" s="200">
        <f>SUMPRODUCT('Staging Table'!BY99:CV99, LS_Demand_Rates_Restatement!$C$5:$Z$5)-IF(Init!$R$12="No",('Staging Table'!DU99*Rates_current!$H$34), 0)</f>
        <v>280095.30524227093</v>
      </c>
      <c r="R97" s="200">
        <f>SUMPRODUCT('Staging Table'!CW99:DH99, LS_Demand_Rates_Restatement!$C$11:$N$11)*1000</f>
        <v>696235.23844505905</v>
      </c>
      <c r="S97" s="201">
        <f>'Staging Table'!ED99*IF(Init!$R$15="Yes",IF(Init!$R$6=2024,Rates_current!$C$88,Rates_current!$D$88),Rates_current!$H$33)</f>
        <v>0</v>
      </c>
      <c r="T97" s="201">
        <v>0</v>
      </c>
      <c r="U97" s="201">
        <f>IF('Staging Table'!D99=1, 'Staging Table'!BU99*-1*'Staging Table'!BS99/'Staging Table'!BR99,SUM(O97:T97)*'Staging Table'!BU99*-1)</f>
        <v>0</v>
      </c>
      <c r="V97" s="199">
        <f>'Staging Table'!BX99*Rates_current!$H$32*-1</f>
        <v>0</v>
      </c>
      <c r="W97" s="199">
        <f>IF('Staging Table'!C99=1,"", SUM(O97:V97))</f>
        <v>11536697.250487328</v>
      </c>
      <c r="X97" s="199">
        <f>IF('Staging Table'!C99=1,"", (RT1SC!$C$4*'Staging Table'!BS99*'Staging Table'!$BS$2)+SUM('Staging Table'!BY99:CV99)-IF(Init!$R$12="No",'Staging Table'!DU99, 0))</f>
        <v>319096.36799999996</v>
      </c>
      <c r="Y97" s="297">
        <f>IF('Staging Table'!C99=1,"",IF(X97=0, 0, W97/X97))</f>
        <v>36.154273152013218</v>
      </c>
      <c r="Z97" s="76">
        <f ca="1">IF('Staging Table'!C99=1,"",(Y97/N97-1)+(RAND()/100000000000000))</f>
        <v>-2.5506381811002943E-2</v>
      </c>
      <c r="AA97" s="53">
        <f t="shared" ca="1" si="1"/>
        <v>114</v>
      </c>
      <c r="AC97" s="405"/>
      <c r="AD97" s="204"/>
      <c r="AE97" s="204"/>
      <c r="AG97" s="204"/>
      <c r="AH97" s="204"/>
    </row>
    <row r="98" spans="2:34">
      <c r="B98" s="123">
        <v>10304</v>
      </c>
      <c r="C98" s="124" t="s">
        <v>101</v>
      </c>
      <c r="D98" s="199">
        <f>IF(Init!$R$9="Yes",'Staging Table'!F100,'Staging Table'!BS100)*Rates_previous!$E$76*100*12</f>
        <v>4765266.1010335386</v>
      </c>
      <c r="E98" s="199">
        <f>IF(Init!$R$9="Yes",'Staging Table'!F100,'Staging Table'!BS100)*Rates_previous!$E$77*100*12</f>
        <v>-786756.86750876473</v>
      </c>
      <c r="F98" s="200">
        <f>IF(Init!$R$9="Yes",SUMPRODUCT('Staging Table'!L100:AI100,LS_Demand_Rates_Restatement!$C$4:$Z$4)-IF(Init!$R$12="No",('Staging Table'!BH100*Rates_previous!$H$34), 0),SUMPRODUCT('Staging Table'!BY100:CV100,LS_Demand_Rates_Restatement!$C$4:$Z$4)-IF(Init!$R$12="No", 'Staging Table'!DU100*Rates_previous!$H$34, 0))</f>
        <v>80753.05711862279</v>
      </c>
      <c r="G98" s="200">
        <f>IF(Init!$R$9="Yes",SUMPRODUCT('Staging Table'!AJ100:AU100,LS_Demand_Rates_Restatement!$C$10:$N$10),SUMPRODUCT(LS_Demand_Rates_Restatement!$C$10:$N$10,'Staging Table'!CW100:DH100))*1000</f>
        <v>192747.69671460113</v>
      </c>
      <c r="H98" s="201">
        <f>IF(Init!$R$9="Yes",'Staging Table'!BQ100,'Staging Table'!ED100)*IF(Init!$R$3=2022,Rates_previous!$C$88,Rates_previous!$D$88)</f>
        <v>2098.091718205957</v>
      </c>
      <c r="I98" s="199">
        <v>0</v>
      </c>
      <c r="J98" s="201">
        <f>IF(Init!$R$9="Yes",IF('Staging Table'!D100=1,'Staging Table'!H100*-1*'Staging Table'!BS100/'Staging Table'!BR100,'Staging Table'!H100*SUM(D98:I98)*(-1)),IF('Staging Table'!D100=1,'Staging Table'!BU100*-1*'Staging Table'!BS100/'Staging Table'!BR100,'Staging Table'!BU100*SUM(D98:I98)*(-1)))</f>
        <v>0</v>
      </c>
      <c r="K98" s="199">
        <f>IF(Init!$R$9="Yes",'Staging Table'!K100,'Staging Table'!BX100)*(-1)*Rates_previous!$H$32</f>
        <v>0</v>
      </c>
      <c r="L98" s="199">
        <f>IF('Staging Table'!C100=1,"",SUM(D98:K98))</f>
        <v>4254108.0790762035</v>
      </c>
      <c r="M98" s="199">
        <f>IF('Staging Table'!C100=1,"",IF(Init!$R$9="Yes",(RT1SC!$C$3*'Staging Table'!F100*'Staging Table'!$F$2)+SUM('Staging Table'!L100:AI100)-IF(Init!$R$12="No",'Staging Table'!BH100, 0),X98))</f>
        <v>117559.2</v>
      </c>
      <c r="N98" s="297">
        <f>IF('Staging Table'!C100=1,"",IF(M98=0, 0, L98/M98))</f>
        <v>36.186943081240798</v>
      </c>
      <c r="O98" s="199">
        <f>'Staging Table'!BS100*Rates_current!$E$76*100*12</f>
        <v>4730914.8583199997</v>
      </c>
      <c r="P98" s="199">
        <f>'Staging Table'!BS100*Rates_current!$E$77*100*12</f>
        <v>-831402.43115999992</v>
      </c>
      <c r="Q98" s="200">
        <f>SUMPRODUCT('Staging Table'!BY100:CV100, LS_Demand_Rates_Restatement!$C$5:$Z$5)-IF(Init!$R$12="No",('Staging Table'!DU100*Rates_current!$H$34), 0)</f>
        <v>110906.70263652815</v>
      </c>
      <c r="R98" s="200">
        <f>SUMPRODUCT('Staging Table'!CW100:DH100, LS_Demand_Rates_Restatement!$C$11:$N$11)*1000</f>
        <v>205145.72071148502</v>
      </c>
      <c r="S98" s="201">
        <f>'Staging Table'!ED100*IF(Init!$R$15="Yes",IF(Init!$R$6=2024,Rates_current!$C$88,Rates_current!$D$88),Rates_current!$H$33)</f>
        <v>-1.7130549001935289</v>
      </c>
      <c r="T98" s="201">
        <v>0</v>
      </c>
      <c r="U98" s="201">
        <f>IF('Staging Table'!D100=1, 'Staging Table'!BU100*-1*'Staging Table'!BS100/'Staging Table'!BR100,SUM(O98:T98)*'Staging Table'!BU100*-1)</f>
        <v>0</v>
      </c>
      <c r="V98" s="199">
        <f>'Staging Table'!BX100*Rates_current!$H$32*-1</f>
        <v>0</v>
      </c>
      <c r="W98" s="199">
        <f>IF('Staging Table'!C100=1,"", SUM(O98:V98))</f>
        <v>4215563.1374531128</v>
      </c>
      <c r="X98" s="199">
        <f>IF('Staging Table'!C100=1,"", (RT1SC!$C$4*'Staging Table'!BS100*'Staging Table'!$BS$2)+SUM('Staging Table'!BY100:CV100)-IF(Init!$R$12="No",'Staging Table'!DU100, 0))</f>
        <v>117828.83054010404</v>
      </c>
      <c r="Y98" s="297">
        <f>IF('Staging Table'!C100=1,"",IF(X98=0, 0, W98/X98))</f>
        <v>35.777009057374208</v>
      </c>
      <c r="Z98" s="76">
        <f ca="1">IF('Staging Table'!C100=1,"",(Y98/N98-1)+(RAND()/100000000000000))</f>
        <v>-1.1328230266540281E-2</v>
      </c>
      <c r="AA98" s="53">
        <f t="shared" ca="1" si="1"/>
        <v>71</v>
      </c>
      <c r="AC98" s="405"/>
      <c r="AD98" s="204"/>
      <c r="AE98" s="204"/>
      <c r="AG98" s="204"/>
      <c r="AH98" s="204"/>
    </row>
    <row r="99" spans="2:34">
      <c r="B99" s="123">
        <v>10306</v>
      </c>
      <c r="C99" s="124" t="s">
        <v>102</v>
      </c>
      <c r="D99" s="199">
        <f>IF(Init!$R$9="Yes",'Staging Table'!F101,'Staging Table'!BS101)*Rates_previous!$E$76*100*12</f>
        <v>8750669.8216855638</v>
      </c>
      <c r="E99" s="199">
        <f>IF(Init!$R$9="Yes",'Staging Table'!F101,'Staging Table'!BS101)*Rates_previous!$E$77*100*12</f>
        <v>-1444756.5847413226</v>
      </c>
      <c r="F99" s="200">
        <f>IF(Init!$R$9="Yes",SUMPRODUCT('Staging Table'!L101:AI101,LS_Demand_Rates_Restatement!$C$4:$Z$4)-IF(Init!$R$12="No",('Staging Table'!BH101*Rates_previous!$H$34), 0),SUMPRODUCT('Staging Table'!BY101:CV101,LS_Demand_Rates_Restatement!$C$4:$Z$4)-IF(Init!$R$12="No", 'Staging Table'!DU101*Rates_previous!$H$34, 0))</f>
        <v>641985.67048791808</v>
      </c>
      <c r="G99" s="200">
        <f>IF(Init!$R$9="Yes",SUMPRODUCT('Staging Table'!AJ101:AU101,LS_Demand_Rates_Restatement!$C$10:$N$10),SUMPRODUCT(LS_Demand_Rates_Restatement!$C$10:$N$10,'Staging Table'!CW101:DH101))*1000</f>
        <v>0</v>
      </c>
      <c r="H99" s="201">
        <f>IF(Init!$R$9="Yes",'Staging Table'!BQ101,'Staging Table'!ED101)*IF(Init!$R$3=2022,Rates_previous!$C$88,Rates_previous!$D$88)</f>
        <v>0</v>
      </c>
      <c r="I99" s="199">
        <v>0</v>
      </c>
      <c r="J99" s="201">
        <f>IF(Init!$R$9="Yes",IF('Staging Table'!D101=1,'Staging Table'!H101*-1*'Staging Table'!BS101/'Staging Table'!BR101,'Staging Table'!H101*SUM(D99:I99)*(-1)),IF('Staging Table'!D101=1,'Staging Table'!BU101*-1*'Staging Table'!BS101/'Staging Table'!BR101,'Staging Table'!BU101*SUM(D99:I99)*(-1)))</f>
        <v>0</v>
      </c>
      <c r="K99" s="199">
        <f>IF(Init!$R$9="Yes",'Staging Table'!K101,'Staging Table'!BX101)*(-1)*Rates_previous!$H$32</f>
        <v>0</v>
      </c>
      <c r="L99" s="199">
        <f>IF('Staging Table'!C101=1,"",SUM(D99:K99))</f>
        <v>7947898.9074321594</v>
      </c>
      <c r="M99" s="199">
        <f>IF('Staging Table'!C101=1,"",IF(Init!$R$9="Yes",(RT1SC!$C$3*'Staging Table'!F101*'Staging Table'!$F$2)+SUM('Staging Table'!L101:AI101)-IF(Init!$R$12="No",'Staging Table'!BH101, 0),X99))</f>
        <v>215329.57101502642</v>
      </c>
      <c r="N99" s="297">
        <f>IF('Staging Table'!C101=1,"",IF(M99=0, 0, L99/M99))</f>
        <v>36.910392148960945</v>
      </c>
      <c r="O99" s="199">
        <f>'Staging Table'!BS101*Rates_current!$E$76*100*12</f>
        <v>9088408.5501599982</v>
      </c>
      <c r="P99" s="199">
        <f>'Staging Table'!BS101*Rates_current!$E$77*100*12</f>
        <v>-1597180.5010800003</v>
      </c>
      <c r="Q99" s="200">
        <f>SUMPRODUCT('Staging Table'!BY101:CV101, LS_Demand_Rates_Restatement!$C$5:$Z$5)-IF(Init!$R$12="No",('Staging Table'!DU101*Rates_current!$H$34), 0)</f>
        <v>1135136.0720034665</v>
      </c>
      <c r="R99" s="200">
        <f>SUMPRODUCT('Staging Table'!CW101:DH101, LS_Demand_Rates_Restatement!$C$11:$N$11)*1000</f>
        <v>0</v>
      </c>
      <c r="S99" s="201">
        <f>'Staging Table'!ED101*IF(Init!$R$15="Yes",IF(Init!$R$6=2024,Rates_current!$C$88,Rates_current!$D$88),Rates_current!$H$33)</f>
        <v>0</v>
      </c>
      <c r="T99" s="201">
        <v>0</v>
      </c>
      <c r="U99" s="201">
        <f>IF('Staging Table'!D101=1, 'Staging Table'!BU101*-1*'Staging Table'!BS101/'Staging Table'!BR101,SUM(O99:T99)*'Staging Table'!BU101*-1)</f>
        <v>0</v>
      </c>
      <c r="V99" s="199">
        <f>'Staging Table'!BX101*Rates_current!$H$32*-1</f>
        <v>0</v>
      </c>
      <c r="W99" s="199">
        <f>IF('Staging Table'!C101=1,"", SUM(O99:V99))</f>
        <v>8626364.1210834645</v>
      </c>
      <c r="X99" s="199">
        <f>IF('Staging Table'!C101=1,"", (RT1SC!$C$4*'Staging Table'!BS101*'Staging Table'!$BS$2)+SUM('Staging Table'!BY101:CV101)-IF(Init!$R$12="No",'Staging Table'!DU101, 0))</f>
        <v>226354.89703757645</v>
      </c>
      <c r="Y99" s="297">
        <f>IF('Staging Table'!C101=1,"",IF(X99=0, 0, W99/X99))</f>
        <v>38.109907203162606</v>
      </c>
      <c r="Z99" s="76">
        <f ca="1">IF('Staging Table'!C101=1,"",(Y99/N99-1)+(RAND()/100000000000000))</f>
        <v>3.2498030618611125E-2</v>
      </c>
      <c r="AA99" s="53">
        <f t="shared" ca="1" si="1"/>
        <v>7</v>
      </c>
      <c r="AC99" s="405"/>
      <c r="AD99" s="204"/>
      <c r="AE99" s="204"/>
      <c r="AG99" s="204"/>
      <c r="AH99" s="204"/>
    </row>
    <row r="100" spans="2:34">
      <c r="B100" s="123">
        <v>10307</v>
      </c>
      <c r="C100" s="124" t="s">
        <v>103</v>
      </c>
      <c r="D100" s="199">
        <f>IF(Init!$R$9="Yes",'Staging Table'!F102,'Staging Table'!BS102)*Rates_previous!$E$76*100*12</f>
        <v>24254151.688009217</v>
      </c>
      <c r="E100" s="199">
        <f>IF(Init!$R$9="Yes",'Staging Table'!F102,'Staging Table'!BS102)*Rates_previous!$E$77*100*12</f>
        <v>-4004418.6413853834</v>
      </c>
      <c r="F100" s="200">
        <f>IF(Init!$R$9="Yes",SUMPRODUCT('Staging Table'!L102:AI102,LS_Demand_Rates_Restatement!$C$4:$Z$4)-IF(Init!$R$12="No",('Staging Table'!BH102*Rates_previous!$H$34), 0),SUMPRODUCT('Staging Table'!BY102:CV102,LS_Demand_Rates_Restatement!$C$4:$Z$4)-IF(Init!$R$12="No", 'Staging Table'!DU102*Rates_previous!$H$34, 0))</f>
        <v>593276.80870950106</v>
      </c>
      <c r="G100" s="200">
        <f>IF(Init!$R$9="Yes",SUMPRODUCT('Staging Table'!AJ102:AU102,LS_Demand_Rates_Restatement!$C$10:$N$10),SUMPRODUCT(LS_Demand_Rates_Restatement!$C$10:$N$10,'Staging Table'!CW102:DH102))*1000</f>
        <v>1526470.4973588586</v>
      </c>
      <c r="H100" s="201">
        <f>IF(Init!$R$9="Yes",'Staging Table'!BQ102,'Staging Table'!ED102)*IF(Init!$R$3=2022,Rates_previous!$C$88,Rates_previous!$D$88)</f>
        <v>33075.798851716114</v>
      </c>
      <c r="I100" s="199">
        <v>0</v>
      </c>
      <c r="J100" s="201">
        <f>IF(Init!$R$9="Yes",IF('Staging Table'!D102=1,'Staging Table'!H102*-1*'Staging Table'!BS102/'Staging Table'!BR102,'Staging Table'!H102*SUM(D100:I100)*(-1)),IF('Staging Table'!D102=1,'Staging Table'!BU102*-1*'Staging Table'!BS102/'Staging Table'!BR102,'Staging Table'!BU102*SUM(D100:I100)*(-1)))</f>
        <v>0</v>
      </c>
      <c r="K100" s="199">
        <f>IF(Init!$R$9="Yes",'Staging Table'!K102,'Staging Table'!BX102)*(-1)*Rates_previous!$H$32</f>
        <v>0</v>
      </c>
      <c r="L100" s="199">
        <f>IF('Staging Table'!C102=1,"",SUM(D100:K100))</f>
        <v>22402556.151543912</v>
      </c>
      <c r="M100" s="199">
        <f>IF('Staging Table'!C102=1,"",IF(Init!$R$9="Yes",(RT1SC!$C$3*'Staging Table'!F102*'Staging Table'!$F$2)+SUM('Staging Table'!L102:AI102)-IF(Init!$R$12="No",'Staging Table'!BH102, 0),X100))</f>
        <v>601522.92000000004</v>
      </c>
      <c r="N100" s="297">
        <f>IF('Staging Table'!C102=1,"",IF(M100=0, 0, L100/M100))</f>
        <v>37.243063242783684</v>
      </c>
      <c r="O100" s="199">
        <f>'Staging Table'!BS102*Rates_current!$E$76*100*12</f>
        <v>24217072.619760003</v>
      </c>
      <c r="P100" s="199">
        <f>'Staging Table'!BS102*Rates_current!$E$77*100*12</f>
        <v>-4255864.5958799999</v>
      </c>
      <c r="Q100" s="200">
        <f>SUMPRODUCT('Staging Table'!BY102:CV102, LS_Demand_Rates_Restatement!$C$5:$Z$5)-IF(Init!$R$12="No",('Staging Table'!DU102*Rates_current!$H$34), 0)</f>
        <v>800126.0580846197</v>
      </c>
      <c r="R100" s="200">
        <f>SUMPRODUCT('Staging Table'!CW102:DH102, LS_Demand_Rates_Restatement!$C$11:$N$11)*1000</f>
        <v>1554393.7408193378</v>
      </c>
      <c r="S100" s="201">
        <f>'Staging Table'!ED102*IF(Init!$R$15="Yes",IF(Init!$R$6=2024,Rates_current!$C$88,Rates_current!$D$88),Rates_current!$H$33)</f>
        <v>8.1718033164879316</v>
      </c>
      <c r="T100" s="201">
        <v>0</v>
      </c>
      <c r="U100" s="201">
        <f>IF('Staging Table'!D102=1, 'Staging Table'!BU102*-1*'Staging Table'!BS102/'Staging Table'!BR102,SUM(O100:T100)*'Staging Table'!BU102*-1)</f>
        <v>0</v>
      </c>
      <c r="V100" s="199">
        <f>'Staging Table'!BX102*Rates_current!$H$32*-1</f>
        <v>0</v>
      </c>
      <c r="W100" s="199">
        <f>IF('Staging Table'!C102=1,"", SUM(O100:V100))</f>
        <v>22315735.99458728</v>
      </c>
      <c r="X100" s="199">
        <f>IF('Staging Table'!C102=1,"", (RT1SC!$C$4*'Staging Table'!BS102*'Staging Table'!$BS$2)+SUM('Staging Table'!BY102:CV102)-IF(Init!$R$12="No",'Staging Table'!DU102, 0))</f>
        <v>603152.14576473762</v>
      </c>
      <c r="Y100" s="297">
        <f>IF('Staging Table'!C102=1,"",IF(X100=0, 0, W100/X100))</f>
        <v>36.998518783835415</v>
      </c>
      <c r="Z100" s="76">
        <f ca="1">IF('Staging Table'!C102=1,"",(Y100/N100-1)+(RAND()/100000000000000))</f>
        <v>-6.5661746820897156E-3</v>
      </c>
      <c r="AA100" s="53">
        <f t="shared" ca="1" si="1"/>
        <v>52</v>
      </c>
      <c r="AC100" s="405"/>
      <c r="AD100" s="204"/>
      <c r="AE100" s="204"/>
      <c r="AG100" s="204"/>
      <c r="AH100" s="204"/>
    </row>
    <row r="101" spans="2:34">
      <c r="B101" s="123">
        <v>10326</v>
      </c>
      <c r="C101" s="124" t="s">
        <v>104</v>
      </c>
      <c r="D101" s="199">
        <f>IF(Init!$R$9="Yes",'Staging Table'!F103,'Staging Table'!BS103)*Rates_previous!$E$76*100*12</f>
        <v>10343488.373497993</v>
      </c>
      <c r="E101" s="199">
        <f>IF(Init!$R$9="Yes",'Staging Table'!F103,'Staging Table'!BS103)*Rates_previous!$E$77*100*12</f>
        <v>-1707734.74960435</v>
      </c>
      <c r="F101" s="200">
        <f>IF(Init!$R$9="Yes",SUMPRODUCT('Staging Table'!L103:AI103,LS_Demand_Rates_Restatement!$C$4:$Z$4)-IF(Init!$R$12="No",('Staging Table'!BH103*Rates_previous!$H$34), 0),SUMPRODUCT('Staging Table'!BY103:CV103,LS_Demand_Rates_Restatement!$C$4:$Z$4)-IF(Init!$R$12="No", 'Staging Table'!DU103*Rates_previous!$H$34, 0))</f>
        <v>-25657.556983197341</v>
      </c>
      <c r="G101" s="200">
        <f>IF(Init!$R$9="Yes",SUMPRODUCT('Staging Table'!AJ103:AU103,LS_Demand_Rates_Restatement!$C$10:$N$10),SUMPRODUCT(LS_Demand_Rates_Restatement!$C$10:$N$10,'Staging Table'!CW103:DH103))*1000</f>
        <v>347234.24057191942</v>
      </c>
      <c r="H101" s="201">
        <f>IF(Init!$R$9="Yes",'Staging Table'!BQ103,'Staging Table'!ED103)*IF(Init!$R$3=2022,Rates_previous!$C$88,Rates_previous!$D$88)</f>
        <v>0</v>
      </c>
      <c r="I101" s="199">
        <v>0</v>
      </c>
      <c r="J101" s="201">
        <f>IF(Init!$R$9="Yes",IF('Staging Table'!D103=1,'Staging Table'!H103*-1*'Staging Table'!BS103/'Staging Table'!BR103,'Staging Table'!H103*SUM(D101:I101)*(-1)),IF('Staging Table'!D103=1,'Staging Table'!BU103*-1*'Staging Table'!BS103/'Staging Table'!BR103,'Staging Table'!BU103*SUM(D101:I101)*(-1)))</f>
        <v>0</v>
      </c>
      <c r="K101" s="199">
        <f>IF(Init!$R$9="Yes",'Staging Table'!K103,'Staging Table'!BX103)*(-1)*Rates_previous!$H$32</f>
        <v>0</v>
      </c>
      <c r="L101" s="199">
        <f>IF('Staging Table'!C103=1,"",SUM(D101:K101))</f>
        <v>8957330.3074823655</v>
      </c>
      <c r="M101" s="199">
        <f>IF('Staging Table'!C103=1,"",IF(Init!$R$9="Yes",(RT1SC!$C$3*'Staging Table'!F103*'Staging Table'!$F$2)+SUM('Staging Table'!L103:AI103)-IF(Init!$R$12="No",'Staging Table'!BH103, 0),X101))</f>
        <v>254521.8</v>
      </c>
      <c r="N101" s="297">
        <f>IF('Staging Table'!C103=1,"",IF(M101=0, 0, L101/M101))</f>
        <v>35.19278233723935</v>
      </c>
      <c r="O101" s="199">
        <f>'Staging Table'!BS103*Rates_current!$E$76*100*12</f>
        <v>10742771.436479999</v>
      </c>
      <c r="P101" s="199">
        <f>'Staging Table'!BS103*Rates_current!$E$77*100*12</f>
        <v>-1887915.2462399998</v>
      </c>
      <c r="Q101" s="200">
        <f>SUMPRODUCT('Staging Table'!BY103:CV103, LS_Demand_Rates_Restatement!$C$5:$Z$5)-IF(Init!$R$12="No",('Staging Table'!DU103*Rates_current!$H$34), 0)</f>
        <v>66786.477929037981</v>
      </c>
      <c r="R101" s="200">
        <f>SUMPRODUCT('Staging Table'!CW103:DH103, LS_Demand_Rates_Restatement!$C$11:$N$11)*1000</f>
        <v>369269.81337799126</v>
      </c>
      <c r="S101" s="201">
        <f>'Staging Table'!ED103*IF(Init!$R$15="Yes",IF(Init!$R$6=2024,Rates_current!$C$88,Rates_current!$D$88),Rates_current!$H$33)</f>
        <v>0</v>
      </c>
      <c r="T101" s="201">
        <v>0</v>
      </c>
      <c r="U101" s="201">
        <f>IF('Staging Table'!D103=1, 'Staging Table'!BU103*-1*'Staging Table'!BS103/'Staging Table'!BR103,SUM(O101:T101)*'Staging Table'!BU103*-1)</f>
        <v>0</v>
      </c>
      <c r="V101" s="199">
        <f>'Staging Table'!BX103*Rates_current!$H$32*-1</f>
        <v>0</v>
      </c>
      <c r="W101" s="199">
        <f>IF('Staging Table'!C103=1,"", SUM(O101:V101))</f>
        <v>9290912.4815470278</v>
      </c>
      <c r="X101" s="199">
        <f>IF('Staging Table'!C103=1,"", (RT1SC!$C$4*'Staging Table'!BS103*'Staging Table'!$BS$2)+SUM('Staging Table'!BY103:CV103)-IF(Init!$R$12="No",'Staging Table'!DU103, 0))</f>
        <v>267560.64</v>
      </c>
      <c r="Y101" s="297">
        <f>IF('Staging Table'!C103=1,"",IF(X101=0, 0, W101/X101))</f>
        <v>34.724511353938411</v>
      </c>
      <c r="Z101" s="76">
        <f ca="1">IF('Staging Table'!C103=1,"",(Y101/N101-1)+(RAND()/100000000000000))</f>
        <v>-1.3305881268875226E-2</v>
      </c>
      <c r="AA101" s="53">
        <f t="shared" ca="1" si="1"/>
        <v>83</v>
      </c>
      <c r="AC101" s="405"/>
      <c r="AD101" s="204"/>
      <c r="AE101" s="204"/>
      <c r="AG101" s="204"/>
      <c r="AH101" s="204"/>
    </row>
    <row r="102" spans="2:34">
      <c r="B102" s="123">
        <v>10331</v>
      </c>
      <c r="C102" s="124" t="s">
        <v>105</v>
      </c>
      <c r="D102" s="199">
        <f>IF(Init!$R$9="Yes",'Staging Table'!F104,'Staging Table'!BS104)*Rates_previous!$E$76*100*12</f>
        <v>12429596.260010537</v>
      </c>
      <c r="E102" s="199">
        <f>IF(Init!$R$9="Yes",'Staging Table'!F104,'Staging Table'!BS104)*Rates_previous!$E$77*100*12</f>
        <v>-2052156.1672712388</v>
      </c>
      <c r="F102" s="200">
        <f>IF(Init!$R$9="Yes",SUMPRODUCT('Staging Table'!L104:AI104,LS_Demand_Rates_Restatement!$C$4:$Z$4)-IF(Init!$R$12="No",('Staging Table'!BH104*Rates_previous!$H$34), 0),SUMPRODUCT('Staging Table'!BY104:CV104,LS_Demand_Rates_Restatement!$C$4:$Z$4)-IF(Init!$R$12="No", 'Staging Table'!DU104*Rates_previous!$H$34, 0))</f>
        <v>0</v>
      </c>
      <c r="G102" s="200">
        <f>IF(Init!$R$9="Yes",SUMPRODUCT('Staging Table'!AJ104:AU104,LS_Demand_Rates_Restatement!$C$10:$N$10),SUMPRODUCT(LS_Demand_Rates_Restatement!$C$10:$N$10,'Staging Table'!CW104:DH104))*1000</f>
        <v>0</v>
      </c>
      <c r="H102" s="201">
        <f>IF(Init!$R$9="Yes",'Staging Table'!BQ104,'Staging Table'!ED104)*IF(Init!$R$3=2022,Rates_previous!$C$88,Rates_previous!$D$88)</f>
        <v>0</v>
      </c>
      <c r="I102" s="199">
        <v>0</v>
      </c>
      <c r="J102" s="201">
        <f>IF(Init!$R$9="Yes",IF('Staging Table'!D104=1,'Staging Table'!H104*-1*'Staging Table'!BS104/'Staging Table'!BR104,'Staging Table'!H104*SUM(D102:I102)*(-1)),IF('Staging Table'!D104=1,'Staging Table'!BU104*-1*'Staging Table'!BS104/'Staging Table'!BR104,'Staging Table'!BU104*SUM(D102:I102)*(-1)))</f>
        <v>-736694.47218356282</v>
      </c>
      <c r="K102" s="199">
        <f>IF(Init!$R$9="Yes",'Staging Table'!K104,'Staging Table'!BX104)*(-1)*Rates_previous!$H$32</f>
        <v>-1450646.7522000002</v>
      </c>
      <c r="L102" s="199" t="str">
        <f>IF('Staging Table'!C104=1,"",SUM(D102:K102))</f>
        <v/>
      </c>
      <c r="M102" s="199" t="str">
        <f>IF('Staging Table'!C104=1,"",IF(Init!$R$9="Yes",(RT1SC!$C$3*'Staging Table'!F104*'Staging Table'!$F$2)+SUM('Staging Table'!L104:AI104)-IF(Init!$R$12="No",'Staging Table'!BH104, 0),X102))</f>
        <v/>
      </c>
      <c r="N102" s="297" t="str">
        <f>IF('Staging Table'!C104=1,"",IF(M102=0, 0, L102/M102))</f>
        <v/>
      </c>
      <c r="O102" s="199">
        <f>'Staging Table'!BS104*Rates_current!$E$76*100*12</f>
        <v>12470871.924720002</v>
      </c>
      <c r="P102" s="199">
        <f>'Staging Table'!BS104*Rates_current!$E$77*100*12</f>
        <v>-2191608.5043600001</v>
      </c>
      <c r="Q102" s="200">
        <f>SUMPRODUCT('Staging Table'!BY104:CV104, LS_Demand_Rates_Restatement!$C$5:$Z$5)-IF(Init!$R$12="No",('Staging Table'!DU104*Rates_current!$H$34), 0)</f>
        <v>0</v>
      </c>
      <c r="R102" s="200">
        <f>SUMPRODUCT('Staging Table'!CW104:DH104, LS_Demand_Rates_Restatement!$C$11:$N$11)*1000</f>
        <v>0</v>
      </c>
      <c r="S102" s="201">
        <f>'Staging Table'!ED104*IF(Init!$R$15="Yes",IF(Init!$R$6=2024,Rates_current!$C$88,Rates_current!$D$88),Rates_current!$H$33)</f>
        <v>5.2302277373219841</v>
      </c>
      <c r="T102" s="201">
        <v>0</v>
      </c>
      <c r="U102" s="201">
        <f>IF('Staging Table'!D104=1, 'Staging Table'!BU104*-1*'Staging Table'!BS104/'Staging Table'!BR104,SUM(O102:T102)*'Staging Table'!BU104*-1)</f>
        <v>-719548.80554114177</v>
      </c>
      <c r="V102" s="199">
        <f>'Staging Table'!BX104*Rates_current!$H$32*-1</f>
        <v>-1539814.9470600002</v>
      </c>
      <c r="W102" s="199" t="str">
        <f>IF('Staging Table'!C104=1,"", SUM(O102:V102))</f>
        <v/>
      </c>
      <c r="X102" s="199" t="str">
        <f>IF('Staging Table'!C104=1,"", (RT1SC!$C$4*'Staging Table'!BS104*'Staging Table'!$BS$2)+SUM('Staging Table'!BY104:CV104)-IF(Init!$R$12="No",'Staging Table'!DU104, 0))</f>
        <v/>
      </c>
      <c r="Y102" s="297" t="str">
        <f>IF('Staging Table'!C104=1,"",IF(X102=0, 0, W102/X102))</f>
        <v/>
      </c>
      <c r="Z102" s="76" t="str">
        <f ca="1">IF('Staging Table'!C104=1,"",(Y102/N102-1)+(RAND()/100000000000000))</f>
        <v/>
      </c>
      <c r="AA102" s="53" t="str">
        <f t="shared" ca="1" si="1"/>
        <v/>
      </c>
      <c r="AC102" s="405"/>
      <c r="AD102" s="204"/>
      <c r="AE102" s="204"/>
      <c r="AG102" s="204"/>
      <c r="AH102" s="204"/>
    </row>
    <row r="103" spans="2:34">
      <c r="B103" s="123">
        <v>10333</v>
      </c>
      <c r="C103" s="124" t="s">
        <v>106</v>
      </c>
      <c r="D103" s="199">
        <f>IF(Init!$R$9="Yes",'Staging Table'!F105,'Staging Table'!BS105)*Rates_previous!$E$76*100*12</f>
        <v>6287100.869145805</v>
      </c>
      <c r="E103" s="199">
        <f>IF(Init!$R$9="Yes",'Staging Table'!F105,'Staging Table'!BS105)*Rates_previous!$E$77*100*12</f>
        <v>-1038015.4393577215</v>
      </c>
      <c r="F103" s="200">
        <f>IF(Init!$R$9="Yes",SUMPRODUCT('Staging Table'!L105:AI105,LS_Demand_Rates_Restatement!$C$4:$Z$4)-IF(Init!$R$12="No",('Staging Table'!BH105*Rates_previous!$H$34), 0),SUMPRODUCT('Staging Table'!BY105:CV105,LS_Demand_Rates_Restatement!$C$4:$Z$4)-IF(Init!$R$12="No", 'Staging Table'!DU105*Rates_previous!$H$34, 0))</f>
        <v>0</v>
      </c>
      <c r="G103" s="200">
        <f>IF(Init!$R$9="Yes",SUMPRODUCT('Staging Table'!AJ105:AU105,LS_Demand_Rates_Restatement!$C$10:$N$10),SUMPRODUCT(LS_Demand_Rates_Restatement!$C$10:$N$10,'Staging Table'!CW105:DH105))*1000</f>
        <v>0</v>
      </c>
      <c r="H103" s="201">
        <f>IF(Init!$R$9="Yes",'Staging Table'!BQ105,'Staging Table'!ED105)*IF(Init!$R$3=2022,Rates_previous!$C$88,Rates_previous!$D$88)</f>
        <v>0</v>
      </c>
      <c r="I103" s="199">
        <v>0</v>
      </c>
      <c r="J103" s="201">
        <f>IF(Init!$R$9="Yes",IF('Staging Table'!D105=1,'Staging Table'!H105*-1*'Staging Table'!BS105/'Staging Table'!BR105,'Staging Table'!H105*SUM(D103:I103)*(-1)),IF('Staging Table'!D105=1,'Staging Table'!BU105*-1*'Staging Table'!BS105/'Staging Table'!BR105,'Staging Table'!BU105*SUM(D103:I103)*(-1)))</f>
        <v>-334839.15956618189</v>
      </c>
      <c r="K103" s="199">
        <f>IF(Init!$R$9="Yes",'Staging Table'!K105,'Staging Table'!BX105)*(-1)*Rates_previous!$H$32</f>
        <v>0</v>
      </c>
      <c r="L103" s="199" t="str">
        <f>IF('Staging Table'!C105=1,"",SUM(D103:K103))</f>
        <v/>
      </c>
      <c r="M103" s="199" t="str">
        <f>IF('Staging Table'!C105=1,"",IF(Init!$R$9="Yes",(RT1SC!$C$3*'Staging Table'!F105*'Staging Table'!$F$2)+SUM('Staging Table'!L105:AI105)-IF(Init!$R$12="No",'Staging Table'!BH105, 0),X103))</f>
        <v/>
      </c>
      <c r="N103" s="297" t="str">
        <f>IF('Staging Table'!C105=1,"",IF(M103=0, 0, L103/M103))</f>
        <v/>
      </c>
      <c r="O103" s="199">
        <f>'Staging Table'!BS105*Rates_current!$E$76*100*12</f>
        <v>6530012.6997600012</v>
      </c>
      <c r="P103" s="199">
        <f>'Staging Table'!BS105*Rates_current!$E$77*100*12</f>
        <v>-1147572.63588</v>
      </c>
      <c r="Q103" s="200">
        <f>SUMPRODUCT('Staging Table'!BY105:CV105, LS_Demand_Rates_Restatement!$C$5:$Z$5)-IF(Init!$R$12="No",('Staging Table'!DU105*Rates_current!$H$34), 0)</f>
        <v>0</v>
      </c>
      <c r="R103" s="200">
        <f>SUMPRODUCT('Staging Table'!CW105:DH105, LS_Demand_Rates_Restatement!$C$11:$N$11)*1000</f>
        <v>0</v>
      </c>
      <c r="S103" s="201">
        <f>'Staging Table'!ED105*IF(Init!$R$15="Yes",IF(Init!$R$6=2024,Rates_current!$C$88,Rates_current!$D$88),Rates_current!$H$33)</f>
        <v>0</v>
      </c>
      <c r="T103" s="201">
        <v>0</v>
      </c>
      <c r="U103" s="201">
        <f>IF('Staging Table'!D105=1, 'Staging Table'!BU105*-1*'Staging Table'!BS105/'Staging Table'!BR105,SUM(O103:T103)*'Staging Table'!BU105*-1)</f>
        <v>-380244.75309506035</v>
      </c>
      <c r="V103" s="199">
        <f>'Staging Table'!BX105*Rates_current!$H$32*-1</f>
        <v>0</v>
      </c>
      <c r="W103" s="199" t="str">
        <f>IF('Staging Table'!C105=1,"", SUM(O103:V103))</f>
        <v/>
      </c>
      <c r="X103" s="199" t="str">
        <f>IF('Staging Table'!C105=1,"", (RT1SC!$C$4*'Staging Table'!BS105*'Staging Table'!$BS$2)+SUM('Staging Table'!BY105:CV105)-IF(Init!$R$12="No",'Staging Table'!DU105, 0))</f>
        <v/>
      </c>
      <c r="Y103" s="297" t="str">
        <f>IF('Staging Table'!C105=1,"",IF(X103=0, 0, W103/X103))</f>
        <v/>
      </c>
      <c r="Z103" s="76" t="str">
        <f ca="1">IF('Staging Table'!C105=1,"",(Y103/N103-1)+(RAND()/100000000000000))</f>
        <v/>
      </c>
      <c r="AA103" s="53" t="str">
        <f t="shared" ca="1" si="1"/>
        <v/>
      </c>
      <c r="AC103" s="405"/>
      <c r="AD103" s="204"/>
      <c r="AE103" s="204"/>
      <c r="AG103" s="204"/>
      <c r="AH103" s="204"/>
    </row>
    <row r="104" spans="2:34">
      <c r="B104" s="123">
        <v>10338</v>
      </c>
      <c r="C104" s="124" t="s">
        <v>107</v>
      </c>
      <c r="D104" s="199">
        <f>IF(Init!$R$9="Yes",'Staging Table'!F106,'Staging Table'!BS106)*Rates_previous!$E$76*100*12</f>
        <v>805522.05894880265</v>
      </c>
      <c r="E104" s="199">
        <f>IF(Init!$R$9="Yes",'Staging Table'!F106,'Staging Table'!BS106)*Rates_previous!$E$77*100*12</f>
        <v>-132993.62477791455</v>
      </c>
      <c r="F104" s="200">
        <f>IF(Init!$R$9="Yes",SUMPRODUCT('Staging Table'!L106:AI106,LS_Demand_Rates_Restatement!$C$4:$Z$4)-IF(Init!$R$12="No",('Staging Table'!BH106*Rates_previous!$H$34), 0),SUMPRODUCT('Staging Table'!BY106:CV106,LS_Demand_Rates_Restatement!$C$4:$Z$4)-IF(Init!$R$12="No", 'Staging Table'!DU106*Rates_previous!$H$34, 0))</f>
        <v>-8519.7090019292082</v>
      </c>
      <c r="G104" s="200">
        <f>IF(Init!$R$9="Yes",SUMPRODUCT('Staging Table'!AJ106:AU106,LS_Demand_Rates_Restatement!$C$10:$N$10),SUMPRODUCT(LS_Demand_Rates_Restatement!$C$10:$N$10,'Staging Table'!CW106:DH106))*1000</f>
        <v>35692.875375293792</v>
      </c>
      <c r="H104" s="201">
        <f>IF(Init!$R$9="Yes",'Staging Table'!BQ106,'Staging Table'!ED106)*IF(Init!$R$3=2022,Rates_previous!$C$88,Rates_previous!$D$88)</f>
        <v>0</v>
      </c>
      <c r="I104" s="199">
        <v>0</v>
      </c>
      <c r="J104" s="201">
        <f>IF(Init!$R$9="Yes",IF('Staging Table'!D106=1,'Staging Table'!H106*-1*'Staging Table'!BS106/'Staging Table'!BR106,'Staging Table'!H106*SUM(D104:I104)*(-1)),IF('Staging Table'!D106=1,'Staging Table'!BU106*-1*'Staging Table'!BS106/'Staging Table'!BR106,'Staging Table'!BU106*SUM(D104:I104)*(-1)))</f>
        <v>-27512.266933400009</v>
      </c>
      <c r="K104" s="199">
        <f>IF(Init!$R$9="Yes",'Staging Table'!K106,'Staging Table'!BX106)*(-1)*Rates_previous!$H$32</f>
        <v>-45291.789000000004</v>
      </c>
      <c r="L104" s="199">
        <f>IF('Staging Table'!C106=1,"",SUM(D104:K104))</f>
        <v>626897.54461085249</v>
      </c>
      <c r="M104" s="199">
        <f>IF('Staging Table'!C106=1,"",IF(Init!$R$9="Yes",(RT1SC!$C$3*'Staging Table'!F106*'Staging Table'!$F$2)+SUM('Staging Table'!L106:AI106)-IF(Init!$R$12="No",'Staging Table'!BH106, 0),X104))</f>
        <v>19823.879999999997</v>
      </c>
      <c r="N104" s="297">
        <f>IF('Staging Table'!C106=1,"",IF(M104=0, 0, L104/M104))</f>
        <v>31.623352472414712</v>
      </c>
      <c r="O104" s="199">
        <f>'Staging Table'!BS106*Rates_current!$E$76*100*12</f>
        <v>837021.4271999998</v>
      </c>
      <c r="P104" s="199">
        <f>'Staging Table'!BS106*Rates_current!$E$77*100*12</f>
        <v>-147096.6336</v>
      </c>
      <c r="Q104" s="200">
        <f>SUMPRODUCT('Staging Table'!BY106:CV106, LS_Demand_Rates_Restatement!$C$5:$Z$5)-IF(Init!$R$12="No",('Staging Table'!DU106*Rates_current!$H$34), 0)</f>
        <v>5848.4936240533134</v>
      </c>
      <c r="R104" s="200">
        <f>SUMPRODUCT('Staging Table'!CW106:DH106, LS_Demand_Rates_Restatement!$C$11:$N$11)*1000</f>
        <v>37075.182641907035</v>
      </c>
      <c r="S104" s="201">
        <f>'Staging Table'!ED106*IF(Init!$R$15="Yes",IF(Init!$R$6=2024,Rates_current!$C$88,Rates_current!$D$88),Rates_current!$H$33)</f>
        <v>0</v>
      </c>
      <c r="T104" s="201">
        <v>0</v>
      </c>
      <c r="U104" s="201">
        <f>IF('Staging Table'!D106=1, 'Staging Table'!BU106*-1*'Staging Table'!BS106/'Staging Table'!BR106,SUM(O104:T104)*'Staging Table'!BU106*-1)</f>
        <v>-25524.62116916207</v>
      </c>
      <c r="V104" s="199">
        <f>'Staging Table'!BX106*Rates_current!$H$32*-1</f>
        <v>-48075.779699999999</v>
      </c>
      <c r="W104" s="199">
        <f>IF('Staging Table'!C106=1,"", SUM(O104:V104))</f>
        <v>659248.06899679801</v>
      </c>
      <c r="X104" s="199">
        <f>IF('Staging Table'!C106=1,"", (RT1SC!$C$4*'Staging Table'!BS106*'Staging Table'!$BS$2)+SUM('Staging Table'!BY106:CV106)-IF(Init!$R$12="No",'Staging Table'!DU106, 0))</f>
        <v>20844.432000000001</v>
      </c>
      <c r="Y104" s="297">
        <f>IF('Staging Table'!C106=1,"",IF(X104=0, 0, W104/X104))</f>
        <v>31.627058439241615</v>
      </c>
      <c r="Z104" s="76">
        <f ca="1">IF('Staging Table'!C106=1,"",(Y104/N104-1)+(RAND()/100000000000000))</f>
        <v>1.1719082694760667E-4</v>
      </c>
      <c r="AA104" s="53">
        <f t="shared" ca="1" si="1"/>
        <v>33</v>
      </c>
      <c r="AC104" s="405"/>
      <c r="AD104" s="204"/>
      <c r="AE104" s="204"/>
      <c r="AG104" s="204"/>
      <c r="AH104" s="204"/>
    </row>
    <row r="105" spans="2:34">
      <c r="B105" s="123">
        <v>10342</v>
      </c>
      <c r="C105" s="124" t="s">
        <v>108</v>
      </c>
      <c r="D105" s="199">
        <f>IF(Init!$R$9="Yes",'Staging Table'!F107,'Staging Table'!BS107)*Rates_previous!$E$76*100*12</f>
        <v>13138714.666771956</v>
      </c>
      <c r="E105" s="199">
        <f>IF(Init!$R$9="Yes",'Staging Table'!F107,'Staging Table'!BS107)*Rates_previous!$E$77*100*12</f>
        <v>-2169233.3177530169</v>
      </c>
      <c r="F105" s="200">
        <f>IF(Init!$R$9="Yes",SUMPRODUCT('Staging Table'!L107:AI107,LS_Demand_Rates_Restatement!$C$4:$Z$4)-IF(Init!$R$12="No",('Staging Table'!BH107*Rates_previous!$H$34), 0),SUMPRODUCT('Staging Table'!BY107:CV107,LS_Demand_Rates_Restatement!$C$4:$Z$4)-IF(Init!$R$12="No", 'Staging Table'!DU107*Rates_previous!$H$34, 0))</f>
        <v>187894.23587934166</v>
      </c>
      <c r="G105" s="200">
        <f>IF(Init!$R$9="Yes",SUMPRODUCT('Staging Table'!AJ107:AU107,LS_Demand_Rates_Restatement!$C$10:$N$10),SUMPRODUCT(LS_Demand_Rates_Restatement!$C$10:$N$10,'Staging Table'!CW107:DH107))*1000</f>
        <v>768458.42857838306</v>
      </c>
      <c r="H105" s="201">
        <f>IF(Init!$R$9="Yes",'Staging Table'!BQ107,'Staging Table'!ED107)*IF(Init!$R$3=2022,Rates_previous!$C$88,Rates_previous!$D$88)</f>
        <v>0</v>
      </c>
      <c r="I105" s="199">
        <v>0</v>
      </c>
      <c r="J105" s="201">
        <f>IF(Init!$R$9="Yes",IF('Staging Table'!D107=1,'Staging Table'!H107*-1*'Staging Table'!BS107/'Staging Table'!BR107,'Staging Table'!H107*SUM(D105:I105)*(-1)),IF('Staging Table'!D107=1,'Staging Table'!BU107*-1*'Staging Table'!BS107/'Staging Table'!BR107,'Staging Table'!BU107*SUM(D105:I105)*(-1)))</f>
        <v>0</v>
      </c>
      <c r="K105" s="199">
        <f>IF(Init!$R$9="Yes",'Staging Table'!K107,'Staging Table'!BX107)*(-1)*Rates_previous!$H$32</f>
        <v>0</v>
      </c>
      <c r="L105" s="199">
        <f>IF('Staging Table'!C107=1,"",SUM(D105:K105))</f>
        <v>11925834.013476662</v>
      </c>
      <c r="M105" s="199">
        <f>IF('Staging Table'!C107=1,"",IF(Init!$R$9="Yes",(RT1SC!$C$3*'Staging Table'!F107*'Staging Table'!$F$2)+SUM('Staging Table'!L107:AI107)-IF(Init!$R$12="No",'Staging Table'!BH107, 0),X105))</f>
        <v>323305.31999999995</v>
      </c>
      <c r="N105" s="297">
        <f>IF('Staging Table'!C107=1,"",IF(M105=0, 0, L105/M105))</f>
        <v>36.887218600289856</v>
      </c>
      <c r="O105" s="199">
        <f>'Staging Table'!BS107*Rates_current!$E$76*100*12</f>
        <v>13478536.113119999</v>
      </c>
      <c r="P105" s="199">
        <f>'Staging Table'!BS107*Rates_current!$E$77*100*12</f>
        <v>-2368693.5885600001</v>
      </c>
      <c r="Q105" s="200">
        <f>SUMPRODUCT('Staging Table'!BY107:CV107, LS_Demand_Rates_Restatement!$C$5:$Z$5)-IF(Init!$R$12="No",('Staging Table'!DU107*Rates_current!$H$34), 0)</f>
        <v>498708.11667469901</v>
      </c>
      <c r="R105" s="200">
        <f>SUMPRODUCT('Staging Table'!CW107:DH107, LS_Demand_Rates_Restatement!$C$11:$N$11)*1000</f>
        <v>816213.57665210986</v>
      </c>
      <c r="S105" s="201">
        <f>'Staging Table'!ED107*IF(Init!$R$15="Yes",IF(Init!$R$6=2024,Rates_current!$C$88,Rates_current!$D$88),Rates_current!$H$33)</f>
        <v>-12.359905953460839</v>
      </c>
      <c r="T105" s="201">
        <v>0</v>
      </c>
      <c r="U105" s="201">
        <f>IF('Staging Table'!D107=1, 'Staging Table'!BU107*-1*'Staging Table'!BS107/'Staging Table'!BR107,SUM(O105:T105)*'Staging Table'!BU107*-1)</f>
        <v>0</v>
      </c>
      <c r="V105" s="199">
        <f>'Staging Table'!BX107*Rates_current!$H$32*-1</f>
        <v>0</v>
      </c>
      <c r="W105" s="199">
        <f>IF('Staging Table'!C107=1,"", SUM(O105:V105))</f>
        <v>12424751.857980855</v>
      </c>
      <c r="X105" s="199">
        <f>IF('Staging Table'!C107=1,"", (RT1SC!$C$4*'Staging Table'!BS107*'Staging Table'!$BS$2)+SUM('Staging Table'!BY107:CV107)-IF(Init!$R$12="No",'Staging Table'!DU107, 0))</f>
        <v>335699.96453877463</v>
      </c>
      <c r="Y105" s="297">
        <f>IF('Staging Table'!C107=1,"",IF(X105=0, 0, W105/X105))</f>
        <v>37.011478017435863</v>
      </c>
      <c r="Z105" s="76">
        <f ca="1">IF('Staging Table'!C107=1,"",(Y105/N105-1)+(RAND()/100000000000000))</f>
        <v>3.3686307035711402E-3</v>
      </c>
      <c r="AA105" s="53">
        <f t="shared" ca="1" si="1"/>
        <v>25</v>
      </c>
      <c r="AC105" s="405"/>
      <c r="AD105" s="204"/>
      <c r="AE105" s="204"/>
      <c r="AG105" s="204"/>
      <c r="AH105" s="204"/>
    </row>
    <row r="106" spans="2:34">
      <c r="B106" s="123">
        <v>10343</v>
      </c>
      <c r="C106" s="124" t="s">
        <v>109</v>
      </c>
      <c r="D106" s="199">
        <f>IF(Init!$R$9="Yes",'Staging Table'!F108,'Staging Table'!BS108)*Rates_previous!$E$76*100*12</f>
        <v>4277732.2082550591</v>
      </c>
      <c r="E106" s="199">
        <f>IF(Init!$R$9="Yes",'Staging Table'!F108,'Staging Table'!BS108)*Rates_previous!$E$77*100*12</f>
        <v>-706263.85197631444</v>
      </c>
      <c r="F106" s="200">
        <f>IF(Init!$R$9="Yes",SUMPRODUCT('Staging Table'!L108:AI108,LS_Demand_Rates_Restatement!$C$4:$Z$4)-IF(Init!$R$12="No",('Staging Table'!BH108*Rates_previous!$H$34), 0),SUMPRODUCT('Staging Table'!BY108:CV108,LS_Demand_Rates_Restatement!$C$4:$Z$4)-IF(Init!$R$12="No", 'Staging Table'!DU108*Rates_previous!$H$34, 0))</f>
        <v>-23971.159905942503</v>
      </c>
      <c r="G106" s="200">
        <f>IF(Init!$R$9="Yes",SUMPRODUCT('Staging Table'!AJ108:AU108,LS_Demand_Rates_Restatement!$C$10:$N$10),SUMPRODUCT(LS_Demand_Rates_Restatement!$C$10:$N$10,'Staging Table'!CW108:DH108))*1000</f>
        <v>0</v>
      </c>
      <c r="H106" s="201">
        <f>IF(Init!$R$9="Yes",'Staging Table'!BQ108,'Staging Table'!ED108)*IF(Init!$R$3=2022,Rates_previous!$C$88,Rates_previous!$D$88)</f>
        <v>-1500.0088881644183</v>
      </c>
      <c r="I106" s="199">
        <v>0</v>
      </c>
      <c r="J106" s="201">
        <f>IF(Init!$R$9="Yes",IF('Staging Table'!D108=1,'Staging Table'!H108*-1*'Staging Table'!BS108/'Staging Table'!BR108,'Staging Table'!H108*SUM(D106:I106)*(-1)),IF('Staging Table'!D108=1,'Staging Table'!BU108*-1*'Staging Table'!BS108/'Staging Table'!BR108,'Staging Table'!BU108*SUM(D106:I106)*(-1)))</f>
        <v>-248219.80312392465</v>
      </c>
      <c r="K106" s="199">
        <f>IF(Init!$R$9="Yes",'Staging Table'!K108,'Staging Table'!BX108)*(-1)*Rates_previous!$H$32</f>
        <v>-114511.70490000001</v>
      </c>
      <c r="L106" s="199">
        <f>IF('Staging Table'!C108=1,"",SUM(D106:K106))</f>
        <v>3183265.6794607127</v>
      </c>
      <c r="M106" s="199">
        <f>IF('Staging Table'!C108=1,"",IF(Init!$R$9="Yes",(RT1SC!$C$3*'Staging Table'!F108*'Staging Table'!$F$2)+SUM('Staging Table'!L108:AI108)-IF(Init!$R$12="No",'Staging Table'!BH108, 0),X106))</f>
        <v>105047.22238465451</v>
      </c>
      <c r="N106" s="297">
        <f>IF('Staging Table'!C108=1,"",IF(M106=0, 0, L106/M106))</f>
        <v>30.30318753031332</v>
      </c>
      <c r="O106" s="199">
        <f>'Staging Table'!BS108*Rates_current!$E$76*100*12</f>
        <v>4217741.0071199993</v>
      </c>
      <c r="P106" s="199">
        <f>'Staging Table'!BS108*Rates_current!$E$77*100*12</f>
        <v>-741218.1855599999</v>
      </c>
      <c r="Q106" s="200">
        <f>SUMPRODUCT('Staging Table'!BY108:CV108, LS_Demand_Rates_Restatement!$C$5:$Z$5)-IF(Init!$R$12="No",('Staging Table'!DU108*Rates_current!$H$34), 0)</f>
        <v>16659.510823914552</v>
      </c>
      <c r="R106" s="200">
        <f>SUMPRODUCT('Staging Table'!CW108:DH108, LS_Demand_Rates_Restatement!$C$11:$N$11)*1000</f>
        <v>0</v>
      </c>
      <c r="S106" s="201">
        <f>'Staging Table'!ED108*IF(Init!$R$15="Yes",IF(Init!$R$6=2024,Rates_current!$C$88,Rates_current!$D$88),Rates_current!$H$33)</f>
        <v>4.2972293863764213</v>
      </c>
      <c r="T106" s="201">
        <v>0</v>
      </c>
      <c r="U106" s="201">
        <f>IF('Staging Table'!D108=1, 'Staging Table'!BU108*-1*'Staging Table'!BS108/'Staging Table'!BR108,SUM(O106:T106)*'Staging Table'!BU108*-1)</f>
        <v>-244523.06407293104</v>
      </c>
      <c r="V106" s="199">
        <f>'Staging Table'!BX108*Rates_current!$H$32*-1</f>
        <v>-121550.49777</v>
      </c>
      <c r="W106" s="199">
        <f>IF('Staging Table'!C108=1,"", SUM(O106:V106))</f>
        <v>3127113.0677703694</v>
      </c>
      <c r="X106" s="199">
        <f>IF('Staging Table'!C108=1,"", (RT1SC!$C$4*'Staging Table'!BS108*'Staging Table'!$BS$2)+SUM('Staging Table'!BY108:CV108)-IF(Init!$R$12="No",'Staging Table'!DU108, 0))</f>
        <v>105047.21748151763</v>
      </c>
      <c r="Y106" s="297">
        <f>IF('Staging Table'!C108=1,"",IF(X106=0, 0, W106/X106))</f>
        <v>29.768642547058086</v>
      </c>
      <c r="Z106" s="76">
        <f ca="1">IF('Staging Table'!C108=1,"",(Y106/N106-1)+(RAND()/100000000000000))</f>
        <v>-1.7639892922830157E-2</v>
      </c>
      <c r="AA106" s="53">
        <f t="shared" ca="1" si="1"/>
        <v>93</v>
      </c>
      <c r="AC106" s="405"/>
      <c r="AD106" s="204"/>
      <c r="AE106" s="204"/>
      <c r="AG106" s="204"/>
      <c r="AH106" s="204"/>
    </row>
    <row r="107" spans="2:34">
      <c r="B107" s="123">
        <v>10349</v>
      </c>
      <c r="C107" s="124" t="s">
        <v>110</v>
      </c>
      <c r="D107" s="199">
        <f>IF(Init!$R$9="Yes",'Staging Table'!F109,'Staging Table'!BS109)*Rates_previous!$E$76*100*12</f>
        <v>164601801.99747396</v>
      </c>
      <c r="E107" s="199">
        <f>IF(Init!$R$9="Yes",'Staging Table'!F109,'Staging Table'!BS109)*Rates_previous!$E$77*100*12</f>
        <v>-27176152.47084374</v>
      </c>
      <c r="F107" s="200">
        <f>IF(Init!$R$9="Yes",SUMPRODUCT('Staging Table'!L109:AI109,LS_Demand_Rates_Restatement!$C$4:$Z$4)-IF(Init!$R$12="No",('Staging Table'!BH109*Rates_previous!$H$34), 0),SUMPRODUCT('Staging Table'!BY109:CV109,LS_Demand_Rates_Restatement!$C$4:$Z$4)-IF(Init!$R$12="No", 'Staging Table'!DU109*Rates_previous!$H$34, 0))</f>
        <v>9775916.4958728459</v>
      </c>
      <c r="G107" s="200">
        <f>IF(Init!$R$9="Yes",SUMPRODUCT('Staging Table'!AJ109:AU109,LS_Demand_Rates_Restatement!$C$10:$N$10),SUMPRODUCT(LS_Demand_Rates_Restatement!$C$10:$N$10,'Staging Table'!CW109:DH109))*1000</f>
        <v>0</v>
      </c>
      <c r="H107" s="201">
        <f>IF(Init!$R$9="Yes",'Staging Table'!BQ109,'Staging Table'!ED109)*IF(Init!$R$3=2022,Rates_previous!$C$88,Rates_previous!$D$88)</f>
        <v>0</v>
      </c>
      <c r="I107" s="199">
        <v>0</v>
      </c>
      <c r="J107" s="201">
        <f>IF(Init!$R$9="Yes",IF('Staging Table'!D109=1,'Staging Table'!H109*-1*'Staging Table'!BS109/'Staging Table'!BR109,'Staging Table'!H109*SUM(D107:I107)*(-1)),IF('Staging Table'!D109=1,'Staging Table'!BU109*-1*'Staging Table'!BS109/'Staging Table'!BR109,'Staging Table'!BU109*SUM(D107:I107)*(-1)))</f>
        <v>0</v>
      </c>
      <c r="K107" s="199">
        <f>IF(Init!$R$9="Yes",'Staging Table'!K109,'Staging Table'!BX109)*(-1)*Rates_previous!$H$32</f>
        <v>0</v>
      </c>
      <c r="L107" s="199">
        <f>IF('Staging Table'!C109=1,"",SUM(D107:K107))</f>
        <v>147201566.02250308</v>
      </c>
      <c r="M107" s="199">
        <f>IF('Staging Table'!C109=1,"",IF(Init!$R$9="Yes",(RT1SC!$C$3*'Staging Table'!F109*'Staging Table'!$F$2)+SUM('Staging Table'!L109:AI109)-IF(Init!$R$12="No",'Staging Table'!BH109, 0),X107))</f>
        <v>4050387.6871947916</v>
      </c>
      <c r="N107" s="297">
        <f>IF('Staging Table'!C109=1,"",IF(M107=0, 0, L107/M107))</f>
        <v>36.342586781970887</v>
      </c>
      <c r="O107" s="199">
        <f>'Staging Table'!BS109*Rates_current!$E$76*100*12</f>
        <v>162625789.89936</v>
      </c>
      <c r="P107" s="199">
        <f>'Staging Table'!BS109*Rates_current!$E$77*100*12</f>
        <v>-28579562.545680001</v>
      </c>
      <c r="Q107" s="200">
        <f>SUMPRODUCT('Staging Table'!BY109:CV109, LS_Demand_Rates_Restatement!$C$5:$Z$5)-IF(Init!$R$12="No",('Staging Table'!DU109*Rates_current!$H$34), 0)</f>
        <v>17436728.352192163</v>
      </c>
      <c r="R107" s="200">
        <f>SUMPRODUCT('Staging Table'!CW109:DH109, LS_Demand_Rates_Restatement!$C$11:$N$11)*1000</f>
        <v>0</v>
      </c>
      <c r="S107" s="201">
        <f>'Staging Table'!ED109*IF(Init!$R$15="Yes",IF(Init!$R$6=2024,Rates_current!$C$88,Rates_current!$D$88),Rates_current!$H$33)</f>
        <v>0</v>
      </c>
      <c r="T107" s="201">
        <v>0</v>
      </c>
      <c r="U107" s="201">
        <f>IF('Staging Table'!D109=1, 'Staging Table'!BU109*-1*'Staging Table'!BS109/'Staging Table'!BR109,SUM(O107:T107)*'Staging Table'!BU109*-1)</f>
        <v>0</v>
      </c>
      <c r="V107" s="199">
        <f>'Staging Table'!BX109*Rates_current!$H$32*-1</f>
        <v>0</v>
      </c>
      <c r="W107" s="199">
        <f>IF('Staging Table'!C109=1,"", SUM(O107:V107))</f>
        <v>151482955.70587218</v>
      </c>
      <c r="X107" s="199">
        <f>IF('Staging Table'!C109=1,"", (RT1SC!$C$4*'Staging Table'!BS109*'Staging Table'!$BS$2)+SUM('Staging Table'!BY109:CV109)-IF(Init!$R$12="No",'Staging Table'!DU109, 0))</f>
        <v>4050381.4745661439</v>
      </c>
      <c r="Y107" s="297">
        <f>IF('Staging Table'!C109=1,"",IF(X107=0, 0, W107/X107))</f>
        <v>37.399676217435363</v>
      </c>
      <c r="Z107" s="76">
        <f ca="1">IF('Staging Table'!C109=1,"",(Y107/N107-1)+(RAND()/100000000000000))</f>
        <v>2.9086796760131223E-2</v>
      </c>
      <c r="AA107" s="53">
        <f t="shared" ca="1" si="1"/>
        <v>8</v>
      </c>
      <c r="AC107" s="405"/>
      <c r="AD107" s="204"/>
      <c r="AE107" s="204"/>
      <c r="AG107" s="204"/>
      <c r="AH107" s="204"/>
    </row>
    <row r="108" spans="2:34">
      <c r="B108" s="123">
        <v>10352</v>
      </c>
      <c r="C108" s="124" t="s">
        <v>111</v>
      </c>
      <c r="D108" s="199">
        <f>IF(Init!$R$9="Yes",'Staging Table'!F110,'Staging Table'!BS110)*Rates_previous!$E$76*100*12</f>
        <v>5401482.2434542514</v>
      </c>
      <c r="E108" s="199">
        <f>IF(Init!$R$9="Yes",'Staging Table'!F110,'Staging Table'!BS110)*Rates_previous!$E$77*100*12</f>
        <v>-891797.67921933555</v>
      </c>
      <c r="F108" s="200">
        <f>IF(Init!$R$9="Yes",SUMPRODUCT('Staging Table'!L110:AI110,LS_Demand_Rates_Restatement!$C$4:$Z$4)-IF(Init!$R$12="No",('Staging Table'!BH110*Rates_previous!$H$34), 0),SUMPRODUCT('Staging Table'!BY110:CV110,LS_Demand_Rates_Restatement!$C$4:$Z$4)-IF(Init!$R$12="No", 'Staging Table'!DU110*Rates_previous!$H$34, 0))</f>
        <v>93145.468666401372</v>
      </c>
      <c r="G108" s="200">
        <f>IF(Init!$R$9="Yes",SUMPRODUCT('Staging Table'!AJ110:AU110,LS_Demand_Rates_Restatement!$C$10:$N$10),SUMPRODUCT(LS_Demand_Rates_Restatement!$C$10:$N$10,'Staging Table'!CW110:DH110))*1000</f>
        <v>299216.8877784455</v>
      </c>
      <c r="H108" s="201">
        <f>IF(Init!$R$9="Yes",'Staging Table'!BQ110,'Staging Table'!ED110)*IF(Init!$R$3=2022,Rates_previous!$C$88,Rates_previous!$D$88)</f>
        <v>0</v>
      </c>
      <c r="I108" s="199">
        <v>0</v>
      </c>
      <c r="J108" s="201">
        <f>IF(Init!$R$9="Yes",IF('Staging Table'!D110=1,'Staging Table'!H110*-1*'Staging Table'!BS110/'Staging Table'!BR110,'Staging Table'!H110*SUM(D108:I108)*(-1)),IF('Staging Table'!D110=1,'Staging Table'!BU110*-1*'Staging Table'!BS110/'Staging Table'!BR110,'Staging Table'!BU110*SUM(D108:I108)*(-1)))</f>
        <v>-247210.22620988046</v>
      </c>
      <c r="K108" s="199">
        <f>IF(Init!$R$9="Yes",'Staging Table'!K110,'Staging Table'!BX110)*(-1)*Rates_previous!$H$32</f>
        <v>0</v>
      </c>
      <c r="L108" s="199">
        <f>IF('Staging Table'!C110=1,"",SUM(D108:K108))</f>
        <v>4654836.6944698822</v>
      </c>
      <c r="M108" s="199">
        <f>IF('Staging Table'!C110=1,"",IF(Init!$R$9="Yes",(RT1SC!$C$3*'Staging Table'!F110*'Staging Table'!$F$2)+SUM('Staging Table'!L110:AI110)-IF(Init!$R$12="No",'Staging Table'!BH110, 0),X108))</f>
        <v>132915.48000000001</v>
      </c>
      <c r="N108" s="297">
        <f>IF('Staging Table'!C110=1,"",IF(M108=0, 0, L108/M108))</f>
        <v>35.021027606941509</v>
      </c>
      <c r="O108" s="199">
        <f>'Staging Table'!BS110*Rates_current!$E$76*100*12</f>
        <v>5602313.9512799997</v>
      </c>
      <c r="P108" s="199">
        <f>'Staging Table'!BS110*Rates_current!$E$77*100*12</f>
        <v>-984540.53363999992</v>
      </c>
      <c r="Q108" s="200">
        <f>SUMPRODUCT('Staging Table'!BY110:CV110, LS_Demand_Rates_Restatement!$C$5:$Z$5)-IF(Init!$R$12="No",('Staging Table'!DU110*Rates_current!$H$34), 0)</f>
        <v>160453.39890202502</v>
      </c>
      <c r="R108" s="200">
        <f>SUMPRODUCT('Staging Table'!CW110:DH110, LS_Demand_Rates_Restatement!$C$11:$N$11)*1000</f>
        <v>292040.0151685095</v>
      </c>
      <c r="S108" s="201">
        <f>'Staging Table'!ED110*IF(Init!$R$15="Yes",IF(Init!$R$6=2024,Rates_current!$C$88,Rates_current!$D$88),Rates_current!$H$33)</f>
        <v>-10.476184421765211</v>
      </c>
      <c r="T108" s="201">
        <v>0</v>
      </c>
      <c r="U108" s="201">
        <f>IF('Staging Table'!D110=1, 'Staging Table'!BU110*-1*'Staging Table'!BS110/'Staging Table'!BR110,SUM(O108:T108)*'Staging Table'!BU110*-1)</f>
        <v>-253512.81777630557</v>
      </c>
      <c r="V108" s="199">
        <f>'Staging Table'!BX110*Rates_current!$H$32*-1</f>
        <v>0</v>
      </c>
      <c r="W108" s="199">
        <f>IF('Staging Table'!C110=1,"", SUM(O108:V108))</f>
        <v>4816743.5377498064</v>
      </c>
      <c r="X108" s="199">
        <f>IF('Staging Table'!C110=1,"", (RT1SC!$C$4*'Staging Table'!BS110*'Staging Table'!$BS$2)+SUM('Staging Table'!BY110:CV110)-IF(Init!$R$12="No",'Staging Table'!DU110, 0))</f>
        <v>139535.39663958718</v>
      </c>
      <c r="Y108" s="297">
        <f>IF('Staging Table'!C110=1,"",IF(X108=0, 0, W108/X108))</f>
        <v>34.519868461700867</v>
      </c>
      <c r="Z108" s="76">
        <f ca="1">IF('Staging Table'!C110=1,"",(Y108/N108-1)+(RAND()/100000000000000))</f>
        <v>-1.43102352925044E-2</v>
      </c>
      <c r="AA108" s="53">
        <f t="shared" ca="1" si="1"/>
        <v>84</v>
      </c>
      <c r="AC108" s="405"/>
      <c r="AD108" s="204"/>
      <c r="AE108" s="204"/>
      <c r="AG108" s="204"/>
      <c r="AH108" s="204"/>
    </row>
    <row r="109" spans="2:34">
      <c r="B109" s="123">
        <v>10354</v>
      </c>
      <c r="C109" s="124" t="s">
        <v>112</v>
      </c>
      <c r="D109" s="199">
        <f>IF(Init!$R$9="Yes",'Staging Table'!F111,'Staging Table'!BS111)*Rates_previous!$E$76*100*12</f>
        <v>133603471.4277091</v>
      </c>
      <c r="E109" s="199">
        <f>IF(Init!$R$9="Yes",'Staging Table'!F111,'Staging Table'!BS111)*Rates_previous!$E$77*100*12</f>
        <v>-22058253.713462733</v>
      </c>
      <c r="F109" s="200">
        <f>IF(Init!$R$9="Yes",SUMPRODUCT('Staging Table'!L111:AI111,LS_Demand_Rates_Restatement!$C$4:$Z$4)-IF(Init!$R$12="No",('Staging Table'!BH111*Rates_previous!$H$34), 0),SUMPRODUCT('Staging Table'!BY111:CV111,LS_Demand_Rates_Restatement!$C$4:$Z$4)-IF(Init!$R$12="No", 'Staging Table'!DU111*Rates_previous!$H$34, 0))</f>
        <v>512529.24499056727</v>
      </c>
      <c r="G109" s="200">
        <f>IF(Init!$R$9="Yes",SUMPRODUCT('Staging Table'!AJ111:AU111,LS_Demand_Rates_Restatement!$C$10:$N$10),SUMPRODUCT(LS_Demand_Rates_Restatement!$C$10:$N$10,'Staging Table'!CW111:DH111))*1000</f>
        <v>0</v>
      </c>
      <c r="H109" s="201">
        <f>IF(Init!$R$9="Yes",'Staging Table'!BQ111,'Staging Table'!ED111)*IF(Init!$R$3=2022,Rates_previous!$C$88,Rates_previous!$D$88)</f>
        <v>0</v>
      </c>
      <c r="I109" s="199">
        <v>0</v>
      </c>
      <c r="J109" s="201">
        <f>IF(Init!$R$9="Yes",IF('Staging Table'!D111=1,'Staging Table'!H111*-1*'Staging Table'!BS111/'Staging Table'!BR111,'Staging Table'!H111*SUM(D109:I109)*(-1)),IF('Staging Table'!D111=1,'Staging Table'!BU111*-1*'Staging Table'!BS111/'Staging Table'!BR111,'Staging Table'!BU111*SUM(D109:I109)*(-1)))</f>
        <v>0</v>
      </c>
      <c r="K109" s="199">
        <f>IF(Init!$R$9="Yes",'Staging Table'!K111,'Staging Table'!BX111)*(-1)*Rates_previous!$H$32</f>
        <v>0</v>
      </c>
      <c r="L109" s="199">
        <f>IF('Staging Table'!C111=1,"",SUM(D109:K109))</f>
        <v>112057746.95923693</v>
      </c>
      <c r="M109" s="199">
        <f>IF('Staging Table'!C111=1,"",IF(Init!$R$9="Yes",(RT1SC!$C$3*'Staging Table'!F111*'Staging Table'!$F$2)+SUM('Staging Table'!L111:AI111)-IF(Init!$R$12="No",'Staging Table'!BH111, 0),X109))</f>
        <v>3287606.3315114621</v>
      </c>
      <c r="N109" s="297">
        <f>IF('Staging Table'!C111=1,"",IF(M109=0, 0, L109/M109))</f>
        <v>34.084904231133685</v>
      </c>
      <c r="O109" s="199">
        <f>'Staging Table'!BS111*Rates_current!$E$76*100*12</f>
        <v>125405738.87615997</v>
      </c>
      <c r="P109" s="199">
        <f>'Staging Table'!BS111*Rates_current!$E$77*100*12</f>
        <v>-22038578.014079995</v>
      </c>
      <c r="Q109" s="200">
        <f>SUMPRODUCT('Staging Table'!BY111:CV111, LS_Demand_Rates_Restatement!$C$5:$Z$5)-IF(Init!$R$12="No",('Staging Table'!DU111*Rates_current!$H$34), 0)</f>
        <v>1054897.6522286274</v>
      </c>
      <c r="R109" s="200">
        <f>SUMPRODUCT('Staging Table'!CW111:DH111, LS_Demand_Rates_Restatement!$C$11:$N$11)*1000</f>
        <v>0</v>
      </c>
      <c r="S109" s="201">
        <f>'Staging Table'!ED111*IF(Init!$R$15="Yes",IF(Init!$R$6=2024,Rates_current!$C$88,Rates_current!$D$88),Rates_current!$H$33)</f>
        <v>0</v>
      </c>
      <c r="T109" s="201">
        <v>0</v>
      </c>
      <c r="U109" s="201">
        <f>IF('Staging Table'!D111=1, 'Staging Table'!BU111*-1*'Staging Table'!BS111/'Staging Table'!BR111,SUM(O109:T109)*'Staging Table'!BU111*-1)</f>
        <v>0</v>
      </c>
      <c r="V109" s="199">
        <f>'Staging Table'!BX111*Rates_current!$H$32*-1</f>
        <v>0</v>
      </c>
      <c r="W109" s="199">
        <f>IF('Staging Table'!C111=1,"", SUM(O109:V109))</f>
        <v>104422058.5143086</v>
      </c>
      <c r="X109" s="199">
        <f>IF('Staging Table'!C111=1,"", (RT1SC!$C$4*'Staging Table'!BS111*'Staging Table'!$BS$2)+SUM('Staging Table'!BY111:CV111)-IF(Init!$R$12="No",'Staging Table'!DU111, 0))</f>
        <v>3123377.4775135312</v>
      </c>
      <c r="Y109" s="297">
        <f>IF('Staging Table'!C111=1,"",IF(X109=0, 0, W109/X109))</f>
        <v>33.432417076093301</v>
      </c>
      <c r="Z109" s="76">
        <f ca="1">IF('Staging Table'!C111=1,"",(Y109/N109-1)+(RAND()/100000000000000))</f>
        <v>-1.9142995110553451E-2</v>
      </c>
      <c r="AA109" s="53">
        <f t="shared" ca="1" si="1"/>
        <v>97</v>
      </c>
      <c r="AC109" s="405"/>
      <c r="AD109" s="204"/>
      <c r="AE109" s="204"/>
      <c r="AG109" s="204"/>
      <c r="AH109" s="204"/>
    </row>
    <row r="110" spans="2:34">
      <c r="B110" s="123">
        <v>10360</v>
      </c>
      <c r="C110" s="124" t="s">
        <v>113</v>
      </c>
      <c r="D110" s="199">
        <f>IF(Init!$R$9="Yes",'Staging Table'!F112,'Staging Table'!BS112)*Rates_previous!$E$76*100*12</f>
        <v>2297140.7569724862</v>
      </c>
      <c r="E110" s="199">
        <f>IF(Init!$R$9="Yes",'Staging Table'!F112,'Staging Table'!BS112)*Rates_previous!$E$77*100*12</f>
        <v>-379263.45095196302</v>
      </c>
      <c r="F110" s="200">
        <f>IF(Init!$R$9="Yes",SUMPRODUCT('Staging Table'!L112:AI112,LS_Demand_Rates_Restatement!$C$4:$Z$4)-IF(Init!$R$12="No",('Staging Table'!BH112*Rates_previous!$H$34), 0),SUMPRODUCT('Staging Table'!BY112:CV112,LS_Demand_Rates_Restatement!$C$4:$Z$4)-IF(Init!$R$12="No", 'Staging Table'!DU112*Rates_previous!$H$34, 0))</f>
        <v>-73141.070632274379</v>
      </c>
      <c r="G110" s="200">
        <f>IF(Init!$R$9="Yes",SUMPRODUCT('Staging Table'!AJ112:AU112,LS_Demand_Rates_Restatement!$C$10:$N$10),SUMPRODUCT(LS_Demand_Rates_Restatement!$C$10:$N$10,'Staging Table'!CW112:DH112))*1000</f>
        <v>106421.94855409543</v>
      </c>
      <c r="H110" s="201">
        <f>IF(Init!$R$9="Yes",'Staging Table'!BQ112,'Staging Table'!ED112)*IF(Init!$R$3=2022,Rates_previous!$C$88,Rates_previous!$D$88)</f>
        <v>0</v>
      </c>
      <c r="I110" s="199">
        <v>0</v>
      </c>
      <c r="J110" s="201">
        <f>IF(Init!$R$9="Yes",IF('Staging Table'!D112=1,'Staging Table'!H112*-1*'Staging Table'!BS112/'Staging Table'!BR112,'Staging Table'!H112*SUM(D110:I110)*(-1)),IF('Staging Table'!D112=1,'Staging Table'!BU112*-1*'Staging Table'!BS112/'Staging Table'!BR112,'Staging Table'!BU112*SUM(D110:I110)*(-1)))</f>
        <v>-98045.698743102796</v>
      </c>
      <c r="K110" s="199">
        <f>IF(Init!$R$9="Yes",'Staging Table'!K112,'Staging Table'!BX112)*(-1)*Rates_previous!$H$32</f>
        <v>-218101.80600000001</v>
      </c>
      <c r="L110" s="199">
        <f>IF('Staging Table'!C112=1,"",SUM(D110:K110))</f>
        <v>1635010.6791992411</v>
      </c>
      <c r="M110" s="199">
        <f>IF('Staging Table'!C112=1,"",IF(Init!$R$9="Yes",(RT1SC!$C$3*'Staging Table'!F112*'Staging Table'!$F$2)+SUM('Staging Table'!L112:AI112)-IF(Init!$R$12="No",'Staging Table'!BH112, 0),X110))</f>
        <v>56528.280000000006</v>
      </c>
      <c r="N110" s="297">
        <f>IF('Staging Table'!C112=1,"",IF(M110=0, 0, L110/M110))</f>
        <v>28.923764869535052</v>
      </c>
      <c r="O110" s="199">
        <f>'Staging Table'!BS112*Rates_current!$E$76*100*12</f>
        <v>2386009.2945599998</v>
      </c>
      <c r="P110" s="199">
        <f>'Staging Table'!BS112*Rates_current!$E$77*100*12</f>
        <v>-419312.96327999997</v>
      </c>
      <c r="Q110" s="200">
        <f>SUMPRODUCT('Staging Table'!BY112:CV112, LS_Demand_Rates_Restatement!$C$5:$Z$5)-IF(Init!$R$12="No",('Staging Table'!DU112*Rates_current!$H$34), 0)</f>
        <v>-5722.6380377075402</v>
      </c>
      <c r="R110" s="200">
        <f>SUMPRODUCT('Staging Table'!CW112:DH112, LS_Demand_Rates_Restatement!$C$11:$N$11)*1000</f>
        <v>110794.4274658387</v>
      </c>
      <c r="S110" s="201">
        <f>'Staging Table'!ED112*IF(Init!$R$15="Yes",IF(Init!$R$6=2024,Rates_current!$C$88,Rates_current!$D$88),Rates_current!$H$33)</f>
        <v>0</v>
      </c>
      <c r="T110" s="201">
        <v>0</v>
      </c>
      <c r="U110" s="201">
        <f>IF('Staging Table'!D112=1, 'Staging Table'!BU112*-1*'Staging Table'!BS112/'Staging Table'!BR112,SUM(O110:T110)*'Staging Table'!BU112*-1)</f>
        <v>-105605.04950545283</v>
      </c>
      <c r="V110" s="199">
        <f>'Staging Table'!BX112*Rates_current!$H$32*-1</f>
        <v>-231508.0638</v>
      </c>
      <c r="W110" s="199">
        <f>IF('Staging Table'!C112=1,"", SUM(O110:V110))</f>
        <v>1734655.007402678</v>
      </c>
      <c r="X110" s="199">
        <f>IF('Staging Table'!C112=1,"", (RT1SC!$C$4*'Staging Table'!BS112*'Staging Table'!$BS$2)+SUM('Staging Table'!BY112:CV112)-IF(Init!$R$12="No",'Staging Table'!DU112, 0))</f>
        <v>59423.759999999995</v>
      </c>
      <c r="Y110" s="297">
        <f>IF('Staging Table'!C112=1,"",IF(X110=0, 0, W110/X110))</f>
        <v>29.191269744672471</v>
      </c>
      <c r="Z110" s="76">
        <f ca="1">IF('Staging Table'!C112=1,"",(Y110/N110-1)+(RAND()/100000000000000))</f>
        <v>9.2486187861178341E-3</v>
      </c>
      <c r="AA110" s="53">
        <f t="shared" ca="1" si="1"/>
        <v>17</v>
      </c>
      <c r="AC110" s="405"/>
      <c r="AD110" s="204"/>
      <c r="AE110" s="204"/>
      <c r="AG110" s="204"/>
      <c r="AH110" s="204"/>
    </row>
    <row r="111" spans="2:34">
      <c r="B111" s="123">
        <v>10363</v>
      </c>
      <c r="C111" s="124" t="s">
        <v>114</v>
      </c>
      <c r="D111" s="199">
        <f>IF(Init!$R$9="Yes",'Staging Table'!F113,'Staging Table'!BS113)*Rates_previous!$E$76*100*12</f>
        <v>32436951.240093477</v>
      </c>
      <c r="E111" s="199">
        <f>IF(Init!$R$9="Yes",'Staging Table'!F113,'Staging Table'!BS113)*Rates_previous!$E$77*100*12</f>
        <v>-5355418.482014142</v>
      </c>
      <c r="F111" s="200">
        <f>IF(Init!$R$9="Yes",SUMPRODUCT('Staging Table'!L113:AI113,LS_Demand_Rates_Restatement!$C$4:$Z$4)-IF(Init!$R$12="No",('Staging Table'!BH113*Rates_previous!$H$34), 0),SUMPRODUCT('Staging Table'!BY113:CV113,LS_Demand_Rates_Restatement!$C$4:$Z$4)-IF(Init!$R$12="No", 'Staging Table'!DU113*Rates_previous!$H$34, 0))</f>
        <v>428247.56219893205</v>
      </c>
      <c r="G111" s="200">
        <f>IF(Init!$R$9="Yes",SUMPRODUCT('Staging Table'!AJ113:AU113,LS_Demand_Rates_Restatement!$C$10:$N$10),SUMPRODUCT(LS_Demand_Rates_Restatement!$C$10:$N$10,'Staging Table'!CW113:DH113))*1000</f>
        <v>969749.79576634581</v>
      </c>
      <c r="H111" s="201">
        <f>IF(Init!$R$9="Yes",'Staging Table'!BQ113,'Staging Table'!ED113)*IF(Init!$R$3=2022,Rates_previous!$C$88,Rates_previous!$D$88)</f>
        <v>11253.875654108433</v>
      </c>
      <c r="I111" s="199">
        <v>0</v>
      </c>
      <c r="J111" s="201">
        <f>IF(Init!$R$9="Yes",IF('Staging Table'!D113=1,'Staging Table'!H113*-1*'Staging Table'!BS113/'Staging Table'!BR113,'Staging Table'!H113*SUM(D111:I111)*(-1)),IF('Staging Table'!D113=1,'Staging Table'!BU113*-1*'Staging Table'!BS113/'Staging Table'!BR113,'Staging Table'!BU113*SUM(D111:I111)*(-1)))</f>
        <v>0</v>
      </c>
      <c r="K111" s="199">
        <f>IF(Init!$R$9="Yes",'Staging Table'!K113,'Staging Table'!BX113)*(-1)*Rates_previous!$H$32</f>
        <v>0</v>
      </c>
      <c r="L111" s="199">
        <f>IF('Staging Table'!C113=1,"",SUM(D111:K111))</f>
        <v>28490783.991698723</v>
      </c>
      <c r="M111" s="199">
        <f>IF('Staging Table'!C113=1,"",IF(Init!$R$9="Yes",(RT1SC!$C$3*'Staging Table'!F113*'Staging Table'!$F$2)+SUM('Staging Table'!L113:AI113)-IF(Init!$R$12="No",'Staging Table'!BH113, 0),X111))</f>
        <v>799782.49283046043</v>
      </c>
      <c r="N111" s="297">
        <f>IF('Staging Table'!C113=1,"",IF(M111=0, 0, L111/M111))</f>
        <v>35.623165356956946</v>
      </c>
      <c r="O111" s="199">
        <f>'Staging Table'!BS113*Rates_current!$E$76*100*12</f>
        <v>32111978.295600001</v>
      </c>
      <c r="P111" s="199">
        <f>'Staging Table'!BS113*Rates_current!$E$77*100*12</f>
        <v>-5643301.0578000005</v>
      </c>
      <c r="Q111" s="200">
        <f>SUMPRODUCT('Staging Table'!BY113:CV113, LS_Demand_Rates_Restatement!$C$5:$Z$5)-IF(Init!$R$12="No",('Staging Table'!DU113*Rates_current!$H$34), 0)</f>
        <v>881707.19540129963</v>
      </c>
      <c r="R111" s="200">
        <f>SUMPRODUCT('Staging Table'!CW113:DH113, LS_Demand_Rates_Restatement!$C$11:$N$11)*1000</f>
        <v>955257.30700649007</v>
      </c>
      <c r="S111" s="201">
        <f>'Staging Table'!ED113*IF(Init!$R$15="Yes",IF(Init!$R$6=2024,Rates_current!$C$88,Rates_current!$D$88),Rates_current!$H$33)</f>
        <v>5.0093674285744783</v>
      </c>
      <c r="T111" s="201">
        <v>0</v>
      </c>
      <c r="U111" s="201">
        <f>IF('Staging Table'!D113=1, 'Staging Table'!BU113*-1*'Staging Table'!BS113/'Staging Table'!BR113,SUM(O111:T111)*'Staging Table'!BU113*-1)</f>
        <v>0</v>
      </c>
      <c r="V111" s="199">
        <f>'Staging Table'!BX113*Rates_current!$H$32*-1</f>
        <v>0</v>
      </c>
      <c r="W111" s="199">
        <f>IF('Staging Table'!C113=1,"", SUM(O111:V111))</f>
        <v>28305646.74957522</v>
      </c>
      <c r="X111" s="199">
        <f>IF('Staging Table'!C113=1,"", (RT1SC!$C$4*'Staging Table'!BS113*'Staging Table'!$BS$2)+SUM('Staging Table'!BY113:CV113)-IF(Init!$R$12="No",'Staging Table'!DU113, 0))</f>
        <v>799782.45566605811</v>
      </c>
      <c r="Y111" s="297">
        <f>IF('Staging Table'!C113=1,"",IF(X111=0, 0, W111/X111))</f>
        <v>35.391682511967964</v>
      </c>
      <c r="Z111" s="76">
        <f ca="1">IF('Staging Table'!C113=1,"",(Y111/N111-1)+(RAND()/100000000000000))</f>
        <v>-6.4980987138317384E-3</v>
      </c>
      <c r="AA111" s="53">
        <f t="shared" ca="1" si="1"/>
        <v>51</v>
      </c>
      <c r="AC111" s="405"/>
      <c r="AD111" s="204"/>
      <c r="AE111" s="204"/>
      <c r="AG111" s="204"/>
      <c r="AH111" s="204"/>
    </row>
    <row r="112" spans="2:34">
      <c r="B112" s="123">
        <v>10369</v>
      </c>
      <c r="C112" s="124" t="s">
        <v>115</v>
      </c>
      <c r="D112" s="199">
        <f>IF(Init!$R$9="Yes",'Staging Table'!F114,'Staging Table'!BS114)*Rates_previous!$E$76*100*12</f>
        <v>5579900.9430249305</v>
      </c>
      <c r="E112" s="199">
        <f>IF(Init!$R$9="Yes",'Staging Table'!F114,'Staging Table'!BS114)*Rates_previous!$E$77*100*12</f>
        <v>-921255.03463308001</v>
      </c>
      <c r="F112" s="200">
        <f>IF(Init!$R$9="Yes",SUMPRODUCT('Staging Table'!L114:AI114,LS_Demand_Rates_Restatement!$C$4:$Z$4)-IF(Init!$R$12="No",('Staging Table'!BH114*Rates_previous!$H$34), 0),SUMPRODUCT('Staging Table'!BY114:CV114,LS_Demand_Rates_Restatement!$C$4:$Z$4)-IF(Init!$R$12="No", 'Staging Table'!DU114*Rates_previous!$H$34, 0))</f>
        <v>-92331.612006428302</v>
      </c>
      <c r="G112" s="200">
        <f>IF(Init!$R$9="Yes",SUMPRODUCT('Staging Table'!AJ114:AU114,LS_Demand_Rates_Restatement!$C$10:$N$10),SUMPRODUCT(LS_Demand_Rates_Restatement!$C$10:$N$10,'Staging Table'!CW114:DH114))*1000</f>
        <v>309101.01746470807</v>
      </c>
      <c r="H112" s="201">
        <f>IF(Init!$R$9="Yes",'Staging Table'!BQ114,'Staging Table'!ED114)*IF(Init!$R$3=2022,Rates_previous!$C$88,Rates_previous!$D$88)</f>
        <v>0</v>
      </c>
      <c r="I112" s="199">
        <v>0</v>
      </c>
      <c r="J112" s="201">
        <f>IF(Init!$R$9="Yes",IF('Staging Table'!D114=1,'Staging Table'!H114*-1*'Staging Table'!BS114/'Staging Table'!BR114,'Staging Table'!H114*SUM(D112:I112)*(-1)),IF('Staging Table'!D114=1,'Staging Table'!BU114*-1*'Staging Table'!BS114/'Staging Table'!BR114,'Staging Table'!BU114*SUM(D112:I112)*(-1)))</f>
        <v>-373408.0588877814</v>
      </c>
      <c r="K112" s="199">
        <f>IF(Init!$R$9="Yes",'Staging Table'!K114,'Staging Table'!BX114)*(-1)*Rates_previous!$H$32</f>
        <v>-503698.82090000005</v>
      </c>
      <c r="L112" s="199">
        <f>IF('Staging Table'!C114=1,"",SUM(D112:K112))</f>
        <v>3998308.4340623473</v>
      </c>
      <c r="M112" s="199">
        <f>IF('Staging Table'!C114=1,"",IF(Init!$R$9="Yes",(RT1SC!$C$3*'Staging Table'!F114*'Staging Table'!$F$2)+SUM('Staging Table'!L114:AI114)-IF(Init!$R$12="No",'Staging Table'!BH114, 0),X112))</f>
        <v>137304.24</v>
      </c>
      <c r="N112" s="297">
        <f>IF('Staging Table'!C114=1,"",IF(M112=0, 0, L112/M112))</f>
        <v>29.12006529486888</v>
      </c>
      <c r="O112" s="199">
        <f>'Staging Table'!BS114*Rates_current!$E$76*100*12</f>
        <v>5795376.9292799998</v>
      </c>
      <c r="P112" s="199">
        <f>'Staging Table'!BS114*Rates_current!$E$77*100*12</f>
        <v>-1018469.07264</v>
      </c>
      <c r="Q112" s="200">
        <f>SUMPRODUCT('Staging Table'!BY114:CV114, LS_Demand_Rates_Restatement!$C$5:$Z$5)-IF(Init!$R$12="No",('Staging Table'!DU114*Rates_current!$H$34), 0)</f>
        <v>191996.26853672028</v>
      </c>
      <c r="R112" s="200">
        <f>SUMPRODUCT('Staging Table'!CW114:DH114, LS_Demand_Rates_Restatement!$C$11:$N$11)*1000</f>
        <v>326147.01398904924</v>
      </c>
      <c r="S112" s="201">
        <f>'Staging Table'!ED114*IF(Init!$R$15="Yes",IF(Init!$R$6=2024,Rates_current!$C$88,Rates_current!$D$88),Rates_current!$H$33)</f>
        <v>0</v>
      </c>
      <c r="T112" s="201">
        <v>0</v>
      </c>
      <c r="U112" s="201">
        <f>IF('Staging Table'!D114=1, 'Staging Table'!BU114*-1*'Staging Table'!BS114/'Staging Table'!BR114,SUM(O112:T112)*'Staging Table'!BU114*-1)</f>
        <v>-414526.58440308267</v>
      </c>
      <c r="V112" s="199">
        <f>'Staging Table'!BX114*Rates_current!$H$32*-1</f>
        <v>-534660.1245700001</v>
      </c>
      <c r="W112" s="199">
        <f>IF('Staging Table'!C114=1,"", SUM(O112:V112))</f>
        <v>4345864.4301926866</v>
      </c>
      <c r="X112" s="199">
        <f>IF('Staging Table'!C114=1,"", (RT1SC!$C$4*'Staging Table'!BS114*'Staging Table'!$BS$2)+SUM('Staging Table'!BY114:CV114)-IF(Init!$R$12="No",'Staging Table'!DU114, 0))</f>
        <v>144338.41766162813</v>
      </c>
      <c r="Y112" s="297">
        <f>IF('Staging Table'!C114=1,"",IF(X112=0, 0, W112/X112))</f>
        <v>30.108854597399535</v>
      </c>
      <c r="Z112" s="76">
        <f ca="1">IF('Staging Table'!C114=1,"",(Y112/N112-1)+(RAND()/100000000000000))</f>
        <v>3.3955600460308669E-2</v>
      </c>
      <c r="AA112" s="53">
        <f t="shared" ca="1" si="1"/>
        <v>6</v>
      </c>
      <c r="AC112" s="405"/>
      <c r="AD112" s="204"/>
      <c r="AE112" s="204"/>
      <c r="AG112" s="204"/>
      <c r="AH112" s="204"/>
    </row>
    <row r="113" spans="2:34">
      <c r="B113" s="123">
        <v>10370</v>
      </c>
      <c r="C113" s="124" t="s">
        <v>116</v>
      </c>
      <c r="D113" s="199">
        <f>IF(Init!$R$9="Yes",'Staging Table'!F115,'Staging Table'!BS115)*Rates_previous!$E$76*100*12</f>
        <v>60649887.729867145</v>
      </c>
      <c r="E113" s="199">
        <f>IF(Init!$R$9="Yes",'Staging Table'!F115,'Staging Table'!BS115)*Rates_previous!$E$77*100*12</f>
        <v>-10013441.993251804</v>
      </c>
      <c r="F113" s="200">
        <f>IF(Init!$R$9="Yes",SUMPRODUCT('Staging Table'!L115:AI115,LS_Demand_Rates_Restatement!$C$4:$Z$4)-IF(Init!$R$12="No",('Staging Table'!BH115*Rates_previous!$H$34), 0),SUMPRODUCT('Staging Table'!BY115:CV115,LS_Demand_Rates_Restatement!$C$4:$Z$4)-IF(Init!$R$12="No", 'Staging Table'!DU115*Rates_previous!$H$34, 0))</f>
        <v>171761.21065777555</v>
      </c>
      <c r="G113" s="200">
        <f>IF(Init!$R$9="Yes",SUMPRODUCT('Staging Table'!AJ115:AU115,LS_Demand_Rates_Restatement!$C$10:$N$10),SUMPRODUCT(LS_Demand_Rates_Restatement!$C$10:$N$10,'Staging Table'!CW115:DH115))*1000</f>
        <v>0</v>
      </c>
      <c r="H113" s="201">
        <f>IF(Init!$R$9="Yes",'Staging Table'!BQ115,'Staging Table'!ED115)*IF(Init!$R$3=2022,Rates_previous!$C$88,Rates_previous!$D$88)</f>
        <v>0</v>
      </c>
      <c r="I113" s="199">
        <v>0</v>
      </c>
      <c r="J113" s="201">
        <f>IF(Init!$R$9="Yes",IF('Staging Table'!D115=1,'Staging Table'!H115*-1*'Staging Table'!BS115/'Staging Table'!BR115,'Staging Table'!H115*SUM(D113:I113)*(-1)),IF('Staging Table'!D115=1,'Staging Table'!BU115*-1*'Staging Table'!BS115/'Staging Table'!BR115,'Staging Table'!BU115*SUM(D113:I113)*(-1)))</f>
        <v>0</v>
      </c>
      <c r="K113" s="199">
        <f>IF(Init!$R$9="Yes",'Staging Table'!K115,'Staging Table'!BX115)*(-1)*Rates_previous!$H$32</f>
        <v>0</v>
      </c>
      <c r="L113" s="199">
        <f>IF('Staging Table'!C115=1,"",SUM(D113:K113))</f>
        <v>50808206.94727312</v>
      </c>
      <c r="M113" s="199">
        <f>IF('Staging Table'!C115=1,"",IF(Init!$R$9="Yes",(RT1SC!$C$3*'Staging Table'!F115*'Staging Table'!$F$2)+SUM('Staging Table'!L115:AI115)-IF(Init!$R$12="No",'Staging Table'!BH115, 0),X113))</f>
        <v>1492422.5632148276</v>
      </c>
      <c r="N113" s="297">
        <f>IF('Staging Table'!C115=1,"",IF(M113=0, 0, L113/M113))</f>
        <v>34.044116056398366</v>
      </c>
      <c r="O113" s="199">
        <f>'Staging Table'!BS115*Rates_current!$E$76*100*12</f>
        <v>56330047.369440004</v>
      </c>
      <c r="P113" s="199">
        <f>'Staging Table'!BS115*Rates_current!$E$77*100*12</f>
        <v>-9899340.768720001</v>
      </c>
      <c r="Q113" s="200">
        <f>SUMPRODUCT('Staging Table'!BY115:CV115, LS_Demand_Rates_Restatement!$C$5:$Z$5)-IF(Init!$R$12="No",('Staging Table'!DU115*Rates_current!$H$34), 0)</f>
        <v>243640.55517288132</v>
      </c>
      <c r="R113" s="200">
        <f>SUMPRODUCT('Staging Table'!CW115:DH115, LS_Demand_Rates_Restatement!$C$11:$N$11)*1000</f>
        <v>0</v>
      </c>
      <c r="S113" s="201">
        <f>'Staging Table'!ED115*IF(Init!$R$15="Yes",IF(Init!$R$6=2024,Rates_current!$C$88,Rates_current!$D$88),Rates_current!$H$33)</f>
        <v>0</v>
      </c>
      <c r="T113" s="201">
        <v>0</v>
      </c>
      <c r="U113" s="201">
        <f>IF('Staging Table'!D115=1, 'Staging Table'!BU115*-1*'Staging Table'!BS115/'Staging Table'!BR115,SUM(O113:T113)*'Staging Table'!BU115*-1)</f>
        <v>0</v>
      </c>
      <c r="V113" s="199">
        <f>'Staging Table'!BX115*Rates_current!$H$32*-1</f>
        <v>0</v>
      </c>
      <c r="W113" s="199">
        <f>IF('Staging Table'!C115=1,"", SUM(O113:V113))</f>
        <v>46674347.155892886</v>
      </c>
      <c r="X113" s="199">
        <f>IF('Staging Table'!C115=1,"", (RT1SC!$C$4*'Staging Table'!BS115*'Staging Table'!$BS$2)+SUM('Staging Table'!BY115:CV115)-IF(Init!$R$12="No",'Staging Table'!DU115, 0))</f>
        <v>1402965.8315045713</v>
      </c>
      <c r="Y113" s="297">
        <f>IF('Staging Table'!C115=1,"",IF(X113=0, 0, W113/X113))</f>
        <v>33.26834204211395</v>
      </c>
      <c r="Z113" s="76">
        <f ca="1">IF('Staging Table'!C115=1,"",(Y113/N113-1)+(RAND()/100000000000000))</f>
        <v>-2.278731552316474E-2</v>
      </c>
      <c r="AA113" s="53">
        <f t="shared" ca="1" si="1"/>
        <v>111</v>
      </c>
      <c r="AC113" s="405"/>
      <c r="AD113" s="204"/>
      <c r="AE113" s="204"/>
      <c r="AG113" s="204"/>
      <c r="AH113" s="204"/>
    </row>
    <row r="114" spans="2:34">
      <c r="B114" s="123">
        <v>10371</v>
      </c>
      <c r="C114" s="124" t="s">
        <v>117</v>
      </c>
      <c r="D114" s="199">
        <f>IF(Init!$R$9="Yes",'Staging Table'!F116,'Staging Table'!BS116)*Rates_previous!$E$76*100*12</f>
        <v>3746552.8809041809</v>
      </c>
      <c r="E114" s="199">
        <f>IF(Init!$R$9="Yes",'Staging Table'!F116,'Staging Table'!BS116)*Rates_previous!$E$77*100*12</f>
        <v>-618564.87046899658</v>
      </c>
      <c r="F114" s="200">
        <f>IF(Init!$R$9="Yes",SUMPRODUCT('Staging Table'!L116:AI116,LS_Demand_Rates_Restatement!$C$4:$Z$4)-IF(Init!$R$12="No",('Staging Table'!BH116*Rates_previous!$H$34), 0),SUMPRODUCT('Staging Table'!BY116:CV116,LS_Demand_Rates_Restatement!$C$4:$Z$4)-IF(Init!$R$12="No", 'Staging Table'!DU116*Rates_previous!$H$34, 0))</f>
        <v>55694.047745554242</v>
      </c>
      <c r="G114" s="200">
        <f>IF(Init!$R$9="Yes",SUMPRODUCT('Staging Table'!AJ116:AU116,LS_Demand_Rates_Restatement!$C$10:$N$10),SUMPRODUCT(LS_Demand_Rates_Restatement!$C$10:$N$10,'Staging Table'!CW116:DH116))*1000</f>
        <v>45659.003592485751</v>
      </c>
      <c r="H114" s="201">
        <f>IF(Init!$R$9="Yes",'Staging Table'!BQ116,'Staging Table'!ED116)*IF(Init!$R$3=2022,Rates_previous!$C$88,Rates_previous!$D$88)</f>
        <v>0</v>
      </c>
      <c r="I114" s="199">
        <v>0</v>
      </c>
      <c r="J114" s="201">
        <f>IF(Init!$R$9="Yes",IF('Staging Table'!D116=1,'Staging Table'!H116*-1*'Staging Table'!BS116/'Staging Table'!BR116,'Staging Table'!H116*SUM(D114:I114)*(-1)),IF('Staging Table'!D116=1,'Staging Table'!BU116*-1*'Staging Table'!BS116/'Staging Table'!BR116,'Staging Table'!BU116*SUM(D114:I114)*(-1)))</f>
        <v>0</v>
      </c>
      <c r="K114" s="199">
        <f>IF(Init!$R$9="Yes",'Staging Table'!K116,'Staging Table'!BX116)*(-1)*Rates_previous!$H$32</f>
        <v>0</v>
      </c>
      <c r="L114" s="199">
        <f>IF('Staging Table'!C116=1,"",SUM(D114:K114))</f>
        <v>3229341.0617732243</v>
      </c>
      <c r="M114" s="199">
        <f>IF('Staging Table'!C116=1,"",IF(Init!$R$9="Yes",(RT1SC!$C$3*'Staging Table'!F116*'Staging Table'!$F$2)+SUM('Staging Table'!L116:AI116)-IF(Init!$R$12="No",'Staging Table'!BH116, 0),X114))</f>
        <v>92190.239999999991</v>
      </c>
      <c r="N114" s="297">
        <f>IF('Staging Table'!C116=1,"",IF(M114=0, 0, L114/M114))</f>
        <v>35.029099195025687</v>
      </c>
      <c r="O114" s="199">
        <f>'Staging Table'!BS116*Rates_current!$E$76*100*12</f>
        <v>3890904.0688800002</v>
      </c>
      <c r="P114" s="199">
        <f>'Staging Table'!BS116*Rates_current!$E$77*100*12</f>
        <v>-683780.45244000002</v>
      </c>
      <c r="Q114" s="200">
        <f>SUMPRODUCT('Staging Table'!BY116:CV116, LS_Demand_Rates_Restatement!$C$5:$Z$5)-IF(Init!$R$12="No",('Staging Table'!DU116*Rates_current!$H$34), 0)</f>
        <v>108513.64035458316</v>
      </c>
      <c r="R114" s="200">
        <f>SUMPRODUCT('Staging Table'!CW116:DH116, LS_Demand_Rates_Restatement!$C$11:$N$11)*1000</f>
        <v>58701.024431196587</v>
      </c>
      <c r="S114" s="201">
        <f>'Staging Table'!ED116*IF(Init!$R$15="Yes",IF(Init!$R$6=2024,Rates_current!$C$88,Rates_current!$D$88),Rates_current!$H$33)</f>
        <v>0</v>
      </c>
      <c r="T114" s="201">
        <v>0</v>
      </c>
      <c r="U114" s="201">
        <f>IF('Staging Table'!D116=1, 'Staging Table'!BU116*-1*'Staging Table'!BS116/'Staging Table'!BR116,SUM(O114:T114)*'Staging Table'!BU116*-1)</f>
        <v>0</v>
      </c>
      <c r="V114" s="199">
        <f>'Staging Table'!BX116*Rates_current!$H$32*-1</f>
        <v>0</v>
      </c>
      <c r="W114" s="199">
        <f>IF('Staging Table'!C116=1,"", SUM(O114:V114))</f>
        <v>3374338.2812257796</v>
      </c>
      <c r="X114" s="199">
        <f>IF('Staging Table'!C116=1,"", (RT1SC!$C$4*'Staging Table'!BS116*'Staging Table'!$BS$2)+SUM('Staging Table'!BY116:CV116)-IF(Init!$R$12="No",'Staging Table'!DU116, 0))</f>
        <v>96905.088000000003</v>
      </c>
      <c r="Y114" s="297">
        <f>IF('Staging Table'!C116=1,"",IF(X114=0, 0, W114/X114))</f>
        <v>34.821064103731885</v>
      </c>
      <c r="Z114" s="76">
        <f ca="1">IF('Staging Table'!C116=1,"",(Y114/N114-1)+(RAND()/100000000000000))</f>
        <v>-5.9389220983164957E-3</v>
      </c>
      <c r="AA114" s="53">
        <f t="shared" ca="1" si="1"/>
        <v>47</v>
      </c>
      <c r="AC114" s="405"/>
      <c r="AD114" s="204"/>
      <c r="AE114" s="204"/>
      <c r="AG114" s="204"/>
      <c r="AH114" s="204"/>
    </row>
    <row r="115" spans="2:34">
      <c r="B115" s="123">
        <v>10376</v>
      </c>
      <c r="C115" s="124" t="s">
        <v>118</v>
      </c>
      <c r="D115" s="199">
        <f>IF(Init!$R$9="Yes",'Staging Table'!F117,'Staging Table'!BS117)*Rates_previous!$E$76*100*12</f>
        <v>19026531.75260435</v>
      </c>
      <c r="E115" s="199">
        <f>IF(Init!$R$9="Yes",'Staging Table'!F117,'Staging Table'!BS117)*Rates_previous!$E$77*100*12</f>
        <v>-3141326.0464065918</v>
      </c>
      <c r="F115" s="200">
        <f>IF(Init!$R$9="Yes",SUMPRODUCT('Staging Table'!L117:AI117,LS_Demand_Rates_Restatement!$C$4:$Z$4)-IF(Init!$R$12="No",('Staging Table'!BH117*Rates_previous!$H$34), 0),SUMPRODUCT('Staging Table'!BY117:CV117,LS_Demand_Rates_Restatement!$C$4:$Z$4)-IF(Init!$R$12="No", 'Staging Table'!DU117*Rates_previous!$H$34, 0))</f>
        <v>223889.5943554847</v>
      </c>
      <c r="G115" s="200">
        <f>IF(Init!$R$9="Yes",SUMPRODUCT('Staging Table'!AJ117:AU117,LS_Demand_Rates_Restatement!$C$10:$N$10),SUMPRODUCT(LS_Demand_Rates_Restatement!$C$10:$N$10,'Staging Table'!CW117:DH117))*1000</f>
        <v>538664.04530783487</v>
      </c>
      <c r="H115" s="201">
        <f>IF(Init!$R$9="Yes",'Staging Table'!BQ117,'Staging Table'!ED117)*IF(Init!$R$3=2022,Rates_previous!$C$88,Rates_previous!$D$88)</f>
        <v>0</v>
      </c>
      <c r="I115" s="199">
        <v>0</v>
      </c>
      <c r="J115" s="201">
        <f>IF(Init!$R$9="Yes",IF('Staging Table'!D117=1,'Staging Table'!H117*-1*'Staging Table'!BS117/'Staging Table'!BR117,'Staging Table'!H117*SUM(D115:I115)*(-1)),IF('Staging Table'!D117=1,'Staging Table'!BU117*-1*'Staging Table'!BS117/'Staging Table'!BR117,'Staging Table'!BU117*SUM(D115:I115)*(-1)))</f>
        <v>0</v>
      </c>
      <c r="K115" s="199">
        <f>IF(Init!$R$9="Yes",'Staging Table'!K117,'Staging Table'!BX117)*(-1)*Rates_previous!$H$32</f>
        <v>0</v>
      </c>
      <c r="L115" s="199">
        <f>IF('Staging Table'!C117=1,"",SUM(D115:K115))</f>
        <v>16647759.345861079</v>
      </c>
      <c r="M115" s="199">
        <f>IF('Staging Table'!C117=1,"",IF(Init!$R$9="Yes",(RT1SC!$C$3*'Staging Table'!F117*'Staging Table'!$F$2)+SUM('Staging Table'!L117:AI117)-IF(Init!$R$12="No",'Staging Table'!BH117, 0),X115))</f>
        <v>468186.95999999996</v>
      </c>
      <c r="N115" s="297">
        <f>IF('Staging Table'!C117=1,"",IF(M115=0, 0, L115/M115))</f>
        <v>35.557930417073301</v>
      </c>
      <c r="O115" s="199">
        <f>'Staging Table'!BS117*Rates_current!$E$76*100*12</f>
        <v>19760431.746959999</v>
      </c>
      <c r="P115" s="199">
        <f>'Staging Table'!BS117*Rates_current!$E$77*100*12</f>
        <v>-3472662.5794799994</v>
      </c>
      <c r="Q115" s="200">
        <f>SUMPRODUCT('Staging Table'!BY117:CV117, LS_Demand_Rates_Restatement!$C$5:$Z$5)-IF(Init!$R$12="No",('Staging Table'!DU117*Rates_current!$H$34), 0)</f>
        <v>327829.742892457</v>
      </c>
      <c r="R115" s="200">
        <f>SUMPRODUCT('Staging Table'!CW117:DH117, LS_Demand_Rates_Restatement!$C$11:$N$11)*1000</f>
        <v>496288.27798851492</v>
      </c>
      <c r="S115" s="201">
        <f>'Staging Table'!ED117*IF(Init!$R$15="Yes",IF(Init!$R$6=2024,Rates_current!$C$88,Rates_current!$D$88),Rates_current!$H$33)</f>
        <v>4249.6702374828837</v>
      </c>
      <c r="T115" s="201">
        <v>0</v>
      </c>
      <c r="U115" s="201">
        <f>IF('Staging Table'!D117=1, 'Staging Table'!BU117*-1*'Staging Table'!BS117/'Staging Table'!BR117,SUM(O115:T115)*'Staging Table'!BU117*-1)</f>
        <v>0</v>
      </c>
      <c r="V115" s="199">
        <f>'Staging Table'!BX117*Rates_current!$H$32*-1</f>
        <v>0</v>
      </c>
      <c r="W115" s="199">
        <f>IF('Staging Table'!C117=1,"", SUM(O115:V115))</f>
        <v>17116136.858598452</v>
      </c>
      <c r="X115" s="199">
        <f>IF('Staging Table'!C117=1,"", (RT1SC!$C$4*'Staging Table'!BS117*'Staging Table'!$BS$2)+SUM('Staging Table'!BY117:CV117)-IF(Init!$R$12="No",'Staging Table'!DU117, 0))</f>
        <v>491527.28425594611</v>
      </c>
      <c r="Y115" s="297">
        <f>IF('Staging Table'!C117=1,"",IF(X115=0, 0, W115/X115))</f>
        <v>34.82235352307687</v>
      </c>
      <c r="Z115" s="76">
        <f ca="1">IF('Staging Table'!C117=1,"",(Y115/N115-1)+(RAND()/100000000000000))</f>
        <v>-2.0686718416068464E-2</v>
      </c>
      <c r="AA115" s="53">
        <f t="shared" ca="1" si="1"/>
        <v>104</v>
      </c>
      <c r="AC115" s="405"/>
      <c r="AD115" s="204"/>
      <c r="AE115" s="204"/>
      <c r="AG115" s="204"/>
      <c r="AH115" s="204"/>
    </row>
    <row r="116" spans="2:34">
      <c r="B116" s="123">
        <v>10378</v>
      </c>
      <c r="C116" s="124" t="s">
        <v>119</v>
      </c>
      <c r="D116" s="199">
        <f>IF(Init!$R$9="Yes",'Staging Table'!F118,'Staging Table'!BS118)*Rates_previous!$E$76*100*12</f>
        <v>668830.31330997637</v>
      </c>
      <c r="E116" s="199">
        <f>IF(Init!$R$9="Yes",'Staging Table'!F118,'Staging Table'!BS118)*Rates_previous!$E$77*100*12</f>
        <v>-110425.48958190047</v>
      </c>
      <c r="F116" s="200">
        <f>IF(Init!$R$9="Yes",SUMPRODUCT('Staging Table'!L118:AI118,LS_Demand_Rates_Restatement!$C$4:$Z$4)-IF(Init!$R$12="No",('Staging Table'!BH118*Rates_previous!$H$34), 0),SUMPRODUCT('Staging Table'!BY118:CV118,LS_Demand_Rates_Restatement!$C$4:$Z$4)-IF(Init!$R$12="No", 'Staging Table'!DU118*Rates_previous!$H$34, 0))</f>
        <v>33369.522179321553</v>
      </c>
      <c r="G116" s="200">
        <f>IF(Init!$R$9="Yes",SUMPRODUCT('Staging Table'!AJ118:AU118,LS_Demand_Rates_Restatement!$C$10:$N$10),SUMPRODUCT(LS_Demand_Rates_Restatement!$C$10:$N$10,'Staging Table'!CW118:DH118))*1000</f>
        <v>62963.173506623942</v>
      </c>
      <c r="H116" s="201">
        <f>IF(Init!$R$9="Yes",'Staging Table'!BQ118,'Staging Table'!ED118)*IF(Init!$R$3=2022,Rates_previous!$C$88,Rates_previous!$D$88)</f>
        <v>3023.7204174143408</v>
      </c>
      <c r="I116" s="199">
        <v>0</v>
      </c>
      <c r="J116" s="201">
        <f>IF(Init!$R$9="Yes",IF('Staging Table'!D118=1,'Staging Table'!H118*-1*'Staging Table'!BS118/'Staging Table'!BR118,'Staging Table'!H118*SUM(D116:I116)*(-1)),IF('Staging Table'!D118=1,'Staging Table'!BU118*-1*'Staging Table'!BS118/'Staging Table'!BR118,'Staging Table'!BU118*SUM(D116:I116)*(-1)))</f>
        <v>0</v>
      </c>
      <c r="K116" s="199">
        <f>IF(Init!$R$9="Yes",'Staging Table'!K118,'Staging Table'!BX118)*(-1)*Rates_previous!$H$32</f>
        <v>0</v>
      </c>
      <c r="L116" s="199">
        <f>IF('Staging Table'!C118=1,"",SUM(D116:K116))</f>
        <v>657761.23983143573</v>
      </c>
      <c r="M116" s="199">
        <f>IF('Staging Table'!C118=1,"",IF(Init!$R$9="Yes",(RT1SC!$C$3*'Staging Table'!F118*'Staging Table'!$F$2)+SUM('Staging Table'!L118:AI118)-IF(Init!$R$12="No",'Staging Table'!BH118, 0),X116))</f>
        <v>16889.28</v>
      </c>
      <c r="N116" s="297">
        <f>IF('Staging Table'!C118=1,"",IF(M116=0, 0, L116/M116))</f>
        <v>38.945487305050051</v>
      </c>
      <c r="O116" s="199">
        <f>'Staging Table'!BS118*Rates_current!$E$76*100*12</f>
        <v>712713.78072000004</v>
      </c>
      <c r="P116" s="199">
        <f>'Staging Table'!BS118*Rates_current!$E$77*100*12</f>
        <v>-125251.03236000001</v>
      </c>
      <c r="Q116" s="200">
        <f>SUMPRODUCT('Staging Table'!BY118:CV118, LS_Demand_Rates_Restatement!$C$5:$Z$5)-IF(Init!$R$12="No",('Staging Table'!DU118*Rates_current!$H$34), 0)</f>
        <v>36425.623696858333</v>
      </c>
      <c r="R116" s="200">
        <f>SUMPRODUCT('Staging Table'!CW118:DH118, LS_Demand_Rates_Restatement!$C$11:$N$11)*1000</f>
        <v>62721.046891666672</v>
      </c>
      <c r="S116" s="201">
        <f>'Staging Table'!ED118*IF(Init!$R$15="Yes",IF(Init!$R$6=2024,Rates_current!$C$88,Rates_current!$D$88),Rates_current!$H$33)</f>
        <v>0</v>
      </c>
      <c r="T116" s="201">
        <v>0</v>
      </c>
      <c r="U116" s="201">
        <f>IF('Staging Table'!D118=1, 'Staging Table'!BU118*-1*'Staging Table'!BS118/'Staging Table'!BR118,SUM(O116:T116)*'Staging Table'!BU118*-1)</f>
        <v>0</v>
      </c>
      <c r="V116" s="199">
        <f>'Staging Table'!BX118*Rates_current!$H$32*-1</f>
        <v>0</v>
      </c>
      <c r="W116" s="199">
        <f>IF('Staging Table'!C118=1,"", SUM(O116:V116))</f>
        <v>686609.4189485251</v>
      </c>
      <c r="X116" s="199">
        <f>IF('Staging Table'!C118=1,"", (RT1SC!$C$4*'Staging Table'!BS118*'Staging Table'!$BS$2)+SUM('Staging Table'!BY118:CV118)-IF(Init!$R$12="No",'Staging Table'!DU118, 0))</f>
        <v>17752.464</v>
      </c>
      <c r="Y116" s="297">
        <f>IF('Staging Table'!C118=1,"",IF(X116=0, 0, W116/X116))</f>
        <v>38.67685178511136</v>
      </c>
      <c r="Z116" s="76">
        <f ca="1">IF('Staging Table'!C118=1,"",(Y116/N116-1)+(RAND()/100000000000000))</f>
        <v>-6.8977316379223372E-3</v>
      </c>
      <c r="AA116" s="53">
        <f t="shared" ca="1" si="1"/>
        <v>54</v>
      </c>
      <c r="AC116" s="405"/>
      <c r="AD116" s="204"/>
      <c r="AE116" s="204"/>
      <c r="AG116" s="204"/>
      <c r="AH116" s="204"/>
    </row>
    <row r="117" spans="2:34">
      <c r="B117" s="123">
        <v>10379</v>
      </c>
      <c r="C117" s="124" t="s">
        <v>120</v>
      </c>
      <c r="D117" s="199">
        <f>IF(Init!$R$9="Yes",'Staging Table'!F119,'Staging Table'!BS119)*Rates_previous!$E$76*100*12</f>
        <v>1618718.0404597851</v>
      </c>
      <c r="E117" s="199">
        <f>IF(Init!$R$9="Yes",'Staging Table'!F119,'Staging Table'!BS119)*Rates_previous!$E$77*100*12</f>
        <v>-267254.23258437729</v>
      </c>
      <c r="F117" s="200">
        <f>IF(Init!$R$9="Yes",SUMPRODUCT('Staging Table'!L119:AI119,LS_Demand_Rates_Restatement!$C$4:$Z$4)-IF(Init!$R$12="No",('Staging Table'!BH119*Rates_previous!$H$34), 0),SUMPRODUCT('Staging Table'!BY119:CV119,LS_Demand_Rates_Restatement!$C$4:$Z$4)-IF(Init!$R$12="No", 'Staging Table'!DU119*Rates_previous!$H$34, 0))</f>
        <v>36290.806509463757</v>
      </c>
      <c r="G117" s="200">
        <f>IF(Init!$R$9="Yes",SUMPRODUCT('Staging Table'!AJ119:AU119,LS_Demand_Rates_Restatement!$C$10:$N$10),SUMPRODUCT(LS_Demand_Rates_Restatement!$C$10:$N$10,'Staging Table'!CW119:DH119))*1000</f>
        <v>87122.620114467616</v>
      </c>
      <c r="H117" s="201">
        <f>IF(Init!$R$9="Yes",'Staging Table'!BQ119,'Staging Table'!ED119)*IF(Init!$R$3=2022,Rates_previous!$C$88,Rates_previous!$D$88)</f>
        <v>2468.34319788928</v>
      </c>
      <c r="I117" s="199">
        <v>0</v>
      </c>
      <c r="J117" s="201">
        <f>IF(Init!$R$9="Yes",IF('Staging Table'!D119=1,'Staging Table'!H119*-1*'Staging Table'!BS119/'Staging Table'!BR119,'Staging Table'!H119*SUM(D117:I117)*(-1)),IF('Staging Table'!D119=1,'Staging Table'!BU119*-1*'Staging Table'!BS119/'Staging Table'!BR119,'Staging Table'!BU119*SUM(D117:I117)*(-1)))</f>
        <v>0</v>
      </c>
      <c r="K117" s="199">
        <f>IF(Init!$R$9="Yes",'Staging Table'!K119,'Staging Table'!BX119)*(-1)*Rates_previous!$H$32</f>
        <v>0</v>
      </c>
      <c r="L117" s="199">
        <f>IF('Staging Table'!C119=1,"",SUM(D117:K117))</f>
        <v>1477345.5776972286</v>
      </c>
      <c r="M117" s="199">
        <f>IF('Staging Table'!C119=1,"",IF(Init!$R$9="Yes",(RT1SC!$C$3*'Staging Table'!F119*'Staging Table'!$F$2)+SUM('Staging Table'!L119:AI119)-IF(Init!$R$12="No",'Staging Table'!BH119, 0),X117))</f>
        <v>40182.119999999995</v>
      </c>
      <c r="N117" s="297">
        <f>IF('Staging Table'!C119=1,"",IF(M117=0, 0, L117/M117))</f>
        <v>36.766242739238969</v>
      </c>
      <c r="O117" s="199">
        <f>'Staging Table'!BS119*Rates_current!$E$76*100*12</f>
        <v>1618739.6529599999</v>
      </c>
      <c r="P117" s="199">
        <f>'Staging Table'!BS119*Rates_current!$E$77*100*12</f>
        <v>-284474.38248000003</v>
      </c>
      <c r="Q117" s="200">
        <f>SUMPRODUCT('Staging Table'!BY119:CV119, LS_Demand_Rates_Restatement!$C$5:$Z$5)-IF(Init!$R$12="No",('Staging Table'!DU119*Rates_current!$H$34), 0)</f>
        <v>43810.183705613679</v>
      </c>
      <c r="R117" s="200">
        <f>SUMPRODUCT('Staging Table'!CW119:DH119, LS_Demand_Rates_Restatement!$C$11:$N$11)*1000</f>
        <v>90893.685742895308</v>
      </c>
      <c r="S117" s="201">
        <f>'Staging Table'!ED119*IF(Init!$R$15="Yes",IF(Init!$R$6=2024,Rates_current!$C$88,Rates_current!$D$88),Rates_current!$H$33)</f>
        <v>15.720036274944579</v>
      </c>
      <c r="T117" s="201">
        <v>0</v>
      </c>
      <c r="U117" s="201">
        <f>IF('Staging Table'!D119=1, 'Staging Table'!BU119*-1*'Staging Table'!BS119/'Staging Table'!BR119,SUM(O117:T117)*'Staging Table'!BU119*-1)</f>
        <v>0</v>
      </c>
      <c r="V117" s="199">
        <f>'Staging Table'!BX119*Rates_current!$H$32*-1</f>
        <v>0</v>
      </c>
      <c r="W117" s="199">
        <f>IF('Staging Table'!C119=1,"", SUM(O117:V117))</f>
        <v>1468984.859964784</v>
      </c>
      <c r="X117" s="199">
        <f>IF('Staging Table'!C119=1,"", (RT1SC!$C$4*'Staging Table'!BS119*'Staging Table'!$BS$2)+SUM('Staging Table'!BY119:CV119)-IF(Init!$R$12="No",'Staging Table'!DU119, 0))</f>
        <v>40316.224184803126</v>
      </c>
      <c r="Y117" s="297">
        <f>IF('Staging Table'!C119=1,"",IF(X117=0, 0, W117/X117))</f>
        <v>36.436568395670989</v>
      </c>
      <c r="Z117" s="76">
        <f ca="1">IF('Staging Table'!C119=1,"",(Y117/N117-1)+(RAND()/100000000000000))</f>
        <v>-8.9667673116848243E-3</v>
      </c>
      <c r="AA117" s="53">
        <f t="shared" ca="1" si="1"/>
        <v>62</v>
      </c>
      <c r="AC117" s="405"/>
      <c r="AD117" s="204"/>
      <c r="AE117" s="204"/>
      <c r="AG117" s="204"/>
      <c r="AH117" s="204"/>
    </row>
    <row r="118" spans="2:34">
      <c r="B118" s="123">
        <v>10388</v>
      </c>
      <c r="C118" s="124" t="s">
        <v>121</v>
      </c>
      <c r="D118" s="199">
        <f>IF(Init!$R$9="Yes",'Staging Table'!F120,'Staging Table'!BS120)*Rates_previous!$E$76*100*12</f>
        <v>38448750.137321085</v>
      </c>
      <c r="E118" s="199">
        <f>IF(Init!$R$9="Yes",'Staging Table'!F120,'Staging Table'!BS120)*Rates_previous!$E$77*100*12</f>
        <v>-6347980.9052226981</v>
      </c>
      <c r="F118" s="200">
        <f>IF(Init!$R$9="Yes",SUMPRODUCT('Staging Table'!L120:AI120,LS_Demand_Rates_Restatement!$C$4:$Z$4)-IF(Init!$R$12="No",('Staging Table'!BH120*Rates_previous!$H$34), 0),SUMPRODUCT('Staging Table'!BY120:CV120,LS_Demand_Rates_Restatement!$C$4:$Z$4)-IF(Init!$R$12="No", 'Staging Table'!DU120*Rates_previous!$H$34, 0))</f>
        <v>-398391.70101158111</v>
      </c>
      <c r="G118" s="200">
        <f>IF(Init!$R$9="Yes",SUMPRODUCT('Staging Table'!AJ120:AU120,LS_Demand_Rates_Restatement!$C$10:$N$10),SUMPRODUCT(LS_Demand_Rates_Restatement!$C$10:$N$10,'Staging Table'!CW120:DH120))*1000</f>
        <v>0</v>
      </c>
      <c r="H118" s="201">
        <f>IF(Init!$R$9="Yes",'Staging Table'!BQ120,'Staging Table'!ED120)*IF(Init!$R$3=2022,Rates_previous!$C$88,Rates_previous!$D$88)</f>
        <v>0</v>
      </c>
      <c r="I118" s="199">
        <v>0</v>
      </c>
      <c r="J118" s="201">
        <f>IF(Init!$R$9="Yes",IF('Staging Table'!D120=1,'Staging Table'!H120*-1*'Staging Table'!BS120/'Staging Table'!BR120,'Staging Table'!H120*SUM(D118:I118)*(-1)),IF('Staging Table'!D120=1,'Staging Table'!BU120*-1*'Staging Table'!BS120/'Staging Table'!BR120,'Staging Table'!BU120*SUM(D118:I118)*(-1)))</f>
        <v>-2920740.0419390276</v>
      </c>
      <c r="K118" s="199">
        <f>IF(Init!$R$9="Yes",'Staging Table'!K120,'Staging Table'!BX120)*(-1)*Rates_previous!$H$32</f>
        <v>-2493619.4543000003</v>
      </c>
      <c r="L118" s="199">
        <f>IF('Staging Table'!C120=1,"",SUM(D118:K118))</f>
        <v>26288018.034847777</v>
      </c>
      <c r="M118" s="199">
        <f>IF('Staging Table'!C120=1,"",IF(Init!$R$9="Yes",(RT1SC!$C$3*'Staging Table'!F120*'Staging Table'!$F$2)+SUM('Staging Table'!L120:AI120)-IF(Init!$R$12="No",'Staging Table'!BH120, 0),X118))</f>
        <v>946115.04</v>
      </c>
      <c r="N118" s="297">
        <f>IF('Staging Table'!C120=1,"",IF(M118=0, 0, L118/M118))</f>
        <v>27.785223702656474</v>
      </c>
      <c r="O118" s="199">
        <f>'Staging Table'!BS120*Rates_current!$E$76*100*12</f>
        <v>39931900.801920004</v>
      </c>
      <c r="P118" s="199">
        <f>'Staging Table'!BS120*Rates_current!$E$77*100*12</f>
        <v>-7017560.1129600015</v>
      </c>
      <c r="Q118" s="200">
        <f>SUMPRODUCT('Staging Table'!BY120:CV120, LS_Demand_Rates_Restatement!$C$5:$Z$5)-IF(Init!$R$12="No",('Staging Table'!DU120*Rates_current!$H$34), 0)</f>
        <v>1456120.9547590092</v>
      </c>
      <c r="R118" s="200">
        <f>SUMPRODUCT('Staging Table'!CW120:DH120, LS_Demand_Rates_Restatement!$C$11:$N$11)*1000</f>
        <v>0</v>
      </c>
      <c r="S118" s="201">
        <f>'Staging Table'!ED120*IF(Init!$R$15="Yes",IF(Init!$R$6=2024,Rates_current!$C$88,Rates_current!$D$88),Rates_current!$H$33)</f>
        <v>0</v>
      </c>
      <c r="T118" s="201">
        <v>0</v>
      </c>
      <c r="U118" s="201">
        <f>IF('Staging Table'!D120=1, 'Staging Table'!BU120*-1*'Staging Table'!BS120/'Staging Table'!BR120,SUM(O118:T118)*'Staging Table'!BU120*-1)</f>
        <v>-2693526.1048083766</v>
      </c>
      <c r="V118" s="199">
        <f>'Staging Table'!BX120*Rates_current!$H$32*-1</f>
        <v>-2646896.9803900002</v>
      </c>
      <c r="W118" s="199">
        <f>IF('Staging Table'!C120=1,"", SUM(O118:V118))</f>
        <v>29030038.558520634</v>
      </c>
      <c r="X118" s="199">
        <f>IF('Staging Table'!C120=1,"", (RT1SC!$C$4*'Staging Table'!BS120*'Staging Table'!$BS$2)+SUM('Staging Table'!BY120:CV120)-IF(Init!$R$12="No",'Staging Table'!DU120, 0))</f>
        <v>994550.83199999994</v>
      </c>
      <c r="Y118" s="297">
        <f>IF('Staging Table'!C120=1,"",IF(X118=0, 0, W118/X118))</f>
        <v>29.189094840072123</v>
      </c>
      <c r="Z118" s="76">
        <f ca="1">IF('Staging Table'!C120=1,"",(Y118/N118-1)+(RAND()/100000000000000))</f>
        <v>5.0525817335114728E-2</v>
      </c>
      <c r="AA118" s="53">
        <f t="shared" ca="1" si="1"/>
        <v>1</v>
      </c>
      <c r="AC118" s="405"/>
      <c r="AD118" s="204"/>
      <c r="AE118" s="204"/>
      <c r="AG118" s="204"/>
      <c r="AH118" s="204"/>
    </row>
    <row r="119" spans="2:34">
      <c r="B119" s="123">
        <v>10391</v>
      </c>
      <c r="C119" s="124" t="s">
        <v>122</v>
      </c>
      <c r="D119" s="199">
        <f>IF(Init!$R$9="Yes",'Staging Table'!F121,'Staging Table'!BS121)*Rates_previous!$E$76*100*12</f>
        <v>10179698.08881147</v>
      </c>
      <c r="E119" s="199">
        <f>IF(Init!$R$9="Yes",'Staging Table'!F121,'Staging Table'!BS121)*Rates_previous!$E$77*100*12</f>
        <v>-1680692.5805887752</v>
      </c>
      <c r="F119" s="200">
        <f>IF(Init!$R$9="Yes",SUMPRODUCT('Staging Table'!L121:AI121,LS_Demand_Rates_Restatement!$C$4:$Z$4)-IF(Init!$R$12="No",('Staging Table'!BH121*Rates_previous!$H$34), 0),SUMPRODUCT('Staging Table'!BY121:CV121,LS_Demand_Rates_Restatement!$C$4:$Z$4)-IF(Init!$R$12="No", 'Staging Table'!DU121*Rates_previous!$H$34, 0))</f>
        <v>-145622.76667959453</v>
      </c>
      <c r="G119" s="200">
        <f>IF(Init!$R$9="Yes",SUMPRODUCT('Staging Table'!AJ121:AU121,LS_Demand_Rates_Restatement!$C$10:$N$10),SUMPRODUCT(LS_Demand_Rates_Restatement!$C$10:$N$10,'Staging Table'!CW121:DH121))*1000</f>
        <v>524420.43209944817</v>
      </c>
      <c r="H119" s="201">
        <f>IF(Init!$R$9="Yes",'Staging Table'!BQ121,'Staging Table'!ED121)*IF(Init!$R$3=2022,Rates_previous!$C$88,Rates_previous!$D$88)</f>
        <v>0</v>
      </c>
      <c r="I119" s="199">
        <v>0</v>
      </c>
      <c r="J119" s="201">
        <f>IF(Init!$R$9="Yes",IF('Staging Table'!D121=1,'Staging Table'!H121*-1*'Staging Table'!BS121/'Staging Table'!BR121,'Staging Table'!H121*SUM(D119:I119)*(-1)),IF('Staging Table'!D121=1,'Staging Table'!BU121*-1*'Staging Table'!BS121/'Staging Table'!BR121,'Staging Table'!BU121*SUM(D119:I119)*(-1)))</f>
        <v>-302910.64428468375</v>
      </c>
      <c r="K119" s="199">
        <f>IF(Init!$R$9="Yes",'Staging Table'!K121,'Staging Table'!BX121)*(-1)*Rates_previous!$H$32</f>
        <v>-482544.66769999999</v>
      </c>
      <c r="L119" s="199">
        <f>IF('Staging Table'!C121=1,"",SUM(D119:K119))</f>
        <v>8092347.8616578653</v>
      </c>
      <c r="M119" s="199">
        <f>IF('Staging Table'!C121=1,"",IF(Init!$R$9="Yes",(RT1SC!$C$3*'Staging Table'!F121*'Staging Table'!$F$2)+SUM('Staging Table'!L121:AI121)-IF(Init!$R$12="No",'Staging Table'!BH121, 0),X119))</f>
        <v>250492.19999999998</v>
      </c>
      <c r="N119" s="297">
        <f>IF('Staging Table'!C121=1,"",IF(M119=0, 0, L119/M119))</f>
        <v>32.305787811588011</v>
      </c>
      <c r="O119" s="199">
        <f>'Staging Table'!BS121*Rates_current!$E$76*100*12</f>
        <v>10572377.788800001</v>
      </c>
      <c r="P119" s="199">
        <f>'Staging Table'!BS121*Rates_current!$E$77*100*12</f>
        <v>-1857970.5744000003</v>
      </c>
      <c r="Q119" s="200">
        <f>SUMPRODUCT('Staging Table'!BY121:CV121, LS_Demand_Rates_Restatement!$C$5:$Z$5)-IF(Init!$R$12="No",('Staging Table'!DU121*Rates_current!$H$34), 0)</f>
        <v>2192.1878753571295</v>
      </c>
      <c r="R119" s="200">
        <f>SUMPRODUCT('Staging Table'!CW121:DH121, LS_Demand_Rates_Restatement!$C$11:$N$11)*1000</f>
        <v>544490.07532905985</v>
      </c>
      <c r="S119" s="201">
        <f>'Staging Table'!ED121*IF(Init!$R$15="Yes",IF(Init!$R$6=2024,Rates_current!$C$88,Rates_current!$D$88),Rates_current!$H$33)</f>
        <v>0</v>
      </c>
      <c r="T119" s="201">
        <v>0</v>
      </c>
      <c r="U119" s="201">
        <f>IF('Staging Table'!D121=1, 'Staging Table'!BU121*-1*'Staging Table'!BS121/'Staging Table'!BR121,SUM(O119:T119)*'Staging Table'!BU121*-1)</f>
        <v>-352691.8961011027</v>
      </c>
      <c r="V119" s="199">
        <f>'Staging Table'!BX121*Rates_current!$H$32*-1</f>
        <v>-512205.67021000001</v>
      </c>
      <c r="W119" s="199">
        <f>IF('Staging Table'!C121=1,"", SUM(O119:V119))</f>
        <v>8396191.9112933148</v>
      </c>
      <c r="X119" s="199">
        <f>IF('Staging Table'!C121=1,"", (RT1SC!$C$4*'Staging Table'!BS121*'Staging Table'!$BS$2)+SUM('Staging Table'!BY121:CV121)-IF(Init!$R$12="No",'Staging Table'!DU121, 0))</f>
        <v>263317.96799999999</v>
      </c>
      <c r="Y119" s="297">
        <f>IF('Staging Table'!C121=1,"",IF(X119=0, 0, W119/X119))</f>
        <v>31.886133616576121</v>
      </c>
      <c r="Z119" s="76">
        <f ca="1">IF('Staging Table'!C121=1,"",(Y119/N119-1)+(RAND()/100000000000000))</f>
        <v>-1.299006225940524E-2</v>
      </c>
      <c r="AA119" s="53">
        <f t="shared" ca="1" si="1"/>
        <v>82</v>
      </c>
      <c r="AC119" s="405"/>
      <c r="AD119" s="204"/>
      <c r="AE119" s="204"/>
      <c r="AG119" s="204"/>
      <c r="AH119" s="204"/>
    </row>
    <row r="120" spans="2:34">
      <c r="B120" s="123">
        <v>10406</v>
      </c>
      <c r="C120" s="124" t="s">
        <v>123</v>
      </c>
      <c r="D120" s="199">
        <f>IF(Init!$R$9="Yes",'Staging Table'!F122,'Staging Table'!BS122)*Rates_previous!$E$76*100*12</f>
        <v>155636.7419642075</v>
      </c>
      <c r="E120" s="199">
        <f>IF(Init!$R$9="Yes",'Staging Table'!F122,'Staging Table'!BS122)*Rates_previous!$E$77*100*12</f>
        <v>-25695.999547742351</v>
      </c>
      <c r="F120" s="200">
        <f>IF(Init!$R$9="Yes",SUMPRODUCT('Staging Table'!L122:AI122,LS_Demand_Rates_Restatement!$C$4:$Z$4)-IF(Init!$R$12="No",('Staging Table'!BH122*Rates_previous!$H$34), 0),SUMPRODUCT('Staging Table'!BY122:CV122,LS_Demand_Rates_Restatement!$C$4:$Z$4)-IF(Init!$R$12="No", 'Staging Table'!DU122*Rates_previous!$H$34, 0))</f>
        <v>4794.7601944241833</v>
      </c>
      <c r="G120" s="200">
        <f>IF(Init!$R$9="Yes",SUMPRODUCT('Staging Table'!AJ122:AU122,LS_Demand_Rates_Restatement!$C$10:$N$10),SUMPRODUCT(LS_Demand_Rates_Restatement!$C$10:$N$10,'Staging Table'!CW122:DH122))*1000</f>
        <v>9537.7299252403845</v>
      </c>
      <c r="H120" s="201">
        <f>IF(Init!$R$9="Yes",'Staging Table'!BQ122,'Staging Table'!ED122)*IF(Init!$R$3=2022,Rates_previous!$C$88,Rates_previous!$D$88)</f>
        <v>0</v>
      </c>
      <c r="I120" s="199">
        <v>0</v>
      </c>
      <c r="J120" s="201">
        <f>IF(Init!$R$9="Yes",IF('Staging Table'!D122=1,'Staging Table'!H122*-1*'Staging Table'!BS122/'Staging Table'!BR122,'Staging Table'!H122*SUM(D120:I120)*(-1)),IF('Staging Table'!D122=1,'Staging Table'!BU122*-1*'Staging Table'!BS122/'Staging Table'!BR122,'Staging Table'!BU122*SUM(D120:I120)*(-1)))</f>
        <v>0</v>
      </c>
      <c r="K120" s="199">
        <f>IF(Init!$R$9="Yes",'Staging Table'!K122,'Staging Table'!BX122)*(-1)*Rates_previous!$H$32</f>
        <v>0</v>
      </c>
      <c r="L120" s="199">
        <f>IF('Staging Table'!C122=1,"",SUM(D120:K120))</f>
        <v>144273.23253612971</v>
      </c>
      <c r="M120" s="199">
        <f>IF('Staging Table'!C122=1,"",IF(Init!$R$9="Yes",(RT1SC!$C$3*'Staging Table'!F122*'Staging Table'!$F$2)+SUM('Staging Table'!L122:AI122)-IF(Init!$R$12="No",'Staging Table'!BH122, 0),X120))</f>
        <v>3828.12</v>
      </c>
      <c r="N120" s="297">
        <f>IF('Staging Table'!C122=1,"",IF(M120=0, 0, L120/M120))</f>
        <v>37.687750785275725</v>
      </c>
      <c r="O120" s="199">
        <f>'Staging Table'!BS122*Rates_current!$E$76*100*12</f>
        <v>161425.56096</v>
      </c>
      <c r="P120" s="199">
        <f>'Staging Table'!BS122*Rates_current!$E$77*100*12</f>
        <v>-28368.636479999997</v>
      </c>
      <c r="Q120" s="200">
        <f>SUMPRODUCT('Staging Table'!BY122:CV122, LS_Demand_Rates_Restatement!$C$5:$Z$5)-IF(Init!$R$12="No",('Staging Table'!DU122*Rates_current!$H$34), 0)</f>
        <v>6438.1620486534812</v>
      </c>
      <c r="R120" s="200">
        <f>SUMPRODUCT('Staging Table'!CW122:DH122, LS_Demand_Rates_Restatement!$C$11:$N$11)*1000</f>
        <v>8830.482026442307</v>
      </c>
      <c r="S120" s="201">
        <f>'Staging Table'!ED122*IF(Init!$R$15="Yes",IF(Init!$R$6=2024,Rates_current!$C$88,Rates_current!$D$88),Rates_current!$H$33)</f>
        <v>0</v>
      </c>
      <c r="T120" s="201">
        <v>0</v>
      </c>
      <c r="U120" s="201">
        <f>IF('Staging Table'!D122=1, 'Staging Table'!BU122*-1*'Staging Table'!BS122/'Staging Table'!BR122,SUM(O120:T120)*'Staging Table'!BU122*-1)</f>
        <v>0</v>
      </c>
      <c r="V120" s="199">
        <f>'Staging Table'!BX122*Rates_current!$H$32*-1</f>
        <v>0</v>
      </c>
      <c r="W120" s="199">
        <f>IF('Staging Table'!C122=1,"", SUM(O120:V120))</f>
        <v>148325.56855509582</v>
      </c>
      <c r="X120" s="199">
        <f>IF('Staging Table'!C122=1,"", (RT1SC!$C$4*'Staging Table'!BS122*'Staging Table'!$BS$2)+SUM('Staging Table'!BY122:CV122)-IF(Init!$R$12="No",'Staging Table'!DU122, 0))</f>
        <v>4023.0720000000001</v>
      </c>
      <c r="Y120" s="297">
        <f>IF('Staging Table'!C122=1,"",IF(X120=0, 0, W120/X120))</f>
        <v>36.868733285185009</v>
      </c>
      <c r="Z120" s="76">
        <f ca="1">IF('Staging Table'!C122=1,"",(Y120/N120-1)+(RAND()/100000000000000))</f>
        <v>-2.1731663021142742E-2</v>
      </c>
      <c r="AA120" s="53">
        <f t="shared" ca="1" si="1"/>
        <v>108</v>
      </c>
      <c r="AC120" s="405"/>
      <c r="AD120" s="204"/>
      <c r="AE120" s="204"/>
      <c r="AG120" s="204"/>
      <c r="AH120" s="204"/>
    </row>
    <row r="121" spans="2:34">
      <c r="B121" s="123">
        <v>10408</v>
      </c>
      <c r="C121" s="124" t="s">
        <v>124</v>
      </c>
      <c r="D121" s="199">
        <f>IF(Init!$R$9="Yes",'Staging Table'!F123,'Staging Table'!BS123)*Rates_previous!$E$76*100*12</f>
        <v>518709.20318733552</v>
      </c>
      <c r="E121" s="199">
        <f>IF(Init!$R$9="Yes",'Staging Table'!F123,'Staging Table'!BS123)*Rates_previous!$E$77*100*12</f>
        <v>-85640.134085927129</v>
      </c>
      <c r="F121" s="200">
        <f>IF(Init!$R$9="Yes",SUMPRODUCT('Staging Table'!L123:AI123,LS_Demand_Rates_Restatement!$C$4:$Z$4)-IF(Init!$R$12="No",('Staging Table'!BH123*Rates_previous!$H$34), 0),SUMPRODUCT('Staging Table'!BY123:CV123,LS_Demand_Rates_Restatement!$C$4:$Z$4)-IF(Init!$R$12="No", 'Staging Table'!DU123*Rates_previous!$H$34, 0))</f>
        <v>-875.90719091247593</v>
      </c>
      <c r="G121" s="200">
        <f>IF(Init!$R$9="Yes",SUMPRODUCT('Staging Table'!AJ123:AU123,LS_Demand_Rates_Restatement!$C$10:$N$10),SUMPRODUCT(LS_Demand_Rates_Restatement!$C$10:$N$10,'Staging Table'!CW123:DH123))*1000</f>
        <v>25245.055773878204</v>
      </c>
      <c r="H121" s="201">
        <f>IF(Init!$R$9="Yes",'Staging Table'!BQ123,'Staging Table'!ED123)*IF(Init!$R$3=2022,Rates_previous!$C$88,Rates_previous!$D$88)</f>
        <v>0</v>
      </c>
      <c r="I121" s="199">
        <v>0</v>
      </c>
      <c r="J121" s="201">
        <f>IF(Init!$R$9="Yes",IF('Staging Table'!D123=1,'Staging Table'!H123*-1*'Staging Table'!BS123/'Staging Table'!BR123,'Staging Table'!H123*SUM(D121:I121)*(-1)),IF('Staging Table'!D123=1,'Staging Table'!BU123*-1*'Staging Table'!BS123/'Staging Table'!BR123,'Staging Table'!BU123*SUM(D121:I121)*(-1)))</f>
        <v>0</v>
      </c>
      <c r="K121" s="199">
        <f>IF(Init!$R$9="Yes",'Staging Table'!K123,'Staging Table'!BX123)*(-1)*Rates_previous!$H$32</f>
        <v>0</v>
      </c>
      <c r="L121" s="199">
        <f>IF('Staging Table'!C123=1,"",SUM(D121:K121))</f>
        <v>457438.21768437407</v>
      </c>
      <c r="M121" s="199">
        <f>IF('Staging Table'!C123=1,"",IF(Init!$R$9="Yes",(RT1SC!$C$3*'Staging Table'!F123*'Staging Table'!$F$2)+SUM('Staging Table'!L123:AI123)-IF(Init!$R$12="No",'Staging Table'!BH123, 0),X121))</f>
        <v>12763.320000000002</v>
      </c>
      <c r="N121" s="297">
        <f>IF('Staging Table'!C123=1,"",IF(M121=0, 0, L121/M121))</f>
        <v>35.840064942693125</v>
      </c>
      <c r="O121" s="199">
        <f>'Staging Table'!BS123*Rates_current!$E$76*100*12</f>
        <v>538583.43024000002</v>
      </c>
      <c r="P121" s="199">
        <f>'Staging Table'!BS123*Rates_current!$E$77*100*12</f>
        <v>-94649.679120000001</v>
      </c>
      <c r="Q121" s="200">
        <f>SUMPRODUCT('Staging Table'!BY123:CV123, LS_Demand_Rates_Restatement!$C$5:$Z$5)-IF(Init!$R$12="No",('Staging Table'!DU123*Rates_current!$H$34), 0)</f>
        <v>-6151.1376461180807</v>
      </c>
      <c r="R121" s="200">
        <f>SUMPRODUCT('Staging Table'!CW123:DH123, LS_Demand_Rates_Restatement!$C$11:$N$11)*1000</f>
        <v>25274.029146874993</v>
      </c>
      <c r="S121" s="201">
        <f>'Staging Table'!ED123*IF(Init!$R$15="Yes",IF(Init!$R$6=2024,Rates_current!$C$88,Rates_current!$D$88),Rates_current!$H$33)</f>
        <v>0</v>
      </c>
      <c r="T121" s="201">
        <v>0</v>
      </c>
      <c r="U121" s="201">
        <f>IF('Staging Table'!D123=1, 'Staging Table'!BU123*-1*'Staging Table'!BS123/'Staging Table'!BR123,SUM(O121:T121)*'Staging Table'!BU123*-1)</f>
        <v>0</v>
      </c>
      <c r="V121" s="199">
        <f>'Staging Table'!BX123*Rates_current!$H$32*-1</f>
        <v>0</v>
      </c>
      <c r="W121" s="199">
        <f>IF('Staging Table'!C123=1,"", SUM(O121:V121))</f>
        <v>463056.64262075699</v>
      </c>
      <c r="X121" s="199">
        <f>IF('Staging Table'!C123=1,"", (RT1SC!$C$4*'Staging Table'!BS123*'Staging Table'!$BS$2)+SUM('Staging Table'!BY123:CV123)-IF(Init!$R$12="No",'Staging Table'!DU123, 0))</f>
        <v>13413.168</v>
      </c>
      <c r="Y121" s="297">
        <f>IF('Staging Table'!C123=1,"",IF(X121=0, 0, W121/X121))</f>
        <v>34.522541029886227</v>
      </c>
      <c r="Z121" s="76">
        <f ca="1">IF('Staging Table'!C123=1,"",(Y121/N121-1)+(RAND()/100000000000000))</f>
        <v>-3.6761203276653609E-2</v>
      </c>
      <c r="AA121" s="53">
        <f t="shared" ca="1" si="1"/>
        <v>119</v>
      </c>
      <c r="AC121" s="405"/>
      <c r="AD121" s="204"/>
      <c r="AE121" s="204"/>
      <c r="AG121" s="204"/>
      <c r="AH121" s="204"/>
    </row>
    <row r="122" spans="2:34">
      <c r="B122" s="123">
        <v>10409</v>
      </c>
      <c r="C122" s="124" t="s">
        <v>125</v>
      </c>
      <c r="D122" s="199">
        <f>IF(Init!$R$9="Yes",'Staging Table'!F124,'Staging Table'!BS124)*Rates_previous!$E$76*100*12</f>
        <v>6934827.8954097871</v>
      </c>
      <c r="E122" s="199">
        <f>IF(Init!$R$9="Yes",'Staging Table'!F124,'Staging Table'!BS124)*Rates_previous!$E$77*100*12</f>
        <v>-1144956.7256111144</v>
      </c>
      <c r="F122" s="200">
        <f>IF(Init!$R$9="Yes",SUMPRODUCT('Staging Table'!L124:AI124,LS_Demand_Rates_Restatement!$C$4:$Z$4)-IF(Init!$R$12="No",('Staging Table'!BH124*Rates_previous!$H$34), 0),SUMPRODUCT('Staging Table'!BY124:CV124,LS_Demand_Rates_Restatement!$C$4:$Z$4)-IF(Init!$R$12="No", 'Staging Table'!DU124*Rates_previous!$H$34, 0))</f>
        <v>17621.399211286858</v>
      </c>
      <c r="G122" s="200">
        <f>IF(Init!$R$9="Yes",SUMPRODUCT('Staging Table'!AJ124:AU124,LS_Demand_Rates_Restatement!$C$10:$N$10),SUMPRODUCT(LS_Demand_Rates_Restatement!$C$10:$N$10,'Staging Table'!CW124:DH124))*1000</f>
        <v>702930.30084846879</v>
      </c>
      <c r="H122" s="201">
        <f>IF(Init!$R$9="Yes",'Staging Table'!BQ124,'Staging Table'!ED124)*IF(Init!$R$3=2022,Rates_previous!$C$88,Rates_previous!$D$88)</f>
        <v>0</v>
      </c>
      <c r="I122" s="199">
        <v>0</v>
      </c>
      <c r="J122" s="201">
        <f>IF(Init!$R$9="Yes",IF('Staging Table'!D124=1,'Staging Table'!H124*-1*'Staging Table'!BS124/'Staging Table'!BR124,'Staging Table'!H124*SUM(D122:I122)*(-1)),IF('Staging Table'!D124=1,'Staging Table'!BU124*-1*'Staging Table'!BS124/'Staging Table'!BR124,'Staging Table'!BU124*SUM(D122:I122)*(-1)))</f>
        <v>0</v>
      </c>
      <c r="K122" s="199">
        <f>IF(Init!$R$9="Yes",'Staging Table'!K124,'Staging Table'!BX124)*(-1)*Rates_previous!$H$32</f>
        <v>0</v>
      </c>
      <c r="L122" s="199">
        <f>IF('Staging Table'!C124=1,"",SUM(D122:K122))</f>
        <v>6510422.8698584279</v>
      </c>
      <c r="M122" s="199">
        <f>IF('Staging Table'!C124=1,"",IF(Init!$R$9="Yes",(RT1SC!$C$3*'Staging Table'!F124*'Staging Table'!$F$2)+SUM('Staging Table'!L124:AI124)-IF(Init!$R$12="No",'Staging Table'!BH124, 0),X122))</f>
        <v>170644.80000000002</v>
      </c>
      <c r="N122" s="297">
        <f>IF('Staging Table'!C124=1,"",IF(M122=0, 0, L122/M122))</f>
        <v>38.151897214907379</v>
      </c>
      <c r="O122" s="199">
        <f>'Staging Table'!BS124*Rates_current!$E$76*100*12</f>
        <v>7202120.9767199997</v>
      </c>
      <c r="P122" s="199">
        <f>'Staging Table'!BS124*Rates_current!$E$77*100*12</f>
        <v>-1265687.7303599999</v>
      </c>
      <c r="Q122" s="200">
        <f>SUMPRODUCT('Staging Table'!BY124:CV124, LS_Demand_Rates_Restatement!$C$5:$Z$5)-IF(Init!$R$12="No",('Staging Table'!DU124*Rates_current!$H$34), 0)</f>
        <v>54337.401247665868</v>
      </c>
      <c r="R122" s="200">
        <f>SUMPRODUCT('Staging Table'!CW124:DH124, LS_Demand_Rates_Restatement!$C$11:$N$11)*1000</f>
        <v>700824.99666300742</v>
      </c>
      <c r="S122" s="201">
        <f>'Staging Table'!ED124*IF(Init!$R$15="Yes",IF(Init!$R$6=2024,Rates_current!$C$88,Rates_current!$D$88),Rates_current!$H$33)</f>
        <v>0</v>
      </c>
      <c r="T122" s="201">
        <v>0</v>
      </c>
      <c r="U122" s="201">
        <f>IF('Staging Table'!D124=1, 'Staging Table'!BU124*-1*'Staging Table'!BS124/'Staging Table'!BR124,SUM(O122:T122)*'Staging Table'!BU124*-1)</f>
        <v>0</v>
      </c>
      <c r="V122" s="199">
        <f>'Staging Table'!BX124*Rates_current!$H$32*-1</f>
        <v>0</v>
      </c>
      <c r="W122" s="199">
        <f>IF('Staging Table'!C124=1,"", SUM(O122:V122))</f>
        <v>6691595.6442706734</v>
      </c>
      <c r="X122" s="199">
        <f>IF('Staging Table'!C124=1,"", (RT1SC!$C$4*'Staging Table'!BS124*'Staging Table'!$BS$2)+SUM('Staging Table'!BY124:CV124)-IF(Init!$R$12="No",'Staging Table'!DU124, 0))</f>
        <v>179378.06399999998</v>
      </c>
      <c r="Y122" s="297">
        <f>IF('Staging Table'!C124=1,"",IF(X122=0, 0, W122/X122))</f>
        <v>37.304425608421518</v>
      </c>
      <c r="Z122" s="76">
        <f ca="1">IF('Staging Table'!C124=1,"",(Y122/N122-1)+(RAND()/100000000000000))</f>
        <v>-2.2213092096358321E-2</v>
      </c>
      <c r="AA122" s="53">
        <f t="shared" ca="1" si="1"/>
        <v>109</v>
      </c>
      <c r="AC122" s="405"/>
      <c r="AD122" s="204"/>
      <c r="AE122" s="204"/>
      <c r="AG122" s="204"/>
      <c r="AH122" s="204"/>
    </row>
    <row r="123" spans="2:34">
      <c r="B123" s="123">
        <v>10426</v>
      </c>
      <c r="C123" s="124" t="s">
        <v>126</v>
      </c>
      <c r="D123" s="199">
        <f>IF(Init!$R$9="Yes",'Staging Table'!F125,'Staging Table'!BS125)*Rates_previous!$E$76*100*12</f>
        <v>5831941.3371765204</v>
      </c>
      <c r="E123" s="199">
        <f>IF(Init!$R$9="Yes",'Staging Table'!F125,'Staging Table'!BS125)*Rates_previous!$E$77*100*12</f>
        <v>-962867.50847695861</v>
      </c>
      <c r="F123" s="200">
        <f>IF(Init!$R$9="Yes",SUMPRODUCT('Staging Table'!L125:AI125,LS_Demand_Rates_Restatement!$C$4:$Z$4)-IF(Init!$R$12="No",('Staging Table'!BH125*Rates_previous!$H$34), 0),SUMPRODUCT('Staging Table'!BY125:CV125,LS_Demand_Rates_Restatement!$C$4:$Z$4)-IF(Init!$R$12="No", 'Staging Table'!DU125*Rates_previous!$H$34, 0))</f>
        <v>3797577.6068957746</v>
      </c>
      <c r="G123" s="200">
        <f>IF(Init!$R$9="Yes",SUMPRODUCT('Staging Table'!AJ125:AU125,LS_Demand_Rates_Restatement!$C$10:$N$10),SUMPRODUCT(LS_Demand_Rates_Restatement!$C$10:$N$10,'Staging Table'!CW125:DH125))*1000</f>
        <v>524596.1951985223</v>
      </c>
      <c r="H123" s="201">
        <f>IF(Init!$R$9="Yes",'Staging Table'!BQ125,'Staging Table'!ED125)*IF(Init!$R$3=2022,Rates_previous!$C$88,Rates_previous!$D$88)</f>
        <v>950359.76754153473</v>
      </c>
      <c r="I123" s="199">
        <v>0</v>
      </c>
      <c r="J123" s="201">
        <f>IF(Init!$R$9="Yes",IF('Staging Table'!D125=1,'Staging Table'!H125*-1*'Staging Table'!BS125/'Staging Table'!BR125,'Staging Table'!H125*SUM(D123:I123)*(-1)),IF('Staging Table'!D125=1,'Staging Table'!BU125*-1*'Staging Table'!BS125/'Staging Table'!BR125,'Staging Table'!BU125*SUM(D123:I123)*(-1)))</f>
        <v>0</v>
      </c>
      <c r="K123" s="199">
        <f>IF(Init!$R$9="Yes",'Staging Table'!K125,'Staging Table'!BX125)*(-1)*Rates_previous!$H$32</f>
        <v>0</v>
      </c>
      <c r="L123" s="199">
        <f>IF('Staging Table'!C125=1,"",SUM(D123:K123))</f>
        <v>10141607.398335395</v>
      </c>
      <c r="M123" s="199">
        <f>IF('Staging Table'!C125=1,"",IF(Init!$R$9="Yes",(RT1SC!$C$3*'Staging Table'!F125*'Staging Table'!$F$2)+SUM('Staging Table'!L125:AI125)-IF(Init!$R$12="No",'Staging Table'!BH125, 0),X123))</f>
        <v>278417.0823410367</v>
      </c>
      <c r="N123" s="297">
        <f>IF('Staging Table'!C125=1,"",IF(M123=0, 0, L123/M123))</f>
        <v>36.425952434602443</v>
      </c>
      <c r="O123" s="199">
        <f>'Staging Table'!BS125*Rates_current!$E$76*100*12</f>
        <v>11178720.096480001</v>
      </c>
      <c r="P123" s="199">
        <f>'Staging Table'!BS125*Rates_current!$E$77*100*12</f>
        <v>-1964528.0762399998</v>
      </c>
      <c r="Q123" s="200">
        <f>SUMPRODUCT('Staging Table'!BY125:CV125, LS_Demand_Rates_Restatement!$C$5:$Z$5)-IF(Init!$R$12="No",('Staging Table'!DU125*Rates_current!$H$34), 0)</f>
        <v>154226.26729943181</v>
      </c>
      <c r="R123" s="200">
        <f>SUMPRODUCT('Staging Table'!CW125:DH125, LS_Demand_Rates_Restatement!$C$11:$N$11)*1000</f>
        <v>519888.15608111658</v>
      </c>
      <c r="S123" s="201">
        <f>'Staging Table'!ED125*IF(Init!$R$15="Yes",IF(Init!$R$6=2024,Rates_current!$C$88,Rates_current!$D$88),Rates_current!$H$33)</f>
        <v>3.9553810626198542</v>
      </c>
      <c r="T123" s="201">
        <v>0</v>
      </c>
      <c r="U123" s="201">
        <f>IF('Staging Table'!D125=1, 'Staging Table'!BU125*-1*'Staging Table'!BS125/'Staging Table'!BR125,SUM(O123:T123)*'Staging Table'!BU125*-1)</f>
        <v>0</v>
      </c>
      <c r="V123" s="199">
        <f>'Staging Table'!BX125*Rates_current!$H$32*-1</f>
        <v>0</v>
      </c>
      <c r="W123" s="199">
        <f>IF('Staging Table'!C125=1,"", SUM(O123:V123))</f>
        <v>9888310.3990016114</v>
      </c>
      <c r="X123" s="199">
        <f>IF('Staging Table'!C125=1,"", (RT1SC!$C$4*'Staging Table'!BS125*'Staging Table'!$BS$2)+SUM('Staging Table'!BY125:CV125)-IF(Init!$R$12="No",'Staging Table'!DU125, 0))</f>
        <v>278417.07627621654</v>
      </c>
      <c r="Y123" s="297">
        <f>IF('Staging Table'!C125=1,"",IF(X123=0, 0, W123/X123))</f>
        <v>35.516177855382175</v>
      </c>
      <c r="Z123" s="76">
        <f ca="1">IF('Staging Table'!C125=1,"",(Y123/N123-1)+(RAND()/100000000000000))</f>
        <v>-2.4975999758787105E-2</v>
      </c>
      <c r="AA123" s="53">
        <f t="shared" ca="1" si="1"/>
        <v>112</v>
      </c>
      <c r="AC123" s="405"/>
      <c r="AD123" s="204"/>
      <c r="AE123" s="204"/>
      <c r="AG123" s="204"/>
      <c r="AH123" s="204"/>
    </row>
    <row r="124" spans="2:34">
      <c r="B124" s="123">
        <v>10434</v>
      </c>
      <c r="C124" s="124" t="s">
        <v>127</v>
      </c>
      <c r="D124" s="199">
        <f>IF(Init!$R$9="Yes",'Staging Table'!F126,'Staging Table'!BS126)*Rates_previous!$E$76*100*12</f>
        <v>9221896.6290194131</v>
      </c>
      <c r="E124" s="199">
        <f>IF(Init!$R$9="Yes",'Staging Table'!F126,'Staging Table'!BS126)*Rates_previous!$E$77*100*12</f>
        <v>-1522557.2613381082</v>
      </c>
      <c r="F124" s="200">
        <f>IF(Init!$R$9="Yes",SUMPRODUCT('Staging Table'!L126:AI126,LS_Demand_Rates_Restatement!$C$4:$Z$4)-IF(Init!$R$12="No",('Staging Table'!BH126*Rates_previous!$H$34), 0),SUMPRODUCT('Staging Table'!BY126:CV126,LS_Demand_Rates_Restatement!$C$4:$Z$4)-IF(Init!$R$12="No", 'Staging Table'!DU126*Rates_previous!$H$34, 0))</f>
        <v>138375.16555148191</v>
      </c>
      <c r="G124" s="200">
        <f>IF(Init!$R$9="Yes",SUMPRODUCT('Staging Table'!AJ126:AU126,LS_Demand_Rates_Restatement!$C$10:$N$10),SUMPRODUCT(LS_Demand_Rates_Restatement!$C$10:$N$10,'Staging Table'!CW126:DH126))*1000</f>
        <v>588677.60374529916</v>
      </c>
      <c r="H124" s="201">
        <f>IF(Init!$R$9="Yes",'Staging Table'!BQ126,'Staging Table'!ED126)*IF(Init!$R$3=2022,Rates_previous!$C$88,Rates_previous!$D$88)</f>
        <v>0</v>
      </c>
      <c r="I124" s="199">
        <v>0</v>
      </c>
      <c r="J124" s="201">
        <f>IF(Init!$R$9="Yes",IF('Staging Table'!D126=1,'Staging Table'!H126*-1*'Staging Table'!BS126/'Staging Table'!BR126,'Staging Table'!H126*SUM(D124:I124)*(-1)),IF('Staging Table'!D126=1,'Staging Table'!BU126*-1*'Staging Table'!BS126/'Staging Table'!BR126,'Staging Table'!BU126*SUM(D124:I124)*(-1)))</f>
        <v>0</v>
      </c>
      <c r="K124" s="199">
        <f>IF(Init!$R$9="Yes",'Staging Table'!K126,'Staging Table'!BX126)*(-1)*Rates_previous!$H$32</f>
        <v>0</v>
      </c>
      <c r="L124" s="199">
        <f>IF('Staging Table'!C126=1,"",SUM(D124:K124))</f>
        <v>8426392.1369780861</v>
      </c>
      <c r="M124" s="199">
        <f>IF('Staging Table'!C126=1,"",IF(Init!$R$9="Yes",(RT1SC!$C$3*'Staging Table'!F126*'Staging Table'!$F$2)+SUM('Staging Table'!L126:AI126)-IF(Init!$R$12="No",'Staging Table'!BH126, 0),X124))</f>
        <v>226472.07560818974</v>
      </c>
      <c r="N124" s="297">
        <f>IF('Staging Table'!C126=1,"",IF(M124=0, 0, L124/M124))</f>
        <v>37.207201436861688</v>
      </c>
      <c r="O124" s="199">
        <f>'Staging Table'!BS126*Rates_current!$E$76*100*12</f>
        <v>9577916.6169600002</v>
      </c>
      <c r="P124" s="199">
        <f>'Staging Table'!BS126*Rates_current!$E$77*100*12</f>
        <v>-1683205.7644800001</v>
      </c>
      <c r="Q124" s="200">
        <f>SUMPRODUCT('Staging Table'!BY126:CV126, LS_Demand_Rates_Restatement!$C$5:$Z$5)-IF(Init!$R$12="No",('Staging Table'!DU126*Rates_current!$H$34), 0)</f>
        <v>361702.22006792825</v>
      </c>
      <c r="R124" s="200">
        <f>SUMPRODUCT('Staging Table'!CW126:DH126, LS_Demand_Rates_Restatement!$C$11:$N$11)*1000</f>
        <v>634337.05820208334</v>
      </c>
      <c r="S124" s="201">
        <f>'Staging Table'!ED126*IF(Init!$R$15="Yes",IF(Init!$R$6=2024,Rates_current!$C$88,Rates_current!$D$88),Rates_current!$H$33)</f>
        <v>0</v>
      </c>
      <c r="T124" s="201">
        <v>0</v>
      </c>
      <c r="U124" s="201">
        <f>IF('Staging Table'!D126=1, 'Staging Table'!BU126*-1*'Staging Table'!BS126/'Staging Table'!BR126,SUM(O124:T124)*'Staging Table'!BU126*-1)</f>
        <v>0</v>
      </c>
      <c r="V124" s="199">
        <f>'Staging Table'!BX126*Rates_current!$H$32*-1</f>
        <v>0</v>
      </c>
      <c r="W124" s="199">
        <f>IF('Staging Table'!C126=1,"", SUM(O124:V124))</f>
        <v>8890750.1307500117</v>
      </c>
      <c r="X124" s="199">
        <f>IF('Staging Table'!C126=1,"", (RT1SC!$C$4*'Staging Table'!BS126*'Staging Table'!$BS$2)+SUM('Staging Table'!BY126:CV126)-IF(Init!$R$12="No",'Staging Table'!DU126, 0))</f>
        <v>238547.08799999999</v>
      </c>
      <c r="Y124" s="297">
        <f>IF('Staging Table'!C126=1,"",IF(X124=0, 0, W124/X124))</f>
        <v>37.270419879323832</v>
      </c>
      <c r="Z124" s="76">
        <f ca="1">IF('Staging Table'!C126=1,"",(Y124/N124-1)+(RAND()/100000000000000))</f>
        <v>1.699091574236187E-3</v>
      </c>
      <c r="AA124" s="53">
        <f t="shared" ca="1" si="1"/>
        <v>30</v>
      </c>
      <c r="AC124" s="405"/>
      <c r="AD124" s="204"/>
      <c r="AE124" s="204"/>
      <c r="AG124" s="204"/>
      <c r="AH124" s="204"/>
    </row>
    <row r="125" spans="2:34">
      <c r="B125" s="123">
        <v>10436</v>
      </c>
      <c r="C125" s="124" t="s">
        <v>128</v>
      </c>
      <c r="D125" s="199">
        <f>IF(Init!$R$9="Yes",'Staging Table'!F127,'Staging Table'!BS127)*Rates_previous!$E$76*100*12</f>
        <v>6503649.3714473154</v>
      </c>
      <c r="E125" s="199">
        <f>IF(Init!$R$9="Yes",'Staging Table'!F127,'Staging Table'!BS127)*Rates_previous!$E$77*100*12</f>
        <v>-1073768.1166945649</v>
      </c>
      <c r="F125" s="200">
        <f>IF(Init!$R$9="Yes",SUMPRODUCT('Staging Table'!L127:AI127,LS_Demand_Rates_Restatement!$C$4:$Z$4)-IF(Init!$R$12="No",('Staging Table'!BH127*Rates_previous!$H$34), 0),SUMPRODUCT('Staging Table'!BY127:CV127,LS_Demand_Rates_Restatement!$C$4:$Z$4)-IF(Init!$R$12="No", 'Staging Table'!DU127*Rates_previous!$H$34, 0))</f>
        <v>-66930.943474721629</v>
      </c>
      <c r="G125" s="200">
        <f>IF(Init!$R$9="Yes",SUMPRODUCT('Staging Table'!AJ127:AU127,LS_Demand_Rates_Restatement!$C$10:$N$10),SUMPRODUCT(LS_Demand_Rates_Restatement!$C$10:$N$10,'Staging Table'!CW127:DH127))*1000</f>
        <v>243545.27390520851</v>
      </c>
      <c r="H125" s="201">
        <f>IF(Init!$R$9="Yes",'Staging Table'!BQ127,'Staging Table'!ED127)*IF(Init!$R$3=2022,Rates_previous!$C$88,Rates_previous!$D$88)</f>
        <v>0</v>
      </c>
      <c r="I125" s="199">
        <v>0</v>
      </c>
      <c r="J125" s="201">
        <f>IF(Init!$R$9="Yes",IF('Staging Table'!D127=1,'Staging Table'!H127*-1*'Staging Table'!BS127/'Staging Table'!BR127,'Staging Table'!H127*SUM(D125:I125)*(-1)),IF('Staging Table'!D127=1,'Staging Table'!BU127*-1*'Staging Table'!BS127/'Staging Table'!BR127,'Staging Table'!BU127*SUM(D125:I125)*(-1)))</f>
        <v>-456088.41585465631</v>
      </c>
      <c r="K125" s="199">
        <f>IF(Init!$R$9="Yes",'Staging Table'!K127,'Staging Table'!BX127)*(-1)*Rates_previous!$H$32</f>
        <v>-423609.51219999994</v>
      </c>
      <c r="L125" s="199">
        <f>IF('Staging Table'!C127=1,"",SUM(D125:K125))</f>
        <v>4726797.6571285808</v>
      </c>
      <c r="M125" s="199">
        <f>IF('Staging Table'!C127=1,"",IF(Init!$R$9="Yes",(RT1SC!$C$3*'Staging Table'!F127*'Staging Table'!$F$2)+SUM('Staging Table'!L127:AI127)-IF(Init!$R$12="No",'Staging Table'!BH127, 0),X125))</f>
        <v>160036.43999999997</v>
      </c>
      <c r="N125" s="297">
        <f>IF('Staging Table'!C127=1,"",IF(M125=0, 0, L125/M125))</f>
        <v>29.535758588035211</v>
      </c>
      <c r="O125" s="199">
        <f>'Staging Table'!BS127*Rates_current!$E$76*100*12</f>
        <v>6754713.0947999991</v>
      </c>
      <c r="P125" s="199">
        <f>'Staging Table'!BS127*Rates_current!$E$77*100*12</f>
        <v>-1187061.0774000001</v>
      </c>
      <c r="Q125" s="200">
        <f>SUMPRODUCT('Staging Table'!BY127:CV127, LS_Demand_Rates_Restatement!$C$5:$Z$5)-IF(Init!$R$12="No",('Staging Table'!DU127*Rates_current!$H$34), 0)</f>
        <v>106319.9802245251</v>
      </c>
      <c r="R125" s="200">
        <f>SUMPRODUCT('Staging Table'!CW127:DH127, LS_Demand_Rates_Restatement!$C$11:$N$11)*1000</f>
        <v>276463.11923293263</v>
      </c>
      <c r="S125" s="201">
        <f>'Staging Table'!ED127*IF(Init!$R$15="Yes",IF(Init!$R$6=2024,Rates_current!$C$88,Rates_current!$D$88),Rates_current!$H$33)</f>
        <v>0</v>
      </c>
      <c r="T125" s="201">
        <v>0</v>
      </c>
      <c r="U125" s="201">
        <f>IF('Staging Table'!D127=1, 'Staging Table'!BU127*-1*'Staging Table'!BS127/'Staging Table'!BR127,SUM(O125:T125)*'Staging Table'!BU127*-1)</f>
        <v>-541498.2951005738</v>
      </c>
      <c r="V125" s="199">
        <f>'Staging Table'!BX127*Rates_current!$H$32*-1</f>
        <v>-449647.89505999995</v>
      </c>
      <c r="W125" s="199">
        <f>IF('Staging Table'!C127=1,"", SUM(O125:V125))</f>
        <v>4959288.9266968844</v>
      </c>
      <c r="X125" s="199">
        <f>IF('Staging Table'!C127=1,"", (RT1SC!$C$4*'Staging Table'!BS127*'Staging Table'!$BS$2)+SUM('Staging Table'!BY127:CV127)-IF(Init!$R$12="No",'Staging Table'!DU127, 0))</f>
        <v>168227.51277115056</v>
      </c>
      <c r="Y125" s="297">
        <f>IF('Staging Table'!C127=1,"",IF(X125=0, 0, W125/X125))</f>
        <v>29.479654338367865</v>
      </c>
      <c r="Z125" s="76">
        <f ca="1">IF('Staging Table'!C127=1,"",(Y125/N125-1)+(RAND()/100000000000000))</f>
        <v>-1.8995364381766487E-3</v>
      </c>
      <c r="AA125" s="53">
        <f t="shared" ca="1" si="1"/>
        <v>37</v>
      </c>
      <c r="AC125" s="405"/>
      <c r="AD125" s="204"/>
      <c r="AE125" s="204"/>
      <c r="AG125" s="204"/>
      <c r="AH125" s="204"/>
    </row>
    <row r="126" spans="2:34">
      <c r="B126" s="123">
        <v>10440</v>
      </c>
      <c r="C126" s="124" t="s">
        <v>129</v>
      </c>
      <c r="D126" s="199">
        <f>IF(Init!$R$9="Yes",'Staging Table'!F128,'Staging Table'!BS128)*Rates_previous!$E$76*100*12</f>
        <v>1699773.8475228085</v>
      </c>
      <c r="E126" s="199">
        <f>IF(Init!$R$9="Yes",'Staging Table'!F128,'Staging Table'!BS128)*Rates_previous!$E$77*100*12</f>
        <v>-280636.7408234172</v>
      </c>
      <c r="F126" s="200">
        <f>IF(Init!$R$9="Yes",SUMPRODUCT('Staging Table'!L128:AI128,LS_Demand_Rates_Restatement!$C$4:$Z$4)-IF(Init!$R$12="No",('Staging Table'!BH128*Rates_previous!$H$34), 0),SUMPRODUCT('Staging Table'!BY128:CV128,LS_Demand_Rates_Restatement!$C$4:$Z$4)-IF(Init!$R$12="No", 'Staging Table'!DU128*Rates_previous!$H$34, 0))</f>
        <v>36921.039571921996</v>
      </c>
      <c r="G126" s="200">
        <f>IF(Init!$R$9="Yes",SUMPRODUCT('Staging Table'!AJ128:AU128,LS_Demand_Rates_Restatement!$C$10:$N$10),SUMPRODUCT(LS_Demand_Rates_Restatement!$C$10:$N$10,'Staging Table'!CW128:DH128))*1000</f>
        <v>42222.181522453684</v>
      </c>
      <c r="H126" s="201">
        <f>IF(Init!$R$9="Yes",'Staging Table'!BQ128,'Staging Table'!ED128)*IF(Init!$R$3=2022,Rates_previous!$C$88,Rates_previous!$D$88)</f>
        <v>0</v>
      </c>
      <c r="I126" s="199">
        <v>0</v>
      </c>
      <c r="J126" s="201">
        <f>IF(Init!$R$9="Yes",IF('Staging Table'!D128=1,'Staging Table'!H128*-1*'Staging Table'!BS128/'Staging Table'!BR128,'Staging Table'!H128*SUM(D126:I126)*(-1)),IF('Staging Table'!D128=1,'Staging Table'!BU128*-1*'Staging Table'!BS128/'Staging Table'!BR128,'Staging Table'!BU128*SUM(D126:I126)*(-1)))</f>
        <v>-84922.528979350711</v>
      </c>
      <c r="K126" s="199">
        <f>IF(Init!$R$9="Yes",'Staging Table'!K128,'Staging Table'!BX128)*(-1)*Rates_previous!$H$32</f>
        <v>0</v>
      </c>
      <c r="L126" s="199">
        <f>IF('Staging Table'!C128=1,"",SUM(D126:K126))</f>
        <v>1413357.7988144162</v>
      </c>
      <c r="M126" s="199">
        <f>IF('Staging Table'!C128=1,"",IF(Init!$R$9="Yes",(RT1SC!$C$3*'Staging Table'!F128*'Staging Table'!$F$2)+SUM('Staging Table'!L128:AI128)-IF(Init!$R$12="No",'Staging Table'!BH128, 0),X126))</f>
        <v>41829</v>
      </c>
      <c r="N126" s="297">
        <f>IF('Staging Table'!C128=1,"",IF(M126=0, 0, L126/M126))</f>
        <v>33.788945440111313</v>
      </c>
      <c r="O126" s="199">
        <f>'Staging Table'!BS128*Rates_current!$E$76*100*12</f>
        <v>1765218.4027200001</v>
      </c>
      <c r="P126" s="199">
        <f>'Staging Table'!BS128*Rates_current!$E$77*100*12</f>
        <v>-310216.29336000001</v>
      </c>
      <c r="Q126" s="200">
        <f>SUMPRODUCT('Staging Table'!BY128:CV128, LS_Demand_Rates_Restatement!$C$5:$Z$5)-IF(Init!$R$12="No",('Staging Table'!DU128*Rates_current!$H$34), 0)</f>
        <v>47833.269537640183</v>
      </c>
      <c r="R126" s="200">
        <f>SUMPRODUCT('Staging Table'!CW128:DH128, LS_Demand_Rates_Restatement!$C$11:$N$11)*1000</f>
        <v>37841.431376869652</v>
      </c>
      <c r="S126" s="201">
        <f>'Staging Table'!ED128*IF(Init!$R$15="Yes",IF(Init!$R$6=2024,Rates_current!$C$88,Rates_current!$D$88),Rates_current!$H$33)</f>
        <v>0</v>
      </c>
      <c r="T126" s="201">
        <v>0</v>
      </c>
      <c r="U126" s="201">
        <f>IF('Staging Table'!D128=1, 'Staging Table'!BU128*-1*'Staging Table'!BS128/'Staging Table'!BR128,SUM(O126:T126)*'Staging Table'!BU128*-1)</f>
        <v>-88919.061621557426</v>
      </c>
      <c r="V126" s="199">
        <f>'Staging Table'!BX128*Rates_current!$H$32*-1</f>
        <v>0</v>
      </c>
      <c r="W126" s="199">
        <f>IF('Staging Table'!C128=1,"", SUM(O126:V126))</f>
        <v>1451757.7486529525</v>
      </c>
      <c r="X126" s="199">
        <f>IF('Staging Table'!C128=1,"", (RT1SC!$C$4*'Staging Table'!BS128*'Staging Table'!$BS$2)+SUM('Staging Table'!BY128:CV128)-IF(Init!$R$12="No",'Staging Table'!DU128, 0))</f>
        <v>43963.92</v>
      </c>
      <c r="Y126" s="297">
        <f>IF('Staging Table'!C128=1,"",IF(X126=0, 0, W126/X126))</f>
        <v>33.021571976587907</v>
      </c>
      <c r="Z126" s="76">
        <f ca="1">IF('Staging Table'!C128=1,"",(Y126/N126-1)+(RAND()/100000000000000))</f>
        <v>-2.2710784652438448E-2</v>
      </c>
      <c r="AA126" s="53">
        <f t="shared" ca="1" si="1"/>
        <v>110</v>
      </c>
      <c r="AC126" s="405"/>
      <c r="AD126" s="204"/>
      <c r="AE126" s="204"/>
      <c r="AG126" s="204"/>
      <c r="AH126" s="204"/>
    </row>
    <row r="127" spans="2:34">
      <c r="B127" s="123">
        <v>10442</v>
      </c>
      <c r="C127" s="124" t="s">
        <v>130</v>
      </c>
      <c r="D127" s="199">
        <f>IF(Init!$R$9="Yes",'Staging Table'!F129,'Staging Table'!BS129)*Rates_previous!$E$76*100*12</f>
        <v>4528573.552006308</v>
      </c>
      <c r="E127" s="199">
        <f>IF(Init!$R$9="Yes",'Staging Table'!F129,'Staging Table'!BS129)*Rates_previous!$E$77*100*12</f>
        <v>-747678.35972198227</v>
      </c>
      <c r="F127" s="200">
        <f>IF(Init!$R$9="Yes",SUMPRODUCT('Staging Table'!L129:AI129,LS_Demand_Rates_Restatement!$C$4:$Z$4)-IF(Init!$R$12="No",('Staging Table'!BH129*Rates_previous!$H$34), 0),SUMPRODUCT('Staging Table'!BY129:CV129,LS_Demand_Rates_Restatement!$C$4:$Z$4)-IF(Init!$R$12="No", 'Staging Table'!DU129*Rates_previous!$H$34, 0))</f>
        <v>1619.2610705822972</v>
      </c>
      <c r="G127" s="200">
        <f>IF(Init!$R$9="Yes",SUMPRODUCT('Staging Table'!AJ129:AU129,LS_Demand_Rates_Restatement!$C$10:$N$10),SUMPRODUCT(LS_Demand_Rates_Restatement!$C$10:$N$10,'Staging Table'!CW129:DH129))*1000</f>
        <v>346370.71503513178</v>
      </c>
      <c r="H127" s="201">
        <f>IF(Init!$R$9="Yes",'Staging Table'!BQ129,'Staging Table'!ED129)*IF(Init!$R$3=2022,Rates_previous!$C$88,Rates_previous!$D$88)</f>
        <v>-6303.2165559379764</v>
      </c>
      <c r="I127" s="199">
        <v>0</v>
      </c>
      <c r="J127" s="201">
        <f>IF(Init!$R$9="Yes",IF('Staging Table'!D129=1,'Staging Table'!H129*-1*'Staging Table'!BS129/'Staging Table'!BR129,'Staging Table'!H129*SUM(D127:I127)*(-1)),IF('Staging Table'!D129=1,'Staging Table'!BU129*-1*'Staging Table'!BS129/'Staging Table'!BR129,'Staging Table'!BU129*SUM(D127:I127)*(-1)))</f>
        <v>-288580.73662838712</v>
      </c>
      <c r="K127" s="199">
        <f>IF(Init!$R$9="Yes",'Staging Table'!K129,'Staging Table'!BX129)*(-1)*Rates_previous!$H$32</f>
        <v>-106093.29700000001</v>
      </c>
      <c r="L127" s="199">
        <f>IF('Staging Table'!C129=1,"",SUM(D127:K127))</f>
        <v>3727907.9182057143</v>
      </c>
      <c r="M127" s="199">
        <f>IF('Staging Table'!C129=1,"",IF(Init!$R$9="Yes",(RT1SC!$C$3*'Staging Table'!F129*'Staging Table'!$F$2)+SUM('Staging Table'!L129:AI129)-IF(Init!$R$12="No",'Staging Table'!BH129, 0),X127))</f>
        <v>110541.1707004045</v>
      </c>
      <c r="N127" s="297">
        <f>IF('Staging Table'!C129=1,"",IF(M127=0, 0, L127/M127))</f>
        <v>33.724158108559571</v>
      </c>
      <c r="O127" s="199">
        <f>'Staging Table'!BS129*Rates_current!$E$76*100*12</f>
        <v>4438455.5858399998</v>
      </c>
      <c r="P127" s="199">
        <f>'Staging Table'!BS129*Rates_current!$E$77*100*12</f>
        <v>-780006.16691999999</v>
      </c>
      <c r="Q127" s="200">
        <f>SUMPRODUCT('Staging Table'!BY129:CV129, LS_Demand_Rates_Restatement!$C$5:$Z$5)-IF(Init!$R$12="No",('Staging Table'!DU129*Rates_current!$H$34), 0)</f>
        <v>120548.21317613551</v>
      </c>
      <c r="R127" s="200">
        <f>SUMPRODUCT('Staging Table'!CW129:DH129, LS_Demand_Rates_Restatement!$C$11:$N$11)*1000</f>
        <v>347966.87385109509</v>
      </c>
      <c r="S127" s="201">
        <f>'Staging Table'!ED129*IF(Init!$R$15="Yes",IF(Init!$R$6=2024,Rates_current!$C$88,Rates_current!$D$88),Rates_current!$H$33)</f>
        <v>36.84333980492142</v>
      </c>
      <c r="T127" s="201">
        <v>0</v>
      </c>
      <c r="U127" s="201">
        <f>IF('Staging Table'!D129=1, 'Staging Table'!BU129*-1*'Staging Table'!BS129/'Staging Table'!BR129,SUM(O127:T127)*'Staging Table'!BU129*-1)</f>
        <v>-288890.09445009253</v>
      </c>
      <c r="V127" s="199">
        <f>'Staging Table'!BX129*Rates_current!$H$32*-1</f>
        <v>-112614.6281</v>
      </c>
      <c r="W127" s="199">
        <f>IF('Staging Table'!C129=1,"", SUM(O127:V127))</f>
        <v>3725496.6267369431</v>
      </c>
      <c r="X127" s="199">
        <f>IF('Staging Table'!C129=1,"", (RT1SC!$C$4*'Staging Table'!BS129*'Staging Table'!$BS$2)+SUM('Staging Table'!BY129:CV129)-IF(Init!$R$12="No",'Staging Table'!DU129, 0))</f>
        <v>110541.16550671548</v>
      </c>
      <c r="Y127" s="297">
        <f>IF('Staging Table'!C129=1,"",IF(X127=0, 0, W127/X127))</f>
        <v>33.702346177186051</v>
      </c>
      <c r="Z127" s="76">
        <f ca="1">IF('Staging Table'!C129=1,"",(Y127/N127-1)+(RAND()/100000000000000))</f>
        <v>-6.4677467419847073E-4</v>
      </c>
      <c r="AA127" s="53">
        <f t="shared" ca="1" si="1"/>
        <v>35</v>
      </c>
      <c r="AC127" s="405"/>
      <c r="AD127" s="204"/>
      <c r="AE127" s="204"/>
      <c r="AG127" s="204"/>
      <c r="AH127" s="204"/>
    </row>
    <row r="128" spans="2:34">
      <c r="B128" s="123">
        <v>10446</v>
      </c>
      <c r="C128" s="124" t="s">
        <v>131</v>
      </c>
      <c r="D128" s="199">
        <f>IF(Init!$R$9="Yes",'Staging Table'!F130,'Staging Table'!BS130)*Rates_previous!$E$76*100*12</f>
        <v>32522083.818517663</v>
      </c>
      <c r="E128" s="199">
        <f>IF(Init!$R$9="Yes",'Staging Table'!F130,'Staging Table'!BS130)*Rates_previous!$E$77*100*12</f>
        <v>-5369474.0749870986</v>
      </c>
      <c r="F128" s="200">
        <f>IF(Init!$R$9="Yes",SUMPRODUCT('Staging Table'!L130:AI130,LS_Demand_Rates_Restatement!$C$4:$Z$4)-IF(Init!$R$12="No",('Staging Table'!BH130*Rates_previous!$H$34), 0),SUMPRODUCT('Staging Table'!BY130:CV130,LS_Demand_Rates_Restatement!$C$4:$Z$4)-IF(Init!$R$12="No", 'Staging Table'!DU130*Rates_previous!$H$34, 0))</f>
        <v>-1109964.969742229</v>
      </c>
      <c r="G128" s="200">
        <f>IF(Init!$R$9="Yes",SUMPRODUCT('Staging Table'!AJ130:AU130,LS_Demand_Rates_Restatement!$C$10:$N$10),SUMPRODUCT(LS_Demand_Rates_Restatement!$C$10:$N$10,'Staging Table'!CW130:DH130))*1000</f>
        <v>894324.51549498795</v>
      </c>
      <c r="H128" s="201">
        <f>IF(Init!$R$9="Yes",'Staging Table'!BQ130,'Staging Table'!ED130)*IF(Init!$R$3=2022,Rates_previous!$C$88,Rates_previous!$D$88)</f>
        <v>0</v>
      </c>
      <c r="I128" s="199">
        <v>0</v>
      </c>
      <c r="J128" s="201">
        <f>IF(Init!$R$9="Yes",IF('Staging Table'!D130=1,'Staging Table'!H130*-1*'Staging Table'!BS130/'Staging Table'!BR130,'Staging Table'!H130*SUM(D128:I128)*(-1)),IF('Staging Table'!D130=1,'Staging Table'!BU130*-1*'Staging Table'!BS130/'Staging Table'!BR130,'Staging Table'!BU130*SUM(D128:I128)*(-1)))</f>
        <v>-2079534.0291326728</v>
      </c>
      <c r="K128" s="199">
        <f>IF(Init!$R$9="Yes",'Staging Table'!K130,'Staging Table'!BX130)*(-1)*Rates_previous!$H$32</f>
        <v>-78167.606</v>
      </c>
      <c r="L128" s="199">
        <f>IF('Staging Table'!C130=1,"",SUM(D128:K128))</f>
        <v>24779267.654150654</v>
      </c>
      <c r="M128" s="199">
        <f>IF('Staging Table'!C130=1,"",IF(Init!$R$9="Yes",(RT1SC!$C$3*'Staging Table'!F130*'Staging Table'!$F$2)+SUM('Staging Table'!L130:AI130)-IF(Init!$R$12="No",'Staging Table'!BH130, 0),X128))</f>
        <v>769843.38493762224</v>
      </c>
      <c r="N128" s="297">
        <f>IF('Staging Table'!C130=1,"",IF(M128=0, 0, L128/M128))</f>
        <v>32.187413880497829</v>
      </c>
      <c r="O128" s="199">
        <f>'Staging Table'!BS130*Rates_current!$E$76*100*12</f>
        <v>33776803.949759997</v>
      </c>
      <c r="P128" s="199">
        <f>'Staging Table'!BS130*Rates_current!$E$77*100*12</f>
        <v>-5935874.510879999</v>
      </c>
      <c r="Q128" s="200">
        <f>SUMPRODUCT('Staging Table'!BY130:CV130, LS_Demand_Rates_Restatement!$C$5:$Z$5)-IF(Init!$R$12="No",('Staging Table'!DU130*Rates_current!$H$34), 0)</f>
        <v>-77112.531610545877</v>
      </c>
      <c r="R128" s="200">
        <f>SUMPRODUCT('Staging Table'!CW130:DH130, LS_Demand_Rates_Restatement!$C$11:$N$11)*1000</f>
        <v>879321.88751599903</v>
      </c>
      <c r="S128" s="201">
        <f>'Staging Table'!ED130*IF(Init!$R$15="Yes",IF(Init!$R$6=2024,Rates_current!$C$88,Rates_current!$D$88),Rates_current!$H$33)</f>
        <v>0</v>
      </c>
      <c r="T128" s="201">
        <v>0</v>
      </c>
      <c r="U128" s="201">
        <f>IF('Staging Table'!D130=1, 'Staging Table'!BU130*-1*'Staging Table'!BS130/'Staging Table'!BR130,SUM(O128:T128)*'Staging Table'!BU130*-1)</f>
        <v>-1885870.9456653602</v>
      </c>
      <c r="V128" s="199">
        <f>'Staging Table'!BX130*Rates_current!$H$32*-1</f>
        <v>-82972.4038</v>
      </c>
      <c r="W128" s="199">
        <f>IF('Staging Table'!C130=1,"", SUM(O128:V128))</f>
        <v>26674295.445320092</v>
      </c>
      <c r="X128" s="199">
        <f>IF('Staging Table'!C130=1,"", (RT1SC!$C$4*'Staging Table'!BS130*'Staging Table'!$BS$2)+SUM('Staging Table'!BY130:CV130)-IF(Init!$R$12="No",'Staging Table'!DU130, 0))</f>
        <v>841251.43585612264</v>
      </c>
      <c r="Y128" s="297">
        <f>IF('Staging Table'!C130=1,"",IF(X128=0, 0, W128/X128))</f>
        <v>31.707875087516804</v>
      </c>
      <c r="Z128" s="76">
        <f ca="1">IF('Staging Table'!C130=1,"",(Y128/N128-1)+(RAND()/100000000000000))</f>
        <v>-1.4898332458805065E-2</v>
      </c>
      <c r="AA128" s="53">
        <f t="shared" ca="1" si="1"/>
        <v>86</v>
      </c>
      <c r="AC128" s="405"/>
      <c r="AD128" s="204"/>
      <c r="AE128" s="204"/>
      <c r="AG128" s="204"/>
      <c r="AH128" s="204"/>
    </row>
    <row r="129" spans="1:34">
      <c r="B129" s="123">
        <v>10448</v>
      </c>
      <c r="C129" s="124" t="s">
        <v>132</v>
      </c>
      <c r="D129" s="199">
        <f>IF(Init!$R$9="Yes",'Staging Table'!F131,'Staging Table'!BS131)*Rates_previous!$E$76*100*12</f>
        <v>2879879.2515380085</v>
      </c>
      <c r="E129" s="199">
        <f>IF(Init!$R$9="Yes",'Staging Table'!F131,'Staging Table'!BS131)*Rates_previous!$E$77*100*12</f>
        <v>-475474.97468233877</v>
      </c>
      <c r="F129" s="200">
        <f>IF(Init!$R$9="Yes",SUMPRODUCT('Staging Table'!L131:AI131,LS_Demand_Rates_Restatement!$C$4:$Z$4)-IF(Init!$R$12="No",('Staging Table'!BH131*Rates_previous!$H$34), 0),SUMPRODUCT('Staging Table'!BY131:CV131,LS_Demand_Rates_Restatement!$C$4:$Z$4)-IF(Init!$R$12="No", 'Staging Table'!DU131*Rates_previous!$H$34, 0))</f>
        <v>0</v>
      </c>
      <c r="G129" s="200">
        <f>IF(Init!$R$9="Yes",SUMPRODUCT('Staging Table'!AJ131:AU131,LS_Demand_Rates_Restatement!$C$10:$N$10),SUMPRODUCT(LS_Demand_Rates_Restatement!$C$10:$N$10,'Staging Table'!CW131:DH131))*1000</f>
        <v>0</v>
      </c>
      <c r="H129" s="201">
        <f>IF(Init!$R$9="Yes",'Staging Table'!BQ131,'Staging Table'!ED131)*IF(Init!$R$3=2022,Rates_previous!$C$88,Rates_previous!$D$88)</f>
        <v>0</v>
      </c>
      <c r="I129" s="199">
        <v>0</v>
      </c>
      <c r="J129" s="201">
        <f>IF(Init!$R$9="Yes",IF('Staging Table'!D131=1,'Staging Table'!H131*-1*'Staging Table'!BS131/'Staging Table'!BR131,'Staging Table'!H131*SUM(D129:I129)*(-1)),IF('Staging Table'!D131=1,'Staging Table'!BU131*-1*'Staging Table'!BS131/'Staging Table'!BR131,'Staging Table'!BU131*SUM(D129:I129)*(-1)))</f>
        <v>-171770.64153856906</v>
      </c>
      <c r="K129" s="199">
        <f>IF(Init!$R$9="Yes",'Staging Table'!K131,'Staging Table'!BX131)*(-1)*Rates_previous!$H$32</f>
        <v>0</v>
      </c>
      <c r="L129" s="199" t="str">
        <f>IF('Staging Table'!C131=1,"",SUM(D129:K129))</f>
        <v/>
      </c>
      <c r="M129" s="199" t="str">
        <f>IF('Staging Table'!C131=1,"",IF(Init!$R$9="Yes",(RT1SC!$C$3*'Staging Table'!F131*'Staging Table'!$F$2)+SUM('Staging Table'!L131:AI131)-IF(Init!$R$12="No",'Staging Table'!BH131, 0),X129))</f>
        <v/>
      </c>
      <c r="N129" s="297" t="str">
        <f>IF('Staging Table'!C131=1,"",IF(M129=0, 0, L129/M129))</f>
        <v/>
      </c>
      <c r="O129" s="199">
        <f>'Staging Table'!BS131*Rates_current!$E$76*100*12</f>
        <v>2906407.4378399998</v>
      </c>
      <c r="P129" s="199">
        <f>'Staging Table'!BS131*Rates_current!$E$77*100*12</f>
        <v>-510766.79291999998</v>
      </c>
      <c r="Q129" s="200">
        <f>SUMPRODUCT('Staging Table'!BY131:CV131, LS_Demand_Rates_Restatement!$C$5:$Z$5)-IF(Init!$R$12="No",('Staging Table'!DU131*Rates_current!$H$34), 0)</f>
        <v>0</v>
      </c>
      <c r="R129" s="200">
        <f>SUMPRODUCT('Staging Table'!CW131:DH131, LS_Demand_Rates_Restatement!$C$11:$N$11)*1000</f>
        <v>0</v>
      </c>
      <c r="S129" s="201">
        <f>'Staging Table'!ED131*IF(Init!$R$15="Yes",IF(Init!$R$6=2024,Rates_current!$C$88,Rates_current!$D$88),Rates_current!$H$33)</f>
        <v>10.171228879509437</v>
      </c>
      <c r="T129" s="201">
        <v>0</v>
      </c>
      <c r="U129" s="201">
        <f>IF('Staging Table'!D131=1, 'Staging Table'!BU131*-1*'Staging Table'!BS131/'Staging Table'!BR131,SUM(O129:T129)*'Staging Table'!BU131*-1)</f>
        <v>-167695.55713042157</v>
      </c>
      <c r="V129" s="199">
        <f>'Staging Table'!BX131*Rates_current!$H$32*-1</f>
        <v>0</v>
      </c>
      <c r="W129" s="199" t="str">
        <f>IF('Staging Table'!C131=1,"", SUM(O129:V129))</f>
        <v/>
      </c>
      <c r="X129" s="199" t="str">
        <f>IF('Staging Table'!C131=1,"", (RT1SC!$C$4*'Staging Table'!BS131*'Staging Table'!$BS$2)+SUM('Staging Table'!BY131:CV131)-IF(Init!$R$12="No",'Staging Table'!DU131, 0))</f>
        <v/>
      </c>
      <c r="Y129" s="297" t="str">
        <f>IF('Staging Table'!C131=1,"",IF(X129=0, 0, W129/X129))</f>
        <v/>
      </c>
      <c r="Z129" s="76" t="str">
        <f ca="1">IF('Staging Table'!C131=1,"",(Y129/N129-1)+(RAND()/100000000000000))</f>
        <v/>
      </c>
      <c r="AA129" s="53" t="str">
        <f t="shared" ca="1" si="1"/>
        <v/>
      </c>
      <c r="AC129" s="405"/>
      <c r="AD129" s="204"/>
      <c r="AE129" s="204"/>
      <c r="AG129" s="204"/>
      <c r="AH129" s="204"/>
    </row>
    <row r="130" spans="1:34">
      <c r="B130" s="123">
        <v>10451</v>
      </c>
      <c r="C130" s="124" t="s">
        <v>133</v>
      </c>
      <c r="D130" s="199">
        <f>IF(Init!$R$9="Yes",'Staging Table'!F132,'Staging Table'!BS132)*Rates_previous!$E$76*100*12</f>
        <v>9112063.6123482175</v>
      </c>
      <c r="E130" s="199">
        <f>IF(Init!$R$9="Yes",'Staging Table'!F132,'Staging Table'!BS132)*Rates_previous!$E$77*100*12</f>
        <v>-1504423.5667420125</v>
      </c>
      <c r="F130" s="200">
        <f>IF(Init!$R$9="Yes",SUMPRODUCT('Staging Table'!L132:AI132,LS_Demand_Rates_Restatement!$C$4:$Z$4)-IF(Init!$R$12="No",('Staging Table'!BH132*Rates_previous!$H$34), 0),SUMPRODUCT('Staging Table'!BY132:CV132,LS_Demand_Rates_Restatement!$C$4:$Z$4)-IF(Init!$R$12="No", 'Staging Table'!DU132*Rates_previous!$H$34, 0))</f>
        <v>-289195.34547206294</v>
      </c>
      <c r="G130" s="200">
        <f>IF(Init!$R$9="Yes",SUMPRODUCT('Staging Table'!AJ132:AU132,LS_Demand_Rates_Restatement!$C$10:$N$10),SUMPRODUCT(LS_Demand_Rates_Restatement!$C$10:$N$10,'Staging Table'!CW132:DH132))*1000</f>
        <v>378693.31752054847</v>
      </c>
      <c r="H130" s="201">
        <f>IF(Init!$R$9="Yes",'Staging Table'!BQ132,'Staging Table'!ED132)*IF(Init!$R$3=2022,Rates_previous!$C$88,Rates_previous!$D$88)</f>
        <v>0</v>
      </c>
      <c r="I130" s="199">
        <v>0</v>
      </c>
      <c r="J130" s="201">
        <f>IF(Init!$R$9="Yes",IF('Staging Table'!D132=1,'Staging Table'!H132*-1*'Staging Table'!BS132/'Staging Table'!BR132,'Staging Table'!H132*SUM(D130:I130)*(-1)),IF('Staging Table'!D132=1,'Staging Table'!BU132*-1*'Staging Table'!BS132/'Staging Table'!BR132,'Staging Table'!BU132*SUM(D130:I130)*(-1)))</f>
        <v>0</v>
      </c>
      <c r="K130" s="199">
        <f>IF(Init!$R$9="Yes",'Staging Table'!K132,'Staging Table'!BX132)*(-1)*Rates_previous!$H$32</f>
        <v>0</v>
      </c>
      <c r="L130" s="199">
        <f>IF('Staging Table'!C132=1,"",SUM(D130:K130))</f>
        <v>7697138.0176546909</v>
      </c>
      <c r="M130" s="199">
        <f>IF('Staging Table'!C132=1,"",IF(Init!$R$9="Yes",(RT1SC!$C$3*'Staging Table'!F132*'Staging Table'!$F$2)+SUM('Staging Table'!L132:AI132)-IF(Init!$R$12="No",'Staging Table'!BH132, 0),X130))</f>
        <v>216259.00446993593</v>
      </c>
      <c r="N130" s="297">
        <f>IF('Staging Table'!C132=1,"",IF(M130=0, 0, L130/M130))</f>
        <v>35.59221978534881</v>
      </c>
      <c r="O130" s="199">
        <f>'Staging Table'!BS132*Rates_current!$E$76*100*12</f>
        <v>9255065.4950400013</v>
      </c>
      <c r="P130" s="199">
        <f>'Staging Table'!BS132*Rates_current!$E$77*100*12</f>
        <v>-1626468.4915200002</v>
      </c>
      <c r="Q130" s="200">
        <f>SUMPRODUCT('Staging Table'!BY132:CV132, LS_Demand_Rates_Restatement!$C$5:$Z$5)-IF(Init!$R$12="No",('Staging Table'!DU132*Rates_current!$H$34), 0)</f>
        <v>-63425.43063590987</v>
      </c>
      <c r="R130" s="200">
        <f>SUMPRODUCT('Staging Table'!CW132:DH132, LS_Demand_Rates_Restatement!$C$11:$N$11)*1000</f>
        <v>373644.9268986914</v>
      </c>
      <c r="S130" s="201">
        <f>'Staging Table'!ED132*IF(Init!$R$15="Yes",IF(Init!$R$6=2024,Rates_current!$C$88,Rates_current!$D$88),Rates_current!$H$33)</f>
        <v>-12.020160937304901</v>
      </c>
      <c r="T130" s="201">
        <v>0</v>
      </c>
      <c r="U130" s="201">
        <f>IF('Staging Table'!D132=1, 'Staging Table'!BU132*-1*'Staging Table'!BS132/'Staging Table'!BR132,SUM(O130:T130)*'Staging Table'!BU132*-1)</f>
        <v>0</v>
      </c>
      <c r="V130" s="199">
        <f>'Staging Table'!BX132*Rates_current!$H$32*-1</f>
        <v>0</v>
      </c>
      <c r="W130" s="199">
        <f>IF('Staging Table'!C132=1,"", SUM(O130:V130))</f>
        <v>7938804.4796218453</v>
      </c>
      <c r="X130" s="199">
        <f>IF('Staging Table'!C132=1,"", (RT1SC!$C$4*'Staging Table'!BS132*'Staging Table'!$BS$2)+SUM('Staging Table'!BY132:CV132)-IF(Init!$R$12="No",'Staging Table'!DU132, 0))</f>
        <v>230511.51405660287</v>
      </c>
      <c r="Y130" s="297">
        <f>IF('Staging Table'!C132=1,"",IF(X130=0, 0, W130/X130))</f>
        <v>34.439947662104402</v>
      </c>
      <c r="Z130" s="76">
        <f ca="1">IF('Staging Table'!C132=1,"",(Y130/N130-1)+(RAND()/100000000000000))</f>
        <v>-3.2374269719435224E-2</v>
      </c>
      <c r="AA130" s="53">
        <f t="shared" ca="1" si="1"/>
        <v>118</v>
      </c>
      <c r="AC130" s="405"/>
      <c r="AD130" s="204"/>
      <c r="AE130" s="204"/>
      <c r="AG130" s="204"/>
      <c r="AH130" s="204"/>
    </row>
    <row r="131" spans="1:34">
      <c r="B131" s="123">
        <v>10482</v>
      </c>
      <c r="C131" s="124" t="s">
        <v>134</v>
      </c>
      <c r="D131" s="199">
        <f>IF(Init!$R$9="Yes",'Staging Table'!F133,'Staging Table'!BS133)*Rates_previous!$E$76*100*12</f>
        <v>998808.98348370439</v>
      </c>
      <c r="E131" s="199">
        <f>IF(Init!$R$9="Yes",'Staging Table'!F133,'Staging Table'!BS133)*Rates_previous!$E$77*100*12</f>
        <v>-164905.75980947132</v>
      </c>
      <c r="F131" s="200">
        <f>IF(Init!$R$9="Yes",SUMPRODUCT('Staging Table'!L133:AI133,LS_Demand_Rates_Restatement!$C$4:$Z$4)-IF(Init!$R$12="No",('Staging Table'!BH133*Rates_previous!$H$34), 0),SUMPRODUCT('Staging Table'!BY133:CV133,LS_Demand_Rates_Restatement!$C$4:$Z$4)-IF(Init!$R$12="No", 'Staging Table'!DU133*Rates_previous!$H$34, 0))</f>
        <v>-8786.3904438961727</v>
      </c>
      <c r="G131" s="200">
        <f>IF(Init!$R$9="Yes",SUMPRODUCT('Staging Table'!AJ133:AU133,LS_Demand_Rates_Restatement!$C$10:$N$10),SUMPRODUCT(LS_Demand_Rates_Restatement!$C$10:$N$10,'Staging Table'!CW133:DH133))*1000</f>
        <v>34002.31588945871</v>
      </c>
      <c r="H131" s="201">
        <f>IF(Init!$R$9="Yes",'Staging Table'!BQ133,'Staging Table'!ED133)*IF(Init!$R$3=2022,Rates_previous!$C$88,Rates_previous!$D$88)</f>
        <v>-1415.399996304161</v>
      </c>
      <c r="I131" s="199">
        <v>0</v>
      </c>
      <c r="J131" s="201">
        <f>IF(Init!$R$9="Yes",IF('Staging Table'!D133=1,'Staging Table'!H133*-1*'Staging Table'!BS133/'Staging Table'!BR133,'Staging Table'!H133*SUM(D131:I131)*(-1)),IF('Staging Table'!D133=1,'Staging Table'!BU133*-1*'Staging Table'!BS133/'Staging Table'!BR133,'Staging Table'!BU133*SUM(D131:I131)*(-1)))</f>
        <v>0</v>
      </c>
      <c r="K131" s="199">
        <f>IF(Init!$R$9="Yes",'Staging Table'!K133,'Staging Table'!BX133)*(-1)*Rates_previous!$H$32</f>
        <v>0</v>
      </c>
      <c r="L131" s="199">
        <f>IF('Staging Table'!C133=1,"",SUM(D131:K131))</f>
        <v>857703.74912349146</v>
      </c>
      <c r="M131" s="199">
        <f>IF('Staging Table'!C133=1,"",IF(Init!$R$9="Yes",(RT1SC!$C$3*'Staging Table'!F133*'Staging Table'!$F$2)+SUM('Staging Table'!L133:AI133)-IF(Init!$R$12="No",'Staging Table'!BH133, 0),X131))</f>
        <v>24379.633257264599</v>
      </c>
      <c r="N131" s="297">
        <f>IF('Staging Table'!C133=1,"",IF(M131=0, 0, L131/M131))</f>
        <v>35.18115880057033</v>
      </c>
      <c r="O131" s="199">
        <f>'Staging Table'!BS133*Rates_current!$E$76*100*12</f>
        <v>978767.02008000005</v>
      </c>
      <c r="P131" s="199">
        <f>'Staging Table'!BS133*Rates_current!$E$77*100*12</f>
        <v>-172006.74804000003</v>
      </c>
      <c r="Q131" s="200">
        <f>SUMPRODUCT('Staging Table'!BY133:CV133, LS_Demand_Rates_Restatement!$C$5:$Z$5)-IF(Init!$R$12="No",('Staging Table'!DU133*Rates_current!$H$34), 0)</f>
        <v>1976.3196887666227</v>
      </c>
      <c r="R131" s="200">
        <f>SUMPRODUCT('Staging Table'!CW133:DH133, LS_Demand_Rates_Restatement!$C$11:$N$11)*1000</f>
        <v>35602.7462385951</v>
      </c>
      <c r="S131" s="201">
        <f>'Staging Table'!ED133*IF(Init!$R$15="Yes",IF(Init!$R$6=2024,Rates_current!$C$88,Rates_current!$D$88),Rates_current!$H$33)</f>
        <v>-27.1361120153041</v>
      </c>
      <c r="T131" s="201">
        <v>0</v>
      </c>
      <c r="U131" s="201">
        <f>IF('Staging Table'!D133=1, 'Staging Table'!BU133*-1*'Staging Table'!BS133/'Staging Table'!BR133,SUM(O131:T131)*'Staging Table'!BU133*-1)</f>
        <v>0</v>
      </c>
      <c r="V131" s="199">
        <f>'Staging Table'!BX133*Rates_current!$H$32*-1</f>
        <v>0</v>
      </c>
      <c r="W131" s="199">
        <f>IF('Staging Table'!C133=1,"", SUM(O131:V131))</f>
        <v>844312.20185534633</v>
      </c>
      <c r="X131" s="199">
        <f>IF('Staging Table'!C133=1,"", (RT1SC!$C$4*'Staging Table'!BS133*'Staging Table'!$BS$2)+SUM('Staging Table'!BY133:CV133)-IF(Init!$R$12="No",'Staging Table'!DU133, 0))</f>
        <v>24379.632111740757</v>
      </c>
      <c r="Y131" s="297">
        <f>IF('Staging Table'!C133=1,"",IF(X131=0, 0, W131/X131))</f>
        <v>34.631868027604156</v>
      </c>
      <c r="Z131" s="76">
        <f ca="1">IF('Staging Table'!C133=1,"",(Y131/N131-1)+(RAND()/100000000000000))</f>
        <v>-1.5613208651817529E-2</v>
      </c>
      <c r="AA131" s="53">
        <f t="shared" ca="1" si="1"/>
        <v>87</v>
      </c>
      <c r="AC131" s="405"/>
      <c r="AD131" s="204"/>
      <c r="AE131" s="204"/>
      <c r="AG131" s="204"/>
      <c r="AH131" s="204"/>
    </row>
    <row r="132" spans="1:34">
      <c r="B132" s="123">
        <v>10502</v>
      </c>
      <c r="C132" s="124" t="s">
        <v>135</v>
      </c>
      <c r="D132" s="199">
        <f>IF(Init!$R$9="Yes",'Staging Table'!F134,'Staging Table'!BS134)*Rates_previous!$E$76*100*12</f>
        <v>6352808.8310844703</v>
      </c>
      <c r="E132" s="199">
        <f>IF(Init!$R$9="Yes",'Staging Table'!F134,'Staging Table'!BS134)*Rates_previous!$E$77*100*12</f>
        <v>-1048863.9815396653</v>
      </c>
      <c r="F132" s="200">
        <f>IF(Init!$R$9="Yes",SUMPRODUCT('Staging Table'!L134:AI134,LS_Demand_Rates_Restatement!$C$4:$Z$4)-IF(Init!$R$12="No",('Staging Table'!BH134*Rates_previous!$H$34), 0),SUMPRODUCT('Staging Table'!BY134:CV134,LS_Demand_Rates_Restatement!$C$4:$Z$4)-IF(Init!$R$12="No", 'Staging Table'!DU134*Rates_previous!$H$34, 0))</f>
        <v>-90336.272910045052</v>
      </c>
      <c r="G132" s="200">
        <f>IF(Init!$R$9="Yes",SUMPRODUCT('Staging Table'!AJ134:AU134,LS_Demand_Rates_Restatement!$C$10:$N$10),SUMPRODUCT(LS_Demand_Rates_Restatement!$C$10:$N$10,'Staging Table'!CW134:DH134))*1000</f>
        <v>269010.86689771188</v>
      </c>
      <c r="H132" s="201">
        <f>IF(Init!$R$9="Yes",'Staging Table'!BQ134,'Staging Table'!ED134)*IF(Init!$R$3=2022,Rates_previous!$C$88,Rates_previous!$D$88)</f>
        <v>0</v>
      </c>
      <c r="I132" s="199">
        <v>0</v>
      </c>
      <c r="J132" s="201">
        <f>IF(Init!$R$9="Yes",IF('Staging Table'!D134=1,'Staging Table'!H134*-1*'Staging Table'!BS134/'Staging Table'!BR134,'Staging Table'!H134*SUM(D132:I132)*(-1)),IF('Staging Table'!D134=1,'Staging Table'!BU134*-1*'Staging Table'!BS134/'Staging Table'!BR134,'Staging Table'!BU134*SUM(D132:I132)*(-1)))</f>
        <v>-396119.25479522097</v>
      </c>
      <c r="K132" s="199">
        <f>IF(Init!$R$9="Yes",'Staging Table'!K134,'Staging Table'!BX134)*(-1)*Rates_previous!$H$32</f>
        <v>-78367.6973</v>
      </c>
      <c r="L132" s="199">
        <f>IF('Staging Table'!C134=1,"",SUM(D132:K132))</f>
        <v>5008132.4914372498</v>
      </c>
      <c r="M132" s="199">
        <f>IF('Staging Table'!C134=1,"",IF(Init!$R$9="Yes",(RT1SC!$C$3*'Staging Table'!F134*'Staging Table'!$F$2)+SUM('Staging Table'!L134:AI134)-IF(Init!$R$12="No",'Staging Table'!BH134, 0),X132))</f>
        <v>156322.19999999998</v>
      </c>
      <c r="N132" s="297">
        <f>IF('Staging Table'!C134=1,"",IF(M132=0, 0, L132/M132))</f>
        <v>32.037244175409832</v>
      </c>
      <c r="O132" s="199">
        <f>'Staging Table'!BS134*Rates_current!$E$76*100*12</f>
        <v>6565137.7060800008</v>
      </c>
      <c r="P132" s="199">
        <f>'Staging Table'!BS134*Rates_current!$E$77*100*12</f>
        <v>-1153745.4410399999</v>
      </c>
      <c r="Q132" s="200">
        <f>SUMPRODUCT('Staging Table'!BY134:CV134, LS_Demand_Rates_Restatement!$C$5:$Z$5)-IF(Init!$R$12="No",('Staging Table'!DU134*Rates_current!$H$34), 0)</f>
        <v>166186.09462564153</v>
      </c>
      <c r="R132" s="200">
        <f>SUMPRODUCT('Staging Table'!CW134:DH134, LS_Demand_Rates_Restatement!$C$11:$N$11)*1000</f>
        <v>264897.26671888359</v>
      </c>
      <c r="S132" s="201">
        <f>'Staging Table'!ED134*IF(Init!$R$15="Yes",IF(Init!$R$6=2024,Rates_current!$C$88,Rates_current!$D$88),Rates_current!$H$33)</f>
        <v>-6.6071741875095178</v>
      </c>
      <c r="T132" s="201">
        <v>0</v>
      </c>
      <c r="U132" s="201">
        <f>IF('Staging Table'!D134=1, 'Staging Table'!BU134*-1*'Staging Table'!BS134/'Staging Table'!BR134,SUM(O132:T132)*'Staging Table'!BU134*-1)</f>
        <v>-408972.83134472376</v>
      </c>
      <c r="V132" s="199">
        <f>'Staging Table'!BX134*Rates_current!$H$32*-1</f>
        <v>-83184.794289999991</v>
      </c>
      <c r="W132" s="199">
        <f>IF('Staging Table'!C134=1,"", SUM(O132:V132))</f>
        <v>5350311.3935756152</v>
      </c>
      <c r="X132" s="199">
        <f>IF('Staging Table'!C134=1,"", (RT1SC!$C$4*'Staging Table'!BS134*'Staging Table'!$BS$2)+SUM('Staging Table'!BY134:CV134)-IF(Init!$R$12="No",'Staging Table'!DU134, 0))</f>
        <v>163515.14174950778</v>
      </c>
      <c r="Y132" s="297">
        <f>IF('Staging Table'!C134=1,"",IF(X132=0, 0, W132/X132))</f>
        <v>32.720586829639714</v>
      </c>
      <c r="Z132" s="76">
        <f ca="1">IF('Staging Table'!C134=1,"",(Y132/N132-1)+(RAND()/100000000000000))</f>
        <v>2.1329632801397165E-2</v>
      </c>
      <c r="AA132" s="53">
        <f t="shared" ref="AA132:AA138" ca="1" si="2">IF(Z132="","",RANK(Z132,$Z$4:$Z$138))</f>
        <v>12</v>
      </c>
      <c r="AC132" s="405"/>
      <c r="AD132" s="204"/>
      <c r="AE132" s="204"/>
      <c r="AG132" s="204"/>
      <c r="AH132" s="204"/>
    </row>
    <row r="133" spans="1:34">
      <c r="B133" s="143">
        <v>13927</v>
      </c>
      <c r="C133" s="144" t="s">
        <v>238</v>
      </c>
      <c r="D133" s="199">
        <f>IF(Init!$R$9="Yes",'Staging Table'!F135,'Staging Table'!BS135)*Rates_previous!$E$76*100*12</f>
        <v>1346053.9794223369</v>
      </c>
      <c r="E133" s="199">
        <f>IF(Init!$R$9="Yes",'Staging Table'!F135,'Staging Table'!BS135)*Rates_previous!$E$77*100*12</f>
        <v>-222236.74185127555</v>
      </c>
      <c r="F133" s="200">
        <f>IF(Init!$R$9="Yes",SUMPRODUCT('Staging Table'!L135:AI135,LS_Demand_Rates_Restatement!$C$4:$Z$4)-IF(Init!$R$12="No",('Staging Table'!BH135*Rates_previous!$H$34), 0),SUMPRODUCT('Staging Table'!BY135:CV135,LS_Demand_Rates_Restatement!$C$4:$Z$4)-IF(Init!$R$12="No", 'Staging Table'!DU135*Rates_previous!$H$34, 0))</f>
        <v>-52318.125326967449</v>
      </c>
      <c r="G133" s="200">
        <f>IF(Init!$R$9="Yes",SUMPRODUCT('Staging Table'!AJ135:AU135,LS_Demand_Rates_Restatement!$C$10:$N$10),SUMPRODUCT(LS_Demand_Rates_Restatement!$C$10:$N$10,'Staging Table'!CW135:DH135))*1000</f>
        <v>10087.374292592578</v>
      </c>
      <c r="H133" s="201">
        <f>IF(Init!$R$9="Yes",'Staging Table'!BQ135,'Staging Table'!ED135)*IF(Init!$R$3=2022,Rates_previous!$C$88,Rates_previous!$D$88)</f>
        <v>-12642.343183303577</v>
      </c>
      <c r="I133" s="199">
        <v>0</v>
      </c>
      <c r="J133" s="201">
        <f>IF(Init!$R$9="Yes",IF('Staging Table'!D135=1,'Staging Table'!H135*-1*'Staging Table'!BS135/'Staging Table'!BR135,'Staging Table'!H135*SUM(D133:I133)*(-1)),IF('Staging Table'!D135=1,'Staging Table'!BU135*-1*'Staging Table'!BS135/'Staging Table'!BR135,'Staging Table'!BU135*SUM(D133:I133)*(-1)))</f>
        <v>0</v>
      </c>
      <c r="K133" s="199">
        <f>IF(Init!$R$9="Yes",'Staging Table'!K135,'Staging Table'!BX135)*(-1)*Rates_previous!$H$32</f>
        <v>0</v>
      </c>
      <c r="L133" s="199">
        <f>IF('Staging Table'!C135=1,"",SUM(D133:K133))</f>
        <v>1068944.1433533828</v>
      </c>
      <c r="M133" s="199">
        <f>IF('Staging Table'!C135=1,"",IF(Init!$R$9="Yes",(RT1SC!$C$3*'Staging Table'!F135*'Staging Table'!$F$2)+SUM('Staging Table'!L135:AI135)-IF(Init!$R$12="No",'Staging Table'!BH135, 0),X133))</f>
        <v>31326.883694364034</v>
      </c>
      <c r="N133" s="297">
        <f>IF('Staging Table'!C135=1,"",IF(M133=0, 0, L133/M133))</f>
        <v>34.122262328496298</v>
      </c>
      <c r="O133" s="199">
        <f>'Staging Table'!BS135*Rates_current!$E$76*100*12</f>
        <v>1257774.1624799999</v>
      </c>
      <c r="P133" s="199">
        <f>'Staging Table'!BS135*Rates_current!$E$77*100*12</f>
        <v>-221038.95923999997</v>
      </c>
      <c r="Q133" s="200">
        <f>SUMPRODUCT('Staging Table'!BY135:CV135, LS_Demand_Rates_Restatement!$C$5:$Z$5)-IF(Init!$R$12="No",('Staging Table'!DU135*Rates_current!$H$34), 0)</f>
        <v>19404.338233877177</v>
      </c>
      <c r="R133" s="200">
        <f>SUMPRODUCT('Staging Table'!CW135:DH135, LS_Demand_Rates_Restatement!$C$11:$N$11)*1000</f>
        <v>13890.70799145298</v>
      </c>
      <c r="S133" s="201">
        <f>'Staging Table'!ED135*IF(Init!$R$15="Yes",IF(Init!$R$6=2024,Rates_current!$C$88,Rates_current!$D$88),Rates_current!$H$33)</f>
        <v>-21.119706384671154</v>
      </c>
      <c r="T133" s="201">
        <v>0</v>
      </c>
      <c r="U133" s="201">
        <f>IF('Staging Table'!D135=1, 'Staging Table'!BU135*-1*'Staging Table'!BS135/'Staging Table'!BR135,SUM(O133:T133)*'Staging Table'!BU135*-1)</f>
        <v>0</v>
      </c>
      <c r="V133" s="199">
        <f>'Staging Table'!BX135*Rates_current!$H$32*-1</f>
        <v>0</v>
      </c>
      <c r="W133" s="199">
        <f>IF('Staging Table'!C135=1,"", SUM(O133:V133))</f>
        <v>1070009.1297589454</v>
      </c>
      <c r="X133" s="199">
        <f>IF('Staging Table'!C135=1,"", (RT1SC!$C$4*'Staging Table'!BS135*'Staging Table'!$BS$2)+SUM('Staging Table'!BY135:CV135)-IF(Init!$R$12="No",'Staging Table'!DU135, 0))</f>
        <v>31326.882143593561</v>
      </c>
      <c r="Y133" s="297">
        <f>IF('Staging Table'!C135=1,"",IF(X133=0, 0, W133/X133))</f>
        <v>34.156259944871834</v>
      </c>
      <c r="Z133" s="76">
        <f ca="1">IF('Staging Table'!C135=1,"",(Y133/N133-1)+(RAND()/100000000000000))</f>
        <v>9.963470782908383E-4</v>
      </c>
      <c r="AA133" s="53">
        <f t="shared" ca="1" si="2"/>
        <v>31</v>
      </c>
      <c r="AC133" s="405"/>
      <c r="AD133" s="204"/>
      <c r="AE133" s="204"/>
      <c r="AG133" s="204"/>
      <c r="AH133" s="204"/>
    </row>
    <row r="134" spans="1:34">
      <c r="B134" s="123">
        <v>10597</v>
      </c>
      <c r="C134" s="124" t="s">
        <v>136</v>
      </c>
      <c r="D134" s="199">
        <f>IF(Init!$R$9="Yes",'Staging Table'!F136,'Staging Table'!BS136)*Rates_previous!$E$76*100*12</f>
        <v>4381330.1628444847</v>
      </c>
      <c r="E134" s="199">
        <f>IF(Init!$R$9="Yes",'Staging Table'!F136,'Staging Table'!BS136)*Rates_previous!$E$77*100*12</f>
        <v>-723368.12286171457</v>
      </c>
      <c r="F134" s="200">
        <f>IF(Init!$R$9="Yes",SUMPRODUCT('Staging Table'!L136:AI136,LS_Demand_Rates_Restatement!$C$4:$Z$4)-IF(Init!$R$12="No",('Staging Table'!BH136*Rates_previous!$H$34), 0),SUMPRODUCT('Staging Table'!BY136:CV136,LS_Demand_Rates_Restatement!$C$4:$Z$4)-IF(Init!$R$12="No", 'Staging Table'!DU136*Rates_previous!$H$34, 0))</f>
        <v>59834.542451754634</v>
      </c>
      <c r="G134" s="200">
        <f>IF(Init!$R$9="Yes",SUMPRODUCT('Staging Table'!AJ136:AU136,LS_Demand_Rates_Restatement!$C$10:$N$10),SUMPRODUCT(LS_Demand_Rates_Restatement!$C$10:$N$10,'Staging Table'!CW136:DH136))*1000</f>
        <v>206878.12192215098</v>
      </c>
      <c r="H134" s="201">
        <f>IF(Init!$R$9="Yes",'Staging Table'!BQ136,'Staging Table'!ED136)*IF(Init!$R$3=2022,Rates_previous!$C$88,Rates_previous!$D$88)</f>
        <v>2098.0917182057519</v>
      </c>
      <c r="I134" s="199">
        <v>0</v>
      </c>
      <c r="J134" s="201">
        <f>IF(Init!$R$9="Yes",IF('Staging Table'!D136=1,'Staging Table'!H136*-1*'Staging Table'!BS136/'Staging Table'!BR136,'Staging Table'!H136*SUM(D134:I134)*(-1)),IF('Staging Table'!D136=1,'Staging Table'!BU136*-1*'Staging Table'!BS136/'Staging Table'!BR136,'Staging Table'!BU136*SUM(D134:I134)*(-1)))</f>
        <v>0</v>
      </c>
      <c r="K134" s="199">
        <f>IF(Init!$R$9="Yes",'Staging Table'!K136,'Staging Table'!BX136)*(-1)*Rates_previous!$H$32</f>
        <v>0</v>
      </c>
      <c r="L134" s="199">
        <f>IF('Staging Table'!C136=1,"",SUM(D134:K134))</f>
        <v>3926772.7960748817</v>
      </c>
      <c r="M134" s="199">
        <f>IF('Staging Table'!C136=1,"",IF(Init!$R$9="Yes",(RT1SC!$C$3*'Staging Table'!F136*'Staging Table'!$F$2)+SUM('Staging Table'!L136:AI136)-IF(Init!$R$12="No",'Staging Table'!BH136, 0),X134))</f>
        <v>108107.15999999999</v>
      </c>
      <c r="N134" s="297">
        <f>IF('Staging Table'!C136=1,"",IF(M134=0, 0, L134/M134))</f>
        <v>36.322966916112513</v>
      </c>
      <c r="O134" s="199">
        <f>'Staging Table'!BS136*Rates_current!$E$76*100*12</f>
        <v>4343294.2212000005</v>
      </c>
      <c r="P134" s="199">
        <f>'Staging Table'!BS136*Rates_current!$E$77*100*12</f>
        <v>-763282.68060000008</v>
      </c>
      <c r="Q134" s="200">
        <f>SUMPRODUCT('Staging Table'!BY136:CV136, LS_Demand_Rates_Restatement!$C$5:$Z$5)-IF(Init!$R$12="No",('Staging Table'!DU136*Rates_current!$H$34), 0)</f>
        <v>176981.66142321369</v>
      </c>
      <c r="R134" s="200">
        <f>SUMPRODUCT('Staging Table'!CW136:DH136, LS_Demand_Rates_Restatement!$C$11:$N$11)*1000</f>
        <v>211034.60247609511</v>
      </c>
      <c r="S134" s="201">
        <f>'Staging Table'!ED136*IF(Init!$R$15="Yes",IF(Init!$R$6=2024,Rates_current!$C$88,Rates_current!$D$88),Rates_current!$H$33)</f>
        <v>5.939252920064173</v>
      </c>
      <c r="T134" s="201">
        <v>0</v>
      </c>
      <c r="U134" s="201">
        <f>IF('Staging Table'!D136=1, 'Staging Table'!BU136*-1*'Staging Table'!BS136/'Staging Table'!BR136,SUM(O134:T134)*'Staging Table'!BU136*-1)</f>
        <v>0</v>
      </c>
      <c r="V134" s="199">
        <f>'Staging Table'!BX136*Rates_current!$H$32*-1</f>
        <v>0</v>
      </c>
      <c r="W134" s="199">
        <f>IF('Staging Table'!C136=1,"", SUM(O134:V134))</f>
        <v>3968033.7437522295</v>
      </c>
      <c r="X134" s="199">
        <f>IF('Staging Table'!C136=1,"", (RT1SC!$C$4*'Staging Table'!BS136*'Staging Table'!$BS$2)+SUM('Staging Table'!BY136:CV136)-IF(Init!$R$12="No",'Staging Table'!DU136, 0))</f>
        <v>108174.07749585139</v>
      </c>
      <c r="Y134" s="297">
        <f>IF('Staging Table'!C136=1,"",IF(X134=0, 0, W134/X134))</f>
        <v>36.68192819952089</v>
      </c>
      <c r="Z134" s="76">
        <f ca="1">IF('Staging Table'!C136=1,"",(Y134/N134-1)+(RAND()/100000000000000))</f>
        <v>9.8824879651933564E-3</v>
      </c>
      <c r="AA134" s="53">
        <f t="shared" ca="1" si="2"/>
        <v>15</v>
      </c>
      <c r="AC134" s="405"/>
      <c r="AD134" s="204"/>
      <c r="AE134" s="204"/>
      <c r="AG134" s="204"/>
      <c r="AH134" s="204"/>
    </row>
    <row r="135" spans="1:34">
      <c r="B135" s="123">
        <v>10706</v>
      </c>
      <c r="C135" s="124" t="s">
        <v>137</v>
      </c>
      <c r="D135" s="199">
        <f>IF(Init!$R$9="Yes",'Staging Table'!F137,'Staging Table'!BS137)*Rates_previous!$E$76*100*12</f>
        <v>5867433.2290266016</v>
      </c>
      <c r="E135" s="199">
        <f>IF(Init!$R$9="Yes",'Staging Table'!F137,'Staging Table'!BS137)*Rates_previous!$E$77*100*12</f>
        <v>-968727.30498399411</v>
      </c>
      <c r="F135" s="200">
        <f>IF(Init!$R$9="Yes",SUMPRODUCT('Staging Table'!L137:AI137,LS_Demand_Rates_Restatement!$C$4:$Z$4)-IF(Init!$R$12="No",('Staging Table'!BH137*Rates_previous!$H$34), 0),SUMPRODUCT('Staging Table'!BY137:CV137,LS_Demand_Rates_Restatement!$C$4:$Z$4)-IF(Init!$R$12="No", 'Staging Table'!DU137*Rates_previous!$H$34, 0))</f>
        <v>-36608.64498657301</v>
      </c>
      <c r="G135" s="200">
        <f>IF(Init!$R$9="Yes",SUMPRODUCT('Staging Table'!AJ137:AU137,LS_Demand_Rates_Restatement!$C$10:$N$10),SUMPRODUCT(LS_Demand_Rates_Restatement!$C$10:$N$10,'Staging Table'!CW137:DH137))*1000</f>
        <v>228098.93106493048</v>
      </c>
      <c r="H135" s="201">
        <f>IF(Init!$R$9="Yes",'Staging Table'!BQ137,'Staging Table'!ED137)*IF(Init!$R$3=2022,Rates_previous!$C$88,Rates_previous!$D$88)</f>
        <v>0</v>
      </c>
      <c r="I135" s="199">
        <v>0</v>
      </c>
      <c r="J135" s="201">
        <f>IF(Init!$R$9="Yes",IF('Staging Table'!D137=1,'Staging Table'!H137*-1*'Staging Table'!BS137/'Staging Table'!BR137,'Staging Table'!H137*SUM(D135:I135)*(-1)),IF('Staging Table'!D137=1,'Staging Table'!BU137*-1*'Staging Table'!BS137/'Staging Table'!BR137,'Staging Table'!BU137*SUM(D135:I135)*(-1)))</f>
        <v>0</v>
      </c>
      <c r="K135" s="199">
        <f>IF(Init!$R$9="Yes",'Staging Table'!K137,'Staging Table'!BX137)*(-1)*Rates_previous!$H$32</f>
        <v>0</v>
      </c>
      <c r="L135" s="199">
        <f>IF('Staging Table'!C137=1,"",SUM(D135:K135))</f>
        <v>5090196.2101209657</v>
      </c>
      <c r="M135" s="199">
        <f>IF('Staging Table'!C137=1,"",IF(Init!$R$9="Yes",(RT1SC!$C$3*'Staging Table'!F137*'Staging Table'!$F$2)+SUM('Staging Table'!L137:AI137)-IF(Init!$R$12="No",'Staging Table'!BH137, 0),X135))</f>
        <v>144382.32</v>
      </c>
      <c r="N135" s="297">
        <f>IF('Staging Table'!C137=1,"",IF(M135=0, 0, L135/M135))</f>
        <v>35.254982813137822</v>
      </c>
      <c r="O135" s="199">
        <f>'Staging Table'!BS137*Rates_current!$E$76*100*12</f>
        <v>5908474.4673599992</v>
      </c>
      <c r="P135" s="199">
        <f>'Staging Table'!BS137*Rates_current!$E$77*100*12</f>
        <v>-1038344.62968</v>
      </c>
      <c r="Q135" s="200">
        <f>SUMPRODUCT('Staging Table'!BY137:CV137, LS_Demand_Rates_Restatement!$C$5:$Z$5)-IF(Init!$R$12="No",('Staging Table'!DU137*Rates_current!$H$34), 0)</f>
        <v>25338.082936686085</v>
      </c>
      <c r="R135" s="200">
        <f>SUMPRODUCT('Staging Table'!CW137:DH137, LS_Demand_Rates_Restatement!$C$11:$N$11)*1000</f>
        <v>229434.67946362172</v>
      </c>
      <c r="S135" s="201">
        <f>'Staging Table'!ED137*IF(Init!$R$15="Yes",IF(Init!$R$6=2024,Rates_current!$C$88,Rates_current!$D$88),Rates_current!$H$33)</f>
        <v>28.039370346478247</v>
      </c>
      <c r="T135" s="201">
        <v>0</v>
      </c>
      <c r="U135" s="201">
        <f>IF('Staging Table'!D137=1, 'Staging Table'!BU137*-1*'Staging Table'!BS137/'Staging Table'!BR137,SUM(O135:T135)*'Staging Table'!BU137*-1)</f>
        <v>0</v>
      </c>
      <c r="V135" s="199">
        <f>'Staging Table'!BX137*Rates_current!$H$32*-1</f>
        <v>0</v>
      </c>
      <c r="W135" s="199">
        <f>IF('Staging Table'!C137=1,"", SUM(O135:V135))</f>
        <v>5124930.6394506544</v>
      </c>
      <c r="X135" s="199">
        <f>IF('Staging Table'!C137=1,"", (RT1SC!$C$4*'Staging Table'!BS137*'Staging Table'!$BS$2)+SUM('Staging Table'!BY137:CV137)-IF(Init!$R$12="No",'Staging Table'!DU137, 0))</f>
        <v>147154.18567453991</v>
      </c>
      <c r="Y135" s="297">
        <f>IF('Staging Table'!C137=1,"",IF(X135=0, 0, W135/X135))</f>
        <v>34.826944377820382</v>
      </c>
      <c r="Z135" s="76">
        <f ca="1">IF('Staging Table'!C137=1,"",(Y135/N135-1)+(RAND()/100000000000000))</f>
        <v>-1.2141218096343076E-2</v>
      </c>
      <c r="AA135" s="53">
        <f t="shared" ca="1" si="2"/>
        <v>76</v>
      </c>
      <c r="AC135" s="405"/>
      <c r="AD135" s="204"/>
      <c r="AE135" s="204"/>
      <c r="AG135" s="204"/>
      <c r="AH135" s="204"/>
    </row>
    <row r="136" spans="1:34">
      <c r="B136" s="123">
        <v>11680</v>
      </c>
      <c r="C136" s="124" t="s">
        <v>138</v>
      </c>
      <c r="D136" s="199">
        <f>IF(Init!$R$9="Yes",'Staging Table'!F138,'Staging Table'!BS138)*Rates_previous!$E$76*100*12</f>
        <v>2149177.9375704583</v>
      </c>
      <c r="E136" s="199">
        <f>IF(Init!$R$9="Yes",'Staging Table'!F138,'Staging Table'!BS138)*Rates_previous!$E$77*100*12</f>
        <v>-354834.43443276884</v>
      </c>
      <c r="F136" s="200">
        <f>IF(Init!$R$9="Yes",SUMPRODUCT('Staging Table'!L138:AI138,LS_Demand_Rates_Restatement!$C$4:$Z$4)-IF(Init!$R$12="No",('Staging Table'!BH138*Rates_previous!$H$34), 0),SUMPRODUCT('Staging Table'!BY138:CV138,LS_Demand_Rates_Restatement!$C$4:$Z$4)-IF(Init!$R$12="No", 'Staging Table'!DU138*Rates_previous!$H$34, 0))</f>
        <v>34211.022528781265</v>
      </c>
      <c r="G136" s="200">
        <f>IF(Init!$R$9="Yes",SUMPRODUCT('Staging Table'!AJ138:AU138,LS_Demand_Rates_Restatement!$C$10:$N$10),SUMPRODUCT(LS_Demand_Rates_Restatement!$C$10:$N$10,'Staging Table'!CW138:DH138))*1000</f>
        <v>58443.509003490057</v>
      </c>
      <c r="H136" s="201">
        <f>IF(Init!$R$9="Yes",'Staging Table'!BQ138,'Staging Table'!ED138)*IF(Init!$R$3=2022,Rates_previous!$C$88,Rates_previous!$D$88)</f>
        <v>0</v>
      </c>
      <c r="I136" s="199">
        <v>0</v>
      </c>
      <c r="J136" s="201">
        <f>IF(Init!$R$9="Yes",IF('Staging Table'!D138=1,'Staging Table'!H138*-1*'Staging Table'!BS138/'Staging Table'!BR138,'Staging Table'!H138*SUM(D136:I136)*(-1)),IF('Staging Table'!D138=1,'Staging Table'!BU138*-1*'Staging Table'!BS138/'Staging Table'!BR138,'Staging Table'!BU138*SUM(D136:I136)*(-1)))</f>
        <v>0</v>
      </c>
      <c r="K136" s="199">
        <f>IF(Init!$R$9="Yes",'Staging Table'!K138,'Staging Table'!BX138)*(-1)*Rates_previous!$H$32</f>
        <v>0</v>
      </c>
      <c r="L136" s="199">
        <f>IF('Staging Table'!C138=1,"",SUM(D136:K136))</f>
        <v>1886998.0346699608</v>
      </c>
      <c r="M136" s="199">
        <f>IF('Staging Table'!C138=1,"",IF(Init!$R$9="Yes",(RT1SC!$C$3*'Staging Table'!F138*'Staging Table'!$F$2)+SUM('Staging Table'!L138:AI138)-IF(Init!$R$12="No",'Staging Table'!BH138, 0),X136))</f>
        <v>52884.12</v>
      </c>
      <c r="N136" s="297">
        <f>IF('Staging Table'!C138=1,"",IF(M136=0, 0, L136/M136))</f>
        <v>35.681751623549012</v>
      </c>
      <c r="O136" s="199">
        <f>'Staging Table'!BS138*Rates_current!$E$76*100*12</f>
        <v>2232057.1392000001</v>
      </c>
      <c r="P136" s="199">
        <f>'Staging Table'!BS138*Rates_current!$E$77*100*12</f>
        <v>-392257.68960000004</v>
      </c>
      <c r="Q136" s="200">
        <f>SUMPRODUCT('Staging Table'!BY138:CV138, LS_Demand_Rates_Restatement!$C$5:$Z$5)-IF(Init!$R$12="No",('Staging Table'!DU138*Rates_current!$H$34), 0)</f>
        <v>99448.175136800637</v>
      </c>
      <c r="R136" s="200">
        <f>SUMPRODUCT('Staging Table'!CW138:DH138, LS_Demand_Rates_Restatement!$C$11:$N$11)*1000</f>
        <v>52466.508926068433</v>
      </c>
      <c r="S136" s="201">
        <f>'Staging Table'!ED138*IF(Init!$R$15="Yes",IF(Init!$R$6=2024,Rates_current!$C$88,Rates_current!$D$88),Rates_current!$H$33)</f>
        <v>0</v>
      </c>
      <c r="T136" s="201">
        <v>0</v>
      </c>
      <c r="U136" s="201">
        <f>IF('Staging Table'!D138=1, 'Staging Table'!BU138*-1*'Staging Table'!BS138/'Staging Table'!BR138,SUM(O136:T136)*'Staging Table'!BU138*-1)</f>
        <v>0</v>
      </c>
      <c r="V136" s="199">
        <f>'Staging Table'!BX138*Rates_current!$H$32*-1</f>
        <v>0</v>
      </c>
      <c r="W136" s="199">
        <f>IF('Staging Table'!C138=1,"", SUM(O136:V136))</f>
        <v>1991714.133662869</v>
      </c>
      <c r="X136" s="199">
        <f>IF('Staging Table'!C138=1,"", (RT1SC!$C$4*'Staging Table'!BS138*'Staging Table'!$BS$2)+SUM('Staging Table'!BY138:CV138)-IF(Init!$R$12="No",'Staging Table'!DU138, 0))</f>
        <v>55593.935999999994</v>
      </c>
      <c r="Y136" s="297">
        <f>IF('Staging Table'!C138=1,"",IF(X136=0, 0, W136/X136))</f>
        <v>35.826104013626043</v>
      </c>
      <c r="Z136" s="76">
        <f ca="1">IF('Staging Table'!C138=1,"",(Y136/N136-1)+(RAND()/100000000000000))</f>
        <v>4.0455522363388782E-3</v>
      </c>
      <c r="AA136" s="53">
        <f t="shared" ca="1" si="2"/>
        <v>23</v>
      </c>
      <c r="AC136" s="405"/>
      <c r="AD136" s="204"/>
      <c r="AE136" s="204"/>
      <c r="AG136" s="204"/>
      <c r="AH136" s="204"/>
    </row>
    <row r="137" spans="1:34">
      <c r="B137" s="123">
        <v>12026</v>
      </c>
      <c r="C137" s="124" t="s">
        <v>139</v>
      </c>
      <c r="D137" s="199">
        <f>IF(Init!$R$9="Yes",'Staging Table'!F139,'Staging Table'!BS139)*Rates_previous!$E$76*100*12</f>
        <v>15340171.201797262</v>
      </c>
      <c r="E137" s="199">
        <f>IF(Init!$R$9="Yes",'Staging Table'!F139,'Staging Table'!BS139)*Rates_previous!$E$77*100*12</f>
        <v>-2532699.07406777</v>
      </c>
      <c r="F137" s="200">
        <f>IF(Init!$R$9="Yes",SUMPRODUCT('Staging Table'!L139:AI139,LS_Demand_Rates_Restatement!$C$4:$Z$4)-IF(Init!$R$12="No",('Staging Table'!BH139*Rates_previous!$H$34), 0),SUMPRODUCT('Staging Table'!BY139:CV139,LS_Demand_Rates_Restatement!$C$4:$Z$4)-IF(Init!$R$12="No", 'Staging Table'!DU139*Rates_previous!$H$34, 0))</f>
        <v>250247.68410437787</v>
      </c>
      <c r="G137" s="200">
        <f>IF(Init!$R$9="Yes",SUMPRODUCT('Staging Table'!AJ139:AU139,LS_Demand_Rates_Restatement!$C$10:$N$10),SUMPRODUCT(LS_Demand_Rates_Restatement!$C$10:$N$10,'Staging Table'!CW139:DH139))*1000</f>
        <v>675432.3526669069</v>
      </c>
      <c r="H137" s="201">
        <f>IF(Init!$R$9="Yes",'Staging Table'!BQ139,'Staging Table'!ED139)*IF(Init!$R$3=2022,Rates_previous!$C$88,Rates_previous!$D$88)</f>
        <v>0</v>
      </c>
      <c r="I137" s="199">
        <v>0</v>
      </c>
      <c r="J137" s="201">
        <f>IF(Init!$R$9="Yes",IF('Staging Table'!D139=1,'Staging Table'!H139*-1*'Staging Table'!BS139/'Staging Table'!BR139,'Staging Table'!H139*SUM(D137:I137)*(-1)),IF('Staging Table'!D139=1,'Staging Table'!BU139*-1*'Staging Table'!BS139/'Staging Table'!BR139,'Staging Table'!BU139*SUM(D137:I137)*(-1)))</f>
        <v>0</v>
      </c>
      <c r="K137" s="199">
        <f>IF(Init!$R$9="Yes",'Staging Table'!K139,'Staging Table'!BX139)*(-1)*Rates_previous!$H$32</f>
        <v>0</v>
      </c>
      <c r="L137" s="199">
        <f>IF('Staging Table'!C139=1,"",SUM(D137:K137))</f>
        <v>13733152.164500777</v>
      </c>
      <c r="M137" s="199">
        <f>IF('Staging Table'!C139=1,"",IF(Init!$R$9="Yes",(RT1SC!$C$3*'Staging Table'!F139*'Staging Table'!$F$2)+SUM('Staging Table'!L139:AI139)-IF(Init!$R$12="No",'Staging Table'!BH139, 0),X137))</f>
        <v>377477.16000000003</v>
      </c>
      <c r="N137" s="297">
        <f>IF('Staging Table'!C139=1,"",IF(M137=0, 0, L137/M137))</f>
        <v>36.381412227698164</v>
      </c>
      <c r="O137" s="199">
        <f>'Staging Table'!BS139*Rates_current!$E$76*100*12</f>
        <v>15931806.058080001</v>
      </c>
      <c r="P137" s="199">
        <f>'Staging Table'!BS139*Rates_current!$E$77*100*12</f>
        <v>-2799826.8170399996</v>
      </c>
      <c r="Q137" s="200">
        <f>SUMPRODUCT('Staging Table'!BY139:CV139, LS_Demand_Rates_Restatement!$C$5:$Z$5)-IF(Init!$R$12="No",('Staging Table'!DU139*Rates_current!$H$34), 0)</f>
        <v>345379.30643872666</v>
      </c>
      <c r="R137" s="200">
        <f>SUMPRODUCT('Staging Table'!CW139:DH139, LS_Demand_Rates_Restatement!$C$11:$N$11)*1000</f>
        <v>668404.69099086535</v>
      </c>
      <c r="S137" s="201">
        <f>'Staging Table'!ED139*IF(Init!$R$15="Yes",IF(Init!$R$6=2024,Rates_current!$C$88,Rates_current!$D$88),Rates_current!$H$33)</f>
        <v>0</v>
      </c>
      <c r="T137" s="201">
        <v>0</v>
      </c>
      <c r="U137" s="201">
        <f>IF('Staging Table'!D139=1, 'Staging Table'!BU139*-1*'Staging Table'!BS139/'Staging Table'!BR139,SUM(O137:T137)*'Staging Table'!BU139*-1)</f>
        <v>0</v>
      </c>
      <c r="V137" s="199">
        <f>'Staging Table'!BX139*Rates_current!$H$32*-1</f>
        <v>0</v>
      </c>
      <c r="W137" s="199">
        <f>IF('Staging Table'!C139=1,"", SUM(O137:V137))</f>
        <v>14145763.238469593</v>
      </c>
      <c r="X137" s="199">
        <f>IF('Staging Table'!C139=1,"", (RT1SC!$C$4*'Staging Table'!BS139*'Staging Table'!$BS$2)+SUM('Staging Table'!BY139:CV139)-IF(Init!$R$12="No",'Staging Table'!DU139, 0))</f>
        <v>396799.63200000004</v>
      </c>
      <c r="Y137" s="297">
        <f>IF('Staging Table'!C139=1,"",IF(X137=0, 0, W137/X137))</f>
        <v>35.649637997823525</v>
      </c>
      <c r="Z137" s="76">
        <f ca="1">IF('Staging Table'!C139=1,"",(Y137/N137-1)+(RAND()/100000000000000))</f>
        <v>-2.0113958889076022E-2</v>
      </c>
      <c r="AA137" s="53">
        <f t="shared" ca="1" si="2"/>
        <v>103</v>
      </c>
      <c r="AC137" s="405"/>
      <c r="AD137" s="204"/>
      <c r="AE137" s="204"/>
      <c r="AG137" s="204"/>
      <c r="AH137" s="204"/>
    </row>
    <row r="138" spans="1:34">
      <c r="B138" s="123">
        <v>10298</v>
      </c>
      <c r="C138" s="124" t="s">
        <v>140</v>
      </c>
      <c r="D138" s="199">
        <f>IF(Init!$R$9="Yes",'Staging Table'!F140,'Staging Table'!BS140)*Rates_previous!$E$76*100*12</f>
        <v>204357277.26108623</v>
      </c>
      <c r="E138" s="199">
        <f>IF(Init!$R$9="Yes",'Staging Table'!F140,'Staging Table'!BS140)*Rates_previous!$E$77*100*12</f>
        <v>-33739876.829896398</v>
      </c>
      <c r="F138" s="200">
        <f>IF(Init!$R$9="Yes",SUMPRODUCT('Staging Table'!L140:AI140,LS_Demand_Rates_Restatement!$C$4:$Z$4)-IF(Init!$R$12="No",('Staging Table'!BH140*Rates_previous!$H$34), 0),SUMPRODUCT('Staging Table'!BY140:CV140,LS_Demand_Rates_Restatement!$C$4:$Z$4)-IF(Init!$R$12="No", 'Staging Table'!DU140*Rates_previous!$H$34, 0))</f>
        <v>2886706.222761305</v>
      </c>
      <c r="G138" s="200">
        <f>IF(Init!$R$9="Yes",SUMPRODUCT('Staging Table'!AJ140:AU140,LS_Demand_Rates_Restatement!$C$10:$N$10),SUMPRODUCT(LS_Demand_Rates_Restatement!$C$10:$N$10,'Staging Table'!CW140:DH140))*1000</f>
        <v>12105395.683502745</v>
      </c>
      <c r="H138" s="201">
        <f>IF(Init!$R$9="Yes",'Staging Table'!BQ140,'Staging Table'!ED140)*IF(Init!$R$3=2022,Rates_previous!$C$88,Rates_previous!$D$88)</f>
        <v>0</v>
      </c>
      <c r="I138" s="199">
        <v>0</v>
      </c>
      <c r="J138" s="201">
        <f>IF(Init!$R$9="Yes",IF('Staging Table'!D140=1,'Staging Table'!H140*-1*'Staging Table'!BS140/'Staging Table'!BR140,'Staging Table'!H140*SUM(D138:I138)*(-1)),IF('Staging Table'!D140=1,'Staging Table'!BU140*-1*'Staging Table'!BS140/'Staging Table'!BR140,'Staging Table'!BU140*SUM(D138:I138)*(-1)))</f>
        <v>-9748393.3086277694</v>
      </c>
      <c r="K138" s="199">
        <f>IF(Init!$R$9="Yes",'Staging Table'!K140,'Staging Table'!BX140)*(-1)*Rates_previous!$H$32</f>
        <v>-2381457.1899000001</v>
      </c>
      <c r="L138" s="199">
        <f>IF('Staging Table'!C140=1,"",SUM(D138:K138))</f>
        <v>173479651.83892611</v>
      </c>
      <c r="M138" s="199">
        <f>IF('Staging Table'!C140=1,"",IF(Init!$R$9="Yes",(RT1SC!$C$3*'Staging Table'!F140*'Staging Table'!$F$2)+SUM('Staging Table'!L140:AI140)-IF(Init!$R$12="No",'Staging Table'!BH140, 0),X138))</f>
        <v>5032733.88</v>
      </c>
      <c r="N138" s="297">
        <f>IF('Staging Table'!C140=1,"",IF(M138=0, 0, L138/M138))</f>
        <v>34.470261288468151</v>
      </c>
      <c r="O138" s="199">
        <f>'Staging Table'!BS140*Rates_current!$E$76*100*12</f>
        <v>210947335.82783997</v>
      </c>
      <c r="P138" s="199">
        <f>'Staging Table'!BS140*Rates_current!$E$77*100*12</f>
        <v>-37071503.737920001</v>
      </c>
      <c r="Q138" s="200">
        <f>SUMPRODUCT('Staging Table'!BY140:CV140, LS_Demand_Rates_Restatement!$C$5:$Z$5)-IF(Init!$R$12="No",('Staging Table'!DU140*Rates_current!$H$34), 0)</f>
        <v>6495227.9609705079</v>
      </c>
      <c r="R138" s="200">
        <f>SUMPRODUCT('Staging Table'!CW140:DH140, LS_Demand_Rates_Restatement!$C$11:$N$11)*1000</f>
        <v>12198696.416568385</v>
      </c>
      <c r="S138" s="201">
        <f>'Staging Table'!ED140*IF(Init!$R$15="Yes",IF(Init!$R$6=2024,Rates_current!$C$88,Rates_current!$D$88),Rates_current!$H$33)</f>
        <v>0</v>
      </c>
      <c r="T138" s="201">
        <v>0</v>
      </c>
      <c r="U138" s="201">
        <f>IF('Staging Table'!D140=1, 'Staging Table'!BU140*-1*'Staging Table'!BS140/'Staging Table'!BR140,SUM(O138:T138)*'Staging Table'!BU140*-1)</f>
        <v>-9975501.3551306315</v>
      </c>
      <c r="V138" s="199">
        <f>'Staging Table'!BX140*Rates_current!$H$32*-1</f>
        <v>-2527840.3382700002</v>
      </c>
      <c r="W138" s="199">
        <f>IF('Staging Table'!C140=1,"", SUM(O138:V138))</f>
        <v>180066414.77405825</v>
      </c>
      <c r="X138" s="199">
        <f>IF('Staging Table'!C140=1,"", (RT1SC!$C$4*'Staging Table'!BS140*'Staging Table'!$BS$2)+SUM('Staging Table'!BY140:CV140)-IF(Init!$R$12="No",'Staging Table'!DU140, 0))</f>
        <v>5254528.9200827638</v>
      </c>
      <c r="Y138" s="297">
        <f>IF('Staging Table'!C140=1,"",IF(X138=0, 0, W138/X138))</f>
        <v>34.268802686734865</v>
      </c>
      <c r="Z138" s="76">
        <f ca="1">IF('Staging Table'!C140=1,"",(Y138/N138-1)+(RAND()/100000000000000))</f>
        <v>-5.8444175994853825E-3</v>
      </c>
      <c r="AA138" s="53">
        <f t="shared" ca="1" si="2"/>
        <v>46</v>
      </c>
      <c r="AC138" s="405"/>
      <c r="AD138" s="204"/>
      <c r="AE138" s="204"/>
      <c r="AG138" s="204"/>
      <c r="AH138" s="204"/>
    </row>
    <row r="139" spans="1:34">
      <c r="B139" s="239"/>
      <c r="C139" s="239"/>
      <c r="D139" s="239"/>
      <c r="E139" s="239"/>
      <c r="F139" s="239"/>
      <c r="G139" s="239"/>
      <c r="H139" s="239"/>
      <c r="I139" s="239"/>
      <c r="J139" s="239"/>
      <c r="K139" s="239"/>
      <c r="L139" s="239"/>
      <c r="O139" s="239"/>
      <c r="P139" s="239"/>
      <c r="Q139" s="239"/>
      <c r="R139" s="239"/>
      <c r="S139" s="239"/>
      <c r="T139" s="239"/>
      <c r="U139" s="239"/>
      <c r="V139" s="239"/>
      <c r="W139" s="239"/>
      <c r="AD139" s="204"/>
      <c r="AE139" s="204"/>
      <c r="AG139" s="204"/>
      <c r="AH139" s="204"/>
    </row>
    <row r="140" spans="1:34">
      <c r="A140" s="18"/>
      <c r="B140" s="239"/>
      <c r="C140" s="239"/>
      <c r="D140" s="301"/>
      <c r="E140" s="301"/>
      <c r="F140" s="301"/>
      <c r="G140" s="301"/>
      <c r="H140" s="301"/>
      <c r="I140" s="301"/>
      <c r="J140" s="301"/>
      <c r="K140" s="301"/>
      <c r="L140" s="301"/>
      <c r="M140" s="301"/>
      <c r="N140" s="408"/>
      <c r="O140" s="301"/>
      <c r="P140" s="301"/>
      <c r="Q140" s="301"/>
      <c r="R140" s="301"/>
      <c r="S140" s="301"/>
      <c r="T140" s="301"/>
      <c r="U140" s="301"/>
      <c r="V140" s="301"/>
      <c r="W140" s="301"/>
      <c r="X140" s="301"/>
      <c r="Y140" s="408"/>
      <c r="Z140" s="404"/>
      <c r="AD140" s="204"/>
      <c r="AE140" s="204"/>
      <c r="AG140" s="204"/>
      <c r="AH140" s="204"/>
    </row>
    <row r="141" spans="1:34">
      <c r="A141" s="18"/>
      <c r="D141" s="239"/>
      <c r="E141" s="239"/>
      <c r="F141" s="239"/>
      <c r="G141" s="239"/>
      <c r="H141" s="239"/>
      <c r="I141" s="239"/>
      <c r="J141" s="239"/>
      <c r="K141" s="239"/>
      <c r="L141" s="239"/>
      <c r="O141" s="239"/>
      <c r="P141" s="239"/>
      <c r="Q141" s="239"/>
      <c r="R141" s="239"/>
      <c r="S141" s="239"/>
      <c r="T141" s="239"/>
      <c r="U141" s="239"/>
      <c r="V141" s="239"/>
      <c r="W141" s="239"/>
      <c r="AD141" s="204"/>
      <c r="AE141" s="204"/>
      <c r="AG141" s="204"/>
      <c r="AH141" s="204"/>
    </row>
    <row r="142" spans="1:34">
      <c r="A142" s="18"/>
      <c r="B142" s="239"/>
      <c r="C142" s="239"/>
      <c r="D142" s="239"/>
      <c r="E142" s="239"/>
      <c r="F142" s="239"/>
      <c r="G142" s="239"/>
      <c r="H142" s="239"/>
      <c r="I142" s="239"/>
      <c r="J142" s="239"/>
      <c r="K142" s="239"/>
      <c r="L142" s="239"/>
      <c r="O142" s="239"/>
      <c r="P142" s="239"/>
      <c r="Q142" s="239"/>
      <c r="R142" s="239"/>
      <c r="S142" s="239"/>
      <c r="T142" s="239"/>
      <c r="U142" s="239"/>
      <c r="V142" s="239"/>
      <c r="W142" s="239"/>
    </row>
    <row r="143" spans="1:34">
      <c r="B143" s="239"/>
      <c r="C143" s="239"/>
      <c r="D143" s="239"/>
      <c r="E143" s="239"/>
      <c r="F143" s="239"/>
      <c r="G143" s="239"/>
      <c r="H143" s="239"/>
      <c r="I143" s="239"/>
      <c r="J143" s="239"/>
      <c r="K143" s="239"/>
      <c r="L143" s="239"/>
      <c r="O143" s="239"/>
      <c r="P143" s="239"/>
      <c r="Q143" s="239"/>
      <c r="R143" s="239"/>
      <c r="S143" s="84"/>
      <c r="T143" s="84"/>
      <c r="U143" s="239"/>
      <c r="V143" s="239"/>
      <c r="W143" s="239"/>
    </row>
    <row r="144" spans="1:34">
      <c r="B144" s="123"/>
      <c r="C144" s="124"/>
      <c r="G144" s="147"/>
    </row>
    <row r="145" spans="2:3">
      <c r="B145" s="123"/>
      <c r="C145" s="124"/>
    </row>
    <row r="146" spans="2:3">
      <c r="B146" s="123"/>
      <c r="C146" s="124"/>
    </row>
    <row r="147" spans="2:3">
      <c r="B147" s="123"/>
      <c r="C147" s="124"/>
    </row>
    <row r="148" spans="2:3">
      <c r="B148" s="123"/>
      <c r="C148" s="124"/>
    </row>
    <row r="149" spans="2:3">
      <c r="B149" s="123"/>
      <c r="C149" s="124"/>
    </row>
    <row r="150" spans="2:3">
      <c r="B150" s="123"/>
      <c r="C150" s="124"/>
    </row>
    <row r="151" spans="2:3">
      <c r="B151" s="123"/>
      <c r="C151" s="124"/>
    </row>
    <row r="152" spans="2:3">
      <c r="B152" s="123"/>
      <c r="C152" s="124"/>
    </row>
    <row r="153" spans="2:3">
      <c r="B153" s="123"/>
      <c r="C153" s="124"/>
    </row>
    <row r="154" spans="2:3">
      <c r="B154" s="123"/>
      <c r="C154" s="124"/>
    </row>
    <row r="155" spans="2:3">
      <c r="B155" s="123"/>
      <c r="C155" s="124"/>
    </row>
    <row r="156" spans="2:3">
      <c r="B156" s="123"/>
      <c r="C156" s="124"/>
    </row>
    <row r="157" spans="2:3">
      <c r="B157" s="123"/>
      <c r="C157" s="124"/>
    </row>
    <row r="158" spans="2:3">
      <c r="B158" s="123"/>
      <c r="C158" s="124"/>
    </row>
    <row r="159" spans="2:3">
      <c r="B159" s="123"/>
      <c r="C159" s="124"/>
    </row>
    <row r="160" spans="2:3">
      <c r="B160" s="123"/>
      <c r="C160" s="124"/>
    </row>
    <row r="161" spans="2:3">
      <c r="B161" s="123"/>
      <c r="C161" s="124"/>
    </row>
    <row r="162" spans="2:3">
      <c r="B162" s="123"/>
      <c r="C162" s="124"/>
    </row>
    <row r="163" spans="2:3">
      <c r="B163" s="123"/>
      <c r="C163" s="124"/>
    </row>
    <row r="164" spans="2:3">
      <c r="B164" s="123"/>
      <c r="C164" s="124"/>
    </row>
    <row r="165" spans="2:3">
      <c r="B165" s="123"/>
      <c r="C165" s="124"/>
    </row>
    <row r="166" spans="2:3">
      <c r="B166" s="123"/>
      <c r="C166" s="124"/>
    </row>
    <row r="167" spans="2:3">
      <c r="B167" s="123"/>
      <c r="C167" s="124"/>
    </row>
    <row r="168" spans="2:3">
      <c r="B168" s="140"/>
      <c r="C168" s="140"/>
    </row>
    <row r="169" spans="2:3">
      <c r="B169" s="140"/>
      <c r="C169" s="140"/>
    </row>
    <row r="170" spans="2:3">
      <c r="B170" s="140"/>
      <c r="C170" s="140"/>
    </row>
  </sheetData>
  <conditionalFormatting sqref="B2">
    <cfRule type="expression" dxfId="1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theme="9" tint="0.39997558519241921"/>
  </sheetPr>
  <dimension ref="A1:AI170"/>
  <sheetViews>
    <sheetView topLeftCell="B1" zoomScaleNormal="100" workbookViewId="0">
      <pane xSplit="2" ySplit="3" topLeftCell="U4" activePane="bottomRight" state="frozen"/>
      <selection activeCell="B1" sqref="B1"/>
      <selection pane="topRight" activeCell="D1" sqref="D1"/>
      <selection pane="bottomLeft" activeCell="B4" sqref="B4"/>
      <selection pane="bottomRight" activeCell="P4" sqref="P4"/>
    </sheetView>
  </sheetViews>
  <sheetFormatPr defaultColWidth="9.109375" defaultRowHeight="14.4"/>
  <cols>
    <col min="1" max="1" width="9.5546875" style="239" customWidth="1"/>
    <col min="2" max="2" width="9.109375" style="141"/>
    <col min="3" max="3" width="28.44140625" style="141" bestFit="1" customWidth="1"/>
    <col min="4" max="19" width="12.6640625" style="232" customWidth="1"/>
    <col min="20" max="20" width="13.5546875" style="232" customWidth="1"/>
    <col min="21" max="25" width="12.6640625" style="232" customWidth="1"/>
    <col min="26" max="26" width="15" style="232" bestFit="1" customWidth="1"/>
    <col min="27" max="27" width="8.44140625" style="53" bestFit="1" customWidth="1"/>
    <col min="28" max="28" width="13.5546875" style="232" bestFit="1" customWidth="1"/>
    <col min="29" max="29" width="10.88671875" style="232" bestFit="1" customWidth="1"/>
    <col min="30" max="30" width="9.88671875" style="232" bestFit="1" customWidth="1"/>
    <col min="31" max="32" width="9.109375" style="232"/>
    <col min="33" max="33" width="9.88671875" style="232" bestFit="1" customWidth="1"/>
    <col min="34" max="16384" width="9.109375" style="232"/>
  </cols>
  <sheetData>
    <row r="1" spans="1:35" ht="15.6">
      <c r="B1" s="47" t="s">
        <v>214</v>
      </c>
      <c r="C1" s="48"/>
    </row>
    <row r="2" spans="1:35">
      <c r="A2" s="49" t="s">
        <v>0</v>
      </c>
      <c r="B2" s="50"/>
      <c r="C2" s="48"/>
      <c r="D2" s="233" t="s">
        <v>149</v>
      </c>
      <c r="O2" s="233" t="s">
        <v>150</v>
      </c>
    </row>
    <row r="3" spans="1:35" s="57" customFormat="1">
      <c r="A3" s="55" t="s">
        <v>1</v>
      </c>
      <c r="B3" s="56" t="s">
        <v>2</v>
      </c>
      <c r="C3" s="51" t="s">
        <v>3</v>
      </c>
      <c r="D3" s="197" t="s">
        <v>159</v>
      </c>
      <c r="E3" s="197" t="s">
        <v>258</v>
      </c>
      <c r="F3" s="197" t="s">
        <v>208</v>
      </c>
      <c r="G3" s="197" t="s">
        <v>203</v>
      </c>
      <c r="H3" s="198" t="s">
        <v>239</v>
      </c>
      <c r="I3" s="197" t="s">
        <v>265</v>
      </c>
      <c r="J3" s="198" t="s">
        <v>259</v>
      </c>
      <c r="K3" s="197" t="s">
        <v>215</v>
      </c>
      <c r="L3" s="197" t="s">
        <v>179</v>
      </c>
      <c r="M3" s="197" t="s">
        <v>216</v>
      </c>
      <c r="N3" s="197" t="s">
        <v>221</v>
      </c>
      <c r="O3" s="202" t="s">
        <v>159</v>
      </c>
      <c r="P3" s="202" t="s">
        <v>258</v>
      </c>
      <c r="Q3" s="203" t="s">
        <v>208</v>
      </c>
      <c r="R3" s="203" t="s">
        <v>203</v>
      </c>
      <c r="S3" s="202" t="s">
        <v>239</v>
      </c>
      <c r="T3" s="203" t="s">
        <v>265</v>
      </c>
      <c r="U3" s="202" t="s">
        <v>259</v>
      </c>
      <c r="V3" s="203" t="s">
        <v>215</v>
      </c>
      <c r="W3" s="202" t="s">
        <v>179</v>
      </c>
      <c r="X3" s="203" t="s">
        <v>216</v>
      </c>
      <c r="Y3" s="203" t="s">
        <v>221</v>
      </c>
      <c r="Z3" s="205" t="s">
        <v>222</v>
      </c>
      <c r="AA3" s="206" t="s">
        <v>224</v>
      </c>
      <c r="AB3" s="232"/>
      <c r="AC3" s="232"/>
      <c r="AD3" s="232"/>
      <c r="AE3" s="232"/>
      <c r="AF3" s="232"/>
      <c r="AG3" s="232"/>
      <c r="AH3" s="232"/>
      <c r="AI3" s="232"/>
    </row>
    <row r="4" spans="1:35">
      <c r="B4" s="123">
        <v>10005</v>
      </c>
      <c r="C4" s="124" t="s">
        <v>7</v>
      </c>
      <c r="D4" s="199">
        <f>IF(Init!$R$9="Yes",'Staging Table'!F6,'Staging Table'!BS6)*Rates_previous!$E$76*100*12</f>
        <v>186092.62213285826</v>
      </c>
      <c r="E4" s="199">
        <f>IF(Init!$R$9="Yes",'Staging Table'!F6,'Staging Table'!BS6)*Rates_previous!$E$77*100*12</f>
        <v>-30724.338442292861</v>
      </c>
      <c r="F4" s="200"/>
      <c r="G4" s="200">
        <f>IF(Init!$R$9="Yes",SUMPRODUCT('Staging Table'!AJ6:AU6,LS_Demand_Rates_Restatement!$C$10:$N$10),SUMPRODUCT(LS_Demand_Rates_Restatement!$C$10:$N$10,'Staging Table'!CW6:DH6))*1000</f>
        <v>11802.05841203704</v>
      </c>
      <c r="H4" s="201"/>
      <c r="I4" s="199">
        <v>0</v>
      </c>
      <c r="J4" s="201">
        <f>IF(Init!$R$9="Yes",IF('Staging Table'!D6=1,'Staging Table'!H6*-1*'Staging Table'!F6/'Staging Table'!E6,'Staging Table'!H6*SUM(D4:I4)*(-1)),IF('Staging Table'!D6=1,'Staging Table'!BU6*-1*'Staging Table'!BS6/'Staging Table'!BR6,'Staging Table'!BU6*SUM(D4:I4)*(-1)))</f>
        <v>-3981.9975488839905</v>
      </c>
      <c r="K4" s="199">
        <f>IF(Init!$R$9="Yes",'Staging Table'!K6,'Staging Table'!BX6)*(-1)*Rates_previous!$H$32</f>
        <v>0</v>
      </c>
      <c r="L4" s="199">
        <f>IF('Staging Table'!C6=1,"",SUM(D4:K4))</f>
        <v>163188.34455371846</v>
      </c>
      <c r="M4" s="199">
        <f>IF('Staging Table'!C6=1,"",IF(Init!$R$9="Yes",(RT1SC!$C$3*'Staging Table'!F6*'Staging Table'!$F$2),X4))</f>
        <v>4579.2151755840005</v>
      </c>
      <c r="N4" s="83">
        <f>IF('Staging Table'!C6=1,"",IF(M4=0, 0, L4/M4))</f>
        <v>35.636749594957955</v>
      </c>
      <c r="O4" s="199">
        <f>'Staging Table'!BS6*Rates_current!$E$76*100*12</f>
        <v>193312.09151999999</v>
      </c>
      <c r="P4" s="199">
        <f>'Staging Table'!BS6*Rates_current!$E$77*100*12</f>
        <v>-33972.317760000005</v>
      </c>
      <c r="Q4" s="200"/>
      <c r="R4" s="200">
        <f>SUMPRODUCT('Staging Table'!CW6:DH6, LS_Demand_Rates_Restatement!$C$11:$N$11)*1000</f>
        <v>11948.385077831197</v>
      </c>
      <c r="S4" s="201"/>
      <c r="T4" s="201">
        <v>0</v>
      </c>
      <c r="U4" s="201">
        <f>IF('Staging Table'!D6=1, 'Staging Table'!BU6*-1*'Staging Table'!BS6/'Staging Table'!BR6,SUM(O4:T4)*'Staging Table'!BU6*-1)</f>
        <v>-3188.2102557406529</v>
      </c>
      <c r="V4" s="199">
        <f>'Staging Table'!BX6*Rates_current!$H$32*-1</f>
        <v>0</v>
      </c>
      <c r="W4" s="199">
        <f>IF('Staging Table'!C6=1,"",SUM(O4:V4))</f>
        <v>168099.94858209052</v>
      </c>
      <c r="X4" s="199">
        <f>IF('Staging Table'!C6=1,"",(RT1SC!$C$4*'Staging Table'!BS6*'Staging Table'!$BS$2))</f>
        <v>4814.6608172160004</v>
      </c>
      <c r="Y4" s="83">
        <f>IF('Staging Table'!C6=1,"",IF(X4=0, 0, W4/X4))</f>
        <v>34.91418294327358</v>
      </c>
      <c r="Z4" s="76">
        <f ca="1">IF('Staging Table'!C6=1,"",(Y4/N4-1)+(RAND()/100000000000))</f>
        <v>-2.0275885414524054E-2</v>
      </c>
      <c r="AA4" s="53">
        <f t="shared" ref="AA4:AA67" ca="1" si="0">IF(Z4="","",RANK(Z4,$Z$4:$Z$138))</f>
        <v>9</v>
      </c>
      <c r="AD4" s="204"/>
      <c r="AE4" s="204"/>
      <c r="AG4" s="204"/>
      <c r="AH4" s="204"/>
    </row>
    <row r="5" spans="1:35">
      <c r="B5" s="123">
        <v>10015</v>
      </c>
      <c r="C5" s="124" t="s">
        <v>8</v>
      </c>
      <c r="D5" s="199">
        <f>IF(Init!$R$9="Yes",'Staging Table'!F7,'Staging Table'!BS7)*Rates_previous!$E$76*100*12</f>
        <v>194725.78501531042</v>
      </c>
      <c r="E5" s="199">
        <f>IF(Init!$R$9="Yes",'Staging Table'!F7,'Staging Table'!BS7)*Rates_previous!$E$77*100*12</f>
        <v>-32149.694349409532</v>
      </c>
      <c r="F5" s="200"/>
      <c r="G5" s="200">
        <f>IF(Init!$R$9="Yes",SUMPRODUCT('Staging Table'!AJ7:AU7,LS_Demand_Rates_Restatement!$C$10:$N$10),SUMPRODUCT(LS_Demand_Rates_Restatement!$C$10:$N$10,'Staging Table'!CW7:DH7))*1000</f>
        <v>29805.445854335823</v>
      </c>
      <c r="H5" s="201"/>
      <c r="I5" s="199">
        <v>0</v>
      </c>
      <c r="J5" s="201">
        <f>IF(Init!$R$9="Yes",IF('Staging Table'!D7=1,'Staging Table'!H7*-1*'Staging Table'!F7/'Staging Table'!E7,'Staging Table'!H7*SUM(D5:I5)*(-1)),IF('Staging Table'!D7=1,'Staging Table'!BU7*-1*'Staging Table'!BS7/'Staging Table'!BR7,'Staging Table'!BU7*SUM(D5:I5)*(-1)))</f>
        <v>0</v>
      </c>
      <c r="K5" s="199">
        <f>IF(Init!$R$9="Yes",'Staging Table'!K7,'Staging Table'!BX7)*(-1)*Rates_previous!$H$32</f>
        <v>0</v>
      </c>
      <c r="L5" s="199">
        <f>IF('Staging Table'!C7=1,"",SUM(D5:K5))</f>
        <v>192381.53652023672</v>
      </c>
      <c r="M5" s="199">
        <f>IF('Staging Table'!C7=1,"",IF(Init!$R$9="Yes",(RT1SC!$C$3*'Staging Table'!F7*'Staging Table'!$F$2),X5))</f>
        <v>4791.6529930079996</v>
      </c>
      <c r="N5" s="297">
        <f>IF('Staging Table'!C7=1,"",IF(M5=0, 0, L5/M5))</f>
        <v>40.149304801695926</v>
      </c>
      <c r="O5" s="199">
        <f>'Staging Table'!BS7*Rates_current!$E$76*100*12</f>
        <v>202031.06472000002</v>
      </c>
      <c r="P5" s="199">
        <f>'Staging Table'!BS7*Rates_current!$E$77*100*12</f>
        <v>-35504.574359999999</v>
      </c>
      <c r="Q5" s="200"/>
      <c r="R5" s="200">
        <f>SUMPRODUCT('Staging Table'!CW7:DH7, LS_Demand_Rates_Restatement!$C$11:$N$11)*1000</f>
        <v>30078.719940598286</v>
      </c>
      <c r="S5" s="201"/>
      <c r="T5" s="201">
        <v>0</v>
      </c>
      <c r="U5" s="201">
        <f>IF('Staging Table'!D7=1, 'Staging Table'!BU7*-1*'Staging Table'!BS7/'Staging Table'!BR7,SUM(O5:T5)*'Staging Table'!BU7*-1)</f>
        <v>0</v>
      </c>
      <c r="V5" s="199">
        <f>'Staging Table'!BX7*Rates_current!$H$32*-1</f>
        <v>0</v>
      </c>
      <c r="W5" s="199">
        <f>IF('Staging Table'!C7=1,"",SUM(O5:V5))</f>
        <v>196605.21030059832</v>
      </c>
      <c r="X5" s="199">
        <f>IF('Staging Table'!C7=1,"",(RT1SC!$C$4*'Staging Table'!BS7*'Staging Table'!$BS$2))</f>
        <v>5031.8169107760004</v>
      </c>
      <c r="Y5" s="297">
        <f>IF('Staging Table'!C7=1,"",IF(X5=0, 0, W5/X5))</f>
        <v>39.072409387462812</v>
      </c>
      <c r="Z5" s="76">
        <f ca="1">IF('Staging Table'!C7=1,"",(Y5/N5-1)+(RAND()/100000000000))</f>
        <v>-2.6822268018479249E-2</v>
      </c>
      <c r="AA5" s="53">
        <f t="shared" ca="1" si="0"/>
        <v>89</v>
      </c>
      <c r="AD5" s="204"/>
      <c r="AE5" s="204"/>
      <c r="AG5" s="204"/>
      <c r="AH5" s="204"/>
    </row>
    <row r="6" spans="1:35">
      <c r="B6" s="123">
        <v>10024</v>
      </c>
      <c r="C6" s="124" t="s">
        <v>9</v>
      </c>
      <c r="D6" s="199">
        <f>IF(Init!$R$9="Yes",'Staging Table'!F8,'Staging Table'!BS8)*Rates_previous!$E$76*100*12</f>
        <v>68351148.641174644</v>
      </c>
      <c r="E6" s="199">
        <f>IF(Init!$R$9="Yes",'Staging Table'!F8,'Staging Table'!BS8)*Rates_previous!$E$77*100*12</f>
        <v>-11284938.64883917</v>
      </c>
      <c r="F6" s="200"/>
      <c r="G6" s="200">
        <f>IF(Init!$R$9="Yes",SUMPRODUCT('Staging Table'!AJ8:AU8,LS_Demand_Rates_Restatement!$C$10:$N$10),SUMPRODUCT(LS_Demand_Rates_Restatement!$C$10:$N$10,'Staging Table'!CW8:DH8))*1000</f>
        <v>3379270.3141434025</v>
      </c>
      <c r="H6" s="201"/>
      <c r="I6" s="199">
        <v>0</v>
      </c>
      <c r="J6" s="201">
        <f>IF(Init!$R$9="Yes",IF('Staging Table'!D8=1,'Staging Table'!H8*-1*'Staging Table'!F8/'Staging Table'!E8,'Staging Table'!H8*SUM(D6:I6)*(-1)),IF('Staging Table'!D8=1,'Staging Table'!BU8*-1*'Staging Table'!BS8/'Staging Table'!BR8,'Staging Table'!BU8*SUM(D6:I6)*(-1)))</f>
        <v>0</v>
      </c>
      <c r="K6" s="199">
        <f>IF(Init!$R$9="Yes",'Staging Table'!K8,'Staging Table'!BX8)*(-1)*Rates_previous!$H$32</f>
        <v>-3403407.2800000003</v>
      </c>
      <c r="L6" s="199">
        <f>IF('Staging Table'!C8=1,"",SUM(D6:K6))</f>
        <v>57042073.026478879</v>
      </c>
      <c r="M6" s="199">
        <f>IF('Staging Table'!C8=1,"",IF(Init!$R$9="Yes",(RT1SC!$C$3*'Staging Table'!F8*'Staging Table'!$F$2),X6))</f>
        <v>1681929.211050648</v>
      </c>
      <c r="N6" s="297">
        <f>IF('Staging Table'!C8=1,"",IF(M6=0, 0, L6/M6))</f>
        <v>33.914669328352112</v>
      </c>
      <c r="O6" s="199">
        <f>'Staging Table'!BS8*Rates_current!$E$76*100*12</f>
        <v>70862333.67216</v>
      </c>
      <c r="P6" s="199">
        <f>'Staging Table'!BS8*Rates_current!$E$77*100*12</f>
        <v>-12453218.512080001</v>
      </c>
      <c r="Q6" s="200"/>
      <c r="R6" s="200">
        <f>SUMPRODUCT('Staging Table'!CW8:DH8, LS_Demand_Rates_Restatement!$C$11:$N$11)*1000</f>
        <v>3389052.1608673879</v>
      </c>
      <c r="S6" s="201"/>
      <c r="T6" s="201">
        <v>0</v>
      </c>
      <c r="U6" s="201">
        <f>IF('Staging Table'!D8=1, 'Staging Table'!BU8*-1*'Staging Table'!BS8/'Staging Table'!BR8,SUM(O6:T6)*'Staging Table'!BU8*-1)</f>
        <v>0</v>
      </c>
      <c r="V6" s="199">
        <f>'Staging Table'!BX8*Rates_current!$H$32*-1</f>
        <v>-3612607.5440000002</v>
      </c>
      <c r="W6" s="199">
        <f>IF('Staging Table'!C8=1,"",SUM(O6:V6))</f>
        <v>58185559.776947387</v>
      </c>
      <c r="X6" s="199">
        <f>IF('Staging Table'!C8=1,"",(RT1SC!$C$4*'Staging Table'!BS8*'Staging Table'!$BS$2))</f>
        <v>1764908.2303397278</v>
      </c>
      <c r="Y6" s="297">
        <f>IF('Staging Table'!C8=1,"",IF(X6=0, 0, W6/X6))</f>
        <v>32.968036964588933</v>
      </c>
      <c r="Z6" s="76">
        <f ca="1">IF('Staging Table'!C8=1,"",(Y6/N6-1)+(RAND()/100000000000))</f>
        <v>-2.7912180259352423E-2</v>
      </c>
      <c r="AA6" s="53">
        <f t="shared" ca="1" si="0"/>
        <v>98</v>
      </c>
      <c r="AD6" s="204"/>
      <c r="AE6" s="204"/>
      <c r="AG6" s="204"/>
      <c r="AH6" s="204"/>
    </row>
    <row r="7" spans="1:35">
      <c r="B7" s="123">
        <v>10025</v>
      </c>
      <c r="C7" s="124" t="s">
        <v>10</v>
      </c>
      <c r="D7" s="199">
        <f>IF(Init!$R$9="Yes",'Staging Table'!F9,'Staging Table'!BS9)*Rates_previous!$E$76*100*12</f>
        <v>20259155.564154468</v>
      </c>
      <c r="E7" s="199">
        <f>IF(Init!$R$9="Yes",'Staging Table'!F9,'Staging Table'!BS9)*Rates_previous!$E$77*100*12</f>
        <v>-3344835.1953671398</v>
      </c>
      <c r="F7" s="200"/>
      <c r="G7" s="200">
        <f>IF(Init!$R$9="Yes",SUMPRODUCT('Staging Table'!AJ9:AU9,LS_Demand_Rates_Restatement!$C$10:$N$10),SUMPRODUCT(LS_Demand_Rates_Restatement!$C$10:$N$10,'Staging Table'!CW9:DH9))*1000</f>
        <v>875127.49292962975</v>
      </c>
      <c r="H7" s="201"/>
      <c r="I7" s="199">
        <v>0</v>
      </c>
      <c r="J7" s="201">
        <f>IF(Init!$R$9="Yes",IF('Staging Table'!D9=1,'Staging Table'!H9*-1*'Staging Table'!F9/'Staging Table'!E9,'Staging Table'!H9*SUM(D7:I7)*(-1)),IF('Staging Table'!D9=1,'Staging Table'!BU9*-1*'Staging Table'!BS9/'Staging Table'!BR9,'Staging Table'!BU9*SUM(D7:I7)*(-1)))</f>
        <v>-1146174.1257304237</v>
      </c>
      <c r="K7" s="199">
        <f>IF(Init!$R$9="Yes",'Staging Table'!K9,'Staging Table'!BX9)*(-1)*Rates_previous!$H$32</f>
        <v>-903619.34130000009</v>
      </c>
      <c r="L7" s="199">
        <f>IF('Staging Table'!C9=1,"",SUM(D7:K7))</f>
        <v>15739654.394686537</v>
      </c>
      <c r="M7" s="199">
        <f>IF('Staging Table'!C9=1,"",IF(Init!$R$9="Yes",(RT1SC!$C$3*'Staging Table'!F9*'Staging Table'!$F$2),X7))</f>
        <v>498520.74488832004</v>
      </c>
      <c r="N7" s="297">
        <f>IF('Staging Table'!C9=1,"",IF(M7=0, 0, L7/M7))</f>
        <v>31.572716995383164</v>
      </c>
      <c r="O7" s="199">
        <f>'Staging Table'!BS9*Rates_current!$E$76*100*12</f>
        <v>21040875.23976</v>
      </c>
      <c r="P7" s="199">
        <f>'Staging Table'!BS9*Rates_current!$E$77*100*12</f>
        <v>-3697685.4058800004</v>
      </c>
      <c r="Q7" s="200"/>
      <c r="R7" s="200">
        <f>SUMPRODUCT('Staging Table'!CW9:DH9, LS_Demand_Rates_Restatement!$C$11:$N$11)*1000</f>
        <v>960566.94925870735</v>
      </c>
      <c r="S7" s="201"/>
      <c r="T7" s="201">
        <v>0</v>
      </c>
      <c r="U7" s="201">
        <f>IF('Staging Table'!D9=1, 'Staging Table'!BU9*-1*'Staging Table'!BS9/'Staging Table'!BR9,SUM(O7:T7)*'Staging Table'!BU9*-1)</f>
        <v>-1093862.6214663354</v>
      </c>
      <c r="V7" s="199">
        <f>'Staging Table'!BX9*Rates_current!$H$32*-1</f>
        <v>-959162.91549000004</v>
      </c>
      <c r="W7" s="199">
        <f>IF('Staging Table'!C9=1,"",SUM(O7:V7))</f>
        <v>16250731.246182373</v>
      </c>
      <c r="X7" s="199">
        <f>IF('Staging Table'!C9=1,"",(RT1SC!$C$4*'Staging Table'!BS9*'Staging Table'!$BS$2))</f>
        <v>524047.28943880799</v>
      </c>
      <c r="Y7" s="297">
        <f>IF('Staging Table'!C9=1,"",IF(X7=0, 0, W7/X7))</f>
        <v>31.010047325280443</v>
      </c>
      <c r="Z7" s="76">
        <f ca="1">IF('Staging Table'!C9=1,"",(Y7/N7-1)+(RAND()/100000000000))</f>
        <v>-1.7821388950539439E-2</v>
      </c>
      <c r="AA7" s="53">
        <f t="shared" ca="1" si="0"/>
        <v>6</v>
      </c>
      <c r="AD7" s="204"/>
      <c r="AE7" s="204"/>
      <c r="AG7" s="204"/>
      <c r="AH7" s="204"/>
    </row>
    <row r="8" spans="1:35">
      <c r="B8" s="123">
        <v>10027</v>
      </c>
      <c r="C8" s="124" t="s">
        <v>11</v>
      </c>
      <c r="D8" s="199">
        <f>IF(Init!$R$9="Yes",'Staging Table'!F10,'Staging Table'!BS10)*Rates_previous!$E$76*100*12</f>
        <v>20780502.678222552</v>
      </c>
      <c r="E8" s="199">
        <f>IF(Init!$R$9="Yes",'Staging Table'!F10,'Staging Table'!BS10)*Rates_previous!$E$77*100*12</f>
        <v>-3430910.8548691305</v>
      </c>
      <c r="F8" s="200"/>
      <c r="G8" s="200">
        <f>IF(Init!$R$9="Yes",SUMPRODUCT('Staging Table'!AJ10:AU10,LS_Demand_Rates_Restatement!$C$10:$N$10),SUMPRODUCT(LS_Demand_Rates_Restatement!$C$10:$N$10,'Staging Table'!CW10:DH10))*1000</f>
        <v>1251505.6317212158</v>
      </c>
      <c r="H8" s="201"/>
      <c r="I8" s="199">
        <v>0</v>
      </c>
      <c r="J8" s="201">
        <f>IF(Init!$R$9="Yes",IF('Staging Table'!D10=1,'Staging Table'!H10*-1*'Staging Table'!F10/'Staging Table'!E10,'Staging Table'!H10*SUM(D8:I8)*(-1)),IF('Staging Table'!D10=1,'Staging Table'!BU10*-1*'Staging Table'!BS10/'Staging Table'!BR10,'Staging Table'!BU10*SUM(D8:I8)*(-1)))</f>
        <v>-1478229.2147547815</v>
      </c>
      <c r="K8" s="199">
        <f>IF(Init!$R$9="Yes",'Staging Table'!K10,'Staging Table'!BX10)*(-1)*Rates_previous!$H$32</f>
        <v>-2285397.986</v>
      </c>
      <c r="L8" s="199">
        <f>IF('Staging Table'!C10=1,"",SUM(D8:K8))</f>
        <v>14837470.254319856</v>
      </c>
      <c r="M8" s="199">
        <f>IF('Staging Table'!C10=1,"",IF(Init!$R$9="Yes",(RT1SC!$C$3*'Staging Table'!F10*'Staging Table'!$F$2),X8))</f>
        <v>511349.62864053604</v>
      </c>
      <c r="N8" s="297">
        <f>IF('Staging Table'!C10=1,"",IF(M8=0, 0, L8/M8))</f>
        <v>29.016292226057658</v>
      </c>
      <c r="O8" s="199">
        <f>'Staging Table'!BS10*Rates_current!$E$76*100*12</f>
        <v>21582198.918720003</v>
      </c>
      <c r="P8" s="199">
        <f>'Staging Table'!BS10*Rates_current!$E$77*100*12</f>
        <v>-3792816.6513600005</v>
      </c>
      <c r="Q8" s="200"/>
      <c r="R8" s="200">
        <f>SUMPRODUCT('Staging Table'!CW10:DH10, LS_Demand_Rates_Restatement!$C$11:$N$11)*1000</f>
        <v>1294239.7322166399</v>
      </c>
      <c r="S8" s="201"/>
      <c r="T8" s="201">
        <v>0</v>
      </c>
      <c r="U8" s="201">
        <f>IF('Staging Table'!D10=1, 'Staging Table'!BU10*-1*'Staging Table'!BS10/'Staging Table'!BR10,SUM(O8:T8)*'Staging Table'!BU10*-1)</f>
        <v>-1479864.8123693666</v>
      </c>
      <c r="V8" s="199">
        <f>'Staging Table'!BX10*Rates_current!$H$32*-1</f>
        <v>-2425876.5778000001</v>
      </c>
      <c r="W8" s="199">
        <f>IF('Staging Table'!C10=1,"",SUM(O8:V8))</f>
        <v>15177880.609407278</v>
      </c>
      <c r="X8" s="199">
        <f>IF('Staging Table'!C10=1,"",(RT1SC!$C$4*'Staging Table'!BS10*'Staging Table'!$BS$2))</f>
        <v>537529.58061897603</v>
      </c>
      <c r="Y8" s="297">
        <f>IF('Staging Table'!C10=1,"",IF(X8=0, 0, W8/X8))</f>
        <v>28.236363461020407</v>
      </c>
      <c r="Z8" s="76">
        <f ca="1">IF('Staging Table'!C10=1,"",(Y8/N8-1)+(RAND()/100000000000))</f>
        <v>-2.6878994697683661E-2</v>
      </c>
      <c r="AA8" s="53">
        <f t="shared" ca="1" si="0"/>
        <v>90</v>
      </c>
      <c r="AD8" s="204"/>
      <c r="AE8" s="204"/>
      <c r="AG8" s="204"/>
      <c r="AH8" s="204"/>
    </row>
    <row r="9" spans="1:35">
      <c r="B9" s="123">
        <v>10029</v>
      </c>
      <c r="C9" s="124" t="s">
        <v>12</v>
      </c>
      <c r="D9" s="199">
        <f>IF(Init!$R$9="Yes",'Staging Table'!F11,'Staging Table'!BS11)*Rates_previous!$E$76*100*12</f>
        <v>5982062.4472991619</v>
      </c>
      <c r="E9" s="199">
        <f>IF(Init!$R$9="Yes",'Staging Table'!F11,'Staging Table'!BS11)*Rates_previous!$E$77*100*12</f>
        <v>-987652.8639729321</v>
      </c>
      <c r="F9" s="200"/>
      <c r="G9" s="200">
        <f>IF(Init!$R$9="Yes",SUMPRODUCT('Staging Table'!AJ11:AU11,LS_Demand_Rates_Restatement!$C$10:$N$10),SUMPRODUCT(LS_Demand_Rates_Restatement!$C$10:$N$10,'Staging Table'!CW11:DH11))*1000</f>
        <v>0</v>
      </c>
      <c r="H9" s="201"/>
      <c r="I9" s="199">
        <v>0</v>
      </c>
      <c r="J9" s="201">
        <f>IF(Init!$R$9="Yes",IF('Staging Table'!D11=1,'Staging Table'!H11*-1*'Staging Table'!F11/'Staging Table'!E11,'Staging Table'!H11*SUM(D9:I9)*(-1)),IF('Staging Table'!D11=1,'Staging Table'!BU11*-1*'Staging Table'!BS11/'Staging Table'!BR11,'Staging Table'!BU11*SUM(D9:I9)*(-1)))</f>
        <v>-423376.1003785645</v>
      </c>
      <c r="K9" s="199">
        <f>IF(Init!$R$9="Yes",'Staging Table'!K11,'Staging Table'!BX11)*(-1)*Rates_previous!$H$32</f>
        <v>0</v>
      </c>
      <c r="L9" s="199" t="str">
        <f>IF('Staging Table'!C11=1,"",SUM(D9:K9))</f>
        <v/>
      </c>
      <c r="M9" s="199" t="str">
        <f>IF('Staging Table'!C11=1,"",IF(Init!$R$9="Yes",(RT1SC!$C$3*'Staging Table'!F11*'Staging Table'!$F$2),X9))</f>
        <v/>
      </c>
      <c r="N9" s="297" t="str">
        <f>IF('Staging Table'!C11=1,"",IF(M9=0, 0, L9/M9))</f>
        <v/>
      </c>
      <c r="O9" s="199">
        <f>'Staging Table'!BS11*Rates_current!$E$76*100*12</f>
        <v>6212891.1888000006</v>
      </c>
      <c r="P9" s="199">
        <f>'Staging Table'!BS11*Rates_current!$E$77*100*12</f>
        <v>-1091842.2744</v>
      </c>
      <c r="Q9" s="200"/>
      <c r="R9" s="200">
        <f>SUMPRODUCT('Staging Table'!CW11:DH11, LS_Demand_Rates_Restatement!$C$11:$N$11)*1000</f>
        <v>0</v>
      </c>
      <c r="S9" s="201"/>
      <c r="T9" s="201">
        <v>0</v>
      </c>
      <c r="U9" s="201">
        <f>IF('Staging Table'!D11=1, 'Staging Table'!BU11*-1*'Staging Table'!BS11/'Staging Table'!BR11,SUM(O9:T9)*'Staging Table'!BU11*-1)</f>
        <v>-409641.76101232087</v>
      </c>
      <c r="V9" s="199">
        <f>'Staging Table'!BX11*Rates_current!$H$32*-1</f>
        <v>0</v>
      </c>
      <c r="W9" s="199" t="str">
        <f>IF('Staging Table'!C11=1,"",SUM(O9:V9))</f>
        <v/>
      </c>
      <c r="X9" s="199" t="str">
        <f>IF('Staging Table'!C11=1,"",(RT1SC!$C$4*'Staging Table'!BS11*'Staging Table'!$BS$2))</f>
        <v/>
      </c>
      <c r="Y9" s="297" t="str">
        <f>IF('Staging Table'!C11=1,"",IF(X9=0, 0, W9/X9))</f>
        <v/>
      </c>
      <c r="Z9" s="76" t="str">
        <f ca="1">IF('Staging Table'!C11=1,"",(Y9/N9-1)+(RAND()/100000000000))</f>
        <v/>
      </c>
      <c r="AA9" s="53" t="str">
        <f t="shared" ca="1" si="0"/>
        <v/>
      </c>
      <c r="AD9" s="204"/>
      <c r="AE9" s="204"/>
      <c r="AG9" s="204"/>
      <c r="AH9" s="204"/>
    </row>
    <row r="10" spans="1:35">
      <c r="B10" s="123">
        <v>10044</v>
      </c>
      <c r="C10" s="124" t="s">
        <v>13</v>
      </c>
      <c r="D10" s="199">
        <f>IF(Init!$R$9="Yes",'Staging Table'!F12,'Staging Table'!BS12)*Rates_previous!$E$76*100*12</f>
        <v>6896698.0926789567</v>
      </c>
      <c r="E10" s="199">
        <f>IF(Init!$R$9="Yes",'Staging Table'!F12,'Staging Table'!BS12)*Rates_previous!$E$77*100*12</f>
        <v>-1138661.4036880156</v>
      </c>
      <c r="F10" s="200"/>
      <c r="G10" s="200">
        <f>IF(Init!$R$9="Yes",SUMPRODUCT('Staging Table'!AJ12:AU12,LS_Demand_Rates_Restatement!$C$10:$N$10),SUMPRODUCT(LS_Demand_Rates_Restatement!$C$10:$N$10,'Staging Table'!CW12:DH12))*1000</f>
        <v>281784.84224092786</v>
      </c>
      <c r="H10" s="201"/>
      <c r="I10" s="199">
        <v>0</v>
      </c>
      <c r="J10" s="201">
        <f>IF(Init!$R$9="Yes",IF('Staging Table'!D12=1,'Staging Table'!H12*-1*'Staging Table'!F12/'Staging Table'!E12,'Staging Table'!H12*SUM(D10:I10)*(-1)),IF('Staging Table'!D12=1,'Staging Table'!BU12*-1*'Staging Table'!BS12/'Staging Table'!BR12,'Staging Table'!BU12*SUM(D10:I10)*(-1)))</f>
        <v>0</v>
      </c>
      <c r="K10" s="199">
        <f>IF(Init!$R$9="Yes",'Staging Table'!K12,'Staging Table'!BX12)*(-1)*Rates_previous!$H$32</f>
        <v>0</v>
      </c>
      <c r="L10" s="199">
        <f>IF('Staging Table'!C12=1,"",SUM(D10:K10))</f>
        <v>6039821.531231869</v>
      </c>
      <c r="M10" s="199">
        <f>IF('Staging Table'!C12=1,"",IF(Init!$R$9="Yes",(RT1SC!$C$3*'Staging Table'!F12*'Staging Table'!$F$2),X10))</f>
        <v>169708.31086935601</v>
      </c>
      <c r="N10" s="297">
        <f>IF('Staging Table'!C12=1,"",IF(M10=0, 0, L10/M10))</f>
        <v>35.589426942569794</v>
      </c>
      <c r="O10" s="199">
        <f>'Staging Table'!BS12*Rates_current!$E$76*100*12</f>
        <v>7162761.0405599996</v>
      </c>
      <c r="P10" s="199">
        <f>'Staging Table'!BS12*Rates_current!$E$77*100*12</f>
        <v>-1258770.68628</v>
      </c>
      <c r="Q10" s="200"/>
      <c r="R10" s="200">
        <f>SUMPRODUCT('Staging Table'!CW12:DH12, LS_Demand_Rates_Restatement!$C$11:$N$11)*1000</f>
        <v>295574.41056952463</v>
      </c>
      <c r="S10" s="201"/>
      <c r="T10" s="201">
        <v>0</v>
      </c>
      <c r="U10" s="201">
        <f>IF('Staging Table'!D12=1, 'Staging Table'!BU12*-1*'Staging Table'!BS12/'Staging Table'!BR12,SUM(O10:T10)*'Staging Table'!BU12*-1)</f>
        <v>0</v>
      </c>
      <c r="V10" s="199">
        <f>'Staging Table'!BX12*Rates_current!$H$32*-1</f>
        <v>0</v>
      </c>
      <c r="W10" s="199">
        <f>IF('Staging Table'!C12=1,"",SUM(O10:V10))</f>
        <v>6199564.764849524</v>
      </c>
      <c r="X10" s="199">
        <f>IF('Staging Table'!C12=1,"",(RT1SC!$C$4*'Staging Table'!BS12*'Staging Table'!$BS$2))</f>
        <v>178396.83308944799</v>
      </c>
      <c r="Y10" s="297">
        <f>IF('Staging Table'!C12=1,"",IF(X10=0, 0, W10/X10))</f>
        <v>34.751540470121846</v>
      </c>
      <c r="Z10" s="76">
        <f ca="1">IF('Staging Table'!C12=1,"",(Y10/N10-1)+(RAND()/100000000000))</f>
        <v>-2.3543129080161769E-2</v>
      </c>
      <c r="AA10" s="53">
        <f t="shared" ca="1" si="0"/>
        <v>38</v>
      </c>
      <c r="AD10" s="204"/>
      <c r="AE10" s="204"/>
      <c r="AG10" s="204"/>
      <c r="AH10" s="204"/>
    </row>
    <row r="11" spans="1:35">
      <c r="B11" s="123">
        <v>10046</v>
      </c>
      <c r="C11" s="124" t="s">
        <v>14</v>
      </c>
      <c r="D11" s="199">
        <f>IF(Init!$R$9="Yes",'Staging Table'!F13,'Staging Table'!BS13)*Rates_previous!$E$76*100*12</f>
        <v>27795187.330295019</v>
      </c>
      <c r="E11" s="199">
        <f>IF(Init!$R$9="Yes",'Staging Table'!F13,'Staging Table'!BS13)*Rates_previous!$E$77*100*12</f>
        <v>-4589052.1226210743</v>
      </c>
      <c r="F11" s="200"/>
      <c r="G11" s="200">
        <f>IF(Init!$R$9="Yes",SUMPRODUCT('Staging Table'!AJ13:AU13,LS_Demand_Rates_Restatement!$C$10:$N$10),SUMPRODUCT(LS_Demand_Rates_Restatement!$C$10:$N$10,'Staging Table'!CW13:DH13))*1000</f>
        <v>0</v>
      </c>
      <c r="H11" s="201"/>
      <c r="I11" s="199">
        <v>0</v>
      </c>
      <c r="J11" s="201">
        <f>IF(Init!$R$9="Yes",IF('Staging Table'!D13=1,'Staging Table'!H13*-1*'Staging Table'!F13/'Staging Table'!E13,'Staging Table'!H13*SUM(D11:I11)*(-1)),IF('Staging Table'!D13=1,'Staging Table'!BU13*-1*'Staging Table'!BS13/'Staging Table'!BR13,'Staging Table'!BU13*SUM(D11:I11)*(-1)))</f>
        <v>-1851385.4668682273</v>
      </c>
      <c r="K11" s="199">
        <f>IF(Init!$R$9="Yes",'Staging Table'!K13,'Staging Table'!BX13)*(-1)*Rates_previous!$H$32</f>
        <v>-447831.48130000004</v>
      </c>
      <c r="L11" s="199" t="str">
        <f>IF('Staging Table'!C13=1,"",SUM(D11:K11))</f>
        <v/>
      </c>
      <c r="M11" s="199" t="str">
        <f>IF('Staging Table'!C13=1,"",IF(Init!$R$9="Yes",(RT1SC!$C$3*'Staging Table'!F13*'Staging Table'!$F$2),X11))</f>
        <v/>
      </c>
      <c r="N11" s="297" t="str">
        <f>IF('Staging Table'!C13=1,"",IF(M11=0, 0, L11/M11))</f>
        <v/>
      </c>
      <c r="O11" s="199">
        <f>'Staging Table'!BS13*Rates_current!$E$76*100*12</f>
        <v>28867523.811120003</v>
      </c>
      <c r="P11" s="199">
        <f>'Staging Table'!BS13*Rates_current!$E$77*100*12</f>
        <v>-5073126.4875600003</v>
      </c>
      <c r="Q11" s="200"/>
      <c r="R11" s="200">
        <f>SUMPRODUCT('Staging Table'!CW13:DH13, LS_Demand_Rates_Restatement!$C$11:$N$11)*1000</f>
        <v>0</v>
      </c>
      <c r="S11" s="201"/>
      <c r="T11" s="201">
        <v>0</v>
      </c>
      <c r="U11" s="201">
        <f>IF('Staging Table'!D13=1, 'Staging Table'!BU13*-1*'Staging Table'!BS13/'Staging Table'!BR13,SUM(O11:T11)*'Staging Table'!BU13*-1)</f>
        <v>-1868392.6139223569</v>
      </c>
      <c r="V11" s="199">
        <f>'Staging Table'!BX13*Rates_current!$H$32*-1</f>
        <v>-475358.73749000003</v>
      </c>
      <c r="W11" s="199" t="str">
        <f>IF('Staging Table'!C13=1,"",SUM(O11:V11))</f>
        <v/>
      </c>
      <c r="X11" s="199" t="str">
        <f>IF('Staging Table'!C13=1,"",(RT1SC!$C$4*'Staging Table'!BS13*'Staging Table'!$BS$2))</f>
        <v/>
      </c>
      <c r="Y11" s="297" t="str">
        <f>IF('Staging Table'!C13=1,"",IF(X11=0, 0, W11/X11))</f>
        <v/>
      </c>
      <c r="Z11" s="76" t="str">
        <f ca="1">IF('Staging Table'!C13=1,"",(Y11/N11-1)+(RAND()/100000000000))</f>
        <v/>
      </c>
      <c r="AA11" s="53" t="str">
        <f t="shared" ca="1" si="0"/>
        <v/>
      </c>
      <c r="AD11" s="204"/>
      <c r="AE11" s="204"/>
      <c r="AG11" s="204"/>
      <c r="AH11" s="204"/>
    </row>
    <row r="12" spans="1:35">
      <c r="B12" s="123">
        <v>10047</v>
      </c>
      <c r="C12" s="124" t="s">
        <v>15</v>
      </c>
      <c r="D12" s="199">
        <f>IF(Init!$R$9="Yes",'Staging Table'!F14,'Staging Table'!BS14)*Rates_previous!$E$76*100*12</f>
        <v>53203305.123592012</v>
      </c>
      <c r="E12" s="199">
        <f>IF(Init!$R$9="Yes",'Staging Table'!F14,'Staging Table'!BS14)*Rates_previous!$E$77*100*12</f>
        <v>-8783993.3369243853</v>
      </c>
      <c r="F12" s="200"/>
      <c r="G12" s="200">
        <f>IF(Init!$R$9="Yes",SUMPRODUCT('Staging Table'!AJ14:AU14,LS_Demand_Rates_Restatement!$C$10:$N$10),SUMPRODUCT(LS_Demand_Rates_Restatement!$C$10:$N$10,'Staging Table'!CW14:DH14))*1000</f>
        <v>1178518.3224042642</v>
      </c>
      <c r="H12" s="201"/>
      <c r="I12" s="199">
        <v>0</v>
      </c>
      <c r="J12" s="201">
        <f>IF(Init!$R$9="Yes",IF('Staging Table'!D14=1,'Staging Table'!H14*-1*'Staging Table'!F14/'Staging Table'!E14,'Staging Table'!H14*SUM(D12:I12)*(-1)),IF('Staging Table'!D14=1,'Staging Table'!BU14*-1*'Staging Table'!BS14/'Staging Table'!BR14,'Staging Table'!BU14*SUM(D12:I12)*(-1)))</f>
        <v>0</v>
      </c>
      <c r="K12" s="199">
        <f>IF(Init!$R$9="Yes",'Staging Table'!K14,'Staging Table'!BX14)*(-1)*Rates_previous!$H$32</f>
        <v>0</v>
      </c>
      <c r="L12" s="199">
        <f>IF('Staging Table'!C14=1,"",SUM(D12:K12))</f>
        <v>45597830.109071895</v>
      </c>
      <c r="M12" s="199">
        <f>IF('Staging Table'!C14=1,"",IF(Init!$R$9="Yes",(RT1SC!$C$3*'Staging Table'!F14*'Staging Table'!$F$2),X12))</f>
        <v>1309183.456178304</v>
      </c>
      <c r="N12" s="297">
        <f>IF('Staging Table'!C14=1,"",IF(M12=0, 0, L12/M12))</f>
        <v>34.82921350242124</v>
      </c>
      <c r="O12" s="199">
        <f>'Staging Table'!BS14*Rates_current!$E$76*100*12</f>
        <v>53718341.225760005</v>
      </c>
      <c r="P12" s="199">
        <f>'Staging Table'!BS14*Rates_current!$E$77*100*12</f>
        <v>-9440364.2488800008</v>
      </c>
      <c r="Q12" s="200"/>
      <c r="R12" s="200">
        <f>SUMPRODUCT('Staging Table'!CW14:DH14, LS_Demand_Rates_Restatement!$C$11:$N$11)*1000</f>
        <v>1075907.9000328784</v>
      </c>
      <c r="S12" s="201"/>
      <c r="T12" s="201">
        <v>0</v>
      </c>
      <c r="U12" s="201">
        <f>IF('Staging Table'!D14=1, 'Staging Table'!BU14*-1*'Staging Table'!BS14/'Staging Table'!BR14,SUM(O12:T12)*'Staging Table'!BU14*-1)</f>
        <v>0</v>
      </c>
      <c r="V12" s="199">
        <f>'Staging Table'!BX14*Rates_current!$H$32*-1</f>
        <v>0</v>
      </c>
      <c r="W12" s="199">
        <f>IF('Staging Table'!C14=1,"",SUM(O12:V12))</f>
        <v>45353884.876912884</v>
      </c>
      <c r="X12" s="199">
        <f>IF('Staging Table'!C14=1,"",(RT1SC!$C$4*'Staging Table'!BS14*'Staging Table'!$BS$2))</f>
        <v>1337917.3058026079</v>
      </c>
      <c r="Y12" s="297">
        <f>IF('Staging Table'!C14=1,"",IF(X12=0, 0, W12/X12))</f>
        <v>33.898870042424171</v>
      </c>
      <c r="Z12" s="76">
        <f ca="1">IF('Staging Table'!C14=1,"",(Y12/N12-1)+(RAND()/100000000000))</f>
        <v>-2.6711583932671097E-2</v>
      </c>
      <c r="AA12" s="53">
        <f t="shared" ca="1" si="0"/>
        <v>87</v>
      </c>
      <c r="AD12" s="204"/>
      <c r="AE12" s="204"/>
      <c r="AG12" s="204"/>
      <c r="AH12" s="204"/>
    </row>
    <row r="13" spans="1:35">
      <c r="B13" s="123">
        <v>10055</v>
      </c>
      <c r="C13" s="124" t="s">
        <v>16</v>
      </c>
      <c r="D13" s="199">
        <f>IF(Init!$R$9="Yes",'Staging Table'!F15,'Staging Table'!BS15)*Rates_previous!$E$76*100*12</f>
        <v>135252.8851584176</v>
      </c>
      <c r="E13" s="199">
        <f>IF(Init!$R$9="Yes",'Staging Table'!F15,'Staging Table'!BS15)*Rates_previous!$E$77*100*12</f>
        <v>-22330.575878161304</v>
      </c>
      <c r="F13" s="200"/>
      <c r="G13" s="200">
        <f>IF(Init!$R$9="Yes",SUMPRODUCT('Staging Table'!AJ15:AU15,LS_Demand_Rates_Restatement!$C$10:$N$10),SUMPRODUCT(LS_Demand_Rates_Restatement!$C$10:$N$10,'Staging Table'!CW15:DH15))*1000</f>
        <v>7545.772947061967</v>
      </c>
      <c r="H13" s="201"/>
      <c r="I13" s="199">
        <v>0</v>
      </c>
      <c r="J13" s="201">
        <f>IF(Init!$R$9="Yes",IF('Staging Table'!D15=1,'Staging Table'!H15*-1*'Staging Table'!F15/'Staging Table'!E15,'Staging Table'!H15*SUM(D13:I13)*(-1)),IF('Staging Table'!D15=1,'Staging Table'!BU15*-1*'Staging Table'!BS15/'Staging Table'!BR15,'Staging Table'!BU15*SUM(D13:I13)*(-1)))</f>
        <v>0</v>
      </c>
      <c r="K13" s="199">
        <f>IF(Init!$R$9="Yes",'Staging Table'!K15,'Staging Table'!BX15)*(-1)*Rates_previous!$H$32</f>
        <v>0</v>
      </c>
      <c r="L13" s="199">
        <f>IF('Staging Table'!C15=1,"",SUM(D13:K13))</f>
        <v>120468.08222731827</v>
      </c>
      <c r="M13" s="199">
        <f>IF('Staging Table'!C15=1,"",IF(Init!$R$9="Yes",(RT1SC!$C$3*'Staging Table'!F15*'Staging Table'!$F$2),X13))</f>
        <v>3328.1924729760003</v>
      </c>
      <c r="N13" s="297">
        <f>IF('Staging Table'!C15=1,"",IF(M13=0, 0, L13/M13))</f>
        <v>36.196248626089293</v>
      </c>
      <c r="O13" s="199">
        <f>'Staging Table'!BS15*Rates_current!$E$76*100*12</f>
        <v>138008.89008000001</v>
      </c>
      <c r="P13" s="199">
        <f>'Staging Table'!BS15*Rates_current!$E$77*100*12</f>
        <v>-24253.433039999996</v>
      </c>
      <c r="Q13" s="200"/>
      <c r="R13" s="200">
        <f>SUMPRODUCT('Staging Table'!CW15:DH15, LS_Demand_Rates_Restatement!$C$11:$N$11)*1000</f>
        <v>7816.5149948717981</v>
      </c>
      <c r="S13" s="201"/>
      <c r="T13" s="201">
        <v>0</v>
      </c>
      <c r="U13" s="201">
        <f>IF('Staging Table'!D15=1, 'Staging Table'!BU15*-1*'Staging Table'!BS15/'Staging Table'!BR15,SUM(O13:T13)*'Staging Table'!BU15*-1)</f>
        <v>0</v>
      </c>
      <c r="V13" s="199">
        <f>'Staging Table'!BX15*Rates_current!$H$32*-1</f>
        <v>0</v>
      </c>
      <c r="W13" s="199">
        <f>IF('Staging Table'!C15=1,"",SUM(O13:V13))</f>
        <v>121571.97203487181</v>
      </c>
      <c r="X13" s="199">
        <f>IF('Staging Table'!C15=1,"",(RT1SC!$C$4*'Staging Table'!BS15*'Staging Table'!$BS$2))</f>
        <v>3437.2707380639995</v>
      </c>
      <c r="Y13" s="297">
        <f>IF('Staging Table'!C15=1,"",IF(X13=0, 0, W13/X13))</f>
        <v>35.368750761642282</v>
      </c>
      <c r="Z13" s="76">
        <f ca="1">IF('Staging Table'!C15=1,"",(Y13/N13-1)+(RAND()/100000000000))</f>
        <v>-2.2861426133165184E-2</v>
      </c>
      <c r="AA13" s="53">
        <f t="shared" ca="1" si="0"/>
        <v>29</v>
      </c>
      <c r="AD13" s="204"/>
      <c r="AE13" s="204"/>
      <c r="AG13" s="204"/>
      <c r="AH13" s="204"/>
    </row>
    <row r="14" spans="1:35">
      <c r="B14" s="123">
        <v>10057</v>
      </c>
      <c r="C14" s="124" t="s">
        <v>17</v>
      </c>
      <c r="D14" s="199">
        <f>IF(Init!$R$9="Yes",'Staging Table'!F16,'Staging Table'!BS16)*Rates_previous!$E$76*100*12</f>
        <v>7111328.1143399216</v>
      </c>
      <c r="E14" s="199">
        <f>IF(Init!$R$9="Yes",'Staging Table'!F16,'Staging Table'!BS16)*Rates_previous!$E$77*100*12</f>
        <v>-1174097.3352677221</v>
      </c>
      <c r="F14" s="200"/>
      <c r="G14" s="200">
        <f>IF(Init!$R$9="Yes",SUMPRODUCT('Staging Table'!AJ16:AU16,LS_Demand_Rates_Restatement!$C$10:$N$10),SUMPRODUCT(LS_Demand_Rates_Restatement!$C$10:$N$10,'Staging Table'!CW16:DH16))*1000</f>
        <v>125706.55927368233</v>
      </c>
      <c r="H14" s="201"/>
      <c r="I14" s="199">
        <v>0</v>
      </c>
      <c r="J14" s="201">
        <f>IF(Init!$R$9="Yes",IF('Staging Table'!D16=1,'Staging Table'!H16*-1*'Staging Table'!F16/'Staging Table'!E16,'Staging Table'!H16*SUM(D14:I14)*(-1)),IF('Staging Table'!D16=1,'Staging Table'!BU16*-1*'Staging Table'!BS16/'Staging Table'!BR16,'Staging Table'!BU16*SUM(D14:I14)*(-1)))</f>
        <v>0</v>
      </c>
      <c r="K14" s="199">
        <f>IF(Init!$R$9="Yes",'Staging Table'!K16,'Staging Table'!BX16)*(-1)*Rates_previous!$H$32</f>
        <v>0</v>
      </c>
      <c r="L14" s="199">
        <f>IF('Staging Table'!C16=1,"",SUM(D14:K14))</f>
        <v>6062937.3383458816</v>
      </c>
      <c r="M14" s="199">
        <f>IF('Staging Table'!C16=1,"",IF(Init!$R$9="Yes",(RT1SC!$C$3*'Staging Table'!F16*'Staging Table'!$F$2),X14))</f>
        <v>174989.75105253601</v>
      </c>
      <c r="N14" s="297">
        <f>IF('Staging Table'!C16=1,"",IF(M14=0, 0, L14/M14))</f>
        <v>34.647385357589577</v>
      </c>
      <c r="O14" s="199">
        <f>'Staging Table'!BS16*Rates_current!$E$76*100*12</f>
        <v>7051656.4106399994</v>
      </c>
      <c r="P14" s="199">
        <f>'Staging Table'!BS16*Rates_current!$E$77*100*12</f>
        <v>-1239245.35932</v>
      </c>
      <c r="Q14" s="200"/>
      <c r="R14" s="200">
        <f>SUMPRODUCT('Staging Table'!CW16:DH16, LS_Demand_Rates_Restatement!$C$11:$N$11)*1000</f>
        <v>120542.63681741449</v>
      </c>
      <c r="S14" s="201"/>
      <c r="T14" s="201">
        <v>0</v>
      </c>
      <c r="U14" s="201">
        <f>IF('Staging Table'!D16=1, 'Staging Table'!BU16*-1*'Staging Table'!BS16/'Staging Table'!BR16,SUM(O14:T14)*'Staging Table'!BU16*-1)</f>
        <v>0</v>
      </c>
      <c r="V14" s="199">
        <f>'Staging Table'!BX16*Rates_current!$H$32*-1</f>
        <v>0</v>
      </c>
      <c r="W14" s="199">
        <f>IF('Staging Table'!C16=1,"",SUM(O14:V14))</f>
        <v>5932953.6881374139</v>
      </c>
      <c r="X14" s="199">
        <f>IF('Staging Table'!C16=1,"",(RT1SC!$C$4*'Staging Table'!BS16*'Staging Table'!$BS$2))</f>
        <v>175629.64401151199</v>
      </c>
      <c r="Y14" s="297">
        <f>IF('Staging Table'!C16=1,"",IF(X14=0, 0, W14/X14))</f>
        <v>33.781049443729025</v>
      </c>
      <c r="Z14" s="76">
        <f ca="1">IF('Staging Table'!C16=1,"",(Y14/N14-1)+(RAND()/100000000000))</f>
        <v>-2.500436627190614E-2</v>
      </c>
      <c r="AA14" s="53">
        <f t="shared" ca="1" si="0"/>
        <v>62</v>
      </c>
      <c r="AD14" s="204"/>
      <c r="AE14" s="204"/>
      <c r="AG14" s="204"/>
      <c r="AH14" s="204"/>
    </row>
    <row r="15" spans="1:35">
      <c r="B15" s="123">
        <v>10059</v>
      </c>
      <c r="C15" s="124" t="s">
        <v>18</v>
      </c>
      <c r="D15" s="199">
        <f>IF(Init!$R$9="Yes",'Staging Table'!F17,'Staging Table'!BS17)*Rates_previous!$E$76*100*12</f>
        <v>2594025.6360968137</v>
      </c>
      <c r="E15" s="199">
        <f>IF(Init!$R$9="Yes",'Staging Table'!F17,'Staging Table'!BS17)*Rates_previous!$E$77*100*12</f>
        <v>-428279.8568689198</v>
      </c>
      <c r="F15" s="200"/>
      <c r="G15" s="200">
        <f>IF(Init!$R$9="Yes",SUMPRODUCT('Staging Table'!AJ17:AU17,LS_Demand_Rates_Restatement!$C$10:$N$10),SUMPRODUCT(LS_Demand_Rates_Restatement!$C$10:$N$10,'Staging Table'!CW17:DH17))*1000</f>
        <v>105293.28112394942</v>
      </c>
      <c r="H15" s="201"/>
      <c r="I15" s="199">
        <v>0</v>
      </c>
      <c r="J15" s="201">
        <f>IF(Init!$R$9="Yes",IF('Staging Table'!D17=1,'Staging Table'!H17*-1*'Staging Table'!F17/'Staging Table'!E17,'Staging Table'!H17*SUM(D15:I15)*(-1)),IF('Staging Table'!D17=1,'Staging Table'!BU17*-1*'Staging Table'!BS17/'Staging Table'!BR17,'Staging Table'!BU17*SUM(D15:I15)*(-1)))</f>
        <v>0</v>
      </c>
      <c r="K15" s="199">
        <f>IF(Init!$R$9="Yes",'Staging Table'!K17,'Staging Table'!BX17)*(-1)*Rates_previous!$H$32</f>
        <v>0</v>
      </c>
      <c r="L15" s="199">
        <f>IF('Staging Table'!C17=1,"",SUM(D15:K15))</f>
        <v>2271039.060351843</v>
      </c>
      <c r="M15" s="199">
        <f>IF('Staging Table'!C17=1,"",IF(Init!$R$9="Yes",(RT1SC!$C$3*'Staging Table'!F17*'Staging Table'!$F$2),X15))</f>
        <v>63831.663085428001</v>
      </c>
      <c r="N15" s="297">
        <f>IF('Staging Table'!C17=1,"",IF(M15=0, 0, L15/M15))</f>
        <v>35.578566350565502</v>
      </c>
      <c r="O15" s="199">
        <f>'Staging Table'!BS17*Rates_current!$E$76*100*12</f>
        <v>2681707.0427999999</v>
      </c>
      <c r="P15" s="199">
        <f>'Staging Table'!BS17*Rates_current!$E$77*100*12</f>
        <v>-471278.35140000004</v>
      </c>
      <c r="Q15" s="200"/>
      <c r="R15" s="200">
        <f>SUMPRODUCT('Staging Table'!CW17:DH17, LS_Demand_Rates_Restatement!$C$11:$N$11)*1000</f>
        <v>101047.72091757478</v>
      </c>
      <c r="S15" s="201"/>
      <c r="T15" s="201">
        <v>0</v>
      </c>
      <c r="U15" s="201">
        <f>IF('Staging Table'!D17=1, 'Staging Table'!BU17*-1*'Staging Table'!BS17/'Staging Table'!BR17,SUM(O15:T15)*'Staging Table'!BU17*-1)</f>
        <v>0</v>
      </c>
      <c r="V15" s="199">
        <f>'Staging Table'!BX17*Rates_current!$H$32*-1</f>
        <v>0</v>
      </c>
      <c r="W15" s="199">
        <f>IF('Staging Table'!C17=1,"",SUM(O15:V15))</f>
        <v>2311476.4123175745</v>
      </c>
      <c r="X15" s="199">
        <f>IF('Staging Table'!C17=1,"",(RT1SC!$C$4*'Staging Table'!BS17*'Staging Table'!$BS$2))</f>
        <v>66791.009919239994</v>
      </c>
      <c r="Y15" s="297">
        <f>IF('Staging Table'!C17=1,"",IF(X15=0, 0, W15/X15))</f>
        <v>34.607597865528376</v>
      </c>
      <c r="Z15" s="76">
        <f ca="1">IF('Staging Table'!C17=1,"",(Y15/N15-1)+(RAND()/100000000000))</f>
        <v>-2.729082659326958E-2</v>
      </c>
      <c r="AA15" s="53">
        <f t="shared" ca="1" si="0"/>
        <v>92</v>
      </c>
      <c r="AD15" s="204"/>
      <c r="AE15" s="204"/>
      <c r="AG15" s="204"/>
      <c r="AH15" s="204"/>
    </row>
    <row r="16" spans="1:35">
      <c r="B16" s="123">
        <v>10061</v>
      </c>
      <c r="C16" s="124" t="s">
        <v>19</v>
      </c>
      <c r="D16" s="199">
        <f>IF(Init!$R$9="Yes",'Staging Table'!F18,'Staging Table'!BS18)*Rates_previous!$E$76*100*12</f>
        <v>2970047.8416436207</v>
      </c>
      <c r="E16" s="199">
        <f>IF(Init!$R$9="Yes",'Staging Table'!F18,'Staging Table'!BS18)*Rates_previous!$E$77*100*12</f>
        <v>-490362.02526777971</v>
      </c>
      <c r="F16" s="200"/>
      <c r="G16" s="200">
        <f>IF(Init!$R$9="Yes",SUMPRODUCT('Staging Table'!AJ18:AU18,LS_Demand_Rates_Restatement!$C$10:$N$10),SUMPRODUCT(LS_Demand_Rates_Restatement!$C$10:$N$10,'Staging Table'!CW18:DH18))*1000</f>
        <v>123390.70216137818</v>
      </c>
      <c r="H16" s="201"/>
      <c r="I16" s="199">
        <v>0</v>
      </c>
      <c r="J16" s="201">
        <f>IF(Init!$R$9="Yes",IF('Staging Table'!D18=1,'Staging Table'!H18*-1*'Staging Table'!F18/'Staging Table'!E18,'Staging Table'!H18*SUM(D16:I16)*(-1)),IF('Staging Table'!D18=1,'Staging Table'!BU18*-1*'Staging Table'!BS18/'Staging Table'!BR18,'Staging Table'!BU18*SUM(D16:I16)*(-1)))</f>
        <v>0</v>
      </c>
      <c r="K16" s="199">
        <f>IF(Init!$R$9="Yes",'Staging Table'!K18,'Staging Table'!BX18)*(-1)*Rates_previous!$H$32</f>
        <v>0</v>
      </c>
      <c r="L16" s="199">
        <f>IF('Staging Table'!C18=1,"",SUM(D16:K16))</f>
        <v>2603076.5185372191</v>
      </c>
      <c r="M16" s="199">
        <f>IF('Staging Table'!C18=1,"",IF(Init!$R$9="Yes",(RT1SC!$C$3*'Staging Table'!F18*'Staging Table'!$F$2),X16))</f>
        <v>73084.51024434001</v>
      </c>
      <c r="N16" s="297">
        <f>IF('Staging Table'!C18=1,"",IF(M16=0, 0, L16/M16))</f>
        <v>35.617349146002013</v>
      </c>
      <c r="O16" s="199">
        <f>'Staging Table'!BS18*Rates_current!$E$76*100*12</f>
        <v>3085021.8316799998</v>
      </c>
      <c r="P16" s="199">
        <f>'Staging Table'!BS18*Rates_current!$E$77*100*12</f>
        <v>-542156.16384000005</v>
      </c>
      <c r="Q16" s="200"/>
      <c r="R16" s="200">
        <f>SUMPRODUCT('Staging Table'!CW18:DH18, LS_Demand_Rates_Restatement!$C$11:$N$11)*1000</f>
        <v>126980.79254639422</v>
      </c>
      <c r="S16" s="201"/>
      <c r="T16" s="201">
        <v>0</v>
      </c>
      <c r="U16" s="201">
        <f>IF('Staging Table'!D18=1, 'Staging Table'!BU18*-1*'Staging Table'!BS18/'Staging Table'!BR18,SUM(O16:T16)*'Staging Table'!BU18*-1)</f>
        <v>0</v>
      </c>
      <c r="V16" s="199">
        <f>'Staging Table'!BX18*Rates_current!$H$32*-1</f>
        <v>0</v>
      </c>
      <c r="W16" s="199">
        <f>IF('Staging Table'!C18=1,"",SUM(O16:V16))</f>
        <v>2669846.4603863941</v>
      </c>
      <c r="X16" s="199">
        <f>IF('Staging Table'!C18=1,"",(RT1SC!$C$4*'Staging Table'!BS18*'Staging Table'!$BS$2))</f>
        <v>76836.03036134399</v>
      </c>
      <c r="Y16" s="297">
        <f>IF('Staging Table'!C18=1,"",IF(X16=0, 0, W16/X16))</f>
        <v>34.747324241383339</v>
      </c>
      <c r="Z16" s="76">
        <f ca="1">IF('Staging Table'!C18=1,"",(Y16/N16-1)+(RAND()/100000000000))</f>
        <v>-2.4426997669903559E-2</v>
      </c>
      <c r="AA16" s="53">
        <f t="shared" ca="1" si="0"/>
        <v>44</v>
      </c>
      <c r="AD16" s="204"/>
      <c r="AE16" s="204"/>
      <c r="AG16" s="204"/>
      <c r="AH16" s="204"/>
    </row>
    <row r="17" spans="2:34">
      <c r="B17" s="123">
        <v>10062</v>
      </c>
      <c r="C17" s="124" t="s">
        <v>20</v>
      </c>
      <c r="D17" s="199">
        <f>IF(Init!$R$9="Yes",'Staging Table'!F19,'Staging Table'!BS19)*Rates_previous!$E$76*100*12</f>
        <v>1806249.5230730523</v>
      </c>
      <c r="E17" s="199">
        <f>IF(Init!$R$9="Yes",'Staging Table'!F19,'Staging Table'!BS19)*Rates_previous!$E$77*100*12</f>
        <v>-298216.13034452294</v>
      </c>
      <c r="F17" s="200"/>
      <c r="G17" s="200">
        <f>IF(Init!$R$9="Yes",SUMPRODUCT('Staging Table'!AJ19:AU19,LS_Demand_Rates_Restatement!$C$10:$N$10),SUMPRODUCT(LS_Demand_Rates_Restatement!$C$10:$N$10,'Staging Table'!CW19:DH19))*1000</f>
        <v>85220.849915304512</v>
      </c>
      <c r="H17" s="201"/>
      <c r="I17" s="199">
        <v>0</v>
      </c>
      <c r="J17" s="201">
        <f>IF(Init!$R$9="Yes",IF('Staging Table'!D19=1,'Staging Table'!H19*-1*'Staging Table'!F19/'Staging Table'!E19,'Staging Table'!H19*SUM(D17:I17)*(-1)),IF('Staging Table'!D19=1,'Staging Table'!BU19*-1*'Staging Table'!BS19/'Staging Table'!BR19,'Staging Table'!BU19*SUM(D17:I17)*(-1)))</f>
        <v>0</v>
      </c>
      <c r="K17" s="199">
        <f>IF(Init!$R$9="Yes",'Staging Table'!K19,'Staging Table'!BX19)*(-1)*Rates_previous!$H$32</f>
        <v>0</v>
      </c>
      <c r="L17" s="199">
        <f>IF('Staging Table'!C19=1,"",SUM(D17:K17))</f>
        <v>1593254.2426438339</v>
      </c>
      <c r="M17" s="199">
        <f>IF('Staging Table'!C19=1,"",IF(Init!$R$9="Yes",(RT1SC!$C$3*'Staging Table'!F19*'Staging Table'!$F$2),X17))</f>
        <v>44446.712245488001</v>
      </c>
      <c r="N17" s="297">
        <f>IF('Staging Table'!C19=1,"",IF(M17=0, 0, L17/M17))</f>
        <v>35.846391378601297</v>
      </c>
      <c r="O17" s="199">
        <f>'Staging Table'!BS19*Rates_current!$E$76*100*12</f>
        <v>1876323.0326399999</v>
      </c>
      <c r="P17" s="199">
        <f>'Staging Table'!BS19*Rates_current!$E$77*100*12</f>
        <v>-329741.62031999999</v>
      </c>
      <c r="Q17" s="200"/>
      <c r="R17" s="200">
        <f>SUMPRODUCT('Staging Table'!CW19:DH19, LS_Demand_Rates_Restatement!$C$11:$N$11)*1000</f>
        <v>86113.7783560096</v>
      </c>
      <c r="S17" s="201"/>
      <c r="T17" s="201">
        <v>0</v>
      </c>
      <c r="U17" s="201">
        <f>IF('Staging Table'!D19=1, 'Staging Table'!BU19*-1*'Staging Table'!BS19/'Staging Table'!BR19,SUM(O17:T17)*'Staging Table'!BU19*-1)</f>
        <v>0</v>
      </c>
      <c r="V17" s="199">
        <f>'Staging Table'!BX19*Rates_current!$H$32*-1</f>
        <v>0</v>
      </c>
      <c r="W17" s="199">
        <f>IF('Staging Table'!C19=1,"",SUM(O17:V17))</f>
        <v>1632695.1906760095</v>
      </c>
      <c r="X17" s="199">
        <f>IF('Staging Table'!C19=1,"",(RT1SC!$C$4*'Staging Table'!BS19*'Staging Table'!$BS$2))</f>
        <v>46731.991334111997</v>
      </c>
      <c r="Y17" s="297">
        <f>IF('Staging Table'!C19=1,"",IF(X17=0, 0, W17/X17))</f>
        <v>34.937419614820143</v>
      </c>
      <c r="Z17" s="76">
        <f ca="1">IF('Staging Table'!C19=1,"",(Y17/N17-1)+(RAND()/100000000000))</f>
        <v>-2.5357413361640487E-2</v>
      </c>
      <c r="AA17" s="53">
        <f t="shared" ca="1" si="0"/>
        <v>70</v>
      </c>
      <c r="AD17" s="204"/>
      <c r="AE17" s="204"/>
      <c r="AG17" s="204"/>
      <c r="AH17" s="204"/>
    </row>
    <row r="18" spans="2:34">
      <c r="B18" s="123">
        <v>10064</v>
      </c>
      <c r="C18" s="124" t="s">
        <v>21</v>
      </c>
      <c r="D18" s="199">
        <f>IF(Init!$R$9="Yes",'Staging Table'!F20,'Staging Table'!BS20)*Rates_previous!$E$76*100*12</f>
        <v>4776057.5546366042</v>
      </c>
      <c r="E18" s="199">
        <f>IF(Init!$R$9="Yes",'Staging Table'!F20,'Staging Table'!BS20)*Rates_previous!$E$77*100*12</f>
        <v>-788538.56239266042</v>
      </c>
      <c r="F18" s="200"/>
      <c r="G18" s="200">
        <f>IF(Init!$R$9="Yes",SUMPRODUCT('Staging Table'!AJ20:AU20,LS_Demand_Rates_Restatement!$C$10:$N$10),SUMPRODUCT(LS_Demand_Rates_Restatement!$C$10:$N$10,'Staging Table'!CW20:DH20))*1000</f>
        <v>269927.64776016731</v>
      </c>
      <c r="H18" s="201"/>
      <c r="I18" s="199">
        <v>0</v>
      </c>
      <c r="J18" s="201">
        <f>IF(Init!$R$9="Yes",IF('Staging Table'!D20=1,'Staging Table'!H20*-1*'Staging Table'!F20/'Staging Table'!E20,'Staging Table'!H20*SUM(D18:I18)*(-1)),IF('Staging Table'!D20=1,'Staging Table'!BU20*-1*'Staging Table'!BS20/'Staging Table'!BR20,'Staging Table'!BU20*SUM(D18:I18)*(-1)))</f>
        <v>0</v>
      </c>
      <c r="K18" s="199">
        <f>IF(Init!$R$9="Yes",'Staging Table'!K20,'Staging Table'!BX20)*(-1)*Rates_previous!$H$32</f>
        <v>0</v>
      </c>
      <c r="L18" s="199">
        <f>IF('Staging Table'!C20=1,"",SUM(D18:K18))</f>
        <v>4257446.6400041115</v>
      </c>
      <c r="M18" s="199">
        <f>IF('Staging Table'!C20=1,"",IF(Init!$R$9="Yes",(RT1SC!$C$3*'Staging Table'!F20*'Staging Table'!$F$2),X18))</f>
        <v>117525.32143934401</v>
      </c>
      <c r="N18" s="297">
        <f>IF('Staging Table'!C20=1,"",IF(M18=0, 0, L18/M18))</f>
        <v>36.225781711232521</v>
      </c>
      <c r="O18" s="199">
        <f>'Staging Table'!BS20*Rates_current!$E$76*100*12</f>
        <v>4960099.29672</v>
      </c>
      <c r="P18" s="199">
        <f>'Staging Table'!BS20*Rates_current!$E$77*100*12</f>
        <v>-871678.89036000008</v>
      </c>
      <c r="Q18" s="200"/>
      <c r="R18" s="200">
        <f>SUMPRODUCT('Staging Table'!CW20:DH20, LS_Demand_Rates_Restatement!$C$11:$N$11)*1000</f>
        <v>276584.74909666134</v>
      </c>
      <c r="S18" s="201"/>
      <c r="T18" s="201">
        <v>0</v>
      </c>
      <c r="U18" s="201">
        <f>IF('Staging Table'!D20=1, 'Staging Table'!BU20*-1*'Staging Table'!BS20/'Staging Table'!BR20,SUM(O18:T18)*'Staging Table'!BU20*-1)</f>
        <v>0</v>
      </c>
      <c r="V18" s="199">
        <f>'Staging Table'!BX20*Rates_current!$H$32*-1</f>
        <v>0</v>
      </c>
      <c r="W18" s="199">
        <f>IF('Staging Table'!C20=1,"",SUM(O18:V18))</f>
        <v>4365005.1554566612</v>
      </c>
      <c r="X18" s="199">
        <f>IF('Staging Table'!C20=1,"",(RT1SC!$C$4*'Staging Table'!BS20*'Staging Table'!$BS$2))</f>
        <v>123536.99939637599</v>
      </c>
      <c r="Y18" s="297">
        <f>IF('Staging Table'!C20=1,"",IF(X18=0, 0, W18/X18))</f>
        <v>35.33358570132723</v>
      </c>
      <c r="Z18" s="76">
        <f ca="1">IF('Staging Table'!C20=1,"",(Y18/N18-1)+(RAND()/100000000000))</f>
        <v>-2.4628757956962514E-2</v>
      </c>
      <c r="AA18" s="53">
        <f t="shared" ca="1" si="0"/>
        <v>57</v>
      </c>
      <c r="AD18" s="204"/>
      <c r="AE18" s="204"/>
      <c r="AG18" s="204"/>
      <c r="AH18" s="204"/>
    </row>
    <row r="19" spans="2:34">
      <c r="B19" s="123">
        <v>10065</v>
      </c>
      <c r="C19" s="124" t="s">
        <v>22</v>
      </c>
      <c r="D19" s="199">
        <f>IF(Init!$R$9="Yes",'Staging Table'!F21,'Staging Table'!BS21)*Rates_previous!$E$76*100*12</f>
        <v>807440.53958934755</v>
      </c>
      <c r="E19" s="199">
        <f>IF(Init!$R$9="Yes",'Staging Table'!F21,'Staging Table'!BS21)*Rates_previous!$E$77*100*12</f>
        <v>-133310.37053505162</v>
      </c>
      <c r="F19" s="200"/>
      <c r="G19" s="200">
        <f>IF(Init!$R$9="Yes",SUMPRODUCT('Staging Table'!AJ21:AU21,LS_Demand_Rates_Restatement!$C$10:$N$10),SUMPRODUCT(LS_Demand_Rates_Restatement!$C$10:$N$10,'Staging Table'!CW21:DH21))*1000</f>
        <v>9980.3396193108983</v>
      </c>
      <c r="H19" s="201"/>
      <c r="I19" s="199">
        <v>0</v>
      </c>
      <c r="J19" s="201">
        <f>IF(Init!$R$9="Yes",IF('Staging Table'!D21=1,'Staging Table'!H21*-1*'Staging Table'!F21/'Staging Table'!E21,'Staging Table'!H21*SUM(D19:I19)*(-1)),IF('Staging Table'!D21=1,'Staging Table'!BU21*-1*'Staging Table'!BS21/'Staging Table'!BR21,'Staging Table'!BU21*SUM(D19:I19)*(-1)))</f>
        <v>-52655.985852607511</v>
      </c>
      <c r="K19" s="199">
        <f>IF(Init!$R$9="Yes",'Staging Table'!K21,'Staging Table'!BX21)*(-1)*Rates_previous!$H$32</f>
        <v>0</v>
      </c>
      <c r="L19" s="199">
        <f>IF('Staging Table'!C21=1,"",SUM(D19:K19))</f>
        <v>631454.52282099926</v>
      </c>
      <c r="M19" s="199">
        <f>IF('Staging Table'!C21=1,"",IF(Init!$R$9="Yes",(RT1SC!$C$3*'Staging Table'!F21*'Staging Table'!$F$2),X19))</f>
        <v>19868.836979628002</v>
      </c>
      <c r="N19" s="297">
        <f>IF('Staging Table'!C21=1,"",IF(M19=0, 0, L19/M19))</f>
        <v>31.781151733664373</v>
      </c>
      <c r="O19" s="199">
        <f>'Staging Table'!BS21*Rates_current!$E$76*100*12</f>
        <v>838765.22184000001</v>
      </c>
      <c r="P19" s="199">
        <f>'Staging Table'!BS21*Rates_current!$E$77*100*12</f>
        <v>-147403.08491999999</v>
      </c>
      <c r="Q19" s="200"/>
      <c r="R19" s="200">
        <f>SUMPRODUCT('Staging Table'!CW21:DH21, LS_Demand_Rates_Restatement!$C$11:$N$11)*1000</f>
        <v>8987.1702624999907</v>
      </c>
      <c r="S19" s="201"/>
      <c r="T19" s="201">
        <v>0</v>
      </c>
      <c r="U19" s="201">
        <f>IF('Staging Table'!D21=1, 'Staging Table'!BU21*-1*'Staging Table'!BS21/'Staging Table'!BR21,SUM(O19:T19)*'Staging Table'!BU21*-1)</f>
        <v>-53106.386489128847</v>
      </c>
      <c r="V19" s="199">
        <f>'Staging Table'!BX21*Rates_current!$H$32*-1</f>
        <v>0</v>
      </c>
      <c r="W19" s="199">
        <f>IF('Staging Table'!C21=1,"",SUM(O19:V19))</f>
        <v>647242.9206933711</v>
      </c>
      <c r="X19" s="199">
        <f>IF('Staging Table'!C21=1,"",(RT1SC!$C$4*'Staging Table'!BS21*'Staging Table'!$BS$2))</f>
        <v>20890.416200471998</v>
      </c>
      <c r="Y19" s="297">
        <f>IF('Staging Table'!C21=1,"",IF(X19=0, 0, W19/X19))</f>
        <v>30.982768101994409</v>
      </c>
      <c r="Z19" s="76">
        <f ca="1">IF('Staging Table'!C21=1,"",(Y19/N19-1)+(RAND()/100000000000))</f>
        <v>-2.5121293218982155E-2</v>
      </c>
      <c r="AA19" s="53">
        <f t="shared" ca="1" si="0"/>
        <v>64</v>
      </c>
      <c r="AD19" s="204"/>
      <c r="AE19" s="204"/>
      <c r="AG19" s="204"/>
      <c r="AH19" s="204"/>
    </row>
    <row r="20" spans="2:34">
      <c r="B20" s="123">
        <v>10066</v>
      </c>
      <c r="C20" s="124" t="s">
        <v>23</v>
      </c>
      <c r="D20" s="199">
        <f>IF(Init!$R$9="Yes",'Staging Table'!F22,'Staging Table'!BS22)*Rates_previous!$E$76*100*12</f>
        <v>8276085.6732307617</v>
      </c>
      <c r="E20" s="199">
        <f>IF(Init!$R$9="Yes",'Staging Table'!F22,'Staging Table'!BS22)*Rates_previous!$E$77*100*12</f>
        <v>-1366401.6030695476</v>
      </c>
      <c r="F20" s="200"/>
      <c r="G20" s="200">
        <f>IF(Init!$R$9="Yes",SUMPRODUCT('Staging Table'!AJ22:AU22,LS_Demand_Rates_Restatement!$C$10:$N$10),SUMPRODUCT(LS_Demand_Rates_Restatement!$C$10:$N$10,'Staging Table'!CW22:DH22))*1000</f>
        <v>357415.95512643334</v>
      </c>
      <c r="H20" s="201"/>
      <c r="I20" s="199">
        <v>0</v>
      </c>
      <c r="J20" s="201">
        <f>IF(Init!$R$9="Yes",IF('Staging Table'!D22=1,'Staging Table'!H22*-1*'Staging Table'!F22/'Staging Table'!E22,'Staging Table'!H22*SUM(D20:I20)*(-1)),IF('Staging Table'!D22=1,'Staging Table'!BU22*-1*'Staging Table'!BS22/'Staging Table'!BR22,'Staging Table'!BU22*SUM(D20:I20)*(-1)))</f>
        <v>0</v>
      </c>
      <c r="K20" s="199">
        <f>IF(Init!$R$9="Yes",'Staging Table'!K22,'Staging Table'!BX22)*(-1)*Rates_previous!$H$32</f>
        <v>0</v>
      </c>
      <c r="L20" s="199">
        <f>IF('Staging Table'!C22=1,"",SUM(D20:K20))</f>
        <v>7267100.0252876477</v>
      </c>
      <c r="M20" s="199">
        <f>IF('Staging Table'!C22=1,"",IF(Init!$R$9="Yes",(RT1SC!$C$3*'Staging Table'!F22*'Staging Table'!$F$2),X20))</f>
        <v>203651.15325332401</v>
      </c>
      <c r="N20" s="297">
        <f>IF('Staging Table'!C22=1,"",IF(M20=0, 0, L20/M20))</f>
        <v>35.684060262835921</v>
      </c>
      <c r="O20" s="199">
        <f>'Staging Table'!BS22*Rates_current!$E$76*100*12</f>
        <v>8595163.7805599999</v>
      </c>
      <c r="P20" s="199">
        <f>'Staging Table'!BS22*Rates_current!$E$77*100*12</f>
        <v>-1510498.5562799999</v>
      </c>
      <c r="Q20" s="200"/>
      <c r="R20" s="200">
        <f>SUMPRODUCT('Staging Table'!CW22:DH22, LS_Demand_Rates_Restatement!$C$11:$N$11)*1000</f>
        <v>363367.30899882468</v>
      </c>
      <c r="S20" s="201"/>
      <c r="T20" s="201">
        <v>0</v>
      </c>
      <c r="U20" s="201">
        <f>IF('Staging Table'!D22=1, 'Staging Table'!BU22*-1*'Staging Table'!BS22/'Staging Table'!BR22,SUM(O20:T20)*'Staging Table'!BU22*-1)</f>
        <v>0</v>
      </c>
      <c r="V20" s="199">
        <f>'Staging Table'!BX22*Rates_current!$H$32*-1</f>
        <v>0</v>
      </c>
      <c r="W20" s="199">
        <f>IF('Staging Table'!C22=1,"",SUM(O20:V20))</f>
        <v>7448032.5332788248</v>
      </c>
      <c r="X20" s="199">
        <f>IF('Staging Table'!C22=1,"",(RT1SC!$C$4*'Staging Table'!BS22*'Staging Table'!$BS$2))</f>
        <v>214072.47703144798</v>
      </c>
      <c r="Y20" s="297">
        <f>IF('Staging Table'!C22=1,"",IF(X20=0, 0, W20/X20))</f>
        <v>34.792107031043898</v>
      </c>
      <c r="Z20" s="76">
        <f ca="1">IF('Staging Table'!C22=1,"",(Y20/N20-1)+(RAND()/100000000000))</f>
        <v>-2.4995844789557041E-2</v>
      </c>
      <c r="AA20" s="53">
        <f t="shared" ca="1" si="0"/>
        <v>61</v>
      </c>
      <c r="AD20" s="204"/>
      <c r="AE20" s="204"/>
      <c r="AG20" s="204"/>
      <c r="AH20" s="204"/>
    </row>
    <row r="21" spans="2:34">
      <c r="B21" s="123">
        <v>10067</v>
      </c>
      <c r="C21" s="124" t="s">
        <v>24</v>
      </c>
      <c r="D21" s="199">
        <f>IF(Init!$R$9="Yes",'Staging Table'!F23,'Staging Table'!BS23)*Rates_previous!$E$76*100*12</f>
        <v>5371266.1733656693</v>
      </c>
      <c r="E21" s="199">
        <f>IF(Init!$R$9="Yes",'Staging Table'!F23,'Staging Table'!BS23)*Rates_previous!$E$77*100*12</f>
        <v>-886808.93354442716</v>
      </c>
      <c r="F21" s="200"/>
      <c r="G21" s="200">
        <f>IF(Init!$R$9="Yes",SUMPRODUCT('Staging Table'!AJ23:AU23,LS_Demand_Rates_Restatement!$C$10:$N$10),SUMPRODUCT(LS_Demand_Rates_Restatement!$C$10:$N$10,'Staging Table'!CW23:DH23))*1000</f>
        <v>525821.1146169604</v>
      </c>
      <c r="H21" s="201"/>
      <c r="I21" s="199">
        <v>0</v>
      </c>
      <c r="J21" s="201">
        <f>IF(Init!$R$9="Yes",IF('Staging Table'!D23=1,'Staging Table'!H23*-1*'Staging Table'!F23/'Staging Table'!E23,'Staging Table'!H23*SUM(D21:I21)*(-1)),IF('Staging Table'!D23=1,'Staging Table'!BU23*-1*'Staging Table'!BS23/'Staging Table'!BR23,'Staging Table'!BU23*SUM(D21:I21)*(-1)))</f>
        <v>0</v>
      </c>
      <c r="K21" s="199">
        <f>IF(Init!$R$9="Yes",'Staging Table'!K23,'Staging Table'!BX23)*(-1)*Rates_previous!$H$32</f>
        <v>0</v>
      </c>
      <c r="L21" s="199">
        <f>IF('Staging Table'!C23=1,"",SUM(D21:K21))</f>
        <v>5010278.3544382025</v>
      </c>
      <c r="M21" s="199">
        <f>IF('Staging Table'!C23=1,"",IF(Init!$R$9="Yes",(RT1SC!$C$3*'Staging Table'!F23*'Staging Table'!$F$2),X21))</f>
        <v>132171.72874063201</v>
      </c>
      <c r="N21" s="297">
        <f>IF('Staging Table'!C23=1,"",IF(M21=0, 0, L21/M21))</f>
        <v>37.907337689969637</v>
      </c>
      <c r="O21" s="199">
        <f>'Staging Table'!BS23*Rates_current!$E$76*100*12</f>
        <v>5578399.0533600003</v>
      </c>
      <c r="P21" s="199">
        <f>'Staging Table'!BS23*Rates_current!$E$77*100*12</f>
        <v>-980337.77267999994</v>
      </c>
      <c r="Q21" s="200"/>
      <c r="R21" s="200">
        <f>SUMPRODUCT('Staging Table'!CW23:DH23, LS_Demand_Rates_Restatement!$C$11:$N$11)*1000</f>
        <v>522584.56241017632</v>
      </c>
      <c r="S21" s="201"/>
      <c r="T21" s="201">
        <v>0</v>
      </c>
      <c r="U21" s="201">
        <f>IF('Staging Table'!D23=1, 'Staging Table'!BU23*-1*'Staging Table'!BS23/'Staging Table'!BR23,SUM(O21:T21)*'Staging Table'!BU23*-1)</f>
        <v>0</v>
      </c>
      <c r="V21" s="199">
        <f>'Staging Table'!BX23*Rates_current!$H$32*-1</f>
        <v>0</v>
      </c>
      <c r="W21" s="199">
        <f>IF('Staging Table'!C23=1,"",SUM(O21:V21))</f>
        <v>5120645.8430901775</v>
      </c>
      <c r="X21" s="199">
        <f>IF('Staging Table'!C23=1,"",(RT1SC!$C$4*'Staging Table'!BS23*'Staging Table'!$BS$2))</f>
        <v>138936.46865968802</v>
      </c>
      <c r="Y21" s="297">
        <f>IF('Staging Table'!C23=1,"",IF(X21=0, 0, W21/X21))</f>
        <v>36.856024141744413</v>
      </c>
      <c r="Z21" s="76">
        <f ca="1">IF('Staging Table'!C23=1,"",(Y21/N21-1)+(RAND()/100000000000))</f>
        <v>-2.7733774307839732E-2</v>
      </c>
      <c r="AA21" s="53">
        <f t="shared" ca="1" si="0"/>
        <v>94</v>
      </c>
      <c r="AD21" s="204"/>
      <c r="AE21" s="204"/>
      <c r="AG21" s="204"/>
      <c r="AH21" s="204"/>
    </row>
    <row r="22" spans="2:34">
      <c r="B22" s="123">
        <v>10068</v>
      </c>
      <c r="C22" s="124" t="s">
        <v>25</v>
      </c>
      <c r="D22" s="199">
        <f>IF(Init!$R$9="Yes",'Staging Table'!F24,'Staging Table'!BS24)*Rates_previous!$E$76*100*12</f>
        <v>921590.13770177099</v>
      </c>
      <c r="E22" s="199">
        <f>IF(Init!$R$9="Yes",'Staging Table'!F24,'Staging Table'!BS24)*Rates_previous!$E$77*100*12</f>
        <v>-152156.74308470549</v>
      </c>
      <c r="F22" s="200"/>
      <c r="G22" s="200">
        <f>IF(Init!$R$9="Yes",SUMPRODUCT('Staging Table'!AJ24:AU24,LS_Demand_Rates_Restatement!$C$10:$N$10),SUMPRODUCT(LS_Demand_Rates_Restatement!$C$10:$N$10,'Staging Table'!CW24:DH24))*1000</f>
        <v>46465.901033333321</v>
      </c>
      <c r="H22" s="201"/>
      <c r="I22" s="199">
        <v>0</v>
      </c>
      <c r="J22" s="201">
        <f>IF(Init!$R$9="Yes",IF('Staging Table'!D24=1,'Staging Table'!H24*-1*'Staging Table'!F24/'Staging Table'!E24,'Staging Table'!H24*SUM(D22:I22)*(-1)),IF('Staging Table'!D24=1,'Staging Table'!BU24*-1*'Staging Table'!BS24/'Staging Table'!BR24,'Staging Table'!BU24*SUM(D22:I22)*(-1)))</f>
        <v>0</v>
      </c>
      <c r="K22" s="199">
        <f>IF(Init!$R$9="Yes",'Staging Table'!K24,'Staging Table'!BX24)*(-1)*Rates_previous!$H$32</f>
        <v>0</v>
      </c>
      <c r="L22" s="199">
        <f>IF('Staging Table'!C24=1,"",SUM(D22:K22))</f>
        <v>815899.29565039882</v>
      </c>
      <c r="M22" s="199">
        <f>IF('Staging Table'!C24=1,"",IF(Init!$R$9="Yes",(RT1SC!$C$3*'Staging Table'!F24*'Staging Table'!$F$2),X22))</f>
        <v>22677.737010012002</v>
      </c>
      <c r="N22" s="297">
        <f>IF('Staging Table'!C24=1,"",IF(M22=0, 0, L22/M22))</f>
        <v>35.977985602804509</v>
      </c>
      <c r="O22" s="199">
        <f>'Staging Table'!BS24*Rates_current!$E$76*100*12</f>
        <v>889584.37992000009</v>
      </c>
      <c r="P22" s="199">
        <f>'Staging Table'!BS24*Rates_current!$E$77*100*12</f>
        <v>-156333.95196000001</v>
      </c>
      <c r="Q22" s="200"/>
      <c r="R22" s="200">
        <f>SUMPRODUCT('Staging Table'!CW24:DH24, LS_Demand_Rates_Restatement!$C$11:$N$11)*1000</f>
        <v>47626.154299278838</v>
      </c>
      <c r="S22" s="201"/>
      <c r="T22" s="201">
        <v>0</v>
      </c>
      <c r="U22" s="201">
        <f>IF('Staging Table'!D24=1, 'Staging Table'!BU24*-1*'Staging Table'!BS24/'Staging Table'!BR24,SUM(O22:T22)*'Staging Table'!BU24*-1)</f>
        <v>0</v>
      </c>
      <c r="V22" s="199">
        <f>'Staging Table'!BX24*Rates_current!$H$32*-1</f>
        <v>0</v>
      </c>
      <c r="W22" s="199">
        <f>IF('Staging Table'!C24=1,"",SUM(O22:V22))</f>
        <v>780876.58225927898</v>
      </c>
      <c r="X22" s="199">
        <f>IF('Staging Table'!C24=1,"",(RT1SC!$C$4*'Staging Table'!BS24*'Staging Table'!$BS$2))</f>
        <v>22156.126002935998</v>
      </c>
      <c r="Y22" s="297">
        <f>IF('Staging Table'!C24=1,"",IF(X22=0, 0, W22/X22))</f>
        <v>35.244274299387982</v>
      </c>
      <c r="Z22" s="76">
        <f ca="1">IF('Staging Table'!C24=1,"",(Y22/N22-1)+(RAND()/100000000000))</f>
        <v>-2.0393340287849896E-2</v>
      </c>
      <c r="AA22" s="53">
        <f t="shared" ca="1" si="0"/>
        <v>11</v>
      </c>
      <c r="AD22" s="204"/>
      <c r="AE22" s="204"/>
      <c r="AG22" s="204"/>
      <c r="AH22" s="204"/>
    </row>
    <row r="23" spans="2:34">
      <c r="B23" s="123">
        <v>10070</v>
      </c>
      <c r="C23" s="124" t="s">
        <v>26</v>
      </c>
      <c r="D23" s="199">
        <f>IF(Init!$R$9="Yes",'Staging Table'!F25,'Staging Table'!BS25)*Rates_previous!$E$76*100*12</f>
        <v>121823.5206746031</v>
      </c>
      <c r="E23" s="199">
        <f>IF(Init!$R$9="Yes",'Staging Table'!F25,'Staging Table'!BS25)*Rates_previous!$E$77*100*12</f>
        <v>-20113.355578202027</v>
      </c>
      <c r="F23" s="200"/>
      <c r="G23" s="200">
        <f>IF(Init!$R$9="Yes",SUMPRODUCT('Staging Table'!AJ25:AU25,LS_Demand_Rates_Restatement!$C$10:$N$10),SUMPRODUCT(LS_Demand_Rates_Restatement!$C$10:$N$10,'Staging Table'!CW25:DH25))*1000</f>
        <v>6586.8047182781365</v>
      </c>
      <c r="H23" s="201"/>
      <c r="I23" s="199">
        <v>0</v>
      </c>
      <c r="J23" s="201">
        <f>IF(Init!$R$9="Yes",IF('Staging Table'!D25=1,'Staging Table'!H25*-1*'Staging Table'!F25/'Staging Table'!E25,'Staging Table'!H25*SUM(D23:I23)*(-1)),IF('Staging Table'!D25=1,'Staging Table'!BU25*-1*'Staging Table'!BS25/'Staging Table'!BR25,'Staging Table'!BU25*SUM(D23:I23)*(-1)))</f>
        <v>0</v>
      </c>
      <c r="K23" s="199">
        <f>IF(Init!$R$9="Yes",'Staging Table'!K25,'Staging Table'!BX25)*(-1)*Rates_previous!$H$32</f>
        <v>0</v>
      </c>
      <c r="L23" s="199">
        <f>IF('Staging Table'!C25=1,"",SUM(D23:K23))</f>
        <v>108296.96981467921</v>
      </c>
      <c r="M23" s="199">
        <f>IF('Staging Table'!C25=1,"",IF(Init!$R$9="Yes",(RT1SC!$C$3*'Staging Table'!F25*'Staging Table'!$F$2),X23))</f>
        <v>2997.7336458720001</v>
      </c>
      <c r="N23" s="297">
        <f>IF('Staging Table'!C25=1,"",IF(M23=0, 0, L23/M23))</f>
        <v>36.126281587361333</v>
      </c>
      <c r="O23" s="199">
        <f>'Staging Table'!BS25*Rates_current!$E$76*100*12</f>
        <v>126549.66816000002</v>
      </c>
      <c r="P23" s="199">
        <f>'Staging Table'!BS25*Rates_current!$E$77*100*12</f>
        <v>-22239.610079999999</v>
      </c>
      <c r="Q23" s="200"/>
      <c r="R23" s="200">
        <f>SUMPRODUCT('Staging Table'!CW25:DH25, LS_Demand_Rates_Restatement!$C$11:$N$11)*1000</f>
        <v>6882.8899819444441</v>
      </c>
      <c r="S23" s="201"/>
      <c r="T23" s="201">
        <v>0</v>
      </c>
      <c r="U23" s="201">
        <f>IF('Staging Table'!D25=1, 'Staging Table'!BU25*-1*'Staging Table'!BS25/'Staging Table'!BR25,SUM(O23:T23)*'Staging Table'!BU25*-1)</f>
        <v>0</v>
      </c>
      <c r="V23" s="199">
        <f>'Staging Table'!BX25*Rates_current!$H$32*-1</f>
        <v>0</v>
      </c>
      <c r="W23" s="199">
        <f>IF('Staging Table'!C25=1,"",SUM(O23:V23))</f>
        <v>111192.94806194447</v>
      </c>
      <c r="X23" s="199">
        <f>IF('Staging Table'!C25=1,"",(RT1SC!$C$4*'Staging Table'!BS25*'Staging Table'!$BS$2))</f>
        <v>3151.8655865279998</v>
      </c>
      <c r="Y23" s="297">
        <f>IF('Staging Table'!C25=1,"",IF(X23=0, 0, W23/X23))</f>
        <v>35.278454937042945</v>
      </c>
      <c r="Z23" s="76">
        <f ca="1">IF('Staging Table'!C25=1,"",(Y23/N23-1)+(RAND()/100000000000))</f>
        <v>-2.3468417259275707E-2</v>
      </c>
      <c r="AA23" s="53">
        <f t="shared" ca="1" si="0"/>
        <v>35</v>
      </c>
      <c r="AD23" s="204"/>
      <c r="AE23" s="204"/>
      <c r="AG23" s="204"/>
      <c r="AH23" s="204"/>
    </row>
    <row r="24" spans="2:34">
      <c r="B24" s="123">
        <v>10071</v>
      </c>
      <c r="C24" s="124" t="s">
        <v>27</v>
      </c>
      <c r="D24" s="199">
        <f>IF(Init!$R$9="Yes",'Staging Table'!F26,'Staging Table'!BS26)*Rates_previous!$E$76*100*12</f>
        <v>650125.12706466322</v>
      </c>
      <c r="E24" s="199">
        <f>IF(Init!$R$9="Yes",'Staging Table'!F26,'Staging Table'!BS26)*Rates_previous!$E$77*100*12</f>
        <v>-107337.21844981436</v>
      </c>
      <c r="F24" s="200"/>
      <c r="G24" s="200">
        <f>IF(Init!$R$9="Yes",SUMPRODUCT('Staging Table'!AJ26:AU26,LS_Demand_Rates_Restatement!$C$10:$N$10),SUMPRODUCT(LS_Demand_Rates_Restatement!$C$10:$N$10,'Staging Table'!CW26:DH26))*1000</f>
        <v>19396.527488586187</v>
      </c>
      <c r="H24" s="201"/>
      <c r="I24" s="199">
        <v>0</v>
      </c>
      <c r="J24" s="201">
        <f>IF(Init!$R$9="Yes",IF('Staging Table'!D26=1,'Staging Table'!H26*-1*'Staging Table'!F26/'Staging Table'!E26,'Staging Table'!H26*SUM(D24:I24)*(-1)),IF('Staging Table'!D26=1,'Staging Table'!BU26*-1*'Staging Table'!BS26/'Staging Table'!BR26,'Staging Table'!BU26*SUM(D24:I24)*(-1)))</f>
        <v>0</v>
      </c>
      <c r="K24" s="199">
        <f>IF(Init!$R$9="Yes",'Staging Table'!K26,'Staging Table'!BX26)*(-1)*Rates_previous!$H$32</f>
        <v>0</v>
      </c>
      <c r="L24" s="199">
        <f>IF('Staging Table'!C26=1,"",SUM(D24:K24))</f>
        <v>562184.436103435</v>
      </c>
      <c r="M24" s="199">
        <f>IF('Staging Table'!C26=1,"",IF(Init!$R$9="Yes",(RT1SC!$C$3*'Staging Table'!F26*'Staging Table'!$F$2),X24))</f>
        <v>15997.747862124001</v>
      </c>
      <c r="N24" s="297">
        <f>IF('Staging Table'!C26=1,"",IF(M24=0, 0, L24/M24))</f>
        <v>35.141473721713879</v>
      </c>
      <c r="O24" s="199">
        <f>'Staging Table'!BS26*Rates_current!$E$76*100*12</f>
        <v>657659.69280000008</v>
      </c>
      <c r="P24" s="199">
        <f>'Staging Table'!BS26*Rates_current!$E$77*100*12</f>
        <v>-115575.92640000003</v>
      </c>
      <c r="Q24" s="200"/>
      <c r="R24" s="200">
        <f>SUMPRODUCT('Staging Table'!CW26:DH26, LS_Demand_Rates_Restatement!$C$11:$N$11)*1000</f>
        <v>18809.565260683761</v>
      </c>
      <c r="S24" s="201"/>
      <c r="T24" s="201">
        <v>0</v>
      </c>
      <c r="U24" s="201">
        <f>IF('Staging Table'!D26=1, 'Staging Table'!BU26*-1*'Staging Table'!BS26/'Staging Table'!BR26,SUM(O24:T24)*'Staging Table'!BU26*-1)</f>
        <v>0</v>
      </c>
      <c r="V24" s="199">
        <f>'Staging Table'!BX26*Rates_current!$H$32*-1</f>
        <v>0</v>
      </c>
      <c r="W24" s="199">
        <f>IF('Staging Table'!C26=1,"",SUM(O24:V24))</f>
        <v>560893.33166068385</v>
      </c>
      <c r="X24" s="199">
        <f>IF('Staging Table'!C26=1,"",(RT1SC!$C$4*'Staging Table'!BS26*'Staging Table'!$BS$2))</f>
        <v>16379.773914240002</v>
      </c>
      <c r="Y24" s="297">
        <f>IF('Staging Table'!C26=1,"",IF(X24=0, 0, W24/X24))</f>
        <v>34.243044781775822</v>
      </c>
      <c r="Z24" s="76">
        <f ca="1">IF('Staging Table'!C26=1,"",(Y24/N24-1)+(RAND()/100000000000))</f>
        <v>-2.5566057558415803E-2</v>
      </c>
      <c r="AA24" s="53">
        <f t="shared" ca="1" si="0"/>
        <v>72</v>
      </c>
      <c r="AD24" s="204"/>
      <c r="AE24" s="204"/>
      <c r="AG24" s="204"/>
      <c r="AH24" s="204"/>
    </row>
    <row r="25" spans="2:34">
      <c r="B25" s="123">
        <v>10072</v>
      </c>
      <c r="C25" s="124" t="s">
        <v>28</v>
      </c>
      <c r="D25" s="199">
        <f>IF(Init!$R$9="Yes",'Staging Table'!F27,'Staging Table'!BS27)*Rates_previous!$E$76*100*12</f>
        <v>8143950.3191132303</v>
      </c>
      <c r="E25" s="199">
        <f>IF(Init!$R$9="Yes",'Staging Table'!F27,'Staging Table'!BS27)*Rates_previous!$E$77*100*12</f>
        <v>-1344585.7390467338</v>
      </c>
      <c r="F25" s="200"/>
      <c r="G25" s="200">
        <f>IF(Init!$R$9="Yes",SUMPRODUCT('Staging Table'!AJ27:AU27,LS_Demand_Rates_Restatement!$C$10:$N$10),SUMPRODUCT(LS_Demand_Rates_Restatement!$C$10:$N$10,'Staging Table'!CW27:DH27))*1000</f>
        <v>260915.9995519587</v>
      </c>
      <c r="H25" s="201"/>
      <c r="I25" s="199">
        <v>0</v>
      </c>
      <c r="J25" s="201">
        <f>IF(Init!$R$9="Yes",IF('Staging Table'!D27=1,'Staging Table'!H27*-1*'Staging Table'!F27/'Staging Table'!E27,'Staging Table'!H27*SUM(D25:I25)*(-1)),IF('Staging Table'!D27=1,'Staging Table'!BU27*-1*'Staging Table'!BS27/'Staging Table'!BR27,'Staging Table'!BU27*SUM(D25:I25)*(-1)))</f>
        <v>0</v>
      </c>
      <c r="K25" s="199">
        <f>IF(Init!$R$9="Yes",'Staging Table'!K27,'Staging Table'!BX27)*(-1)*Rates_previous!$H$32</f>
        <v>0</v>
      </c>
      <c r="L25" s="199">
        <f>IF('Staging Table'!C27=1,"",SUM(D25:K25))</f>
        <v>7060280.5796184549</v>
      </c>
      <c r="M25" s="199">
        <f>IF('Staging Table'!C27=1,"",IF(Init!$R$9="Yes",(RT1SC!$C$3*'Staging Table'!F27*'Staging Table'!$F$2),X25))</f>
        <v>200399.67443664002</v>
      </c>
      <c r="N25" s="297">
        <f>IF('Staging Table'!C27=1,"",IF(M25=0, 0, L25/M25))</f>
        <v>35.230998251200702</v>
      </c>
      <c r="O25" s="199">
        <f>'Staging Table'!BS27*Rates_current!$E$76*100*12</f>
        <v>8458151.344560001</v>
      </c>
      <c r="P25" s="199">
        <f>'Staging Table'!BS27*Rates_current!$E$77*100*12</f>
        <v>-1486420.2382799999</v>
      </c>
      <c r="Q25" s="200"/>
      <c r="R25" s="200">
        <f>SUMPRODUCT('Staging Table'!CW27:DH27, LS_Demand_Rates_Restatement!$C$11:$N$11)*1000</f>
        <v>277675.74317657592</v>
      </c>
      <c r="S25" s="201"/>
      <c r="T25" s="201">
        <v>0</v>
      </c>
      <c r="U25" s="201">
        <f>IF('Staging Table'!D27=1, 'Staging Table'!BU27*-1*'Staging Table'!BS27/'Staging Table'!BR27,SUM(O25:T25)*'Staging Table'!BU27*-1)</f>
        <v>0</v>
      </c>
      <c r="V25" s="199">
        <f>'Staging Table'!BX27*Rates_current!$H$32*-1</f>
        <v>0</v>
      </c>
      <c r="W25" s="199">
        <f>IF('Staging Table'!C27=1,"",SUM(O25:V25))</f>
        <v>7249406.8494565766</v>
      </c>
      <c r="X25" s="199">
        <f>IF('Staging Table'!C27=1,"",(RT1SC!$C$4*'Staging Table'!BS27*'Staging Table'!$BS$2))</f>
        <v>210660.02413264799</v>
      </c>
      <c r="Y25" s="297">
        <f>IF('Staging Table'!C27=1,"",IF(X25=0, 0, W25/X25))</f>
        <v>34.412826445380944</v>
      </c>
      <c r="Z25" s="76">
        <f ca="1">IF('Staging Table'!C27=1,"",(Y25/N25-1)+(RAND()/100000000000))</f>
        <v>-2.3223066222655724E-2</v>
      </c>
      <c r="AA25" s="53">
        <f t="shared" ca="1" si="0"/>
        <v>34</v>
      </c>
      <c r="AD25" s="204"/>
      <c r="AE25" s="204"/>
      <c r="AG25" s="204"/>
      <c r="AH25" s="204"/>
    </row>
    <row r="26" spans="2:34">
      <c r="B26" s="123">
        <v>10074</v>
      </c>
      <c r="C26" s="124" t="s">
        <v>29</v>
      </c>
      <c r="D26" s="199">
        <f>IF(Init!$R$9="Yes",'Staging Table'!F28,'Staging Table'!BS28)*Rates_previous!$E$76*100*12</f>
        <v>9060744.2552136388</v>
      </c>
      <c r="E26" s="199">
        <f>IF(Init!$R$9="Yes",'Staging Table'!F28,'Staging Table'!BS28)*Rates_previous!$E$77*100*12</f>
        <v>-1495950.6177385966</v>
      </c>
      <c r="F26" s="200"/>
      <c r="G26" s="200">
        <f>IF(Init!$R$9="Yes",SUMPRODUCT('Staging Table'!AJ28:AU28,LS_Demand_Rates_Restatement!$C$10:$N$10),SUMPRODUCT(LS_Demand_Rates_Restatement!$C$10:$N$10,'Staging Table'!CW28:DH28))*1000</f>
        <v>404580.27322195511</v>
      </c>
      <c r="H26" s="201"/>
      <c r="I26" s="199">
        <v>0</v>
      </c>
      <c r="J26" s="201">
        <f>IF(Init!$R$9="Yes",IF('Staging Table'!D28=1,'Staging Table'!H28*-1*'Staging Table'!F28/'Staging Table'!E28,'Staging Table'!H28*SUM(D26:I26)*(-1)),IF('Staging Table'!D28=1,'Staging Table'!BU28*-1*'Staging Table'!BS28/'Staging Table'!BR28,'Staging Table'!BU28*SUM(D26:I26)*(-1)))</f>
        <v>0</v>
      </c>
      <c r="K26" s="199">
        <f>IF(Init!$R$9="Yes",'Staging Table'!K28,'Staging Table'!BX28)*(-1)*Rates_previous!$H$32</f>
        <v>0</v>
      </c>
      <c r="L26" s="199">
        <f>IF('Staging Table'!C28=1,"",SUM(D26:K26))</f>
        <v>7969373.9106969964</v>
      </c>
      <c r="M26" s="199">
        <f>IF('Staging Table'!C28=1,"",IF(Init!$R$9="Yes",(RT1SC!$C$3*'Staging Table'!F28*'Staging Table'!$F$2),X26))</f>
        <v>222959.39043697203</v>
      </c>
      <c r="N26" s="297">
        <f>IF('Staging Table'!C28=1,"",IF(M26=0, 0, L26/M26))</f>
        <v>35.743611852714693</v>
      </c>
      <c r="O26" s="199">
        <f>'Staging Table'!BS28*Rates_current!$E$76*100*12</f>
        <v>9410263.2180000003</v>
      </c>
      <c r="P26" s="199">
        <f>'Staging Table'!BS28*Rates_current!$E$77*100*12</f>
        <v>-1653742.659</v>
      </c>
      <c r="Q26" s="200"/>
      <c r="R26" s="200">
        <f>SUMPRODUCT('Staging Table'!CW28:DH28, LS_Demand_Rates_Restatement!$C$11:$N$11)*1000</f>
        <v>421627.92201490368</v>
      </c>
      <c r="S26" s="201"/>
      <c r="T26" s="201">
        <v>0</v>
      </c>
      <c r="U26" s="201">
        <f>IF('Staging Table'!D28=1, 'Staging Table'!BU28*-1*'Staging Table'!BS28/'Staging Table'!BR28,SUM(O26:T26)*'Staging Table'!BU28*-1)</f>
        <v>0</v>
      </c>
      <c r="V26" s="199">
        <f>'Staging Table'!BX28*Rates_current!$H$32*-1</f>
        <v>0</v>
      </c>
      <c r="W26" s="199">
        <f>IF('Staging Table'!C28=1,"",SUM(O26:V26))</f>
        <v>8178148.4810149036</v>
      </c>
      <c r="X26" s="199">
        <f>IF('Staging Table'!C28=1,"",(RT1SC!$C$4*'Staging Table'!BS28*'Staging Table'!$BS$2))</f>
        <v>234373.46954939998</v>
      </c>
      <c r="Y26" s="297">
        <f>IF('Staging Table'!C28=1,"",IF(X26=0, 0, W26/X26))</f>
        <v>34.893661371903519</v>
      </c>
      <c r="Z26" s="76">
        <f ca="1">IF('Staging Table'!C28=1,"",(Y26/N26-1)+(RAND()/100000000000))</f>
        <v>-2.3779087687751662E-2</v>
      </c>
      <c r="AA26" s="53">
        <f t="shared" ca="1" si="0"/>
        <v>40</v>
      </c>
      <c r="AD26" s="204"/>
      <c r="AE26" s="204"/>
      <c r="AG26" s="204"/>
      <c r="AH26" s="204"/>
    </row>
    <row r="27" spans="2:34">
      <c r="B27" s="123">
        <v>10076</v>
      </c>
      <c r="C27" s="124" t="s">
        <v>30</v>
      </c>
      <c r="D27" s="199">
        <f>IF(Init!$R$9="Yes",'Staging Table'!F29,'Staging Table'!BS29)*Rates_previous!$E$76*100*12</f>
        <v>1635744.5561446212</v>
      </c>
      <c r="E27" s="199">
        <f>IF(Init!$R$9="Yes",'Staging Table'!F29,'Staging Table'!BS29)*Rates_previous!$E$77*100*12</f>
        <v>-270065.35117896856</v>
      </c>
      <c r="F27" s="200"/>
      <c r="G27" s="200">
        <f>IF(Init!$R$9="Yes",SUMPRODUCT('Staging Table'!AJ29:AU29,LS_Demand_Rates_Restatement!$C$10:$N$10),SUMPRODUCT(LS_Demand_Rates_Restatement!$C$10:$N$10,'Staging Table'!CW29:DH29))*1000</f>
        <v>50921.344438639586</v>
      </c>
      <c r="H27" s="201"/>
      <c r="I27" s="199">
        <v>0</v>
      </c>
      <c r="J27" s="201">
        <f>IF(Init!$R$9="Yes",IF('Staging Table'!D29=1,'Staging Table'!H29*-1*'Staging Table'!F29/'Staging Table'!E29,'Staging Table'!H29*SUM(D27:I27)*(-1)),IF('Staging Table'!D29=1,'Staging Table'!BU29*-1*'Staging Table'!BS29/'Staging Table'!BR29,'Staging Table'!BU29*SUM(D27:I27)*(-1)))</f>
        <v>0</v>
      </c>
      <c r="K27" s="199">
        <f>IF(Init!$R$9="Yes",'Staging Table'!K29,'Staging Table'!BX29)*(-1)*Rates_previous!$H$32</f>
        <v>0</v>
      </c>
      <c r="L27" s="199">
        <f>IF('Staging Table'!C29=1,"",SUM(D27:K27))</f>
        <v>1416600.5494042924</v>
      </c>
      <c r="M27" s="199">
        <f>IF('Staging Table'!C29=1,"",IF(Init!$R$9="Yes",(RT1SC!$C$3*'Staging Table'!F29*'Staging Table'!$F$2),X27))</f>
        <v>40251.065351364006</v>
      </c>
      <c r="N27" s="297">
        <f>IF('Staging Table'!C29=1,"",IF(M27=0, 0, L27/M27))</f>
        <v>35.194113175349464</v>
      </c>
      <c r="O27" s="199">
        <f>'Staging Table'!BS29*Rates_current!$E$76*100*12</f>
        <v>1698954.2063999996</v>
      </c>
      <c r="P27" s="199">
        <f>'Staging Table'!BS29*Rates_current!$E$77*100*12</f>
        <v>-298571.14319999999</v>
      </c>
      <c r="Q27" s="200"/>
      <c r="R27" s="200">
        <f>SUMPRODUCT('Staging Table'!CW29:DH29, LS_Demand_Rates_Restatement!$C$11:$N$11)*1000</f>
        <v>50261.956292254261</v>
      </c>
      <c r="S27" s="201"/>
      <c r="T27" s="201">
        <v>0</v>
      </c>
      <c r="U27" s="201">
        <f>IF('Staging Table'!D29=1, 'Staging Table'!BU29*-1*'Staging Table'!BS29/'Staging Table'!BR29,SUM(O27:T27)*'Staging Table'!BU29*-1)</f>
        <v>0</v>
      </c>
      <c r="V27" s="199">
        <f>'Staging Table'!BX29*Rates_current!$H$32*-1</f>
        <v>0</v>
      </c>
      <c r="W27" s="199">
        <f>IF('Staging Table'!C29=1,"",SUM(O27:V27))</f>
        <v>1450645.0194922537</v>
      </c>
      <c r="X27" s="199">
        <f>IF('Staging Table'!C29=1,"",(RT1SC!$C$4*'Staging Table'!BS29*'Staging Table'!$BS$2))</f>
        <v>42314.415945119996</v>
      </c>
      <c r="Y27" s="297">
        <f>IF('Staging Table'!C29=1,"",IF(X27=0, 0, W27/X27))</f>
        <v>34.282524928943339</v>
      </c>
      <c r="Z27" s="76">
        <f ca="1">IF('Staging Table'!C29=1,"",(Y27/N27-1)+(RAND()/100000000000))</f>
        <v>-2.5901725141840332E-2</v>
      </c>
      <c r="AA27" s="53">
        <f t="shared" ca="1" si="0"/>
        <v>77</v>
      </c>
      <c r="AD27" s="204"/>
      <c r="AE27" s="204"/>
      <c r="AG27" s="204"/>
      <c r="AH27" s="204"/>
    </row>
    <row r="28" spans="2:34">
      <c r="B28" s="123">
        <v>10078</v>
      </c>
      <c r="C28" s="124" t="s">
        <v>31</v>
      </c>
      <c r="D28" s="199">
        <f>IF(Init!$R$9="Yes",'Staging Table'!F30,'Staging Table'!BS30)*Rates_previous!$E$76*100*12</f>
        <v>1262360.2614785642</v>
      </c>
      <c r="E28" s="199">
        <f>IF(Init!$R$9="Yes",'Staging Table'!F30,'Staging Table'!BS30)*Rates_previous!$E$77*100*12</f>
        <v>-208418.7081961722</v>
      </c>
      <c r="F28" s="200"/>
      <c r="G28" s="200">
        <f>IF(Init!$R$9="Yes",SUMPRODUCT('Staging Table'!AJ30:AU30,LS_Demand_Rates_Restatement!$C$10:$N$10),SUMPRODUCT(LS_Demand_Rates_Restatement!$C$10:$N$10,'Staging Table'!CW30:DH30))*1000</f>
        <v>128394.37887164354</v>
      </c>
      <c r="H28" s="201"/>
      <c r="I28" s="199">
        <v>0</v>
      </c>
      <c r="J28" s="201">
        <f>IF(Init!$R$9="Yes",IF('Staging Table'!D30=1,'Staging Table'!H30*-1*'Staging Table'!F30/'Staging Table'!E30,'Staging Table'!H30*SUM(D28:I28)*(-1)),IF('Staging Table'!D30=1,'Staging Table'!BU30*-1*'Staging Table'!BS30/'Staging Table'!BR30,'Staging Table'!BU30*SUM(D28:I28)*(-1)))</f>
        <v>0</v>
      </c>
      <c r="K28" s="199">
        <f>IF(Init!$R$9="Yes",'Staging Table'!K30,'Staging Table'!BX30)*(-1)*Rates_previous!$H$32</f>
        <v>0</v>
      </c>
      <c r="L28" s="199">
        <f>IF('Staging Table'!C30=1,"",SUM(D28:K28))</f>
        <v>1182335.9321540354</v>
      </c>
      <c r="M28" s="199">
        <f>IF('Staging Table'!C30=1,"",IF(Init!$R$9="Yes",(RT1SC!$C$3*'Staging Table'!F30*'Staging Table'!$F$2),X28))</f>
        <v>31063.129747776005</v>
      </c>
      <c r="N28" s="297">
        <f>IF('Staging Table'!C30=1,"",IF(M28=0, 0, L28/M28))</f>
        <v>38.06235694066487</v>
      </c>
      <c r="O28" s="199">
        <f>'Staging Table'!BS30*Rates_current!$E$76*100*12</f>
        <v>1311333.5692799999</v>
      </c>
      <c r="P28" s="199">
        <f>'Staging Table'!BS30*Rates_current!$E$77*100*12</f>
        <v>-230451.39263999998</v>
      </c>
      <c r="Q28" s="200"/>
      <c r="R28" s="200">
        <f>SUMPRODUCT('Staging Table'!CW30:DH30, LS_Demand_Rates_Restatement!$C$11:$N$11)*1000</f>
        <v>126756.9448877137</v>
      </c>
      <c r="S28" s="201"/>
      <c r="T28" s="201">
        <v>0</v>
      </c>
      <c r="U28" s="201">
        <f>IF('Staging Table'!D30=1, 'Staging Table'!BU30*-1*'Staging Table'!BS30/'Staging Table'!BR30,SUM(O28:T28)*'Staging Table'!BU30*-1)</f>
        <v>0</v>
      </c>
      <c r="V28" s="199">
        <f>'Staging Table'!BX30*Rates_current!$H$32*-1</f>
        <v>0</v>
      </c>
      <c r="W28" s="199">
        <f>IF('Staging Table'!C30=1,"",SUM(O28:V28))</f>
        <v>1207639.1215277137</v>
      </c>
      <c r="X28" s="199">
        <f>IF('Staging Table'!C30=1,"",(RT1SC!$C$4*'Staging Table'!BS30*'Staging Table'!$BS$2))</f>
        <v>32660.276471423997</v>
      </c>
      <c r="Y28" s="297">
        <f>IF('Staging Table'!C30=1,"",IF(X28=0, 0, W28/X28))</f>
        <v>36.975777672437452</v>
      </c>
      <c r="Z28" s="76">
        <f ca="1">IF('Staging Table'!C30=1,"",(Y28/N28-1)+(RAND()/100000000000))</f>
        <v>-2.8547345868872989E-2</v>
      </c>
      <c r="AA28" s="53">
        <f t="shared" ca="1" si="0"/>
        <v>102</v>
      </c>
      <c r="AD28" s="204"/>
      <c r="AE28" s="204"/>
      <c r="AG28" s="204"/>
      <c r="AH28" s="204"/>
    </row>
    <row r="29" spans="2:34">
      <c r="B29" s="123">
        <v>10079</v>
      </c>
      <c r="C29" s="124" t="s">
        <v>32</v>
      </c>
      <c r="D29" s="199">
        <f>IF(Init!$R$9="Yes",'Staging Table'!F31,'Staging Table'!BS31)*Rates_previous!$E$76*100*12</f>
        <v>28908145.911891147</v>
      </c>
      <c r="E29" s="199">
        <f>IF(Init!$R$9="Yes",'Staging Table'!F31,'Staging Table'!BS31)*Rates_previous!$E$77*100*12</f>
        <v>-4772804.254980199</v>
      </c>
      <c r="F29" s="200"/>
      <c r="G29" s="200">
        <f>IF(Init!$R$9="Yes",SUMPRODUCT('Staging Table'!AJ31:AU31,LS_Demand_Rates_Restatement!$C$10:$N$10),SUMPRODUCT(LS_Demand_Rates_Restatement!$C$10:$N$10,'Staging Table'!CW31:DH31))*1000</f>
        <v>2412552.9414321673</v>
      </c>
      <c r="H29" s="201"/>
      <c r="I29" s="199">
        <v>0</v>
      </c>
      <c r="J29" s="201">
        <f>IF(Init!$R$9="Yes",IF('Staging Table'!D31=1,'Staging Table'!H31*-1*'Staging Table'!F31/'Staging Table'!E31,'Staging Table'!H31*SUM(D29:I29)*(-1)),IF('Staging Table'!D31=1,'Staging Table'!BU31*-1*'Staging Table'!BS31/'Staging Table'!BR31,'Staging Table'!BU31*SUM(D29:I29)*(-1)))</f>
        <v>0</v>
      </c>
      <c r="K29" s="199">
        <f>IF(Init!$R$9="Yes",'Staging Table'!K31,'Staging Table'!BX31)*(-1)*Rates_previous!$H$32</f>
        <v>0</v>
      </c>
      <c r="L29" s="199">
        <f>IF('Staging Table'!C31=1,"",SUM(D29:K29))</f>
        <v>26547894.598343115</v>
      </c>
      <c r="M29" s="199">
        <f>IF('Staging Table'!C31=1,"",IF(Init!$R$9="Yes",(RT1SC!$C$3*'Staging Table'!F31*'Staging Table'!$F$2),X29))</f>
        <v>711348.031644264</v>
      </c>
      <c r="N29" s="297">
        <f>IF('Staging Table'!C31=1,"",IF(M29=0, 0, L29/M29))</f>
        <v>37.320542712374262</v>
      </c>
      <c r="O29" s="199">
        <f>'Staging Table'!BS31*Rates_current!$E$76*100*12</f>
        <v>28840121.323919997</v>
      </c>
      <c r="P29" s="199">
        <f>'Staging Table'!BS31*Rates_current!$E$77*100*12</f>
        <v>-5068310.8239599988</v>
      </c>
      <c r="Q29" s="200"/>
      <c r="R29" s="200">
        <f>SUMPRODUCT('Staging Table'!CW31:DH31, LS_Demand_Rates_Restatement!$C$11:$N$11)*1000</f>
        <v>2363015.8064503749</v>
      </c>
      <c r="S29" s="201"/>
      <c r="T29" s="201">
        <v>0</v>
      </c>
      <c r="U29" s="201">
        <f>IF('Staging Table'!D31=1, 'Staging Table'!BU31*-1*'Staging Table'!BS31/'Staging Table'!BR31,SUM(O29:T29)*'Staging Table'!BU31*-1)</f>
        <v>0</v>
      </c>
      <c r="V29" s="199">
        <f>'Staging Table'!BX31*Rates_current!$H$32*-1</f>
        <v>0</v>
      </c>
      <c r="W29" s="199">
        <f>IF('Staging Table'!C31=1,"",SUM(O29:V29))</f>
        <v>26134826.306410372</v>
      </c>
      <c r="X29" s="199">
        <f>IF('Staging Table'!C31=1,"",(RT1SC!$C$4*'Staging Table'!BS31*'Staging Table'!$BS$2))</f>
        <v>718296.51735813601</v>
      </c>
      <c r="Y29" s="297">
        <f>IF('Staging Table'!C31=1,"",IF(X29=0, 0, W29/X29))</f>
        <v>36.384453599375853</v>
      </c>
      <c r="Z29" s="76">
        <f ca="1">IF('Staging Table'!C31=1,"",(Y29/N29-1)+(RAND()/100000000000))</f>
        <v>-2.5082408903881616E-2</v>
      </c>
      <c r="AA29" s="53">
        <f t="shared" ca="1" si="0"/>
        <v>63</v>
      </c>
      <c r="AD29" s="204"/>
      <c r="AE29" s="204"/>
      <c r="AG29" s="204"/>
      <c r="AH29" s="204"/>
    </row>
    <row r="30" spans="2:34">
      <c r="B30" s="123">
        <v>10080</v>
      </c>
      <c r="C30" s="124" t="s">
        <v>33</v>
      </c>
      <c r="D30" s="199">
        <f>IF(Init!$R$9="Yes",'Staging Table'!F32,'Staging Table'!BS32)*Rates_previous!$E$76*100*12</f>
        <v>2442225.8554136967</v>
      </c>
      <c r="E30" s="199">
        <f>IF(Init!$R$9="Yes",'Staging Table'!F32,'Staging Table'!BS32)*Rates_previous!$E$77*100*12</f>
        <v>-403217.3488354517</v>
      </c>
      <c r="F30" s="200"/>
      <c r="G30" s="200">
        <f>IF(Init!$R$9="Yes",SUMPRODUCT('Staging Table'!AJ32:AU32,LS_Demand_Rates_Restatement!$C$10:$N$10),SUMPRODUCT(LS_Demand_Rates_Restatement!$C$10:$N$10,'Staging Table'!CW32:DH32))*1000</f>
        <v>114706.51989987533</v>
      </c>
      <c r="H30" s="201"/>
      <c r="I30" s="199">
        <v>0</v>
      </c>
      <c r="J30" s="201">
        <f>IF(Init!$R$9="Yes",IF('Staging Table'!D32=1,'Staging Table'!H32*-1*'Staging Table'!F32/'Staging Table'!E32,'Staging Table'!H32*SUM(D30:I30)*(-1)),IF('Staging Table'!D32=1,'Staging Table'!BU32*-1*'Staging Table'!BS32/'Staging Table'!BR32,'Staging Table'!BU32*SUM(D30:I30)*(-1)))</f>
        <v>0</v>
      </c>
      <c r="K30" s="199">
        <f>IF(Init!$R$9="Yes",'Staging Table'!K32,'Staging Table'!BX32)*(-1)*Rates_previous!$H$32</f>
        <v>0</v>
      </c>
      <c r="L30" s="199">
        <f>IF('Staging Table'!C32=1,"",SUM(D30:K30))</f>
        <v>2153715.0264781201</v>
      </c>
      <c r="M30" s="199">
        <f>IF('Staging Table'!C32=1,"",IF(Init!$R$9="Yes",(RT1SC!$C$3*'Staging Table'!F32*'Staging Table'!$F$2),X30))</f>
        <v>60096.298129056006</v>
      </c>
      <c r="N30" s="297">
        <f>IF('Staging Table'!C32=1,"",IF(M30=0, 0, L30/M30))</f>
        <v>35.837731998950176</v>
      </c>
      <c r="O30" s="199">
        <f>'Staging Table'!BS32*Rates_current!$E$76*100*12</f>
        <v>2330456.9796000002</v>
      </c>
      <c r="P30" s="199">
        <f>'Staging Table'!BS32*Rates_current!$E$77*100*12</f>
        <v>-409550.29980000004</v>
      </c>
      <c r="Q30" s="200"/>
      <c r="R30" s="200">
        <f>SUMPRODUCT('Staging Table'!CW32:DH32, LS_Demand_Rates_Restatement!$C$11:$N$11)*1000</f>
        <v>121101.45385998928</v>
      </c>
      <c r="S30" s="201"/>
      <c r="T30" s="201">
        <v>0</v>
      </c>
      <c r="U30" s="201">
        <f>IF('Staging Table'!D32=1, 'Staging Table'!BU32*-1*'Staging Table'!BS32/'Staging Table'!BR32,SUM(O30:T30)*'Staging Table'!BU32*-1)</f>
        <v>0</v>
      </c>
      <c r="V30" s="199">
        <f>'Staging Table'!BX32*Rates_current!$H$32*-1</f>
        <v>0</v>
      </c>
      <c r="W30" s="199">
        <f>IF('Staging Table'!C32=1,"",SUM(O30:V30))</f>
        <v>2042008.1336599893</v>
      </c>
      <c r="X30" s="199">
        <f>IF('Staging Table'!C32=1,"",(RT1SC!$C$4*'Staging Table'!BS32*'Staging Table'!$BS$2))</f>
        <v>58042.721578680001</v>
      </c>
      <c r="Y30" s="297">
        <f>IF('Staging Table'!C32=1,"",IF(X30=0, 0, W30/X30))</f>
        <v>35.181123112773726</v>
      </c>
      <c r="Z30" s="76">
        <f ca="1">IF('Staging Table'!C32=1,"",(Y30/N30-1)+(RAND()/100000000000))</f>
        <v>-1.8321719860019479E-2</v>
      </c>
      <c r="AA30" s="53">
        <f t="shared" ca="1" si="0"/>
        <v>7</v>
      </c>
      <c r="AD30" s="204"/>
      <c r="AE30" s="204"/>
      <c r="AG30" s="204"/>
      <c r="AH30" s="204"/>
    </row>
    <row r="31" spans="2:34">
      <c r="B31" s="123">
        <v>10081</v>
      </c>
      <c r="C31" s="124" t="s">
        <v>34</v>
      </c>
      <c r="D31" s="199">
        <f>IF(Init!$R$9="Yes",'Staging Table'!F33,'Staging Table'!BS33)*Rates_previous!$E$76*100*12</f>
        <v>3283239.8062125808</v>
      </c>
      <c r="E31" s="199">
        <f>IF(Init!$R$9="Yes",'Staging Table'!F33,'Staging Table'!BS33)*Rates_previous!$E$77*100*12</f>
        <v>-542070.7701204014</v>
      </c>
      <c r="F31" s="200"/>
      <c r="G31" s="200">
        <f>IF(Init!$R$9="Yes",SUMPRODUCT('Staging Table'!AJ33:AU33,LS_Demand_Rates_Restatement!$C$10:$N$10),SUMPRODUCT(LS_Demand_Rates_Restatement!$C$10:$N$10,'Staging Table'!CW33:DH33))*1000</f>
        <v>166587.80037167025</v>
      </c>
      <c r="H31" s="201"/>
      <c r="I31" s="199">
        <v>0</v>
      </c>
      <c r="J31" s="201">
        <f>IF(Init!$R$9="Yes",IF('Staging Table'!D33=1,'Staging Table'!H33*-1*'Staging Table'!F33/'Staging Table'!E33,'Staging Table'!H33*SUM(D31:I31)*(-1)),IF('Staging Table'!D33=1,'Staging Table'!BU33*-1*'Staging Table'!BS33/'Staging Table'!BR33,'Staging Table'!BU33*SUM(D31:I31)*(-1)))</f>
        <v>0</v>
      </c>
      <c r="K31" s="199">
        <f>IF(Init!$R$9="Yes",'Staging Table'!K33,'Staging Table'!BX33)*(-1)*Rates_previous!$H$32</f>
        <v>0</v>
      </c>
      <c r="L31" s="199">
        <f>IF('Staging Table'!C33=1,"",SUM(D31:K31))</f>
        <v>2907756.8364638495</v>
      </c>
      <c r="M31" s="199">
        <f>IF('Staging Table'!C33=1,"",IF(Init!$R$9="Yes",(RT1SC!$C$3*'Staging Table'!F33*'Staging Table'!$F$2),X31))</f>
        <v>80791.282176444001</v>
      </c>
      <c r="N31" s="297">
        <f>IF('Staging Table'!C33=1,"",IF(M31=0, 0, L31/M31))</f>
        <v>35.990972765025049</v>
      </c>
      <c r="O31" s="199">
        <f>'Staging Table'!BS33*Rates_current!$E$76*100*12</f>
        <v>3214062.6350400001</v>
      </c>
      <c r="P31" s="199">
        <f>'Staging Table'!BS33*Rates_current!$E$77*100*12</f>
        <v>-564833.5615200001</v>
      </c>
      <c r="Q31" s="200"/>
      <c r="R31" s="200">
        <f>SUMPRODUCT('Staging Table'!CW33:DH33, LS_Demand_Rates_Restatement!$C$11:$N$11)*1000</f>
        <v>166282.920380422</v>
      </c>
      <c r="S31" s="201"/>
      <c r="T31" s="201">
        <v>0</v>
      </c>
      <c r="U31" s="201">
        <f>IF('Staging Table'!D33=1, 'Staging Table'!BU33*-1*'Staging Table'!BS33/'Staging Table'!BR33,SUM(O31:T31)*'Staging Table'!BU33*-1)</f>
        <v>0</v>
      </c>
      <c r="V31" s="199">
        <f>'Staging Table'!BX33*Rates_current!$H$32*-1</f>
        <v>0</v>
      </c>
      <c r="W31" s="199">
        <f>IF('Staging Table'!C33=1,"",SUM(O31:V31))</f>
        <v>2815511.993900422</v>
      </c>
      <c r="X31" s="199">
        <f>IF('Staging Table'!C33=1,"",(RT1SC!$C$4*'Staging Table'!BS33*'Staging Table'!$BS$2))</f>
        <v>80049.940546031998</v>
      </c>
      <c r="Y31" s="297">
        <f>IF('Staging Table'!C33=1,"",IF(X31=0, 0, W31/X31))</f>
        <v>35.171943597901702</v>
      </c>
      <c r="Z31" s="76">
        <f ca="1">IF('Staging Table'!C33=1,"",(Y31/N31-1)+(RAND()/100000000000))</f>
        <v>-2.2756516542468651E-2</v>
      </c>
      <c r="AA31" s="53">
        <f t="shared" ca="1" si="0"/>
        <v>28</v>
      </c>
      <c r="AD31" s="204"/>
      <c r="AE31" s="204"/>
      <c r="AG31" s="204"/>
      <c r="AH31" s="204"/>
    </row>
    <row r="32" spans="2:34">
      <c r="B32" s="123">
        <v>10082</v>
      </c>
      <c r="C32" s="124" t="s">
        <v>35</v>
      </c>
      <c r="D32" s="199">
        <f>IF(Init!$R$9="Yes",'Staging Table'!F34,'Staging Table'!BS34)*Rates_previous!$E$76*100*12</f>
        <v>33813.2212896044</v>
      </c>
      <c r="E32" s="199">
        <f>IF(Init!$R$9="Yes",'Staging Table'!F34,'Staging Table'!BS34)*Rates_previous!$E$77*100*12</f>
        <v>-5582.643969540326</v>
      </c>
      <c r="F32" s="200"/>
      <c r="G32" s="200">
        <f>IF(Init!$R$9="Yes",SUMPRODUCT('Staging Table'!AJ34:AU34,LS_Demand_Rates_Restatement!$C$10:$N$10),SUMPRODUCT(LS_Demand_Rates_Restatement!$C$10:$N$10,'Staging Table'!CW34:DH34))*1000</f>
        <v>1807.6591562678063</v>
      </c>
      <c r="H32" s="201"/>
      <c r="I32" s="199">
        <v>0</v>
      </c>
      <c r="J32" s="201">
        <f>IF(Init!$R$9="Yes",IF('Staging Table'!D34=1,'Staging Table'!H34*-1*'Staging Table'!F34/'Staging Table'!E34,'Staging Table'!H34*SUM(D32:I32)*(-1)),IF('Staging Table'!D34=1,'Staging Table'!BU34*-1*'Staging Table'!BS34/'Staging Table'!BR34,'Staging Table'!BU34*SUM(D32:I32)*(-1)))</f>
        <v>0</v>
      </c>
      <c r="K32" s="199">
        <f>IF(Init!$R$9="Yes",'Staging Table'!K34,'Staging Table'!BX34)*(-1)*Rates_previous!$H$32</f>
        <v>0</v>
      </c>
      <c r="L32" s="199">
        <f>IF('Staging Table'!C34=1,"",SUM(D32:K32))</f>
        <v>30038.236476331884</v>
      </c>
      <c r="M32" s="199">
        <f>IF('Staging Table'!C34=1,"",IF(Init!$R$9="Yes",(RT1SC!$C$3*'Staging Table'!F34*'Staging Table'!$F$2),X32))</f>
        <v>832.04811824400008</v>
      </c>
      <c r="N32" s="297">
        <f>IF('Staging Table'!C34=1,"",IF(M32=0, 0, L32/M32))</f>
        <v>36.101561697809288</v>
      </c>
      <c r="O32" s="199">
        <f>'Staging Table'!BS34*Rates_current!$E$76*100*12</f>
        <v>34875.892800000001</v>
      </c>
      <c r="P32" s="199">
        <f>'Staging Table'!BS34*Rates_current!$E$77*100*12</f>
        <v>-6129.0264000000006</v>
      </c>
      <c r="Q32" s="200"/>
      <c r="R32" s="200">
        <f>SUMPRODUCT('Staging Table'!CW34:DH34, LS_Demand_Rates_Restatement!$C$11:$N$11)*1000</f>
        <v>1837.906761725427</v>
      </c>
      <c r="S32" s="201"/>
      <c r="T32" s="201">
        <v>0</v>
      </c>
      <c r="U32" s="201">
        <f>IF('Staging Table'!D34=1, 'Staging Table'!BU34*-1*'Staging Table'!BS34/'Staging Table'!BR34,SUM(O32:T32)*'Staging Table'!BU34*-1)</f>
        <v>0</v>
      </c>
      <c r="V32" s="199">
        <f>'Staging Table'!BX34*Rates_current!$H$32*-1</f>
        <v>0</v>
      </c>
      <c r="W32" s="199">
        <f>IF('Staging Table'!C34=1,"",SUM(O32:V32))</f>
        <v>30584.773161725425</v>
      </c>
      <c r="X32" s="199">
        <f>IF('Staging Table'!C34=1,"",(RT1SC!$C$4*'Staging Table'!BS34*'Staging Table'!$BS$2))</f>
        <v>868.62437423999995</v>
      </c>
      <c r="Y32" s="297">
        <f>IF('Staging Table'!C34=1,"",IF(X32=0, 0, W32/X32))</f>
        <v>35.210585920393349</v>
      </c>
      <c r="Z32" s="76">
        <f ca="1">IF('Staging Table'!C34=1,"",(Y32/N32-1)+(RAND()/100000000000))</f>
        <v>-2.4679701799058214E-2</v>
      </c>
      <c r="AA32" s="53">
        <f t="shared" ca="1" si="0"/>
        <v>60</v>
      </c>
      <c r="AD32" s="204"/>
      <c r="AE32" s="204"/>
      <c r="AG32" s="204"/>
      <c r="AH32" s="204"/>
    </row>
    <row r="33" spans="2:34">
      <c r="B33" s="123">
        <v>10083</v>
      </c>
      <c r="C33" s="124" t="s">
        <v>36</v>
      </c>
      <c r="D33" s="199">
        <f>IF(Init!$R$9="Yes",'Staging Table'!F35,'Staging Table'!BS35)*Rates_previous!$E$76*100*12</f>
        <v>2840070.7782467012</v>
      </c>
      <c r="E33" s="199">
        <f>IF(Init!$R$9="Yes",'Staging Table'!F35,'Staging Table'!BS35)*Rates_previous!$E$77*100*12</f>
        <v>-468902.50022174523</v>
      </c>
      <c r="F33" s="200"/>
      <c r="G33" s="200">
        <f>IF(Init!$R$9="Yes",SUMPRODUCT('Staging Table'!AJ35:AU35,LS_Demand_Rates_Restatement!$C$10:$N$10),SUMPRODUCT(LS_Demand_Rates_Restatement!$C$10:$N$10,'Staging Table'!CW35:DH35))*1000</f>
        <v>153294.21319558402</v>
      </c>
      <c r="H33" s="201"/>
      <c r="I33" s="199">
        <v>0</v>
      </c>
      <c r="J33" s="201">
        <f>IF(Init!$R$9="Yes",IF('Staging Table'!D35=1,'Staging Table'!H35*-1*'Staging Table'!F35/'Staging Table'!E35,'Staging Table'!H35*SUM(D33:I33)*(-1)),IF('Staging Table'!D35=1,'Staging Table'!BU35*-1*'Staging Table'!BS35/'Staging Table'!BR35,'Staging Table'!BU35*SUM(D33:I33)*(-1)))</f>
        <v>0</v>
      </c>
      <c r="K33" s="199">
        <f>IF(Init!$R$9="Yes",'Staging Table'!K35,'Staging Table'!BX35)*(-1)*Rates_previous!$H$32</f>
        <v>0</v>
      </c>
      <c r="L33" s="199">
        <f>IF('Staging Table'!C35=1,"",SUM(D33:K33))</f>
        <v>2524462.4912205404</v>
      </c>
      <c r="M33" s="199">
        <f>IF('Staging Table'!C35=1,"",IF(Init!$R$9="Yes",(RT1SC!$C$3*'Staging Table'!F35*'Staging Table'!$F$2),X33))</f>
        <v>69886.140882011998</v>
      </c>
      <c r="N33" s="297">
        <f>IF('Staging Table'!C35=1,"",IF(M33=0, 0, L33/M33))</f>
        <v>36.122505254404629</v>
      </c>
      <c r="O33" s="199">
        <f>'Staging Table'!BS35*Rates_current!$E$76*100*12</f>
        <v>2949504.0767999999</v>
      </c>
      <c r="P33" s="199">
        <f>'Staging Table'!BS35*Rates_current!$E$77*100*12</f>
        <v>-518340.5184</v>
      </c>
      <c r="Q33" s="200"/>
      <c r="R33" s="200">
        <f>SUMPRODUCT('Staging Table'!CW35:DH35, LS_Demand_Rates_Restatement!$C$11:$N$11)*1000</f>
        <v>160035.91572045934</v>
      </c>
      <c r="S33" s="201"/>
      <c r="T33" s="201">
        <v>0</v>
      </c>
      <c r="U33" s="201">
        <f>IF('Staging Table'!D35=1, 'Staging Table'!BU35*-1*'Staging Table'!BS35/'Staging Table'!BR35,SUM(O33:T33)*'Staging Table'!BU35*-1)</f>
        <v>0</v>
      </c>
      <c r="V33" s="199">
        <f>'Staging Table'!BX35*Rates_current!$H$32*-1</f>
        <v>0</v>
      </c>
      <c r="W33" s="199">
        <f>IF('Staging Table'!C35=1,"",SUM(O33:V33))</f>
        <v>2591199.4741204595</v>
      </c>
      <c r="X33" s="199">
        <f>IF('Staging Table'!C35=1,"",(RT1SC!$C$4*'Staging Table'!BS35*'Staging Table'!$BS$2))</f>
        <v>73460.804221440005</v>
      </c>
      <c r="Y33" s="297">
        <f>IF('Staging Table'!C35=1,"",IF(X33=0, 0, W33/X33))</f>
        <v>35.273224974634857</v>
      </c>
      <c r="Z33" s="76">
        <f ca="1">IF('Staging Table'!C35=1,"",(Y33/N33-1)+(RAND()/100000000000))</f>
        <v>-2.3511112359691805E-2</v>
      </c>
      <c r="AA33" s="53">
        <f t="shared" ca="1" si="0"/>
        <v>37</v>
      </c>
      <c r="AD33" s="204"/>
      <c r="AE33" s="204"/>
      <c r="AG33" s="204"/>
      <c r="AH33" s="204"/>
    </row>
    <row r="34" spans="2:34">
      <c r="B34" s="123">
        <v>10086</v>
      </c>
      <c r="C34" s="124" t="s">
        <v>37</v>
      </c>
      <c r="D34" s="199">
        <f>IF(Init!$R$9="Yes",'Staging Table'!F36,'Staging Table'!BS36)*Rates_previous!$E$76*100*12</f>
        <v>1339579.1072604978</v>
      </c>
      <c r="E34" s="199">
        <f>IF(Init!$R$9="Yes",'Staging Table'!F36,'Staging Table'!BS36)*Rates_previous!$E$77*100*12</f>
        <v>-221167.72492093802</v>
      </c>
      <c r="F34" s="200"/>
      <c r="G34" s="200">
        <f>IF(Init!$R$9="Yes",SUMPRODUCT('Staging Table'!AJ36:AU36,LS_Demand_Rates_Restatement!$C$10:$N$10),SUMPRODUCT(LS_Demand_Rates_Restatement!$C$10:$N$10,'Staging Table'!CW36:DH36))*1000</f>
        <v>74814.805284241491</v>
      </c>
      <c r="H34" s="201"/>
      <c r="I34" s="199">
        <v>0</v>
      </c>
      <c r="J34" s="201">
        <f>IF(Init!$R$9="Yes",IF('Staging Table'!D36=1,'Staging Table'!H36*-1*'Staging Table'!F36/'Staging Table'!E36,'Staging Table'!H36*SUM(D34:I34)*(-1)),IF('Staging Table'!D36=1,'Staging Table'!BU36*-1*'Staging Table'!BS36/'Staging Table'!BR36,'Staging Table'!BU36*SUM(D34:I34)*(-1)))</f>
        <v>0</v>
      </c>
      <c r="K34" s="199">
        <f>IF(Init!$R$9="Yes",'Staging Table'!K36,'Staging Table'!BX36)*(-1)*Rates_previous!$H$32</f>
        <v>0</v>
      </c>
      <c r="L34" s="199">
        <f>IF('Staging Table'!C36=1,"",SUM(D34:K34))</f>
        <v>1193226.1876238012</v>
      </c>
      <c r="M34" s="199">
        <f>IF('Staging Table'!C36=1,"",IF(Init!$R$9="Yes",(RT1SC!$C$3*'Staging Table'!F36*'Staging Table'!$F$2),X34))</f>
        <v>32963.268003624005</v>
      </c>
      <c r="N34" s="297">
        <f>IF('Staging Table'!C36=1,"",IF(M34=0, 0, L34/M34))</f>
        <v>36.198661719239034</v>
      </c>
      <c r="O34" s="199">
        <f>'Staging Table'!BS36*Rates_current!$E$76*100*12</f>
        <v>1364643.86256</v>
      </c>
      <c r="P34" s="199">
        <f>'Staging Table'!BS36*Rates_current!$E$77*100*12</f>
        <v>-239820.04728</v>
      </c>
      <c r="Q34" s="200"/>
      <c r="R34" s="200">
        <f>SUMPRODUCT('Staging Table'!CW36:DH36, LS_Demand_Rates_Restatement!$C$11:$N$11)*1000</f>
        <v>73617.022972996812</v>
      </c>
      <c r="S34" s="201"/>
      <c r="T34" s="201">
        <v>0</v>
      </c>
      <c r="U34" s="201">
        <f>IF('Staging Table'!D36=1, 'Staging Table'!BU36*-1*'Staging Table'!BS36/'Staging Table'!BR36,SUM(O34:T34)*'Staging Table'!BU36*-1)</f>
        <v>0</v>
      </c>
      <c r="V34" s="199">
        <f>'Staging Table'!BX36*Rates_current!$H$32*-1</f>
        <v>0</v>
      </c>
      <c r="W34" s="199">
        <f>IF('Staging Table'!C36=1,"",SUM(O34:V34))</f>
        <v>1198440.8382529968</v>
      </c>
      <c r="X34" s="199">
        <f>IF('Staging Table'!C36=1,"",(RT1SC!$C$4*'Staging Table'!BS36*'Staging Table'!$BS$2))</f>
        <v>33988.030872047995</v>
      </c>
      <c r="Y34" s="297">
        <f>IF('Staging Table'!C36=1,"",IF(X34=0, 0, W34/X34))</f>
        <v>35.260672875244538</v>
      </c>
      <c r="Z34" s="76">
        <f ca="1">IF('Staging Table'!C36=1,"",(Y34/N34-1)+(RAND()/100000000000))</f>
        <v>-2.5912251984062783E-2</v>
      </c>
      <c r="AA34" s="53">
        <f t="shared" ca="1" si="0"/>
        <v>78</v>
      </c>
      <c r="AD34" s="204"/>
      <c r="AE34" s="204"/>
      <c r="AG34" s="204"/>
      <c r="AH34" s="204"/>
    </row>
    <row r="35" spans="2:34">
      <c r="B35" s="123">
        <v>10087</v>
      </c>
      <c r="C35" s="124" t="s">
        <v>38</v>
      </c>
      <c r="D35" s="199">
        <f>IF(Init!$R$9="Yes",'Staging Table'!F37,'Staging Table'!BS37)*Rates_previous!$E$76*100*12</f>
        <v>20030616.557849549</v>
      </c>
      <c r="E35" s="199">
        <f>IF(Init!$R$9="Yes",'Staging Table'!F37,'Staging Table'!BS37)*Rates_previous!$E$77*100*12</f>
        <v>-3307102.8570481902</v>
      </c>
      <c r="F35" s="200"/>
      <c r="G35" s="200">
        <f>IF(Init!$R$9="Yes",SUMPRODUCT('Staging Table'!AJ37:AU37,LS_Demand_Rates_Restatement!$C$10:$N$10),SUMPRODUCT(LS_Demand_Rates_Restatement!$C$10:$N$10,'Staging Table'!CW37:DH37))*1000</f>
        <v>53744.108798076981</v>
      </c>
      <c r="H35" s="201"/>
      <c r="I35" s="199">
        <v>0</v>
      </c>
      <c r="J35" s="201">
        <f>IF(Init!$R$9="Yes",IF('Staging Table'!D37=1,'Staging Table'!H37*-1*'Staging Table'!F37/'Staging Table'!E37,'Staging Table'!H37*SUM(D35:I35)*(-1)),IF('Staging Table'!D37=1,'Staging Table'!BU37*-1*'Staging Table'!BS37/'Staging Table'!BR37,'Staging Table'!BU37*SUM(D35:I35)*(-1)))</f>
        <v>0</v>
      </c>
      <c r="K35" s="199">
        <f>IF(Init!$R$9="Yes",'Staging Table'!K37,'Staging Table'!BX37)*(-1)*Rates_previous!$H$32</f>
        <v>0</v>
      </c>
      <c r="L35" s="199">
        <f>IF('Staging Table'!C37=1,"",SUM(D35:K35))</f>
        <v>16777257.809599433</v>
      </c>
      <c r="M35" s="199">
        <f>IF('Staging Table'!C37=1,"",IF(Init!$R$9="Yes",(RT1SC!$C$3*'Staging Table'!F37*'Staging Table'!$F$2),X35))</f>
        <v>492897.04377706797</v>
      </c>
      <c r="N35" s="297">
        <f>IF('Staging Table'!C37=1,"",IF(M35=0, 0, L35/M35))</f>
        <v>34.038057280756597</v>
      </c>
      <c r="O35" s="199">
        <f>'Staging Table'!BS37*Rates_current!$E$76*100*12</f>
        <v>16502525.132400002</v>
      </c>
      <c r="P35" s="199">
        <f>'Staging Table'!BS37*Rates_current!$E$77*100*12</f>
        <v>-2900123.9561999999</v>
      </c>
      <c r="Q35" s="200"/>
      <c r="R35" s="200">
        <f>SUMPRODUCT('Staging Table'!CW37:DH37, LS_Demand_Rates_Restatement!$C$11:$N$11)*1000</f>
        <v>24923.911675000018</v>
      </c>
      <c r="S35" s="201"/>
      <c r="T35" s="201">
        <v>0</v>
      </c>
      <c r="U35" s="201">
        <f>IF('Staging Table'!D37=1, 'Staging Table'!BU37*-1*'Staging Table'!BS37/'Staging Table'!BR37,SUM(O35:T35)*'Staging Table'!BU37*-1)</f>
        <v>0</v>
      </c>
      <c r="V35" s="199">
        <f>'Staging Table'!BX37*Rates_current!$H$32*-1</f>
        <v>0</v>
      </c>
      <c r="W35" s="199">
        <f>IF('Staging Table'!C37=1,"",SUM(O35:V35))</f>
        <v>13627325.087875003</v>
      </c>
      <c r="X35" s="199">
        <f>IF('Staging Table'!C37=1,"",(RT1SC!$C$4*'Staging Table'!BS37*'Staging Table'!$BS$2))</f>
        <v>411014.44051092002</v>
      </c>
      <c r="Y35" s="297">
        <f>IF('Staging Table'!C37=1,"",IF(X35=0, 0, W35/X35))</f>
        <v>33.155343814526987</v>
      </c>
      <c r="Z35" s="76">
        <f ca="1">IF('Staging Table'!C37=1,"",(Y35/N35-1)+(RAND()/100000000000))</f>
        <v>-2.5933132990517697E-2</v>
      </c>
      <c r="AA35" s="53">
        <f t="shared" ca="1" si="0"/>
        <v>79</v>
      </c>
      <c r="AD35" s="204"/>
      <c r="AE35" s="204"/>
      <c r="AG35" s="204"/>
      <c r="AH35" s="204"/>
    </row>
    <row r="36" spans="2:34">
      <c r="B36" s="123">
        <v>10089</v>
      </c>
      <c r="C36" s="124" t="s">
        <v>39</v>
      </c>
      <c r="D36" s="199">
        <f>IF(Init!$R$9="Yes",'Staging Table'!F38,'Staging Table'!BS38)*Rates_previous!$E$76*100*12</f>
        <v>35267909.23529759</v>
      </c>
      <c r="E36" s="199">
        <f>IF(Init!$R$9="Yes",'Staging Table'!F38,'Staging Table'!BS38)*Rates_previous!$E$77*100*12</f>
        <v>-5822816.4398894869</v>
      </c>
      <c r="F36" s="200"/>
      <c r="G36" s="200">
        <f>IF(Init!$R$9="Yes",SUMPRODUCT('Staging Table'!AJ38:AU38,LS_Demand_Rates_Restatement!$C$10:$N$10),SUMPRODUCT(LS_Demand_Rates_Restatement!$C$10:$N$10,'Staging Table'!CW38:DH38))*1000</f>
        <v>1649583.0623423078</v>
      </c>
      <c r="H36" s="201"/>
      <c r="I36" s="199">
        <v>0</v>
      </c>
      <c r="J36" s="201">
        <f>IF(Init!$R$9="Yes",IF('Staging Table'!D38=1,'Staging Table'!H38*-1*'Staging Table'!F38/'Staging Table'!E38,'Staging Table'!H38*SUM(D36:I36)*(-1)),IF('Staging Table'!D38=1,'Staging Table'!BU38*-1*'Staging Table'!BS38/'Staging Table'!BR38,'Staging Table'!BU38*SUM(D36:I36)*(-1)))</f>
        <v>0</v>
      </c>
      <c r="K36" s="199">
        <f>IF(Init!$R$9="Yes",'Staging Table'!K38,'Staging Table'!BX38)*(-1)*Rates_previous!$H$32</f>
        <v>0</v>
      </c>
      <c r="L36" s="199">
        <f>IF('Staging Table'!C38=1,"",SUM(D36:K36))</f>
        <v>31094675.857750412</v>
      </c>
      <c r="M36" s="199">
        <f>IF('Staging Table'!C38=1,"",IF(Init!$R$9="Yes",(RT1SC!$C$3*'Staging Table'!F38*'Staging Table'!$F$2),X36))</f>
        <v>867843.89047994406</v>
      </c>
      <c r="N36" s="297">
        <f>IF('Staging Table'!C38=1,"",IF(M36=0, 0, L36/M36))</f>
        <v>35.829803261683516</v>
      </c>
      <c r="O36" s="199">
        <f>'Staging Table'!BS38*Rates_current!$E$76*100*12</f>
        <v>36754208.740800001</v>
      </c>
      <c r="P36" s="199">
        <f>'Staging Table'!BS38*Rates_current!$E$77*100*12</f>
        <v>-6459118.2503999993</v>
      </c>
      <c r="Q36" s="200"/>
      <c r="R36" s="200">
        <f>SUMPRODUCT('Staging Table'!CW38:DH38, LS_Demand_Rates_Restatement!$C$11:$N$11)*1000</f>
        <v>1694608.0009146631</v>
      </c>
      <c r="S36" s="201"/>
      <c r="T36" s="201">
        <v>0</v>
      </c>
      <c r="U36" s="201">
        <f>IF('Staging Table'!D38=1, 'Staging Table'!BU38*-1*'Staging Table'!BS38/'Staging Table'!BR38,SUM(O36:T36)*'Staging Table'!BU38*-1)</f>
        <v>0</v>
      </c>
      <c r="V36" s="199">
        <f>'Staging Table'!BX38*Rates_current!$H$32*-1</f>
        <v>0</v>
      </c>
      <c r="W36" s="199">
        <f>IF('Staging Table'!C38=1,"",SUM(O36:V36))</f>
        <v>31989698.491314664</v>
      </c>
      <c r="X36" s="199">
        <f>IF('Staging Table'!C38=1,"",(RT1SC!$C$4*'Staging Table'!BS38*'Staging Table'!$BS$2))</f>
        <v>915406.00125263992</v>
      </c>
      <c r="Y36" s="297">
        <f>IF('Staging Table'!C38=1,"",IF(X36=0, 0, W36/X36))</f>
        <v>34.945913012958208</v>
      </c>
      <c r="Z36" s="76">
        <f ca="1">IF('Staging Table'!C38=1,"",(Y36/N36-1)+(RAND()/100000000000))</f>
        <v>-2.4669134857168921E-2</v>
      </c>
      <c r="AA36" s="53">
        <f t="shared" ca="1" si="0"/>
        <v>59</v>
      </c>
      <c r="AD36" s="204"/>
      <c r="AE36" s="204"/>
      <c r="AG36" s="204"/>
      <c r="AH36" s="204"/>
    </row>
    <row r="37" spans="2:34">
      <c r="B37" s="123">
        <v>10091</v>
      </c>
      <c r="C37" s="124" t="s">
        <v>40</v>
      </c>
      <c r="D37" s="199">
        <f>IF(Init!$R$9="Yes",'Staging Table'!F39,'Staging Table'!BS39)*Rates_previous!$E$76*100*12</f>
        <v>3199785.8983488763</v>
      </c>
      <c r="E37" s="199">
        <f>IF(Init!$R$9="Yes",'Staging Table'!F39,'Staging Table'!BS39)*Rates_previous!$E$77*100*12</f>
        <v>-528292.32968494017</v>
      </c>
      <c r="F37" s="200"/>
      <c r="G37" s="200">
        <f>IF(Init!$R$9="Yes",SUMPRODUCT('Staging Table'!AJ39:AU39,LS_Demand_Rates_Restatement!$C$10:$N$10),SUMPRODUCT(LS_Demand_Rates_Restatement!$C$10:$N$10,'Staging Table'!CW39:DH39))*1000</f>
        <v>95488.416599813034</v>
      </c>
      <c r="H37" s="201"/>
      <c r="I37" s="199">
        <v>0</v>
      </c>
      <c r="J37" s="201">
        <f>IF(Init!$R$9="Yes",IF('Staging Table'!D39=1,'Staging Table'!H39*-1*'Staging Table'!F39/'Staging Table'!E39,'Staging Table'!H39*SUM(D37:I37)*(-1)),IF('Staging Table'!D39=1,'Staging Table'!BU39*-1*'Staging Table'!BS39/'Staging Table'!BR39,'Staging Table'!BU39*SUM(D37:I37)*(-1)))</f>
        <v>0</v>
      </c>
      <c r="K37" s="199">
        <f>IF(Init!$R$9="Yes",'Staging Table'!K39,'Staging Table'!BX39)*(-1)*Rates_previous!$H$32</f>
        <v>0</v>
      </c>
      <c r="L37" s="199">
        <f>IF('Staging Table'!C39=1,"",SUM(D37:K37))</f>
        <v>2766981.985263749</v>
      </c>
      <c r="M37" s="199">
        <f>IF('Staging Table'!C39=1,"",IF(Init!$R$9="Yes",(RT1SC!$C$3*'Staging Table'!F39*'Staging Table'!$F$2),X37))</f>
        <v>78737.716608012008</v>
      </c>
      <c r="N37" s="297">
        <f>IF('Staging Table'!C39=1,"",IF(M37=0, 0, L37/M37))</f>
        <v>35.141760575035434</v>
      </c>
      <c r="O37" s="199">
        <f>'Staging Table'!BS39*Rates_current!$E$76*100*12</f>
        <v>3186411.0343200001</v>
      </c>
      <c r="P37" s="199">
        <f>'Staging Table'!BS39*Rates_current!$E$77*100*12</f>
        <v>-559974.11916</v>
      </c>
      <c r="Q37" s="200"/>
      <c r="R37" s="200">
        <f>SUMPRODUCT('Staging Table'!CW39:DH39, LS_Demand_Rates_Restatement!$C$11:$N$11)*1000</f>
        <v>98180.890035176228</v>
      </c>
      <c r="S37" s="201"/>
      <c r="T37" s="201">
        <v>0</v>
      </c>
      <c r="U37" s="201">
        <f>IF('Staging Table'!D39=1, 'Staging Table'!BU39*-1*'Staging Table'!BS39/'Staging Table'!BR39,SUM(O37:T37)*'Staging Table'!BU39*-1)</f>
        <v>0</v>
      </c>
      <c r="V37" s="199">
        <f>'Staging Table'!BX39*Rates_current!$H$32*-1</f>
        <v>0</v>
      </c>
      <c r="W37" s="199">
        <f>IF('Staging Table'!C39=1,"",SUM(O37:V37))</f>
        <v>2724617.8051951765</v>
      </c>
      <c r="X37" s="199">
        <f>IF('Staging Table'!C39=1,"",(RT1SC!$C$4*'Staging Table'!BS39*'Staging Table'!$BS$2))</f>
        <v>79361.245506456005</v>
      </c>
      <c r="Y37" s="297">
        <f>IF('Staging Table'!C39=1,"",IF(X37=0, 0, W37/X37))</f>
        <v>34.331842800697096</v>
      </c>
      <c r="Z37" s="76">
        <f ca="1">IF('Staging Table'!C39=1,"",(Y37/N37-1)+(RAND()/100000000000))</f>
        <v>-2.3047159875616324E-2</v>
      </c>
      <c r="AA37" s="53">
        <f t="shared" ca="1" si="0"/>
        <v>30</v>
      </c>
      <c r="AD37" s="204"/>
      <c r="AE37" s="204"/>
      <c r="AG37" s="204"/>
      <c r="AH37" s="204"/>
    </row>
    <row r="38" spans="2:34">
      <c r="B38" s="123">
        <v>10094</v>
      </c>
      <c r="C38" s="124" t="s">
        <v>41</v>
      </c>
      <c r="D38" s="199">
        <f>IF(Init!$R$9="Yes",'Staging Table'!F40,'Staging Table'!BS40)*Rates_previous!$E$76*100*12</f>
        <v>1031423.1543729682</v>
      </c>
      <c r="E38" s="199">
        <f>IF(Init!$R$9="Yes",'Staging Table'!F40,'Staging Table'!BS40)*Rates_previous!$E$77*100*12</f>
        <v>-170290.437680801</v>
      </c>
      <c r="F38" s="200"/>
      <c r="G38" s="200">
        <f>IF(Init!$R$9="Yes",SUMPRODUCT('Staging Table'!AJ40:AU40,LS_Demand_Rates_Restatement!$C$10:$N$10),SUMPRODUCT(LS_Demand_Rates_Restatement!$C$10:$N$10,'Staging Table'!CW40:DH40))*1000</f>
        <v>53528.555375275981</v>
      </c>
      <c r="H38" s="201"/>
      <c r="I38" s="199">
        <v>0</v>
      </c>
      <c r="J38" s="201">
        <f>IF(Init!$R$9="Yes",IF('Staging Table'!D40=1,'Staging Table'!H40*-1*'Staging Table'!F40/'Staging Table'!E40,'Staging Table'!H40*SUM(D38:I38)*(-1)),IF('Staging Table'!D40=1,'Staging Table'!BU40*-1*'Staging Table'!BS40/'Staging Table'!BR40,'Staging Table'!BU40*SUM(D38:I38)*(-1)))</f>
        <v>0</v>
      </c>
      <c r="K38" s="199">
        <f>IF(Init!$R$9="Yes",'Staging Table'!K40,'Staging Table'!BX40)*(-1)*Rates_previous!$H$32</f>
        <v>0</v>
      </c>
      <c r="L38" s="199">
        <f>IF('Staging Table'!C40=1,"",SUM(D38:K38))</f>
        <v>914661.27206744323</v>
      </c>
      <c r="M38" s="199">
        <f>IF('Staging Table'!C40=1,"",IF(Init!$R$9="Yes",(RT1SC!$C$3*'Staging Table'!F40*'Staging Table'!$F$2),X38))</f>
        <v>25380.418131684004</v>
      </c>
      <c r="N38" s="297">
        <f>IF('Staging Table'!C40=1,"",IF(M38=0, 0, L38/M38))</f>
        <v>36.038069480250719</v>
      </c>
      <c r="O38" s="199">
        <f>'Staging Table'!BS40*Rates_current!$E$76*100*12</f>
        <v>1069444.34136</v>
      </c>
      <c r="P38" s="199">
        <f>'Staging Table'!BS40*Rates_current!$E$77*100*12</f>
        <v>-187942.21668000001</v>
      </c>
      <c r="Q38" s="200"/>
      <c r="R38" s="200">
        <f>SUMPRODUCT('Staging Table'!CW40:DH40, LS_Demand_Rates_Restatement!$C$11:$N$11)*1000</f>
        <v>53335.040328018149</v>
      </c>
      <c r="S38" s="201"/>
      <c r="T38" s="201">
        <v>0</v>
      </c>
      <c r="U38" s="201">
        <f>IF('Staging Table'!D40=1, 'Staging Table'!BU40*-1*'Staging Table'!BS40/'Staging Table'!BR40,SUM(O38:T38)*'Staging Table'!BU40*-1)</f>
        <v>0</v>
      </c>
      <c r="V38" s="199">
        <f>'Staging Table'!BX40*Rates_current!$H$32*-1</f>
        <v>0</v>
      </c>
      <c r="W38" s="199">
        <f>IF('Staging Table'!C40=1,"",SUM(O38:V38))</f>
        <v>934837.16500801803</v>
      </c>
      <c r="X38" s="199">
        <f>IF('Staging Table'!C40=1,"",(RT1SC!$C$4*'Staging Table'!BS40*'Staging Table'!$BS$2))</f>
        <v>26635.745990087999</v>
      </c>
      <c r="Y38" s="297">
        <f>IF('Staging Table'!C40=1,"",IF(X38=0, 0, W38/X38))</f>
        <v>35.097089653727004</v>
      </c>
      <c r="Z38" s="76">
        <f ca="1">IF('Staging Table'!C40=1,"",(Y38/N38-1)+(RAND()/100000000000))</f>
        <v>-2.6110716807432547E-2</v>
      </c>
      <c r="AA38" s="53">
        <f t="shared" ca="1" si="0"/>
        <v>80</v>
      </c>
      <c r="AD38" s="204"/>
      <c r="AE38" s="204"/>
      <c r="AG38" s="204"/>
      <c r="AH38" s="204"/>
    </row>
    <row r="39" spans="2:34">
      <c r="B39" s="123">
        <v>10095</v>
      </c>
      <c r="C39" s="124" t="s">
        <v>42</v>
      </c>
      <c r="D39" s="199">
        <f>IF(Init!$R$9="Yes",'Staging Table'!F41,'Staging Table'!BS41)*Rates_previous!$E$76*100*12</f>
        <v>1237180.2030714122</v>
      </c>
      <c r="E39" s="199">
        <f>IF(Init!$R$9="Yes",'Staging Table'!F41,'Staging Table'!BS41)*Rates_previous!$E$77*100*12</f>
        <v>-204261.4201337485</v>
      </c>
      <c r="F39" s="200"/>
      <c r="G39" s="200">
        <f>IF(Init!$R$9="Yes",SUMPRODUCT('Staging Table'!AJ41:AU41,LS_Demand_Rates_Restatement!$C$10:$N$10),SUMPRODUCT(LS_Demand_Rates_Restatement!$C$10:$N$10,'Staging Table'!CW41:DH41))*1000</f>
        <v>32677.188686761034</v>
      </c>
      <c r="H39" s="201"/>
      <c r="I39" s="199">
        <v>0</v>
      </c>
      <c r="J39" s="201">
        <f>IF(Init!$R$9="Yes",IF('Staging Table'!D41=1,'Staging Table'!H41*-1*'Staging Table'!F41/'Staging Table'!E41,'Staging Table'!H41*SUM(D39:I39)*(-1)),IF('Staging Table'!D41=1,'Staging Table'!BU41*-1*'Staging Table'!BS41/'Staging Table'!BR41,'Staging Table'!BU41*SUM(D39:I39)*(-1)))</f>
        <v>0</v>
      </c>
      <c r="K39" s="199">
        <f>IF(Init!$R$9="Yes",'Staging Table'!K41,'Staging Table'!BX41)*(-1)*Rates_previous!$H$32</f>
        <v>0</v>
      </c>
      <c r="L39" s="199">
        <f>IF('Staging Table'!C41=1,"",SUM(D39:K39))</f>
        <v>1065595.9716244247</v>
      </c>
      <c r="M39" s="199">
        <f>IF('Staging Table'!C41=1,"",IF(Init!$R$9="Yes",(RT1SC!$C$3*'Staging Table'!F41*'Staging Table'!$F$2),X39))</f>
        <v>30443.519446956005</v>
      </c>
      <c r="N39" s="297">
        <f>IF('Staging Table'!C41=1,"",IF(M39=0, 0, L39/M39))</f>
        <v>35.002391017276807</v>
      </c>
      <c r="O39" s="199">
        <f>'Staging Table'!BS41*Rates_current!$E$76*100*12</f>
        <v>1284927.5361600001</v>
      </c>
      <c r="P39" s="199">
        <f>'Staging Table'!BS41*Rates_current!$E$77*100*12</f>
        <v>-225810.84407999998</v>
      </c>
      <c r="Q39" s="200"/>
      <c r="R39" s="200">
        <f>SUMPRODUCT('Staging Table'!CW41:DH41, LS_Demand_Rates_Restatement!$C$11:$N$11)*1000</f>
        <v>32835.040221447649</v>
      </c>
      <c r="S39" s="201"/>
      <c r="T39" s="201">
        <v>0</v>
      </c>
      <c r="U39" s="201">
        <f>IF('Staging Table'!D41=1, 'Staging Table'!BU41*-1*'Staging Table'!BS41/'Staging Table'!BR41,SUM(O39:T39)*'Staging Table'!BU41*-1)</f>
        <v>0</v>
      </c>
      <c r="V39" s="199">
        <f>'Staging Table'!BX41*Rates_current!$H$32*-1</f>
        <v>0</v>
      </c>
      <c r="W39" s="199">
        <f>IF('Staging Table'!C41=1,"",SUM(O39:V39))</f>
        <v>1091951.7323014478</v>
      </c>
      <c r="X39" s="199">
        <f>IF('Staging Table'!C41=1,"",(RT1SC!$C$4*'Staging Table'!BS41*'Staging Table'!$BS$2))</f>
        <v>32002.603730927996</v>
      </c>
      <c r="Y39" s="297">
        <f>IF('Staging Table'!C41=1,"",IF(X39=0, 0, W39/X39))</f>
        <v>34.120715348112832</v>
      </c>
      <c r="Z39" s="76">
        <f ca="1">IF('Staging Table'!C41=1,"",(Y39/N39-1)+(RAND()/100000000000))</f>
        <v>-2.5189012621107048E-2</v>
      </c>
      <c r="AA39" s="53">
        <f t="shared" ca="1" si="0"/>
        <v>66</v>
      </c>
      <c r="AD39" s="204"/>
      <c r="AE39" s="204"/>
      <c r="AG39" s="204"/>
      <c r="AH39" s="204"/>
    </row>
    <row r="40" spans="2:34">
      <c r="B40" s="123">
        <v>10097</v>
      </c>
      <c r="C40" s="124" t="s">
        <v>43</v>
      </c>
      <c r="D40" s="199">
        <f>IF(Init!$R$9="Yes",'Staging Table'!F42,'Staging Table'!BS42)*Rates_previous!$E$76*100*12</f>
        <v>692091.89107658365</v>
      </c>
      <c r="E40" s="199">
        <f>IF(Init!$R$9="Yes",'Staging Table'!F42,'Staging Table'!BS42)*Rates_previous!$E$77*100*12</f>
        <v>-114266.03188718711</v>
      </c>
      <c r="F40" s="200"/>
      <c r="G40" s="200">
        <f>IF(Init!$R$9="Yes",SUMPRODUCT('Staging Table'!AJ42:AU42,LS_Demand_Rates_Restatement!$C$10:$N$10),SUMPRODUCT(LS_Demand_Rates_Restatement!$C$10:$N$10,'Staging Table'!CW42:DH42))*1000</f>
        <v>43215.475586707624</v>
      </c>
      <c r="H40" s="201"/>
      <c r="I40" s="199">
        <v>0</v>
      </c>
      <c r="J40" s="201">
        <f>IF(Init!$R$9="Yes",IF('Staging Table'!D42=1,'Staging Table'!H42*-1*'Staging Table'!F42/'Staging Table'!E42,'Staging Table'!H42*SUM(D40:I40)*(-1)),IF('Staging Table'!D42=1,'Staging Table'!BU42*-1*'Staging Table'!BS42/'Staging Table'!BR42,'Staging Table'!BU42*SUM(D40:I40)*(-1)))</f>
        <v>0</v>
      </c>
      <c r="K40" s="199">
        <f>IF(Init!$R$9="Yes",'Staging Table'!K42,'Staging Table'!BX42)*(-1)*Rates_previous!$H$32</f>
        <v>0</v>
      </c>
      <c r="L40" s="199">
        <f>IF('Staging Table'!C42=1,"",SUM(D40:K40))</f>
        <v>621041.33477610408</v>
      </c>
      <c r="M40" s="199">
        <f>IF('Staging Table'!C42=1,"",IF(Init!$R$9="Yes",(RT1SC!$C$3*'Staging Table'!F42*'Staging Table'!$F$2),X40))</f>
        <v>17030.431696824002</v>
      </c>
      <c r="N40" s="297">
        <f>IF('Staging Table'!C42=1,"",IF(M40=0, 0, L40/M40))</f>
        <v>36.466564431946949</v>
      </c>
      <c r="O40" s="199">
        <f>'Staging Table'!BS42*Rates_current!$E$76*100*12</f>
        <v>704243.92103999993</v>
      </c>
      <c r="P40" s="199">
        <f>'Staging Table'!BS42*Rates_current!$E$77*100*12</f>
        <v>-123762.55452000001</v>
      </c>
      <c r="Q40" s="200"/>
      <c r="R40" s="200">
        <f>SUMPRODUCT('Staging Table'!CW42:DH42, LS_Demand_Rates_Restatement!$C$11:$N$11)*1000</f>
        <v>42713.927012232904</v>
      </c>
      <c r="S40" s="201"/>
      <c r="T40" s="201">
        <v>0</v>
      </c>
      <c r="U40" s="201">
        <f>IF('Staging Table'!D42=1, 'Staging Table'!BU42*-1*'Staging Table'!BS42/'Staging Table'!BR42,SUM(O40:T40)*'Staging Table'!BU42*-1)</f>
        <v>0</v>
      </c>
      <c r="V40" s="199">
        <f>'Staging Table'!BX42*Rates_current!$H$32*-1</f>
        <v>0</v>
      </c>
      <c r="W40" s="199">
        <f>IF('Staging Table'!C42=1,"",SUM(O40:V40))</f>
        <v>623195.29353223287</v>
      </c>
      <c r="X40" s="199">
        <f>IF('Staging Table'!C42=1,"",(RT1SC!$C$4*'Staging Table'!BS42*'Staging Table'!$BS$2))</f>
        <v>17540.007899831999</v>
      </c>
      <c r="Y40" s="297">
        <f>IF('Staging Table'!C42=1,"",IF(X40=0, 0, W40/X40))</f>
        <v>35.529932317658876</v>
      </c>
      <c r="Z40" s="76">
        <f ca="1">IF('Staging Table'!C42=1,"",(Y40/N40-1)+(RAND()/100000000000))</f>
        <v>-2.5684682088304954E-2</v>
      </c>
      <c r="AA40" s="53">
        <f t="shared" ca="1" si="0"/>
        <v>73</v>
      </c>
      <c r="AD40" s="204"/>
      <c r="AE40" s="204"/>
      <c r="AG40" s="204"/>
      <c r="AH40" s="204"/>
    </row>
    <row r="41" spans="2:34">
      <c r="B41" s="123">
        <v>10101</v>
      </c>
      <c r="C41" s="124" t="s">
        <v>44</v>
      </c>
      <c r="D41" s="199">
        <f>IF(Init!$R$9="Yes",'Staging Table'!F43,'Staging Table'!BS43)*Rates_previous!$E$76*100*12</f>
        <v>25817713.410053335</v>
      </c>
      <c r="E41" s="199">
        <f>IF(Init!$R$9="Yes",'Staging Table'!F43,'Staging Table'!BS43)*Rates_previous!$E$77*100*12</f>
        <v>-4262566.4334520716</v>
      </c>
      <c r="F41" s="200"/>
      <c r="G41" s="200">
        <f>IF(Init!$R$9="Yes",SUMPRODUCT('Staging Table'!AJ43:AU43,LS_Demand_Rates_Restatement!$C$10:$N$10),SUMPRODUCT(LS_Demand_Rates_Restatement!$C$10:$N$10,'Staging Table'!CW43:DH43))*1000</f>
        <v>1567381.3403903665</v>
      </c>
      <c r="H41" s="201"/>
      <c r="I41" s="199">
        <v>0</v>
      </c>
      <c r="J41" s="201">
        <f>IF(Init!$R$9="Yes",IF('Staging Table'!D43=1,'Staging Table'!H43*-1*'Staging Table'!F43/'Staging Table'!E43,'Staging Table'!H43*SUM(D41:I41)*(-1)),IF('Staging Table'!D43=1,'Staging Table'!BU43*-1*'Staging Table'!BS43/'Staging Table'!BR43,'Staging Table'!BU43*SUM(D41:I41)*(-1)))</f>
        <v>-1223875.4238183671</v>
      </c>
      <c r="K41" s="199">
        <f>IF(Init!$R$9="Yes",'Staging Table'!K43,'Staging Table'!BX43)*(-1)*Rates_previous!$H$32</f>
        <v>0</v>
      </c>
      <c r="L41" s="199">
        <f>IF('Staging Table'!C43=1,"",SUM(D41:K41))</f>
        <v>21898652.893173262</v>
      </c>
      <c r="M41" s="199">
        <f>IF('Staging Table'!C43=1,"",IF(Init!$R$9="Yes",(RT1SC!$C$3*'Staging Table'!F43*'Staging Table'!$F$2),X41))</f>
        <v>635301.19405695598</v>
      </c>
      <c r="N41" s="297">
        <f>IF('Staging Table'!C43=1,"",IF(M41=0, 0, L41/M41))</f>
        <v>34.469717825227328</v>
      </c>
      <c r="O41" s="199">
        <f>'Staging Table'!BS43*Rates_current!$E$76*100*12</f>
        <v>26813831.952239998</v>
      </c>
      <c r="P41" s="199">
        <f>'Staging Table'!BS43*Rates_current!$E$77*100*12</f>
        <v>-4712214.3901199996</v>
      </c>
      <c r="Q41" s="200"/>
      <c r="R41" s="200">
        <f>SUMPRODUCT('Staging Table'!CW43:DH43, LS_Demand_Rates_Restatement!$C$11:$N$11)*1000</f>
        <v>1542503.2635639959</v>
      </c>
      <c r="S41" s="201"/>
      <c r="T41" s="201">
        <v>0</v>
      </c>
      <c r="U41" s="201">
        <f>IF('Staging Table'!D43=1, 'Staging Table'!BU43*-1*'Staging Table'!BS43/'Staging Table'!BR43,SUM(O41:T41)*'Staging Table'!BU43*-1)</f>
        <v>-1204752.9813570948</v>
      </c>
      <c r="V41" s="199">
        <f>'Staging Table'!BX43*Rates_current!$H$32*-1</f>
        <v>0</v>
      </c>
      <c r="W41" s="199">
        <f>IF('Staging Table'!C43=1,"",SUM(O41:V41))</f>
        <v>22439367.844326898</v>
      </c>
      <c r="X41" s="199">
        <f>IF('Staging Table'!C43=1,"",(RT1SC!$C$4*'Staging Table'!BS43*'Staging Table'!$BS$2))</f>
        <v>667829.44121479196</v>
      </c>
      <c r="Y41" s="297">
        <f>IF('Staging Table'!C43=1,"",IF(X41=0, 0, W41/X41))</f>
        <v>33.60044714936398</v>
      </c>
      <c r="Z41" s="76">
        <f ca="1">IF('Staging Table'!C43=1,"",(Y41/N41-1)+(RAND()/100000000000))</f>
        <v>-2.5218386757870626E-2</v>
      </c>
      <c r="AA41" s="53">
        <f t="shared" ca="1" si="0"/>
        <v>67</v>
      </c>
      <c r="AD41" s="204"/>
      <c r="AE41" s="204"/>
      <c r="AG41" s="204"/>
      <c r="AH41" s="204"/>
    </row>
    <row r="42" spans="2:34">
      <c r="B42" s="123">
        <v>10103</v>
      </c>
      <c r="C42" s="124" t="s">
        <v>45</v>
      </c>
      <c r="D42" s="199">
        <f>IF(Init!$R$9="Yes",'Staging Table'!F44,'Staging Table'!BS44)*Rates_previous!$E$76*100*12</f>
        <v>55824908.91889666</v>
      </c>
      <c r="E42" s="199">
        <f>IF(Init!$R$9="Yes",'Staging Table'!F44,'Staging Table'!BS44)*Rates_previous!$E$77*100*12</f>
        <v>-9216826.414052153</v>
      </c>
      <c r="F42" s="200"/>
      <c r="G42" s="200">
        <f>IF(Init!$R$9="Yes",SUMPRODUCT('Staging Table'!AJ44:AU44,LS_Demand_Rates_Restatement!$C$10:$N$10),SUMPRODUCT(LS_Demand_Rates_Restatement!$C$10:$N$10,'Staging Table'!CW44:DH44))*1000</f>
        <v>0</v>
      </c>
      <c r="H42" s="201"/>
      <c r="I42" s="199">
        <v>0</v>
      </c>
      <c r="J42" s="201">
        <f>IF(Init!$R$9="Yes",IF('Staging Table'!D44=1,'Staging Table'!H44*-1*'Staging Table'!F44/'Staging Table'!E44,'Staging Table'!H44*SUM(D42:I42)*(-1)),IF('Staging Table'!D44=1,'Staging Table'!BU44*-1*'Staging Table'!BS44/'Staging Table'!BR44,'Staging Table'!BU44*SUM(D42:I42)*(-1)))</f>
        <v>0</v>
      </c>
      <c r="K42" s="199">
        <f>IF(Init!$R$9="Yes",'Staging Table'!K44,'Staging Table'!BX44)*(-1)*Rates_previous!$H$32</f>
        <v>0</v>
      </c>
      <c r="L42" s="199">
        <f>IF('Staging Table'!C44=1,"",SUM(D42:K42))</f>
        <v>46608082.504844509</v>
      </c>
      <c r="M42" s="199">
        <f>IF('Staging Table'!C44=1,"",IF(Init!$R$9="Yes",(RT1SC!$C$3*'Staging Table'!F44*'Staging Table'!$F$2),X42))</f>
        <v>1373693.7400693921</v>
      </c>
      <c r="N42" s="297">
        <f>IF('Staging Table'!C44=1,"",IF(M42=0, 0, L42/M42))</f>
        <v>33.929020090380625</v>
      </c>
      <c r="O42" s="199">
        <f>'Staging Table'!BS44*Rates_current!$E$76*100*12</f>
        <v>57978929.758319989</v>
      </c>
      <c r="P42" s="199">
        <f>'Staging Table'!BS44*Rates_current!$E$77*100*12</f>
        <v>-10189112.38116</v>
      </c>
      <c r="Q42" s="200"/>
      <c r="R42" s="200">
        <f>SUMPRODUCT('Staging Table'!CW44:DH44, LS_Demand_Rates_Restatement!$C$11:$N$11)*1000</f>
        <v>0</v>
      </c>
      <c r="S42" s="201"/>
      <c r="T42" s="201">
        <v>0</v>
      </c>
      <c r="U42" s="201">
        <f>IF('Staging Table'!D44=1, 'Staging Table'!BU44*-1*'Staging Table'!BS44/'Staging Table'!BR44,SUM(O42:T42)*'Staging Table'!BU44*-1)</f>
        <v>0</v>
      </c>
      <c r="V42" s="199">
        <f>'Staging Table'!BX44*Rates_current!$H$32*-1</f>
        <v>0</v>
      </c>
      <c r="W42" s="199">
        <f>IF('Staging Table'!C44=1,"",SUM(O42:V42))</f>
        <v>47789817.37715999</v>
      </c>
      <c r="X42" s="199">
        <f>IF('Staging Table'!C44=1,"",(RT1SC!$C$4*'Staging Table'!BS44*'Staging Table'!$BS$2))</f>
        <v>1444032.1820356559</v>
      </c>
      <c r="Y42" s="297">
        <f>IF('Staging Table'!C44=1,"",IF(X42=0, 0, W42/X42))</f>
        <v>33.094703824253116</v>
      </c>
      <c r="Z42" s="76">
        <f ca="1">IF('Staging Table'!C44=1,"",(Y42/N42-1)+(RAND()/100000000000))</f>
        <v>-2.4590048984939748E-2</v>
      </c>
      <c r="AA42" s="53">
        <f t="shared" ca="1" si="0"/>
        <v>55</v>
      </c>
      <c r="AD42" s="204"/>
      <c r="AE42" s="204"/>
      <c r="AG42" s="204"/>
      <c r="AH42" s="204"/>
    </row>
    <row r="43" spans="2:34">
      <c r="B43" s="123">
        <v>10105</v>
      </c>
      <c r="C43" s="124" t="s">
        <v>46</v>
      </c>
      <c r="D43" s="199">
        <f>IF(Init!$R$9="Yes",'Staging Table'!F45,'Staging Table'!BS45)*Rates_previous!$E$76*100*12</f>
        <v>12548302.249644255</v>
      </c>
      <c r="E43" s="199">
        <f>IF(Init!$R$9="Yes",'Staging Table'!F45,'Staging Table'!BS45)*Rates_previous!$E$77*100*12</f>
        <v>-2071754.8109940928</v>
      </c>
      <c r="F43" s="200"/>
      <c r="G43" s="200">
        <f>IF(Init!$R$9="Yes",SUMPRODUCT('Staging Table'!AJ45:AU45,LS_Demand_Rates_Restatement!$C$10:$N$10),SUMPRODUCT(LS_Demand_Rates_Restatement!$C$10:$N$10,'Staging Table'!CW45:DH45))*1000</f>
        <v>0</v>
      </c>
      <c r="H43" s="201"/>
      <c r="I43" s="199">
        <v>0</v>
      </c>
      <c r="J43" s="201">
        <f>IF(Init!$R$9="Yes",IF('Staging Table'!D45=1,'Staging Table'!H45*-1*'Staging Table'!F45/'Staging Table'!E45,'Staging Table'!H45*SUM(D43:I43)*(-1)),IF('Staging Table'!D45=1,'Staging Table'!BU45*-1*'Staging Table'!BS45/'Staging Table'!BR45,'Staging Table'!BU45*SUM(D43:I43)*(-1)))</f>
        <v>0</v>
      </c>
      <c r="K43" s="199">
        <f>IF(Init!$R$9="Yes",'Staging Table'!K45,'Staging Table'!BX45)*(-1)*Rates_previous!$H$32</f>
        <v>0</v>
      </c>
      <c r="L43" s="199">
        <f>IF('Staging Table'!C45=1,"",SUM(D43:K43))</f>
        <v>10476547.438650163</v>
      </c>
      <c r="M43" s="199">
        <f>IF('Staging Table'!C45=1,"",IF(Init!$R$9="Yes",(RT1SC!$C$3*'Staging Table'!F45*'Staging Table'!$F$2),X43))</f>
        <v>308778.36762578401</v>
      </c>
      <c r="N43" s="297">
        <f>IF('Staging Table'!C45=1,"",IF(M43=0, 0, L43/M43))</f>
        <v>33.929020090380632</v>
      </c>
      <c r="O43" s="199">
        <f>'Staging Table'!BS45*Rates_current!$E$76*100*12</f>
        <v>11518012.710720001</v>
      </c>
      <c r="P43" s="199">
        <f>'Staging Table'!BS45*Rates_current!$E$77*100*12</f>
        <v>-2024154.7473600002</v>
      </c>
      <c r="Q43" s="200"/>
      <c r="R43" s="200">
        <f>SUMPRODUCT('Staging Table'!CW45:DH45, LS_Demand_Rates_Restatement!$C$11:$N$11)*1000</f>
        <v>0</v>
      </c>
      <c r="S43" s="201"/>
      <c r="T43" s="201">
        <v>0</v>
      </c>
      <c r="U43" s="201">
        <f>IF('Staging Table'!D45=1, 'Staging Table'!BU45*-1*'Staging Table'!BS45/'Staging Table'!BR45,SUM(O43:T43)*'Staging Table'!BU45*-1)</f>
        <v>0</v>
      </c>
      <c r="V43" s="199">
        <f>'Staging Table'!BX45*Rates_current!$H$32*-1</f>
        <v>0</v>
      </c>
      <c r="W43" s="199">
        <f>IF('Staging Table'!C45=1,"",SUM(O43:V43))</f>
        <v>9493857.9633600004</v>
      </c>
      <c r="X43" s="199">
        <f>IF('Staging Table'!C45=1,"",(RT1SC!$C$4*'Staging Table'!BS45*'Staging Table'!$BS$2))</f>
        <v>286869.40405257599</v>
      </c>
      <c r="Y43" s="297">
        <f>IF('Staging Table'!C45=1,"",IF(X43=0, 0, W43/X43))</f>
        <v>33.094703824253124</v>
      </c>
      <c r="Z43" s="76">
        <f ca="1">IF('Staging Table'!C45=1,"",(Y43/N43-1)+(RAND()/100000000000))</f>
        <v>-2.4590048986033907E-2</v>
      </c>
      <c r="AA43" s="53">
        <f t="shared" ca="1" si="0"/>
        <v>56</v>
      </c>
      <c r="AD43" s="204"/>
      <c r="AE43" s="204"/>
      <c r="AG43" s="204"/>
      <c r="AH43" s="204"/>
    </row>
    <row r="44" spans="2:34">
      <c r="B44" s="123">
        <v>10106</v>
      </c>
      <c r="C44" s="124" t="s">
        <v>47</v>
      </c>
      <c r="D44" s="199">
        <f>IF(Init!$R$9="Yes",'Staging Table'!F46,'Staging Table'!BS46)*Rates_previous!$E$76*100*12</f>
        <v>8108938.0474232845</v>
      </c>
      <c r="E44" s="199">
        <f>IF(Init!$R$9="Yes",'Staging Table'!F46,'Staging Table'!BS46)*Rates_previous!$E$77*100*12</f>
        <v>-1338805.1289789828</v>
      </c>
      <c r="F44" s="200"/>
      <c r="G44" s="200">
        <f>IF(Init!$R$9="Yes",SUMPRODUCT('Staging Table'!AJ46:AU46,LS_Demand_Rates_Restatement!$C$10:$N$10),SUMPRODUCT(LS_Demand_Rates_Restatement!$C$10:$N$10,'Staging Table'!CW46:DH46))*1000</f>
        <v>0</v>
      </c>
      <c r="H44" s="201"/>
      <c r="I44" s="199">
        <v>0</v>
      </c>
      <c r="J44" s="201">
        <f>IF(Init!$R$9="Yes",IF('Staging Table'!D46=1,'Staging Table'!H46*-1*'Staging Table'!F46/'Staging Table'!E46,'Staging Table'!H46*SUM(D44:I44)*(-1)),IF('Staging Table'!D46=1,'Staging Table'!BU46*-1*'Staging Table'!BS46/'Staging Table'!BR46,'Staging Table'!BU46*SUM(D44:I44)*(-1)))</f>
        <v>-492797.97513356071</v>
      </c>
      <c r="K44" s="199">
        <f>IF(Init!$R$9="Yes",'Staging Table'!K46,'Staging Table'!BX46)*(-1)*Rates_previous!$H$32</f>
        <v>0</v>
      </c>
      <c r="L44" s="199" t="str">
        <f>IF('Staging Table'!C46=1,"",SUM(D44:K44))</f>
        <v/>
      </c>
      <c r="M44" s="199" t="str">
        <f>IF('Staging Table'!C46=1,"",IF(Init!$R$9="Yes",(RT1SC!$C$3*'Staging Table'!F46*'Staging Table'!$F$2),X44))</f>
        <v/>
      </c>
      <c r="N44" s="297" t="str">
        <f>IF('Staging Table'!C46=1,"",IF(M44=0, 0, L44/M44))</f>
        <v/>
      </c>
      <c r="O44" s="199">
        <f>'Staging Table'!BS46*Rates_current!$E$76*100*12</f>
        <v>8421780.7706400007</v>
      </c>
      <c r="P44" s="199">
        <f>'Staging Table'!BS46*Rates_current!$E$77*100*12</f>
        <v>-1480028.53932</v>
      </c>
      <c r="Q44" s="200"/>
      <c r="R44" s="200">
        <f>SUMPRODUCT('Staging Table'!CW46:DH46, LS_Demand_Rates_Restatement!$C$11:$N$11)*1000</f>
        <v>0</v>
      </c>
      <c r="S44" s="201"/>
      <c r="T44" s="201">
        <v>0</v>
      </c>
      <c r="U44" s="201">
        <f>IF('Staging Table'!D46=1, 'Staging Table'!BU46*-1*'Staging Table'!BS46/'Staging Table'!BR46,SUM(O44:T44)*'Staging Table'!BU46*-1)</f>
        <v>-491030.34858757124</v>
      </c>
      <c r="V44" s="199">
        <f>'Staging Table'!BX46*Rates_current!$H$32*-1</f>
        <v>0</v>
      </c>
      <c r="W44" s="199" t="str">
        <f>IF('Staging Table'!C46=1,"",SUM(O44:V44))</f>
        <v/>
      </c>
      <c r="X44" s="199" t="str">
        <f>IF('Staging Table'!C46=1,"",(RT1SC!$C$4*'Staging Table'!BS46*'Staging Table'!$BS$2))</f>
        <v/>
      </c>
      <c r="Y44" s="297" t="str">
        <f>IF('Staging Table'!C46=1,"",IF(X44=0, 0, W44/X44))</f>
        <v/>
      </c>
      <c r="Z44" s="76" t="str">
        <f ca="1">IF('Staging Table'!C46=1,"",(Y44/N44-1)+(RAND()/100000000000))</f>
        <v/>
      </c>
      <c r="AA44" s="53" t="str">
        <f t="shared" ca="1" si="0"/>
        <v/>
      </c>
      <c r="AD44" s="204"/>
      <c r="AE44" s="204"/>
      <c r="AG44" s="204"/>
      <c r="AH44" s="204"/>
    </row>
    <row r="45" spans="2:34">
      <c r="B45" s="123">
        <v>10109</v>
      </c>
      <c r="C45" s="124" t="s">
        <v>48</v>
      </c>
      <c r="D45" s="199">
        <f>IF(Init!$R$9="Yes",'Staging Table'!F47,'Staging Table'!BS47)*Rates_previous!$E$76*100*12</f>
        <v>4115380.7840489438</v>
      </c>
      <c r="E45" s="199">
        <f>IF(Init!$R$9="Yes",'Staging Table'!F47,'Staging Table'!BS47)*Rates_previous!$E$77*100*12</f>
        <v>-679459.24227859243</v>
      </c>
      <c r="F45" s="200"/>
      <c r="G45" s="200">
        <f>IF(Init!$R$9="Yes",SUMPRODUCT('Staging Table'!AJ47:AU47,LS_Demand_Rates_Restatement!$C$10:$N$10),SUMPRODUCT(LS_Demand_Rates_Restatement!$C$10:$N$10,'Staging Table'!CW47:DH47))*1000</f>
        <v>431945.68967993226</v>
      </c>
      <c r="H45" s="201"/>
      <c r="I45" s="199">
        <v>0</v>
      </c>
      <c r="J45" s="201">
        <f>IF(Init!$R$9="Yes",IF('Staging Table'!D47=1,'Staging Table'!H47*-1*'Staging Table'!F47/'Staging Table'!E47,'Staging Table'!H47*SUM(D45:I45)*(-1)),IF('Staging Table'!D47=1,'Staging Table'!BU47*-1*'Staging Table'!BS47/'Staging Table'!BR47,'Staging Table'!BU47*SUM(D45:I45)*(-1)))</f>
        <v>-319176.4039392774</v>
      </c>
      <c r="K45" s="199">
        <f>IF(Init!$R$9="Yes",'Staging Table'!K47,'Staging Table'!BX47)*(-1)*Rates_previous!$H$32</f>
        <v>-229993.65150000004</v>
      </c>
      <c r="L45" s="199">
        <f>IF('Staging Table'!C47=1,"",SUM(D45:K45))</f>
        <v>3318697.1760110059</v>
      </c>
      <c r="M45" s="199">
        <f>IF('Staging Table'!C47=1,"",IF(Init!$R$9="Yes",(RT1SC!$C$3*'Staging Table'!F47*'Staging Table'!$F$2),X45))</f>
        <v>101267.92735592401</v>
      </c>
      <c r="N45" s="297">
        <f>IF('Staging Table'!C47=1,"",IF(M45=0, 0, L45/M45))</f>
        <v>32.771453535795779</v>
      </c>
      <c r="O45" s="199">
        <f>'Staging Table'!BS47*Rates_current!$E$76*100*12</f>
        <v>4273791.5491199996</v>
      </c>
      <c r="P45" s="199">
        <f>'Staging Table'!BS47*Rates_current!$E$77*100*12</f>
        <v>-751068.40656000003</v>
      </c>
      <c r="Q45" s="200"/>
      <c r="R45" s="200">
        <f>SUMPRODUCT('Staging Table'!CW47:DH47, LS_Demand_Rates_Restatement!$C$11:$N$11)*1000</f>
        <v>434008.25651477033</v>
      </c>
      <c r="S45" s="201"/>
      <c r="T45" s="201">
        <v>0</v>
      </c>
      <c r="U45" s="201">
        <f>IF('Staging Table'!D47=1, 'Staging Table'!BU47*-1*'Staging Table'!BS47/'Staging Table'!BR47,SUM(O45:T45)*'Staging Table'!BU47*-1)</f>
        <v>-339048.58476409141</v>
      </c>
      <c r="V45" s="199">
        <f>'Staging Table'!BX47*Rates_current!$H$32*-1</f>
        <v>-244130.87595000005</v>
      </c>
      <c r="W45" s="199">
        <f>IF('Staging Table'!C47=1,"",SUM(O45:V45))</f>
        <v>3373551.9383606785</v>
      </c>
      <c r="X45" s="199">
        <f>IF('Staging Table'!C47=1,"",(RT1SC!$C$4*'Staging Table'!BS47*'Staging Table'!$BS$2))</f>
        <v>106443.71260329601</v>
      </c>
      <c r="Y45" s="297">
        <f>IF('Staging Table'!C47=1,"",IF(X45=0, 0, W45/X45))</f>
        <v>31.693294567181578</v>
      </c>
      <c r="Z45" s="76">
        <f ca="1">IF('Staging Table'!C47=1,"",(Y45/N45-1)+(RAND()/100000000000))</f>
        <v>-3.2899333171270292E-2</v>
      </c>
      <c r="AA45" s="53">
        <f t="shared" ca="1" si="0"/>
        <v>113</v>
      </c>
      <c r="AD45" s="204"/>
      <c r="AE45" s="204"/>
      <c r="AG45" s="204"/>
      <c r="AH45" s="204"/>
    </row>
    <row r="46" spans="2:34">
      <c r="B46" s="123">
        <v>10111</v>
      </c>
      <c r="C46" s="124" t="s">
        <v>49</v>
      </c>
      <c r="D46" s="199">
        <f>IF(Init!$R$9="Yes",'Staging Table'!F48,'Staging Table'!BS48)*Rates_previous!$E$76*100*12</f>
        <v>1085860.0425484306</v>
      </c>
      <c r="E46" s="199">
        <f>IF(Init!$R$9="Yes",'Staging Table'!F48,'Staging Table'!BS48)*Rates_previous!$E$77*100*12</f>
        <v>-179278.09853956453</v>
      </c>
      <c r="F46" s="200"/>
      <c r="G46" s="200">
        <f>IF(Init!$R$9="Yes",SUMPRODUCT('Staging Table'!AJ48:AU48,LS_Demand_Rates_Restatement!$C$10:$N$10),SUMPRODUCT(LS_Demand_Rates_Restatement!$C$10:$N$10,'Staging Table'!CW48:DH48))*1000</f>
        <v>64469.588809971501</v>
      </c>
      <c r="H46" s="201"/>
      <c r="I46" s="199">
        <v>0</v>
      </c>
      <c r="J46" s="201">
        <f>IF(Init!$R$9="Yes",IF('Staging Table'!D48=1,'Staging Table'!H48*-1*'Staging Table'!F48/'Staging Table'!E48,'Staging Table'!H48*SUM(D46:I46)*(-1)),IF('Staging Table'!D48=1,'Staging Table'!BU48*-1*'Staging Table'!BS48/'Staging Table'!BR48,'Staging Table'!BU48*SUM(D46:I46)*(-1)))</f>
        <v>-67973.607297318638</v>
      </c>
      <c r="K46" s="199">
        <f>IF(Init!$R$9="Yes",'Staging Table'!K48,'Staging Table'!BX48)*(-1)*Rates_previous!$H$32</f>
        <v>-56981.374099999994</v>
      </c>
      <c r="L46" s="199">
        <f>IF('Staging Table'!C48=1,"",SUM(D46:K46))</f>
        <v>846096.5514215189</v>
      </c>
      <c r="M46" s="199">
        <f>IF('Staging Table'!C48=1,"",IF(Init!$R$9="Yes",(RT1SC!$C$3*'Staging Table'!F48*'Staging Table'!$F$2),X46))</f>
        <v>26719.956591552</v>
      </c>
      <c r="N46" s="297">
        <f>IF('Staging Table'!C48=1,"",IF(M46=0, 0, L46/M46))</f>
        <v>31.665341540600696</v>
      </c>
      <c r="O46" s="199">
        <f>'Staging Table'!BS48*Rates_current!$E$76*100*12</f>
        <v>1106313.1423200001</v>
      </c>
      <c r="P46" s="199">
        <f>'Staging Table'!BS48*Rates_current!$E$77*100*12</f>
        <v>-194421.47315999999</v>
      </c>
      <c r="Q46" s="200"/>
      <c r="R46" s="200">
        <f>SUMPRODUCT('Staging Table'!CW48:DH48, LS_Demand_Rates_Restatement!$C$11:$N$11)*1000</f>
        <v>65237.063042681628</v>
      </c>
      <c r="S46" s="201"/>
      <c r="T46" s="201">
        <v>0</v>
      </c>
      <c r="U46" s="201">
        <f>IF('Staging Table'!D48=1, 'Staging Table'!BU48*-1*'Staging Table'!BS48/'Staging Table'!BR48,SUM(O46:T46)*'Staging Table'!BU48*-1)</f>
        <v>-68399.011254187732</v>
      </c>
      <c r="V46" s="199">
        <f>'Staging Table'!BX48*Rates_current!$H$32*-1</f>
        <v>-60483.898929999996</v>
      </c>
      <c r="W46" s="199">
        <f>IF('Staging Table'!C48=1,"",SUM(O46:V46))</f>
        <v>848245.82201849401</v>
      </c>
      <c r="X46" s="199">
        <f>IF('Staging Table'!C48=1,"",(RT1SC!$C$4*'Staging Table'!BS48*'Staging Table'!$BS$2))</f>
        <v>27554.006042855999</v>
      </c>
      <c r="Y46" s="297">
        <f>IF('Staging Table'!C48=1,"",IF(X46=0, 0, W46/X46))</f>
        <v>30.784845611893193</v>
      </c>
      <c r="Z46" s="76">
        <f ca="1">IF('Staging Table'!C48=1,"",(Y46/N46-1)+(RAND()/100000000000))</f>
        <v>-2.7806298168924066E-2</v>
      </c>
      <c r="AA46" s="53">
        <f t="shared" ca="1" si="0"/>
        <v>96</v>
      </c>
      <c r="AD46" s="204"/>
      <c r="AE46" s="204"/>
      <c r="AG46" s="204"/>
      <c r="AH46" s="204"/>
    </row>
    <row r="47" spans="2:34">
      <c r="B47" s="123">
        <v>10112</v>
      </c>
      <c r="C47" s="124" t="s">
        <v>50</v>
      </c>
      <c r="D47" s="199">
        <f>IF(Init!$R$9="Yes",'Staging Table'!F49,'Staging Table'!BS49)*Rates_previous!$E$76*100*12</f>
        <v>19607111.956449255</v>
      </c>
      <c r="E47" s="199">
        <f>IF(Init!$R$9="Yes",'Staging Table'!F49,'Staging Table'!BS49)*Rates_previous!$E$77*100*12</f>
        <v>-3237181.2311601886</v>
      </c>
      <c r="F47" s="200"/>
      <c r="G47" s="200">
        <f>IF(Init!$R$9="Yes",SUMPRODUCT('Staging Table'!AJ49:AU49,LS_Demand_Rates_Restatement!$C$10:$N$10),SUMPRODUCT(LS_Demand_Rates_Restatement!$C$10:$N$10,'Staging Table'!CW49:DH49))*1000</f>
        <v>921236.56771262467</v>
      </c>
      <c r="H47" s="201"/>
      <c r="I47" s="199">
        <v>0</v>
      </c>
      <c r="J47" s="201">
        <f>IF(Init!$R$9="Yes",IF('Staging Table'!D49=1,'Staging Table'!H49*-1*'Staging Table'!F49/'Staging Table'!E49,'Staging Table'!H49*SUM(D47:I47)*(-1)),IF('Staging Table'!D49=1,'Staging Table'!BU49*-1*'Staging Table'!BS49/'Staging Table'!BR49,'Staging Table'!BU49*SUM(D47:I47)*(-1)))</f>
        <v>0</v>
      </c>
      <c r="K47" s="199">
        <f>IF(Init!$R$9="Yes",'Staging Table'!K49,'Staging Table'!BX49)*(-1)*Rates_previous!$H$32</f>
        <v>0</v>
      </c>
      <c r="L47" s="199">
        <f>IF('Staging Table'!C49=1,"",SUM(D47:K47))</f>
        <v>17291167.293001693</v>
      </c>
      <c r="M47" s="199">
        <f>IF('Staging Table'!C49=1,"",IF(Init!$R$9="Yes",(RT1SC!$C$3*'Staging Table'!F49*'Staging Table'!$F$2),X47))</f>
        <v>482475.78862232406</v>
      </c>
      <c r="N47" s="297">
        <f>IF('Staging Table'!C49=1,"",IF(M47=0, 0, L47/M47))</f>
        <v>35.838414487855268</v>
      </c>
      <c r="O47" s="199">
        <f>'Staging Table'!BS49*Rates_current!$E$76*100*12</f>
        <v>20543893.767360002</v>
      </c>
      <c r="P47" s="199">
        <f>'Staging Table'!BS49*Rates_current!$E$77*100*12</f>
        <v>-3610346.7796800002</v>
      </c>
      <c r="Q47" s="200"/>
      <c r="R47" s="200">
        <f>SUMPRODUCT('Staging Table'!CW49:DH49, LS_Demand_Rates_Restatement!$C$11:$N$11)*1000</f>
        <v>930597.55871116463</v>
      </c>
      <c r="S47" s="201"/>
      <c r="T47" s="201">
        <v>0</v>
      </c>
      <c r="U47" s="201">
        <f>IF('Staging Table'!D49=1, 'Staging Table'!BU49*-1*'Staging Table'!BS49/'Staging Table'!BR49,SUM(O47:T47)*'Staging Table'!BU49*-1)</f>
        <v>0</v>
      </c>
      <c r="V47" s="199">
        <f>'Staging Table'!BX49*Rates_current!$H$32*-1</f>
        <v>0</v>
      </c>
      <c r="W47" s="199">
        <f>IF('Staging Table'!C49=1,"",SUM(O47:V47))</f>
        <v>17864144.546391167</v>
      </c>
      <c r="X47" s="199">
        <f>IF('Staging Table'!C49=1,"",(RT1SC!$C$4*'Staging Table'!BS49*'Staging Table'!$BS$2))</f>
        <v>511669.39210588805</v>
      </c>
      <c r="Y47" s="297">
        <f>IF('Staging Table'!C49=1,"",IF(X47=0, 0, W47/X47))</f>
        <v>34.913451580262297</v>
      </c>
      <c r="Z47" s="76">
        <f ca="1">IF('Staging Table'!C49=1,"",(Y47/N47-1)+(RAND()/100000000000))</f>
        <v>-2.580925860175292E-2</v>
      </c>
      <c r="AA47" s="53">
        <f t="shared" ca="1" si="0"/>
        <v>74</v>
      </c>
      <c r="AD47" s="204"/>
      <c r="AE47" s="204"/>
      <c r="AG47" s="204"/>
      <c r="AH47" s="204"/>
    </row>
    <row r="48" spans="2:34">
      <c r="B48" s="123">
        <v>10113</v>
      </c>
      <c r="C48" s="124" t="s">
        <v>51</v>
      </c>
      <c r="D48" s="199">
        <f>IF(Init!$R$9="Yes",'Staging Table'!F50,'Staging Table'!BS50)*Rates_previous!$E$76*100*12</f>
        <v>12799863.02363571</v>
      </c>
      <c r="E48" s="199">
        <f>IF(Init!$R$9="Yes",'Staging Table'!F50,'Staging Table'!BS50)*Rates_previous!$E$77*100*12</f>
        <v>-2113288.0983986873</v>
      </c>
      <c r="F48" s="200"/>
      <c r="G48" s="200">
        <f>IF(Init!$R$9="Yes",SUMPRODUCT('Staging Table'!AJ50:AU50,LS_Demand_Rates_Restatement!$C$10:$N$10),SUMPRODUCT(LS_Demand_Rates_Restatement!$C$10:$N$10,'Staging Table'!CW50:DH50))*1000</f>
        <v>252786.59322742146</v>
      </c>
      <c r="H48" s="201"/>
      <c r="I48" s="199">
        <v>0</v>
      </c>
      <c r="J48" s="201">
        <f>IF(Init!$R$9="Yes",IF('Staging Table'!D50=1,'Staging Table'!H50*-1*'Staging Table'!F50/'Staging Table'!E50,'Staging Table'!H50*SUM(D48:I48)*(-1)),IF('Staging Table'!D50=1,'Staging Table'!BU50*-1*'Staging Table'!BS50/'Staging Table'!BR50,'Staging Table'!BU50*SUM(D48:I48)*(-1)))</f>
        <v>-904466.41034664027</v>
      </c>
      <c r="K48" s="199">
        <f>IF(Init!$R$9="Yes",'Staging Table'!K50,'Staging Table'!BX50)*(-1)*Rates_previous!$H$32</f>
        <v>-1467749.9858000001</v>
      </c>
      <c r="L48" s="199">
        <f>IF('Staging Table'!C50=1,"",SUM(D48:K48))</f>
        <v>8567145.122317804</v>
      </c>
      <c r="M48" s="199">
        <f>IF('Staging Table'!C50=1,"",IF(Init!$R$9="Yes",(RT1SC!$C$3*'Staging Table'!F50*'Staging Table'!$F$2),X48))</f>
        <v>314968.56958350004</v>
      </c>
      <c r="N48" s="297">
        <f>IF('Staging Table'!C50=1,"",IF(M48=0, 0, L48/M48))</f>
        <v>27.200000094125592</v>
      </c>
      <c r="O48" s="199">
        <f>'Staging Table'!BS50*Rates_current!$E$76*100*12</f>
        <v>13293693.881279999</v>
      </c>
      <c r="P48" s="199">
        <f>'Staging Table'!BS50*Rates_current!$E$77*100*12</f>
        <v>-2336209.7486399999</v>
      </c>
      <c r="Q48" s="200"/>
      <c r="R48" s="200">
        <f>SUMPRODUCT('Staging Table'!CW50:DH50, LS_Demand_Rates_Restatement!$C$11:$N$11)*1000</f>
        <v>277915.47811292735</v>
      </c>
      <c r="S48" s="201"/>
      <c r="T48" s="201">
        <v>0</v>
      </c>
      <c r="U48" s="201">
        <f>IF('Staging Table'!D50=1, 'Staging Table'!BU50*-1*'Staging Table'!BS50/'Staging Table'!BR50,SUM(O48:T48)*'Staging Table'!BU50*-1)</f>
        <v>-908206.47653429001</v>
      </c>
      <c r="V48" s="199">
        <f>'Staging Table'!BX50*Rates_current!$H$32*-1</f>
        <v>-1557969.48034</v>
      </c>
      <c r="W48" s="199">
        <f>IF('Staging Table'!C50=1,"",SUM(O48:V48))</f>
        <v>8769223.6538786367</v>
      </c>
      <c r="X48" s="199">
        <f>IF('Staging Table'!C50=1,"",(RT1SC!$C$4*'Staging Table'!BS50*'Staging Table'!$BS$2))</f>
        <v>331094.79362102394</v>
      </c>
      <c r="Y48" s="297">
        <f>IF('Staging Table'!C50=1,"",IF(X48=0, 0, W48/X48))</f>
        <v>26.485537745773257</v>
      </c>
      <c r="Z48" s="76">
        <f ca="1">IF('Staging Table'!C50=1,"",(Y48/N48-1)+(RAND()/100000000000))</f>
        <v>-2.626699800036086E-2</v>
      </c>
      <c r="AA48" s="53">
        <f t="shared" ca="1" si="0"/>
        <v>83</v>
      </c>
      <c r="AD48" s="204"/>
      <c r="AE48" s="204"/>
      <c r="AG48" s="204"/>
      <c r="AH48" s="204"/>
    </row>
    <row r="49" spans="2:34">
      <c r="B49" s="123">
        <v>10116</v>
      </c>
      <c r="C49" s="124" t="s">
        <v>52</v>
      </c>
      <c r="D49" s="199">
        <f>IF(Init!$R$9="Yes",'Staging Table'!F51,'Staging Table'!BS51)*Rates_previous!$E$76*100*12</f>
        <v>77218.845781933429</v>
      </c>
      <c r="E49" s="199">
        <f>IF(Init!$R$9="Yes",'Staging Table'!F51,'Staging Table'!BS51)*Rates_previous!$E$77*100*12</f>
        <v>-12749.016724765848</v>
      </c>
      <c r="F49" s="200"/>
      <c r="G49" s="200">
        <f>IF(Init!$R$9="Yes",SUMPRODUCT('Staging Table'!AJ51:AU51,LS_Demand_Rates_Restatement!$C$10:$N$10),SUMPRODUCT(LS_Demand_Rates_Restatement!$C$10:$N$10,'Staging Table'!CW51:DH51))*1000</f>
        <v>0</v>
      </c>
      <c r="H49" s="201"/>
      <c r="I49" s="199">
        <v>0</v>
      </c>
      <c r="J49" s="201">
        <f>IF(Init!$R$9="Yes",IF('Staging Table'!D51=1,'Staging Table'!H51*-1*'Staging Table'!F51/'Staging Table'!E51,'Staging Table'!H51*SUM(D49:I49)*(-1)),IF('Staging Table'!D51=1,'Staging Table'!BU51*-1*'Staging Table'!BS51/'Staging Table'!BR51,'Staging Table'!BU51*SUM(D49:I49)*(-1)))</f>
        <v>0</v>
      </c>
      <c r="K49" s="199">
        <f>IF(Init!$R$9="Yes",'Staging Table'!K51,'Staging Table'!BX51)*(-1)*Rates_previous!$H$32</f>
        <v>0</v>
      </c>
      <c r="L49" s="199">
        <f>IF('Staging Table'!C51=1,"",SUM(D49:K49))</f>
        <v>64469.829057167583</v>
      </c>
      <c r="M49" s="199">
        <f>IF('Staging Table'!C51=1,"",IF(Init!$R$9="Yes",(RT1SC!$C$3*'Staging Table'!F51*'Staging Table'!$F$2),X49))</f>
        <v>1900.138255848</v>
      </c>
      <c r="N49" s="297">
        <f>IF('Staging Table'!C51=1,"",IF(M49=0, 0, L49/M49))</f>
        <v>33.929020090380618</v>
      </c>
      <c r="O49" s="199">
        <f>'Staging Table'!BS51*Rates_current!$E$76*100*12</f>
        <v>80463.666959999988</v>
      </c>
      <c r="P49" s="199">
        <f>'Staging Table'!BS51*Rates_current!$E$77*100*12</f>
        <v>-14140.539480000001</v>
      </c>
      <c r="Q49" s="200"/>
      <c r="R49" s="200">
        <f>SUMPRODUCT('Staging Table'!CW51:DH51, LS_Demand_Rates_Restatement!$C$11:$N$11)*1000</f>
        <v>0</v>
      </c>
      <c r="S49" s="201"/>
      <c r="T49" s="201">
        <v>0</v>
      </c>
      <c r="U49" s="201">
        <f>IF('Staging Table'!D51=1, 'Staging Table'!BU51*-1*'Staging Table'!BS51/'Staging Table'!BR51,SUM(O49:T49)*'Staging Table'!BU51*-1)</f>
        <v>0</v>
      </c>
      <c r="V49" s="199">
        <f>'Staging Table'!BX51*Rates_current!$H$32*-1</f>
        <v>0</v>
      </c>
      <c r="W49" s="199">
        <f>IF('Staging Table'!C51=1,"",SUM(O49:V49))</f>
        <v>66323.127479999981</v>
      </c>
      <c r="X49" s="199">
        <f>IF('Staging Table'!C51=1,"",(RT1SC!$C$4*'Staging Table'!BS51*'Staging Table'!$BS$2))</f>
        <v>2004.0405205679999</v>
      </c>
      <c r="Y49" s="297">
        <f>IF('Staging Table'!C51=1,"",IF(X49=0, 0, W49/X49))</f>
        <v>33.094703824253109</v>
      </c>
      <c r="Z49" s="76">
        <f ca="1">IF('Staging Table'!C51=1,"",(Y49/N49-1)+(RAND()/100000000000))</f>
        <v>-2.4590048984465991E-2</v>
      </c>
      <c r="AA49" s="53">
        <f t="shared" ca="1" si="0"/>
        <v>54</v>
      </c>
      <c r="AD49" s="204"/>
      <c r="AE49" s="204"/>
      <c r="AG49" s="204"/>
      <c r="AH49" s="204"/>
    </row>
    <row r="50" spans="2:34">
      <c r="B50" s="123">
        <v>10118</v>
      </c>
      <c r="C50" s="124" t="s">
        <v>53</v>
      </c>
      <c r="D50" s="199">
        <f>IF(Init!$R$9="Yes",'Staging Table'!F52,'Staging Table'!BS52)*Rates_previous!$E$76*100*12</f>
        <v>15509956.738485491</v>
      </c>
      <c r="E50" s="199">
        <f>IF(Init!$R$9="Yes",'Staging Table'!F52,'Staging Table'!BS52)*Rates_previous!$E$77*100*12</f>
        <v>-2560731.0735743977</v>
      </c>
      <c r="F50" s="200"/>
      <c r="G50" s="200">
        <f>IF(Init!$R$9="Yes",SUMPRODUCT('Staging Table'!AJ52:AU52,LS_Demand_Rates_Restatement!$C$10:$N$10),SUMPRODUCT(LS_Demand_Rates_Restatement!$C$10:$N$10,'Staging Table'!CW52:DH52))*1000</f>
        <v>0</v>
      </c>
      <c r="H50" s="201"/>
      <c r="I50" s="199">
        <v>0</v>
      </c>
      <c r="J50" s="201">
        <f>IF(Init!$R$9="Yes",IF('Staging Table'!D52=1,'Staging Table'!H52*-1*'Staging Table'!F52/'Staging Table'!E52,'Staging Table'!H52*SUM(D50:I50)*(-1)),IF('Staging Table'!D52=1,'Staging Table'!BU52*-1*'Staging Table'!BS52/'Staging Table'!BR52,'Staging Table'!BU52*SUM(D50:I50)*(-1)))</f>
        <v>-959926.09853985941</v>
      </c>
      <c r="K50" s="199">
        <f>IF(Init!$R$9="Yes",'Staging Table'!K52,'Staging Table'!BX52)*(-1)*Rates_previous!$H$32</f>
        <v>0</v>
      </c>
      <c r="L50" s="199" t="str">
        <f>IF('Staging Table'!C52=1,"",SUM(D50:K50))</f>
        <v/>
      </c>
      <c r="M50" s="199" t="str">
        <f>IF('Staging Table'!C52=1,"",IF(Init!$R$9="Yes",(RT1SC!$C$3*'Staging Table'!F52*'Staging Table'!$F$2),X50))</f>
        <v/>
      </c>
      <c r="N50" s="297" t="str">
        <f>IF('Staging Table'!C52=1,"",IF(M50=0, 0, L50/M50))</f>
        <v/>
      </c>
      <c r="O50" s="199">
        <f>'Staging Table'!BS52*Rates_current!$E$76*100*12</f>
        <v>16108427.543760002</v>
      </c>
      <c r="P50" s="199">
        <f>'Staging Table'!BS52*Rates_current!$E$77*100*12</f>
        <v>-2830865.9578799997</v>
      </c>
      <c r="Q50" s="200"/>
      <c r="R50" s="200">
        <f>SUMPRODUCT('Staging Table'!CW52:DH52, LS_Demand_Rates_Restatement!$C$11:$N$11)*1000</f>
        <v>0</v>
      </c>
      <c r="S50" s="201"/>
      <c r="T50" s="201">
        <v>0</v>
      </c>
      <c r="U50" s="201">
        <f>IF('Staging Table'!D52=1, 'Staging Table'!BU52*-1*'Staging Table'!BS52/'Staging Table'!BR52,SUM(O50:T50)*'Staging Table'!BU52*-1)</f>
        <v>-929988.91398162278</v>
      </c>
      <c r="V50" s="199">
        <f>'Staging Table'!BX52*Rates_current!$H$32*-1</f>
        <v>0</v>
      </c>
      <c r="W50" s="199" t="str">
        <f>IF('Staging Table'!C52=1,"",SUM(O50:V50))</f>
        <v/>
      </c>
      <c r="X50" s="199" t="str">
        <f>IF('Staging Table'!C52=1,"",(RT1SC!$C$4*'Staging Table'!BS52*'Staging Table'!$BS$2))</f>
        <v/>
      </c>
      <c r="Y50" s="297" t="str">
        <f>IF('Staging Table'!C52=1,"",IF(X50=0, 0, W50/X50))</f>
        <v/>
      </c>
      <c r="Z50" s="76" t="str">
        <f ca="1">IF('Staging Table'!C52=1,"",(Y50/N50-1)+(RAND()/100000000000))</f>
        <v/>
      </c>
      <c r="AA50" s="53" t="str">
        <f t="shared" ca="1" si="0"/>
        <v/>
      </c>
      <c r="AD50" s="204"/>
      <c r="AE50" s="204"/>
      <c r="AG50" s="204"/>
      <c r="AH50" s="204"/>
    </row>
    <row r="51" spans="2:34">
      <c r="B51" s="123">
        <v>10121</v>
      </c>
      <c r="C51" s="124" t="s">
        <v>54</v>
      </c>
      <c r="D51" s="199">
        <f>IF(Init!$R$9="Yes",'Staging Table'!F53,'Staging Table'!BS53)*Rates_previous!$E$76*100*12</f>
        <v>13850950.604574263</v>
      </c>
      <c r="E51" s="199">
        <f>IF(Init!$R$9="Yes",'Staging Table'!F53,'Staging Table'!BS53)*Rates_previous!$E$77*100*12</f>
        <v>-2286825.1800901429</v>
      </c>
      <c r="F51" s="200"/>
      <c r="G51" s="200">
        <f>IF(Init!$R$9="Yes",SUMPRODUCT('Staging Table'!AJ53:AU53,LS_Demand_Rates_Restatement!$C$10:$N$10),SUMPRODUCT(LS_Demand_Rates_Restatement!$C$10:$N$10,'Staging Table'!CW53:DH53))*1000</f>
        <v>0</v>
      </c>
      <c r="H51" s="201"/>
      <c r="I51" s="199">
        <v>0</v>
      </c>
      <c r="J51" s="201">
        <f>IF(Init!$R$9="Yes",IF('Staging Table'!D53=1,'Staging Table'!H53*-1*'Staging Table'!F53/'Staging Table'!E53,'Staging Table'!H53*SUM(D51:I51)*(-1)),IF('Staging Table'!D53=1,'Staging Table'!BU53*-1*'Staging Table'!BS53/'Staging Table'!BR53,'Staging Table'!BU53*SUM(D51:I51)*(-1)))</f>
        <v>-693847.52546904725</v>
      </c>
      <c r="K51" s="199">
        <f>IF(Init!$R$9="Yes",'Staging Table'!K53,'Staging Table'!BX53)*(-1)*Rates_previous!$H$32</f>
        <v>0</v>
      </c>
      <c r="L51" s="199" t="str">
        <f>IF('Staging Table'!C53=1,"",SUM(D51:K51))</f>
        <v/>
      </c>
      <c r="M51" s="199" t="str">
        <f>IF('Staging Table'!C53=1,"",IF(Init!$R$9="Yes",(RT1SC!$C$3*'Staging Table'!F53*'Staging Table'!$F$2),X51))</f>
        <v/>
      </c>
      <c r="N51" s="297" t="str">
        <f>IF('Staging Table'!C53=1,"",IF(M51=0, 0, L51/M51))</f>
        <v/>
      </c>
      <c r="O51" s="199">
        <f>'Staging Table'!BS53*Rates_current!$E$76*100*12</f>
        <v>13928933.357279997</v>
      </c>
      <c r="P51" s="199">
        <f>'Staging Table'!BS53*Rates_current!$E$77*100*12</f>
        <v>-2447845.5866399999</v>
      </c>
      <c r="Q51" s="200"/>
      <c r="R51" s="200">
        <f>SUMPRODUCT('Staging Table'!CW53:DH53, LS_Demand_Rates_Restatement!$C$11:$N$11)*1000</f>
        <v>0</v>
      </c>
      <c r="S51" s="201"/>
      <c r="T51" s="201">
        <v>0</v>
      </c>
      <c r="U51" s="201">
        <f>IF('Staging Table'!D53=1, 'Staging Table'!BU53*-1*'Staging Table'!BS53/'Staging Table'!BR53,SUM(O51:T51)*'Staging Table'!BU53*-1)</f>
        <v>-688865.26623839978</v>
      </c>
      <c r="V51" s="199">
        <f>'Staging Table'!BX53*Rates_current!$H$32*-1</f>
        <v>0</v>
      </c>
      <c r="W51" s="199" t="str">
        <f>IF('Staging Table'!C53=1,"",SUM(O51:V51))</f>
        <v/>
      </c>
      <c r="X51" s="199" t="str">
        <f>IF('Staging Table'!C53=1,"",(RT1SC!$C$4*'Staging Table'!BS53*'Staging Table'!$BS$2))</f>
        <v/>
      </c>
      <c r="Y51" s="297" t="str">
        <f>IF('Staging Table'!C53=1,"",IF(X51=0, 0, W51/X51))</f>
        <v/>
      </c>
      <c r="Z51" s="76" t="str">
        <f ca="1">IF('Staging Table'!C53=1,"",(Y51/N51-1)+(RAND()/100000000000))</f>
        <v/>
      </c>
      <c r="AA51" s="53" t="str">
        <f t="shared" ca="1" si="0"/>
        <v/>
      </c>
      <c r="AD51" s="204"/>
      <c r="AE51" s="204"/>
      <c r="AG51" s="204"/>
      <c r="AH51" s="204"/>
    </row>
    <row r="52" spans="2:34">
      <c r="B52" s="123">
        <v>10123</v>
      </c>
      <c r="C52" s="124" t="s">
        <v>55</v>
      </c>
      <c r="D52" s="199">
        <f>IF(Init!$R$9="Yes",'Staging Table'!F54,'Staging Table'!BS54)*Rates_previous!$E$76*100*12</f>
        <v>90852768.264046073</v>
      </c>
      <c r="E52" s="199">
        <f>IF(Init!$R$9="Yes",'Staging Table'!F54,'Staging Table'!BS54)*Rates_previous!$E$77*100*12</f>
        <v>-15000010.041079866</v>
      </c>
      <c r="F52" s="200"/>
      <c r="G52" s="200">
        <f>IF(Init!$R$9="Yes",SUMPRODUCT('Staging Table'!AJ54:AU54,LS_Demand_Rates_Restatement!$C$10:$N$10),SUMPRODUCT(LS_Demand_Rates_Restatement!$C$10:$N$10,'Staging Table'!CW54:DH54))*1000</f>
        <v>0</v>
      </c>
      <c r="H52" s="201"/>
      <c r="I52" s="199">
        <v>0</v>
      </c>
      <c r="J52" s="201">
        <f>IF(Init!$R$9="Yes",IF('Staging Table'!D54=1,'Staging Table'!H54*-1*'Staging Table'!F54/'Staging Table'!E54,'Staging Table'!H54*SUM(D52:I52)*(-1)),IF('Staging Table'!D54=1,'Staging Table'!BU54*-1*'Staging Table'!BS54/'Staging Table'!BR54,'Staging Table'!BU54*SUM(D52:I52)*(-1)))</f>
        <v>0</v>
      </c>
      <c r="K52" s="199">
        <f>IF(Init!$R$9="Yes",'Staging Table'!K54,'Staging Table'!BX54)*(-1)*Rates_previous!$H$32</f>
        <v>0</v>
      </c>
      <c r="L52" s="199">
        <f>IF('Staging Table'!C54=1,"",SUM(D52:K52))</f>
        <v>75852758.222966209</v>
      </c>
      <c r="M52" s="199">
        <f>IF('Staging Table'!C54=1,"",IF(Init!$R$9="Yes",(RT1SC!$C$3*'Staging Table'!F54*'Staging Table'!$F$2),X52))</f>
        <v>2235630.6790148518</v>
      </c>
      <c r="N52" s="297">
        <f>IF('Staging Table'!C54=1,"",IF(M52=0, 0, L52/M52))</f>
        <v>33.929020090380632</v>
      </c>
      <c r="O52" s="199">
        <f>'Staging Table'!BS54*Rates_current!$E$76*100*12</f>
        <v>88359070.862880021</v>
      </c>
      <c r="P52" s="199">
        <f>'Staging Table'!BS54*Rates_current!$E$77*100*12</f>
        <v>-15528063.499440003</v>
      </c>
      <c r="Q52" s="200"/>
      <c r="R52" s="200">
        <f>SUMPRODUCT('Staging Table'!CW54:DH54, LS_Demand_Rates_Restatement!$C$11:$N$11)*1000</f>
        <v>0</v>
      </c>
      <c r="S52" s="201"/>
      <c r="T52" s="201">
        <v>0</v>
      </c>
      <c r="U52" s="201">
        <f>IF('Staging Table'!D54=1, 'Staging Table'!BU54*-1*'Staging Table'!BS54/'Staging Table'!BR54,SUM(O52:T52)*'Staging Table'!BU54*-1)</f>
        <v>0</v>
      </c>
      <c r="V52" s="199">
        <f>'Staging Table'!BX54*Rates_current!$H$32*-1</f>
        <v>0</v>
      </c>
      <c r="W52" s="199">
        <f>IF('Staging Table'!C54=1,"",SUM(O52:V52))</f>
        <v>72831007.363440022</v>
      </c>
      <c r="X52" s="199">
        <f>IF('Staging Table'!C54=1,"",(RT1SC!$C$4*'Staging Table'!BS54*'Staging Table'!$BS$2))</f>
        <v>2200684.6699763043</v>
      </c>
      <c r="Y52" s="297">
        <f>IF('Staging Table'!C54=1,"",IF(X52=0, 0, W52/X52))</f>
        <v>33.094703824253124</v>
      </c>
      <c r="Z52" s="76">
        <f ca="1">IF('Staging Table'!C54=1,"",(Y52/N52-1)+(RAND()/100000000000))</f>
        <v>-2.459004898138091E-2</v>
      </c>
      <c r="AA52" s="53">
        <f t="shared" ca="1" si="0"/>
        <v>50</v>
      </c>
      <c r="AD52" s="204"/>
      <c r="AE52" s="204"/>
      <c r="AG52" s="204"/>
      <c r="AH52" s="204"/>
    </row>
    <row r="53" spans="2:34">
      <c r="B53" s="123">
        <v>10136</v>
      </c>
      <c r="C53" s="124" t="s">
        <v>56</v>
      </c>
      <c r="D53" s="199">
        <f>IF(Init!$R$9="Yes",'Staging Table'!F55,'Staging Table'!BS55)*Rates_previous!$E$76*100*12</f>
        <v>6295014.6017880533</v>
      </c>
      <c r="E53" s="199">
        <f>IF(Init!$R$9="Yes",'Staging Table'!F55,'Staging Table'!BS55)*Rates_previous!$E$77*100*12</f>
        <v>-1039322.0156059118</v>
      </c>
      <c r="F53" s="200"/>
      <c r="G53" s="200">
        <f>IF(Init!$R$9="Yes",SUMPRODUCT('Staging Table'!AJ55:AU55,LS_Demand_Rates_Restatement!$C$10:$N$10),SUMPRODUCT(LS_Demand_Rates_Restatement!$C$10:$N$10,'Staging Table'!CW55:DH55))*1000</f>
        <v>0</v>
      </c>
      <c r="H53" s="201"/>
      <c r="I53" s="199">
        <v>0</v>
      </c>
      <c r="J53" s="201">
        <f>IF(Init!$R$9="Yes",IF('Staging Table'!D55=1,'Staging Table'!H55*-1*'Staging Table'!F55/'Staging Table'!E55,'Staging Table'!H55*SUM(D53:I53)*(-1)),IF('Staging Table'!D55=1,'Staging Table'!BU55*-1*'Staging Table'!BS55/'Staging Table'!BR55,'Staging Table'!BU55*SUM(D53:I53)*(-1)))</f>
        <v>-379828.90320338338</v>
      </c>
      <c r="K53" s="199">
        <f>IF(Init!$R$9="Yes",'Staging Table'!K55,'Staging Table'!BX55)*(-1)*Rates_previous!$H$32</f>
        <v>0</v>
      </c>
      <c r="L53" s="199" t="str">
        <f>IF('Staging Table'!C55=1,"",SUM(D53:K53))</f>
        <v/>
      </c>
      <c r="M53" s="199" t="str">
        <f>IF('Staging Table'!C55=1,"",IF(Init!$R$9="Yes",(RT1SC!$C$3*'Staging Table'!F55*'Staging Table'!$F$2),X53))</f>
        <v/>
      </c>
      <c r="N53" s="297" t="str">
        <f>IF('Staging Table'!C55=1,"",IF(M53=0, 0, L53/M53))</f>
        <v/>
      </c>
      <c r="O53" s="199">
        <f>'Staging Table'!BS55*Rates_current!$E$76*100*12</f>
        <v>6487912.5148800015</v>
      </c>
      <c r="P53" s="199">
        <f>'Staging Table'!BS55*Rates_current!$E$77*100*12</f>
        <v>-1140174.02544</v>
      </c>
      <c r="Q53" s="200"/>
      <c r="R53" s="200">
        <f>SUMPRODUCT('Staging Table'!CW55:DH55, LS_Demand_Rates_Restatement!$C$11:$N$11)*1000</f>
        <v>0</v>
      </c>
      <c r="S53" s="201"/>
      <c r="T53" s="201">
        <v>0</v>
      </c>
      <c r="U53" s="201">
        <f>IF('Staging Table'!D55=1, 'Staging Table'!BU55*-1*'Staging Table'!BS55/'Staging Table'!BR55,SUM(O53:T53)*'Staging Table'!BU55*-1)</f>
        <v>-374341.69426080014</v>
      </c>
      <c r="V53" s="199">
        <f>'Staging Table'!BX55*Rates_current!$H$32*-1</f>
        <v>0</v>
      </c>
      <c r="W53" s="199" t="str">
        <f>IF('Staging Table'!C55=1,"",SUM(O53:V53))</f>
        <v/>
      </c>
      <c r="X53" s="199" t="str">
        <f>IF('Staging Table'!C55=1,"",(RT1SC!$C$4*'Staging Table'!BS55*'Staging Table'!$BS$2))</f>
        <v/>
      </c>
      <c r="Y53" s="297" t="str">
        <f>IF('Staging Table'!C55=1,"",IF(X53=0, 0, W53/X53))</f>
        <v/>
      </c>
      <c r="Z53" s="76" t="str">
        <f ca="1">IF('Staging Table'!C55=1,"",(Y53/N53-1)+(RAND()/100000000000))</f>
        <v/>
      </c>
      <c r="AA53" s="53" t="str">
        <f t="shared" ca="1" si="0"/>
        <v/>
      </c>
      <c r="AD53" s="204"/>
      <c r="AE53" s="204"/>
      <c r="AG53" s="204"/>
      <c r="AH53" s="204"/>
    </row>
    <row r="54" spans="2:34">
      <c r="B54" s="123">
        <v>10142</v>
      </c>
      <c r="C54" s="124" t="s">
        <v>57</v>
      </c>
      <c r="D54" s="199">
        <f>IF(Init!$R$9="Yes",'Staging Table'!F56,'Staging Table'!BS56)*Rates_previous!$E$76*100*12</f>
        <v>912477.35465918249</v>
      </c>
      <c r="E54" s="199">
        <f>IF(Init!$R$9="Yes",'Staging Table'!F56,'Staging Table'!BS56)*Rates_previous!$E$77*100*12</f>
        <v>-150652.20073830453</v>
      </c>
      <c r="F54" s="200"/>
      <c r="G54" s="200">
        <f>IF(Init!$R$9="Yes",SUMPRODUCT('Staging Table'!AJ56:AU56,LS_Demand_Rates_Restatement!$C$10:$N$10),SUMPRODUCT(LS_Demand_Rates_Restatement!$C$10:$N$10,'Staging Table'!CW56:DH56))*1000</f>
        <v>66117.05096721866</v>
      </c>
      <c r="H54" s="201"/>
      <c r="I54" s="199">
        <v>0</v>
      </c>
      <c r="J54" s="201">
        <f>IF(Init!$R$9="Yes",IF('Staging Table'!D56=1,'Staging Table'!H56*-1*'Staging Table'!F56/'Staging Table'!E56,'Staging Table'!H56*SUM(D54:I54)*(-1)),IF('Staging Table'!D56=1,'Staging Table'!BU56*-1*'Staging Table'!BS56/'Staging Table'!BR56,'Staging Table'!BU56*SUM(D54:I54)*(-1)))</f>
        <v>-24225.58891502571</v>
      </c>
      <c r="K54" s="199">
        <f>IF(Init!$R$9="Yes",'Staging Table'!K56,'Staging Table'!BX56)*(-1)*Rates_previous!$H$32</f>
        <v>-62887.375600000007</v>
      </c>
      <c r="L54" s="199">
        <f>IF('Staging Table'!C56=1,"",SUM(D54:K54))</f>
        <v>740829.24037307093</v>
      </c>
      <c r="M54" s="199">
        <f>IF('Staging Table'!C56=1,"",IF(Init!$R$9="Yes",(RT1SC!$C$3*'Staging Table'!F56*'Staging Table'!$F$2),X54))</f>
        <v>22453.49709162</v>
      </c>
      <c r="N54" s="297">
        <f>IF('Staging Table'!C56=1,"",IF(M54=0, 0, L54/M54))</f>
        <v>32.993935748634904</v>
      </c>
      <c r="O54" s="199">
        <f>'Staging Table'!BS56*Rates_current!$E$76*100*12</f>
        <v>947627.83007999999</v>
      </c>
      <c r="P54" s="199">
        <f>'Staging Table'!BS56*Rates_current!$E$77*100*12</f>
        <v>-166534.40304</v>
      </c>
      <c r="Q54" s="200"/>
      <c r="R54" s="200">
        <f>SUMPRODUCT('Staging Table'!CW56:DH56, LS_Demand_Rates_Restatement!$C$11:$N$11)*1000</f>
        <v>68564.015360844031</v>
      </c>
      <c r="S54" s="201"/>
      <c r="T54" s="201">
        <v>0</v>
      </c>
      <c r="U54" s="201">
        <f>IF('Staging Table'!D56=1, 'Staging Table'!BU56*-1*'Staging Table'!BS56/'Staging Table'!BR56,SUM(O54:T54)*'Staging Table'!BU56*-1)</f>
        <v>-26198.034649389632</v>
      </c>
      <c r="V54" s="199">
        <f>'Staging Table'!BX56*Rates_current!$H$32*-1</f>
        <v>-66752.929880000011</v>
      </c>
      <c r="W54" s="199">
        <f>IF('Staging Table'!C56=1,"",SUM(O54:V54))</f>
        <v>756706.47787145432</v>
      </c>
      <c r="X54" s="199">
        <f>IF('Staging Table'!C56=1,"",(RT1SC!$C$4*'Staging Table'!BS56*'Staging Table'!$BS$2))</f>
        <v>23601.765140063995</v>
      </c>
      <c r="Y54" s="297">
        <f>IF('Staging Table'!C56=1,"",IF(X54=0, 0, W54/X54))</f>
        <v>32.061435802822437</v>
      </c>
      <c r="Z54" s="76">
        <f ca="1">IF('Staging Table'!C56=1,"",(Y54/N54-1)+(RAND()/100000000000))</f>
        <v>-2.82627678262381E-2</v>
      </c>
      <c r="AA54" s="53">
        <f t="shared" ca="1" si="0"/>
        <v>100</v>
      </c>
      <c r="AD54" s="204"/>
      <c r="AE54" s="204"/>
      <c r="AG54" s="204"/>
      <c r="AH54" s="204"/>
    </row>
    <row r="55" spans="2:34">
      <c r="B55" s="123">
        <v>10144</v>
      </c>
      <c r="C55" s="124" t="s">
        <v>58</v>
      </c>
      <c r="D55" s="199">
        <f>IF(Init!$R$9="Yes",'Staging Table'!F57,'Staging Table'!BS57)*Rates_previous!$E$76*100*12</f>
        <v>1143894.0819249148</v>
      </c>
      <c r="E55" s="199">
        <f>IF(Init!$R$9="Yes",'Staging Table'!F57,'Staging Table'!BS57)*Rates_previous!$E$77*100*12</f>
        <v>-188859.65769295997</v>
      </c>
      <c r="F55" s="200"/>
      <c r="G55" s="200">
        <f>IF(Init!$R$9="Yes",SUMPRODUCT('Staging Table'!AJ57:AU57,LS_Demand_Rates_Restatement!$C$10:$N$10),SUMPRODUCT(LS_Demand_Rates_Restatement!$C$10:$N$10,'Staging Table'!CW57:DH57))*1000</f>
        <v>86129.382717663786</v>
      </c>
      <c r="H55" s="201"/>
      <c r="I55" s="199">
        <v>0</v>
      </c>
      <c r="J55" s="201">
        <f>IF(Init!$R$9="Yes",IF('Staging Table'!D57=1,'Staging Table'!H57*-1*'Staging Table'!F57/'Staging Table'!E57,'Staging Table'!H57*SUM(D55:I55)*(-1)),IF('Staging Table'!D57=1,'Staging Table'!BU57*-1*'Staging Table'!BS57/'Staging Table'!BR57,'Staging Table'!BU57*SUM(D55:I55)*(-1)))</f>
        <v>0</v>
      </c>
      <c r="K55" s="199">
        <f>IF(Init!$R$9="Yes",'Staging Table'!K57,'Staging Table'!BX57)*(-1)*Rates_previous!$H$32</f>
        <v>0</v>
      </c>
      <c r="L55" s="199">
        <f>IF('Staging Table'!C57=1,"",SUM(D55:K55))</f>
        <v>1041163.8069496186</v>
      </c>
      <c r="M55" s="199">
        <f>IF('Staging Table'!C57=1,"",IF(Init!$R$9="Yes",(RT1SC!$C$3*'Staging Table'!F57*'Staging Table'!$F$2),X55))</f>
        <v>28148.010808679999</v>
      </c>
      <c r="N55" s="297">
        <f>IF('Staging Table'!C57=1,"",IF(M55=0, 0, L55/M55))</f>
        <v>36.988894669194707</v>
      </c>
      <c r="O55" s="199">
        <f>'Staging Table'!BS57*Rates_current!$E$76*100*12</f>
        <v>1148662.4407199998</v>
      </c>
      <c r="P55" s="199">
        <f>'Staging Table'!BS57*Rates_current!$E$77*100*12</f>
        <v>-201863.86235999997</v>
      </c>
      <c r="Q55" s="200"/>
      <c r="R55" s="200">
        <f>SUMPRODUCT('Staging Table'!CW57:DH57, LS_Demand_Rates_Restatement!$C$11:$N$11)*1000</f>
        <v>85312.802363595096</v>
      </c>
      <c r="S55" s="201"/>
      <c r="T55" s="201">
        <v>0</v>
      </c>
      <c r="U55" s="201">
        <f>IF('Staging Table'!D57=1, 'Staging Table'!BU57*-1*'Staging Table'!BS57/'Staging Table'!BR57,SUM(O55:T55)*'Staging Table'!BU57*-1)</f>
        <v>0</v>
      </c>
      <c r="V55" s="199">
        <f>'Staging Table'!BX57*Rates_current!$H$32*-1</f>
        <v>0</v>
      </c>
      <c r="W55" s="199">
        <f>IF('Staging Table'!C57=1,"",SUM(O55:V55))</f>
        <v>1032111.380723595</v>
      </c>
      <c r="X55" s="199">
        <f>IF('Staging Table'!C57=1,"",(RT1SC!$C$4*'Staging Table'!BS57*'Staging Table'!$BS$2))</f>
        <v>28608.764211575995</v>
      </c>
      <c r="Y55" s="297">
        <f>IF('Staging Table'!C57=1,"",IF(X55=0, 0, W55/X55))</f>
        <v>36.07675511918724</v>
      </c>
      <c r="Z55" s="76">
        <f ca="1">IF('Staging Table'!C57=1,"",(Y55/N55-1)+(RAND()/100000000000))</f>
        <v>-2.4659821767965249E-2</v>
      </c>
      <c r="AA55" s="53">
        <f t="shared" ca="1" si="0"/>
        <v>58</v>
      </c>
      <c r="AD55" s="204"/>
      <c r="AE55" s="204"/>
      <c r="AG55" s="204"/>
      <c r="AH55" s="204"/>
    </row>
    <row r="56" spans="2:34">
      <c r="B56" s="123">
        <v>10156</v>
      </c>
      <c r="C56" s="124" t="s">
        <v>59</v>
      </c>
      <c r="D56" s="199">
        <f>IF(Init!$R$9="Yes",'Staging Table'!F58,'Staging Table'!BS58)*Rates_previous!$E$76*100*12</f>
        <v>10947569.965189576</v>
      </c>
      <c r="E56" s="199">
        <f>IF(Init!$R$9="Yes",'Staging Table'!F58,'Staging Table'!BS58)*Rates_previous!$E$77*100*12</f>
        <v>-1807470.0698828753</v>
      </c>
      <c r="F56" s="200"/>
      <c r="G56" s="200">
        <f>IF(Init!$R$9="Yes",SUMPRODUCT('Staging Table'!AJ58:AU58,LS_Demand_Rates_Restatement!$C$10:$N$10),SUMPRODUCT(LS_Demand_Rates_Restatement!$C$10:$N$10,'Staging Table'!CW58:DH58))*1000</f>
        <v>655641.61043895106</v>
      </c>
      <c r="H56" s="201"/>
      <c r="I56" s="199">
        <v>0</v>
      </c>
      <c r="J56" s="201">
        <f>IF(Init!$R$9="Yes",IF('Staging Table'!D58=1,'Staging Table'!H58*-1*'Staging Table'!F58/'Staging Table'!E58,'Staging Table'!H58*SUM(D56:I56)*(-1)),IF('Staging Table'!D58=1,'Staging Table'!BU58*-1*'Staging Table'!BS58/'Staging Table'!BR58,'Staging Table'!BU58*SUM(D56:I56)*(-1)))</f>
        <v>0</v>
      </c>
      <c r="K56" s="199">
        <f>IF(Init!$R$9="Yes",'Staging Table'!K58,'Staging Table'!BX58)*(-1)*Rates_previous!$H$32</f>
        <v>0</v>
      </c>
      <c r="L56" s="199">
        <f>IF('Staging Table'!C58=1,"",SUM(D56:K56))</f>
        <v>9795741.5057456512</v>
      </c>
      <c r="M56" s="199">
        <f>IF('Staging Table'!C58=1,"",IF(Init!$R$9="Yes",(RT1SC!$C$3*'Staging Table'!F58*'Staging Table'!$F$2),X56))</f>
        <v>269388.855645084</v>
      </c>
      <c r="N56" s="297">
        <f>IF('Staging Table'!C58=1,"",IF(M56=0, 0, L56/M56))</f>
        <v>36.362831277071841</v>
      </c>
      <c r="O56" s="199">
        <f>'Staging Table'!BS58*Rates_current!$E$76*100*12</f>
        <v>11369790.16632</v>
      </c>
      <c r="P56" s="199">
        <f>'Staging Table'!BS58*Rates_current!$E$77*100*12</f>
        <v>-1998106.3851600001</v>
      </c>
      <c r="Q56" s="200"/>
      <c r="R56" s="200">
        <f>SUMPRODUCT('Staging Table'!CW58:DH58, LS_Demand_Rates_Restatement!$C$11:$N$11)*1000</f>
        <v>687047.24206247309</v>
      </c>
      <c r="S56" s="201"/>
      <c r="T56" s="201">
        <v>0</v>
      </c>
      <c r="U56" s="201">
        <f>IF('Staging Table'!D58=1, 'Staging Table'!BU58*-1*'Staging Table'!BS58/'Staging Table'!BR58,SUM(O56:T56)*'Staging Table'!BU58*-1)</f>
        <v>0</v>
      </c>
      <c r="V56" s="199">
        <f>'Staging Table'!BX58*Rates_current!$H$32*-1</f>
        <v>0</v>
      </c>
      <c r="W56" s="199">
        <f>IF('Staging Table'!C58=1,"",SUM(O56:V56))</f>
        <v>10058731.023222474</v>
      </c>
      <c r="X56" s="199">
        <f>IF('Staging Table'!C58=1,"",(RT1SC!$C$4*'Staging Table'!BS58*'Staging Table'!$BS$2))</f>
        <v>283177.75046205596</v>
      </c>
      <c r="Y56" s="297">
        <f>IF('Staging Table'!C58=1,"",IF(X56=0, 0, W56/X56))</f>
        <v>35.520908711259366</v>
      </c>
      <c r="Z56" s="76">
        <f ca="1">IF('Staging Table'!C58=1,"",(Y56/N56-1)+(RAND()/100000000000))</f>
        <v>-2.3153383170428758E-2</v>
      </c>
      <c r="AA56" s="53">
        <f t="shared" ca="1" si="0"/>
        <v>31</v>
      </c>
      <c r="AD56" s="204"/>
      <c r="AE56" s="204"/>
      <c r="AG56" s="204"/>
      <c r="AH56" s="204"/>
    </row>
    <row r="57" spans="2:34">
      <c r="B57" s="123">
        <v>10157</v>
      </c>
      <c r="C57" s="124" t="s">
        <v>60</v>
      </c>
      <c r="D57" s="199">
        <f>IF(Init!$R$9="Yes",'Staging Table'!F59,'Staging Table'!BS59)*Rates_previous!$E$76*100*12</f>
        <v>8096707.7333398107</v>
      </c>
      <c r="E57" s="199">
        <f>IF(Init!$R$9="Yes",'Staging Table'!F59,'Staging Table'!BS59)*Rates_previous!$E$77*100*12</f>
        <v>-1336785.8747772344</v>
      </c>
      <c r="F57" s="200"/>
      <c r="G57" s="200">
        <f>IF(Init!$R$9="Yes",SUMPRODUCT('Staging Table'!AJ59:AU59,LS_Demand_Rates_Restatement!$C$10:$N$10),SUMPRODUCT(LS_Demand_Rates_Restatement!$C$10:$N$10,'Staging Table'!CW59:DH59))*1000</f>
        <v>0</v>
      </c>
      <c r="H57" s="201"/>
      <c r="I57" s="199">
        <v>0</v>
      </c>
      <c r="J57" s="201">
        <f>IF(Init!$R$9="Yes",IF('Staging Table'!D59=1,'Staging Table'!H59*-1*'Staging Table'!F59/'Staging Table'!E59,'Staging Table'!H59*SUM(D57:I57)*(-1)),IF('Staging Table'!D59=1,'Staging Table'!BU59*-1*'Staging Table'!BS59/'Staging Table'!BR59,'Staging Table'!BU59*SUM(D57:I57)*(-1)))</f>
        <v>-481080.87019210384</v>
      </c>
      <c r="K57" s="199">
        <f>IF(Init!$R$9="Yes",'Staging Table'!K59,'Staging Table'!BX59)*(-1)*Rates_previous!$H$32</f>
        <v>0</v>
      </c>
      <c r="L57" s="199">
        <f>IF('Staging Table'!C59=1,"",SUM(D57:K57))</f>
        <v>6278840.9883704726</v>
      </c>
      <c r="M57" s="199">
        <f>IF('Staging Table'!C59=1,"",IF(Init!$R$9="Yes",(RT1SC!$C$3*'Staging Table'!F59*'Staging Table'!$F$2),X57))</f>
        <v>199237.16749129203</v>
      </c>
      <c r="N57" s="297">
        <f>IF('Staging Table'!C59=1,"",IF(M57=0, 0, L57/M57))</f>
        <v>31.514406008833163</v>
      </c>
      <c r="O57" s="199">
        <f>'Staging Table'!BS59*Rates_current!$E$76*100*12</f>
        <v>8409075.9811199997</v>
      </c>
      <c r="P57" s="199">
        <f>'Staging Table'!BS59*Rates_current!$E$77*100*12</f>
        <v>-1477795.8225599998</v>
      </c>
      <c r="Q57" s="200"/>
      <c r="R57" s="200">
        <f>SUMPRODUCT('Staging Table'!CW59:DH59, LS_Demand_Rates_Restatement!$C$11:$N$11)*1000</f>
        <v>0</v>
      </c>
      <c r="S57" s="201"/>
      <c r="T57" s="201">
        <v>0</v>
      </c>
      <c r="U57" s="201">
        <f>IF('Staging Table'!D59=1, 'Staging Table'!BU59*-1*'Staging Table'!BS59/'Staging Table'!BR59,SUM(O57:T57)*'Staging Table'!BU59*-1)</f>
        <v>-481083.13539192401</v>
      </c>
      <c r="V57" s="199">
        <f>'Staging Table'!BX59*Rates_current!$H$32*-1</f>
        <v>0</v>
      </c>
      <c r="W57" s="199">
        <f>IF('Staging Table'!C59=1,"",SUM(O57:V57))</f>
        <v>6450197.0231680768</v>
      </c>
      <c r="X57" s="199">
        <f>IF('Staging Table'!C59=1,"",(RT1SC!$C$4*'Staging Table'!BS59*'Staging Table'!$BS$2))</f>
        <v>209437.745548896</v>
      </c>
      <c r="Y57" s="297">
        <f>IF('Staging Table'!C59=1,"",IF(X57=0, 0, W57/X57))</f>
        <v>30.797681698985791</v>
      </c>
      <c r="Z57" s="76">
        <f ca="1">IF('Staging Table'!C59=1,"",(Y57/N57-1)+(RAND()/100000000000))</f>
        <v>-2.2742751666343156E-2</v>
      </c>
      <c r="AA57" s="53">
        <f t="shared" ca="1" si="0"/>
        <v>27</v>
      </c>
      <c r="AD57" s="204"/>
      <c r="AE57" s="204"/>
      <c r="AG57" s="204"/>
      <c r="AH57" s="204"/>
    </row>
    <row r="58" spans="2:34">
      <c r="B58" s="123">
        <v>10158</v>
      </c>
      <c r="C58" s="124" t="s">
        <v>61</v>
      </c>
      <c r="D58" s="199">
        <f>IF(Init!$R$9="Yes",'Staging Table'!F60,'Staging Table'!BS60)*Rates_previous!$E$76*100*12</f>
        <v>844850.91207997373</v>
      </c>
      <c r="E58" s="199">
        <f>IF(Init!$R$9="Yes",'Staging Table'!F60,'Staging Table'!BS60)*Rates_previous!$E$77*100*12</f>
        <v>-139486.91279922391</v>
      </c>
      <c r="F58" s="200"/>
      <c r="G58" s="200">
        <f>IF(Init!$R$9="Yes",SUMPRODUCT('Staging Table'!AJ60:AU60,LS_Demand_Rates_Restatement!$C$10:$N$10),SUMPRODUCT(LS_Demand_Rates_Restatement!$C$10:$N$10,'Staging Table'!CW60:DH60))*1000</f>
        <v>39140.162489066955</v>
      </c>
      <c r="H58" s="201"/>
      <c r="I58" s="199">
        <v>0</v>
      </c>
      <c r="J58" s="201">
        <f>IF(Init!$R$9="Yes",IF('Staging Table'!D60=1,'Staging Table'!H60*-1*'Staging Table'!F60/'Staging Table'!E60,'Staging Table'!H60*SUM(D58:I58)*(-1)),IF('Staging Table'!D60=1,'Staging Table'!BU60*-1*'Staging Table'!BS60/'Staging Table'!BR60,'Staging Table'!BU60*SUM(D58:I58)*(-1)))</f>
        <v>0</v>
      </c>
      <c r="K58" s="199">
        <f>IF(Init!$R$9="Yes",'Staging Table'!K60,'Staging Table'!BX60)*(-1)*Rates_previous!$H$32</f>
        <v>0</v>
      </c>
      <c r="L58" s="199">
        <f>IF('Staging Table'!C60=1,"",SUM(D58:K58))</f>
        <v>744504.16176981677</v>
      </c>
      <c r="M58" s="199">
        <f>IF('Staging Table'!C60=1,"",IF(Init!$R$9="Yes",(RT1SC!$C$3*'Staging Table'!F60*'Staging Table'!$F$2),X58))</f>
        <v>20789.400855132</v>
      </c>
      <c r="N58" s="297">
        <f>IF('Staging Table'!C60=1,"",IF(M58=0, 0, L58/M58))</f>
        <v>35.811718046026854</v>
      </c>
      <c r="O58" s="199">
        <f>'Staging Table'!BS60*Rates_current!$E$76*100*12</f>
        <v>800152.62624000013</v>
      </c>
      <c r="P58" s="199">
        <f>'Staging Table'!BS60*Rates_current!$E$77*100*12</f>
        <v>-140617.37712000002</v>
      </c>
      <c r="Q58" s="200"/>
      <c r="R58" s="200">
        <f>SUMPRODUCT('Staging Table'!CW60:DH60, LS_Demand_Rates_Restatement!$C$11:$N$11)*1000</f>
        <v>39105.256602029913</v>
      </c>
      <c r="S58" s="201"/>
      <c r="T58" s="201">
        <v>0</v>
      </c>
      <c r="U58" s="201">
        <f>IF('Staging Table'!D60=1, 'Staging Table'!BU60*-1*'Staging Table'!BS60/'Staging Table'!BR60,SUM(O58:T58)*'Staging Table'!BU60*-1)</f>
        <v>0</v>
      </c>
      <c r="V58" s="199">
        <f>'Staging Table'!BX60*Rates_current!$H$32*-1</f>
        <v>0</v>
      </c>
      <c r="W58" s="199">
        <f>IF('Staging Table'!C60=1,"",SUM(O58:V58))</f>
        <v>698640.50572202995</v>
      </c>
      <c r="X58" s="199">
        <f>IF('Staging Table'!C60=1,"",(RT1SC!$C$4*'Staging Table'!BS60*'Staging Table'!$BS$2))</f>
        <v>19928.724928991996</v>
      </c>
      <c r="Y58" s="297">
        <f>IF('Staging Table'!C60=1,"",IF(X58=0, 0, W58/X58))</f>
        <v>35.05695965052228</v>
      </c>
      <c r="Z58" s="76">
        <f ca="1">IF('Staging Table'!C60=1,"",(Y58/N58-1)+(RAND()/100000000000))</f>
        <v>-2.1075738237945292E-2</v>
      </c>
      <c r="AA58" s="53">
        <f t="shared" ca="1" si="0"/>
        <v>16</v>
      </c>
      <c r="AD58" s="204"/>
      <c r="AE58" s="204"/>
      <c r="AG58" s="204"/>
      <c r="AH58" s="204"/>
    </row>
    <row r="59" spans="2:34">
      <c r="B59" s="123">
        <v>10170</v>
      </c>
      <c r="C59" s="124" t="s">
        <v>62</v>
      </c>
      <c r="D59" s="199">
        <f>IF(Init!$R$9="Yes",'Staging Table'!F61,'Staging Table'!BS61)*Rates_previous!$E$76*100*12</f>
        <v>39225494.986661717</v>
      </c>
      <c r="E59" s="199">
        <f>IF(Init!$R$9="Yes",'Staging Table'!F61,'Staging Table'!BS61)*Rates_previous!$E$77*100*12</f>
        <v>-6476223.3436435573</v>
      </c>
      <c r="F59" s="200"/>
      <c r="G59" s="200">
        <f>IF(Init!$R$9="Yes",SUMPRODUCT('Staging Table'!AJ61:AU61,LS_Demand_Rates_Restatement!$C$10:$N$10),SUMPRODUCT(LS_Demand_Rates_Restatement!$C$10:$N$10,'Staging Table'!CW61:DH61))*1000</f>
        <v>0</v>
      </c>
      <c r="H59" s="201"/>
      <c r="I59" s="199">
        <v>0</v>
      </c>
      <c r="J59" s="201">
        <f>IF(Init!$R$9="Yes",IF('Staging Table'!D61=1,'Staging Table'!H61*-1*'Staging Table'!F61/'Staging Table'!E61,'Staging Table'!H61*SUM(D59:I59)*(-1)),IF('Staging Table'!D61=1,'Staging Table'!BU61*-1*'Staging Table'!BS61/'Staging Table'!BR61,'Staging Table'!BU61*SUM(D59:I59)*(-1)))</f>
        <v>0</v>
      </c>
      <c r="K59" s="199">
        <f>IF(Init!$R$9="Yes",'Staging Table'!K61,'Staging Table'!BX61)*(-1)*Rates_previous!$H$32</f>
        <v>0</v>
      </c>
      <c r="L59" s="199">
        <f>IF('Staging Table'!C61=1,"",SUM(D59:K59))</f>
        <v>32749271.64301816</v>
      </c>
      <c r="M59" s="199">
        <f>IF('Staging Table'!C61=1,"",IF(Init!$R$9="Yes",(RT1SC!$C$3*'Staging Table'!F61*'Staging Table'!$F$2),X59))</f>
        <v>965228.92661739606</v>
      </c>
      <c r="N59" s="297">
        <f>IF('Staging Table'!C61=1,"",IF(M59=0, 0, L59/M59))</f>
        <v>33.929020090380625</v>
      </c>
      <c r="O59" s="199">
        <f>'Staging Table'!BS61*Rates_current!$E$76*100*12</f>
        <v>36579331.049759999</v>
      </c>
      <c r="P59" s="199">
        <f>'Staging Table'!BS61*Rates_current!$E$77*100*12</f>
        <v>-6428385.5608799998</v>
      </c>
      <c r="Q59" s="200"/>
      <c r="R59" s="200">
        <f>SUMPRODUCT('Staging Table'!CW61:DH61, LS_Demand_Rates_Restatement!$C$11:$N$11)*1000</f>
        <v>0</v>
      </c>
      <c r="S59" s="201"/>
      <c r="T59" s="201">
        <v>0</v>
      </c>
      <c r="U59" s="201">
        <f>IF('Staging Table'!D61=1, 'Staging Table'!BU61*-1*'Staging Table'!BS61/'Staging Table'!BR61,SUM(O59:T59)*'Staging Table'!BU61*-1)</f>
        <v>0</v>
      </c>
      <c r="V59" s="199">
        <f>'Staging Table'!BX61*Rates_current!$H$32*-1</f>
        <v>0</v>
      </c>
      <c r="W59" s="199">
        <f>IF('Staging Table'!C61=1,"",SUM(O59:V59))</f>
        <v>30150945.488880001</v>
      </c>
      <c r="X59" s="199">
        <f>IF('Staging Table'!C61=1,"",(RT1SC!$C$4*'Staging Table'!BS61*'Staging Table'!$BS$2))</f>
        <v>911050.47046180791</v>
      </c>
      <c r="Y59" s="297">
        <f>IF('Staging Table'!C61=1,"",IF(X59=0, 0, W59/X59))</f>
        <v>33.094703824253124</v>
      </c>
      <c r="Z59" s="76">
        <f ca="1">IF('Staging Table'!C61=1,"",(Y59/N59-1)+(RAND()/100000000000))</f>
        <v>-2.4590048978782999E-2</v>
      </c>
      <c r="AA59" s="53">
        <f t="shared" ca="1" si="0"/>
        <v>46</v>
      </c>
      <c r="AD59" s="204"/>
      <c r="AE59" s="204"/>
      <c r="AG59" s="204"/>
      <c r="AH59" s="204"/>
    </row>
    <row r="60" spans="2:34">
      <c r="B60" s="123">
        <v>10172</v>
      </c>
      <c r="C60" s="124" t="s">
        <v>63</v>
      </c>
      <c r="D60" s="199">
        <f>IF(Init!$R$9="Yes",'Staging Table'!F62,'Staging Table'!BS62)*Rates_previous!$E$76*100*12</f>
        <v>1947257.8501531044</v>
      </c>
      <c r="E60" s="199">
        <f>IF(Init!$R$9="Yes",'Staging Table'!F62,'Staging Table'!BS62)*Rates_previous!$E$77*100*12</f>
        <v>-321496.94349409535</v>
      </c>
      <c r="F60" s="200"/>
      <c r="G60" s="200">
        <f>IF(Init!$R$9="Yes",SUMPRODUCT('Staging Table'!AJ62:AU62,LS_Demand_Rates_Restatement!$C$10:$N$10),SUMPRODUCT(LS_Demand_Rates_Restatement!$C$10:$N$10,'Staging Table'!CW62:DH62))*1000</f>
        <v>139908.12676879452</v>
      </c>
      <c r="H60" s="201"/>
      <c r="I60" s="199">
        <v>0</v>
      </c>
      <c r="J60" s="201">
        <f>IF(Init!$R$9="Yes",IF('Staging Table'!D62=1,'Staging Table'!H62*-1*'Staging Table'!F62/'Staging Table'!E62,'Staging Table'!H62*SUM(D60:I60)*(-1)),IF('Staging Table'!D62=1,'Staging Table'!BU62*-1*'Staging Table'!BS62/'Staging Table'!BR62,'Staging Table'!BU62*SUM(D60:I60)*(-1)))</f>
        <v>0</v>
      </c>
      <c r="K60" s="199">
        <f>IF(Init!$R$9="Yes",'Staging Table'!K62,'Staging Table'!BX62)*(-1)*Rates_previous!$H$32</f>
        <v>0</v>
      </c>
      <c r="L60" s="199">
        <f>IF('Staging Table'!C62=1,"",SUM(D60:K60))</f>
        <v>1765669.0334278035</v>
      </c>
      <c r="M60" s="199">
        <f>IF('Staging Table'!C62=1,"",IF(Init!$R$9="Yes",(RT1SC!$C$3*'Staging Table'!F62*'Staging Table'!$F$2),X60))</f>
        <v>47916.529930079996</v>
      </c>
      <c r="N60" s="297">
        <f>IF('Staging Table'!C62=1,"",IF(M60=0, 0, L60/M60))</f>
        <v>36.848850198548924</v>
      </c>
      <c r="O60" s="199">
        <f>'Staging Table'!BS62*Rates_current!$E$76*100*12</f>
        <v>1859632.4268</v>
      </c>
      <c r="P60" s="199">
        <f>'Staging Table'!BS62*Rates_current!$E$77*100*12</f>
        <v>-326808.44339999999</v>
      </c>
      <c r="Q60" s="200"/>
      <c r="R60" s="200">
        <f>SUMPRODUCT('Staging Table'!CW62:DH62, LS_Demand_Rates_Restatement!$C$11:$N$11)*1000</f>
        <v>137232.96968856838</v>
      </c>
      <c r="S60" s="201"/>
      <c r="T60" s="201">
        <v>0</v>
      </c>
      <c r="U60" s="201">
        <f>IF('Staging Table'!D62=1, 'Staging Table'!BU62*-1*'Staging Table'!BS62/'Staging Table'!BR62,SUM(O60:T60)*'Staging Table'!BU62*-1)</f>
        <v>0</v>
      </c>
      <c r="V60" s="199">
        <f>'Staging Table'!BX62*Rates_current!$H$32*-1</f>
        <v>0</v>
      </c>
      <c r="W60" s="199">
        <f>IF('Staging Table'!C62=1,"",SUM(O60:V60))</f>
        <v>1670056.9530885685</v>
      </c>
      <c r="X60" s="199">
        <f>IF('Staging Table'!C62=1,"",(RT1SC!$C$4*'Staging Table'!BS62*'Staging Table'!$BS$2))</f>
        <v>46316.292526439996</v>
      </c>
      <c r="Y60" s="297">
        <f>IF('Staging Table'!C62=1,"",IF(X60=0, 0, W60/X60))</f>
        <v>36.057656215363181</v>
      </c>
      <c r="Z60" s="76">
        <f ca="1">IF('Staging Table'!C62=1,"",(Y60/N60-1)+(RAND()/100000000000))</f>
        <v>-2.1471334345676579E-2</v>
      </c>
      <c r="AA60" s="53">
        <f t="shared" ca="1" si="0"/>
        <v>20</v>
      </c>
      <c r="AD60" s="204"/>
      <c r="AE60" s="204"/>
      <c r="AG60" s="204"/>
      <c r="AH60" s="204"/>
    </row>
    <row r="61" spans="2:34">
      <c r="B61" s="123">
        <v>10173</v>
      </c>
      <c r="C61" s="124" t="s">
        <v>64</v>
      </c>
      <c r="D61" s="199">
        <f>IF(Init!$R$9="Yes",'Staging Table'!F63,'Staging Table'!BS63)*Rates_previous!$E$76*100*12</f>
        <v>11250450.096315607</v>
      </c>
      <c r="E61" s="199">
        <f>IF(Init!$R$9="Yes",'Staging Table'!F63,'Staging Table'!BS63)*Rates_previous!$E$77*100*12</f>
        <v>-1857476.3062908857</v>
      </c>
      <c r="F61" s="200"/>
      <c r="G61" s="200">
        <f>IF(Init!$R$9="Yes",SUMPRODUCT('Staging Table'!AJ63:AU63,LS_Demand_Rates_Restatement!$C$10:$N$10),SUMPRODUCT(LS_Demand_Rates_Restatement!$C$10:$N$10,'Staging Table'!CW63:DH63))*1000</f>
        <v>0</v>
      </c>
      <c r="H61" s="201"/>
      <c r="I61" s="199">
        <v>0</v>
      </c>
      <c r="J61" s="201">
        <f>IF(Init!$R$9="Yes",IF('Staging Table'!D63=1,'Staging Table'!H63*-1*'Staging Table'!F63/'Staging Table'!E63,'Staging Table'!H63*SUM(D61:I61)*(-1)),IF('Staging Table'!D63=1,'Staging Table'!BU63*-1*'Staging Table'!BS63/'Staging Table'!BR63,'Staging Table'!BU63*SUM(D61:I61)*(-1)))</f>
        <v>-796805.96660779719</v>
      </c>
      <c r="K61" s="199">
        <f>IF(Init!$R$9="Yes",'Staging Table'!K63,'Staging Table'!BX63)*(-1)*Rates_previous!$H$32</f>
        <v>-482978.95640000002</v>
      </c>
      <c r="L61" s="199" t="str">
        <f>IF('Staging Table'!C63=1,"",SUM(D61:K61))</f>
        <v/>
      </c>
      <c r="M61" s="199" t="str">
        <f>IF('Staging Table'!C63=1,"",IF(Init!$R$9="Yes",(RT1SC!$C$3*'Staging Table'!F63*'Staging Table'!$F$2),X61))</f>
        <v/>
      </c>
      <c r="N61" s="297" t="str">
        <f>IF('Staging Table'!C63=1,"",IF(M61=0, 0, L61/M61))</f>
        <v/>
      </c>
      <c r="O61" s="199">
        <f>'Staging Table'!BS63*Rates_current!$E$76*100*12</f>
        <v>11684420.542079998</v>
      </c>
      <c r="P61" s="199">
        <f>'Staging Table'!BS63*Rates_current!$E$77*100*12</f>
        <v>-2053398.9590399999</v>
      </c>
      <c r="Q61" s="200"/>
      <c r="R61" s="200">
        <f>SUMPRODUCT('Staging Table'!CW63:DH63, LS_Demand_Rates_Restatement!$C$11:$N$11)*1000</f>
        <v>0</v>
      </c>
      <c r="S61" s="201"/>
      <c r="T61" s="201">
        <v>0</v>
      </c>
      <c r="U61" s="201">
        <f>IF('Staging Table'!D63=1, 'Staging Table'!BU63*-1*'Staging Table'!BS63/'Staging Table'!BR63,SUM(O61:T61)*'Staging Table'!BU63*-1)</f>
        <v>-816473.99723338266</v>
      </c>
      <c r="V61" s="199">
        <f>'Staging Table'!BX63*Rates_current!$H$32*-1</f>
        <v>-512666.65372</v>
      </c>
      <c r="W61" s="199" t="str">
        <f>IF('Staging Table'!C63=1,"",SUM(O61:V61))</f>
        <v/>
      </c>
      <c r="X61" s="199" t="str">
        <f>IF('Staging Table'!C63=1,"",(RT1SC!$C$4*'Staging Table'!BS63*'Staging Table'!$BS$2))</f>
        <v/>
      </c>
      <c r="Y61" s="297" t="str">
        <f>IF('Staging Table'!C63=1,"",IF(X61=0, 0, W61/X61))</f>
        <v/>
      </c>
      <c r="Z61" s="76" t="str">
        <f ca="1">IF('Staging Table'!C63=1,"",(Y61/N61-1)+(RAND()/100000000000))</f>
        <v/>
      </c>
      <c r="AA61" s="53" t="str">
        <f t="shared" ca="1" si="0"/>
        <v/>
      </c>
      <c r="AD61" s="204"/>
      <c r="AE61" s="204"/>
      <c r="AG61" s="204"/>
      <c r="AH61" s="204"/>
    </row>
    <row r="62" spans="2:34">
      <c r="B62" s="123">
        <v>10174</v>
      </c>
      <c r="C62" s="124" t="s">
        <v>65</v>
      </c>
      <c r="D62" s="199">
        <f>IF(Init!$R$9="Yes",'Staging Table'!F64,'Staging Table'!BS64)*Rates_previous!$E$76*100*12</f>
        <v>172183.63748890749</v>
      </c>
      <c r="E62" s="199">
        <f>IF(Init!$R$9="Yes",'Staging Table'!F64,'Staging Table'!BS64)*Rates_previous!$E$77*100*12</f>
        <v>-28427.931703049318</v>
      </c>
      <c r="F62" s="200"/>
      <c r="G62" s="200">
        <f>IF(Init!$R$9="Yes",SUMPRODUCT('Staging Table'!AJ64:AU64,LS_Demand_Rates_Restatement!$C$10:$N$10),SUMPRODUCT(LS_Demand_Rates_Restatement!$C$10:$N$10,'Staging Table'!CW64:DH64))*1000</f>
        <v>5239.6362990829748</v>
      </c>
      <c r="H62" s="201"/>
      <c r="I62" s="199">
        <v>0</v>
      </c>
      <c r="J62" s="201">
        <f>IF(Init!$R$9="Yes",IF('Staging Table'!D64=1,'Staging Table'!H64*-1*'Staging Table'!F64/'Staging Table'!E64,'Staging Table'!H64*SUM(D62:I62)*(-1)),IF('Staging Table'!D64=1,'Staging Table'!BU64*-1*'Staging Table'!BS64/'Staging Table'!BR64,'Staging Table'!BU64*SUM(D62:I62)*(-1)))</f>
        <v>0</v>
      </c>
      <c r="K62" s="199">
        <f>IF(Init!$R$9="Yes",'Staging Table'!K64,'Staging Table'!BX64)*(-1)*Rates_previous!$H$32</f>
        <v>0</v>
      </c>
      <c r="L62" s="199">
        <f>IF('Staging Table'!C64=1,"",SUM(D62:K62))</f>
        <v>148995.34208494116</v>
      </c>
      <c r="M62" s="199">
        <f>IF('Staging Table'!C64=1,"",IF(Init!$R$9="Yes",(RT1SC!$C$3*'Staging Table'!F64*'Staging Table'!$F$2),X62))</f>
        <v>4236.9542475119997</v>
      </c>
      <c r="N62" s="297">
        <f>IF('Staging Table'!C64=1,"",IF(M62=0, 0, L62/M62))</f>
        <v>35.165671702127383</v>
      </c>
      <c r="O62" s="199">
        <f>'Staging Table'!BS64*Rates_current!$E$76*100*12</f>
        <v>174877.69104000001</v>
      </c>
      <c r="P62" s="199">
        <f>'Staging Table'!BS64*Rates_current!$E$77*100*12</f>
        <v>-30732.68952</v>
      </c>
      <c r="Q62" s="200"/>
      <c r="R62" s="200">
        <f>SUMPRODUCT('Staging Table'!CW64:DH64, LS_Demand_Rates_Restatement!$C$11:$N$11)*1000</f>
        <v>5423.8762712606795</v>
      </c>
      <c r="S62" s="201"/>
      <c r="T62" s="201">
        <v>0</v>
      </c>
      <c r="U62" s="201">
        <f>IF('Staging Table'!D64=1, 'Staging Table'!BU64*-1*'Staging Table'!BS64/'Staging Table'!BR64,SUM(O62:T62)*'Staging Table'!BU64*-1)</f>
        <v>0</v>
      </c>
      <c r="V62" s="199">
        <f>'Staging Table'!BX64*Rates_current!$H$32*-1</f>
        <v>0</v>
      </c>
      <c r="W62" s="199">
        <f>IF('Staging Table'!C64=1,"",SUM(O62:V62))</f>
        <v>149568.87779126066</v>
      </c>
      <c r="X62" s="199">
        <f>IF('Staging Table'!C64=1,"",(RT1SC!$C$4*'Staging Table'!BS64*'Staging Table'!$BS$2))</f>
        <v>4355.5307908320001</v>
      </c>
      <c r="Y62" s="297">
        <f>IF('Staging Table'!C64=1,"",IF(X62=0, 0, W62/X62))</f>
        <v>34.339988620006928</v>
      </c>
      <c r="Z62" s="76">
        <f ca="1">IF('Staging Table'!C64=1,"",(Y62/N62-1)+(RAND()/100000000000))</f>
        <v>-2.3479804079625691E-2</v>
      </c>
      <c r="AA62" s="53">
        <f t="shared" ca="1" si="0"/>
        <v>36</v>
      </c>
      <c r="AD62" s="204"/>
      <c r="AE62" s="204"/>
      <c r="AG62" s="204"/>
      <c r="AH62" s="204"/>
    </row>
    <row r="63" spans="2:34">
      <c r="B63" s="123">
        <v>10177</v>
      </c>
      <c r="C63" s="124" t="s">
        <v>66</v>
      </c>
      <c r="D63" s="199">
        <f>IF(Init!$R$9="Yes",'Staging Table'!F65,'Staging Table'!BS65)*Rates_previous!$E$76*100*12</f>
        <v>3170768.8786606342</v>
      </c>
      <c r="E63" s="199">
        <f>IF(Init!$R$9="Yes",'Staging Table'!F65,'Staging Table'!BS65)*Rates_previous!$E$77*100*12</f>
        <v>-523501.55010824249</v>
      </c>
      <c r="F63" s="200"/>
      <c r="G63" s="200">
        <f>IF(Init!$R$9="Yes",SUMPRODUCT('Staging Table'!AJ65:AU65,LS_Demand_Rates_Restatement!$C$10:$N$10),SUMPRODUCT(LS_Demand_Rates_Restatement!$C$10:$N$10,'Staging Table'!CW65:DH65))*1000</f>
        <v>75465.5814631588</v>
      </c>
      <c r="H63" s="201"/>
      <c r="I63" s="199">
        <v>0</v>
      </c>
      <c r="J63" s="201">
        <f>IF(Init!$R$9="Yes",IF('Staging Table'!D65=1,'Staging Table'!H65*-1*'Staging Table'!F65/'Staging Table'!E65,'Staging Table'!H65*SUM(D63:I63)*(-1)),IF('Staging Table'!D65=1,'Staging Table'!BU65*-1*'Staging Table'!BS65/'Staging Table'!BR65,'Staging Table'!BU65*SUM(D63:I63)*(-1)))</f>
        <v>-190591.30370108856</v>
      </c>
      <c r="K63" s="199">
        <f>IF(Init!$R$9="Yes",'Staging Table'!K65,'Staging Table'!BX65)*(-1)*Rates_previous!$H$32</f>
        <v>0</v>
      </c>
      <c r="L63" s="199">
        <f>IF('Staging Table'!C65=1,"",SUM(D63:K63))</f>
        <v>2532141.6063144617</v>
      </c>
      <c r="M63" s="199">
        <f>IF('Staging Table'!C65=1,"",IF(Init!$R$9="Yes",(RT1SC!$C$3*'Staging Table'!F65*'Staging Table'!$F$2),X63))</f>
        <v>78023.68949944801</v>
      </c>
      <c r="N63" s="297">
        <f>IF('Staging Table'!C65=1,"",IF(M63=0, 0, L63/M63))</f>
        <v>32.45349742570653</v>
      </c>
      <c r="O63" s="199">
        <f>'Staging Table'!BS65*Rates_current!$E$76*100*12</f>
        <v>3053135.30112</v>
      </c>
      <c r="P63" s="199">
        <f>'Staging Table'!BS65*Rates_current!$E$77*100*12</f>
        <v>-536552.48256000003</v>
      </c>
      <c r="Q63" s="200"/>
      <c r="R63" s="200">
        <f>SUMPRODUCT('Staging Table'!CW65:DH65, LS_Demand_Rates_Restatement!$C$11:$N$11)*1000</f>
        <v>85564.236218696518</v>
      </c>
      <c r="S63" s="201"/>
      <c r="T63" s="201">
        <v>0</v>
      </c>
      <c r="U63" s="201">
        <f>IF('Staging Table'!D65=1, 'Staging Table'!BU65*-1*'Staging Table'!BS65/'Staging Table'!BR65,SUM(O63:T63)*'Staging Table'!BU65*-1)</f>
        <v>-182150.29383450878</v>
      </c>
      <c r="V63" s="199">
        <f>'Staging Table'!BX65*Rates_current!$H$32*-1</f>
        <v>0</v>
      </c>
      <c r="W63" s="199">
        <f>IF('Staging Table'!C65=1,"",SUM(O63:V63))</f>
        <v>2419996.7609441876</v>
      </c>
      <c r="X63" s="199">
        <f>IF('Staging Table'!C65=1,"",(RT1SC!$C$4*'Staging Table'!BS65*'Staging Table'!$BS$2))</f>
        <v>76041.859504895998</v>
      </c>
      <c r="Y63" s="297">
        <f>IF('Staging Table'!C65=1,"",IF(X63=0, 0, W63/X63))</f>
        <v>31.824534232863872</v>
      </c>
      <c r="Z63" s="76">
        <f ca="1">IF('Staging Table'!C65=1,"",(Y63/N63-1)+(RAND()/100000000000))</f>
        <v>-1.9380444103267364E-2</v>
      </c>
      <c r="AA63" s="53">
        <f t="shared" ca="1" si="0"/>
        <v>8</v>
      </c>
      <c r="AD63" s="204"/>
      <c r="AE63" s="204"/>
      <c r="AG63" s="204"/>
      <c r="AH63" s="204"/>
    </row>
    <row r="64" spans="2:34">
      <c r="B64" s="123">
        <v>10179</v>
      </c>
      <c r="C64" s="124" t="s">
        <v>67</v>
      </c>
      <c r="D64" s="199">
        <f>IF(Init!$R$9="Yes",'Staging Table'!F66,'Staging Table'!BS66)*Rates_previous!$E$76*100*12</f>
        <v>56649855.594330966</v>
      </c>
      <c r="E64" s="199">
        <f>IF(Init!$R$9="Yes",'Staging Table'!F66,'Staging Table'!BS66)*Rates_previous!$E$77*100*12</f>
        <v>-9353027.0896210782</v>
      </c>
      <c r="F64" s="200"/>
      <c r="G64" s="200">
        <f>IF(Init!$R$9="Yes",SUMPRODUCT('Staging Table'!AJ66:AU66,LS_Demand_Rates_Restatement!$C$10:$N$10),SUMPRODUCT(LS_Demand_Rates_Restatement!$C$10:$N$10,'Staging Table'!CW66:DH66))*1000</f>
        <v>0</v>
      </c>
      <c r="H64" s="201"/>
      <c r="I64" s="199">
        <v>0</v>
      </c>
      <c r="J64" s="201">
        <f>IF(Init!$R$9="Yes",IF('Staging Table'!D66=1,'Staging Table'!H66*-1*'Staging Table'!F66/'Staging Table'!E66,'Staging Table'!H66*SUM(D64:I64)*(-1)),IF('Staging Table'!D66=1,'Staging Table'!BU66*-1*'Staging Table'!BS66/'Staging Table'!BR66,'Staging Table'!BU66*SUM(D64:I64)*(-1)))</f>
        <v>0</v>
      </c>
      <c r="K64" s="199">
        <f>IF(Init!$R$9="Yes",'Staging Table'!K66,'Staging Table'!BX66)*(-1)*Rates_previous!$H$32</f>
        <v>0</v>
      </c>
      <c r="L64" s="199" t="str">
        <f>IF('Staging Table'!C66=1,"",SUM(D64:K64))</f>
        <v/>
      </c>
      <c r="M64" s="199" t="str">
        <f>IF('Staging Table'!C66=1,"",IF(Init!$R$9="Yes",(RT1SC!$C$3*'Staging Table'!F66*'Staging Table'!$F$2),X64))</f>
        <v/>
      </c>
      <c r="N64" s="297" t="str">
        <f>IF('Staging Table'!C66=1,"",IF(M64=0, 0, L64/M64))</f>
        <v/>
      </c>
      <c r="O64" s="199">
        <f>'Staging Table'!BS66*Rates_current!$E$76*100*12</f>
        <v>58835382.040080003</v>
      </c>
      <c r="P64" s="199">
        <f>'Staging Table'!BS66*Rates_current!$E$77*100*12</f>
        <v>-10339623.75804</v>
      </c>
      <c r="Q64" s="200"/>
      <c r="R64" s="200">
        <f>SUMPRODUCT('Staging Table'!CW66:DH66, LS_Demand_Rates_Restatement!$C$11:$N$11)*1000</f>
        <v>0</v>
      </c>
      <c r="S64" s="201"/>
      <c r="T64" s="201">
        <v>0</v>
      </c>
      <c r="U64" s="201">
        <f>IF('Staging Table'!D66=1, 'Staging Table'!BU66*-1*'Staging Table'!BS66/'Staging Table'!BR66,SUM(O64:T64)*'Staging Table'!BU66*-1)</f>
        <v>0</v>
      </c>
      <c r="V64" s="199">
        <f>'Staging Table'!BX66*Rates_current!$H$32*-1</f>
        <v>0</v>
      </c>
      <c r="W64" s="199" t="str">
        <f>IF('Staging Table'!C66=1,"",SUM(O64:V64))</f>
        <v/>
      </c>
      <c r="X64" s="199" t="str">
        <f>IF('Staging Table'!C66=1,"",(RT1SC!$C$4*'Staging Table'!BS66*'Staging Table'!$BS$2))</f>
        <v/>
      </c>
      <c r="Y64" s="297" t="str">
        <f>IF('Staging Table'!C66=1,"",IF(X64=0, 0, W64/X64))</f>
        <v/>
      </c>
      <c r="Z64" s="76" t="str">
        <f ca="1">IF('Staging Table'!C66=1,"",(Y64/N64-1)+(RAND()/100000000000))</f>
        <v/>
      </c>
      <c r="AA64" s="53" t="str">
        <f t="shared" ca="1" si="0"/>
        <v/>
      </c>
      <c r="AD64" s="204"/>
      <c r="AE64" s="204"/>
      <c r="AG64" s="204"/>
      <c r="AH64" s="204"/>
    </row>
    <row r="65" spans="2:34">
      <c r="B65" s="123">
        <v>10183</v>
      </c>
      <c r="C65" s="124" t="s">
        <v>68</v>
      </c>
      <c r="D65" s="199">
        <f>IF(Init!$R$9="Yes",'Staging Table'!F67,'Staging Table'!BS67)*Rates_previous!$E$76*100*12</f>
        <v>21170673.678493369</v>
      </c>
      <c r="E65" s="199">
        <f>IF(Init!$R$9="Yes",'Staging Table'!F67,'Staging Table'!BS67)*Rates_previous!$E$77*100*12</f>
        <v>-3495329.0232268749</v>
      </c>
      <c r="F65" s="200"/>
      <c r="G65" s="200">
        <f>IF(Init!$R$9="Yes",SUMPRODUCT('Staging Table'!AJ67:AU67,LS_Demand_Rates_Restatement!$C$10:$N$10),SUMPRODUCT(LS_Demand_Rates_Restatement!$C$10:$N$10,'Staging Table'!CW67:DH67))*1000</f>
        <v>0</v>
      </c>
      <c r="H65" s="201"/>
      <c r="I65" s="199">
        <v>0</v>
      </c>
      <c r="J65" s="201">
        <f>IF(Init!$R$9="Yes",IF('Staging Table'!D67=1,'Staging Table'!H67*-1*'Staging Table'!F67/'Staging Table'!E67,'Staging Table'!H67*SUM(D65:I65)*(-1)),IF('Staging Table'!D67=1,'Staging Table'!BU67*-1*'Staging Table'!BS67/'Staging Table'!BR67,'Staging Table'!BU67*SUM(D65:I65)*(-1)))</f>
        <v>0</v>
      </c>
      <c r="K65" s="199">
        <f>IF(Init!$R$9="Yes",'Staging Table'!K67,'Staging Table'!BX67)*(-1)*Rates_previous!$H$32</f>
        <v>-1029038.9923</v>
      </c>
      <c r="L65" s="199">
        <f>IF('Staging Table'!C67=1,"",SUM(D65:K65))</f>
        <v>16646305.662966494</v>
      </c>
      <c r="M65" s="199">
        <f>IF('Staging Table'!C67=1,"",IF(Init!$R$9="Yes",(RT1SC!$C$3*'Staging Table'!F67*'Staging Table'!$F$2),X65))</f>
        <v>520950.63777800399</v>
      </c>
      <c r="N65" s="297">
        <f>IF('Staging Table'!C67=1,"",IF(M65=0, 0, L65/M65))</f>
        <v>31.953710113433221</v>
      </c>
      <c r="O65" s="199">
        <f>'Staging Table'!BS67*Rates_current!$E$76*100*12</f>
        <v>21987008.388719998</v>
      </c>
      <c r="P65" s="199">
        <f>'Staging Table'!BS67*Rates_current!$E$77*100*12</f>
        <v>-3863957.1363599999</v>
      </c>
      <c r="Q65" s="200"/>
      <c r="R65" s="200">
        <f>SUMPRODUCT('Staging Table'!CW67:DH67, LS_Demand_Rates_Restatement!$C$11:$N$11)*1000</f>
        <v>0</v>
      </c>
      <c r="S65" s="201"/>
      <c r="T65" s="201">
        <v>0</v>
      </c>
      <c r="U65" s="201">
        <f>IF('Staging Table'!D67=1, 'Staging Table'!BU67*-1*'Staging Table'!BS67/'Staging Table'!BR67,SUM(O65:T65)*'Staging Table'!BU67*-1)</f>
        <v>0</v>
      </c>
      <c r="V65" s="199">
        <f>'Staging Table'!BX67*Rates_current!$H$32*-1</f>
        <v>-1092291.84779</v>
      </c>
      <c r="W65" s="199">
        <f>IF('Staging Table'!C67=1,"",SUM(O65:V65))</f>
        <v>17030759.404569998</v>
      </c>
      <c r="X65" s="199">
        <f>IF('Staging Table'!C67=1,"",(RT1SC!$C$4*'Staging Table'!BS67*'Staging Table'!$BS$2))</f>
        <v>547611.82781997602</v>
      </c>
      <c r="Y65" s="297">
        <f>IF('Staging Table'!C67=1,"",IF(X65=0, 0, W65/X65))</f>
        <v>31.100057630911426</v>
      </c>
      <c r="Z65" s="76">
        <f ca="1">IF('Staging Table'!C67=1,"",(Y65/N65-1)+(RAND()/100000000000))</f>
        <v>-2.6715285308534412E-2</v>
      </c>
      <c r="AA65" s="53">
        <f t="shared" ca="1" si="0"/>
        <v>88</v>
      </c>
      <c r="AD65" s="204"/>
      <c r="AE65" s="204"/>
      <c r="AG65" s="204"/>
      <c r="AH65" s="204"/>
    </row>
    <row r="66" spans="2:34">
      <c r="B66" s="123">
        <v>10186</v>
      </c>
      <c r="C66" s="124" t="s">
        <v>69</v>
      </c>
      <c r="D66" s="199">
        <f>IF(Init!$R$9="Yes",'Staging Table'!F68,'Staging Table'!BS68)*Rates_previous!$E$76*100*12</f>
        <v>6461922.4175154632</v>
      </c>
      <c r="E66" s="199">
        <f>IF(Init!$R$9="Yes",'Staging Table'!F68,'Staging Table'!BS68)*Rates_previous!$E$77*100*12</f>
        <v>-1066878.8964768343</v>
      </c>
      <c r="F66" s="200"/>
      <c r="G66" s="200">
        <f>IF(Init!$R$9="Yes",SUMPRODUCT('Staging Table'!AJ68:AU68,LS_Demand_Rates_Restatement!$C$10:$N$10),SUMPRODUCT(LS_Demand_Rates_Restatement!$C$10:$N$10,'Staging Table'!CW68:DH68))*1000</f>
        <v>307984.13907045947</v>
      </c>
      <c r="H66" s="201"/>
      <c r="I66" s="199">
        <v>0</v>
      </c>
      <c r="J66" s="201">
        <f>IF(Init!$R$9="Yes",IF('Staging Table'!D68=1,'Staging Table'!H68*-1*'Staging Table'!F68/'Staging Table'!E68,'Staging Table'!H68*SUM(D66:I66)*(-1)),IF('Staging Table'!D68=1,'Staging Table'!BU68*-1*'Staging Table'!BS68/'Staging Table'!BR68,'Staging Table'!BU68*SUM(D66:I66)*(-1)))</f>
        <v>-399211.93620763626</v>
      </c>
      <c r="K66" s="199">
        <f>IF(Init!$R$9="Yes",'Staging Table'!K68,'Staging Table'!BX68)*(-1)*Rates_previous!$H$32</f>
        <v>0</v>
      </c>
      <c r="L66" s="199">
        <f>IF('Staging Table'!C68=1,"",SUM(D66:K66))</f>
        <v>5303815.7239014525</v>
      </c>
      <c r="M66" s="199">
        <f>IF('Staging Table'!C68=1,"",IF(Init!$R$9="Yes",(RT1SC!$C$3*'Staging Table'!F68*'Staging Table'!$F$2),X66))</f>
        <v>159009.70634186402</v>
      </c>
      <c r="N66" s="297">
        <f>IF('Staging Table'!C68=1,"",IF(M66=0, 0, L66/M66))</f>
        <v>33.355295383657129</v>
      </c>
      <c r="O66" s="199">
        <f>'Staging Table'!BS68*Rates_current!$E$76*100*12</f>
        <v>6223852.1836799998</v>
      </c>
      <c r="P66" s="199">
        <f>'Staging Table'!BS68*Rates_current!$E$77*100*12</f>
        <v>-1093768.5398399998</v>
      </c>
      <c r="Q66" s="200"/>
      <c r="R66" s="200">
        <f>SUMPRODUCT('Staging Table'!CW68:DH68, LS_Demand_Rates_Restatement!$C$11:$N$11)*1000</f>
        <v>304818.56167275651</v>
      </c>
      <c r="S66" s="201"/>
      <c r="T66" s="201">
        <v>0</v>
      </c>
      <c r="U66" s="201">
        <f>IF('Staging Table'!D68=1, 'Staging Table'!BU68*-1*'Staging Table'!BS68/'Staging Table'!BR68,SUM(O66:T66)*'Staging Table'!BU68*-1)</f>
        <v>-380443.15438589297</v>
      </c>
      <c r="V66" s="199">
        <f>'Staging Table'!BX68*Rates_current!$H$32*-1</f>
        <v>0</v>
      </c>
      <c r="W66" s="199">
        <f>IF('Staging Table'!C68=1,"",SUM(O66:V66))</f>
        <v>5054459.0511268638</v>
      </c>
      <c r="X66" s="199">
        <f>IF('Staging Table'!C68=1,"",(RT1SC!$C$4*'Staging Table'!BS68*'Staging Table'!$BS$2))</f>
        <v>155012.22404294397</v>
      </c>
      <c r="Y66" s="297">
        <f>IF('Staging Table'!C68=1,"",IF(X66=0, 0, W66/X66))</f>
        <v>32.606841701249294</v>
      </c>
      <c r="Z66" s="76">
        <f ca="1">IF('Staging Table'!C68=1,"",(Y66/N66-1)+(RAND()/100000000000))</f>
        <v>-2.243882639309247E-2</v>
      </c>
      <c r="AA66" s="53">
        <f t="shared" ca="1" si="0"/>
        <v>26</v>
      </c>
      <c r="AD66" s="204"/>
      <c r="AE66" s="204"/>
      <c r="AG66" s="204"/>
      <c r="AH66" s="204"/>
    </row>
    <row r="67" spans="2:34">
      <c r="B67" s="123">
        <v>10190</v>
      </c>
      <c r="C67" s="124" t="s">
        <v>70</v>
      </c>
      <c r="D67" s="199">
        <f>IF(Init!$R$9="Yes",'Staging Table'!F69,'Staging Table'!BS69)*Rates_previous!$E$76*100*12</f>
        <v>1762843.898580723</v>
      </c>
      <c r="E67" s="199">
        <f>IF(Init!$R$9="Yes",'Staging Table'!F69,'Staging Table'!BS69)*Rates_previous!$E$77*100*12</f>
        <v>-291049.75758929743</v>
      </c>
      <c r="F67" s="200"/>
      <c r="G67" s="200">
        <f>IF(Init!$R$9="Yes",SUMPRODUCT('Staging Table'!AJ69:AU69,LS_Demand_Rates_Restatement!$C$10:$N$10),SUMPRODUCT(LS_Demand_Rates_Restatement!$C$10:$N$10,'Staging Table'!CW69:DH69))*1000</f>
        <v>168706.46791476142</v>
      </c>
      <c r="H67" s="201"/>
      <c r="I67" s="199">
        <v>0</v>
      </c>
      <c r="J67" s="201">
        <f>IF(Init!$R$9="Yes",IF('Staging Table'!D69=1,'Staging Table'!H69*-1*'Staging Table'!F69/'Staging Table'!E69,'Staging Table'!H69*SUM(D67:I67)*(-1)),IF('Staging Table'!D69=1,'Staging Table'!BU69*-1*'Staging Table'!BS69/'Staging Table'!BR69,'Staging Table'!BU69*SUM(D67:I67)*(-1)))</f>
        <v>0</v>
      </c>
      <c r="K67" s="199">
        <f>IF(Init!$R$9="Yes",'Staging Table'!K69,'Staging Table'!BX69)*(-1)*Rates_previous!$H$32</f>
        <v>0</v>
      </c>
      <c r="L67" s="199">
        <f>IF('Staging Table'!C69=1,"",SUM(D67:K67))</f>
        <v>1640500.6089061871</v>
      </c>
      <c r="M67" s="199">
        <f>IF('Staging Table'!C69=1,"",IF(Init!$R$9="Yes",(RT1SC!$C$3*'Staging Table'!F69*'Staging Table'!$F$2),X67))</f>
        <v>43378.622107884003</v>
      </c>
      <c r="N67" s="297">
        <f>IF('Staging Table'!C69=1,"",IF(M67=0, 0, L67/M67))</f>
        <v>37.818181610891429</v>
      </c>
      <c r="O67" s="199">
        <f>'Staging Table'!BS69*Rates_current!$E$76*100*12</f>
        <v>1831233.4855200001</v>
      </c>
      <c r="P67" s="199">
        <f>'Staging Table'!BS69*Rates_current!$E$77*100*12</f>
        <v>-321817.66476000001</v>
      </c>
      <c r="Q67" s="200"/>
      <c r="R67" s="200">
        <f>SUMPRODUCT('Staging Table'!CW69:DH69, LS_Demand_Rates_Restatement!$C$11:$N$11)*1000</f>
        <v>166826.35745763886</v>
      </c>
      <c r="S67" s="201"/>
      <c r="T67" s="201">
        <v>0</v>
      </c>
      <c r="U67" s="201">
        <f>IF('Staging Table'!D69=1, 'Staging Table'!BU69*-1*'Staging Table'!BS69/'Staging Table'!BR69,SUM(O67:T67)*'Staging Table'!BU69*-1)</f>
        <v>0</v>
      </c>
      <c r="V67" s="199">
        <f>'Staging Table'!BX69*Rates_current!$H$32*-1</f>
        <v>0</v>
      </c>
      <c r="W67" s="199">
        <f>IF('Staging Table'!C69=1,"",SUM(O67:V67))</f>
        <v>1676242.178217639</v>
      </c>
      <c r="X67" s="199">
        <f>IF('Staging Table'!C69=1,"",(RT1SC!$C$4*'Staging Table'!BS69*'Staging Table'!$BS$2))</f>
        <v>45608.984107415999</v>
      </c>
      <c r="Y67" s="297">
        <f>IF('Staging Table'!C69=1,"",IF(X67=0, 0, W67/X67))</f>
        <v>36.752455925565833</v>
      </c>
      <c r="Z67" s="76">
        <f ca="1">IF('Staging Table'!C69=1,"",(Y67/N67-1)+(RAND()/100000000000))</f>
        <v>-2.8180246631747955E-2</v>
      </c>
      <c r="AA67" s="53">
        <f t="shared" ca="1" si="0"/>
        <v>99</v>
      </c>
      <c r="AD67" s="204"/>
      <c r="AE67" s="204"/>
      <c r="AG67" s="204"/>
      <c r="AH67" s="204"/>
    </row>
    <row r="68" spans="2:34">
      <c r="B68" s="123">
        <v>10191</v>
      </c>
      <c r="C68" s="124" t="s">
        <v>71</v>
      </c>
      <c r="D68" s="199">
        <f>IF(Init!$R$9="Yes",'Staging Table'!F70,'Staging Table'!BS70)*Rates_previous!$E$76*100*12</f>
        <v>44559110.977456689</v>
      </c>
      <c r="E68" s="199">
        <f>IF(Init!$R$9="Yes",'Staging Table'!F70,'Staging Table'!BS70)*Rates_previous!$E$77*100*12</f>
        <v>-7356816.14170417</v>
      </c>
      <c r="F68" s="200"/>
      <c r="G68" s="200">
        <f>IF(Init!$R$9="Yes",SUMPRODUCT('Staging Table'!AJ70:AU70,LS_Demand_Rates_Restatement!$C$10:$N$10),SUMPRODUCT(LS_Demand_Rates_Restatement!$C$10:$N$10,'Staging Table'!CW70:DH70))*1000</f>
        <v>1374023.6409377933</v>
      </c>
      <c r="H68" s="201"/>
      <c r="I68" s="199">
        <v>0</v>
      </c>
      <c r="J68" s="201">
        <f>IF(Init!$R$9="Yes",IF('Staging Table'!D70=1,'Staging Table'!H70*-1*'Staging Table'!F70/'Staging Table'!E70,'Staging Table'!H70*SUM(D68:I68)*(-1)),IF('Staging Table'!D70=1,'Staging Table'!BU70*-1*'Staging Table'!BS70/'Staging Table'!BR70,'Staging Table'!BU70*SUM(D68:I68)*(-1)))</f>
        <v>0</v>
      </c>
      <c r="K68" s="199">
        <f>IF(Init!$R$9="Yes",'Staging Table'!K70,'Staging Table'!BX70)*(-1)*Rates_previous!$H$32</f>
        <v>0</v>
      </c>
      <c r="L68" s="199">
        <f>IF('Staging Table'!C70=1,"",SUM(D68:K68))</f>
        <v>38576318.476690307</v>
      </c>
      <c r="M68" s="199">
        <f>IF('Staging Table'!C70=1,"",IF(Init!$R$9="Yes",(RT1SC!$C$3*'Staging Table'!F70*'Staging Table'!$F$2),X68))</f>
        <v>1096474.19043204</v>
      </c>
      <c r="N68" s="297">
        <f>IF('Staging Table'!C70=1,"",IF(M68=0, 0, L68/M68))</f>
        <v>35.182149122443285</v>
      </c>
      <c r="O68" s="199">
        <f>'Staging Table'!BS70*Rates_current!$E$76*100*12</f>
        <v>42486809.063040003</v>
      </c>
      <c r="P68" s="199">
        <f>'Staging Table'!BS70*Rates_current!$E$77*100*12</f>
        <v>-7466555.0755199995</v>
      </c>
      <c r="Q68" s="200"/>
      <c r="R68" s="200">
        <f>SUMPRODUCT('Staging Table'!CW70:DH70, LS_Demand_Rates_Restatement!$C$11:$N$11)*1000</f>
        <v>1393634.2342493585</v>
      </c>
      <c r="S68" s="201"/>
      <c r="T68" s="201">
        <v>0</v>
      </c>
      <c r="U68" s="201">
        <f>IF('Staging Table'!D70=1, 'Staging Table'!BU70*-1*'Staging Table'!BS70/'Staging Table'!BR70,SUM(O68:T68)*'Staging Table'!BU70*-1)</f>
        <v>0</v>
      </c>
      <c r="V68" s="199">
        <f>'Staging Table'!BX70*Rates_current!$H$32*-1</f>
        <v>0</v>
      </c>
      <c r="W68" s="199">
        <f>IF('Staging Table'!C70=1,"",SUM(O68:V68))</f>
        <v>36413888.221769363</v>
      </c>
      <c r="X68" s="199">
        <f>IF('Staging Table'!C70=1,"",(RT1SC!$C$4*'Staging Table'!BS70*'Staging Table'!$BS$2))</f>
        <v>1058183.0305384318</v>
      </c>
      <c r="Y68" s="297">
        <f>IF('Staging Table'!C70=1,"",IF(X68=0, 0, W68/X68))</f>
        <v>34.41171061233235</v>
      </c>
      <c r="Z68" s="76">
        <f ca="1">IF('Staging Table'!C70=1,"",(Y68/N68-1)+(RAND()/100000000000))</f>
        <v>-2.1898563026615046E-2</v>
      </c>
      <c r="AA68" s="53">
        <f t="shared" ref="AA68:AA131" ca="1" si="1">IF(Z68="","",RANK(Z68,$Z$4:$Z$138))</f>
        <v>22</v>
      </c>
      <c r="AD68" s="204"/>
      <c r="AE68" s="204"/>
      <c r="AG68" s="204"/>
      <c r="AH68" s="204"/>
    </row>
    <row r="69" spans="2:34">
      <c r="B69" s="123">
        <v>10197</v>
      </c>
      <c r="C69" s="124" t="s">
        <v>72</v>
      </c>
      <c r="D69" s="199">
        <f>IF(Init!$R$9="Yes",'Staging Table'!F71,'Staging Table'!BS71)*Rates_previous!$E$76*100*12</f>
        <v>7726440.9697146397</v>
      </c>
      <c r="E69" s="199">
        <f>IF(Init!$R$9="Yes",'Staging Table'!F71,'Staging Table'!BS71)*Rates_previous!$E$77*100*12</f>
        <v>-1275653.9436497856</v>
      </c>
      <c r="F69" s="200"/>
      <c r="G69" s="200">
        <f>IF(Init!$R$9="Yes",SUMPRODUCT('Staging Table'!AJ71:AU71,LS_Demand_Rates_Restatement!$C$10:$N$10),SUMPRODUCT(LS_Demand_Rates_Restatement!$C$10:$N$10,'Staging Table'!CW71:DH71))*1000</f>
        <v>372861.23926466348</v>
      </c>
      <c r="H69" s="201"/>
      <c r="I69" s="199">
        <v>0</v>
      </c>
      <c r="J69" s="201">
        <f>IF(Init!$R$9="Yes",IF('Staging Table'!D71=1,'Staging Table'!H71*-1*'Staging Table'!F71/'Staging Table'!E71,'Staging Table'!H71*SUM(D69:I69)*(-1)),IF('Staging Table'!D71=1,'Staging Table'!BU71*-1*'Staging Table'!BS71/'Staging Table'!BR71,'Staging Table'!BU71*SUM(D69:I69)*(-1)))</f>
        <v>-586970.22378364508</v>
      </c>
      <c r="K69" s="199">
        <f>IF(Init!$R$9="Yes",'Staging Table'!K71,'Staging Table'!BX71)*(-1)*Rates_previous!$H$32</f>
        <v>-1088901.3344999999</v>
      </c>
      <c r="L69" s="199">
        <f>IF('Staging Table'!C71=1,"",SUM(D69:K69))</f>
        <v>5147776.7070458727</v>
      </c>
      <c r="M69" s="199">
        <f>IF('Staging Table'!C71=1,"",IF(Init!$R$9="Yes",(RT1SC!$C$3*'Staging Table'!F71*'Staging Table'!$F$2),X69))</f>
        <v>190125.94554399603</v>
      </c>
      <c r="N69" s="297">
        <f>IF('Staging Table'!C71=1,"",IF(M69=0, 0, L69/M69))</f>
        <v>27.075613969029035</v>
      </c>
      <c r="O69" s="199">
        <f>'Staging Table'!BS71*Rates_current!$E$76*100*12</f>
        <v>8024693.8197599994</v>
      </c>
      <c r="P69" s="199">
        <f>'Staging Table'!BS71*Rates_current!$E$77*100*12</f>
        <v>-1410245.19588</v>
      </c>
      <c r="Q69" s="200"/>
      <c r="R69" s="200">
        <f>SUMPRODUCT('Staging Table'!CW71:DH71, LS_Demand_Rates_Restatement!$C$11:$N$11)*1000</f>
        <v>389328.45674254815</v>
      </c>
      <c r="S69" s="201"/>
      <c r="T69" s="201">
        <v>0</v>
      </c>
      <c r="U69" s="201">
        <f>IF('Staging Table'!D71=1, 'Staging Table'!BU71*-1*'Staging Table'!BS71/'Staging Table'!BR71,SUM(O69:T69)*'Staging Table'!BU71*-1)</f>
        <v>-608321.73418052588</v>
      </c>
      <c r="V69" s="199">
        <f>'Staging Table'!BX71*Rates_current!$H$32*-1</f>
        <v>-1155833.8018499999</v>
      </c>
      <c r="W69" s="199">
        <f>IF('Staging Table'!C71=1,"",SUM(O69:V69))</f>
        <v>5239621.544592021</v>
      </c>
      <c r="X69" s="199">
        <f>IF('Staging Table'!C71=1,"",(RT1SC!$C$4*'Staging Table'!BS71*'Staging Table'!$BS$2))</f>
        <v>199864.26405280796</v>
      </c>
      <c r="Y69" s="297">
        <f>IF('Staging Table'!C71=1,"",IF(X69=0, 0, W69/X69))</f>
        <v>26.215899922997803</v>
      </c>
      <c r="Z69" s="76">
        <f ca="1">IF('Staging Table'!C71=1,"",(Y69/N69-1)+(RAND()/100000000000))</f>
        <v>-3.1752337984837738E-2</v>
      </c>
      <c r="AA69" s="53">
        <f t="shared" ca="1" si="1"/>
        <v>112</v>
      </c>
      <c r="AD69" s="204"/>
      <c r="AE69" s="204"/>
      <c r="AG69" s="204"/>
      <c r="AH69" s="204"/>
    </row>
    <row r="70" spans="2:34">
      <c r="B70" s="123">
        <v>10202</v>
      </c>
      <c r="C70" s="124" t="s">
        <v>73</v>
      </c>
      <c r="D70" s="199">
        <f>IF(Init!$R$9="Yes",'Staging Table'!F72,'Staging Table'!BS72)*Rates_previous!$E$76*100*12</f>
        <v>4448237.175183489</v>
      </c>
      <c r="E70" s="199">
        <f>IF(Init!$R$9="Yes",'Staging Table'!F72,'Staging Table'!BS72)*Rates_previous!$E$77*100*12</f>
        <v>-734414.63114186889</v>
      </c>
      <c r="F70" s="200"/>
      <c r="G70" s="200">
        <f>IF(Init!$R$9="Yes",SUMPRODUCT('Staging Table'!AJ72:AU72,LS_Demand_Rates_Restatement!$C$10:$N$10),SUMPRODUCT(LS_Demand_Rates_Restatement!$C$10:$N$10,'Staging Table'!CW72:DH72))*1000</f>
        <v>199531.09317061969</v>
      </c>
      <c r="H70" s="201"/>
      <c r="I70" s="199">
        <v>0</v>
      </c>
      <c r="J70" s="201">
        <f>IF(Init!$R$9="Yes",IF('Staging Table'!D72=1,'Staging Table'!H72*-1*'Staging Table'!F72/'Staging Table'!E72,'Staging Table'!H72*SUM(D70:I70)*(-1)),IF('Staging Table'!D72=1,'Staging Table'!BU72*-1*'Staging Table'!BS72/'Staging Table'!BR72,'Staging Table'!BU72*SUM(D70:I70)*(-1)))</f>
        <v>0</v>
      </c>
      <c r="K70" s="199">
        <f>IF(Init!$R$9="Yes",'Staging Table'!K72,'Staging Table'!BX72)*(-1)*Rates_previous!$H$32</f>
        <v>0</v>
      </c>
      <c r="L70" s="199">
        <f>IF('Staging Table'!C72=1,"",SUM(D70:K70))</f>
        <v>3913353.6372122397</v>
      </c>
      <c r="M70" s="199">
        <f>IF('Staging Table'!C72=1,"",IF(Init!$R$9="Yes",(RT1SC!$C$3*'Staging Table'!F72*'Staging Table'!$F$2),X70))</f>
        <v>109458.58542771601</v>
      </c>
      <c r="N70" s="297">
        <f>IF('Staging Table'!C72=1,"",IF(M70=0, 0, L70/M70))</f>
        <v>35.751911299790464</v>
      </c>
      <c r="O70" s="199">
        <f>'Staging Table'!BS72*Rates_current!$E$76*100*12</f>
        <v>4619810.2283999994</v>
      </c>
      <c r="P70" s="199">
        <f>'Staging Table'!BS72*Rates_current!$E$77*100*12</f>
        <v>-811877.10420000006</v>
      </c>
      <c r="Q70" s="200"/>
      <c r="R70" s="200">
        <f>SUMPRODUCT('Staging Table'!CW72:DH72, LS_Demand_Rates_Restatement!$C$11:$N$11)*1000</f>
        <v>195936.06707251613</v>
      </c>
      <c r="S70" s="201"/>
      <c r="T70" s="201">
        <v>0</v>
      </c>
      <c r="U70" s="201">
        <f>IF('Staging Table'!D72=1, 'Staging Table'!BU72*-1*'Staging Table'!BS72/'Staging Table'!BR72,SUM(O70:T70)*'Staging Table'!BU72*-1)</f>
        <v>0</v>
      </c>
      <c r="V70" s="199">
        <f>'Staging Table'!BX72*Rates_current!$H$32*-1</f>
        <v>0</v>
      </c>
      <c r="W70" s="199">
        <f>IF('Staging Table'!C72=1,"",SUM(O70:V70))</f>
        <v>4003869.1912725158</v>
      </c>
      <c r="X70" s="199">
        <f>IF('Staging Table'!C72=1,"",(RT1SC!$C$4*'Staging Table'!BS72*'Staging Table'!$BS$2))</f>
        <v>115061.70728772</v>
      </c>
      <c r="Y70" s="297">
        <f>IF('Staging Table'!C72=1,"",IF(X70=0, 0, W70/X70))</f>
        <v>34.797581972780534</v>
      </c>
      <c r="Z70" s="76">
        <f ca="1">IF('Staging Table'!C72=1,"",(Y70/N70-1)+(RAND()/100000000000))</f>
        <v>-2.6693099532919672E-2</v>
      </c>
      <c r="AA70" s="53">
        <f t="shared" ca="1" si="1"/>
        <v>86</v>
      </c>
      <c r="AD70" s="204"/>
      <c r="AE70" s="204"/>
      <c r="AG70" s="204"/>
      <c r="AH70" s="204"/>
    </row>
    <row r="71" spans="2:34">
      <c r="B71" s="123">
        <v>10203</v>
      </c>
      <c r="C71" s="124" t="s">
        <v>74</v>
      </c>
      <c r="D71" s="199">
        <f>IF(Init!$R$9="Yes",'Staging Table'!F73,'Staging Table'!BS73)*Rates_previous!$E$76*100*12</f>
        <v>2110088.8945193551</v>
      </c>
      <c r="E71" s="199">
        <f>IF(Init!$R$9="Yes",'Staging Table'!F73,'Staging Table'!BS73)*Rates_previous!$E$77*100*12</f>
        <v>-348380.73963110161</v>
      </c>
      <c r="F71" s="200"/>
      <c r="G71" s="200">
        <f>IF(Init!$R$9="Yes",SUMPRODUCT('Staging Table'!AJ73:AU73,LS_Demand_Rates_Restatement!$C$10:$N$10),SUMPRODUCT(LS_Demand_Rates_Restatement!$C$10:$N$10,'Staging Table'!CW73:DH73))*1000</f>
        <v>115223.23175194985</v>
      </c>
      <c r="H71" s="201"/>
      <c r="I71" s="199">
        <v>0</v>
      </c>
      <c r="J71" s="201">
        <f>IF(Init!$R$9="Yes",IF('Staging Table'!D73=1,'Staging Table'!H73*-1*'Staging Table'!F73/'Staging Table'!E73,'Staging Table'!H73*SUM(D71:I71)*(-1)),IF('Staging Table'!D73=1,'Staging Table'!BU73*-1*'Staging Table'!BS73/'Staging Table'!BR73,'Staging Table'!BU73*SUM(D71:I71)*(-1)))</f>
        <v>-143491.40450864355</v>
      </c>
      <c r="K71" s="199">
        <f>IF(Init!$R$9="Yes",'Staging Table'!K73,'Staging Table'!BX73)*(-1)*Rates_previous!$H$32</f>
        <v>0</v>
      </c>
      <c r="L71" s="199">
        <f>IF('Staging Table'!C73=1,"",SUM(D71:K71))</f>
        <v>1733439.9821315599</v>
      </c>
      <c r="M71" s="199">
        <f>IF('Staging Table'!C73=1,"",IF(Init!$R$9="Yes",(RT1SC!$C$3*'Staging Table'!F73*'Staging Table'!$F$2),X71))</f>
        <v>51923.343208715996</v>
      </c>
      <c r="N71" s="297">
        <f>IF('Staging Table'!C73=1,"",IF(M71=0, 0, L71/M71))</f>
        <v>33.384598814518938</v>
      </c>
      <c r="O71" s="199">
        <f>'Staging Table'!BS73*Rates_current!$E$76*100*12</f>
        <v>2191202.5219200002</v>
      </c>
      <c r="P71" s="199">
        <f>'Staging Table'!BS73*Rates_current!$E$77*100*12</f>
        <v>-385077.97295999998</v>
      </c>
      <c r="Q71" s="200"/>
      <c r="R71" s="200">
        <f>SUMPRODUCT('Staging Table'!CW73:DH73, LS_Demand_Rates_Restatement!$C$11:$N$11)*1000</f>
        <v>115010.53484511218</v>
      </c>
      <c r="S71" s="201"/>
      <c r="T71" s="201">
        <v>0</v>
      </c>
      <c r="U71" s="201">
        <f>IF('Staging Table'!D73=1, 'Staging Table'!BU73*-1*'Staging Table'!BS73/'Staging Table'!BR73,SUM(O71:T71)*'Staging Table'!BU73*-1)</f>
        <v>-145648.1987002611</v>
      </c>
      <c r="V71" s="199">
        <f>'Staging Table'!BX73*Rates_current!$H$32*-1</f>
        <v>0</v>
      </c>
      <c r="W71" s="199">
        <f>IF('Staging Table'!C73=1,"",SUM(O71:V71))</f>
        <v>1775486.8851048513</v>
      </c>
      <c r="X71" s="199">
        <f>IF('Staging Table'!C73=1,"",(RT1SC!$C$4*'Staging Table'!BS73*'Staging Table'!$BS$2))</f>
        <v>54574.428541536006</v>
      </c>
      <c r="Y71" s="297">
        <f>IF('Staging Table'!C73=1,"",IF(X71=0, 0, W71/X71))</f>
        <v>32.53331152617654</v>
      </c>
      <c r="Z71" s="76">
        <f ca="1">IF('Staging Table'!C73=1,"",(Y71/N71-1)+(RAND()/100000000000))</f>
        <v>-2.549940147714868E-2</v>
      </c>
      <c r="AA71" s="53">
        <f t="shared" ca="1" si="1"/>
        <v>71</v>
      </c>
      <c r="AD71" s="204"/>
      <c r="AE71" s="204"/>
      <c r="AG71" s="204"/>
      <c r="AH71" s="204"/>
    </row>
    <row r="72" spans="2:34">
      <c r="B72" s="123">
        <v>10204</v>
      </c>
      <c r="C72" s="124" t="s">
        <v>75</v>
      </c>
      <c r="D72" s="199">
        <f>IF(Init!$R$9="Yes",'Staging Table'!F74,'Staging Table'!BS74)*Rates_previous!$E$76*100*12</f>
        <v>13852149.654974604</v>
      </c>
      <c r="E72" s="199">
        <f>IF(Init!$R$9="Yes",'Staging Table'!F74,'Staging Table'!BS74)*Rates_previous!$E$77*100*12</f>
        <v>-2287023.1461883537</v>
      </c>
      <c r="F72" s="200"/>
      <c r="G72" s="200">
        <f>IF(Init!$R$9="Yes",SUMPRODUCT('Staging Table'!AJ74:AU74,LS_Demand_Rates_Restatement!$C$10:$N$10),SUMPRODUCT(LS_Demand_Rates_Restatement!$C$10:$N$10,'Staging Table'!CW74:DH74))*1000</f>
        <v>0</v>
      </c>
      <c r="H72" s="201"/>
      <c r="I72" s="199">
        <v>0</v>
      </c>
      <c r="J72" s="201">
        <f>IF(Init!$R$9="Yes",IF('Staging Table'!D74=1,'Staging Table'!H74*-1*'Staging Table'!F74/'Staging Table'!E74,'Staging Table'!H74*SUM(D72:I72)*(-1)),IF('Staging Table'!D74=1,'Staging Table'!BU74*-1*'Staging Table'!BS74/'Staging Table'!BR74,'Staging Table'!BU74*SUM(D72:I72)*(-1)))</f>
        <v>0</v>
      </c>
      <c r="K72" s="199">
        <f>IF(Init!$R$9="Yes",'Staging Table'!K74,'Staging Table'!BX74)*(-1)*Rates_previous!$H$32</f>
        <v>0</v>
      </c>
      <c r="L72" s="199">
        <f>IF('Staging Table'!C74=1,"",SUM(D72:K72))</f>
        <v>11565126.50878625</v>
      </c>
      <c r="M72" s="199">
        <f>IF('Staging Table'!C74=1,"",IF(Init!$R$9="Yes",(RT1SC!$C$3*'Staging Table'!F74*'Staging Table'!$F$2),X72))</f>
        <v>340862.3791072921</v>
      </c>
      <c r="N72" s="297">
        <f>IF('Staging Table'!C74=1,"",IF(M72=0, 0, L72/M72))</f>
        <v>33.929020090380625</v>
      </c>
      <c r="O72" s="199">
        <f>'Staging Table'!BS74*Rates_current!$E$76*100*12</f>
        <v>14386554.893519998</v>
      </c>
      <c r="P72" s="199">
        <f>'Staging Table'!BS74*Rates_current!$E$77*100*12</f>
        <v>-2528267.1687599993</v>
      </c>
      <c r="Q72" s="200"/>
      <c r="R72" s="200">
        <f>SUMPRODUCT('Staging Table'!CW74:DH74, LS_Demand_Rates_Restatement!$C$11:$N$11)*1000</f>
        <v>0</v>
      </c>
      <c r="S72" s="201"/>
      <c r="T72" s="201">
        <v>0</v>
      </c>
      <c r="U72" s="201">
        <f>IF('Staging Table'!D74=1, 'Staging Table'!BU74*-1*'Staging Table'!BS74/'Staging Table'!BR74,SUM(O72:T72)*'Staging Table'!BU74*-1)</f>
        <v>0</v>
      </c>
      <c r="V72" s="199">
        <f>'Staging Table'!BX74*Rates_current!$H$32*-1</f>
        <v>0</v>
      </c>
      <c r="W72" s="199">
        <f>IF('Staging Table'!C74=1,"",SUM(O72:V72))</f>
        <v>11858287.724759998</v>
      </c>
      <c r="X72" s="199">
        <f>IF('Staging Table'!C74=1,"",(RT1SC!$C$4*'Staging Table'!BS74*'Staging Table'!$BS$2))</f>
        <v>358313.75883381593</v>
      </c>
      <c r="Y72" s="297">
        <f>IF('Staging Table'!C74=1,"",IF(X72=0, 0, W72/X72))</f>
        <v>33.094703824253116</v>
      </c>
      <c r="Z72" s="76">
        <f ca="1">IF('Staging Table'!C74=1,"",(Y72/N72-1)+(RAND()/100000000000))</f>
        <v>-2.4590048980713819E-2</v>
      </c>
      <c r="AA72" s="53">
        <f t="shared" ca="1" si="1"/>
        <v>49</v>
      </c>
      <c r="AD72" s="204"/>
      <c r="AE72" s="204"/>
      <c r="AG72" s="204"/>
      <c r="AH72" s="204"/>
    </row>
    <row r="73" spans="2:34">
      <c r="B73" s="123">
        <v>10209</v>
      </c>
      <c r="C73" s="124" t="s">
        <v>76</v>
      </c>
      <c r="D73" s="199">
        <f>IF(Init!$R$9="Yes",'Staging Table'!F75,'Staging Table'!BS75)*Rates_previous!$E$76*100*12</f>
        <v>35618991.192517318</v>
      </c>
      <c r="E73" s="199">
        <f>IF(Init!$R$9="Yes",'Staging Table'!F75,'Staging Table'!BS75)*Rates_previous!$E$77*100*12</f>
        <v>-5880780.9134455649</v>
      </c>
      <c r="F73" s="200"/>
      <c r="G73" s="200">
        <f>IF(Init!$R$9="Yes",SUMPRODUCT('Staging Table'!AJ75:AU75,LS_Demand_Rates_Restatement!$C$10:$N$10),SUMPRODUCT(LS_Demand_Rates_Restatement!$C$10:$N$10,'Staging Table'!CW75:DH75))*1000</f>
        <v>2701640.5093732448</v>
      </c>
      <c r="H73" s="201"/>
      <c r="I73" s="199">
        <v>0</v>
      </c>
      <c r="J73" s="201">
        <f>IF(Init!$R$9="Yes",IF('Staging Table'!D75=1,'Staging Table'!H75*-1*'Staging Table'!F75/'Staging Table'!E75,'Staging Table'!H75*SUM(D73:I73)*(-1)),IF('Staging Table'!D75=1,'Staging Table'!BU75*-1*'Staging Table'!BS75/'Staging Table'!BR75,'Staging Table'!BU75*SUM(D73:I73)*(-1)))</f>
        <v>-2672394.9079520986</v>
      </c>
      <c r="K73" s="199">
        <f>IF(Init!$R$9="Yes",'Staging Table'!K75,'Staging Table'!BX75)*(-1)*Rates_previous!$H$32</f>
        <v>-655228.44090000005</v>
      </c>
      <c r="L73" s="199">
        <f>IF('Staging Table'!C75=1,"",SUM(D73:K73))</f>
        <v>29112227.439592894</v>
      </c>
      <c r="M73" s="199">
        <f>IF('Staging Table'!C75=1,"",IF(Init!$R$9="Yes",(RT1SC!$C$3*'Staging Table'!F75*'Staging Table'!$F$2),X73))</f>
        <v>876483.02838852012</v>
      </c>
      <c r="N73" s="297">
        <f>IF('Staging Table'!C75=1,"",IF(M73=0, 0, L73/M73))</f>
        <v>33.214821618529122</v>
      </c>
      <c r="O73" s="199">
        <f>'Staging Table'!BS75*Rates_current!$E$76*100*12</f>
        <v>36993108.606479995</v>
      </c>
      <c r="P73" s="199">
        <f>'Staging Table'!BS75*Rates_current!$E$77*100*12</f>
        <v>-6501102.0812400002</v>
      </c>
      <c r="Q73" s="200"/>
      <c r="R73" s="200">
        <f>SUMPRODUCT('Staging Table'!CW75:DH75, LS_Demand_Rates_Restatement!$C$11:$N$11)*1000</f>
        <v>2665414.0181708862</v>
      </c>
      <c r="S73" s="201"/>
      <c r="T73" s="201">
        <v>0</v>
      </c>
      <c r="U73" s="201">
        <f>IF('Staging Table'!D75=1, 'Staging Table'!BU75*-1*'Staging Table'!BS75/'Staging Table'!BR75,SUM(O73:T73)*'Staging Table'!BU75*-1)</f>
        <v>-2830010.6584960753</v>
      </c>
      <c r="V73" s="199">
        <f>'Staging Table'!BX75*Rates_current!$H$32*-1</f>
        <v>-695503.95056999999</v>
      </c>
      <c r="W73" s="199">
        <f>IF('Staging Table'!C75=1,"",SUM(O73:V73))</f>
        <v>29631905.93434481</v>
      </c>
      <c r="X73" s="199">
        <f>IF('Staging Table'!C75=1,"",(RT1SC!$C$4*'Staging Table'!BS75*'Staging Table'!$BS$2))</f>
        <v>921356.07821618393</v>
      </c>
      <c r="Y73" s="297">
        <f>IF('Staging Table'!C75=1,"",IF(X73=0, 0, W73/X73))</f>
        <v>32.161187878322195</v>
      </c>
      <c r="Z73" s="76">
        <f ca="1">IF('Staging Table'!C75=1,"",(Y73/N73-1)+(RAND()/100000000000))</f>
        <v>-3.1721794330483818E-2</v>
      </c>
      <c r="AA73" s="53">
        <f t="shared" ca="1" si="1"/>
        <v>111</v>
      </c>
      <c r="AD73" s="204"/>
      <c r="AE73" s="204"/>
      <c r="AG73" s="204"/>
      <c r="AH73" s="204"/>
    </row>
    <row r="74" spans="2:34">
      <c r="B74" s="123">
        <v>10230</v>
      </c>
      <c r="C74" s="124" t="s">
        <v>77</v>
      </c>
      <c r="D74" s="199">
        <f>IF(Init!$R$9="Yes",'Staging Table'!F76,'Staging Table'!BS76)*Rates_previous!$E$76*100*12</f>
        <v>3294750.69005585</v>
      </c>
      <c r="E74" s="199">
        <f>IF(Init!$R$9="Yes",'Staging Table'!F76,'Staging Table'!BS76)*Rates_previous!$E$77*100*12</f>
        <v>-543971.24466322362</v>
      </c>
      <c r="F74" s="200"/>
      <c r="G74" s="200">
        <f>IF(Init!$R$9="Yes",SUMPRODUCT('Staging Table'!AJ76:AU76,LS_Demand_Rates_Restatement!$C$10:$N$10),SUMPRODUCT(LS_Demand_Rates_Restatement!$C$10:$N$10,'Staging Table'!CW76:DH76))*1000</f>
        <v>355899.79847023688</v>
      </c>
      <c r="H74" s="201"/>
      <c r="I74" s="199">
        <v>0</v>
      </c>
      <c r="J74" s="201">
        <f>IF(Init!$R$9="Yes",IF('Staging Table'!D76=1,'Staging Table'!H76*-1*'Staging Table'!F76/'Staging Table'!E76,'Staging Table'!H76*SUM(D74:I74)*(-1)),IF('Staging Table'!D76=1,'Staging Table'!BU76*-1*'Staging Table'!BS76/'Staging Table'!BR76,'Staging Table'!BU76*SUM(D74:I74)*(-1)))</f>
        <v>-288796.90250949177</v>
      </c>
      <c r="K74" s="199">
        <f>IF(Init!$R$9="Yes",'Staging Table'!K76,'Staging Table'!BX76)*(-1)*Rates_previous!$H$32</f>
        <v>0</v>
      </c>
      <c r="L74" s="199">
        <f>IF('Staging Table'!C76=1,"",SUM(D74:K74))</f>
        <v>2817882.3413533713</v>
      </c>
      <c r="M74" s="199">
        <f>IF('Staging Table'!C76=1,"",IF(Init!$R$9="Yes",(RT1SC!$C$3*'Staging Table'!F76*'Staging Table'!$F$2),X74))</f>
        <v>81074.532599675993</v>
      </c>
      <c r="N74" s="297">
        <f>IF('Staging Table'!C76=1,"",IF(M74=0, 0, L74/M74))</f>
        <v>34.756689320274077</v>
      </c>
      <c r="O74" s="199">
        <f>'Staging Table'!BS76*Rates_current!$E$76*100*12</f>
        <v>3421823.31072</v>
      </c>
      <c r="P74" s="199">
        <f>'Staging Table'!BS76*Rates_current!$E$77*100*12</f>
        <v>-601345.04735999997</v>
      </c>
      <c r="Q74" s="200"/>
      <c r="R74" s="200">
        <f>SUMPRODUCT('Staging Table'!CW76:DH76, LS_Demand_Rates_Restatement!$C$11:$N$11)*1000</f>
        <v>354014.34128448187</v>
      </c>
      <c r="S74" s="201"/>
      <c r="T74" s="201">
        <v>0</v>
      </c>
      <c r="U74" s="201">
        <f>IF('Staging Table'!D76=1, 'Staging Table'!BU76*-1*'Staging Table'!BS76/'Staging Table'!BR76,SUM(O74:T74)*'Staging Table'!BU76*-1)</f>
        <v>-282589.39217967977</v>
      </c>
      <c r="V74" s="199">
        <f>'Staging Table'!BX76*Rates_current!$H$32*-1</f>
        <v>0</v>
      </c>
      <c r="W74" s="199">
        <f>IF('Staging Table'!C76=1,"",SUM(O74:V74))</f>
        <v>2891903.2124648024</v>
      </c>
      <c r="X74" s="199">
        <f>IF('Staging Table'!C76=1,"",(RT1SC!$C$4*'Staging Table'!BS76*'Staging Table'!$BS$2))</f>
        <v>85224.460032575997</v>
      </c>
      <c r="Y74" s="297">
        <f>IF('Staging Table'!C76=1,"",IF(X74=0, 0, W74/X74))</f>
        <v>33.932784218983706</v>
      </c>
      <c r="Z74" s="76">
        <f ca="1">IF('Staging Table'!C76=1,"",(Y74/N74-1)+(RAND()/100000000000))</f>
        <v>-2.370493614550942E-2</v>
      </c>
      <c r="AA74" s="53">
        <f t="shared" ca="1" si="1"/>
        <v>39</v>
      </c>
      <c r="AD74" s="204"/>
      <c r="AE74" s="204"/>
      <c r="AG74" s="204"/>
      <c r="AH74" s="204"/>
    </row>
    <row r="75" spans="2:34">
      <c r="B75" s="123">
        <v>10231</v>
      </c>
      <c r="C75" s="124" t="s">
        <v>78</v>
      </c>
      <c r="D75" s="199">
        <f>IF(Init!$R$9="Yes",'Staging Table'!F77,'Staging Table'!BS77)*Rates_previous!$E$76*100*12</f>
        <v>12448781.066415986</v>
      </c>
      <c r="E75" s="199">
        <f>IF(Init!$R$9="Yes",'Staging Table'!F77,'Staging Table'!BS77)*Rates_previous!$E$77*100*12</f>
        <v>-2055323.6248426088</v>
      </c>
      <c r="F75" s="200"/>
      <c r="G75" s="200">
        <f>IF(Init!$R$9="Yes",SUMPRODUCT('Staging Table'!AJ77:AU77,LS_Demand_Rates_Restatement!$C$10:$N$10),SUMPRODUCT(LS_Demand_Rates_Restatement!$C$10:$N$10,'Staging Table'!CW77:DH77))*1000</f>
        <v>390820.00950098882</v>
      </c>
      <c r="H75" s="201"/>
      <c r="I75" s="199">
        <v>0</v>
      </c>
      <c r="J75" s="201">
        <f>IF(Init!$R$9="Yes",IF('Staging Table'!D77=1,'Staging Table'!H77*-1*'Staging Table'!F77/'Staging Table'!E77,'Staging Table'!H77*SUM(D75:I75)*(-1)),IF('Staging Table'!D77=1,'Staging Table'!BU77*-1*'Staging Table'!BS77/'Staging Table'!BR77,'Staging Table'!BU77*SUM(D75:I75)*(-1)))</f>
        <v>-972526.14053788641</v>
      </c>
      <c r="K75" s="199">
        <f>IF(Init!$R$9="Yes",'Staging Table'!K77,'Staging Table'!BX77)*(-1)*Rates_previous!$H$32</f>
        <v>-235796.74609999999</v>
      </c>
      <c r="L75" s="199">
        <f>IF('Staging Table'!C77=1,"",SUM(D75:K75))</f>
        <v>9575954.5644364823</v>
      </c>
      <c r="M75" s="199">
        <f>IF('Staging Table'!C77=1,"",IF(Init!$R$9="Yes",(RT1SC!$C$3*'Staging Table'!F77*'Staging Table'!$F$2),X75))</f>
        <v>306329.43167492398</v>
      </c>
      <c r="N75" s="297">
        <f>IF('Staging Table'!C77=1,"",IF(M75=0, 0, L75/M75))</f>
        <v>31.260315119176862</v>
      </c>
      <c r="O75" s="199">
        <f>'Staging Table'!BS77*Rates_current!$E$76*100*12</f>
        <v>12928991.688000001</v>
      </c>
      <c r="P75" s="199">
        <f>'Staging Table'!BS77*Rates_current!$E$77*100*12</f>
        <v>-2272117.6439999999</v>
      </c>
      <c r="Q75" s="200"/>
      <c r="R75" s="200">
        <f>SUMPRODUCT('Staging Table'!CW77:DH77, LS_Demand_Rates_Restatement!$C$11:$N$11)*1000</f>
        <v>401204.94348141062</v>
      </c>
      <c r="S75" s="201"/>
      <c r="T75" s="201">
        <v>0</v>
      </c>
      <c r="U75" s="201">
        <f>IF('Staging Table'!D77=1, 'Staging Table'!BU77*-1*'Staging Table'!BS77/'Staging Table'!BR77,SUM(O75:T75)*'Staging Table'!BU77*-1)</f>
        <v>-1201037.8705517335</v>
      </c>
      <c r="V75" s="199">
        <f>'Staging Table'!BX77*Rates_current!$H$32*-1</f>
        <v>-250290.67452999999</v>
      </c>
      <c r="W75" s="199">
        <f>IF('Staging Table'!C77=1,"",SUM(O75:V75))</f>
        <v>9606750.4423996788</v>
      </c>
      <c r="X75" s="199">
        <f>IF('Staging Table'!C77=1,"",(RT1SC!$C$4*'Staging Table'!BS77*'Staging Table'!$BS$2))</f>
        <v>322011.46445040003</v>
      </c>
      <c r="Y75" s="297">
        <f>IF('Staging Table'!C77=1,"",IF(X75=0, 0, W75/X75))</f>
        <v>29.833566512286158</v>
      </c>
      <c r="Z75" s="76">
        <f ca="1">IF('Staging Table'!C77=1,"",(Y75/N75-1)+(RAND()/100000000000))</f>
        <v>-4.5640890098940033E-2</v>
      </c>
      <c r="AA75" s="53">
        <f t="shared" ca="1" si="1"/>
        <v>118</v>
      </c>
      <c r="AD75" s="204"/>
      <c r="AE75" s="204"/>
      <c r="AG75" s="204"/>
      <c r="AH75" s="204"/>
    </row>
    <row r="76" spans="2:34">
      <c r="B76" s="123">
        <v>10234</v>
      </c>
      <c r="C76" s="124" t="s">
        <v>79</v>
      </c>
      <c r="D76" s="199">
        <f>IF(Init!$R$9="Yes",'Staging Table'!F78,'Staging Table'!BS78)*Rates_previous!$E$76*100*12</f>
        <v>17318364.552279156</v>
      </c>
      <c r="E76" s="199">
        <f>IF(Init!$R$9="Yes",'Staging Table'!F78,'Staging Table'!BS78)*Rates_previous!$E$77*100*12</f>
        <v>-2859303.5428957003</v>
      </c>
      <c r="F76" s="200"/>
      <c r="G76" s="200">
        <f>IF(Init!$R$9="Yes",SUMPRODUCT('Staging Table'!AJ78:AU78,LS_Demand_Rates_Restatement!$C$10:$N$10),SUMPRODUCT(LS_Demand_Rates_Restatement!$C$10:$N$10,'Staging Table'!CW78:DH78))*1000</f>
        <v>1823282.4659983884</v>
      </c>
      <c r="H76" s="201"/>
      <c r="I76" s="199">
        <v>0</v>
      </c>
      <c r="J76" s="201">
        <f>IF(Init!$R$9="Yes",IF('Staging Table'!D78=1,'Staging Table'!H78*-1*'Staging Table'!F78/'Staging Table'!E78,'Staging Table'!H78*SUM(D76:I76)*(-1)),IF('Staging Table'!D78=1,'Staging Table'!BU78*-1*'Staging Table'!BS78/'Staging Table'!BR78,'Staging Table'!BU78*SUM(D76:I76)*(-1)))</f>
        <v>0</v>
      </c>
      <c r="K76" s="199">
        <f>IF(Init!$R$9="Yes",'Staging Table'!K78,'Staging Table'!BX78)*(-1)*Rates_previous!$H$32</f>
        <v>0</v>
      </c>
      <c r="L76" s="199">
        <f>IF('Staging Table'!C78=1,"",SUM(D76:K76))</f>
        <v>16282343.475381844</v>
      </c>
      <c r="M76" s="199">
        <f>IF('Staging Table'!C78=1,"",IF(Init!$R$9="Yes",(RT1SC!$C$3*'Staging Table'!F78*'Staging Table'!$F$2),X76))</f>
        <v>426156.16280302801</v>
      </c>
      <c r="N76" s="297">
        <f>IF('Staging Table'!C78=1,"",IF(M76=0, 0, L76/M76))</f>
        <v>38.207457492308151</v>
      </c>
      <c r="O76" s="199">
        <f>'Staging Table'!BS78*Rates_current!$E$76*100*12</f>
        <v>17986494.371040002</v>
      </c>
      <c r="P76" s="199">
        <f>'Staging Table'!BS78*Rates_current!$E$77*100*12</f>
        <v>-3160914.0295200003</v>
      </c>
      <c r="Q76" s="200"/>
      <c r="R76" s="200">
        <f>SUMPRODUCT('Staging Table'!CW78:DH78, LS_Demand_Rates_Restatement!$C$11:$N$11)*1000</f>
        <v>1848351.691703392</v>
      </c>
      <c r="S76" s="201"/>
      <c r="T76" s="201">
        <v>0</v>
      </c>
      <c r="U76" s="201">
        <f>IF('Staging Table'!D78=1, 'Staging Table'!BU78*-1*'Staging Table'!BS78/'Staging Table'!BR78,SUM(O76:T76)*'Staging Table'!BU78*-1)</f>
        <v>0</v>
      </c>
      <c r="V76" s="199">
        <f>'Staging Table'!BX78*Rates_current!$H$32*-1</f>
        <v>0</v>
      </c>
      <c r="W76" s="199">
        <f>IF('Staging Table'!C78=1,"",SUM(O76:V76))</f>
        <v>16673932.033223392</v>
      </c>
      <c r="X76" s="199">
        <f>IF('Staging Table'!C78=1,"",(RT1SC!$C$4*'Staging Table'!BS78*'Staging Table'!$BS$2))</f>
        <v>447974.40763483202</v>
      </c>
      <c r="Y76" s="297">
        <f>IF('Staging Table'!C78=1,"",IF(X76=0, 0, W76/X76))</f>
        <v>37.220724552674021</v>
      </c>
      <c r="Z76" s="76">
        <f ca="1">IF('Staging Table'!C78=1,"",(Y76/N76-1)+(RAND()/100000000000))</f>
        <v>-2.5825663477527801E-2</v>
      </c>
      <c r="AA76" s="53">
        <f t="shared" ca="1" si="1"/>
        <v>75</v>
      </c>
      <c r="AD76" s="204"/>
      <c r="AE76" s="204"/>
      <c r="AG76" s="204"/>
      <c r="AH76" s="204"/>
    </row>
    <row r="77" spans="2:34">
      <c r="B77" s="123">
        <v>10235</v>
      </c>
      <c r="C77" s="124" t="s">
        <v>80</v>
      </c>
      <c r="D77" s="199">
        <f>IF(Init!$R$9="Yes",'Staging Table'!F79,'Staging Table'!BS79)*Rates_previous!$E$76*100*12</f>
        <v>10920471.426141882</v>
      </c>
      <c r="E77" s="199">
        <f>IF(Init!$R$9="Yes",'Staging Table'!F79,'Staging Table'!BS79)*Rates_previous!$E$77*100*12</f>
        <v>-1802996.0360633146</v>
      </c>
      <c r="F77" s="200"/>
      <c r="G77" s="200">
        <f>IF(Init!$R$9="Yes",SUMPRODUCT('Staging Table'!AJ79:AU79,LS_Demand_Rates_Restatement!$C$10:$N$10),SUMPRODUCT(LS_Demand_Rates_Restatement!$C$10:$N$10,'Staging Table'!CW79:DH79))*1000</f>
        <v>494103.42468241649</v>
      </c>
      <c r="H77" s="201"/>
      <c r="I77" s="199">
        <v>0</v>
      </c>
      <c r="J77" s="201">
        <f>IF(Init!$R$9="Yes",IF('Staging Table'!D79=1,'Staging Table'!H79*-1*'Staging Table'!F79/'Staging Table'!E79,'Staging Table'!H79*SUM(D77:I77)*(-1)),IF('Staging Table'!D79=1,'Staging Table'!BU79*-1*'Staging Table'!BS79/'Staging Table'!BR79,'Staging Table'!BU79*SUM(D77:I77)*(-1)))</f>
        <v>0</v>
      </c>
      <c r="K77" s="199">
        <f>IF(Init!$R$9="Yes",'Staging Table'!K79,'Staging Table'!BX79)*(-1)*Rates_previous!$H$32</f>
        <v>0</v>
      </c>
      <c r="L77" s="199">
        <f>IF('Staging Table'!C79=1,"",SUM(D77:K77))</f>
        <v>9611578.814760983</v>
      </c>
      <c r="M77" s="199">
        <f>IF('Staging Table'!C79=1,"",IF(Init!$R$9="Yes",(RT1SC!$C$3*'Staging Table'!F79*'Staging Table'!$F$2),X77))</f>
        <v>268722.03694039205</v>
      </c>
      <c r="N77" s="297">
        <f>IF('Staging Table'!C79=1,"",IF(M77=0, 0, L77/M77))</f>
        <v>35.76773577707371</v>
      </c>
      <c r="O77" s="199">
        <f>'Staging Table'!BS79*Rates_current!$E$76*100*12</f>
        <v>10663802.45064</v>
      </c>
      <c r="P77" s="199">
        <f>'Staging Table'!BS79*Rates_current!$E$77*100*12</f>
        <v>-1874037.3793200001</v>
      </c>
      <c r="Q77" s="200"/>
      <c r="R77" s="200">
        <f>SUMPRODUCT('Staging Table'!CW79:DH79, LS_Demand_Rates_Restatement!$C$11:$N$11)*1000</f>
        <v>499216.11016645317</v>
      </c>
      <c r="S77" s="201"/>
      <c r="T77" s="201">
        <v>0</v>
      </c>
      <c r="U77" s="201">
        <f>IF('Staging Table'!D79=1, 'Staging Table'!BU79*-1*'Staging Table'!BS79/'Staging Table'!BR79,SUM(O77:T77)*'Staging Table'!BU79*-1)</f>
        <v>0</v>
      </c>
      <c r="V77" s="199">
        <f>'Staging Table'!BX79*Rates_current!$H$32*-1</f>
        <v>0</v>
      </c>
      <c r="W77" s="199">
        <f>IF('Staging Table'!C79=1,"",SUM(O77:V77))</f>
        <v>9288981.1814864539</v>
      </c>
      <c r="X77" s="199">
        <f>IF('Staging Table'!C79=1,"",(RT1SC!$C$4*'Staging Table'!BS79*'Staging Table'!$BS$2))</f>
        <v>265594.31134351197</v>
      </c>
      <c r="Y77" s="297">
        <f>IF('Staging Table'!C79=1,"",IF(X77=0, 0, W77/X77))</f>
        <v>34.974322810221473</v>
      </c>
      <c r="Z77" s="76">
        <f ca="1">IF('Staging Table'!C79=1,"",(Y77/N77-1)+(RAND()/100000000000))</f>
        <v>-2.2182364895645731E-2</v>
      </c>
      <c r="AA77" s="53">
        <f t="shared" ca="1" si="1"/>
        <v>23</v>
      </c>
      <c r="AD77" s="204"/>
      <c r="AE77" s="204"/>
      <c r="AG77" s="204"/>
      <c r="AH77" s="204"/>
    </row>
    <row r="78" spans="2:34">
      <c r="B78" s="123">
        <v>10236</v>
      </c>
      <c r="C78" s="124" t="s">
        <v>81</v>
      </c>
      <c r="D78" s="199">
        <f>IF(Init!$R$9="Yes",'Staging Table'!F80,'Staging Table'!BS80)*Rates_previous!$E$76*100*12</f>
        <v>9747080.7043685876</v>
      </c>
      <c r="E78" s="199">
        <f>IF(Init!$R$9="Yes",'Staging Table'!F80,'Staging Table'!BS80)*Rates_previous!$E$77*100*12</f>
        <v>-1609266.4123543729</v>
      </c>
      <c r="F78" s="200"/>
      <c r="G78" s="200">
        <f>IF(Init!$R$9="Yes",SUMPRODUCT('Staging Table'!AJ80:AU80,LS_Demand_Rates_Restatement!$C$10:$N$10),SUMPRODUCT(LS_Demand_Rates_Restatement!$C$10:$N$10,'Staging Table'!CW80:DH80))*1000</f>
        <v>0</v>
      </c>
      <c r="H78" s="201"/>
      <c r="I78" s="199">
        <v>0</v>
      </c>
      <c r="J78" s="201">
        <f>IF(Init!$R$9="Yes",IF('Staging Table'!D80=1,'Staging Table'!H80*-1*'Staging Table'!F80/'Staging Table'!E80,'Staging Table'!H80*SUM(D78:I78)*(-1)),IF('Staging Table'!D80=1,'Staging Table'!BU80*-1*'Staging Table'!BS80/'Staging Table'!BR80,'Staging Table'!BU80*SUM(D78:I78)*(-1)))</f>
        <v>-528957.92898092396</v>
      </c>
      <c r="K78" s="199">
        <f>IF(Init!$R$9="Yes",'Staging Table'!K80,'Staging Table'!BX80)*(-1)*Rates_previous!$H$32</f>
        <v>0</v>
      </c>
      <c r="L78" s="199" t="str">
        <f>IF('Staging Table'!C80=1,"",SUM(D78:K78))</f>
        <v/>
      </c>
      <c r="M78" s="199" t="str">
        <f>IF('Staging Table'!C80=1,"",IF(Init!$R$9="Yes",(RT1SC!$C$3*'Staging Table'!F80*'Staging Table'!$F$2),X78))</f>
        <v/>
      </c>
      <c r="N78" s="297" t="str">
        <f>IF('Staging Table'!C80=1,"",IF(M78=0, 0, L78/M78))</f>
        <v/>
      </c>
      <c r="O78" s="199">
        <f>'Staging Table'!BS80*Rates_current!$E$76*100*12</f>
        <v>9901016.8524000011</v>
      </c>
      <c r="P78" s="199">
        <f>'Staging Table'!BS80*Rates_current!$E$77*100*12</f>
        <v>-1739986.8161999998</v>
      </c>
      <c r="Q78" s="200"/>
      <c r="R78" s="200">
        <f>SUMPRODUCT('Staging Table'!CW80:DH80, LS_Demand_Rates_Restatement!$C$11:$N$11)*1000</f>
        <v>0</v>
      </c>
      <c r="S78" s="201"/>
      <c r="T78" s="201">
        <v>0</v>
      </c>
      <c r="U78" s="201">
        <f>IF('Staging Table'!D80=1, 'Staging Table'!BU80*-1*'Staging Table'!BS80/'Staging Table'!BR80,SUM(O78:T78)*'Staging Table'!BU80*-1)</f>
        <v>-530466.95235300018</v>
      </c>
      <c r="V78" s="199">
        <f>'Staging Table'!BX80*Rates_current!$H$32*-1</f>
        <v>0</v>
      </c>
      <c r="W78" s="199" t="str">
        <f>IF('Staging Table'!C80=1,"",SUM(O78:V78))</f>
        <v/>
      </c>
      <c r="X78" s="199" t="str">
        <f>IF('Staging Table'!C80=1,"",(RT1SC!$C$4*'Staging Table'!BS80*'Staging Table'!$BS$2))</f>
        <v/>
      </c>
      <c r="Y78" s="297" t="str">
        <f>IF('Staging Table'!C80=1,"",IF(X78=0, 0, W78/X78))</f>
        <v/>
      </c>
      <c r="Z78" s="76" t="str">
        <f ca="1">IF('Staging Table'!C80=1,"",(Y78/N78-1)+(RAND()/100000000000))</f>
        <v/>
      </c>
      <c r="AA78" s="53" t="str">
        <f t="shared" ca="1" si="1"/>
        <v/>
      </c>
      <c r="AD78" s="204"/>
      <c r="AE78" s="204"/>
      <c r="AG78" s="204"/>
      <c r="AH78" s="204"/>
    </row>
    <row r="79" spans="2:34">
      <c r="B79" s="123">
        <v>10237</v>
      </c>
      <c r="C79" s="124" t="s">
        <v>82</v>
      </c>
      <c r="D79" s="199">
        <f>IF(Init!$R$9="Yes",'Staging Table'!F81,'Staging Table'!BS81)*Rates_previous!$E$76*100*12</f>
        <v>15588374.634667765</v>
      </c>
      <c r="E79" s="199">
        <f>IF(Init!$R$9="Yes",'Staging Table'!F81,'Staging Table'!BS81)*Rates_previous!$E$77*100*12</f>
        <v>-2573678.0563973747</v>
      </c>
      <c r="F79" s="200"/>
      <c r="G79" s="200">
        <f>IF(Init!$R$9="Yes",SUMPRODUCT('Staging Table'!AJ81:AU81,LS_Demand_Rates_Restatement!$C$10:$N$10),SUMPRODUCT(LS_Demand_Rates_Restatement!$C$10:$N$10,'Staging Table'!CW81:DH81))*1000</f>
        <v>0</v>
      </c>
      <c r="H79" s="201"/>
      <c r="I79" s="199">
        <v>0</v>
      </c>
      <c r="J79" s="201">
        <f>IF(Init!$R$9="Yes",IF('Staging Table'!D81=1,'Staging Table'!H81*-1*'Staging Table'!F81/'Staging Table'!E81,'Staging Table'!H81*SUM(D79:I79)*(-1)),IF('Staging Table'!D81=1,'Staging Table'!BU81*-1*'Staging Table'!BS81/'Staging Table'!BR81,'Staging Table'!BU81*SUM(D79:I79)*(-1)))</f>
        <v>-726511.47773065674</v>
      </c>
      <c r="K79" s="199">
        <f>IF(Init!$R$9="Yes",'Staging Table'!K81,'Staging Table'!BX81)*(-1)*Rates_previous!$H$32</f>
        <v>0</v>
      </c>
      <c r="L79" s="199">
        <f>IF('Staging Table'!C81=1,"",SUM(D79:K79))</f>
        <v>12288185.100539735</v>
      </c>
      <c r="M79" s="199">
        <f>IF('Staging Table'!C81=1,"",IF(Init!$R$9="Yes",(RT1SC!$C$3*'Staging Table'!F81*'Staging Table'!$F$2),X79))</f>
        <v>383585.98461145203</v>
      </c>
      <c r="N79" s="297">
        <f>IF('Staging Table'!C81=1,"",IF(M79=0, 0, L79/M79))</f>
        <v>32.035021073532903</v>
      </c>
      <c r="O79" s="199">
        <f>'Staging Table'!BS81*Rates_current!$E$76*100*12</f>
        <v>16189638.551280001</v>
      </c>
      <c r="P79" s="199">
        <f>'Staging Table'!BS81*Rates_current!$E$77*100*12</f>
        <v>-2845137.8336399999</v>
      </c>
      <c r="Q79" s="200"/>
      <c r="R79" s="200">
        <f>SUMPRODUCT('Staging Table'!CW81:DH81, LS_Demand_Rates_Restatement!$C$11:$N$11)*1000</f>
        <v>0</v>
      </c>
      <c r="S79" s="201"/>
      <c r="T79" s="201">
        <v>0</v>
      </c>
      <c r="U79" s="201">
        <f>IF('Staging Table'!D81=1, 'Staging Table'!BU81*-1*'Staging Table'!BS81/'Staging Table'!BR81,SUM(O79:T79)*'Staging Table'!BU81*-1)</f>
        <v>-726508.38110261655</v>
      </c>
      <c r="V79" s="199">
        <f>'Staging Table'!BX81*Rates_current!$H$32*-1</f>
        <v>0</v>
      </c>
      <c r="W79" s="199">
        <f>IF('Staging Table'!C81=1,"",SUM(O79:V79))</f>
        <v>12617992.336537385</v>
      </c>
      <c r="X79" s="199">
        <f>IF('Staging Table'!C81=1,"",(RT1SC!$C$4*'Staging Table'!BS81*'Staging Table'!$BS$2))</f>
        <v>403221.63898202399</v>
      </c>
      <c r="Y79" s="297">
        <f>IF('Staging Table'!C81=1,"",IF(X79=0, 0, W79/X79))</f>
        <v>31.292944417350348</v>
      </c>
      <c r="Z79" s="76">
        <f ca="1">IF('Staging Table'!C81=1,"",(Y79/N79-1)+(RAND()/100000000000))</f>
        <v>-2.3164544027355977E-2</v>
      </c>
      <c r="AA79" s="53">
        <f t="shared" ca="1" si="1"/>
        <v>32</v>
      </c>
      <c r="AD79" s="204"/>
      <c r="AE79" s="204"/>
      <c r="AG79" s="204"/>
      <c r="AH79" s="204"/>
    </row>
    <row r="80" spans="2:34">
      <c r="B80" s="123">
        <v>10239</v>
      </c>
      <c r="C80" s="124" t="s">
        <v>83</v>
      </c>
      <c r="D80" s="199">
        <f>IF(Init!$R$9="Yes",'Staging Table'!F82,'Staging Table'!BS82)*Rates_previous!$E$76*100*12</f>
        <v>4754234.8373504058</v>
      </c>
      <c r="E80" s="199">
        <f>IF(Init!$R$9="Yes",'Staging Table'!F82,'Staging Table'!BS82)*Rates_previous!$E$77*100*12</f>
        <v>-784935.57940522663</v>
      </c>
      <c r="F80" s="200"/>
      <c r="G80" s="200">
        <f>IF(Init!$R$9="Yes",SUMPRODUCT('Staging Table'!AJ82:AU82,LS_Demand_Rates_Restatement!$C$10:$N$10),SUMPRODUCT(LS_Demand_Rates_Restatement!$C$10:$N$10,'Staging Table'!CW82:DH82))*1000</f>
        <v>0</v>
      </c>
      <c r="H80" s="201"/>
      <c r="I80" s="199">
        <v>0</v>
      </c>
      <c r="J80" s="201">
        <f>IF(Init!$R$9="Yes",IF('Staging Table'!D82=1,'Staging Table'!H82*-1*'Staging Table'!F82/'Staging Table'!E82,'Staging Table'!H82*SUM(D80:I80)*(-1)),IF('Staging Table'!D82=1,'Staging Table'!BU82*-1*'Staging Table'!BS82/'Staging Table'!BR82,'Staging Table'!BU82*SUM(D80:I80)*(-1)))</f>
        <v>-304921.56899534864</v>
      </c>
      <c r="K80" s="199">
        <f>IF(Init!$R$9="Yes",'Staging Table'!K82,'Staging Table'!BX82)*(-1)*Rates_previous!$H$32</f>
        <v>0</v>
      </c>
      <c r="L80" s="199" t="str">
        <f>IF('Staging Table'!C82=1,"",SUM(D80:K80))</f>
        <v/>
      </c>
      <c r="M80" s="199" t="str">
        <f>IF('Staging Table'!C82=1,"",IF(Init!$R$9="Yes",(RT1SC!$C$3*'Staging Table'!F82*'Staging Table'!$F$2),X80))</f>
        <v/>
      </c>
      <c r="N80" s="297" t="str">
        <f>IF('Staging Table'!C82=1,"",IF(M80=0, 0, L80/M80))</f>
        <v/>
      </c>
      <c r="O80" s="199">
        <f>'Staging Table'!BS82*Rates_current!$E$76*100*12</f>
        <v>4937679.0799200013</v>
      </c>
      <c r="P80" s="199">
        <f>'Staging Table'!BS82*Rates_current!$E$77*100*12</f>
        <v>-867738.80196000007</v>
      </c>
      <c r="Q80" s="200"/>
      <c r="R80" s="200">
        <f>SUMPRODUCT('Staging Table'!CW82:DH82, LS_Demand_Rates_Restatement!$C$11:$N$11)*1000</f>
        <v>0</v>
      </c>
      <c r="S80" s="201"/>
      <c r="T80" s="201">
        <v>0</v>
      </c>
      <c r="U80" s="201">
        <f>IF('Staging Table'!D82=1, 'Staging Table'!BU82*-1*'Staging Table'!BS82/'Staging Table'!BR82,SUM(O80:T80)*'Staging Table'!BU82*-1)</f>
        <v>-307056.64427069237</v>
      </c>
      <c r="V80" s="199">
        <f>'Staging Table'!BX82*Rates_current!$H$32*-1</f>
        <v>0</v>
      </c>
      <c r="W80" s="199" t="str">
        <f>IF('Staging Table'!C82=1,"",SUM(O80:V80))</f>
        <v/>
      </c>
      <c r="X80" s="199" t="str">
        <f>IF('Staging Table'!C82=1,"",(RT1SC!$C$4*'Staging Table'!BS82*'Staging Table'!$BS$2))</f>
        <v/>
      </c>
      <c r="Y80" s="297" t="str">
        <f>IF('Staging Table'!C82=1,"",IF(X80=0, 0, W80/X80))</f>
        <v/>
      </c>
      <c r="Z80" s="76" t="str">
        <f ca="1">IF('Staging Table'!C82=1,"",(Y80/N80-1)+(RAND()/100000000000))</f>
        <v/>
      </c>
      <c r="AA80" s="53" t="str">
        <f t="shared" ca="1" si="1"/>
        <v/>
      </c>
      <c r="AD80" s="204"/>
      <c r="AE80" s="204"/>
      <c r="AG80" s="204"/>
      <c r="AH80" s="204"/>
    </row>
    <row r="81" spans="2:34">
      <c r="B81" s="123">
        <v>10242</v>
      </c>
      <c r="C81" s="124" t="s">
        <v>84</v>
      </c>
      <c r="D81" s="199">
        <f>IF(Init!$R$9="Yes",'Staging Table'!F83,'Staging Table'!BS83)*Rates_previous!$E$76*100*12</f>
        <v>3234798.1700388212</v>
      </c>
      <c r="E81" s="199">
        <f>IF(Init!$R$9="Yes",'Staging Table'!F83,'Staging Table'!BS83)*Rates_previous!$E$77*100*12</f>
        <v>-534072.93975269119</v>
      </c>
      <c r="F81" s="200"/>
      <c r="G81" s="200">
        <f>IF(Init!$R$9="Yes",SUMPRODUCT('Staging Table'!AJ83:AU83,LS_Demand_Rates_Restatement!$C$10:$N$10),SUMPRODUCT(LS_Demand_Rates_Restatement!$C$10:$N$10,'Staging Table'!CW83:DH83))*1000</f>
        <v>217051.21972686963</v>
      </c>
      <c r="H81" s="201"/>
      <c r="I81" s="199">
        <v>0</v>
      </c>
      <c r="J81" s="201">
        <f>IF(Init!$R$9="Yes",IF('Staging Table'!D83=1,'Staging Table'!H83*-1*'Staging Table'!F83/'Staging Table'!E83,'Staging Table'!H83*SUM(D81:I81)*(-1)),IF('Staging Table'!D83=1,'Staging Table'!BU83*-1*'Staging Table'!BS83/'Staging Table'!BR83,'Staging Table'!BU83*SUM(D81:I81)*(-1)))</f>
        <v>-216615.7236489651</v>
      </c>
      <c r="K81" s="199">
        <f>IF(Init!$R$9="Yes",'Staging Table'!K83,'Staging Table'!BX83)*(-1)*Rates_previous!$H$32</f>
        <v>-409391.94459999999</v>
      </c>
      <c r="L81" s="199">
        <f>IF('Staging Table'!C83=1,"",SUM(D81:K81))</f>
        <v>2291768.7817640346</v>
      </c>
      <c r="M81" s="199">
        <f>IF('Staging Table'!C83=1,"",IF(Init!$R$9="Yes",(RT1SC!$C$3*'Staging Table'!F83*'Staging Table'!$F$2),X81))</f>
        <v>79599.269978676006</v>
      </c>
      <c r="N81" s="297">
        <f>IF('Staging Table'!C83=1,"",IF(M81=0, 0, L81/M81))</f>
        <v>28.791329146334895</v>
      </c>
      <c r="O81" s="199">
        <f>'Staging Table'!BS83*Rates_current!$E$76*100*12</f>
        <v>3359544.9307200001</v>
      </c>
      <c r="P81" s="199">
        <f>'Staging Table'!BS83*Rates_current!$E$77*100*12</f>
        <v>-590400.35736000002</v>
      </c>
      <c r="Q81" s="200"/>
      <c r="R81" s="200">
        <f>SUMPRODUCT('Staging Table'!CW83:DH83, LS_Demand_Rates_Restatement!$C$11:$N$11)*1000</f>
        <v>227184.58315184285</v>
      </c>
      <c r="S81" s="201"/>
      <c r="T81" s="201">
        <v>0</v>
      </c>
      <c r="U81" s="201">
        <f>IF('Staging Table'!D83=1, 'Staging Table'!BU83*-1*'Staging Table'!BS83/'Staging Table'!BR83,SUM(O81:T81)*'Staging Table'!BU83*-1)</f>
        <v>-248868.94729411457</v>
      </c>
      <c r="V81" s="199">
        <f>'Staging Table'!BX83*Rates_current!$H$32*-1</f>
        <v>-434556.40358000004</v>
      </c>
      <c r="W81" s="199">
        <f>IF('Staging Table'!C83=1,"",SUM(O81:V81))</f>
        <v>2312903.805637728</v>
      </c>
      <c r="X81" s="199">
        <f>IF('Staging Table'!C83=1,"",(RT1SC!$C$4*'Staging Table'!BS83*'Staging Table'!$BS$2))</f>
        <v>83673.345078575992</v>
      </c>
      <c r="Y81" s="297">
        <f>IF('Staging Table'!C83=1,"",IF(X81=0, 0, W81/X81))</f>
        <v>27.642062158094976</v>
      </c>
      <c r="Z81" s="76">
        <f ca="1">IF('Staging Table'!C83=1,"",(Y81/N81-1)+(RAND()/100000000000))</f>
        <v>-3.991712165808952E-2</v>
      </c>
      <c r="AA81" s="53">
        <f t="shared" ca="1" si="1"/>
        <v>116</v>
      </c>
      <c r="AD81" s="204"/>
      <c r="AE81" s="204"/>
      <c r="AG81" s="204"/>
      <c r="AH81" s="204"/>
    </row>
    <row r="82" spans="2:34">
      <c r="B82" s="123">
        <v>10244</v>
      </c>
      <c r="C82" s="124" t="s">
        <v>85</v>
      </c>
      <c r="D82" s="199">
        <f>IF(Init!$R$9="Yes",'Staging Table'!F84,'Staging Table'!BS84)*Rates_previous!$E$76*100*12</f>
        <v>29216781.484938815</v>
      </c>
      <c r="E82" s="199">
        <f>IF(Init!$R$9="Yes",'Staging Table'!F84,'Staging Table'!BS84)*Rates_previous!$E$77*100*12</f>
        <v>-4823760.7286596205</v>
      </c>
      <c r="F82" s="200"/>
      <c r="G82" s="200">
        <f>IF(Init!$R$9="Yes",SUMPRODUCT('Staging Table'!AJ84:AU84,LS_Demand_Rates_Restatement!$C$10:$N$10),SUMPRODUCT(LS_Demand_Rates_Restatement!$C$10:$N$10,'Staging Table'!CW84:DH84))*1000</f>
        <v>2060264.3952961538</v>
      </c>
      <c r="H82" s="201"/>
      <c r="I82" s="199">
        <v>0</v>
      </c>
      <c r="J82" s="201">
        <f>IF(Init!$R$9="Yes",IF('Staging Table'!D84=1,'Staging Table'!H84*-1*'Staging Table'!F84/'Staging Table'!E84,'Staging Table'!H84*SUM(D82:I82)*(-1)),IF('Staging Table'!D84=1,'Staging Table'!BU84*-1*'Staging Table'!BS84/'Staging Table'!BR84,'Staging Table'!BU84*SUM(D82:I82)*(-1)))</f>
        <v>-1898023.209625531</v>
      </c>
      <c r="K82" s="199">
        <f>IF(Init!$R$9="Yes",'Staging Table'!K84,'Staging Table'!BX84)*(-1)*Rates_previous!$H$32</f>
        <v>0</v>
      </c>
      <c r="L82" s="199">
        <f>IF('Staging Table'!C84=1,"",SUM(D82:K82))</f>
        <v>24555261.941949815</v>
      </c>
      <c r="M82" s="199">
        <f>IF('Staging Table'!C84=1,"",IF(Init!$R$9="Yes",(RT1SC!$C$3*'Staging Table'!F84*'Staging Table'!$F$2),X82))</f>
        <v>718942.68361717195</v>
      </c>
      <c r="N82" s="297">
        <f>IF('Staging Table'!C84=1,"",IF(M82=0, 0, L82/M82))</f>
        <v>34.154686460409387</v>
      </c>
      <c r="O82" s="199">
        <f>'Staging Table'!BS84*Rates_current!$E$76*100*12</f>
        <v>30344268.757679999</v>
      </c>
      <c r="P82" s="199">
        <f>'Staging Table'!BS84*Rates_current!$E$77*100*12</f>
        <v>-5332646.9768399997</v>
      </c>
      <c r="Q82" s="200"/>
      <c r="R82" s="200">
        <f>SUMPRODUCT('Staging Table'!CW84:DH84, LS_Demand_Rates_Restatement!$C$11:$N$11)*1000</f>
        <v>2007273.9301954329</v>
      </c>
      <c r="S82" s="201"/>
      <c r="T82" s="201">
        <v>0</v>
      </c>
      <c r="U82" s="201">
        <f>IF('Staging Table'!D84=1, 'Staging Table'!BU84*-1*'Staging Table'!BS84/'Staging Table'!BR84,SUM(O82:T82)*'Staging Table'!BU84*-1)</f>
        <v>-1883528.3648094651</v>
      </c>
      <c r="V82" s="199">
        <f>'Staging Table'!BX84*Rates_current!$H$32*-1</f>
        <v>0</v>
      </c>
      <c r="W82" s="199">
        <f>IF('Staging Table'!C84=1,"",SUM(O82:V82))</f>
        <v>25135367.346225966</v>
      </c>
      <c r="X82" s="199">
        <f>IF('Staging Table'!C84=1,"",(RT1SC!$C$4*'Staging Table'!BS84*'Staging Table'!$BS$2))</f>
        <v>755759.04572714388</v>
      </c>
      <c r="Y82" s="297">
        <f>IF('Staging Table'!C84=1,"",IF(X82=0, 0, W82/X82))</f>
        <v>33.258440621166891</v>
      </c>
      <c r="Z82" s="76">
        <f ca="1">IF('Staging Table'!C84=1,"",(Y82/N82-1)+(RAND()/100000000000))</f>
        <v>-2.624078660945656E-2</v>
      </c>
      <c r="AA82" s="53">
        <f t="shared" ca="1" si="1"/>
        <v>81</v>
      </c>
      <c r="AD82" s="204"/>
      <c r="AE82" s="204"/>
      <c r="AG82" s="204"/>
      <c r="AH82" s="204"/>
    </row>
    <row r="83" spans="2:34">
      <c r="B83" s="123">
        <v>10246</v>
      </c>
      <c r="C83" s="124" t="s">
        <v>86</v>
      </c>
      <c r="D83" s="199">
        <f>IF(Init!$R$9="Yes",'Staging Table'!F85,'Staging Table'!BS85)*Rates_previous!$E$76*100*12</f>
        <v>3051823.0789468479</v>
      </c>
      <c r="E83" s="199">
        <f>IF(Init!$R$9="Yes",'Staging Table'!F85,'Staging Table'!BS85)*Rates_previous!$E$77*100*12</f>
        <v>-503863.31316574605</v>
      </c>
      <c r="F83" s="200"/>
      <c r="G83" s="200">
        <f>IF(Init!$R$9="Yes",SUMPRODUCT('Staging Table'!AJ85:AU85,LS_Demand_Rates_Restatement!$C$10:$N$10),SUMPRODUCT(LS_Demand_Rates_Restatement!$C$10:$N$10,'Staging Table'!CW85:DH85))*1000</f>
        <v>269749.74767509795</v>
      </c>
      <c r="H83" s="201"/>
      <c r="I83" s="199">
        <v>0</v>
      </c>
      <c r="J83" s="201">
        <f>IF(Init!$R$9="Yes",IF('Staging Table'!D85=1,'Staging Table'!H85*-1*'Staging Table'!F85/'Staging Table'!E85,'Staging Table'!H85*SUM(D83:I83)*(-1)),IF('Staging Table'!D85=1,'Staging Table'!BU85*-1*'Staging Table'!BS85/'Staging Table'!BR85,'Staging Table'!BU85*SUM(D83:I83)*(-1)))</f>
        <v>-174557.10435861157</v>
      </c>
      <c r="K83" s="199">
        <f>IF(Init!$R$9="Yes",'Staging Table'!K85,'Staging Table'!BX85)*(-1)*Rates_previous!$H$32</f>
        <v>0</v>
      </c>
      <c r="L83" s="199">
        <f>IF('Staging Table'!C85=1,"",SUM(D83:K83))</f>
        <v>2643152.4090975882</v>
      </c>
      <c r="M83" s="199">
        <f>IF('Staging Table'!C85=1,"",IF(Init!$R$9="Yes",(RT1SC!$C$3*'Staging Table'!F85*'Staging Table'!$F$2),X83))</f>
        <v>75096.768459384009</v>
      </c>
      <c r="N83" s="297">
        <f>IF('Staging Table'!C85=1,"",IF(M83=0, 0, L83/M83))</f>
        <v>35.196619818962432</v>
      </c>
      <c r="O83" s="199">
        <f>'Staging Table'!BS85*Rates_current!$E$76*100*12</f>
        <v>3169471.3149600001</v>
      </c>
      <c r="P83" s="199">
        <f>'Staging Table'!BS85*Rates_current!$E$77*100*12</f>
        <v>-556997.1634800001</v>
      </c>
      <c r="Q83" s="200"/>
      <c r="R83" s="200">
        <f>SUMPRODUCT('Staging Table'!CW85:DH85, LS_Demand_Rates_Restatement!$C$11:$N$11)*1000</f>
        <v>261956.15559513896</v>
      </c>
      <c r="S83" s="201"/>
      <c r="T83" s="201">
        <v>0</v>
      </c>
      <c r="U83" s="201">
        <f>IF('Staging Table'!D85=1, 'Staging Table'!BU85*-1*'Staging Table'!BS85/'Staging Table'!BR85,SUM(O83:T83)*'Staging Table'!BU85*-1)</f>
        <v>0</v>
      </c>
      <c r="V83" s="199">
        <f>'Staging Table'!BX85*Rates_current!$H$32*-1</f>
        <v>0</v>
      </c>
      <c r="W83" s="199">
        <f>IF('Staging Table'!C85=1,"",SUM(O83:V83))</f>
        <v>2874430.3070751391</v>
      </c>
      <c r="X83" s="199">
        <f>IF('Staging Table'!C85=1,"",(RT1SC!$C$4*'Staging Table'!BS85*'Staging Table'!$BS$2))</f>
        <v>78939.342238968005</v>
      </c>
      <c r="Y83" s="297">
        <f>IF('Staging Table'!C85=1,"",IF(X83=0, 0, W83/X83))</f>
        <v>36.413152498453314</v>
      </c>
      <c r="Z83" s="76">
        <f ca="1">IF('Staging Table'!C85=1,"",(Y83/N83-1)+(RAND()/100000000000))</f>
        <v>3.4563906588515325E-2</v>
      </c>
      <c r="AA83" s="53">
        <f t="shared" ca="1" si="1"/>
        <v>1</v>
      </c>
      <c r="AD83" s="204"/>
      <c r="AE83" s="204"/>
      <c r="AG83" s="204"/>
      <c r="AH83" s="204"/>
    </row>
    <row r="84" spans="2:34">
      <c r="B84" s="123">
        <v>10247</v>
      </c>
      <c r="C84" s="124" t="s">
        <v>87</v>
      </c>
      <c r="D84" s="199">
        <f>IF(Init!$R$9="Yes",'Staging Table'!F86,'Staging Table'!BS86)*Rates_previous!$E$76*100*12</f>
        <v>27142424.29234961</v>
      </c>
      <c r="E84" s="199">
        <f>IF(Init!$R$9="Yes",'Staging Table'!F86,'Staging Table'!BS86)*Rates_previous!$E$77*100*12</f>
        <v>-4481279.378755196</v>
      </c>
      <c r="F84" s="200"/>
      <c r="G84" s="200">
        <f>IF(Init!$R$9="Yes",SUMPRODUCT('Staging Table'!AJ86:AU86,LS_Demand_Rates_Restatement!$C$10:$N$10),SUMPRODUCT(LS_Demand_Rates_Restatement!$C$10:$N$10,'Staging Table'!CW86:DH86))*1000</f>
        <v>1284938.3948620553</v>
      </c>
      <c r="H84" s="201"/>
      <c r="I84" s="199">
        <v>0</v>
      </c>
      <c r="J84" s="201">
        <f>IF(Init!$R$9="Yes",IF('Staging Table'!D86=1,'Staging Table'!H86*-1*'Staging Table'!F86/'Staging Table'!E86,'Staging Table'!H86*SUM(D84:I84)*(-1)),IF('Staging Table'!D86=1,'Staging Table'!BU86*-1*'Staging Table'!BS86/'Staging Table'!BR86,'Staging Table'!BU86*SUM(D84:I84)*(-1)))</f>
        <v>-1223165.9353959565</v>
      </c>
      <c r="K84" s="199">
        <f>IF(Init!$R$9="Yes",'Staging Table'!K86,'Staging Table'!BX86)*(-1)*Rates_previous!$H$32</f>
        <v>0</v>
      </c>
      <c r="L84" s="199">
        <f>IF('Staging Table'!C86=1,"",SUM(D84:K84))</f>
        <v>22722917.373060513</v>
      </c>
      <c r="M84" s="199">
        <f>IF('Staging Table'!C86=1,"",IF(Init!$R$9="Yes",(RT1SC!$C$3*'Staging Table'!F86*'Staging Table'!$F$2),X84))</f>
        <v>667898.59693057206</v>
      </c>
      <c r="N84" s="297">
        <f>IF('Staging Table'!C86=1,"",IF(M84=0, 0, L84/M84))</f>
        <v>34.02150787183426</v>
      </c>
      <c r="O84" s="199">
        <f>'Staging Table'!BS86*Rates_current!$E$76*100*12</f>
        <v>28189685.923199996</v>
      </c>
      <c r="P84" s="199">
        <f>'Staging Table'!BS86*Rates_current!$E$77*100*12</f>
        <v>-4954004.4815999996</v>
      </c>
      <c r="Q84" s="200"/>
      <c r="R84" s="200">
        <f>SUMPRODUCT('Staging Table'!CW86:DH86, LS_Demand_Rates_Restatement!$C$11:$N$11)*1000</f>
        <v>1331663.0931152778</v>
      </c>
      <c r="S84" s="201"/>
      <c r="T84" s="201">
        <v>0</v>
      </c>
      <c r="U84" s="201">
        <f>IF('Staging Table'!D86=1, 'Staging Table'!BU86*-1*'Staging Table'!BS86/'Staging Table'!BR86,SUM(O84:T84)*'Staging Table'!BU86*-1)</f>
        <v>0</v>
      </c>
      <c r="V84" s="199">
        <f>'Staging Table'!BX86*Rates_current!$H$32*-1</f>
        <v>0</v>
      </c>
      <c r="W84" s="199">
        <f>IF('Staging Table'!C86=1,"",SUM(O84:V84))</f>
        <v>24567344.534715272</v>
      </c>
      <c r="X84" s="199">
        <f>IF('Staging Table'!C86=1,"",(RT1SC!$C$4*'Staging Table'!BS86*'Staging Table'!$BS$2))</f>
        <v>702096.67277855997</v>
      </c>
      <c r="Y84" s="297">
        <f>IF('Staging Table'!C86=1,"",IF(X84=0, 0, W84/X84))</f>
        <v>34.991398602545104</v>
      </c>
      <c r="Z84" s="76">
        <f ca="1">IF('Staging Table'!C86=1,"",(Y84/N84-1)+(RAND()/100000000000))</f>
        <v>2.8508164148162336E-2</v>
      </c>
      <c r="AA84" s="53">
        <f t="shared" ca="1" si="1"/>
        <v>2</v>
      </c>
      <c r="AD84" s="204"/>
      <c r="AE84" s="204"/>
      <c r="AG84" s="204"/>
      <c r="AH84" s="204"/>
    </row>
    <row r="85" spans="2:34">
      <c r="B85" s="123">
        <v>10256</v>
      </c>
      <c r="C85" s="124" t="s">
        <v>88</v>
      </c>
      <c r="D85" s="199">
        <f>IF(Init!$R$9="Yes",'Staging Table'!F87,'Staging Table'!BS87)*Rates_previous!$E$76*100*12</f>
        <v>15873988.440028891</v>
      </c>
      <c r="E85" s="199">
        <f>IF(Init!$R$9="Yes",'Staging Table'!F87,'Staging Table'!BS87)*Rates_previous!$E$77*100*12</f>
        <v>-2620833.5809911513</v>
      </c>
      <c r="F85" s="200"/>
      <c r="G85" s="200">
        <f>IF(Init!$R$9="Yes",SUMPRODUCT('Staging Table'!AJ87:AU87,LS_Demand_Rates_Restatement!$C$10:$N$10),SUMPRODUCT(LS_Demand_Rates_Restatement!$C$10:$N$10,'Staging Table'!CW87:DH87))*1000</f>
        <v>1078120.8919974358</v>
      </c>
      <c r="H85" s="201"/>
      <c r="I85" s="199">
        <v>0</v>
      </c>
      <c r="J85" s="201">
        <f>IF(Init!$R$9="Yes",IF('Staging Table'!D87=1,'Staging Table'!H87*-1*'Staging Table'!F87/'Staging Table'!E87,'Staging Table'!H87*SUM(D85:I85)*(-1)),IF('Staging Table'!D87=1,'Staging Table'!BU87*-1*'Staging Table'!BS87/'Staging Table'!BR87,'Staging Table'!BU87*SUM(D85:I85)*(-1)))</f>
        <v>-985418.52064117871</v>
      </c>
      <c r="K85" s="199">
        <f>IF(Init!$R$9="Yes",'Staging Table'!K87,'Staging Table'!BX87)*(-1)*Rates_previous!$H$32</f>
        <v>-452233.52260000008</v>
      </c>
      <c r="L85" s="199">
        <f>IF('Staging Table'!C87=1,"",SUM(D85:K85))</f>
        <v>12893623.707793998</v>
      </c>
      <c r="M85" s="199">
        <f>IF('Staging Table'!C87=1,"",IF(Init!$R$9="Yes",(RT1SC!$C$3*'Staging Table'!F87*'Staging Table'!$F$2),X85))</f>
        <v>390614.13573789602</v>
      </c>
      <c r="N85" s="297">
        <f>IF('Staging Table'!C87=1,"",IF(M85=0, 0, L85/M85))</f>
        <v>33.008594743856584</v>
      </c>
      <c r="O85" s="199">
        <f>'Staging Table'!BS87*Rates_current!$E$76*100*12</f>
        <v>16486581.867120001</v>
      </c>
      <c r="P85" s="199">
        <f>'Staging Table'!BS87*Rates_current!$E$77*100*12</f>
        <v>-2897322.1155600003</v>
      </c>
      <c r="Q85" s="200"/>
      <c r="R85" s="200">
        <f>SUMPRODUCT('Staging Table'!CW87:DH87, LS_Demand_Rates_Restatement!$C$11:$N$11)*1000</f>
        <v>1041792.2591199522</v>
      </c>
      <c r="S85" s="201"/>
      <c r="T85" s="201">
        <v>0</v>
      </c>
      <c r="U85" s="201">
        <f>IF('Staging Table'!D87=1, 'Staging Table'!BU87*-1*'Staging Table'!BS87/'Staging Table'!BR87,SUM(O85:T85)*'Staging Table'!BU87*-1)</f>
        <v>-1171754.9021191753</v>
      </c>
      <c r="V85" s="199">
        <f>'Staging Table'!BX87*Rates_current!$H$32*-1</f>
        <v>-480031.36298000009</v>
      </c>
      <c r="W85" s="199">
        <f>IF('Staging Table'!C87=1,"",SUM(O85:V85))</f>
        <v>12979265.745580778</v>
      </c>
      <c r="X85" s="199">
        <f>IF('Staging Table'!C87=1,"",(RT1SC!$C$4*'Staging Table'!BS87*'Staging Table'!$BS$2))</f>
        <v>410617.35508269595</v>
      </c>
      <c r="Y85" s="297">
        <f>IF('Staging Table'!C87=1,"",IF(X85=0, 0, W85/X85))</f>
        <v>31.609150429033445</v>
      </c>
      <c r="Z85" s="76">
        <f ca="1">IF('Staging Table'!C87=1,"",(Y85/N85-1)+(RAND()/100000000000))</f>
        <v>-4.2396361482904085E-2</v>
      </c>
      <c r="AA85" s="53">
        <f t="shared" ca="1" si="1"/>
        <v>117</v>
      </c>
      <c r="AD85" s="204"/>
      <c r="AE85" s="204"/>
      <c r="AG85" s="204"/>
      <c r="AH85" s="204"/>
    </row>
    <row r="86" spans="2:34">
      <c r="B86" s="123">
        <v>10258</v>
      </c>
      <c r="C86" s="124" t="s">
        <v>89</v>
      </c>
      <c r="D86" s="199">
        <f>IF(Init!$R$9="Yes",'Staging Table'!F88,'Staging Table'!BS88)*Rates_previous!$E$76*100*12</f>
        <v>12887633.512940638</v>
      </c>
      <c r="E86" s="199">
        <f>IF(Init!$R$9="Yes",'Staging Table'!F88,'Staging Table'!BS88)*Rates_previous!$E$77*100*12</f>
        <v>-2127779.2167877071</v>
      </c>
      <c r="F86" s="200"/>
      <c r="G86" s="200">
        <f>IF(Init!$R$9="Yes",SUMPRODUCT('Staging Table'!AJ88:AU88,LS_Demand_Rates_Restatement!$C$10:$N$10),SUMPRODUCT(LS_Demand_Rates_Restatement!$C$10:$N$10,'Staging Table'!CW88:DH88))*1000</f>
        <v>825079.81683953898</v>
      </c>
      <c r="H86" s="201"/>
      <c r="I86" s="199">
        <v>0</v>
      </c>
      <c r="J86" s="201">
        <f>IF(Init!$R$9="Yes",IF('Staging Table'!D88=1,'Staging Table'!H88*-1*'Staging Table'!F88/'Staging Table'!E88,'Staging Table'!H88*SUM(D86:I86)*(-1)),IF('Staging Table'!D88=1,'Staging Table'!BU88*-1*'Staging Table'!BS88/'Staging Table'!BR88,'Staging Table'!BU88*SUM(D86:I86)*(-1)))</f>
        <v>-683163.56464316591</v>
      </c>
      <c r="K86" s="199">
        <f>IF(Init!$R$9="Yes",'Staging Table'!K88,'Staging Table'!BX88)*(-1)*Rates_previous!$H$32</f>
        <v>-200418.53980000003</v>
      </c>
      <c r="L86" s="199">
        <f>IF('Staging Table'!C88=1,"",SUM(D86:K86))</f>
        <v>10701352.008549305</v>
      </c>
      <c r="M86" s="199">
        <f>IF('Staging Table'!C88=1,"",IF(Init!$R$9="Yes",(RT1SC!$C$3*'Staging Table'!F88*'Staging Table'!$F$2),X86))</f>
        <v>317128.35406064399</v>
      </c>
      <c r="N86" s="297">
        <f>IF('Staging Table'!C88=1,"",IF(M86=0, 0, L86/M86))</f>
        <v>33.744544981628799</v>
      </c>
      <c r="O86" s="199">
        <f>'Staging Table'!BS88*Rates_current!$E$76*100*12</f>
        <v>13385118.543119997</v>
      </c>
      <c r="P86" s="199">
        <f>'Staging Table'!BS88*Rates_current!$E$77*100*12</f>
        <v>-2352276.5535599999</v>
      </c>
      <c r="Q86" s="200"/>
      <c r="R86" s="200">
        <f>SUMPRODUCT('Staging Table'!CW88:DH88, LS_Demand_Rates_Restatement!$C$11:$N$11)*1000</f>
        <v>786091.21246263396</v>
      </c>
      <c r="S86" s="201"/>
      <c r="T86" s="201">
        <v>0</v>
      </c>
      <c r="U86" s="201">
        <f>IF('Staging Table'!D88=1, 'Staging Table'!BU88*-1*'Staging Table'!BS88/'Staging Table'!BR88,SUM(O86:T86)*'Staging Table'!BU88*-1)</f>
        <v>-641692.21146257734</v>
      </c>
      <c r="V86" s="199">
        <f>'Staging Table'!BX88*Rates_current!$H$32*-1</f>
        <v>-212737.84454000002</v>
      </c>
      <c r="W86" s="199">
        <f>IF('Staging Table'!C88=1,"",SUM(O86:V86))</f>
        <v>10964503.146020053</v>
      </c>
      <c r="X86" s="199">
        <f>IF('Staging Table'!C88=1,"",(RT1SC!$C$4*'Staging Table'!BS88*'Staging Table'!$BS$2))</f>
        <v>333371.83037349593</v>
      </c>
      <c r="Y86" s="297">
        <f>IF('Staging Table'!C88=1,"",IF(X86=0, 0, W86/X86))</f>
        <v>32.88971096848789</v>
      </c>
      <c r="Z86" s="76">
        <f ca="1">IF('Staging Table'!C88=1,"",(Y86/N86-1)+(RAND()/100000000000))</f>
        <v>-2.5332509700109238E-2</v>
      </c>
      <c r="AA86" s="53">
        <f t="shared" ca="1" si="1"/>
        <v>69</v>
      </c>
      <c r="AD86" s="204"/>
      <c r="AE86" s="204"/>
      <c r="AG86" s="204"/>
      <c r="AH86" s="204"/>
    </row>
    <row r="87" spans="2:34">
      <c r="B87" s="123">
        <v>10259</v>
      </c>
      <c r="C87" s="124" t="s">
        <v>90</v>
      </c>
      <c r="D87" s="199">
        <f>IF(Init!$R$9="Yes",'Staging Table'!F89,'Staging Table'!BS89)*Rates_previous!$E$76*100*12</f>
        <v>9163622.7795628607</v>
      </c>
      <c r="E87" s="199">
        <f>IF(Init!$R$9="Yes",'Staging Table'!F89,'Staging Table'!BS89)*Rates_previous!$E$77*100*12</f>
        <v>-1512936.1089650705</v>
      </c>
      <c r="F87" s="200"/>
      <c r="G87" s="200">
        <f>IF(Init!$R$9="Yes",SUMPRODUCT('Staging Table'!AJ89:AU89,LS_Demand_Rates_Restatement!$C$10:$N$10),SUMPRODUCT(LS_Demand_Rates_Restatement!$C$10:$N$10,'Staging Table'!CW89:DH89))*1000</f>
        <v>601733.37497370911</v>
      </c>
      <c r="H87" s="201"/>
      <c r="I87" s="199">
        <v>0</v>
      </c>
      <c r="J87" s="201">
        <f>IF(Init!$R$9="Yes",IF('Staging Table'!D89=1,'Staging Table'!H89*-1*'Staging Table'!F89/'Staging Table'!E89,'Staging Table'!H89*SUM(D87:I87)*(-1)),IF('Staging Table'!D89=1,'Staging Table'!BU89*-1*'Staging Table'!BS89/'Staging Table'!BR89,'Staging Table'!BU89*SUM(D87:I87)*(-1)))</f>
        <v>-604407.24413765653</v>
      </c>
      <c r="K87" s="199">
        <f>IF(Init!$R$9="Yes",'Staging Table'!K89,'Staging Table'!BX89)*(-1)*Rates_previous!$H$32</f>
        <v>0</v>
      </c>
      <c r="L87" s="199">
        <f>IF('Staging Table'!C89=1,"",SUM(D87:K87))</f>
        <v>7648012.8014338417</v>
      </c>
      <c r="M87" s="199">
        <f>IF('Staging Table'!C89=1,"",IF(Init!$R$9="Yes",(RT1SC!$C$3*'Staging Table'!F89*'Staging Table'!$F$2),X87))</f>
        <v>225490.94109460799</v>
      </c>
      <c r="N87" s="297">
        <f>IF('Staging Table'!C89=1,"",IF(M87=0, 0, L87/M87))</f>
        <v>33.917162101093041</v>
      </c>
      <c r="O87" s="199">
        <f>'Staging Table'!BS89*Rates_current!$E$76*100*12</f>
        <v>9517132.9180800002</v>
      </c>
      <c r="P87" s="199">
        <f>'Staging Table'!BS89*Rates_current!$E$77*100*12</f>
        <v>-1672523.7470399998</v>
      </c>
      <c r="Q87" s="200"/>
      <c r="R87" s="200">
        <f>SUMPRODUCT('Staging Table'!CW89:DH89, LS_Demand_Rates_Restatement!$C$11:$N$11)*1000</f>
        <v>601802.52522622864</v>
      </c>
      <c r="S87" s="201"/>
      <c r="T87" s="201">
        <v>0</v>
      </c>
      <c r="U87" s="201">
        <f>IF('Staging Table'!D89=1, 'Staging Table'!BU89*-1*'Staging Table'!BS89/'Staging Table'!BR89,SUM(O87:T87)*'Staging Table'!BU89*-1)</f>
        <v>-680955.75192929374</v>
      </c>
      <c r="V87" s="199">
        <f>'Staging Table'!BX89*Rates_current!$H$32*-1</f>
        <v>0</v>
      </c>
      <c r="W87" s="199">
        <f>IF('Staging Table'!C89=1,"",SUM(O87:V87))</f>
        <v>7765455.9443369349</v>
      </c>
      <c r="X87" s="199">
        <f>IF('Staging Table'!C89=1,"",(RT1SC!$C$4*'Staging Table'!BS89*'Staging Table'!$BS$2))</f>
        <v>237035.182810464</v>
      </c>
      <c r="Y87" s="297">
        <f>IF('Staging Table'!C89=1,"",IF(X87=0, 0, W87/X87))</f>
        <v>32.760773536923757</v>
      </c>
      <c r="Z87" s="76">
        <f ca="1">IF('Staging Table'!C89=1,"",(Y87/N87-1)+(RAND()/100000000000))</f>
        <v>-3.4094496486713206E-2</v>
      </c>
      <c r="AA87" s="53">
        <f t="shared" ca="1" si="1"/>
        <v>115</v>
      </c>
      <c r="AD87" s="204"/>
      <c r="AE87" s="204"/>
      <c r="AG87" s="204"/>
      <c r="AH87" s="204"/>
    </row>
    <row r="88" spans="2:34">
      <c r="B88" s="123">
        <v>10260</v>
      </c>
      <c r="C88" s="124" t="s">
        <v>91</v>
      </c>
      <c r="D88" s="199">
        <f>IF(Init!$R$9="Yes",'Staging Table'!F90,'Staging Table'!BS90)*Rates_previous!$E$76*100*12</f>
        <v>8925731.1801352892</v>
      </c>
      <c r="E88" s="199">
        <f>IF(Init!$R$9="Yes",'Staging Table'!F90,'Staging Table'!BS90)*Rates_previous!$E$77*100*12</f>
        <v>-1473659.6350800775</v>
      </c>
      <c r="F88" s="200"/>
      <c r="G88" s="200">
        <f>IF(Init!$R$9="Yes",SUMPRODUCT('Staging Table'!AJ90:AU90,LS_Demand_Rates_Restatement!$C$10:$N$10),SUMPRODUCT(LS_Demand_Rates_Restatement!$C$10:$N$10,'Staging Table'!CW90:DH90))*1000</f>
        <v>648417.03731121775</v>
      </c>
      <c r="H88" s="201"/>
      <c r="I88" s="199">
        <v>0</v>
      </c>
      <c r="J88" s="201">
        <f>IF(Init!$R$9="Yes",IF('Staging Table'!D90=1,'Staging Table'!H90*-1*'Staging Table'!F90/'Staging Table'!E90,'Staging Table'!H90*SUM(D88:I88)*(-1)),IF('Staging Table'!D90=1,'Staging Table'!BU90*-1*'Staging Table'!BS90/'Staging Table'!BR90,'Staging Table'!BU90*SUM(D88:I88)*(-1)))</f>
        <v>0</v>
      </c>
      <c r="K88" s="199">
        <f>IF(Init!$R$9="Yes",'Staging Table'!K90,'Staging Table'!BX90)*(-1)*Rates_previous!$H$32</f>
        <v>0</v>
      </c>
      <c r="L88" s="199">
        <f>IF('Staging Table'!C90=1,"",SUM(D88:K88))</f>
        <v>8100488.5823664293</v>
      </c>
      <c r="M88" s="199">
        <f>IF('Staging Table'!C90=1,"",IF(Init!$R$9="Yes",(RT1SC!$C$3*'Staging Table'!F90*'Staging Table'!$F$2),X88))</f>
        <v>219637.09901447999</v>
      </c>
      <c r="N88" s="297">
        <f>IF('Staging Table'!C90=1,"",IF(M88=0, 0, L88/M88))</f>
        <v>36.881240094290213</v>
      </c>
      <c r="O88" s="199">
        <f>'Staging Table'!BS90*Rates_current!$E$76*100*12</f>
        <v>9270261.41976</v>
      </c>
      <c r="P88" s="199">
        <f>'Staging Table'!BS90*Rates_current!$E$77*100*12</f>
        <v>-1629138.9958799998</v>
      </c>
      <c r="Q88" s="200"/>
      <c r="R88" s="200">
        <f>SUMPRODUCT('Staging Table'!CW90:DH90, LS_Demand_Rates_Restatement!$C$11:$N$11)*1000</f>
        <v>647256.22252115374</v>
      </c>
      <c r="S88" s="201"/>
      <c r="T88" s="201">
        <v>0</v>
      </c>
      <c r="U88" s="201">
        <f>IF('Staging Table'!D90=1, 'Staging Table'!BU90*-1*'Staging Table'!BS90/'Staging Table'!BR90,SUM(O88:T88)*'Staging Table'!BU90*-1)</f>
        <v>0</v>
      </c>
      <c r="V88" s="199">
        <f>'Staging Table'!BX90*Rates_current!$H$32*-1</f>
        <v>0</v>
      </c>
      <c r="W88" s="199">
        <f>IF('Staging Table'!C90=1,"",SUM(O88:V88))</f>
        <v>8288378.6464011539</v>
      </c>
      <c r="X88" s="199">
        <f>IF('Staging Table'!C90=1,"",(RT1SC!$C$4*'Staging Table'!BS90*'Staging Table'!$BS$2))</f>
        <v>230886.56313280799</v>
      </c>
      <c r="Y88" s="297">
        <f>IF('Staging Table'!C90=1,"",IF(X88=0, 0, W88/X88))</f>
        <v>35.898055451731096</v>
      </c>
      <c r="Z88" s="76">
        <f ca="1">IF('Staging Table'!C90=1,"",(Y88/N88-1)+(RAND()/100000000000))</f>
        <v>-2.66581232040747E-2</v>
      </c>
      <c r="AA88" s="53">
        <f t="shared" ca="1" si="1"/>
        <v>85</v>
      </c>
      <c r="AD88" s="204"/>
      <c r="AE88" s="204"/>
      <c r="AG88" s="204"/>
      <c r="AH88" s="204"/>
    </row>
    <row r="89" spans="2:34">
      <c r="B89" s="123">
        <v>10273</v>
      </c>
      <c r="C89" s="124" t="s">
        <v>92</v>
      </c>
      <c r="D89" s="199">
        <f>IF(Init!$R$9="Yes",'Staging Table'!F91,'Staging Table'!BS91)*Rates_previous!$E$76*100*12</f>
        <v>1997138.3468072722</v>
      </c>
      <c r="E89" s="199">
        <f>IF(Init!$R$9="Yes",'Staging Table'!F91,'Staging Table'!BS91)*Rates_previous!$E$77*100*12</f>
        <v>-329732.3331796584</v>
      </c>
      <c r="F89" s="200"/>
      <c r="G89" s="200">
        <f>IF(Init!$R$9="Yes",SUMPRODUCT('Staging Table'!AJ91:AU91,LS_Demand_Rates_Restatement!$C$10:$N$10),SUMPRODUCT(LS_Demand_Rates_Restatement!$C$10:$N$10,'Staging Table'!CW91:DH91))*1000</f>
        <v>224414.38267840989</v>
      </c>
      <c r="H89" s="201"/>
      <c r="I89" s="199">
        <v>0</v>
      </c>
      <c r="J89" s="201">
        <f>IF(Init!$R$9="Yes",IF('Staging Table'!D91=1,'Staging Table'!H91*-1*'Staging Table'!F91/'Staging Table'!E91,'Staging Table'!H91*SUM(D89:I89)*(-1)),IF('Staging Table'!D91=1,'Staging Table'!BU91*-1*'Staging Table'!BS91/'Staging Table'!BR91,'Staging Table'!BU91*SUM(D89:I89)*(-1)))</f>
        <v>-199681.64283010081</v>
      </c>
      <c r="K89" s="199">
        <f>IF(Init!$R$9="Yes",'Staging Table'!K91,'Staging Table'!BX91)*(-1)*Rates_previous!$H$32</f>
        <v>-103790.07249999999</v>
      </c>
      <c r="L89" s="199">
        <f>IF('Staging Table'!C91=1,"",SUM(D89:K89))</f>
        <v>1588348.6809759228</v>
      </c>
      <c r="M89" s="199">
        <f>IF('Staging Table'!C91=1,"",IF(Init!$R$9="Yes",(RT1SC!$C$3*'Staging Table'!F91*'Staging Table'!$F$2),X89))</f>
        <v>49143.948430751996</v>
      </c>
      <c r="N89" s="297">
        <f>IF('Staging Table'!C91=1,"",IF(M89=0, 0, L89/M89))</f>
        <v>32.320331021306544</v>
      </c>
      <c r="O89" s="199">
        <f>'Staging Table'!BS91*Rates_current!$E$76*100*12</f>
        <v>2074119.1675199997</v>
      </c>
      <c r="P89" s="199">
        <f>'Staging Table'!BS91*Rates_current!$E$77*100*12</f>
        <v>-364501.95575999998</v>
      </c>
      <c r="Q89" s="200"/>
      <c r="R89" s="200">
        <f>SUMPRODUCT('Staging Table'!CW91:DH91, LS_Demand_Rates_Restatement!$C$11:$N$11)*1000</f>
        <v>238051.20006885685</v>
      </c>
      <c r="S89" s="201"/>
      <c r="T89" s="201">
        <v>0</v>
      </c>
      <c r="U89" s="201">
        <f>IF('Staging Table'!D91=1, 'Staging Table'!BU91*-1*'Staging Table'!BS91/'Staging Table'!BR91,SUM(O89:T89)*'Staging Table'!BU91*-1)</f>
        <v>-187431.20858264607</v>
      </c>
      <c r="V89" s="199">
        <f>'Staging Table'!BX91*Rates_current!$H$32*-1</f>
        <v>-110169.82925</v>
      </c>
      <c r="W89" s="199">
        <f>IF('Staging Table'!C91=1,"",SUM(O89:V89))</f>
        <v>1650067.3739962105</v>
      </c>
      <c r="X89" s="199">
        <f>IF('Staging Table'!C91=1,"",(RT1SC!$C$4*'Staging Table'!BS91*'Staging Table'!$BS$2))</f>
        <v>51658.332428015994</v>
      </c>
      <c r="Y89" s="297">
        <f>IF('Staging Table'!C91=1,"",IF(X89=0, 0, W89/X89))</f>
        <v>31.941940369358985</v>
      </c>
      <c r="Z89" s="76">
        <f ca="1">IF('Staging Table'!C91=1,"",(Y89/N89-1)+(RAND()/100000000000))</f>
        <v>-1.1707511643406237E-2</v>
      </c>
      <c r="AA89" s="53">
        <f t="shared" ca="1" si="1"/>
        <v>4</v>
      </c>
      <c r="AD89" s="204"/>
      <c r="AE89" s="204"/>
      <c r="AG89" s="204"/>
      <c r="AH89" s="204"/>
    </row>
    <row r="90" spans="2:34">
      <c r="B90" s="123">
        <v>10278</v>
      </c>
      <c r="C90" s="124" t="s">
        <v>93</v>
      </c>
      <c r="D90" s="199">
        <f>IF(Init!$R$9="Yes",'Staging Table'!F92,'Staging Table'!BS92)*Rates_previous!$E$76*100*12</f>
        <v>12200577.633545486</v>
      </c>
      <c r="E90" s="199">
        <f>IF(Init!$R$9="Yes",'Staging Table'!F92,'Staging Table'!BS92)*Rates_previous!$E$77*100*12</f>
        <v>-2014344.6425130044</v>
      </c>
      <c r="F90" s="200"/>
      <c r="G90" s="200">
        <f>IF(Init!$R$9="Yes",SUMPRODUCT('Staging Table'!AJ92:AU92,LS_Demand_Rates_Restatement!$C$10:$N$10),SUMPRODUCT(LS_Demand_Rates_Restatement!$C$10:$N$10,'Staging Table'!CW92:DH92))*1000</f>
        <v>0</v>
      </c>
      <c r="H90" s="201"/>
      <c r="I90" s="199">
        <v>0</v>
      </c>
      <c r="J90" s="201">
        <f>IF(Init!$R$9="Yes",IF('Staging Table'!D92=1,'Staging Table'!H92*-1*'Staging Table'!F92/'Staging Table'!E92,'Staging Table'!H92*SUM(D90:I90)*(-1)),IF('Staging Table'!D92=1,'Staging Table'!BU92*-1*'Staging Table'!BS92/'Staging Table'!BR92,'Staging Table'!BU92*SUM(D90:I90)*(-1)))</f>
        <v>-742983.83436590922</v>
      </c>
      <c r="K90" s="199">
        <f>IF(Init!$R$9="Yes",'Staging Table'!K92,'Staging Table'!BX92)*(-1)*Rates_previous!$H$32</f>
        <v>0</v>
      </c>
      <c r="L90" s="199" t="str">
        <f>IF('Staging Table'!C92=1,"",SUM(D90:K90))</f>
        <v/>
      </c>
      <c r="M90" s="199" t="str">
        <f>IF('Staging Table'!C92=1,"",IF(Init!$R$9="Yes",(RT1SC!$C$3*'Staging Table'!F92*'Staging Table'!$F$2),X90))</f>
        <v/>
      </c>
      <c r="N90" s="297" t="str">
        <f>IF('Staging Table'!C92=1,"",IF(M90=0, 0, L90/M90))</f>
        <v/>
      </c>
      <c r="O90" s="199">
        <f>'Staging Table'!BS92*Rates_current!$E$76*100*12</f>
        <v>12671159.194799999</v>
      </c>
      <c r="P90" s="199">
        <f>'Staging Table'!BS92*Rates_current!$E$77*100*12</f>
        <v>-2226806.6274000001</v>
      </c>
      <c r="Q90" s="200"/>
      <c r="R90" s="200">
        <f>SUMPRODUCT('Staging Table'!CW92:DH92, LS_Demand_Rates_Restatement!$C$11:$N$11)*1000</f>
        <v>0</v>
      </c>
      <c r="S90" s="201"/>
      <c r="T90" s="201">
        <v>0</v>
      </c>
      <c r="U90" s="201">
        <f>IF('Staging Table'!D92=1, 'Staging Table'!BU92*-1*'Staging Table'!BS92/'Staging Table'!BR92,SUM(O90:T90)*'Staging Table'!BU92*-1)</f>
        <v>-747020.6311504523</v>
      </c>
      <c r="V90" s="199">
        <f>'Staging Table'!BX92*Rates_current!$H$32*-1</f>
        <v>0</v>
      </c>
      <c r="W90" s="199" t="str">
        <f>IF('Staging Table'!C92=1,"",SUM(O90:V90))</f>
        <v/>
      </c>
      <c r="X90" s="199" t="str">
        <f>IF('Staging Table'!C92=1,"",(RT1SC!$C$4*'Staging Table'!BS92*'Staging Table'!$BS$2))</f>
        <v/>
      </c>
      <c r="Y90" s="297" t="str">
        <f>IF('Staging Table'!C92=1,"",IF(X90=0, 0, W90/X90))</f>
        <v/>
      </c>
      <c r="Z90" s="76" t="str">
        <f ca="1">IF('Staging Table'!C92=1,"",(Y90/N90-1)+(RAND()/100000000000))</f>
        <v/>
      </c>
      <c r="AA90" s="53" t="str">
        <f t="shared" ca="1" si="1"/>
        <v/>
      </c>
      <c r="AD90" s="204"/>
      <c r="AE90" s="204"/>
      <c r="AG90" s="204"/>
      <c r="AH90" s="204"/>
    </row>
    <row r="91" spans="2:34">
      <c r="B91" s="123">
        <v>10279</v>
      </c>
      <c r="C91" s="124" t="s">
        <v>94</v>
      </c>
      <c r="D91" s="199">
        <f>IF(Init!$R$9="Yes",'Staging Table'!F93,'Staging Table'!BS93)*Rates_previous!$E$76*100*12</f>
        <v>21992982.44304695</v>
      </c>
      <c r="E91" s="199">
        <f>IF(Init!$R$9="Yes",'Staging Table'!F93,'Staging Table'!BS93)*Rates_previous!$E$77*100*12</f>
        <v>-3631094.1733797397</v>
      </c>
      <c r="F91" s="200"/>
      <c r="G91" s="200">
        <f>IF(Init!$R$9="Yes",SUMPRODUCT('Staging Table'!AJ93:AU93,LS_Demand_Rates_Restatement!$C$10:$N$10),SUMPRODUCT(LS_Demand_Rates_Restatement!$C$10:$N$10,'Staging Table'!CW93:DH93))*1000</f>
        <v>0</v>
      </c>
      <c r="H91" s="201"/>
      <c r="I91" s="199">
        <v>0</v>
      </c>
      <c r="J91" s="201">
        <f>IF(Init!$R$9="Yes",IF('Staging Table'!D93=1,'Staging Table'!H93*-1*'Staging Table'!F93/'Staging Table'!E93,'Staging Table'!H93*SUM(D91:I91)*(-1)),IF('Staging Table'!D93=1,'Staging Table'!BU93*-1*'Staging Table'!BS93/'Staging Table'!BR93,'Staging Table'!BU93*SUM(D91:I91)*(-1)))</f>
        <v>0</v>
      </c>
      <c r="K91" s="199">
        <f>IF(Init!$R$9="Yes",'Staging Table'!K93,'Staging Table'!BX93)*(-1)*Rates_previous!$H$32</f>
        <v>0</v>
      </c>
      <c r="L91" s="199">
        <f>IF('Staging Table'!C93=1,"",SUM(D91:K91))</f>
        <v>18361888.269667208</v>
      </c>
      <c r="M91" s="199">
        <f>IF('Staging Table'!C93=1,"",IF(Init!$R$9="Yes",(RT1SC!$C$3*'Staging Table'!F93*'Staging Table'!$F$2),X91))</f>
        <v>541185.33988764009</v>
      </c>
      <c r="N91" s="297">
        <f>IF('Staging Table'!C93=1,"",IF(M91=0, 0, L91/M91))</f>
        <v>33.929020090380625</v>
      </c>
      <c r="O91" s="199">
        <f>'Staging Table'!BS93*Rates_current!$E$76*100*12</f>
        <v>22841467.762320001</v>
      </c>
      <c r="P91" s="199">
        <f>'Staging Table'!BS93*Rates_current!$E$77*100*12</f>
        <v>-4014118.2831599992</v>
      </c>
      <c r="Q91" s="200"/>
      <c r="R91" s="200">
        <f>SUMPRODUCT('Staging Table'!CW93:DH93, LS_Demand_Rates_Restatement!$C$11:$N$11)*1000</f>
        <v>0</v>
      </c>
      <c r="S91" s="201"/>
      <c r="T91" s="201">
        <v>0</v>
      </c>
      <c r="U91" s="201">
        <f>IF('Staging Table'!D93=1, 'Staging Table'!BU93*-1*'Staging Table'!BS93/'Staging Table'!BR93,SUM(O91:T91)*'Staging Table'!BU93*-1)</f>
        <v>0</v>
      </c>
      <c r="V91" s="199">
        <f>'Staging Table'!BX93*Rates_current!$H$32*-1</f>
        <v>0</v>
      </c>
      <c r="W91" s="199">
        <f>IF('Staging Table'!C93=1,"",SUM(O91:V91))</f>
        <v>18827349.479160003</v>
      </c>
      <c r="X91" s="199">
        <f>IF('Staging Table'!C93=1,"",(RT1SC!$C$4*'Staging Table'!BS93*'Staging Table'!$BS$2))</f>
        <v>568893.12498885591</v>
      </c>
      <c r="Y91" s="297">
        <f>IF('Staging Table'!C93=1,"",IF(X91=0, 0, W91/X91))</f>
        <v>33.094703824253131</v>
      </c>
      <c r="Z91" s="76">
        <f ca="1">IF('Staging Table'!C93=1,"",(Y91/N91-1)+(RAND()/100000000000))</f>
        <v>-2.4590048982500549E-2</v>
      </c>
      <c r="AA91" s="53">
        <f t="shared" ca="1" si="1"/>
        <v>52</v>
      </c>
      <c r="AD91" s="204"/>
      <c r="AE91" s="204"/>
      <c r="AG91" s="204"/>
      <c r="AH91" s="204"/>
    </row>
    <row r="92" spans="2:34">
      <c r="B92" s="123">
        <v>10284</v>
      </c>
      <c r="C92" s="124" t="s">
        <v>95</v>
      </c>
      <c r="D92" s="199">
        <f>IF(Init!$R$9="Yes",'Staging Table'!F94,'Staging Table'!BS94)*Rates_previous!$E$76*100*12</f>
        <v>3449668.0017798534</v>
      </c>
      <c r="E92" s="199">
        <f>IF(Init!$R$9="Yes",'Staging Table'!F94,'Staging Table'!BS94)*Rates_previous!$E$77*100*12</f>
        <v>-569548.46455203975</v>
      </c>
      <c r="F92" s="200"/>
      <c r="G92" s="200">
        <f>IF(Init!$R$9="Yes",SUMPRODUCT('Staging Table'!AJ94:AU94,LS_Demand_Rates_Restatement!$C$10:$N$10),SUMPRODUCT(LS_Demand_Rates_Restatement!$C$10:$N$10,'Staging Table'!CW94:DH94))*1000</f>
        <v>246395.51347863243</v>
      </c>
      <c r="H92" s="201"/>
      <c r="I92" s="199">
        <v>0</v>
      </c>
      <c r="J92" s="201">
        <f>IF(Init!$R$9="Yes",IF('Staging Table'!D94=1,'Staging Table'!H94*-1*'Staging Table'!F94/'Staging Table'!E94,'Staging Table'!H94*SUM(D92:I92)*(-1)),IF('Staging Table'!D94=1,'Staging Table'!BU94*-1*'Staging Table'!BS94/'Staging Table'!BR94,'Staging Table'!BU94*SUM(D92:I92)*(-1)))</f>
        <v>-157826.47975966139</v>
      </c>
      <c r="K92" s="199">
        <f>IF(Init!$R$9="Yes",'Staging Table'!K94,'Staging Table'!BX94)*(-1)*Rates_previous!$H$32</f>
        <v>0</v>
      </c>
      <c r="L92" s="199">
        <f>IF('Staging Table'!C94=1,"",SUM(D92:K92))</f>
        <v>2968688.5709467847</v>
      </c>
      <c r="M92" s="199">
        <f>IF('Staging Table'!C94=1,"",IF(Init!$R$9="Yes",(RT1SC!$C$3*'Staging Table'!F94*'Staging Table'!$F$2),X92))</f>
        <v>84886.611212340023</v>
      </c>
      <c r="N92" s="297">
        <f>IF('Staging Table'!C94=1,"",IF(M92=0, 0, L92/M92))</f>
        <v>34.972400577056192</v>
      </c>
      <c r="O92" s="199">
        <f>'Staging Table'!BS94*Rates_current!$E$76*100*12</f>
        <v>3582501.5311199999</v>
      </c>
      <c r="P92" s="199">
        <f>'Staging Table'!BS94*Rates_current!$E$77*100*12</f>
        <v>-629582.34756000002</v>
      </c>
      <c r="Q92" s="200"/>
      <c r="R92" s="200">
        <f>SUMPRODUCT('Staging Table'!CW94:DH94, LS_Demand_Rates_Restatement!$C$11:$N$11)*1000</f>
        <v>247030.09364775641</v>
      </c>
      <c r="S92" s="201"/>
      <c r="T92" s="201">
        <v>0</v>
      </c>
      <c r="U92" s="201">
        <f>IF('Staging Table'!D94=1, 'Staging Table'!BU94*-1*'Staging Table'!BS94/'Staging Table'!BR94,SUM(O92:T92)*'Staging Table'!BU94*-1)</f>
        <v>-170881.32362879973</v>
      </c>
      <c r="V92" s="199">
        <f>'Staging Table'!BX94*Rates_current!$H$32*-1</f>
        <v>0</v>
      </c>
      <c r="W92" s="199">
        <f>IF('Staging Table'!C94=1,"",SUM(O92:V92))</f>
        <v>3029067.9535789569</v>
      </c>
      <c r="X92" s="199">
        <f>IF('Staging Table'!C94=1,"",(RT1SC!$C$4*'Staging Table'!BS94*'Staging Table'!$BS$2))</f>
        <v>89226.336613895997</v>
      </c>
      <c r="Y92" s="297">
        <f>IF('Staging Table'!C94=1,"",IF(X92=0, 0, W92/X92))</f>
        <v>33.948137607469739</v>
      </c>
      <c r="Z92" s="76">
        <f ca="1">IF('Staging Table'!C94=1,"",(Y92/N92-1)+(RAND()/100000000000))</f>
        <v>-2.9287751272976247E-2</v>
      </c>
      <c r="AA92" s="53">
        <f t="shared" ca="1" si="1"/>
        <v>107</v>
      </c>
      <c r="AD92" s="204"/>
      <c r="AE92" s="204"/>
      <c r="AG92" s="204"/>
      <c r="AH92" s="204"/>
    </row>
    <row r="93" spans="2:34">
      <c r="B93" s="123">
        <v>10285</v>
      </c>
      <c r="C93" s="124" t="s">
        <v>96</v>
      </c>
      <c r="D93" s="199">
        <f>IF(Init!$R$9="Yes",'Staging Table'!F95,'Staging Table'!BS95)*Rates_previous!$E$76*100*12</f>
        <v>2217044.1902297353</v>
      </c>
      <c r="E93" s="199">
        <f>IF(Init!$R$9="Yes",'Staging Table'!F95,'Staging Table'!BS95)*Rates_previous!$E$77*100*12</f>
        <v>-366039.31559149153</v>
      </c>
      <c r="F93" s="200"/>
      <c r="G93" s="200">
        <f>IF(Init!$R$9="Yes",SUMPRODUCT('Staging Table'!AJ95:AU95,LS_Demand_Rates_Restatement!$C$10:$N$10),SUMPRODUCT(LS_Demand_Rates_Restatement!$C$10:$N$10,'Staging Table'!CW95:DH95))*1000</f>
        <v>0</v>
      </c>
      <c r="H93" s="201"/>
      <c r="I93" s="199">
        <v>0</v>
      </c>
      <c r="J93" s="201">
        <f>IF(Init!$R$9="Yes",IF('Staging Table'!D95=1,'Staging Table'!H95*-1*'Staging Table'!F95/'Staging Table'!E95,'Staging Table'!H95*SUM(D93:I93)*(-1)),IF('Staging Table'!D95=1,'Staging Table'!BU95*-1*'Staging Table'!BS95/'Staging Table'!BR95,'Staging Table'!BU95*SUM(D93:I93)*(-1)))</f>
        <v>-133883.18258258418</v>
      </c>
      <c r="K93" s="199">
        <f>IF(Init!$R$9="Yes",'Staging Table'!K95,'Staging Table'!BX95)*(-1)*Rates_previous!$H$32</f>
        <v>0</v>
      </c>
      <c r="L93" s="199" t="str">
        <f>IF('Staging Table'!C95=1,"",SUM(D93:K93))</f>
        <v/>
      </c>
      <c r="M93" s="199" t="str">
        <f>IF('Staging Table'!C95=1,"",IF(Init!$R$9="Yes",(RT1SC!$C$3*'Staging Table'!F95*'Staging Table'!$F$2),X93))</f>
        <v/>
      </c>
      <c r="N93" s="297" t="str">
        <f>IF('Staging Table'!C95=1,"",IF(M93=0, 0, L93/M93))</f>
        <v/>
      </c>
      <c r="O93" s="199">
        <f>'Staging Table'!BS95*Rates_current!$E$76*100*12</f>
        <v>2302556.2653600001</v>
      </c>
      <c r="P93" s="199">
        <f>'Staging Table'!BS95*Rates_current!$E$77*100*12</f>
        <v>-404647.07867999992</v>
      </c>
      <c r="Q93" s="200"/>
      <c r="R93" s="200">
        <f>SUMPRODUCT('Staging Table'!CW95:DH95, LS_Demand_Rates_Restatement!$C$11:$N$11)*1000</f>
        <v>0</v>
      </c>
      <c r="S93" s="201"/>
      <c r="T93" s="201">
        <v>0</v>
      </c>
      <c r="U93" s="201">
        <f>IF('Staging Table'!D95=1, 'Staging Table'!BU95*-1*'Staging Table'!BS95/'Staging Table'!BR95,SUM(O93:T93)*'Staging Table'!BU95*-1)</f>
        <v>-147058.16633412143</v>
      </c>
      <c r="V93" s="199">
        <f>'Staging Table'!BX95*Rates_current!$H$32*-1</f>
        <v>0</v>
      </c>
      <c r="W93" s="199" t="str">
        <f>IF('Staging Table'!C95=1,"",SUM(O93:V93))</f>
        <v/>
      </c>
      <c r="X93" s="199" t="str">
        <f>IF('Staging Table'!C95=1,"",(RT1SC!$C$4*'Staging Table'!BS95*'Staging Table'!$BS$2))</f>
        <v/>
      </c>
      <c r="Y93" s="297" t="str">
        <f>IF('Staging Table'!C95=1,"",IF(X93=0, 0, W93/X93))</f>
        <v/>
      </c>
      <c r="Z93" s="76" t="str">
        <f ca="1">IF('Staging Table'!C95=1,"",(Y93/N93-1)+(RAND()/100000000000))</f>
        <v/>
      </c>
      <c r="AA93" s="53" t="str">
        <f t="shared" ca="1" si="1"/>
        <v/>
      </c>
      <c r="AD93" s="204"/>
      <c r="AE93" s="204"/>
      <c r="AG93" s="204"/>
      <c r="AH93" s="204"/>
    </row>
    <row r="94" spans="2:34">
      <c r="B94" s="123">
        <v>10286</v>
      </c>
      <c r="C94" s="124" t="s">
        <v>97</v>
      </c>
      <c r="D94" s="199">
        <f>IF(Init!$R$9="Yes",'Staging Table'!F96,'Staging Table'!BS96)*Rates_previous!$E$76*100*12</f>
        <v>15590772.735468445</v>
      </c>
      <c r="E94" s="199">
        <f>IF(Init!$R$9="Yes",'Staging Table'!F96,'Staging Table'!BS96)*Rates_previous!$E$77*100*12</f>
        <v>-2574073.9885937958</v>
      </c>
      <c r="F94" s="200"/>
      <c r="G94" s="200">
        <f>IF(Init!$R$9="Yes",SUMPRODUCT('Staging Table'!AJ96:AU96,LS_Demand_Rates_Restatement!$C$10:$N$10),SUMPRODUCT(LS_Demand_Rates_Restatement!$C$10:$N$10,'Staging Table'!CW96:DH96))*1000</f>
        <v>0</v>
      </c>
      <c r="H94" s="201"/>
      <c r="I94" s="199">
        <v>0</v>
      </c>
      <c r="J94" s="201">
        <f>IF(Init!$R$9="Yes",IF('Staging Table'!D96=1,'Staging Table'!H96*-1*'Staging Table'!F96/'Staging Table'!E96,'Staging Table'!H96*SUM(D94:I94)*(-1)),IF('Staging Table'!D96=1,'Staging Table'!BU96*-1*'Staging Table'!BS96/'Staging Table'!BR96,'Staging Table'!BU96*SUM(D94:I94)*(-1)))</f>
        <v>0</v>
      </c>
      <c r="K94" s="199">
        <f>IF(Init!$R$9="Yes",'Staging Table'!K96,'Staging Table'!BX96)*(-1)*Rates_previous!$H$32</f>
        <v>-603948.84590000007</v>
      </c>
      <c r="L94" s="199">
        <f>IF('Staging Table'!C96=1,"",SUM(D94:K94))</f>
        <v>12412749.90097465</v>
      </c>
      <c r="M94" s="199">
        <f>IF('Staging Table'!C96=1,"",IF(Init!$R$9="Yes",(RT1SC!$C$3*'Staging Table'!F96*'Staging Table'!$F$2),X94))</f>
        <v>383644.99511629198</v>
      </c>
      <c r="N94" s="297">
        <f>IF('Staging Table'!C96=1,"",IF(M94=0, 0, L94/M94))</f>
        <v>32.354781266498861</v>
      </c>
      <c r="O94" s="199">
        <f>'Staging Table'!BS96*Rates_current!$E$76*100*12</f>
        <v>16192129.686480001</v>
      </c>
      <c r="P94" s="199">
        <f>'Staging Table'!BS96*Rates_current!$E$77*100*12</f>
        <v>-2845575.6212400002</v>
      </c>
      <c r="Q94" s="200"/>
      <c r="R94" s="200">
        <f>SUMPRODUCT('Staging Table'!CW96:DH96, LS_Demand_Rates_Restatement!$C$11:$N$11)*1000</f>
        <v>0</v>
      </c>
      <c r="S94" s="201"/>
      <c r="T94" s="201">
        <v>0</v>
      </c>
      <c r="U94" s="201">
        <f>IF('Staging Table'!D96=1, 'Staging Table'!BU96*-1*'Staging Table'!BS96/'Staging Table'!BR96,SUM(O94:T94)*'Staging Table'!BU96*-1)</f>
        <v>0</v>
      </c>
      <c r="V94" s="199">
        <f>'Staging Table'!BX96*Rates_current!$H$32*-1</f>
        <v>-641072.3070700001</v>
      </c>
      <c r="W94" s="199">
        <f>IF('Staging Table'!C96=1,"",SUM(O94:V94))</f>
        <v>12705481.758169999</v>
      </c>
      <c r="X94" s="199">
        <f>IF('Staging Table'!C96=1,"",(RT1SC!$C$4*'Staging Table'!BS96*'Staging Table'!$BS$2))</f>
        <v>403283.68358018401</v>
      </c>
      <c r="Y94" s="297">
        <f>IF('Staging Table'!C96=1,"",IF(X94=0, 0, W94/X94))</f>
        <v>31.505072670870398</v>
      </c>
      <c r="Z94" s="76">
        <f ca="1">IF('Staging Table'!C96=1,"",(Y94/N94-1)+(RAND()/100000000000))</f>
        <v>-2.6262226546035997E-2</v>
      </c>
      <c r="AA94" s="53">
        <f t="shared" ca="1" si="1"/>
        <v>82</v>
      </c>
      <c r="AD94" s="204"/>
      <c r="AE94" s="204"/>
      <c r="AG94" s="204"/>
      <c r="AH94" s="204"/>
    </row>
    <row r="95" spans="2:34">
      <c r="B95" s="123">
        <v>10288</v>
      </c>
      <c r="C95" s="124" t="s">
        <v>98</v>
      </c>
      <c r="D95" s="199">
        <f>IF(Init!$R$9="Yes",'Staging Table'!F97,'Staging Table'!BS97)*Rates_previous!$E$76*100*12</f>
        <v>8399348.0543857738</v>
      </c>
      <c r="E95" s="199">
        <f>IF(Init!$R$9="Yes",'Staging Table'!F97,'Staging Table'!BS97)*Rates_previous!$E$77*100*12</f>
        <v>-1386752.5179656022</v>
      </c>
      <c r="F95" s="200"/>
      <c r="G95" s="200">
        <f>IF(Init!$R$9="Yes",SUMPRODUCT('Staging Table'!AJ97:AU97,LS_Demand_Rates_Restatement!$C$10:$N$10),SUMPRODUCT(LS_Demand_Rates_Restatement!$C$10:$N$10,'Staging Table'!CW97:DH97))*1000</f>
        <v>0</v>
      </c>
      <c r="H95" s="201"/>
      <c r="I95" s="199">
        <v>0</v>
      </c>
      <c r="J95" s="201">
        <f>IF(Init!$R$9="Yes",IF('Staging Table'!D97=1,'Staging Table'!H97*-1*'Staging Table'!F97/'Staging Table'!E97,'Staging Table'!H97*SUM(D95:I95)*(-1)),IF('Staging Table'!D97=1,'Staging Table'!BU97*-1*'Staging Table'!BS97/'Staging Table'!BR97,'Staging Table'!BU97*SUM(D95:I95)*(-1)))</f>
        <v>-408974.57168402441</v>
      </c>
      <c r="K95" s="199">
        <f>IF(Init!$R$9="Yes",'Staging Table'!K97,'Staging Table'!BX97)*(-1)*Rates_previous!$H$32</f>
        <v>0</v>
      </c>
      <c r="L95" s="199" t="str">
        <f>IF('Staging Table'!C97=1,"",SUM(D95:K95))</f>
        <v/>
      </c>
      <c r="M95" s="199" t="str">
        <f>IF('Staging Table'!C97=1,"",IF(Init!$R$9="Yes",(RT1SC!$C$3*'Staging Table'!F97*'Staging Table'!$F$2),X95))</f>
        <v/>
      </c>
      <c r="N95" s="297" t="str">
        <f>IF('Staging Table'!C97=1,"",IF(M95=0, 0, L95/M95))</f>
        <v/>
      </c>
      <c r="O95" s="199">
        <f>'Staging Table'!BS97*Rates_current!$E$76*100*12</f>
        <v>8680360.6043999996</v>
      </c>
      <c r="P95" s="199">
        <f>'Staging Table'!BS97*Rates_current!$E$77*100*12</f>
        <v>-1525470.8922000001</v>
      </c>
      <c r="Q95" s="200"/>
      <c r="R95" s="200">
        <f>SUMPRODUCT('Staging Table'!CW97:DH97, LS_Demand_Rates_Restatement!$C$11:$N$11)*1000</f>
        <v>0</v>
      </c>
      <c r="S95" s="201"/>
      <c r="T95" s="201">
        <v>0</v>
      </c>
      <c r="U95" s="201">
        <f>IF('Staging Table'!D97=1, 'Staging Table'!BU97*-1*'Staging Table'!BS97/'Staging Table'!BR97,SUM(O95:T95)*'Staging Table'!BU97*-1)</f>
        <v>-429293.38273199991</v>
      </c>
      <c r="V95" s="199">
        <f>'Staging Table'!BX97*Rates_current!$H$32*-1</f>
        <v>0</v>
      </c>
      <c r="W95" s="199" t="str">
        <f>IF('Staging Table'!C97=1,"",SUM(O95:V95))</f>
        <v/>
      </c>
      <c r="X95" s="199" t="str">
        <f>IF('Staging Table'!C97=1,"",(RT1SC!$C$4*'Staging Table'!BS97*'Staging Table'!$BS$2))</f>
        <v/>
      </c>
      <c r="Y95" s="297" t="str">
        <f>IF('Staging Table'!C97=1,"",IF(X95=0, 0, W95/X95))</f>
        <v/>
      </c>
      <c r="Z95" s="76" t="str">
        <f ca="1">IF('Staging Table'!C97=1,"",(Y95/N95-1)+(RAND()/100000000000))</f>
        <v/>
      </c>
      <c r="AA95" s="53" t="str">
        <f t="shared" ca="1" si="1"/>
        <v/>
      </c>
      <c r="AD95" s="204"/>
      <c r="AE95" s="204"/>
      <c r="AG95" s="204"/>
      <c r="AH95" s="204"/>
    </row>
    <row r="96" spans="2:34">
      <c r="B96" s="123">
        <v>10291</v>
      </c>
      <c r="C96" s="124" t="s">
        <v>99</v>
      </c>
      <c r="D96" s="199">
        <f>IF(Init!$R$9="Yes",'Staging Table'!F98,'Staging Table'!BS98)*Rates_previous!$E$76*100*12</f>
        <v>26888945.037717607</v>
      </c>
      <c r="E96" s="199">
        <f>IF(Init!$R$9="Yes",'Staging Table'!F98,'Staging Table'!BS98)*Rates_previous!$E$77*100*12</f>
        <v>-4439429.3455934646</v>
      </c>
      <c r="F96" s="200"/>
      <c r="G96" s="200">
        <f>IF(Init!$R$9="Yes",SUMPRODUCT('Staging Table'!AJ98:AU98,LS_Demand_Rates_Restatement!$C$10:$N$10),SUMPRODUCT(LS_Demand_Rates_Restatement!$C$10:$N$10,'Staging Table'!CW98:DH98))*1000</f>
        <v>1520374.5041061081</v>
      </c>
      <c r="H96" s="201"/>
      <c r="I96" s="199">
        <v>0</v>
      </c>
      <c r="J96" s="201">
        <f>IF(Init!$R$9="Yes",IF('Staging Table'!D98=1,'Staging Table'!H98*-1*'Staging Table'!F98/'Staging Table'!E98,'Staging Table'!H98*SUM(D96:I96)*(-1)),IF('Staging Table'!D98=1,'Staging Table'!BU98*-1*'Staging Table'!BS98/'Staging Table'!BR98,'Staging Table'!BU98*SUM(D96:I96)*(-1)))</f>
        <v>-1274239.3628316002</v>
      </c>
      <c r="K96" s="199">
        <f>IF(Init!$R$9="Yes",'Staging Table'!K98,'Staging Table'!BX98)*(-1)*Rates_previous!$H$32</f>
        <v>-395240.55089999997</v>
      </c>
      <c r="L96" s="199">
        <f>IF('Staging Table'!C98=1,"",SUM(D96:K96))</f>
        <v>22300410.28249865</v>
      </c>
      <c r="M96" s="199">
        <f>IF('Staging Table'!C98=1,"",IF(Init!$R$9="Yes",(RT1SC!$C$3*'Staging Table'!F98*'Staging Table'!$F$2),X96))</f>
        <v>661661.18656898395</v>
      </c>
      <c r="N96" s="297">
        <f>IF('Staging Table'!C98=1,"",IF(M96=0, 0, L96/M96))</f>
        <v>33.703669997837537</v>
      </c>
      <c r="O96" s="199">
        <f>'Staging Table'!BS98*Rates_current!$E$76*100*12</f>
        <v>27574126.415279999</v>
      </c>
      <c r="P96" s="199">
        <f>'Staging Table'!BS98*Rates_current!$E$77*100*12</f>
        <v>-4845827.1656399993</v>
      </c>
      <c r="Q96" s="200"/>
      <c r="R96" s="200">
        <f>SUMPRODUCT('Staging Table'!CW98:DH98, LS_Demand_Rates_Restatement!$C$11:$N$11)*1000</f>
        <v>1572771.2592525911</v>
      </c>
      <c r="S96" s="201"/>
      <c r="T96" s="201">
        <v>0</v>
      </c>
      <c r="U96" s="201">
        <f>IF('Staging Table'!D98=1, 'Staging Table'!BU98*-1*'Staging Table'!BS98/'Staging Table'!BR98,SUM(O96:T96)*'Staging Table'!BU98*-1)</f>
        <v>-1215053.5254446294</v>
      </c>
      <c r="V96" s="199">
        <f>'Staging Table'!BX98*Rates_current!$H$32*-1</f>
        <v>-419535.15356999997</v>
      </c>
      <c r="W96" s="199">
        <f>IF('Staging Table'!C98=1,"",SUM(O96:V96))</f>
        <v>22666481.829877958</v>
      </c>
      <c r="X96" s="199">
        <f>IF('Staging Table'!C98=1,"",(RT1SC!$C$4*'Staging Table'!BS98*'Staging Table'!$BS$2))</f>
        <v>686765.45257322385</v>
      </c>
      <c r="Y96" s="297">
        <f>IF('Staging Table'!C98=1,"",IF(X96=0, 0, W96/X96))</f>
        <v>33.004691405121648</v>
      </c>
      <c r="Z96" s="76">
        <f ca="1">IF('Staging Table'!C98=1,"",(Y96/N96-1)+(RAND()/100000000000))</f>
        <v>-2.0738946013228676E-2</v>
      </c>
      <c r="AA96" s="53">
        <f t="shared" ca="1" si="1"/>
        <v>13</v>
      </c>
      <c r="AD96" s="204"/>
      <c r="AE96" s="204"/>
      <c r="AG96" s="204"/>
      <c r="AH96" s="204"/>
    </row>
    <row r="97" spans="2:34">
      <c r="B97" s="123">
        <v>10294</v>
      </c>
      <c r="C97" s="124" t="s">
        <v>100</v>
      </c>
      <c r="D97" s="199">
        <f>IF(Init!$R$9="Yes",'Staging Table'!F99,'Staging Table'!BS99)*Rates_previous!$E$76*100*12</f>
        <v>12335830.518703904</v>
      </c>
      <c r="E97" s="199">
        <f>IF(Init!$R$9="Yes",'Staging Table'!F99,'Staging Table'!BS99)*Rates_previous!$E$77*100*12</f>
        <v>-2036675.2183911661</v>
      </c>
      <c r="F97" s="200"/>
      <c r="G97" s="200">
        <f>IF(Init!$R$9="Yes",SUMPRODUCT('Staging Table'!AJ99:AU99,LS_Demand_Rates_Restatement!$C$10:$N$10),SUMPRODUCT(LS_Demand_Rates_Restatement!$C$10:$N$10,'Staging Table'!CW99:DH99))*1000</f>
        <v>729969.32808466023</v>
      </c>
      <c r="H97" s="201"/>
      <c r="I97" s="199">
        <v>0</v>
      </c>
      <c r="J97" s="201">
        <f>IF(Init!$R$9="Yes",IF('Staging Table'!D99=1,'Staging Table'!H99*-1*'Staging Table'!F99/'Staging Table'!E99,'Staging Table'!H99*SUM(D97:I97)*(-1)),IF('Staging Table'!D99=1,'Staging Table'!BU99*-1*'Staging Table'!BS99/'Staging Table'!BR99,'Staging Table'!BU99*SUM(D97:I97)*(-1)))</f>
        <v>0</v>
      </c>
      <c r="K97" s="199">
        <f>IF(Init!$R$9="Yes",'Staging Table'!K99,'Staging Table'!BX99)*(-1)*Rates_previous!$H$32</f>
        <v>0</v>
      </c>
      <c r="L97" s="199">
        <f>IF('Staging Table'!C99=1,"",SUM(D97:K97))</f>
        <v>11029124.6283974</v>
      </c>
      <c r="M97" s="199">
        <f>IF('Staging Table'!C99=1,"",IF(Init!$R$9="Yes",(RT1SC!$C$3*'Staging Table'!F99*'Staging Table'!$F$2),X97))</f>
        <v>303550.03689696005</v>
      </c>
      <c r="N97" s="297">
        <f>IF('Staging Table'!C99=1,"",IF(M97=0, 0, L97/M97))</f>
        <v>36.333794392326929</v>
      </c>
      <c r="O97" s="199">
        <f>'Staging Table'!BS99*Rates_current!$E$76*100*12</f>
        <v>12811908.3336</v>
      </c>
      <c r="P97" s="199">
        <f>'Staging Table'!BS99*Rates_current!$E$77*100*12</f>
        <v>-2251541.6268000002</v>
      </c>
      <c r="Q97" s="200"/>
      <c r="R97" s="200">
        <f>SUMPRODUCT('Staging Table'!CW99:DH99, LS_Demand_Rates_Restatement!$C$11:$N$11)*1000</f>
        <v>696235.23844505905</v>
      </c>
      <c r="S97" s="201"/>
      <c r="T97" s="201">
        <v>0</v>
      </c>
      <c r="U97" s="201">
        <f>IF('Staging Table'!D99=1, 'Staging Table'!BU99*-1*'Staging Table'!BS99/'Staging Table'!BR99,SUM(O97:T97)*'Staging Table'!BU99*-1)</f>
        <v>0</v>
      </c>
      <c r="V97" s="199">
        <f>'Staging Table'!BX99*Rates_current!$H$32*-1</f>
        <v>0</v>
      </c>
      <c r="W97" s="199">
        <f>IF('Staging Table'!C99=1,"",SUM(O97:V97))</f>
        <v>11256601.945245057</v>
      </c>
      <c r="X97" s="199">
        <f>IF('Staging Table'!C99=1,"",(RT1SC!$C$4*'Staging Table'!BS99*'Staging Table'!$BS$2))</f>
        <v>319095.36833688</v>
      </c>
      <c r="Y97" s="297">
        <f>IF('Staging Table'!C99=1,"",IF(X97=0, 0, W97/X97))</f>
        <v>35.276607128189568</v>
      </c>
      <c r="Z97" s="76">
        <f ca="1">IF('Staging Table'!C99=1,"",(Y97/N97-1)+(RAND()/100000000000))</f>
        <v>-2.9096527949915151E-2</v>
      </c>
      <c r="AA97" s="53">
        <f t="shared" ca="1" si="1"/>
        <v>105</v>
      </c>
      <c r="AD97" s="204"/>
      <c r="AE97" s="204"/>
      <c r="AG97" s="204"/>
      <c r="AH97" s="204"/>
    </row>
    <row r="98" spans="2:34">
      <c r="B98" s="123">
        <v>10304</v>
      </c>
      <c r="C98" s="124" t="s">
        <v>101</v>
      </c>
      <c r="D98" s="199">
        <f>IF(Init!$R$9="Yes",'Staging Table'!F100,'Staging Table'!BS100)*Rates_previous!$E$76*100*12</f>
        <v>4765266.1010335386</v>
      </c>
      <c r="E98" s="199">
        <f>IF(Init!$R$9="Yes",'Staging Table'!F100,'Staging Table'!BS100)*Rates_previous!$E$77*100*12</f>
        <v>-786756.86750876473</v>
      </c>
      <c r="F98" s="200"/>
      <c r="G98" s="200">
        <f>IF(Init!$R$9="Yes",SUMPRODUCT('Staging Table'!AJ100:AU100,LS_Demand_Rates_Restatement!$C$10:$N$10),SUMPRODUCT(LS_Demand_Rates_Restatement!$C$10:$N$10,'Staging Table'!CW100:DH100))*1000</f>
        <v>192747.69671460113</v>
      </c>
      <c r="H98" s="201"/>
      <c r="I98" s="199">
        <v>0</v>
      </c>
      <c r="J98" s="201">
        <f>IF(Init!$R$9="Yes",IF('Staging Table'!D100=1,'Staging Table'!H100*-1*'Staging Table'!F100/'Staging Table'!E100,'Staging Table'!H100*SUM(D98:I98)*(-1)),IF('Staging Table'!D100=1,'Staging Table'!BU100*-1*'Staging Table'!BS100/'Staging Table'!BR100,'Staging Table'!BU100*SUM(D98:I98)*(-1)))</f>
        <v>0</v>
      </c>
      <c r="K98" s="199">
        <f>IF(Init!$R$9="Yes",'Staging Table'!K100,'Staging Table'!BX100)*(-1)*Rates_previous!$H$32</f>
        <v>0</v>
      </c>
      <c r="L98" s="199">
        <f>IF('Staging Table'!C100=1,"",SUM(D98:K98))</f>
        <v>4171256.9302393747</v>
      </c>
      <c r="M98" s="199">
        <f>IF('Staging Table'!C100=1,"",IF(Init!$R$9="Yes",(RT1SC!$C$3*'Staging Table'!F100*'Staging Table'!$F$2),X98))</f>
        <v>117259.774167564</v>
      </c>
      <c r="N98" s="297">
        <f>IF('Staging Table'!C100=1,"",IF(M98=0, 0, L98/M98))</f>
        <v>35.572786659802503</v>
      </c>
      <c r="O98" s="199">
        <f>'Staging Table'!BS100*Rates_current!$E$76*100*12</f>
        <v>4730914.8583199997</v>
      </c>
      <c r="P98" s="199">
        <f>'Staging Table'!BS100*Rates_current!$E$77*100*12</f>
        <v>-831402.43115999992</v>
      </c>
      <c r="Q98" s="200"/>
      <c r="R98" s="200">
        <f>SUMPRODUCT('Staging Table'!CW100:DH100, LS_Demand_Rates_Restatement!$C$11:$N$11)*1000</f>
        <v>205145.72071148502</v>
      </c>
      <c r="S98" s="201"/>
      <c r="T98" s="201">
        <v>0</v>
      </c>
      <c r="U98" s="201">
        <f>IF('Staging Table'!D100=1, 'Staging Table'!BU100*-1*'Staging Table'!BS100/'Staging Table'!BR100,SUM(O98:T98)*'Staging Table'!BU100*-1)</f>
        <v>0</v>
      </c>
      <c r="V98" s="199">
        <f>'Staging Table'!BX100*Rates_current!$H$32*-1</f>
        <v>0</v>
      </c>
      <c r="W98" s="199">
        <f>IF('Staging Table'!C100=1,"",SUM(O98:V98))</f>
        <v>4104658.1478714845</v>
      </c>
      <c r="X98" s="199">
        <f>IF('Staging Table'!C100=1,"",(RT1SC!$C$4*'Staging Table'!BS100*'Staging Table'!$BS$2))</f>
        <v>117828.89636565599</v>
      </c>
      <c r="Y98" s="297">
        <f>IF('Staging Table'!C100=1,"",IF(X98=0, 0, W98/X98))</f>
        <v>34.835751453816414</v>
      </c>
      <c r="Z98" s="76">
        <f ca="1">IF('Staging Table'!C100=1,"",(Y98/N98-1)+(RAND()/100000000000))</f>
        <v>-2.0719074186492516E-2</v>
      </c>
      <c r="AA98" s="53">
        <f t="shared" ca="1" si="1"/>
        <v>12</v>
      </c>
      <c r="AD98" s="204"/>
      <c r="AE98" s="204"/>
      <c r="AG98" s="204"/>
      <c r="AH98" s="204"/>
    </row>
    <row r="99" spans="2:34">
      <c r="B99" s="123">
        <v>10306</v>
      </c>
      <c r="C99" s="124" t="s">
        <v>102</v>
      </c>
      <c r="D99" s="199">
        <f>IF(Init!$R$9="Yes",'Staging Table'!F101,'Staging Table'!BS101)*Rates_previous!$E$76*100*12</f>
        <v>8750669.8216855638</v>
      </c>
      <c r="E99" s="199">
        <f>IF(Init!$R$9="Yes",'Staging Table'!F101,'Staging Table'!BS101)*Rates_previous!$E$77*100*12</f>
        <v>-1444756.5847413226</v>
      </c>
      <c r="F99" s="200"/>
      <c r="G99" s="200">
        <f>IF(Init!$R$9="Yes",SUMPRODUCT('Staging Table'!AJ101:AU101,LS_Demand_Rates_Restatement!$C$10:$N$10),SUMPRODUCT(LS_Demand_Rates_Restatement!$C$10:$N$10,'Staging Table'!CW101:DH101))*1000</f>
        <v>0</v>
      </c>
      <c r="H99" s="201"/>
      <c r="I99" s="199">
        <v>0</v>
      </c>
      <c r="J99" s="201">
        <f>IF(Init!$R$9="Yes",IF('Staging Table'!D101=1,'Staging Table'!H101*-1*'Staging Table'!F101/'Staging Table'!E101,'Staging Table'!H101*SUM(D99:I99)*(-1)),IF('Staging Table'!D101=1,'Staging Table'!BU101*-1*'Staging Table'!BS101/'Staging Table'!BR101,'Staging Table'!BU101*SUM(D99:I99)*(-1)))</f>
        <v>0</v>
      </c>
      <c r="K99" s="199">
        <f>IF(Init!$R$9="Yes",'Staging Table'!K101,'Staging Table'!BX101)*(-1)*Rates_previous!$H$32</f>
        <v>0</v>
      </c>
      <c r="L99" s="199">
        <f>IF('Staging Table'!C101=1,"",SUM(D99:K99))</f>
        <v>7305913.2369442414</v>
      </c>
      <c r="M99" s="199">
        <f>IF('Staging Table'!C101=1,"",IF(Init!$R$9="Yes",(RT1SC!$C$3*'Staging Table'!F101*'Staging Table'!$F$2),X99))</f>
        <v>215329.33216116001</v>
      </c>
      <c r="N99" s="297">
        <f>IF('Staging Table'!C101=1,"",IF(M99=0, 0, L99/M99))</f>
        <v>33.929020090380625</v>
      </c>
      <c r="O99" s="199">
        <f>'Staging Table'!BS101*Rates_current!$E$76*100*12</f>
        <v>9088408.5501599982</v>
      </c>
      <c r="P99" s="199">
        <f>'Staging Table'!BS101*Rates_current!$E$77*100*12</f>
        <v>-1597180.5010800003</v>
      </c>
      <c r="Q99" s="200"/>
      <c r="R99" s="200">
        <f>SUMPRODUCT('Staging Table'!CW101:DH101, LS_Demand_Rates_Restatement!$C$11:$N$11)*1000</f>
        <v>0</v>
      </c>
      <c r="S99" s="201"/>
      <c r="T99" s="201">
        <v>0</v>
      </c>
      <c r="U99" s="201">
        <f>IF('Staging Table'!D101=1, 'Staging Table'!BU101*-1*'Staging Table'!BS101/'Staging Table'!BR101,SUM(O99:T99)*'Staging Table'!BU101*-1)</f>
        <v>0</v>
      </c>
      <c r="V99" s="199">
        <f>'Staging Table'!BX101*Rates_current!$H$32*-1</f>
        <v>0</v>
      </c>
      <c r="W99" s="199">
        <f>IF('Staging Table'!C101=1,"",SUM(O99:V99))</f>
        <v>7491228.0490799975</v>
      </c>
      <c r="X99" s="199">
        <f>IF('Staging Table'!C101=1,"",(RT1SC!$C$4*'Staging Table'!BS101*'Staging Table'!$BS$2))</f>
        <v>226357.30746712798</v>
      </c>
      <c r="Y99" s="297">
        <f>IF('Staging Table'!C101=1,"",IF(X99=0, 0, W99/X99))</f>
        <v>33.094703824253109</v>
      </c>
      <c r="Z99" s="76">
        <f ca="1">IF('Staging Table'!C101=1,"",(Y99/N99-1)+(RAND()/100000000000))</f>
        <v>-2.45900489798048E-2</v>
      </c>
      <c r="AA99" s="53">
        <f t="shared" ca="1" si="1"/>
        <v>48</v>
      </c>
      <c r="AD99" s="204"/>
      <c r="AE99" s="204"/>
      <c r="AG99" s="204"/>
      <c r="AH99" s="204"/>
    </row>
    <row r="100" spans="2:34">
      <c r="B100" s="123">
        <v>10307</v>
      </c>
      <c r="C100" s="124" t="s">
        <v>103</v>
      </c>
      <c r="D100" s="199">
        <f>IF(Init!$R$9="Yes",'Staging Table'!F102,'Staging Table'!BS102)*Rates_previous!$E$76*100*12</f>
        <v>24254151.688009217</v>
      </c>
      <c r="E100" s="199">
        <f>IF(Init!$R$9="Yes",'Staging Table'!F102,'Staging Table'!BS102)*Rates_previous!$E$77*100*12</f>
        <v>-4004418.6413853834</v>
      </c>
      <c r="F100" s="200"/>
      <c r="G100" s="200">
        <f>IF(Init!$R$9="Yes",SUMPRODUCT('Staging Table'!AJ102:AU102,LS_Demand_Rates_Restatement!$C$10:$N$10),SUMPRODUCT(LS_Demand_Rates_Restatement!$C$10:$N$10,'Staging Table'!CW102:DH102))*1000</f>
        <v>1526470.4973588586</v>
      </c>
      <c r="H100" s="201"/>
      <c r="I100" s="199">
        <v>0</v>
      </c>
      <c r="J100" s="201">
        <f>IF(Init!$R$9="Yes",IF('Staging Table'!D102=1,'Staging Table'!H102*-1*'Staging Table'!F102/'Staging Table'!E102,'Staging Table'!H102*SUM(D100:I100)*(-1)),IF('Staging Table'!D102=1,'Staging Table'!BU102*-1*'Staging Table'!BS102/'Staging Table'!BR102,'Staging Table'!BU102*SUM(D100:I100)*(-1)))</f>
        <v>0</v>
      </c>
      <c r="K100" s="199">
        <f>IF(Init!$R$9="Yes",'Staging Table'!K102,'Staging Table'!BX102)*(-1)*Rates_previous!$H$32</f>
        <v>0</v>
      </c>
      <c r="L100" s="199">
        <f>IF('Staging Table'!C102=1,"",SUM(D100:K100))</f>
        <v>21776203.543982692</v>
      </c>
      <c r="M100" s="199">
        <f>IF('Staging Table'!C102=1,"",IF(Init!$R$9="Yes",(RT1SC!$C$3*'Staging Table'!F102*'Staging Table'!$F$2),X100))</f>
        <v>596826.34490127605</v>
      </c>
      <c r="N100" s="297">
        <f>IF('Staging Table'!C102=1,"",IF(M100=0, 0, L100/M100))</f>
        <v>36.486666062948011</v>
      </c>
      <c r="O100" s="199">
        <f>'Staging Table'!BS102*Rates_current!$E$76*100*12</f>
        <v>24217072.619760003</v>
      </c>
      <c r="P100" s="199">
        <f>'Staging Table'!BS102*Rates_current!$E$77*100*12</f>
        <v>-4255864.5958799999</v>
      </c>
      <c r="Q100" s="200"/>
      <c r="R100" s="200">
        <f>SUMPRODUCT('Staging Table'!CW102:DH102, LS_Demand_Rates_Restatement!$C$11:$N$11)*1000</f>
        <v>1554393.7408193378</v>
      </c>
      <c r="S100" s="201"/>
      <c r="T100" s="201">
        <v>0</v>
      </c>
      <c r="U100" s="201">
        <f>IF('Staging Table'!D102=1, 'Staging Table'!BU102*-1*'Staging Table'!BS102/'Staging Table'!BR102,SUM(O100:T100)*'Staging Table'!BU102*-1)</f>
        <v>0</v>
      </c>
      <c r="V100" s="199">
        <f>'Staging Table'!BX102*Rates_current!$H$32*-1</f>
        <v>0</v>
      </c>
      <c r="W100" s="199">
        <f>IF('Staging Table'!C102=1,"",SUM(O100:V100))</f>
        <v>21515601.764699344</v>
      </c>
      <c r="X100" s="199">
        <f>IF('Staging Table'!C102=1,"",(RT1SC!$C$4*'Staging Table'!BS102*'Staging Table'!$BS$2))</f>
        <v>603154.15209280793</v>
      </c>
      <c r="Y100" s="297">
        <f>IF('Staging Table'!C102=1,"",IF(X100=0, 0, W100/X100))</f>
        <v>35.67181240491356</v>
      </c>
      <c r="Z100" s="76">
        <f ca="1">IF('Staging Table'!C102=1,"",(Y100/N100-1)+(RAND()/100000000000))</f>
        <v>-2.2332916263142023E-2</v>
      </c>
      <c r="AA100" s="53">
        <f t="shared" ca="1" si="1"/>
        <v>24</v>
      </c>
      <c r="AD100" s="204"/>
      <c r="AE100" s="204"/>
      <c r="AG100" s="204"/>
      <c r="AH100" s="204"/>
    </row>
    <row r="101" spans="2:34">
      <c r="B101" s="123">
        <v>10326</v>
      </c>
      <c r="C101" s="124" t="s">
        <v>104</v>
      </c>
      <c r="D101" s="199">
        <f>IF(Init!$R$9="Yes",'Staging Table'!F103,'Staging Table'!BS103)*Rates_previous!$E$76*100*12</f>
        <v>10343488.373497993</v>
      </c>
      <c r="E101" s="199">
        <f>IF(Init!$R$9="Yes",'Staging Table'!F103,'Staging Table'!BS103)*Rates_previous!$E$77*100*12</f>
        <v>-1707734.74960435</v>
      </c>
      <c r="F101" s="200"/>
      <c r="G101" s="200">
        <f>IF(Init!$R$9="Yes",SUMPRODUCT('Staging Table'!AJ103:AU103,LS_Demand_Rates_Restatement!$C$10:$N$10),SUMPRODUCT(LS_Demand_Rates_Restatement!$C$10:$N$10,'Staging Table'!CW103:DH103))*1000</f>
        <v>347234.24057191942</v>
      </c>
      <c r="H101" s="201"/>
      <c r="I101" s="199">
        <v>0</v>
      </c>
      <c r="J101" s="201">
        <f>IF(Init!$R$9="Yes",IF('Staging Table'!D103=1,'Staging Table'!H103*-1*'Staging Table'!F103/'Staging Table'!E103,'Staging Table'!H103*SUM(D101:I101)*(-1)),IF('Staging Table'!D103=1,'Staging Table'!BU103*-1*'Staging Table'!BS103/'Staging Table'!BR103,'Staging Table'!BU103*SUM(D101:I101)*(-1)))</f>
        <v>0</v>
      </c>
      <c r="K101" s="199">
        <f>IF(Init!$R$9="Yes",'Staging Table'!K103,'Staging Table'!BX103)*(-1)*Rates_previous!$H$32</f>
        <v>0</v>
      </c>
      <c r="L101" s="199">
        <f>IF('Staging Table'!C103=1,"",SUM(D101:K101))</f>
        <v>8982987.8644655626</v>
      </c>
      <c r="M101" s="199">
        <f>IF('Staging Table'!C103=1,"",IF(Init!$R$9="Yes",(RT1SC!$C$3*'Staging Table'!F103*'Staging Table'!$F$2),X101))</f>
        <v>254524.10947588799</v>
      </c>
      <c r="N101" s="297">
        <f>IF('Staging Table'!C103=1,"",IF(M101=0, 0, L101/M101))</f>
        <v>35.29326900686614</v>
      </c>
      <c r="O101" s="199">
        <f>'Staging Table'!BS103*Rates_current!$E$76*100*12</f>
        <v>10742771.436479999</v>
      </c>
      <c r="P101" s="199">
        <f>'Staging Table'!BS103*Rates_current!$E$77*100*12</f>
        <v>-1887915.2462399998</v>
      </c>
      <c r="Q101" s="200"/>
      <c r="R101" s="200">
        <f>SUMPRODUCT('Staging Table'!CW103:DH103, LS_Demand_Rates_Restatement!$C$11:$N$11)*1000</f>
        <v>369269.81337799126</v>
      </c>
      <c r="S101" s="201"/>
      <c r="T101" s="201">
        <v>0</v>
      </c>
      <c r="U101" s="201">
        <f>IF('Staging Table'!D103=1, 'Staging Table'!BU103*-1*'Staging Table'!BS103/'Staging Table'!BR103,SUM(O101:T101)*'Staging Table'!BU103*-1)</f>
        <v>0</v>
      </c>
      <c r="V101" s="199">
        <f>'Staging Table'!BX103*Rates_current!$H$32*-1</f>
        <v>0</v>
      </c>
      <c r="W101" s="199">
        <f>IF('Staging Table'!C103=1,"",SUM(O101:V101))</f>
        <v>9224126.0036179908</v>
      </c>
      <c r="X101" s="199">
        <f>IF('Staging Table'!C103=1,"",(RT1SC!$C$4*'Staging Table'!BS103*'Staging Table'!$BS$2))</f>
        <v>267561.12510518398</v>
      </c>
      <c r="Y101" s="297">
        <f>IF('Staging Table'!C103=1,"",IF(X101=0, 0, W101/X101))</f>
        <v>34.474836357455857</v>
      </c>
      <c r="Z101" s="76">
        <f ca="1">IF('Staging Table'!C103=1,"",(Y101/N101-1)+(RAND()/100000000000))</f>
        <v>-2.3189482644705346E-2</v>
      </c>
      <c r="AA101" s="53">
        <f t="shared" ca="1" si="1"/>
        <v>33</v>
      </c>
      <c r="AD101" s="204"/>
      <c r="AE101" s="204"/>
      <c r="AG101" s="204"/>
      <c r="AH101" s="204"/>
    </row>
    <row r="102" spans="2:34">
      <c r="B102" s="123">
        <v>10331</v>
      </c>
      <c r="C102" s="124" t="s">
        <v>105</v>
      </c>
      <c r="D102" s="199">
        <f>IF(Init!$R$9="Yes",'Staging Table'!F104,'Staging Table'!BS104)*Rates_previous!$E$76*100*12</f>
        <v>12429596.260010537</v>
      </c>
      <c r="E102" s="199">
        <f>IF(Init!$R$9="Yes",'Staging Table'!F104,'Staging Table'!BS104)*Rates_previous!$E$77*100*12</f>
        <v>-2052156.1672712388</v>
      </c>
      <c r="F102" s="200"/>
      <c r="G102" s="200">
        <f>IF(Init!$R$9="Yes",SUMPRODUCT('Staging Table'!AJ104:AU104,LS_Demand_Rates_Restatement!$C$10:$N$10),SUMPRODUCT(LS_Demand_Rates_Restatement!$C$10:$N$10,'Staging Table'!CW104:DH104))*1000</f>
        <v>0</v>
      </c>
      <c r="H102" s="201"/>
      <c r="I102" s="199">
        <v>0</v>
      </c>
      <c r="J102" s="201">
        <f>IF(Init!$R$9="Yes",IF('Staging Table'!D104=1,'Staging Table'!H104*-1*'Staging Table'!F104/'Staging Table'!E104,'Staging Table'!H104*SUM(D102:I102)*(-1)),IF('Staging Table'!D104=1,'Staging Table'!BU104*-1*'Staging Table'!BS104/'Staging Table'!BR104,'Staging Table'!BU104*SUM(D102:I102)*(-1)))</f>
        <v>-736694.47218356282</v>
      </c>
      <c r="K102" s="199">
        <f>IF(Init!$R$9="Yes",'Staging Table'!K104,'Staging Table'!BX104)*(-1)*Rates_previous!$H$32</f>
        <v>-1450646.7522000002</v>
      </c>
      <c r="L102" s="199" t="str">
        <f>IF('Staging Table'!C104=1,"",SUM(D102:K102))</f>
        <v/>
      </c>
      <c r="M102" s="199" t="str">
        <f>IF('Staging Table'!C104=1,"",IF(Init!$R$9="Yes",(RT1SC!$C$3*'Staging Table'!F104*'Staging Table'!$F$2),X102))</f>
        <v/>
      </c>
      <c r="N102" s="297" t="str">
        <f>IF('Staging Table'!C104=1,"",IF(M102=0, 0, L102/M102))</f>
        <v/>
      </c>
      <c r="O102" s="199">
        <f>'Staging Table'!BS104*Rates_current!$E$76*100*12</f>
        <v>12470871.924720002</v>
      </c>
      <c r="P102" s="199">
        <f>'Staging Table'!BS104*Rates_current!$E$77*100*12</f>
        <v>-2191608.5043600001</v>
      </c>
      <c r="Q102" s="200"/>
      <c r="R102" s="200">
        <f>SUMPRODUCT('Staging Table'!CW104:DH104, LS_Demand_Rates_Restatement!$C$11:$N$11)*1000</f>
        <v>0</v>
      </c>
      <c r="S102" s="201"/>
      <c r="T102" s="201">
        <v>0</v>
      </c>
      <c r="U102" s="201">
        <f>IF('Staging Table'!D104=1, 'Staging Table'!BU104*-1*'Staging Table'!BS104/'Staging Table'!BR104,SUM(O102:T102)*'Staging Table'!BU104*-1)</f>
        <v>-719548.43942520022</v>
      </c>
      <c r="V102" s="199">
        <f>'Staging Table'!BX104*Rates_current!$H$32*-1</f>
        <v>-1539814.9470600002</v>
      </c>
      <c r="W102" s="199" t="str">
        <f>IF('Staging Table'!C104=1,"",SUM(O102:V102))</f>
        <v/>
      </c>
      <c r="X102" s="199" t="str">
        <f>IF('Staging Table'!C104=1,"",(RT1SC!$C$4*'Staging Table'!BS104*'Staging Table'!$BS$2))</f>
        <v/>
      </c>
      <c r="Y102" s="297" t="str">
        <f>IF('Staging Table'!C104=1,"",IF(X102=0, 0, W102/X102))</f>
        <v/>
      </c>
      <c r="Z102" s="76" t="str">
        <f ca="1">IF('Staging Table'!C104=1,"",(Y102/N102-1)+(RAND()/100000000000))</f>
        <v/>
      </c>
      <c r="AA102" s="53" t="str">
        <f t="shared" ca="1" si="1"/>
        <v/>
      </c>
      <c r="AD102" s="204"/>
      <c r="AE102" s="204"/>
      <c r="AG102" s="204"/>
      <c r="AH102" s="204"/>
    </row>
    <row r="103" spans="2:34">
      <c r="B103" s="123">
        <v>10333</v>
      </c>
      <c r="C103" s="124" t="s">
        <v>106</v>
      </c>
      <c r="D103" s="199">
        <f>IF(Init!$R$9="Yes",'Staging Table'!F105,'Staging Table'!BS105)*Rates_previous!$E$76*100*12</f>
        <v>6287100.869145805</v>
      </c>
      <c r="E103" s="199">
        <f>IF(Init!$R$9="Yes",'Staging Table'!F105,'Staging Table'!BS105)*Rates_previous!$E$77*100*12</f>
        <v>-1038015.4393577215</v>
      </c>
      <c r="F103" s="200"/>
      <c r="G103" s="200">
        <f>IF(Init!$R$9="Yes",SUMPRODUCT('Staging Table'!AJ105:AU105,LS_Demand_Rates_Restatement!$C$10:$N$10),SUMPRODUCT(LS_Demand_Rates_Restatement!$C$10:$N$10,'Staging Table'!CW105:DH105))*1000</f>
        <v>0</v>
      </c>
      <c r="H103" s="201"/>
      <c r="I103" s="199">
        <v>0</v>
      </c>
      <c r="J103" s="201">
        <f>IF(Init!$R$9="Yes",IF('Staging Table'!D105=1,'Staging Table'!H105*-1*'Staging Table'!F105/'Staging Table'!E105,'Staging Table'!H105*SUM(D103:I103)*(-1)),IF('Staging Table'!D105=1,'Staging Table'!BU105*-1*'Staging Table'!BS105/'Staging Table'!BR105,'Staging Table'!BU105*SUM(D103:I103)*(-1)))</f>
        <v>-334839.15956618189</v>
      </c>
      <c r="K103" s="199">
        <f>IF(Init!$R$9="Yes",'Staging Table'!K105,'Staging Table'!BX105)*(-1)*Rates_previous!$H$32</f>
        <v>0</v>
      </c>
      <c r="L103" s="199" t="str">
        <f>IF('Staging Table'!C105=1,"",SUM(D103:K103))</f>
        <v/>
      </c>
      <c r="M103" s="199" t="str">
        <f>IF('Staging Table'!C105=1,"",IF(Init!$R$9="Yes",(RT1SC!$C$3*'Staging Table'!F105*'Staging Table'!$F$2),X103))</f>
        <v/>
      </c>
      <c r="N103" s="297" t="str">
        <f>IF('Staging Table'!C105=1,"",IF(M103=0, 0, L103/M103))</f>
        <v/>
      </c>
      <c r="O103" s="199">
        <f>'Staging Table'!BS105*Rates_current!$E$76*100*12</f>
        <v>6530012.6997600012</v>
      </c>
      <c r="P103" s="199">
        <f>'Staging Table'!BS105*Rates_current!$E$77*100*12</f>
        <v>-1147572.63588</v>
      </c>
      <c r="Q103" s="200"/>
      <c r="R103" s="200">
        <f>SUMPRODUCT('Staging Table'!CW105:DH105, LS_Demand_Rates_Restatement!$C$11:$N$11)*1000</f>
        <v>0</v>
      </c>
      <c r="S103" s="201"/>
      <c r="T103" s="201">
        <v>0</v>
      </c>
      <c r="U103" s="201">
        <f>IF('Staging Table'!D105=1, 'Staging Table'!BU105*-1*'Staging Table'!BS105/'Staging Table'!BR105,SUM(O103:T103)*'Staging Table'!BU105*-1)</f>
        <v>-380244.75309506035</v>
      </c>
      <c r="V103" s="199">
        <f>'Staging Table'!BX105*Rates_current!$H$32*-1</f>
        <v>0</v>
      </c>
      <c r="W103" s="199" t="str">
        <f>IF('Staging Table'!C105=1,"",SUM(O103:V103))</f>
        <v/>
      </c>
      <c r="X103" s="199" t="str">
        <f>IF('Staging Table'!C105=1,"",(RT1SC!$C$4*'Staging Table'!BS105*'Staging Table'!$BS$2))</f>
        <v/>
      </c>
      <c r="Y103" s="297" t="str">
        <f>IF('Staging Table'!C105=1,"",IF(X103=0, 0, W103/X103))</f>
        <v/>
      </c>
      <c r="Z103" s="76" t="str">
        <f ca="1">IF('Staging Table'!C105=1,"",(Y103/N103-1)+(RAND()/100000000000))</f>
        <v/>
      </c>
      <c r="AA103" s="53" t="str">
        <f t="shared" ca="1" si="1"/>
        <v/>
      </c>
      <c r="AD103" s="204"/>
      <c r="AE103" s="204"/>
      <c r="AG103" s="204"/>
      <c r="AH103" s="204"/>
    </row>
    <row r="104" spans="2:34">
      <c r="B104" s="123">
        <v>10338</v>
      </c>
      <c r="C104" s="124" t="s">
        <v>107</v>
      </c>
      <c r="D104" s="199">
        <f>IF(Init!$R$9="Yes",'Staging Table'!F106,'Staging Table'!BS106)*Rates_previous!$E$76*100*12</f>
        <v>805522.05894880265</v>
      </c>
      <c r="E104" s="199">
        <f>IF(Init!$R$9="Yes",'Staging Table'!F106,'Staging Table'!BS106)*Rates_previous!$E$77*100*12</f>
        <v>-132993.62477791455</v>
      </c>
      <c r="F104" s="200"/>
      <c r="G104" s="200">
        <f>IF(Init!$R$9="Yes",SUMPRODUCT('Staging Table'!AJ106:AU106,LS_Demand_Rates_Restatement!$C$10:$N$10),SUMPRODUCT(LS_Demand_Rates_Restatement!$C$10:$N$10,'Staging Table'!CW106:DH106))*1000</f>
        <v>35692.875375293792</v>
      </c>
      <c r="H104" s="201"/>
      <c r="I104" s="199">
        <v>0</v>
      </c>
      <c r="J104" s="201">
        <f>IF(Init!$R$9="Yes",IF('Staging Table'!D106=1,'Staging Table'!H106*-1*'Staging Table'!F106/'Staging Table'!E106,'Staging Table'!H106*SUM(D104:I104)*(-1)),IF('Staging Table'!D106=1,'Staging Table'!BU106*-1*'Staging Table'!BS106/'Staging Table'!BR106,'Staging Table'!BU106*SUM(D104:I104)*(-1)))</f>
        <v>-27847.261891355869</v>
      </c>
      <c r="K104" s="199">
        <f>IF(Init!$R$9="Yes",'Staging Table'!K106,'Staging Table'!BX106)*(-1)*Rates_previous!$H$32</f>
        <v>-45291.789000000004</v>
      </c>
      <c r="L104" s="199">
        <f>IF('Staging Table'!C106=1,"",SUM(D104:K104))</f>
        <v>635082.25865482597</v>
      </c>
      <c r="M104" s="199">
        <f>IF('Staging Table'!C106=1,"",IF(Init!$R$9="Yes",(RT1SC!$C$3*'Staging Table'!F106*'Staging Table'!$F$2),X104))</f>
        <v>19821.628575756</v>
      </c>
      <c r="N104" s="297">
        <f>IF('Staging Table'!C106=1,"",IF(M104=0, 0, L104/M104))</f>
        <v>32.039862730129066</v>
      </c>
      <c r="O104" s="199">
        <f>'Staging Table'!BS106*Rates_current!$E$76*100*12</f>
        <v>837021.4271999998</v>
      </c>
      <c r="P104" s="199">
        <f>'Staging Table'!BS106*Rates_current!$E$77*100*12</f>
        <v>-147096.6336</v>
      </c>
      <c r="Q104" s="200"/>
      <c r="R104" s="200">
        <f>SUMPRODUCT('Staging Table'!CW106:DH106, LS_Demand_Rates_Restatement!$C$11:$N$11)*1000</f>
        <v>37075.182641907035</v>
      </c>
      <c r="S104" s="201"/>
      <c r="T104" s="201">
        <v>0</v>
      </c>
      <c r="U104" s="201">
        <f>IF('Staging Table'!D106=1, 'Staging Table'!BU106*-1*'Staging Table'!BS106/'Staging Table'!BR106,SUM(O104:T104)*'Staging Table'!BU106*-1)</f>
        <v>-25320.922054948838</v>
      </c>
      <c r="V104" s="199">
        <f>'Staging Table'!BX106*Rates_current!$H$32*-1</f>
        <v>-48075.779699999999</v>
      </c>
      <c r="W104" s="199">
        <f>IF('Staging Table'!C106=1,"",SUM(O104:V104))</f>
        <v>653603.27448695793</v>
      </c>
      <c r="X104" s="199">
        <f>IF('Staging Table'!C106=1,"",(RT1SC!$C$4*'Staging Table'!BS106*'Staging Table'!$BS$2))</f>
        <v>20846.984981760001</v>
      </c>
      <c r="Y104" s="297">
        <f>IF('Staging Table'!C106=1,"",IF(X104=0, 0, W104/X104))</f>
        <v>31.352412593899114</v>
      </c>
      <c r="Z104" s="76">
        <f ca="1">IF('Staging Table'!C106=1,"",(Y104/N104-1)+(RAND()/100000000000))</f>
        <v>-2.1456088680222876E-2</v>
      </c>
      <c r="AA104" s="53">
        <f t="shared" ca="1" si="1"/>
        <v>19</v>
      </c>
      <c r="AD104" s="204"/>
      <c r="AE104" s="204"/>
      <c r="AG104" s="204"/>
      <c r="AH104" s="204"/>
    </row>
    <row r="105" spans="2:34">
      <c r="B105" s="123">
        <v>10342</v>
      </c>
      <c r="C105" s="124" t="s">
        <v>108</v>
      </c>
      <c r="D105" s="199">
        <f>IF(Init!$R$9="Yes",'Staging Table'!F107,'Staging Table'!BS107)*Rates_previous!$E$76*100*12</f>
        <v>13138714.666771956</v>
      </c>
      <c r="E105" s="199">
        <f>IF(Init!$R$9="Yes",'Staging Table'!F107,'Staging Table'!BS107)*Rates_previous!$E$77*100*12</f>
        <v>-2169233.3177530169</v>
      </c>
      <c r="F105" s="200"/>
      <c r="G105" s="200">
        <f>IF(Init!$R$9="Yes",SUMPRODUCT('Staging Table'!AJ107:AU107,LS_Demand_Rates_Restatement!$C$10:$N$10),SUMPRODUCT(LS_Demand_Rates_Restatement!$C$10:$N$10,'Staging Table'!CW107:DH107))*1000</f>
        <v>768458.42857838306</v>
      </c>
      <c r="H105" s="201"/>
      <c r="I105" s="199">
        <v>0</v>
      </c>
      <c r="J105" s="201">
        <f>IF(Init!$R$9="Yes",IF('Staging Table'!D107=1,'Staging Table'!H107*-1*'Staging Table'!F107/'Staging Table'!E107,'Staging Table'!H107*SUM(D105:I105)*(-1)),IF('Staging Table'!D107=1,'Staging Table'!BU107*-1*'Staging Table'!BS107/'Staging Table'!BR107,'Staging Table'!BU107*SUM(D105:I105)*(-1)))</f>
        <v>0</v>
      </c>
      <c r="K105" s="199">
        <f>IF(Init!$R$9="Yes",'Staging Table'!K107,'Staging Table'!BX107)*(-1)*Rates_previous!$H$32</f>
        <v>0</v>
      </c>
      <c r="L105" s="199">
        <f>IF('Staging Table'!C107=1,"",SUM(D105:K105))</f>
        <v>11737939.777597321</v>
      </c>
      <c r="M105" s="199">
        <f>IF('Staging Table'!C107=1,"",IF(Init!$R$9="Yes",(RT1SC!$C$3*'Staging Table'!F107*'Staging Table'!$F$2),X105))</f>
        <v>323306.75391739205</v>
      </c>
      <c r="N105" s="297">
        <f>IF('Staging Table'!C107=1,"",IF(M105=0, 0, L105/M105))</f>
        <v>36.305891031885082</v>
      </c>
      <c r="O105" s="199">
        <f>'Staging Table'!BS107*Rates_current!$E$76*100*12</f>
        <v>13478536.113119999</v>
      </c>
      <c r="P105" s="199">
        <f>'Staging Table'!BS107*Rates_current!$E$77*100*12</f>
        <v>-2368693.5885600001</v>
      </c>
      <c r="Q105" s="200"/>
      <c r="R105" s="200">
        <f>SUMPRODUCT('Staging Table'!CW107:DH107, LS_Demand_Rates_Restatement!$C$11:$N$11)*1000</f>
        <v>816213.57665210986</v>
      </c>
      <c r="S105" s="201"/>
      <c r="T105" s="201">
        <v>0</v>
      </c>
      <c r="U105" s="201">
        <f>IF('Staging Table'!D107=1, 'Staging Table'!BU107*-1*'Staging Table'!BS107/'Staging Table'!BR107,SUM(O105:T105)*'Staging Table'!BU107*-1)</f>
        <v>0</v>
      </c>
      <c r="V105" s="199">
        <f>'Staging Table'!BX107*Rates_current!$H$32*-1</f>
        <v>0</v>
      </c>
      <c r="W105" s="199">
        <f>IF('Staging Table'!C107=1,"",SUM(O105:V105))</f>
        <v>11926056.101212109</v>
      </c>
      <c r="X105" s="199">
        <f>IF('Staging Table'!C107=1,"",(RT1SC!$C$4*'Staging Table'!BS107*'Staging Table'!$BS$2))</f>
        <v>335698.50280449598</v>
      </c>
      <c r="Y105" s="297">
        <f>IF('Staging Table'!C107=1,"",IF(X105=0, 0, W105/X105))</f>
        <v>35.526092614591143</v>
      </c>
      <c r="Z105" s="76">
        <f ca="1">IF('Staging Table'!C107=1,"",(Y105/N105-1)+(RAND()/100000000000))</f>
        <v>-2.1478564354637436E-2</v>
      </c>
      <c r="AA105" s="53">
        <f t="shared" ca="1" si="1"/>
        <v>21</v>
      </c>
      <c r="AD105" s="204"/>
      <c r="AE105" s="204"/>
      <c r="AG105" s="204"/>
      <c r="AH105" s="204"/>
    </row>
    <row r="106" spans="2:34">
      <c r="B106" s="123">
        <v>10343</v>
      </c>
      <c r="C106" s="124" t="s">
        <v>109</v>
      </c>
      <c r="D106" s="199">
        <f>IF(Init!$R$9="Yes",'Staging Table'!F108,'Staging Table'!BS108)*Rates_previous!$E$76*100*12</f>
        <v>4277732.2082550591</v>
      </c>
      <c r="E106" s="199">
        <f>IF(Init!$R$9="Yes",'Staging Table'!F108,'Staging Table'!BS108)*Rates_previous!$E$77*100*12</f>
        <v>-706263.85197631444</v>
      </c>
      <c r="F106" s="200"/>
      <c r="G106" s="200">
        <f>IF(Init!$R$9="Yes",SUMPRODUCT('Staging Table'!AJ108:AU108,LS_Demand_Rates_Restatement!$C$10:$N$10),SUMPRODUCT(LS_Demand_Rates_Restatement!$C$10:$N$10,'Staging Table'!CW108:DH108))*1000</f>
        <v>0</v>
      </c>
      <c r="H106" s="201"/>
      <c r="I106" s="199">
        <v>0</v>
      </c>
      <c r="J106" s="201">
        <f>IF(Init!$R$9="Yes",IF('Staging Table'!D108=1,'Staging Table'!H108*-1*'Staging Table'!F108/'Staging Table'!E108,'Staging Table'!H108*SUM(D106:I106)*(-1)),IF('Staging Table'!D108=1,'Staging Table'!BU108*-1*'Staging Table'!BS108/'Staging Table'!BR108,'Staging Table'!BU108*SUM(D106:I106)*(-1)))</f>
        <v>-250002.78493951214</v>
      </c>
      <c r="K106" s="199">
        <f>IF(Init!$R$9="Yes",'Staging Table'!K108,'Staging Table'!BX108)*(-1)*Rates_previous!$H$32</f>
        <v>-114511.70490000001</v>
      </c>
      <c r="L106" s="199">
        <f>IF('Staging Table'!C108=1,"",SUM(D106:K106))</f>
        <v>3206953.8664392326</v>
      </c>
      <c r="M106" s="199">
        <f>IF('Staging Table'!C108=1,"",IF(Init!$R$9="Yes",(RT1SC!$C$3*'Staging Table'!F108*'Staging Table'!$F$2),X106))</f>
        <v>105262.93853359202</v>
      </c>
      <c r="N106" s="297">
        <f>IF('Staging Table'!C108=1,"",IF(M106=0, 0, L106/M106))</f>
        <v>30.466125220471721</v>
      </c>
      <c r="O106" s="199">
        <f>'Staging Table'!BS108*Rates_current!$E$76*100*12</f>
        <v>4217741.0071199993</v>
      </c>
      <c r="P106" s="199">
        <f>'Staging Table'!BS108*Rates_current!$E$77*100*12</f>
        <v>-741218.1855599999</v>
      </c>
      <c r="Q106" s="200"/>
      <c r="R106" s="200">
        <f>SUMPRODUCT('Staging Table'!CW108:DH108, LS_Demand_Rates_Restatement!$C$11:$N$11)*1000</f>
        <v>0</v>
      </c>
      <c r="S106" s="201"/>
      <c r="T106" s="201">
        <v>0</v>
      </c>
      <c r="U106" s="201">
        <f>IF('Staging Table'!D108=1, 'Staging Table'!BU108*-1*'Staging Table'!BS108/'Staging Table'!BR108,SUM(O106:T106)*'Staging Table'!BU108*-1)</f>
        <v>-243356.59750919996</v>
      </c>
      <c r="V106" s="199">
        <f>'Staging Table'!BX108*Rates_current!$H$32*-1</f>
        <v>-121550.49777</v>
      </c>
      <c r="W106" s="199">
        <f>IF('Staging Table'!C108=1,"",SUM(O106:V106))</f>
        <v>3111615.7262807996</v>
      </c>
      <c r="X106" s="199">
        <f>IF('Staging Table'!C108=1,"",(RT1SC!$C$4*'Staging Table'!BS108*'Staging Table'!$BS$2))</f>
        <v>105047.70914469598</v>
      </c>
      <c r="Y106" s="297">
        <f>IF('Staging Table'!C108=1,"",IF(X106=0, 0, W106/X106))</f>
        <v>29.620976522151125</v>
      </c>
      <c r="Z106" s="76">
        <f ca="1">IF('Staging Table'!C108=1,"",(Y106/N106-1)+(RAND()/100000000000))</f>
        <v>-2.7740603439910274E-2</v>
      </c>
      <c r="AA106" s="53">
        <f t="shared" ca="1" si="1"/>
        <v>95</v>
      </c>
      <c r="AD106" s="204"/>
      <c r="AE106" s="204"/>
      <c r="AG106" s="204"/>
      <c r="AH106" s="204"/>
    </row>
    <row r="107" spans="2:34">
      <c r="B107" s="123">
        <v>10349</v>
      </c>
      <c r="C107" s="124" t="s">
        <v>110</v>
      </c>
      <c r="D107" s="199">
        <f>IF(Init!$R$9="Yes",'Staging Table'!F109,'Staging Table'!BS109)*Rates_previous!$E$76*100*12</f>
        <v>164601801.99747396</v>
      </c>
      <c r="E107" s="199">
        <f>IF(Init!$R$9="Yes",'Staging Table'!F109,'Staging Table'!BS109)*Rates_previous!$E$77*100*12</f>
        <v>-27176152.47084374</v>
      </c>
      <c r="F107" s="200"/>
      <c r="G107" s="200">
        <f>IF(Init!$R$9="Yes",SUMPRODUCT('Staging Table'!AJ109:AU109,LS_Demand_Rates_Restatement!$C$10:$N$10),SUMPRODUCT(LS_Demand_Rates_Restatement!$C$10:$N$10,'Staging Table'!CW109:DH109))*1000</f>
        <v>0</v>
      </c>
      <c r="H107" s="201"/>
      <c r="I107" s="199">
        <v>0</v>
      </c>
      <c r="J107" s="201">
        <f>IF(Init!$R$9="Yes",IF('Staging Table'!D109=1,'Staging Table'!H109*-1*'Staging Table'!F109/'Staging Table'!E109,'Staging Table'!H109*SUM(D107:I107)*(-1)),IF('Staging Table'!D109=1,'Staging Table'!BU109*-1*'Staging Table'!BS109/'Staging Table'!BR109,'Staging Table'!BU109*SUM(D107:I107)*(-1)))</f>
        <v>0</v>
      </c>
      <c r="K107" s="199">
        <f>IF(Init!$R$9="Yes",'Staging Table'!K109,'Staging Table'!BX109)*(-1)*Rates_previous!$H$32</f>
        <v>0</v>
      </c>
      <c r="L107" s="199">
        <f>IF('Staging Table'!C109=1,"",SUM(D107:K107))</f>
        <v>137425649.52663022</v>
      </c>
      <c r="M107" s="199">
        <f>IF('Staging Table'!C109=1,"",IF(Init!$R$9="Yes",(RT1SC!$C$3*'Staging Table'!F109*'Staging Table'!$F$2),X107))</f>
        <v>4050386.6354098567</v>
      </c>
      <c r="N107" s="297">
        <f>IF('Staging Table'!C109=1,"",IF(M107=0, 0, L107/M107))</f>
        <v>33.929020090380625</v>
      </c>
      <c r="O107" s="199">
        <f>'Staging Table'!BS109*Rates_current!$E$76*100*12</f>
        <v>162625789.89936</v>
      </c>
      <c r="P107" s="199">
        <f>'Staging Table'!BS109*Rates_current!$E$77*100*12</f>
        <v>-28579562.545680001</v>
      </c>
      <c r="Q107" s="200"/>
      <c r="R107" s="200">
        <f>SUMPRODUCT('Staging Table'!CW109:DH109, LS_Demand_Rates_Restatement!$C$11:$N$11)*1000</f>
        <v>0</v>
      </c>
      <c r="S107" s="201"/>
      <c r="T107" s="201">
        <v>0</v>
      </c>
      <c r="U107" s="201">
        <f>IF('Staging Table'!D109=1, 'Staging Table'!BU109*-1*'Staging Table'!BS109/'Staging Table'!BR109,SUM(O107:T107)*'Staging Table'!BU109*-1)</f>
        <v>0</v>
      </c>
      <c r="V107" s="199">
        <f>'Staging Table'!BX109*Rates_current!$H$32*-1</f>
        <v>0</v>
      </c>
      <c r="W107" s="199">
        <f>IF('Staging Table'!C109=1,"",SUM(O107:V107))</f>
        <v>134046227.35368</v>
      </c>
      <c r="X107" s="199">
        <f>IF('Staging Table'!C109=1,"",(RT1SC!$C$4*'Staging Table'!BS109*'Staging Table'!$BS$2))</f>
        <v>4050383.048161488</v>
      </c>
      <c r="Y107" s="297">
        <f>IF('Staging Table'!C109=1,"",IF(X107=0, 0, W107/X107))</f>
        <v>33.094703824253116</v>
      </c>
      <c r="Z107" s="76">
        <f ca="1">IF('Staging Table'!C109=1,"",(Y107/N107-1)+(RAND()/100000000000))</f>
        <v>-2.4590048979550468E-2</v>
      </c>
      <c r="AA107" s="53">
        <f t="shared" ca="1" si="1"/>
        <v>47</v>
      </c>
      <c r="AD107" s="204"/>
      <c r="AE107" s="204"/>
      <c r="AG107" s="204"/>
      <c r="AH107" s="204"/>
    </row>
    <row r="108" spans="2:34">
      <c r="B108" s="123">
        <v>10352</v>
      </c>
      <c r="C108" s="124" t="s">
        <v>111</v>
      </c>
      <c r="D108" s="199">
        <f>IF(Init!$R$9="Yes",'Staging Table'!F110,'Staging Table'!BS110)*Rates_previous!$E$76*100*12</f>
        <v>5401482.2434542514</v>
      </c>
      <c r="E108" s="199">
        <f>IF(Init!$R$9="Yes",'Staging Table'!F110,'Staging Table'!BS110)*Rates_previous!$E$77*100*12</f>
        <v>-891797.67921933555</v>
      </c>
      <c r="F108" s="200"/>
      <c r="G108" s="200">
        <f>IF(Init!$R$9="Yes",SUMPRODUCT('Staging Table'!AJ110:AU110,LS_Demand_Rates_Restatement!$C$10:$N$10),SUMPRODUCT(LS_Demand_Rates_Restatement!$C$10:$N$10,'Staging Table'!CW110:DH110))*1000</f>
        <v>299216.8877784455</v>
      </c>
      <c r="H108" s="201"/>
      <c r="I108" s="199">
        <v>0</v>
      </c>
      <c r="J108" s="201">
        <f>IF(Init!$R$9="Yes",IF('Staging Table'!D110=1,'Staging Table'!H110*-1*'Staging Table'!F110/'Staging Table'!E110,'Staging Table'!H110*SUM(D108:I108)*(-1)),IF('Staging Table'!D110=1,'Staging Table'!BU110*-1*'Staging Table'!BS110/'Staging Table'!BR110,'Staging Table'!BU110*SUM(D108:I108)*(-1)))</f>
        <v>-242512.90022503381</v>
      </c>
      <c r="K108" s="199">
        <f>IF(Init!$R$9="Yes",'Staging Table'!K110,'Staging Table'!BX110)*(-1)*Rates_previous!$H$32</f>
        <v>0</v>
      </c>
      <c r="L108" s="199">
        <f>IF('Staging Table'!C110=1,"",SUM(D108:K108))</f>
        <v>4566388.5517883273</v>
      </c>
      <c r="M108" s="199">
        <f>IF('Staging Table'!C110=1,"",IF(Init!$R$9="Yes",(RT1SC!$C$3*'Staging Table'!F110*'Staging Table'!$F$2),X108))</f>
        <v>132915.26110161599</v>
      </c>
      <c r="N108" s="297">
        <f>IF('Staging Table'!C110=1,"",IF(M108=0, 0, L108/M108))</f>
        <v>34.35563767427162</v>
      </c>
      <c r="O108" s="199">
        <f>'Staging Table'!BS110*Rates_current!$E$76*100*12</f>
        <v>5602313.9512799997</v>
      </c>
      <c r="P108" s="199">
        <f>'Staging Table'!BS110*Rates_current!$E$77*100*12</f>
        <v>-984540.53363999992</v>
      </c>
      <c r="Q108" s="200"/>
      <c r="R108" s="200">
        <f>SUMPRODUCT('Staging Table'!CW110:DH110, LS_Demand_Rates_Restatement!$C$11:$N$11)*1000</f>
        <v>292040.0151685095</v>
      </c>
      <c r="S108" s="201"/>
      <c r="T108" s="201">
        <v>0</v>
      </c>
      <c r="U108" s="201">
        <f>IF('Staging Table'!D110=1, 'Staging Table'!BU110*-1*'Staging Table'!BS110/'Staging Table'!BR110,SUM(O108:T108)*'Staging Table'!BU110*-1)</f>
        <v>-245490.67164042543</v>
      </c>
      <c r="V108" s="199">
        <f>'Staging Table'!BX110*Rates_current!$H$32*-1</f>
        <v>0</v>
      </c>
      <c r="W108" s="199">
        <f>IF('Staging Table'!C110=1,"",SUM(O108:V108))</f>
        <v>4664322.7611680841</v>
      </c>
      <c r="X108" s="199">
        <f>IF('Staging Table'!C110=1,"",(RT1SC!$C$4*'Staging Table'!BS110*'Staging Table'!$BS$2))</f>
        <v>139532.096802024</v>
      </c>
      <c r="Y108" s="297">
        <f>IF('Staging Table'!C110=1,"",IF(X108=0, 0, W108/X108))</f>
        <v>33.428314116042337</v>
      </c>
      <c r="Z108" s="76">
        <f ca="1">IF('Staging Table'!C110=1,"",(Y108/N108-1)+(RAND()/100000000000))</f>
        <v>-2.699188897841593E-2</v>
      </c>
      <c r="AA108" s="53">
        <f t="shared" ca="1" si="1"/>
        <v>91</v>
      </c>
      <c r="AD108" s="204"/>
      <c r="AE108" s="204"/>
      <c r="AG108" s="204"/>
      <c r="AH108" s="204"/>
    </row>
    <row r="109" spans="2:34">
      <c r="B109" s="123">
        <v>10354</v>
      </c>
      <c r="C109" s="124" t="s">
        <v>112</v>
      </c>
      <c r="D109" s="199">
        <f>IF(Init!$R$9="Yes",'Staging Table'!F111,'Staging Table'!BS111)*Rates_previous!$E$76*100*12</f>
        <v>133603471.4277091</v>
      </c>
      <c r="E109" s="199">
        <f>IF(Init!$R$9="Yes",'Staging Table'!F111,'Staging Table'!BS111)*Rates_previous!$E$77*100*12</f>
        <v>-22058253.713462733</v>
      </c>
      <c r="F109" s="200"/>
      <c r="G109" s="200">
        <f>IF(Init!$R$9="Yes",SUMPRODUCT('Staging Table'!AJ111:AU111,LS_Demand_Rates_Restatement!$C$10:$N$10),SUMPRODUCT(LS_Demand_Rates_Restatement!$C$10:$N$10,'Staging Table'!CW111:DH111))*1000</f>
        <v>0</v>
      </c>
      <c r="H109" s="201"/>
      <c r="I109" s="199">
        <v>0</v>
      </c>
      <c r="J109" s="201">
        <f>IF(Init!$R$9="Yes",IF('Staging Table'!D111=1,'Staging Table'!H111*-1*'Staging Table'!F111/'Staging Table'!E111,'Staging Table'!H111*SUM(D109:I109)*(-1)),IF('Staging Table'!D111=1,'Staging Table'!BU111*-1*'Staging Table'!BS111/'Staging Table'!BR111,'Staging Table'!BU111*SUM(D109:I109)*(-1)))</f>
        <v>0</v>
      </c>
      <c r="K109" s="199">
        <f>IF(Init!$R$9="Yes",'Staging Table'!K111,'Staging Table'!BX111)*(-1)*Rates_previous!$H$32</f>
        <v>0</v>
      </c>
      <c r="L109" s="199">
        <f>IF('Staging Table'!C111=1,"",SUM(D109:K109))</f>
        <v>111545217.71424636</v>
      </c>
      <c r="M109" s="199">
        <f>IF('Staging Table'!C111=1,"",IF(Init!$R$9="Yes",(RT1SC!$C$3*'Staging Table'!F111*'Staging Table'!$F$2),X109))</f>
        <v>3287605.0477470481</v>
      </c>
      <c r="N109" s="297">
        <f>IF('Staging Table'!C111=1,"",IF(M109=0, 0, L109/M109))</f>
        <v>33.929020090380632</v>
      </c>
      <c r="O109" s="199">
        <f>'Staging Table'!BS111*Rates_current!$E$76*100*12</f>
        <v>125405738.87615997</v>
      </c>
      <c r="P109" s="199">
        <f>'Staging Table'!BS111*Rates_current!$E$77*100*12</f>
        <v>-22038578.014079995</v>
      </c>
      <c r="Q109" s="200"/>
      <c r="R109" s="200">
        <f>SUMPRODUCT('Staging Table'!CW111:DH111, LS_Demand_Rates_Restatement!$C$11:$N$11)*1000</f>
        <v>0</v>
      </c>
      <c r="S109" s="201"/>
      <c r="T109" s="201">
        <v>0</v>
      </c>
      <c r="U109" s="201">
        <f>IF('Staging Table'!D111=1, 'Staging Table'!BU111*-1*'Staging Table'!BS111/'Staging Table'!BR111,SUM(O109:T109)*'Staging Table'!BU111*-1)</f>
        <v>0</v>
      </c>
      <c r="V109" s="199">
        <f>'Staging Table'!BX111*Rates_current!$H$32*-1</f>
        <v>0</v>
      </c>
      <c r="W109" s="199">
        <f>IF('Staging Table'!C111=1,"",SUM(O109:V109))</f>
        <v>103367160.86207998</v>
      </c>
      <c r="X109" s="199">
        <f>IF('Staging Table'!C111=1,"",(RT1SC!$C$4*'Staging Table'!BS111*'Staging Table'!$BS$2))</f>
        <v>3123374.7070529275</v>
      </c>
      <c r="Y109" s="297">
        <f>IF('Staging Table'!C111=1,"",IF(X109=0, 0, W109/X109))</f>
        <v>33.094703824253116</v>
      </c>
      <c r="Z109" s="76">
        <f ca="1">IF('Staging Table'!C111=1,"",(Y109/N109-1)+(RAND()/100000000000))</f>
        <v>-2.4590048982294485E-2</v>
      </c>
      <c r="AA109" s="53">
        <f t="shared" ca="1" si="1"/>
        <v>51</v>
      </c>
      <c r="AD109" s="204"/>
      <c r="AE109" s="204"/>
      <c r="AG109" s="204"/>
      <c r="AH109" s="204"/>
    </row>
    <row r="110" spans="2:34">
      <c r="B110" s="123">
        <v>10360</v>
      </c>
      <c r="C110" s="124" t="s">
        <v>113</v>
      </c>
      <c r="D110" s="199">
        <f>IF(Init!$R$9="Yes",'Staging Table'!F112,'Staging Table'!BS112)*Rates_previous!$E$76*100*12</f>
        <v>2297140.7569724862</v>
      </c>
      <c r="E110" s="199">
        <f>IF(Init!$R$9="Yes",'Staging Table'!F112,'Staging Table'!BS112)*Rates_previous!$E$77*100*12</f>
        <v>-379263.45095196302</v>
      </c>
      <c r="F110" s="200"/>
      <c r="G110" s="200">
        <f>IF(Init!$R$9="Yes",SUMPRODUCT('Staging Table'!AJ112:AU112,LS_Demand_Rates_Restatement!$C$10:$N$10),SUMPRODUCT(LS_Demand_Rates_Restatement!$C$10:$N$10,'Staging Table'!CW112:DH112))*1000</f>
        <v>106421.94855409543</v>
      </c>
      <c r="H110" s="201"/>
      <c r="I110" s="199">
        <v>0</v>
      </c>
      <c r="J110" s="201">
        <f>IF(Init!$R$9="Yes",IF('Staging Table'!D112=1,'Staging Table'!H112*-1*'Staging Table'!F112/'Staging Table'!E112,'Staging Table'!H112*SUM(D110:I110)*(-1)),IF('Staging Table'!D112=1,'Staging Table'!BU112*-1*'Staging Table'!BS112/'Staging Table'!BR112,'Staging Table'!BU112*SUM(D110:I110)*(-1)))</f>
        <v>-101721.03754237459</v>
      </c>
      <c r="K110" s="199">
        <f>IF(Init!$R$9="Yes",'Staging Table'!K112,'Staging Table'!BX112)*(-1)*Rates_previous!$H$32</f>
        <v>-218101.80600000001</v>
      </c>
      <c r="L110" s="199">
        <f>IF('Staging Table'!C112=1,"",SUM(D110:K110))</f>
        <v>1704476.4110322439</v>
      </c>
      <c r="M110" s="199">
        <f>IF('Staging Table'!C112=1,"",IF(Init!$R$9="Yes",(RT1SC!$C$3*'Staging Table'!F112*'Staging Table'!$F$2),X110))</f>
        <v>56526.162586236009</v>
      </c>
      <c r="N110" s="297">
        <f>IF('Staging Table'!C112=1,"",IF(M110=0, 0, L110/M110))</f>
        <v>30.153761250498896</v>
      </c>
      <c r="O110" s="199">
        <f>'Staging Table'!BS112*Rates_current!$E$76*100*12</f>
        <v>2386009.2945599998</v>
      </c>
      <c r="P110" s="199">
        <f>'Staging Table'!BS112*Rates_current!$E$77*100*12</f>
        <v>-419312.96327999997</v>
      </c>
      <c r="Q110" s="200"/>
      <c r="R110" s="200">
        <f>SUMPRODUCT('Staging Table'!CW112:DH112, LS_Demand_Rates_Restatement!$C$11:$N$11)*1000</f>
        <v>110794.4274658387</v>
      </c>
      <c r="S110" s="201"/>
      <c r="T110" s="201">
        <v>0</v>
      </c>
      <c r="U110" s="201">
        <f>IF('Staging Table'!D112=1, 'Staging Table'!BU112*-1*'Staging Table'!BS112/'Staging Table'!BR112,SUM(O110:T110)*'Staging Table'!BU112*-1)</f>
        <v>-105896.75178006227</v>
      </c>
      <c r="V110" s="199">
        <f>'Staging Table'!BX112*Rates_current!$H$32*-1</f>
        <v>-231508.0638</v>
      </c>
      <c r="W110" s="199">
        <f>IF('Staging Table'!C112=1,"",SUM(O110:V110))</f>
        <v>1740085.9431657763</v>
      </c>
      <c r="X110" s="199">
        <f>IF('Staging Table'!C112=1,"",(RT1SC!$C$4*'Staging Table'!BS112*'Staging Table'!$BS$2))</f>
        <v>59426.316117647992</v>
      </c>
      <c r="Y110" s="297">
        <f>IF('Staging Table'!C112=1,"",IF(X110=0, 0, W110/X110))</f>
        <v>29.281403540493372</v>
      </c>
      <c r="Z110" s="76">
        <f ca="1">IF('Staging Table'!C112=1,"",(Y110/N110-1)+(RAND()/100000000000))</f>
        <v>-2.8930311631172819E-2</v>
      </c>
      <c r="AA110" s="53">
        <f t="shared" ca="1" si="1"/>
        <v>104</v>
      </c>
      <c r="AD110" s="204"/>
      <c r="AE110" s="204"/>
      <c r="AG110" s="204"/>
      <c r="AH110" s="204"/>
    </row>
    <row r="111" spans="2:34">
      <c r="B111" s="123">
        <v>10363</v>
      </c>
      <c r="C111" s="124" t="s">
        <v>114</v>
      </c>
      <c r="D111" s="199">
        <f>IF(Init!$R$9="Yes",'Staging Table'!F113,'Staging Table'!BS113)*Rates_previous!$E$76*100*12</f>
        <v>32436951.240093477</v>
      </c>
      <c r="E111" s="199">
        <f>IF(Init!$R$9="Yes",'Staging Table'!F113,'Staging Table'!BS113)*Rates_previous!$E$77*100*12</f>
        <v>-5355418.482014142</v>
      </c>
      <c r="F111" s="200"/>
      <c r="G111" s="200">
        <f>IF(Init!$R$9="Yes",SUMPRODUCT('Staging Table'!AJ113:AU113,LS_Demand_Rates_Restatement!$C$10:$N$10),SUMPRODUCT(LS_Demand_Rates_Restatement!$C$10:$N$10,'Staging Table'!CW113:DH113))*1000</f>
        <v>969749.79576634581</v>
      </c>
      <c r="H111" s="201"/>
      <c r="I111" s="199">
        <v>0</v>
      </c>
      <c r="J111" s="201">
        <f>IF(Init!$R$9="Yes",IF('Staging Table'!D113=1,'Staging Table'!H113*-1*'Staging Table'!F113/'Staging Table'!E113,'Staging Table'!H113*SUM(D111:I111)*(-1)),IF('Staging Table'!D113=1,'Staging Table'!BU113*-1*'Staging Table'!BS113/'Staging Table'!BR113,'Staging Table'!BU113*SUM(D111:I111)*(-1)))</f>
        <v>0</v>
      </c>
      <c r="K111" s="199">
        <f>IF(Init!$R$9="Yes",'Staging Table'!K113,'Staging Table'!BX113)*(-1)*Rates_previous!$H$32</f>
        <v>0</v>
      </c>
      <c r="L111" s="199">
        <f>IF('Staging Table'!C113=1,"",SUM(D111:K111))</f>
        <v>28051282.553845681</v>
      </c>
      <c r="M111" s="199">
        <f>IF('Staging Table'!C113=1,"",IF(Init!$R$9="Yes",(RT1SC!$C$3*'Staging Table'!F113*'Staging Table'!$F$2),X111))</f>
        <v>798181.98951632401</v>
      </c>
      <c r="N111" s="297">
        <f>IF('Staging Table'!C113=1,"",IF(M111=0, 0, L111/M111))</f>
        <v>35.143968320863735</v>
      </c>
      <c r="O111" s="199">
        <f>'Staging Table'!BS113*Rates_current!$E$76*100*12</f>
        <v>32111978.295600001</v>
      </c>
      <c r="P111" s="199">
        <f>'Staging Table'!BS113*Rates_current!$E$77*100*12</f>
        <v>-5643301.0578000005</v>
      </c>
      <c r="Q111" s="200"/>
      <c r="R111" s="200">
        <f>SUMPRODUCT('Staging Table'!CW113:DH113, LS_Demand_Rates_Restatement!$C$11:$N$11)*1000</f>
        <v>955257.30700649007</v>
      </c>
      <c r="S111" s="201"/>
      <c r="T111" s="201">
        <v>0</v>
      </c>
      <c r="U111" s="201">
        <f>IF('Staging Table'!D113=1, 'Staging Table'!BU113*-1*'Staging Table'!BS113/'Staging Table'!BR113,SUM(O111:T111)*'Staging Table'!BU113*-1)</f>
        <v>0</v>
      </c>
      <c r="V111" s="199">
        <f>'Staging Table'!BX113*Rates_current!$H$32*-1</f>
        <v>0</v>
      </c>
      <c r="W111" s="199">
        <f>IF('Staging Table'!C113=1,"",SUM(O111:V111))</f>
        <v>27423934.544806492</v>
      </c>
      <c r="X111" s="199">
        <f>IF('Staging Table'!C113=1,"",(RT1SC!$C$4*'Staging Table'!BS113*'Staging Table'!$BS$2))</f>
        <v>799785.89258147986</v>
      </c>
      <c r="Y111" s="297">
        <f>IF('Staging Table'!C113=1,"",IF(X111=0, 0, W111/X111))</f>
        <v>34.289095118057013</v>
      </c>
      <c r="Z111" s="76">
        <f ca="1">IF('Staging Table'!C113=1,"",(Y111/N111-1)+(RAND()/100000000000))</f>
        <v>-2.43248911088975E-2</v>
      </c>
      <c r="AA111" s="53">
        <f t="shared" ca="1" si="1"/>
        <v>43</v>
      </c>
      <c r="AD111" s="204"/>
      <c r="AE111" s="204"/>
      <c r="AG111" s="204"/>
      <c r="AH111" s="204"/>
    </row>
    <row r="112" spans="2:34">
      <c r="B112" s="123">
        <v>10369</v>
      </c>
      <c r="C112" s="124" t="s">
        <v>115</v>
      </c>
      <c r="D112" s="199">
        <f>IF(Init!$R$9="Yes",'Staging Table'!F114,'Staging Table'!BS114)*Rates_previous!$E$76*100*12</f>
        <v>5579900.9430249305</v>
      </c>
      <c r="E112" s="199">
        <f>IF(Init!$R$9="Yes",'Staging Table'!F114,'Staging Table'!BS114)*Rates_previous!$E$77*100*12</f>
        <v>-921255.03463308001</v>
      </c>
      <c r="F112" s="200"/>
      <c r="G112" s="200">
        <f>IF(Init!$R$9="Yes",SUMPRODUCT('Staging Table'!AJ114:AU114,LS_Demand_Rates_Restatement!$C$10:$N$10),SUMPRODUCT(LS_Demand_Rates_Restatement!$C$10:$N$10,'Staging Table'!CW114:DH114))*1000</f>
        <v>309101.01746470807</v>
      </c>
      <c r="H112" s="201"/>
      <c r="I112" s="199">
        <v>0</v>
      </c>
      <c r="J112" s="201">
        <f>IF(Init!$R$9="Yes",IF('Staging Table'!D114=1,'Staging Table'!H114*-1*'Staging Table'!F114/'Staging Table'!E114,'Staging Table'!H114*SUM(D112:I112)*(-1)),IF('Staging Table'!D114=1,'Staging Table'!BU114*-1*'Staging Table'!BS114/'Staging Table'!BR114,'Staging Table'!BU114*SUM(D112:I112)*(-1)))</f>
        <v>-380479.73705135385</v>
      </c>
      <c r="K112" s="199">
        <f>IF(Init!$R$9="Yes",'Staging Table'!K114,'Staging Table'!BX114)*(-1)*Rates_previous!$H$32</f>
        <v>-503698.82090000005</v>
      </c>
      <c r="L112" s="199">
        <f>IF('Staging Table'!C114=1,"",SUM(D112:K112))</f>
        <v>4083568.3679052047</v>
      </c>
      <c r="M112" s="199">
        <f>IF('Staging Table'!C114=1,"",IF(Init!$R$9="Yes",(RT1SC!$C$3*'Staging Table'!F114*'Staging Table'!$F$2),X112))</f>
        <v>137305.64266171199</v>
      </c>
      <c r="N112" s="297">
        <f>IF('Staging Table'!C114=1,"",IF(M112=0, 0, L112/M112))</f>
        <v>29.740717779284083</v>
      </c>
      <c r="O112" s="199">
        <f>'Staging Table'!BS114*Rates_current!$E$76*100*12</f>
        <v>5795376.9292799998</v>
      </c>
      <c r="P112" s="199">
        <f>'Staging Table'!BS114*Rates_current!$E$77*100*12</f>
        <v>-1018469.07264</v>
      </c>
      <c r="Q112" s="200"/>
      <c r="R112" s="200">
        <f>SUMPRODUCT('Staging Table'!CW114:DH114, LS_Demand_Rates_Restatement!$C$11:$N$11)*1000</f>
        <v>326147.01398904924</v>
      </c>
      <c r="S112" s="201"/>
      <c r="T112" s="201">
        <v>0</v>
      </c>
      <c r="U112" s="201">
        <f>IF('Staging Table'!D114=1, 'Staging Table'!BU114*-1*'Staging Table'!BS114/'Staging Table'!BR114,SUM(O112:T112)*'Staging Table'!BU114*-1)</f>
        <v>-399496.02939560026</v>
      </c>
      <c r="V112" s="199">
        <f>'Staging Table'!BX114*Rates_current!$H$32*-1</f>
        <v>-534660.1245700001</v>
      </c>
      <c r="W112" s="199">
        <f>IF('Staging Table'!C114=1,"",SUM(O112:V112))</f>
        <v>4168898.7166634491</v>
      </c>
      <c r="X112" s="199">
        <f>IF('Staging Table'!C114=1,"",(RT1SC!$C$4*'Staging Table'!BS114*'Staging Table'!$BS$2))</f>
        <v>144340.55315942399</v>
      </c>
      <c r="Y112" s="297">
        <f>IF('Staging Table'!C114=1,"",IF(X112=0, 0, W112/X112))</f>
        <v>28.882380075535007</v>
      </c>
      <c r="Z112" s="76">
        <f ca="1">IF('Staging Table'!C114=1,"",(Y112/N112-1)+(RAND()/100000000000))</f>
        <v>-2.8860692271050672E-2</v>
      </c>
      <c r="AA112" s="53">
        <f t="shared" ca="1" si="1"/>
        <v>103</v>
      </c>
      <c r="AD112" s="204"/>
      <c r="AE112" s="204"/>
      <c r="AG112" s="204"/>
      <c r="AH112" s="204"/>
    </row>
    <row r="113" spans="2:34">
      <c r="B113" s="123">
        <v>10370</v>
      </c>
      <c r="C113" s="124" t="s">
        <v>116</v>
      </c>
      <c r="D113" s="199">
        <f>IF(Init!$R$9="Yes",'Staging Table'!F115,'Staging Table'!BS115)*Rates_previous!$E$76*100*12</f>
        <v>60649887.729867145</v>
      </c>
      <c r="E113" s="199">
        <f>IF(Init!$R$9="Yes",'Staging Table'!F115,'Staging Table'!BS115)*Rates_previous!$E$77*100*12</f>
        <v>-10013441.993251804</v>
      </c>
      <c r="F113" s="200"/>
      <c r="G113" s="200">
        <f>IF(Init!$R$9="Yes",SUMPRODUCT('Staging Table'!AJ115:AU115,LS_Demand_Rates_Restatement!$C$10:$N$10),SUMPRODUCT(LS_Demand_Rates_Restatement!$C$10:$N$10,'Staging Table'!CW115:DH115))*1000</f>
        <v>0</v>
      </c>
      <c r="H113" s="201"/>
      <c r="I113" s="199">
        <v>0</v>
      </c>
      <c r="J113" s="201">
        <f>IF(Init!$R$9="Yes",IF('Staging Table'!D115=1,'Staging Table'!H115*-1*'Staging Table'!F115/'Staging Table'!E115,'Staging Table'!H115*SUM(D113:I113)*(-1)),IF('Staging Table'!D115=1,'Staging Table'!BU115*-1*'Staging Table'!BS115/'Staging Table'!BR115,'Staging Table'!BU115*SUM(D113:I113)*(-1)))</f>
        <v>0</v>
      </c>
      <c r="K113" s="199">
        <f>IF(Init!$R$9="Yes",'Staging Table'!K115,'Staging Table'!BX115)*(-1)*Rates_previous!$H$32</f>
        <v>0</v>
      </c>
      <c r="L113" s="199">
        <f>IF('Staging Table'!C115=1,"",SUM(D113:K113))</f>
        <v>50636445.736615345</v>
      </c>
      <c r="M113" s="199">
        <f>IF('Staging Table'!C115=1,"",IF(Init!$R$9="Yes",(RT1SC!$C$3*'Staging Table'!F115*'Staging Table'!$F$2),X113))</f>
        <v>1492422.8758074718</v>
      </c>
      <c r="N113" s="297">
        <f>IF('Staging Table'!C115=1,"",IF(M113=0, 0, L113/M113))</f>
        <v>33.929020090380625</v>
      </c>
      <c r="O113" s="199">
        <f>'Staging Table'!BS115*Rates_current!$E$76*100*12</f>
        <v>56330047.369440004</v>
      </c>
      <c r="P113" s="199">
        <f>'Staging Table'!BS115*Rates_current!$E$77*100*12</f>
        <v>-9899340.768720001</v>
      </c>
      <c r="Q113" s="200"/>
      <c r="R113" s="200">
        <f>SUMPRODUCT('Staging Table'!CW115:DH115, LS_Demand_Rates_Restatement!$C$11:$N$11)*1000</f>
        <v>0</v>
      </c>
      <c r="S113" s="201"/>
      <c r="T113" s="201">
        <v>0</v>
      </c>
      <c r="U113" s="201">
        <f>IF('Staging Table'!D115=1, 'Staging Table'!BU115*-1*'Staging Table'!BS115/'Staging Table'!BR115,SUM(O113:T113)*'Staging Table'!BU115*-1)</f>
        <v>0</v>
      </c>
      <c r="V113" s="199">
        <f>'Staging Table'!BX115*Rates_current!$H$32*-1</f>
        <v>0</v>
      </c>
      <c r="W113" s="199">
        <f>IF('Staging Table'!C115=1,"",SUM(O113:V113))</f>
        <v>46430706.600720003</v>
      </c>
      <c r="X113" s="199">
        <f>IF('Staging Table'!C115=1,"",(RT1SC!$C$4*'Staging Table'!BS115*'Staging Table'!$BS$2))</f>
        <v>1402964.8625135517</v>
      </c>
      <c r="Y113" s="297">
        <f>IF('Staging Table'!C115=1,"",IF(X113=0, 0, W113/X113))</f>
        <v>33.094703824253131</v>
      </c>
      <c r="Z113" s="76">
        <f ca="1">IF('Staging Table'!C115=1,"",(Y113/N113-1)+(RAND()/100000000000))</f>
        <v>-2.4590048983316019E-2</v>
      </c>
      <c r="AA113" s="53">
        <f t="shared" ca="1" si="1"/>
        <v>53</v>
      </c>
      <c r="AD113" s="204"/>
      <c r="AE113" s="204"/>
      <c r="AG113" s="204"/>
      <c r="AH113" s="204"/>
    </row>
    <row r="114" spans="2:34">
      <c r="B114" s="123">
        <v>10371</v>
      </c>
      <c r="C114" s="124" t="s">
        <v>117</v>
      </c>
      <c r="D114" s="199">
        <f>IF(Init!$R$9="Yes",'Staging Table'!F116,'Staging Table'!BS116)*Rates_previous!$E$76*100*12</f>
        <v>3746552.8809041809</v>
      </c>
      <c r="E114" s="199">
        <f>IF(Init!$R$9="Yes",'Staging Table'!F116,'Staging Table'!BS116)*Rates_previous!$E$77*100*12</f>
        <v>-618564.87046899658</v>
      </c>
      <c r="F114" s="200"/>
      <c r="G114" s="200">
        <f>IF(Init!$R$9="Yes",SUMPRODUCT('Staging Table'!AJ116:AU116,LS_Demand_Rates_Restatement!$C$10:$N$10),SUMPRODUCT(LS_Demand_Rates_Restatement!$C$10:$N$10,'Staging Table'!CW116:DH116))*1000</f>
        <v>45659.003592485751</v>
      </c>
      <c r="H114" s="201"/>
      <c r="I114" s="199">
        <v>0</v>
      </c>
      <c r="J114" s="201">
        <f>IF(Init!$R$9="Yes",IF('Staging Table'!D116=1,'Staging Table'!H116*-1*'Staging Table'!F116/'Staging Table'!E116,'Staging Table'!H116*SUM(D114:I114)*(-1)),IF('Staging Table'!D116=1,'Staging Table'!BU116*-1*'Staging Table'!BS116/'Staging Table'!BR116,'Staging Table'!BU116*SUM(D114:I114)*(-1)))</f>
        <v>0</v>
      </c>
      <c r="K114" s="199">
        <f>IF(Init!$R$9="Yes",'Staging Table'!K116,'Staging Table'!BX116)*(-1)*Rates_previous!$H$32</f>
        <v>0</v>
      </c>
      <c r="L114" s="199">
        <f>IF('Staging Table'!C116=1,"",SUM(D114:K114))</f>
        <v>3173647.01402767</v>
      </c>
      <c r="M114" s="199">
        <f>IF('Staging Table'!C116=1,"",IF(Init!$R$9="Yes",(RT1SC!$C$3*'Staging Table'!F116*'Staging Table'!$F$2),X114))</f>
        <v>92192.111711531994</v>
      </c>
      <c r="N114" s="297">
        <f>IF('Staging Table'!C116=1,"",IF(M114=0, 0, L114/M114))</f>
        <v>34.424279421627453</v>
      </c>
      <c r="O114" s="199">
        <f>'Staging Table'!BS116*Rates_current!$E$76*100*12</f>
        <v>3890904.0688800002</v>
      </c>
      <c r="P114" s="199">
        <f>'Staging Table'!BS116*Rates_current!$E$77*100*12</f>
        <v>-683780.45244000002</v>
      </c>
      <c r="Q114" s="200"/>
      <c r="R114" s="200">
        <f>SUMPRODUCT('Staging Table'!CW116:DH116, LS_Demand_Rates_Restatement!$C$11:$N$11)*1000</f>
        <v>58701.024431196587</v>
      </c>
      <c r="S114" s="201"/>
      <c r="T114" s="201">
        <v>0</v>
      </c>
      <c r="U114" s="201">
        <f>IF('Staging Table'!D116=1, 'Staging Table'!BU116*-1*'Staging Table'!BS116/'Staging Table'!BR116,SUM(O114:T114)*'Staging Table'!BU116*-1)</f>
        <v>0</v>
      </c>
      <c r="V114" s="199">
        <f>'Staging Table'!BX116*Rates_current!$H$32*-1</f>
        <v>0</v>
      </c>
      <c r="W114" s="199">
        <f>IF('Staging Table'!C116=1,"",SUM(O114:V114))</f>
        <v>3265824.6408711965</v>
      </c>
      <c r="X114" s="199">
        <f>IF('Staging Table'!C116=1,"",(RT1SC!$C$4*'Staging Table'!BS116*'Staging Table'!$BS$2))</f>
        <v>96907.457866104</v>
      </c>
      <c r="Y114" s="297">
        <f>IF('Staging Table'!C116=1,"",IF(X114=0, 0, W114/X114))</f>
        <v>33.700446929312207</v>
      </c>
      <c r="Z114" s="76">
        <f ca="1">IF('Staging Table'!C116=1,"",(Y114/N114-1)+(RAND()/100000000000))</f>
        <v>-2.1026801559020519E-2</v>
      </c>
      <c r="AA114" s="53">
        <f t="shared" ca="1" si="1"/>
        <v>14</v>
      </c>
      <c r="AD114" s="204"/>
      <c r="AE114" s="204"/>
      <c r="AG114" s="204"/>
      <c r="AH114" s="204"/>
    </row>
    <row r="115" spans="2:34">
      <c r="B115" s="123">
        <v>10376</v>
      </c>
      <c r="C115" s="124" t="s">
        <v>118</v>
      </c>
      <c r="D115" s="199">
        <f>IF(Init!$R$9="Yes",'Staging Table'!F117,'Staging Table'!BS117)*Rates_previous!$E$76*100*12</f>
        <v>19026531.75260435</v>
      </c>
      <c r="E115" s="199">
        <f>IF(Init!$R$9="Yes",'Staging Table'!F117,'Staging Table'!BS117)*Rates_previous!$E$77*100*12</f>
        <v>-3141326.0464065918</v>
      </c>
      <c r="F115" s="200"/>
      <c r="G115" s="200">
        <f>IF(Init!$R$9="Yes",SUMPRODUCT('Staging Table'!AJ117:AU117,LS_Demand_Rates_Restatement!$C$10:$N$10),SUMPRODUCT(LS_Demand_Rates_Restatement!$C$10:$N$10,'Staging Table'!CW117:DH117))*1000</f>
        <v>538664.04530783487</v>
      </c>
      <c r="H115" s="201"/>
      <c r="I115" s="199">
        <v>0</v>
      </c>
      <c r="J115" s="201">
        <f>IF(Init!$R$9="Yes",IF('Staging Table'!D117=1,'Staging Table'!H117*-1*'Staging Table'!F117/'Staging Table'!E117,'Staging Table'!H117*SUM(D115:I115)*(-1)),IF('Staging Table'!D117=1,'Staging Table'!BU117*-1*'Staging Table'!BS117/'Staging Table'!BR117,'Staging Table'!BU117*SUM(D115:I115)*(-1)))</f>
        <v>0</v>
      </c>
      <c r="K115" s="199">
        <f>IF(Init!$R$9="Yes",'Staging Table'!K117,'Staging Table'!BX117)*(-1)*Rates_previous!$H$32</f>
        <v>0</v>
      </c>
      <c r="L115" s="199">
        <f>IF('Staging Table'!C117=1,"",SUM(D115:K115))</f>
        <v>16423869.751505595</v>
      </c>
      <c r="M115" s="199">
        <f>IF('Staging Table'!C117=1,"",IF(Init!$R$9="Yes",(RT1SC!$C$3*'Staging Table'!F117*'Staging Table'!$F$2),X115))</f>
        <v>468189.34540056007</v>
      </c>
      <c r="N115" s="297">
        <f>IF('Staging Table'!C117=1,"",IF(M115=0, 0, L115/M115))</f>
        <v>35.07954615552844</v>
      </c>
      <c r="O115" s="199">
        <f>'Staging Table'!BS117*Rates_current!$E$76*100*12</f>
        <v>19760431.746959999</v>
      </c>
      <c r="P115" s="199">
        <f>'Staging Table'!BS117*Rates_current!$E$77*100*12</f>
        <v>-3472662.5794799994</v>
      </c>
      <c r="Q115" s="200"/>
      <c r="R115" s="200">
        <f>SUMPRODUCT('Staging Table'!CW117:DH117, LS_Demand_Rates_Restatement!$C$11:$N$11)*1000</f>
        <v>496288.27798851492</v>
      </c>
      <c r="S115" s="201"/>
      <c r="T115" s="201">
        <v>0</v>
      </c>
      <c r="U115" s="201">
        <f>IF('Staging Table'!D117=1, 'Staging Table'!BU117*-1*'Staging Table'!BS117/'Staging Table'!BR117,SUM(O115:T115)*'Staging Table'!BU117*-1)</f>
        <v>0</v>
      </c>
      <c r="V115" s="199">
        <f>'Staging Table'!BX117*Rates_current!$H$32*-1</f>
        <v>0</v>
      </c>
      <c r="W115" s="199">
        <f>IF('Staging Table'!C117=1,"",SUM(O115:V115))</f>
        <v>16784057.445468515</v>
      </c>
      <c r="X115" s="199">
        <f>IF('Staging Table'!C117=1,"",(RT1SC!$C$4*'Staging Table'!BS117*'Staging Table'!$BS$2))</f>
        <v>492156.36598456796</v>
      </c>
      <c r="Y115" s="297">
        <f>IF('Staging Table'!C117=1,"",IF(X115=0, 0, W115/X115))</f>
        <v>34.103099351141573</v>
      </c>
      <c r="Z115" s="76">
        <f ca="1">IF('Staging Table'!C117=1,"",(Y115/N115-1)+(RAND()/100000000000))</f>
        <v>-2.7835217704928285E-2</v>
      </c>
      <c r="AA115" s="53">
        <f t="shared" ca="1" si="1"/>
        <v>97</v>
      </c>
      <c r="AD115" s="204"/>
      <c r="AE115" s="204"/>
      <c r="AG115" s="204"/>
      <c r="AH115" s="204"/>
    </row>
    <row r="116" spans="2:34">
      <c r="B116" s="123">
        <v>10378</v>
      </c>
      <c r="C116" s="124" t="s">
        <v>119</v>
      </c>
      <c r="D116" s="199">
        <f>IF(Init!$R$9="Yes",'Staging Table'!F118,'Staging Table'!BS118)*Rates_previous!$E$76*100*12</f>
        <v>668830.31330997637</v>
      </c>
      <c r="E116" s="199">
        <f>IF(Init!$R$9="Yes",'Staging Table'!F118,'Staging Table'!BS118)*Rates_previous!$E$77*100*12</f>
        <v>-110425.48958190047</v>
      </c>
      <c r="F116" s="200"/>
      <c r="G116" s="200">
        <f>IF(Init!$R$9="Yes",SUMPRODUCT('Staging Table'!AJ118:AU118,LS_Demand_Rates_Restatement!$C$10:$N$10),SUMPRODUCT(LS_Demand_Rates_Restatement!$C$10:$N$10,'Staging Table'!CW118:DH118))*1000</f>
        <v>62963.173506623942</v>
      </c>
      <c r="H116" s="201"/>
      <c r="I116" s="199">
        <v>0</v>
      </c>
      <c r="J116" s="201">
        <f>IF(Init!$R$9="Yes",IF('Staging Table'!D118=1,'Staging Table'!H118*-1*'Staging Table'!F118/'Staging Table'!E118,'Staging Table'!H118*SUM(D116:I116)*(-1)),IF('Staging Table'!D118=1,'Staging Table'!BU118*-1*'Staging Table'!BS118/'Staging Table'!BR118,'Staging Table'!BU118*SUM(D116:I116)*(-1)))</f>
        <v>0</v>
      </c>
      <c r="K116" s="199">
        <f>IF(Init!$R$9="Yes",'Staging Table'!K118,'Staging Table'!BX118)*(-1)*Rates_previous!$H$32</f>
        <v>0</v>
      </c>
      <c r="L116" s="199">
        <f>IF('Staging Table'!C118=1,"",SUM(D116:K116))</f>
        <v>621367.9972346999</v>
      </c>
      <c r="M116" s="199">
        <f>IF('Staging Table'!C118=1,"",IF(Init!$R$9="Yes",(RT1SC!$C$3*'Staging Table'!F118*'Staging Table'!$F$2),X116))</f>
        <v>16458.029799876003</v>
      </c>
      <c r="N116" s="297">
        <f>IF('Staging Table'!C118=1,"",IF(M116=0, 0, L116/M116))</f>
        <v>37.754701187828772</v>
      </c>
      <c r="O116" s="199">
        <f>'Staging Table'!BS118*Rates_current!$E$76*100*12</f>
        <v>712713.78072000004</v>
      </c>
      <c r="P116" s="199">
        <f>'Staging Table'!BS118*Rates_current!$E$77*100*12</f>
        <v>-125251.03236000001</v>
      </c>
      <c r="Q116" s="200"/>
      <c r="R116" s="200">
        <f>SUMPRODUCT('Staging Table'!CW118:DH118, LS_Demand_Rates_Restatement!$C$11:$N$11)*1000</f>
        <v>62721.046891666672</v>
      </c>
      <c r="S116" s="201"/>
      <c r="T116" s="201">
        <v>0</v>
      </c>
      <c r="U116" s="201">
        <f>IF('Staging Table'!D118=1, 'Staging Table'!BU118*-1*'Staging Table'!BS118/'Staging Table'!BR118,SUM(O116:T116)*'Staging Table'!BU118*-1)</f>
        <v>0</v>
      </c>
      <c r="V116" s="199">
        <f>'Staging Table'!BX118*Rates_current!$H$32*-1</f>
        <v>0</v>
      </c>
      <c r="W116" s="199">
        <f>IF('Staging Table'!C118=1,"",SUM(O116:V116))</f>
        <v>650183.7952516668</v>
      </c>
      <c r="X116" s="199">
        <f>IF('Staging Table'!C118=1,"",(RT1SC!$C$4*'Staging Table'!BS118*'Staging Table'!$BS$2))</f>
        <v>17750.959533575999</v>
      </c>
      <c r="Y116" s="297">
        <f>IF('Staging Table'!C118=1,"",IF(X116=0, 0, W116/X116))</f>
        <v>36.628092922066664</v>
      </c>
      <c r="Z116" s="76">
        <f ca="1">IF('Staging Table'!C118=1,"",(Y116/N116-1)+(RAND()/100000000000))</f>
        <v>-2.9840211420275202E-2</v>
      </c>
      <c r="AA116" s="53">
        <f t="shared" ca="1" si="1"/>
        <v>108</v>
      </c>
      <c r="AD116" s="204"/>
      <c r="AE116" s="204"/>
      <c r="AG116" s="204"/>
      <c r="AH116" s="204"/>
    </row>
    <row r="117" spans="2:34">
      <c r="B117" s="123">
        <v>10379</v>
      </c>
      <c r="C117" s="124" t="s">
        <v>120</v>
      </c>
      <c r="D117" s="199">
        <f>IF(Init!$R$9="Yes",'Staging Table'!F119,'Staging Table'!BS119)*Rates_previous!$E$76*100*12</f>
        <v>1618718.0404597851</v>
      </c>
      <c r="E117" s="199">
        <f>IF(Init!$R$9="Yes",'Staging Table'!F119,'Staging Table'!BS119)*Rates_previous!$E$77*100*12</f>
        <v>-267254.23258437729</v>
      </c>
      <c r="F117" s="200"/>
      <c r="G117" s="200">
        <f>IF(Init!$R$9="Yes",SUMPRODUCT('Staging Table'!AJ119:AU119,LS_Demand_Rates_Restatement!$C$10:$N$10),SUMPRODUCT(LS_Demand_Rates_Restatement!$C$10:$N$10,'Staging Table'!CW119:DH119))*1000</f>
        <v>87122.620114467616</v>
      </c>
      <c r="H117" s="201"/>
      <c r="I117" s="199">
        <v>0</v>
      </c>
      <c r="J117" s="201">
        <f>IF(Init!$R$9="Yes",IF('Staging Table'!D119=1,'Staging Table'!H119*-1*'Staging Table'!F119/'Staging Table'!E119,'Staging Table'!H119*SUM(D117:I117)*(-1)),IF('Staging Table'!D119=1,'Staging Table'!BU119*-1*'Staging Table'!BS119/'Staging Table'!BR119,'Staging Table'!BU119*SUM(D117:I117)*(-1)))</f>
        <v>0</v>
      </c>
      <c r="K117" s="199">
        <f>IF(Init!$R$9="Yes",'Staging Table'!K119,'Staging Table'!BX119)*(-1)*Rates_previous!$H$32</f>
        <v>0</v>
      </c>
      <c r="L117" s="199">
        <f>IF('Staging Table'!C119=1,"",SUM(D117:K117))</f>
        <v>1438586.4279898754</v>
      </c>
      <c r="M117" s="199">
        <f>IF('Staging Table'!C119=1,"",IF(Init!$R$9="Yes",(RT1SC!$C$3*'Staging Table'!F119*'Staging Table'!$F$2),X117))</f>
        <v>39832.090767000002</v>
      </c>
      <c r="N117" s="297">
        <f>IF('Staging Table'!C119=1,"",IF(M117=0, 0, L117/M117))</f>
        <v>36.116267067299219</v>
      </c>
      <c r="O117" s="199">
        <f>'Staging Table'!BS119*Rates_current!$E$76*100*12</f>
        <v>1618739.6529599999</v>
      </c>
      <c r="P117" s="199">
        <f>'Staging Table'!BS119*Rates_current!$E$77*100*12</f>
        <v>-284474.38248000003</v>
      </c>
      <c r="Q117" s="200"/>
      <c r="R117" s="200">
        <f>SUMPRODUCT('Staging Table'!CW119:DH119, LS_Demand_Rates_Restatement!$C$11:$N$11)*1000</f>
        <v>90893.685742895308</v>
      </c>
      <c r="S117" s="201"/>
      <c r="T117" s="201">
        <v>0</v>
      </c>
      <c r="U117" s="201">
        <f>IF('Staging Table'!D119=1, 'Staging Table'!BU119*-1*'Staging Table'!BS119/'Staging Table'!BR119,SUM(O117:T117)*'Staging Table'!BU119*-1)</f>
        <v>0</v>
      </c>
      <c r="V117" s="199">
        <f>'Staging Table'!BX119*Rates_current!$H$32*-1</f>
        <v>0</v>
      </c>
      <c r="W117" s="199">
        <f>IF('Staging Table'!C119=1,"",SUM(O117:V117))</f>
        <v>1425158.9562228953</v>
      </c>
      <c r="X117" s="199">
        <f>IF('Staging Table'!C119=1,"",(RT1SC!$C$4*'Staging Table'!BS119*'Staging Table'!$BS$2))</f>
        <v>40316.579884368002</v>
      </c>
      <c r="Y117" s="297">
        <f>IF('Staging Table'!C119=1,"",IF(X117=0, 0, W117/X117))</f>
        <v>35.349202742653127</v>
      </c>
      <c r="Z117" s="76">
        <f ca="1">IF('Staging Table'!C119=1,"",(Y117/N117-1)+(RAND()/100000000000))</f>
        <v>-2.1238748819940818E-2</v>
      </c>
      <c r="AA117" s="53">
        <f t="shared" ca="1" si="1"/>
        <v>17</v>
      </c>
      <c r="AD117" s="204"/>
      <c r="AE117" s="204"/>
      <c r="AG117" s="204"/>
      <c r="AH117" s="204"/>
    </row>
    <row r="118" spans="2:34">
      <c r="B118" s="123">
        <v>10388</v>
      </c>
      <c r="C118" s="124" t="s">
        <v>121</v>
      </c>
      <c r="D118" s="199">
        <f>IF(Init!$R$9="Yes",'Staging Table'!F120,'Staging Table'!BS120)*Rates_previous!$E$76*100*12</f>
        <v>38448750.137321085</v>
      </c>
      <c r="E118" s="199">
        <f>IF(Init!$R$9="Yes",'Staging Table'!F120,'Staging Table'!BS120)*Rates_previous!$E$77*100*12</f>
        <v>-6347980.9052226981</v>
      </c>
      <c r="F118" s="200"/>
      <c r="G118" s="200">
        <f>IF(Init!$R$9="Yes",SUMPRODUCT('Staging Table'!AJ120:AU120,LS_Demand_Rates_Restatement!$C$10:$N$10),SUMPRODUCT(LS_Demand_Rates_Restatement!$C$10:$N$10,'Staging Table'!CW120:DH120))*1000</f>
        <v>0</v>
      </c>
      <c r="H118" s="201"/>
      <c r="I118" s="199">
        <v>0</v>
      </c>
      <c r="J118" s="201">
        <f>IF(Init!$R$9="Yes",IF('Staging Table'!D120=1,'Staging Table'!H120*-1*'Staging Table'!F120/'Staging Table'!E120,'Staging Table'!H120*SUM(D118:I118)*(-1)),IF('Staging Table'!D120=1,'Staging Table'!BU120*-1*'Staging Table'!BS120/'Staging Table'!BR120,'Staging Table'!BU120*SUM(D118:I118)*(-1)))</f>
        <v>-2957443.8693532245</v>
      </c>
      <c r="K118" s="199">
        <f>IF(Init!$R$9="Yes",'Staging Table'!K120,'Staging Table'!BX120)*(-1)*Rates_previous!$H$32</f>
        <v>-2493619.4543000003</v>
      </c>
      <c r="L118" s="199">
        <f>IF('Staging Table'!C120=1,"",SUM(D118:K118))</f>
        <v>26649705.908445161</v>
      </c>
      <c r="M118" s="199">
        <f>IF('Staging Table'!C120=1,"",IF(Init!$R$9="Yes",(RT1SC!$C$3*'Staging Table'!F120*'Staging Table'!$F$2),X118))</f>
        <v>946115.42409971997</v>
      </c>
      <c r="N118" s="297">
        <f>IF('Staging Table'!C120=1,"",IF(M118=0, 0, L118/M118))</f>
        <v>28.167499683036876</v>
      </c>
      <c r="O118" s="199">
        <f>'Staging Table'!BS120*Rates_current!$E$76*100*12</f>
        <v>39931900.801920004</v>
      </c>
      <c r="P118" s="199">
        <f>'Staging Table'!BS120*Rates_current!$E$77*100*12</f>
        <v>-7017560.1129600015</v>
      </c>
      <c r="Q118" s="200"/>
      <c r="R118" s="200">
        <f>SUMPRODUCT('Staging Table'!CW120:DH120, LS_Demand_Rates_Restatement!$C$11:$N$11)*1000</f>
        <v>0</v>
      </c>
      <c r="S118" s="201"/>
      <c r="T118" s="201">
        <v>0</v>
      </c>
      <c r="U118" s="201">
        <f>IF('Staging Table'!D120=1, 'Staging Table'!BU120*-1*'Staging Table'!BS120/'Staging Table'!BR120,SUM(O118:T118)*'Staging Table'!BU120*-1)</f>
        <v>-2579413.5902876812</v>
      </c>
      <c r="V118" s="199">
        <f>'Staging Table'!BX120*Rates_current!$H$32*-1</f>
        <v>-2646896.9803900002</v>
      </c>
      <c r="W118" s="199">
        <f>IF('Staging Table'!C120=1,"",SUM(O118:V118))</f>
        <v>27688030.118282318</v>
      </c>
      <c r="X118" s="199">
        <f>IF('Staging Table'!C120=1,"",(RT1SC!$C$4*'Staging Table'!BS120*'Staging Table'!$BS$2))</f>
        <v>994550.09066553612</v>
      </c>
      <c r="Y118" s="297">
        <f>IF('Staging Table'!C120=1,"",IF(X118=0, 0, W118/X118))</f>
        <v>27.839754254865088</v>
      </c>
      <c r="Z118" s="76">
        <f ca="1">IF('Staging Table'!C120=1,"",(Y118/N118-1)+(RAND()/100000000000))</f>
        <v>-1.1635588238100798E-2</v>
      </c>
      <c r="AA118" s="53">
        <f t="shared" ca="1" si="1"/>
        <v>3</v>
      </c>
      <c r="AD118" s="204"/>
      <c r="AE118" s="204"/>
      <c r="AG118" s="204"/>
      <c r="AH118" s="204"/>
    </row>
    <row r="119" spans="2:34">
      <c r="B119" s="123">
        <v>10391</v>
      </c>
      <c r="C119" s="124" t="s">
        <v>122</v>
      </c>
      <c r="D119" s="199">
        <f>IF(Init!$R$9="Yes",'Staging Table'!F121,'Staging Table'!BS121)*Rates_previous!$E$76*100*12</f>
        <v>10179698.08881147</v>
      </c>
      <c r="E119" s="199">
        <f>IF(Init!$R$9="Yes",'Staging Table'!F121,'Staging Table'!BS121)*Rates_previous!$E$77*100*12</f>
        <v>-1680692.5805887752</v>
      </c>
      <c r="F119" s="200"/>
      <c r="G119" s="200">
        <f>IF(Init!$R$9="Yes",SUMPRODUCT('Staging Table'!AJ121:AU121,LS_Demand_Rates_Restatement!$C$10:$N$10),SUMPRODUCT(LS_Demand_Rates_Restatement!$C$10:$N$10,'Staging Table'!CW121:DH121))*1000</f>
        <v>524420.43209944817</v>
      </c>
      <c r="H119" s="201"/>
      <c r="I119" s="199">
        <v>0</v>
      </c>
      <c r="J119" s="201">
        <f>IF(Init!$R$9="Yes",IF('Staging Table'!D121=1,'Staging Table'!H121*-1*'Staging Table'!F121/'Staging Table'!E121,'Staging Table'!H121*SUM(D119:I119)*(-1)),IF('Staging Table'!D121=1,'Staging Table'!BU121*-1*'Staging Table'!BS121/'Staging Table'!BR121,'Staging Table'!BU121*SUM(D119:I119)*(-1)))</f>
        <v>-307879.2930837915</v>
      </c>
      <c r="K119" s="199">
        <f>IF(Init!$R$9="Yes",'Staging Table'!K121,'Staging Table'!BX121)*(-1)*Rates_previous!$H$32</f>
        <v>-482544.66769999999</v>
      </c>
      <c r="L119" s="199">
        <f>IF('Staging Table'!C121=1,"",SUM(D119:K119))</f>
        <v>8233001.9795383532</v>
      </c>
      <c r="M119" s="199">
        <f>IF('Staging Table'!C121=1,"",IF(Init!$R$9="Yes",(RT1SC!$C$3*'Staging Table'!F121*'Staging Table'!$F$2),X119))</f>
        <v>250493.69199531601</v>
      </c>
      <c r="N119" s="297">
        <f>IF('Staging Table'!C121=1,"",IF(M119=0, 0, L119/M119))</f>
        <v>32.867103015481533</v>
      </c>
      <c r="O119" s="199">
        <f>'Staging Table'!BS121*Rates_current!$E$76*100*12</f>
        <v>10572377.788800001</v>
      </c>
      <c r="P119" s="199">
        <f>'Staging Table'!BS121*Rates_current!$E$77*100*12</f>
        <v>-1857970.5744000003</v>
      </c>
      <c r="Q119" s="200"/>
      <c r="R119" s="200">
        <f>SUMPRODUCT('Staging Table'!CW121:DH121, LS_Demand_Rates_Restatement!$C$11:$N$11)*1000</f>
        <v>544490.07532905985</v>
      </c>
      <c r="S119" s="201"/>
      <c r="T119" s="201">
        <v>0</v>
      </c>
      <c r="U119" s="201">
        <f>IF('Staging Table'!D121=1, 'Staging Table'!BU121*-1*'Staging Table'!BS121/'Staging Table'!BR121,SUM(O119:T119)*'Staging Table'!BU121*-1)</f>
        <v>-352608.41057812626</v>
      </c>
      <c r="V119" s="199">
        <f>'Staging Table'!BX121*Rates_current!$H$32*-1</f>
        <v>-512205.67021000001</v>
      </c>
      <c r="W119" s="199">
        <f>IF('Staging Table'!C121=1,"",SUM(O119:V119))</f>
        <v>8394083.2089409344</v>
      </c>
      <c r="X119" s="199">
        <f>IF('Staging Table'!C121=1,"",(RT1SC!$C$4*'Staging Table'!BS121*'Staging Table'!$BS$2))</f>
        <v>263317.27459104004</v>
      </c>
      <c r="Y119" s="297">
        <f>IF('Staging Table'!C121=1,"",IF(X119=0, 0, W119/X119))</f>
        <v>31.878209365404704</v>
      </c>
      <c r="Z119" s="76">
        <f ca="1">IF('Staging Table'!C121=1,"",(Y119/N119-1)+(RAND()/100000000000))</f>
        <v>-3.0087642631830638E-2</v>
      </c>
      <c r="AA119" s="53">
        <f t="shared" ca="1" si="1"/>
        <v>109</v>
      </c>
      <c r="AD119" s="204"/>
      <c r="AE119" s="204"/>
      <c r="AG119" s="204"/>
      <c r="AH119" s="204"/>
    </row>
    <row r="120" spans="2:34">
      <c r="B120" s="123">
        <v>10406</v>
      </c>
      <c r="C120" s="124" t="s">
        <v>123</v>
      </c>
      <c r="D120" s="199">
        <f>IF(Init!$R$9="Yes",'Staging Table'!F122,'Staging Table'!BS122)*Rates_previous!$E$76*100*12</f>
        <v>155636.7419642075</v>
      </c>
      <c r="E120" s="199">
        <f>IF(Init!$R$9="Yes",'Staging Table'!F122,'Staging Table'!BS122)*Rates_previous!$E$77*100*12</f>
        <v>-25695.999547742351</v>
      </c>
      <c r="F120" s="200"/>
      <c r="G120" s="200">
        <f>IF(Init!$R$9="Yes",SUMPRODUCT('Staging Table'!AJ122:AU122,LS_Demand_Rates_Restatement!$C$10:$N$10),SUMPRODUCT(LS_Demand_Rates_Restatement!$C$10:$N$10,'Staging Table'!CW122:DH122))*1000</f>
        <v>9537.7299252403845</v>
      </c>
      <c r="H120" s="201"/>
      <c r="I120" s="199">
        <v>0</v>
      </c>
      <c r="J120" s="201">
        <f>IF(Init!$R$9="Yes",IF('Staging Table'!D122=1,'Staging Table'!H122*-1*'Staging Table'!F122/'Staging Table'!E122,'Staging Table'!H122*SUM(D120:I120)*(-1)),IF('Staging Table'!D122=1,'Staging Table'!BU122*-1*'Staging Table'!BS122/'Staging Table'!BR122,'Staging Table'!BU122*SUM(D120:I120)*(-1)))</f>
        <v>0</v>
      </c>
      <c r="K120" s="199">
        <f>IF(Init!$R$9="Yes",'Staging Table'!K122,'Staging Table'!BX122)*(-1)*Rates_previous!$H$32</f>
        <v>0</v>
      </c>
      <c r="L120" s="199">
        <f>IF('Staging Table'!C122=1,"",SUM(D120:K120))</f>
        <v>139478.47234170552</v>
      </c>
      <c r="M120" s="199">
        <f>IF('Staging Table'!C122=1,"",IF(Init!$R$9="Yes",(RT1SC!$C$3*'Staging Table'!F122*'Staging Table'!$F$2),X120))</f>
        <v>3829.7817641160004</v>
      </c>
      <c r="N120" s="297">
        <f>IF('Staging Table'!C122=1,"",IF(M120=0, 0, L120/M120))</f>
        <v>36.419430905588506</v>
      </c>
      <c r="O120" s="199">
        <f>'Staging Table'!BS122*Rates_current!$E$76*100*12</f>
        <v>161425.56096</v>
      </c>
      <c r="P120" s="199">
        <f>'Staging Table'!BS122*Rates_current!$E$77*100*12</f>
        <v>-28368.636479999997</v>
      </c>
      <c r="Q120" s="200"/>
      <c r="R120" s="200">
        <f>SUMPRODUCT('Staging Table'!CW122:DH122, LS_Demand_Rates_Restatement!$C$11:$N$11)*1000</f>
        <v>8830.482026442307</v>
      </c>
      <c r="S120" s="201"/>
      <c r="T120" s="201">
        <v>0</v>
      </c>
      <c r="U120" s="201">
        <f>IF('Staging Table'!D122=1, 'Staging Table'!BU122*-1*'Staging Table'!BS122/'Staging Table'!BR122,SUM(O120:T120)*'Staging Table'!BU122*-1)</f>
        <v>0</v>
      </c>
      <c r="V120" s="199">
        <f>'Staging Table'!BX122*Rates_current!$H$32*-1</f>
        <v>0</v>
      </c>
      <c r="W120" s="199">
        <f>IF('Staging Table'!C122=1,"",SUM(O120:V120))</f>
        <v>141887.40650644232</v>
      </c>
      <c r="X120" s="199">
        <f>IF('Staging Table'!C122=1,"",(RT1SC!$C$4*'Staging Table'!BS122*'Staging Table'!$BS$2))</f>
        <v>4020.4899607680004</v>
      </c>
      <c r="Y120" s="297">
        <f>IF('Staging Table'!C122=1,"",IF(X120=0, 0, W120/X120))</f>
        <v>35.291073449002909</v>
      </c>
      <c r="Z120" s="76">
        <f ca="1">IF('Staging Table'!C122=1,"",(Y120/N120-1)+(RAND()/100000000000))</f>
        <v>-3.0982292376545862E-2</v>
      </c>
      <c r="AA120" s="53">
        <f t="shared" ca="1" si="1"/>
        <v>110</v>
      </c>
      <c r="AD120" s="204"/>
      <c r="AE120" s="204"/>
      <c r="AG120" s="204"/>
      <c r="AH120" s="204"/>
    </row>
    <row r="121" spans="2:34">
      <c r="B121" s="123">
        <v>10408</v>
      </c>
      <c r="C121" s="124" t="s">
        <v>124</v>
      </c>
      <c r="D121" s="199">
        <f>IF(Init!$R$9="Yes",'Staging Table'!F123,'Staging Table'!BS123)*Rates_previous!$E$76*100*12</f>
        <v>518709.20318733552</v>
      </c>
      <c r="E121" s="199">
        <f>IF(Init!$R$9="Yes",'Staging Table'!F123,'Staging Table'!BS123)*Rates_previous!$E$77*100*12</f>
        <v>-85640.134085927129</v>
      </c>
      <c r="F121" s="200"/>
      <c r="G121" s="200">
        <f>IF(Init!$R$9="Yes",SUMPRODUCT('Staging Table'!AJ123:AU123,LS_Demand_Rates_Restatement!$C$10:$N$10),SUMPRODUCT(LS_Demand_Rates_Restatement!$C$10:$N$10,'Staging Table'!CW123:DH123))*1000</f>
        <v>25245.055773878204</v>
      </c>
      <c r="H121" s="201"/>
      <c r="I121" s="199">
        <v>0</v>
      </c>
      <c r="J121" s="201">
        <f>IF(Init!$R$9="Yes",IF('Staging Table'!D123=1,'Staging Table'!H123*-1*'Staging Table'!F123/'Staging Table'!E123,'Staging Table'!H123*SUM(D121:I121)*(-1)),IF('Staging Table'!D123=1,'Staging Table'!BU123*-1*'Staging Table'!BS123/'Staging Table'!BR123,'Staging Table'!BU123*SUM(D121:I121)*(-1)))</f>
        <v>0</v>
      </c>
      <c r="K121" s="199">
        <f>IF(Init!$R$9="Yes",'Staging Table'!K123,'Staging Table'!BX123)*(-1)*Rates_previous!$H$32</f>
        <v>0</v>
      </c>
      <c r="L121" s="199">
        <f>IF('Staging Table'!C123=1,"",SUM(D121:K121))</f>
        <v>458314.12487528654</v>
      </c>
      <c r="M121" s="199">
        <f>IF('Staging Table'!C123=1,"",IF(Init!$R$9="Yes",(RT1SC!$C$3*'Staging Table'!F123*'Staging Table'!$F$2),X121))</f>
        <v>12763.972196892</v>
      </c>
      <c r="N121" s="297">
        <f>IF('Staging Table'!C123=1,"",IF(M121=0, 0, L121/M121))</f>
        <v>35.906857035217065</v>
      </c>
      <c r="O121" s="199">
        <f>'Staging Table'!BS123*Rates_current!$E$76*100*12</f>
        <v>538583.43024000002</v>
      </c>
      <c r="P121" s="199">
        <f>'Staging Table'!BS123*Rates_current!$E$77*100*12</f>
        <v>-94649.679120000001</v>
      </c>
      <c r="Q121" s="200"/>
      <c r="R121" s="200">
        <f>SUMPRODUCT('Staging Table'!CW123:DH123, LS_Demand_Rates_Restatement!$C$11:$N$11)*1000</f>
        <v>25274.029146874993</v>
      </c>
      <c r="S121" s="201"/>
      <c r="T121" s="201">
        <v>0</v>
      </c>
      <c r="U121" s="201">
        <f>IF('Staging Table'!D123=1, 'Staging Table'!BU123*-1*'Staging Table'!BS123/'Staging Table'!BR123,SUM(O121:T121)*'Staging Table'!BU123*-1)</f>
        <v>0</v>
      </c>
      <c r="V121" s="199">
        <f>'Staging Table'!BX123*Rates_current!$H$32*-1</f>
        <v>0</v>
      </c>
      <c r="W121" s="199">
        <f>IF('Staging Table'!C123=1,"",SUM(O121:V121))</f>
        <v>469207.78026687505</v>
      </c>
      <c r="X121" s="199">
        <f>IF('Staging Table'!C123=1,"",(RT1SC!$C$4*'Staging Table'!BS123*'Staging Table'!$BS$2))</f>
        <v>13414.042122192001</v>
      </c>
      <c r="Y121" s="297">
        <f>IF('Staging Table'!C123=1,"",IF(X121=0, 0, W121/X121))</f>
        <v>34.978850967720192</v>
      </c>
      <c r="Z121" s="76">
        <f ca="1">IF('Staging Table'!C123=1,"",(Y121/N121-1)+(RAND()/100000000000))</f>
        <v>-2.5844814718999465E-2</v>
      </c>
      <c r="AA121" s="53">
        <f t="shared" ca="1" si="1"/>
        <v>76</v>
      </c>
      <c r="AD121" s="204"/>
      <c r="AE121" s="204"/>
      <c r="AG121" s="204"/>
      <c r="AH121" s="204"/>
    </row>
    <row r="122" spans="2:34">
      <c r="B122" s="123">
        <v>10409</v>
      </c>
      <c r="C122" s="124" t="s">
        <v>125</v>
      </c>
      <c r="D122" s="199">
        <f>IF(Init!$R$9="Yes",'Staging Table'!F124,'Staging Table'!BS124)*Rates_previous!$E$76*100*12</f>
        <v>6934827.8954097871</v>
      </c>
      <c r="E122" s="199">
        <f>IF(Init!$R$9="Yes",'Staging Table'!F124,'Staging Table'!BS124)*Rates_previous!$E$77*100*12</f>
        <v>-1144956.7256111144</v>
      </c>
      <c r="F122" s="200"/>
      <c r="G122" s="200">
        <f>IF(Init!$R$9="Yes",SUMPRODUCT('Staging Table'!AJ124:AU124,LS_Demand_Rates_Restatement!$C$10:$N$10),SUMPRODUCT(LS_Demand_Rates_Restatement!$C$10:$N$10,'Staging Table'!CW124:DH124))*1000</f>
        <v>702930.30084846879</v>
      </c>
      <c r="H122" s="201"/>
      <c r="I122" s="199">
        <v>0</v>
      </c>
      <c r="J122" s="201">
        <f>IF(Init!$R$9="Yes",IF('Staging Table'!D124=1,'Staging Table'!H124*-1*'Staging Table'!F124/'Staging Table'!E124,'Staging Table'!H124*SUM(D122:I122)*(-1)),IF('Staging Table'!D124=1,'Staging Table'!BU124*-1*'Staging Table'!BS124/'Staging Table'!BR124,'Staging Table'!BU124*SUM(D122:I122)*(-1)))</f>
        <v>0</v>
      </c>
      <c r="K122" s="199">
        <f>IF(Init!$R$9="Yes",'Staging Table'!K124,'Staging Table'!BX124)*(-1)*Rates_previous!$H$32</f>
        <v>0</v>
      </c>
      <c r="L122" s="199">
        <f>IF('Staging Table'!C124=1,"",SUM(D122:K122))</f>
        <v>6492801.4706471413</v>
      </c>
      <c r="M122" s="199">
        <f>IF('Staging Table'!C124=1,"",IF(Init!$R$9="Yes",(RT1SC!$C$3*'Staging Table'!F124*'Staging Table'!$F$2),X122))</f>
        <v>170646.577896312</v>
      </c>
      <c r="N122" s="297">
        <f>IF('Staging Table'!C124=1,"",IF(M122=0, 0, L122/M122))</f>
        <v>38.048237185232551</v>
      </c>
      <c r="O122" s="199">
        <f>'Staging Table'!BS124*Rates_current!$E$76*100*12</f>
        <v>7202120.9767199997</v>
      </c>
      <c r="P122" s="199">
        <f>'Staging Table'!BS124*Rates_current!$E$77*100*12</f>
        <v>-1265687.7303599999</v>
      </c>
      <c r="Q122" s="200"/>
      <c r="R122" s="200">
        <f>SUMPRODUCT('Staging Table'!CW124:DH124, LS_Demand_Rates_Restatement!$C$11:$N$11)*1000</f>
        <v>700824.99666300742</v>
      </c>
      <c r="S122" s="201"/>
      <c r="T122" s="201">
        <v>0</v>
      </c>
      <c r="U122" s="201">
        <f>IF('Staging Table'!D124=1, 'Staging Table'!BU124*-1*'Staging Table'!BS124/'Staging Table'!BR124,SUM(O122:T122)*'Staging Table'!BU124*-1)</f>
        <v>0</v>
      </c>
      <c r="V122" s="199">
        <f>'Staging Table'!BX124*Rates_current!$H$32*-1</f>
        <v>0</v>
      </c>
      <c r="W122" s="199">
        <f>IF('Staging Table'!C124=1,"",SUM(O122:V122))</f>
        <v>6637258.2430230081</v>
      </c>
      <c r="X122" s="199">
        <f>IF('Staging Table'!C124=1,"",(RT1SC!$C$4*'Staging Table'!BS124*'Staging Table'!$BS$2))</f>
        <v>179377.13774037603</v>
      </c>
      <c r="Y122" s="297">
        <f>IF('Staging Table'!C124=1,"",IF(X122=0, 0, W122/X122))</f>
        <v>37.001695570756262</v>
      </c>
      <c r="Z122" s="76">
        <f ca="1">IF('Staging Table'!C124=1,"",(Y122/N122-1)+(RAND()/100000000000))</f>
        <v>-2.75056531325098E-2</v>
      </c>
      <c r="AA122" s="53">
        <f t="shared" ca="1" si="1"/>
        <v>93</v>
      </c>
      <c r="AD122" s="204"/>
      <c r="AE122" s="204"/>
      <c r="AG122" s="204"/>
      <c r="AH122" s="204"/>
    </row>
    <row r="123" spans="2:34">
      <c r="B123" s="123">
        <v>10426</v>
      </c>
      <c r="C123" s="124" t="s">
        <v>126</v>
      </c>
      <c r="D123" s="199">
        <f>IF(Init!$R$9="Yes",'Staging Table'!F125,'Staging Table'!BS125)*Rates_previous!$E$76*100*12</f>
        <v>5831941.3371765204</v>
      </c>
      <c r="E123" s="199">
        <f>IF(Init!$R$9="Yes",'Staging Table'!F125,'Staging Table'!BS125)*Rates_previous!$E$77*100*12</f>
        <v>-962867.50847695861</v>
      </c>
      <c r="F123" s="200"/>
      <c r="G123" s="200">
        <f>IF(Init!$R$9="Yes",SUMPRODUCT('Staging Table'!AJ125:AU125,LS_Demand_Rates_Restatement!$C$10:$N$10),SUMPRODUCT(LS_Demand_Rates_Restatement!$C$10:$N$10,'Staging Table'!CW125:DH125))*1000</f>
        <v>524596.1951985223</v>
      </c>
      <c r="H123" s="201"/>
      <c r="I123" s="199">
        <v>0</v>
      </c>
      <c r="J123" s="201">
        <f>IF(Init!$R$9="Yes",IF('Staging Table'!D125=1,'Staging Table'!H125*-1*'Staging Table'!F125/'Staging Table'!E125,'Staging Table'!H125*SUM(D123:I123)*(-1)),IF('Staging Table'!D125=1,'Staging Table'!BU125*-1*'Staging Table'!BS125/'Staging Table'!BR125,'Staging Table'!BU125*SUM(D123:I123)*(-1)))</f>
        <v>0</v>
      </c>
      <c r="K123" s="199">
        <f>IF(Init!$R$9="Yes",'Staging Table'!K125,'Staging Table'!BX125)*(-1)*Rates_previous!$H$32</f>
        <v>0</v>
      </c>
      <c r="L123" s="199">
        <f>IF('Staging Table'!C125=1,"",SUM(D123:K123))</f>
        <v>5393670.0238980837</v>
      </c>
      <c r="M123" s="199">
        <f>IF('Staging Table'!C125=1,"",IF(Init!$R$9="Yes",(RT1SC!$C$3*'Staging Table'!F125*'Staging Table'!$F$2),X123))</f>
        <v>143507.64672039601</v>
      </c>
      <c r="N123" s="297">
        <f>IF('Staging Table'!C125=1,"",IF(M123=0, 0, L123/M123))</f>
        <v>37.58454791197903</v>
      </c>
      <c r="O123" s="199">
        <f>'Staging Table'!BS125*Rates_current!$E$76*100*12</f>
        <v>11178720.096480001</v>
      </c>
      <c r="P123" s="199">
        <f>'Staging Table'!BS125*Rates_current!$E$77*100*12</f>
        <v>-1964528.0762399998</v>
      </c>
      <c r="Q123" s="200"/>
      <c r="R123" s="200">
        <f>SUMPRODUCT('Staging Table'!CW125:DH125, LS_Demand_Rates_Restatement!$C$11:$N$11)*1000</f>
        <v>519888.15608111658</v>
      </c>
      <c r="S123" s="201"/>
      <c r="T123" s="201">
        <v>0</v>
      </c>
      <c r="U123" s="201">
        <f>IF('Staging Table'!D125=1, 'Staging Table'!BU125*-1*'Staging Table'!BS125/'Staging Table'!BR125,SUM(O123:T123)*'Staging Table'!BU125*-1)</f>
        <v>0</v>
      </c>
      <c r="V123" s="199">
        <f>'Staging Table'!BX125*Rates_current!$H$32*-1</f>
        <v>0</v>
      </c>
      <c r="W123" s="199">
        <f>IF('Staging Table'!C125=1,"",SUM(O123:V123))</f>
        <v>9734080.1763211172</v>
      </c>
      <c r="X123" s="199">
        <f>IF('Staging Table'!C125=1,"",(RT1SC!$C$4*'Staging Table'!BS125*'Staging Table'!$BS$2))</f>
        <v>278418.92978318396</v>
      </c>
      <c r="Y123" s="297">
        <f>IF('Staging Table'!C125=1,"",IF(X123=0, 0, W123/X123))</f>
        <v>34.96199121195329</v>
      </c>
      <c r="Z123" s="76">
        <f ca="1">IF('Staging Table'!C125=1,"",(Y123/N123-1)+(RAND()/100000000000))</f>
        <v>-6.9777524159501697E-2</v>
      </c>
      <c r="AA123" s="53">
        <f t="shared" ca="1" si="1"/>
        <v>119</v>
      </c>
      <c r="AD123" s="204"/>
      <c r="AE123" s="204"/>
      <c r="AG123" s="204"/>
      <c r="AH123" s="204"/>
    </row>
    <row r="124" spans="2:34">
      <c r="B124" s="123">
        <v>10434</v>
      </c>
      <c r="C124" s="124" t="s">
        <v>127</v>
      </c>
      <c r="D124" s="199">
        <f>IF(Init!$R$9="Yes",'Staging Table'!F126,'Staging Table'!BS126)*Rates_previous!$E$76*100*12</f>
        <v>9221896.6290194131</v>
      </c>
      <c r="E124" s="199">
        <f>IF(Init!$R$9="Yes",'Staging Table'!F126,'Staging Table'!BS126)*Rates_previous!$E$77*100*12</f>
        <v>-1522557.2613381082</v>
      </c>
      <c r="F124" s="200"/>
      <c r="G124" s="200">
        <f>IF(Init!$R$9="Yes",SUMPRODUCT('Staging Table'!AJ126:AU126,LS_Demand_Rates_Restatement!$C$10:$N$10),SUMPRODUCT(LS_Demand_Rates_Restatement!$C$10:$N$10,'Staging Table'!CW126:DH126))*1000</f>
        <v>588677.60374529916</v>
      </c>
      <c r="H124" s="201"/>
      <c r="I124" s="199">
        <v>0</v>
      </c>
      <c r="J124" s="201">
        <f>IF(Init!$R$9="Yes",IF('Staging Table'!D126=1,'Staging Table'!H126*-1*'Staging Table'!F126/'Staging Table'!E126,'Staging Table'!H126*SUM(D124:I124)*(-1)),IF('Staging Table'!D126=1,'Staging Table'!BU126*-1*'Staging Table'!BS126/'Staging Table'!BR126,'Staging Table'!BU126*SUM(D124:I124)*(-1)))</f>
        <v>0</v>
      </c>
      <c r="K124" s="199">
        <f>IF(Init!$R$9="Yes",'Staging Table'!K126,'Staging Table'!BX126)*(-1)*Rates_previous!$H$32</f>
        <v>0</v>
      </c>
      <c r="L124" s="199">
        <f>IF('Staging Table'!C126=1,"",SUM(D124:K124))</f>
        <v>8288016.9714266043</v>
      </c>
      <c r="M124" s="199">
        <f>IF('Staging Table'!C126=1,"",IF(Init!$R$9="Yes",(RT1SC!$C$3*'Staging Table'!F126*'Staging Table'!$F$2),X124))</f>
        <v>226924.89636222</v>
      </c>
      <c r="N124" s="297">
        <f>IF('Staging Table'!C126=1,"",IF(M124=0, 0, L124/M124))</f>
        <v>36.523171781897311</v>
      </c>
      <c r="O124" s="199">
        <f>'Staging Table'!BS126*Rates_current!$E$76*100*12</f>
        <v>9577916.6169600002</v>
      </c>
      <c r="P124" s="199">
        <f>'Staging Table'!BS126*Rates_current!$E$77*100*12</f>
        <v>-1683205.7644800001</v>
      </c>
      <c r="Q124" s="200"/>
      <c r="R124" s="200">
        <f>SUMPRODUCT('Staging Table'!CW126:DH126, LS_Demand_Rates_Restatement!$C$11:$N$11)*1000</f>
        <v>634337.05820208334</v>
      </c>
      <c r="S124" s="201"/>
      <c r="T124" s="201">
        <v>0</v>
      </c>
      <c r="U124" s="201">
        <f>IF('Staging Table'!D126=1, 'Staging Table'!BU126*-1*'Staging Table'!BS126/'Staging Table'!BR126,SUM(O124:T124)*'Staging Table'!BU126*-1)</f>
        <v>0</v>
      </c>
      <c r="V124" s="199">
        <f>'Staging Table'!BX126*Rates_current!$H$32*-1</f>
        <v>0</v>
      </c>
      <c r="W124" s="199">
        <f>IF('Staging Table'!C126=1,"",SUM(O124:V124))</f>
        <v>8529047.910682084</v>
      </c>
      <c r="X124" s="199">
        <f>IF('Staging Table'!C126=1,"",(RT1SC!$C$4*'Staging Table'!BS126*'Staging Table'!$BS$2))</f>
        <v>238549.07100556802</v>
      </c>
      <c r="Y124" s="297">
        <f>IF('Staging Table'!C126=1,"",IF(X124=0, 0, W124/X124))</f>
        <v>35.753850873236082</v>
      </c>
      <c r="Z124" s="76">
        <f ca="1">IF('Staging Table'!C126=1,"",(Y124/N124-1)+(RAND()/100000000000))</f>
        <v>-2.1063912881077253E-2</v>
      </c>
      <c r="AA124" s="53">
        <f t="shared" ca="1" si="1"/>
        <v>15</v>
      </c>
      <c r="AD124" s="204"/>
      <c r="AE124" s="204"/>
      <c r="AG124" s="204"/>
      <c r="AH124" s="204"/>
    </row>
    <row r="125" spans="2:34">
      <c r="B125" s="123">
        <v>10436</v>
      </c>
      <c r="C125" s="124" t="s">
        <v>128</v>
      </c>
      <c r="D125" s="199">
        <f>IF(Init!$R$9="Yes",'Staging Table'!F127,'Staging Table'!BS127)*Rates_previous!$E$76*100*12</f>
        <v>6503649.3714473154</v>
      </c>
      <c r="E125" s="199">
        <f>IF(Init!$R$9="Yes",'Staging Table'!F127,'Staging Table'!BS127)*Rates_previous!$E$77*100*12</f>
        <v>-1073768.1166945649</v>
      </c>
      <c r="F125" s="200"/>
      <c r="G125" s="200">
        <f>IF(Init!$R$9="Yes",SUMPRODUCT('Staging Table'!AJ127:AU127,LS_Demand_Rates_Restatement!$C$10:$N$10),SUMPRODUCT(LS_Demand_Rates_Restatement!$C$10:$N$10,'Staging Table'!CW127:DH127))*1000</f>
        <v>243545.27390520851</v>
      </c>
      <c r="H125" s="201"/>
      <c r="I125" s="199">
        <v>0</v>
      </c>
      <c r="J125" s="201">
        <f>IF(Init!$R$9="Yes",IF('Staging Table'!D127=1,'Staging Table'!H127*-1*'Staging Table'!F127/'Staging Table'!E127,'Staging Table'!H127*SUM(D125:I125)*(-1)),IF('Staging Table'!D127=1,'Staging Table'!BU127*-1*'Staging Table'!BS127/'Staging Table'!BR127,'Staging Table'!BU127*SUM(D125:I125)*(-1)))</f>
        <v>-461533.24810632499</v>
      </c>
      <c r="K125" s="199">
        <f>IF(Init!$R$9="Yes",'Staging Table'!K127,'Staging Table'!BX127)*(-1)*Rates_previous!$H$32</f>
        <v>-423609.51219999994</v>
      </c>
      <c r="L125" s="199">
        <f>IF('Staging Table'!C127=1,"",SUM(D125:K125))</f>
        <v>4788283.768351634</v>
      </c>
      <c r="M125" s="199">
        <f>IF('Staging Table'!C127=1,"",IF(Init!$R$9="Yes",(RT1SC!$C$3*'Staging Table'!F127*'Staging Table'!$F$2),X125))</f>
        <v>160036.48912608001</v>
      </c>
      <c r="N125" s="297">
        <f>IF('Staging Table'!C127=1,"",IF(M125=0, 0, L125/M125))</f>
        <v>29.919950097001482</v>
      </c>
      <c r="O125" s="199">
        <f>'Staging Table'!BS127*Rates_current!$E$76*100*12</f>
        <v>6754713.0947999991</v>
      </c>
      <c r="P125" s="199">
        <f>'Staging Table'!BS127*Rates_current!$E$77*100*12</f>
        <v>-1187061.0774000001</v>
      </c>
      <c r="Q125" s="200"/>
      <c r="R125" s="200">
        <f>SUMPRODUCT('Staging Table'!CW127:DH127, LS_Demand_Rates_Restatement!$C$11:$N$11)*1000</f>
        <v>276463.11923293263</v>
      </c>
      <c r="S125" s="201"/>
      <c r="T125" s="201">
        <v>0</v>
      </c>
      <c r="U125" s="201">
        <f>IF('Staging Table'!D127=1, 'Staging Table'!BU127*-1*'Staging Table'!BS127/'Staging Table'!BR127,SUM(O125:T125)*'Staging Table'!BU127*-1)</f>
        <v>-531823.02146157436</v>
      </c>
      <c r="V125" s="199">
        <f>'Staging Table'!BX127*Rates_current!$H$32*-1</f>
        <v>-449647.89505999995</v>
      </c>
      <c r="W125" s="199">
        <f>IF('Staging Table'!C127=1,"",SUM(O125:V125))</f>
        <v>4862644.220111358</v>
      </c>
      <c r="X125" s="199">
        <f>IF('Staging Table'!C127=1,"",(RT1SC!$C$4*'Staging Table'!BS127*'Staging Table'!$BS$2))</f>
        <v>168233.92791083996</v>
      </c>
      <c r="Y125" s="297">
        <f>IF('Staging Table'!C127=1,"",IF(X125=0, 0, W125/X125))</f>
        <v>28.904064004785322</v>
      </c>
      <c r="Z125" s="76">
        <f ca="1">IF('Staging Table'!C127=1,"",(Y125/N125-1)+(RAND()/100000000000))</f>
        <v>-3.3953468793846447E-2</v>
      </c>
      <c r="AA125" s="53">
        <f t="shared" ca="1" si="1"/>
        <v>114</v>
      </c>
      <c r="AD125" s="204"/>
      <c r="AE125" s="204"/>
      <c r="AG125" s="204"/>
      <c r="AH125" s="204"/>
    </row>
    <row r="126" spans="2:34">
      <c r="B126" s="123">
        <v>10440</v>
      </c>
      <c r="C126" s="124" t="s">
        <v>129</v>
      </c>
      <c r="D126" s="199">
        <f>IF(Init!$R$9="Yes",'Staging Table'!F128,'Staging Table'!BS128)*Rates_previous!$E$76*100*12</f>
        <v>1699773.8475228085</v>
      </c>
      <c r="E126" s="199">
        <f>IF(Init!$R$9="Yes",'Staging Table'!F128,'Staging Table'!BS128)*Rates_previous!$E$77*100*12</f>
        <v>-280636.7408234172</v>
      </c>
      <c r="F126" s="200"/>
      <c r="G126" s="200">
        <f>IF(Init!$R$9="Yes",SUMPRODUCT('Staging Table'!AJ128:AU128,LS_Demand_Rates_Restatement!$C$10:$N$10),SUMPRODUCT(LS_Demand_Rates_Restatement!$C$10:$N$10,'Staging Table'!CW128:DH128))*1000</f>
        <v>42222.181522453684</v>
      </c>
      <c r="H126" s="201"/>
      <c r="I126" s="199">
        <v>0</v>
      </c>
      <c r="J126" s="201">
        <f>IF(Init!$R$9="Yes",IF('Staging Table'!D128=1,'Staging Table'!H128*-1*'Staging Table'!F128/'Staging Table'!E128,'Staging Table'!H128*SUM(D126:I126)*(-1)),IF('Staging Table'!D128=1,'Staging Table'!BU128*-1*'Staging Table'!BS128/'Staging Table'!BR128,'Staging Table'!BU128*SUM(D126:I126)*(-1)))</f>
        <v>-82829.844456414168</v>
      </c>
      <c r="K126" s="199">
        <f>IF(Init!$R$9="Yes",'Staging Table'!K128,'Staging Table'!BX128)*(-1)*Rates_previous!$H$32</f>
        <v>0</v>
      </c>
      <c r="L126" s="199">
        <f>IF('Staging Table'!C128=1,"",SUM(D126:K126))</f>
        <v>1378529.4437654307</v>
      </c>
      <c r="M126" s="199">
        <f>IF('Staging Table'!C128=1,"",IF(Init!$R$9="Yes",(RT1SC!$C$3*'Staging Table'!F128*'Staging Table'!$F$2),X126))</f>
        <v>41826.645830592002</v>
      </c>
      <c r="N126" s="297">
        <f>IF('Staging Table'!C128=1,"",IF(M126=0, 0, L126/M126))</f>
        <v>32.95816378269506</v>
      </c>
      <c r="O126" s="199">
        <f>'Staging Table'!BS128*Rates_current!$E$76*100*12</f>
        <v>1765218.4027200001</v>
      </c>
      <c r="P126" s="199">
        <f>'Staging Table'!BS128*Rates_current!$E$77*100*12</f>
        <v>-310216.29336000001</v>
      </c>
      <c r="Q126" s="200"/>
      <c r="R126" s="200">
        <f>SUMPRODUCT('Staging Table'!CW128:DH128, LS_Demand_Rates_Restatement!$C$11:$N$11)*1000</f>
        <v>37841.431376869652</v>
      </c>
      <c r="S126" s="201"/>
      <c r="T126" s="201">
        <v>0</v>
      </c>
      <c r="U126" s="201">
        <f>IF('Staging Table'!D128=1, 'Staging Table'!BU128*-1*'Staging Table'!BS128/'Staging Table'!BR128,SUM(O126:T126)*'Staging Table'!BU128*-1)</f>
        <v>-86158.39863681361</v>
      </c>
      <c r="V126" s="199">
        <f>'Staging Table'!BX128*Rates_current!$H$32*-1</f>
        <v>0</v>
      </c>
      <c r="W126" s="199">
        <f>IF('Staging Table'!C128=1,"",SUM(O126:V126))</f>
        <v>1406685.1421000562</v>
      </c>
      <c r="X126" s="199">
        <f>IF('Staging Table'!C128=1,"",(RT1SC!$C$4*'Staging Table'!BS128*'Staging Table'!$BS$2))</f>
        <v>43964.802256175994</v>
      </c>
      <c r="Y126" s="297">
        <f>IF('Staging Table'!C128=1,"",IF(X126=0, 0, W126/X126))</f>
        <v>31.995711794710754</v>
      </c>
      <c r="Z126" s="76">
        <f ca="1">IF('Staging Table'!C128=1,"",(Y126/N126-1)+(RAND()/100000000000))</f>
        <v>-2.9202233301566637E-2</v>
      </c>
      <c r="AA126" s="53">
        <f t="shared" ca="1" si="1"/>
        <v>106</v>
      </c>
      <c r="AD126" s="204"/>
      <c r="AE126" s="204"/>
      <c r="AG126" s="204"/>
      <c r="AH126" s="204"/>
    </row>
    <row r="127" spans="2:34">
      <c r="B127" s="123">
        <v>10442</v>
      </c>
      <c r="C127" s="124" t="s">
        <v>130</v>
      </c>
      <c r="D127" s="199">
        <f>IF(Init!$R$9="Yes",'Staging Table'!F129,'Staging Table'!BS129)*Rates_previous!$E$76*100*12</f>
        <v>4528573.552006308</v>
      </c>
      <c r="E127" s="199">
        <f>IF(Init!$R$9="Yes",'Staging Table'!F129,'Staging Table'!BS129)*Rates_previous!$E$77*100*12</f>
        <v>-747678.35972198227</v>
      </c>
      <c r="F127" s="200"/>
      <c r="G127" s="200">
        <f>IF(Init!$R$9="Yes",SUMPRODUCT('Staging Table'!AJ129:AU129,LS_Demand_Rates_Restatement!$C$10:$N$10),SUMPRODUCT(LS_Demand_Rates_Restatement!$C$10:$N$10,'Staging Table'!CW129:DH129))*1000</f>
        <v>346370.71503513178</v>
      </c>
      <c r="H127" s="201"/>
      <c r="I127" s="199">
        <v>0</v>
      </c>
      <c r="J127" s="201">
        <f>IF(Init!$R$9="Yes",IF('Staging Table'!D129=1,'Staging Table'!H129*-1*'Staging Table'!F129/'Staging Table'!E129,'Staging Table'!H129*SUM(D127:I127)*(-1)),IF('Staging Table'!D129=1,'Staging Table'!BU129*-1*'Staging Table'!BS129/'Staging Table'!BR129,'Staging Table'!BU129*SUM(D127:I127)*(-1)))</f>
        <v>-288908.61351236206</v>
      </c>
      <c r="K127" s="199">
        <f>IF(Init!$R$9="Yes",'Staging Table'!K129,'Staging Table'!BX129)*(-1)*Rates_previous!$H$32</f>
        <v>-106093.29700000001</v>
      </c>
      <c r="L127" s="199">
        <f>IF('Staging Table'!C129=1,"",SUM(D127:K127))</f>
        <v>3732263.9968070956</v>
      </c>
      <c r="M127" s="199">
        <f>IF('Staging Table'!C129=1,"",IF(Init!$R$9="Yes",(RT1SC!$C$3*'Staging Table'!F129*'Staging Table'!$F$2),X127))</f>
        <v>111435.437339856</v>
      </c>
      <c r="N127" s="297">
        <f>IF('Staging Table'!C129=1,"",IF(M127=0, 0, L127/M127))</f>
        <v>33.492613174967225</v>
      </c>
      <c r="O127" s="199">
        <f>'Staging Table'!BS129*Rates_current!$E$76*100*12</f>
        <v>4438455.5858399998</v>
      </c>
      <c r="P127" s="199">
        <f>'Staging Table'!BS129*Rates_current!$E$77*100*12</f>
        <v>-780006.16691999999</v>
      </c>
      <c r="Q127" s="200"/>
      <c r="R127" s="200">
        <f>SUMPRODUCT('Staging Table'!CW129:DH129, LS_Demand_Rates_Restatement!$C$11:$N$11)*1000</f>
        <v>347966.87385109509</v>
      </c>
      <c r="S127" s="201"/>
      <c r="T127" s="201">
        <v>0</v>
      </c>
      <c r="U127" s="201">
        <f>IF('Staging Table'!D129=1, 'Staging Table'!BU129*-1*'Staging Table'!BS129/'Staging Table'!BR129,SUM(O127:T127)*'Staging Table'!BU129*-1)</f>
        <v>-280449.14049397671</v>
      </c>
      <c r="V127" s="199">
        <f>'Staging Table'!BX129*Rates_current!$H$32*-1</f>
        <v>-112614.6281</v>
      </c>
      <c r="W127" s="199">
        <f>IF('Staging Table'!C129=1,"",SUM(O127:V127))</f>
        <v>3613352.5241771187</v>
      </c>
      <c r="X127" s="199">
        <f>IF('Staging Table'!C129=1,"",(RT1SC!$C$4*'Staging Table'!BS129*'Staging Table'!$BS$2))</f>
        <v>110544.86054167199</v>
      </c>
      <c r="Y127" s="297">
        <f>IF('Staging Table'!C129=1,"",IF(X127=0, 0, W127/X127))</f>
        <v>32.686752748808225</v>
      </c>
      <c r="Z127" s="76">
        <f ca="1">IF('Staging Table'!C129=1,"",(Y127/N127-1)+(RAND()/100000000000))</f>
        <v>-2.4060840575103139E-2</v>
      </c>
      <c r="AA127" s="53">
        <f t="shared" ca="1" si="1"/>
        <v>41</v>
      </c>
      <c r="AD127" s="204"/>
      <c r="AE127" s="204"/>
      <c r="AG127" s="204"/>
      <c r="AH127" s="204"/>
    </row>
    <row r="128" spans="2:34">
      <c r="B128" s="123">
        <v>10446</v>
      </c>
      <c r="C128" s="124" t="s">
        <v>131</v>
      </c>
      <c r="D128" s="199">
        <f>IF(Init!$R$9="Yes",'Staging Table'!F130,'Staging Table'!BS130)*Rates_previous!$E$76*100*12</f>
        <v>32522083.818517663</v>
      </c>
      <c r="E128" s="199">
        <f>IF(Init!$R$9="Yes",'Staging Table'!F130,'Staging Table'!BS130)*Rates_previous!$E$77*100*12</f>
        <v>-5369474.0749870986</v>
      </c>
      <c r="F128" s="200"/>
      <c r="G128" s="200">
        <f>IF(Init!$R$9="Yes",SUMPRODUCT('Staging Table'!AJ130:AU130,LS_Demand_Rates_Restatement!$C$10:$N$10),SUMPRODUCT(LS_Demand_Rates_Restatement!$C$10:$N$10,'Staging Table'!CW130:DH130))*1000</f>
        <v>894324.51549498795</v>
      </c>
      <c r="H128" s="201"/>
      <c r="I128" s="199">
        <v>0</v>
      </c>
      <c r="J128" s="201">
        <f>IF(Init!$R$9="Yes",IF('Staging Table'!D130=1,'Staging Table'!H130*-1*'Staging Table'!F130/'Staging Table'!E130,'Staging Table'!H130*SUM(D128:I128)*(-1)),IF('Staging Table'!D130=1,'Staging Table'!BU130*-1*'Staging Table'!BS130/'Staging Table'!BR130,'Staging Table'!BU130*SUM(D128:I128)*(-1)))</f>
        <v>-2165223.3247967726</v>
      </c>
      <c r="K128" s="199">
        <f>IF(Init!$R$9="Yes",'Staging Table'!K130,'Staging Table'!BX130)*(-1)*Rates_previous!$H$32</f>
        <v>-78167.606</v>
      </c>
      <c r="L128" s="199">
        <f>IF('Staging Table'!C130=1,"",SUM(D128:K128))</f>
        <v>25803543.328228779</v>
      </c>
      <c r="M128" s="199">
        <f>IF('Staging Table'!C130=1,"",IF(Init!$R$9="Yes",(RT1SC!$C$3*'Staging Table'!F130*'Staging Table'!$F$2),X128))</f>
        <v>800276.86243814405</v>
      </c>
      <c r="N128" s="297">
        <f>IF('Staging Table'!C130=1,"",IF(M128=0, 0, L128/M128))</f>
        <v>32.24327047219014</v>
      </c>
      <c r="O128" s="199">
        <f>'Staging Table'!BS130*Rates_current!$E$76*100*12</f>
        <v>33776803.949759997</v>
      </c>
      <c r="P128" s="199">
        <f>'Staging Table'!BS130*Rates_current!$E$77*100*12</f>
        <v>-5935874.510879999</v>
      </c>
      <c r="Q128" s="200"/>
      <c r="R128" s="200">
        <f>SUMPRODUCT('Staging Table'!CW130:DH130, LS_Demand_Rates_Restatement!$C$11:$N$11)*1000</f>
        <v>879321.88751599903</v>
      </c>
      <c r="S128" s="201"/>
      <c r="T128" s="201">
        <v>0</v>
      </c>
      <c r="U128" s="201">
        <f>IF('Staging Table'!D130=1, 'Staging Table'!BU130*-1*'Staging Table'!BS130/'Staging Table'!BR130,SUM(O128:T128)*'Staging Table'!BU130*-1)</f>
        <v>-1890948.0527503388</v>
      </c>
      <c r="V128" s="199">
        <f>'Staging Table'!BX130*Rates_current!$H$32*-1</f>
        <v>-82972.4038</v>
      </c>
      <c r="W128" s="199">
        <f>IF('Staging Table'!C130=1,"",SUM(O128:V128))</f>
        <v>26746330.869845659</v>
      </c>
      <c r="X128" s="199">
        <f>IF('Staging Table'!C130=1,"",(RT1SC!$C$4*'Staging Table'!BS130*'Staging Table'!$BS$2))</f>
        <v>841250.29753180791</v>
      </c>
      <c r="Y128" s="297">
        <f>IF('Staging Table'!C130=1,"",IF(X128=0, 0, W128/X128))</f>
        <v>31.793546995844448</v>
      </c>
      <c r="Z128" s="76">
        <f ca="1">IF('Staging Table'!C130=1,"",(Y128/N128-1)+(RAND()/100000000000))</f>
        <v>-1.3947824452733598E-2</v>
      </c>
      <c r="AA128" s="53">
        <f t="shared" ca="1" si="1"/>
        <v>5</v>
      </c>
      <c r="AD128" s="204"/>
      <c r="AE128" s="204"/>
      <c r="AG128" s="204"/>
      <c r="AH128" s="204"/>
    </row>
    <row r="129" spans="1:34">
      <c r="B129" s="123">
        <v>10448</v>
      </c>
      <c r="C129" s="124" t="s">
        <v>132</v>
      </c>
      <c r="D129" s="199">
        <f>IF(Init!$R$9="Yes",'Staging Table'!F131,'Staging Table'!BS131)*Rates_previous!$E$76*100*12</f>
        <v>2879879.2515380085</v>
      </c>
      <c r="E129" s="199">
        <f>IF(Init!$R$9="Yes",'Staging Table'!F131,'Staging Table'!BS131)*Rates_previous!$E$77*100*12</f>
        <v>-475474.97468233877</v>
      </c>
      <c r="F129" s="200"/>
      <c r="G129" s="200">
        <f>IF(Init!$R$9="Yes",SUMPRODUCT('Staging Table'!AJ131:AU131,LS_Demand_Rates_Restatement!$C$10:$N$10),SUMPRODUCT(LS_Demand_Rates_Restatement!$C$10:$N$10,'Staging Table'!CW131:DH131))*1000</f>
        <v>0</v>
      </c>
      <c r="H129" s="201"/>
      <c r="I129" s="199">
        <v>0</v>
      </c>
      <c r="J129" s="201">
        <f>IF(Init!$R$9="Yes",IF('Staging Table'!D131=1,'Staging Table'!H131*-1*'Staging Table'!F131/'Staging Table'!E131,'Staging Table'!H131*SUM(D129:I129)*(-1)),IF('Staging Table'!D131=1,'Staging Table'!BU131*-1*'Staging Table'!BS131/'Staging Table'!BR131,'Staging Table'!BU131*SUM(D129:I129)*(-1)))</f>
        <v>-171770.64153856906</v>
      </c>
      <c r="K129" s="199">
        <f>IF(Init!$R$9="Yes",'Staging Table'!K131,'Staging Table'!BX131)*(-1)*Rates_previous!$H$32</f>
        <v>0</v>
      </c>
      <c r="L129" s="199" t="str">
        <f>IF('Staging Table'!C131=1,"",SUM(D129:K129))</f>
        <v/>
      </c>
      <c r="M129" s="199" t="str">
        <f>IF('Staging Table'!C131=1,"",IF(Init!$R$9="Yes",(RT1SC!$C$3*'Staging Table'!F131*'Staging Table'!$F$2),X129))</f>
        <v/>
      </c>
      <c r="N129" s="297" t="str">
        <f>IF('Staging Table'!C131=1,"",IF(M129=0, 0, L129/M129))</f>
        <v/>
      </c>
      <c r="O129" s="199">
        <f>'Staging Table'!BS131*Rates_current!$E$76*100*12</f>
        <v>2906407.4378399998</v>
      </c>
      <c r="P129" s="199">
        <f>'Staging Table'!BS131*Rates_current!$E$77*100*12</f>
        <v>-510766.79291999998</v>
      </c>
      <c r="Q129" s="200"/>
      <c r="R129" s="200">
        <f>SUMPRODUCT('Staging Table'!CW131:DH131, LS_Demand_Rates_Restatement!$C$11:$N$11)*1000</f>
        <v>0</v>
      </c>
      <c r="S129" s="201"/>
      <c r="T129" s="201">
        <v>0</v>
      </c>
      <c r="U129" s="201">
        <f>IF('Staging Table'!D131=1, 'Staging Table'!BU131*-1*'Staging Table'!BS131/'Staging Table'!BR131,SUM(O129:T129)*'Staging Table'!BU131*-1)</f>
        <v>-167694.84514439999</v>
      </c>
      <c r="V129" s="199">
        <f>'Staging Table'!BX131*Rates_current!$H$32*-1</f>
        <v>0</v>
      </c>
      <c r="W129" s="199" t="str">
        <f>IF('Staging Table'!C131=1,"",SUM(O129:V129))</f>
        <v/>
      </c>
      <c r="X129" s="199" t="str">
        <f>IF('Staging Table'!C131=1,"",(RT1SC!$C$4*'Staging Table'!BS131*'Staging Table'!$BS$2))</f>
        <v/>
      </c>
      <c r="Y129" s="297" t="str">
        <f>IF('Staging Table'!C131=1,"",IF(X129=0, 0, W129/X129))</f>
        <v/>
      </c>
      <c r="Z129" s="76" t="str">
        <f ca="1">IF('Staging Table'!C131=1,"",(Y129/N129-1)+(RAND()/100000000000))</f>
        <v/>
      </c>
      <c r="AA129" s="53" t="str">
        <f t="shared" ca="1" si="1"/>
        <v/>
      </c>
      <c r="AD129" s="204"/>
      <c r="AE129" s="204"/>
      <c r="AG129" s="204"/>
      <c r="AH129" s="204"/>
    </row>
    <row r="130" spans="1:34">
      <c r="B130" s="123">
        <v>10451</v>
      </c>
      <c r="C130" s="124" t="s">
        <v>133</v>
      </c>
      <c r="D130" s="199">
        <f>IF(Init!$R$9="Yes",'Staging Table'!F132,'Staging Table'!BS132)*Rates_previous!$E$76*100*12</f>
        <v>9112063.6123482175</v>
      </c>
      <c r="E130" s="199">
        <f>IF(Init!$R$9="Yes",'Staging Table'!F132,'Staging Table'!BS132)*Rates_previous!$E$77*100*12</f>
        <v>-1504423.5667420125</v>
      </c>
      <c r="F130" s="200"/>
      <c r="G130" s="200">
        <f>IF(Init!$R$9="Yes",SUMPRODUCT('Staging Table'!AJ132:AU132,LS_Demand_Rates_Restatement!$C$10:$N$10),SUMPRODUCT(LS_Demand_Rates_Restatement!$C$10:$N$10,'Staging Table'!CW132:DH132))*1000</f>
        <v>378693.31752054847</v>
      </c>
      <c r="H130" s="201"/>
      <c r="I130" s="199">
        <v>0</v>
      </c>
      <c r="J130" s="201">
        <f>IF(Init!$R$9="Yes",IF('Staging Table'!D132=1,'Staging Table'!H132*-1*'Staging Table'!F132/'Staging Table'!E132,'Staging Table'!H132*SUM(D130:I130)*(-1)),IF('Staging Table'!D132=1,'Staging Table'!BU132*-1*'Staging Table'!BS132/'Staging Table'!BR132,'Staging Table'!BU132*SUM(D130:I130)*(-1)))</f>
        <v>0</v>
      </c>
      <c r="K130" s="199">
        <f>IF(Init!$R$9="Yes",'Staging Table'!K132,'Staging Table'!BX132)*(-1)*Rates_previous!$H$32</f>
        <v>0</v>
      </c>
      <c r="L130" s="199">
        <f>IF('Staging Table'!C132=1,"",SUM(D130:K130))</f>
        <v>7986333.3631267538</v>
      </c>
      <c r="M130" s="199">
        <f>IF('Staging Table'!C132=1,"",IF(Init!$R$9="Yes",(RT1SC!$C$3*'Staging Table'!F132*'Staging Table'!$F$2),X130))</f>
        <v>224222.21524054802</v>
      </c>
      <c r="N130" s="297">
        <f>IF('Staging Table'!C132=1,"",IF(M130=0, 0, L130/M130))</f>
        <v>35.61793979494373</v>
      </c>
      <c r="O130" s="199">
        <f>'Staging Table'!BS132*Rates_current!$E$76*100*12</f>
        <v>9255065.4950400013</v>
      </c>
      <c r="P130" s="199">
        <f>'Staging Table'!BS132*Rates_current!$E$77*100*12</f>
        <v>-1626468.4915200002</v>
      </c>
      <c r="Q130" s="200"/>
      <c r="R130" s="200">
        <f>SUMPRODUCT('Staging Table'!CW132:DH132, LS_Demand_Rates_Restatement!$C$11:$N$11)*1000</f>
        <v>373644.9268986914</v>
      </c>
      <c r="S130" s="201"/>
      <c r="T130" s="201">
        <v>0</v>
      </c>
      <c r="U130" s="201">
        <f>IF('Staging Table'!D132=1, 'Staging Table'!BU132*-1*'Staging Table'!BS132/'Staging Table'!BR132,SUM(O130:T130)*'Staging Table'!BU132*-1)</f>
        <v>0</v>
      </c>
      <c r="V130" s="199">
        <f>'Staging Table'!BX132*Rates_current!$H$32*-1</f>
        <v>0</v>
      </c>
      <c r="W130" s="199">
        <f>IF('Staging Table'!C132=1,"",SUM(O130:V130))</f>
        <v>8002241.9304186925</v>
      </c>
      <c r="X130" s="199">
        <f>IF('Staging Table'!C132=1,"",(RT1SC!$C$4*'Staging Table'!BS132*'Staging Table'!$BS$2))</f>
        <v>230508.091084032</v>
      </c>
      <c r="Y130" s="297">
        <f>IF('Staging Table'!C132=1,"",IF(X130=0, 0, W130/X130))</f>
        <v>34.715666130354904</v>
      </c>
      <c r="Z130" s="76">
        <f ca="1">IF('Staging Table'!C132=1,"",(Y130/N130-1)+(RAND()/100000000000))</f>
        <v>-2.5332000378345008E-2</v>
      </c>
      <c r="AA130" s="53">
        <f t="shared" ca="1" si="1"/>
        <v>68</v>
      </c>
      <c r="AD130" s="204"/>
      <c r="AE130" s="204"/>
      <c r="AG130" s="204"/>
      <c r="AH130" s="204"/>
    </row>
    <row r="131" spans="1:34">
      <c r="B131" s="123">
        <v>10482</v>
      </c>
      <c r="C131" s="124" t="s">
        <v>134</v>
      </c>
      <c r="D131" s="199">
        <f>IF(Init!$R$9="Yes",'Staging Table'!F133,'Staging Table'!BS133)*Rates_previous!$E$76*100*12</f>
        <v>998808.98348370439</v>
      </c>
      <c r="E131" s="199">
        <f>IF(Init!$R$9="Yes",'Staging Table'!F133,'Staging Table'!BS133)*Rates_previous!$E$77*100*12</f>
        <v>-164905.75980947132</v>
      </c>
      <c r="F131" s="200"/>
      <c r="G131" s="200">
        <f>IF(Init!$R$9="Yes",SUMPRODUCT('Staging Table'!AJ133:AU133,LS_Demand_Rates_Restatement!$C$10:$N$10),SUMPRODUCT(LS_Demand_Rates_Restatement!$C$10:$N$10,'Staging Table'!CW133:DH133))*1000</f>
        <v>34002.31588945871</v>
      </c>
      <c r="H131" s="201"/>
      <c r="I131" s="199">
        <v>0</v>
      </c>
      <c r="J131" s="201">
        <f>IF(Init!$R$9="Yes",IF('Staging Table'!D133=1,'Staging Table'!H133*-1*'Staging Table'!F133/'Staging Table'!E133,'Staging Table'!H133*SUM(D131:I131)*(-1)),IF('Staging Table'!D133=1,'Staging Table'!BU133*-1*'Staging Table'!BS133/'Staging Table'!BR133,'Staging Table'!BU133*SUM(D131:I131)*(-1)))</f>
        <v>0</v>
      </c>
      <c r="K131" s="199">
        <f>IF(Init!$R$9="Yes",'Staging Table'!K133,'Staging Table'!BX133)*(-1)*Rates_previous!$H$32</f>
        <v>0</v>
      </c>
      <c r="L131" s="199">
        <f>IF('Staging Table'!C133=1,"",SUM(D131:K131))</f>
        <v>867905.53956369183</v>
      </c>
      <c r="M131" s="199">
        <f>IF('Staging Table'!C133=1,"",IF(Init!$R$9="Yes",(RT1SC!$C$3*'Staging Table'!F133*'Staging Table'!$F$2),X131))</f>
        <v>24577.875265859999</v>
      </c>
      <c r="N131" s="297">
        <f>IF('Staging Table'!C133=1,"",IF(M131=0, 0, L131/M131))</f>
        <v>35.312472301837239</v>
      </c>
      <c r="O131" s="199">
        <f>'Staging Table'!BS133*Rates_current!$E$76*100*12</f>
        <v>978767.02008000005</v>
      </c>
      <c r="P131" s="199">
        <f>'Staging Table'!BS133*Rates_current!$E$77*100*12</f>
        <v>-172006.74804000003</v>
      </c>
      <c r="Q131" s="200"/>
      <c r="R131" s="200">
        <f>SUMPRODUCT('Staging Table'!CW133:DH133, LS_Demand_Rates_Restatement!$C$11:$N$11)*1000</f>
        <v>35602.7462385951</v>
      </c>
      <c r="S131" s="201"/>
      <c r="T131" s="201">
        <v>0</v>
      </c>
      <c r="U131" s="201">
        <f>IF('Staging Table'!D133=1, 'Staging Table'!BU133*-1*'Staging Table'!BS133/'Staging Table'!BR133,SUM(O131:T131)*'Staging Table'!BU133*-1)</f>
        <v>0</v>
      </c>
      <c r="V131" s="199">
        <f>'Staging Table'!BX133*Rates_current!$H$32*-1</f>
        <v>0</v>
      </c>
      <c r="W131" s="199">
        <f>IF('Staging Table'!C133=1,"",SUM(O131:V131))</f>
        <v>842363.01827859506</v>
      </c>
      <c r="X131" s="199">
        <f>IF('Staging Table'!C133=1,"",(RT1SC!$C$4*'Staging Table'!BS133*'Staging Table'!$BS$2))</f>
        <v>24377.322617063997</v>
      </c>
      <c r="Y131" s="297">
        <f>IF('Staging Table'!C133=1,"",IF(X131=0, 0, W131/X131))</f>
        <v>34.55519014581796</v>
      </c>
      <c r="Z131" s="76">
        <f ca="1">IF('Staging Table'!C133=1,"",(Y131/N131-1)+(RAND()/100000000000))</f>
        <v>-2.1445175214215548E-2</v>
      </c>
      <c r="AA131" s="53">
        <f t="shared" ca="1" si="1"/>
        <v>18</v>
      </c>
      <c r="AD131" s="204"/>
      <c r="AE131" s="204"/>
      <c r="AG131" s="204"/>
      <c r="AH131" s="204"/>
    </row>
    <row r="132" spans="1:34">
      <c r="B132" s="123">
        <v>10502</v>
      </c>
      <c r="C132" s="124" t="s">
        <v>135</v>
      </c>
      <c r="D132" s="199">
        <f>IF(Init!$R$9="Yes",'Staging Table'!F134,'Staging Table'!BS134)*Rates_previous!$E$76*100*12</f>
        <v>6352808.8310844703</v>
      </c>
      <c r="E132" s="199">
        <f>IF(Init!$R$9="Yes",'Staging Table'!F134,'Staging Table'!BS134)*Rates_previous!$E$77*100*12</f>
        <v>-1048863.9815396653</v>
      </c>
      <c r="F132" s="200"/>
      <c r="G132" s="200">
        <f>IF(Init!$R$9="Yes",SUMPRODUCT('Staging Table'!AJ134:AU134,LS_Demand_Rates_Restatement!$C$10:$N$10),SUMPRODUCT(LS_Demand_Rates_Restatement!$C$10:$N$10,'Staging Table'!CW134:DH134))*1000</f>
        <v>269010.86689771188</v>
      </c>
      <c r="H132" s="201"/>
      <c r="I132" s="199">
        <v>0</v>
      </c>
      <c r="J132" s="201">
        <f>IF(Init!$R$9="Yes",IF('Staging Table'!D134=1,'Staging Table'!H134*-1*'Staging Table'!F134/'Staging Table'!E134,'Staging Table'!H134*SUM(D132:I132)*(-1)),IF('Staging Table'!D134=1,'Staging Table'!BU134*-1*'Staging Table'!BS134/'Staging Table'!BR134,'Staging Table'!BU134*SUM(D132:I132)*(-1)))</f>
        <v>-402646.05051297176</v>
      </c>
      <c r="K132" s="199">
        <f>IF(Init!$R$9="Yes",'Staging Table'!K134,'Staging Table'!BX134)*(-1)*Rates_previous!$H$32</f>
        <v>-78367.6973</v>
      </c>
      <c r="L132" s="199">
        <f>IF('Staging Table'!C134=1,"",SUM(D132:K132))</f>
        <v>5091941.9686295446</v>
      </c>
      <c r="M132" s="199">
        <f>IF('Staging Table'!C134=1,"",IF(Init!$R$9="Yes",(RT1SC!$C$3*'Staging Table'!F134*'Staging Table'!$F$2),X132))</f>
        <v>156324.72837164401</v>
      </c>
      <c r="N132" s="297">
        <f>IF('Staging Table'!C134=1,"",IF(M132=0, 0, L132/M132))</f>
        <v>32.572850256448483</v>
      </c>
      <c r="O132" s="199">
        <f>'Staging Table'!BS134*Rates_current!$E$76*100*12</f>
        <v>6565137.7060800008</v>
      </c>
      <c r="P132" s="199">
        <f>'Staging Table'!BS134*Rates_current!$E$77*100*12</f>
        <v>-1153745.4410399999</v>
      </c>
      <c r="Q132" s="200"/>
      <c r="R132" s="200">
        <f>SUMPRODUCT('Staging Table'!CW134:DH134, LS_Demand_Rates_Restatement!$C$11:$N$11)*1000</f>
        <v>264897.26671888359</v>
      </c>
      <c r="S132" s="201"/>
      <c r="T132" s="201">
        <v>0</v>
      </c>
      <c r="U132" s="201">
        <f>IF('Staging Table'!D134=1, 'Staging Table'!BU134*-1*'Staging Table'!BS134/'Staging Table'!BR134,SUM(O132:T132)*'Staging Table'!BU134*-1)</f>
        <v>-397340.26722312201</v>
      </c>
      <c r="V132" s="199">
        <f>'Staging Table'!BX134*Rates_current!$H$32*-1</f>
        <v>-83184.794289999991</v>
      </c>
      <c r="W132" s="199">
        <f>IF('Staging Table'!C134=1,"",SUM(O132:V132))</f>
        <v>5195764.4702457637</v>
      </c>
      <c r="X132" s="199">
        <f>IF('Staging Table'!C134=1,"",(RT1SC!$C$4*'Staging Table'!BS134*'Staging Table'!$BS$2))</f>
        <v>163512.33399086402</v>
      </c>
      <c r="Y132" s="297">
        <f>IF('Staging Table'!C134=1,"",IF(X132=0, 0, W132/X132))</f>
        <v>31.775978872248672</v>
      </c>
      <c r="Z132" s="76">
        <f ca="1">IF('Staging Table'!C134=1,"",(Y132/N132-1)+(RAND()/100000000000))</f>
        <v>-2.4464281690088449E-2</v>
      </c>
      <c r="AA132" s="53">
        <f t="shared" ref="AA132:AA138" ca="1" si="2">IF(Z132="","",RANK(Z132,$Z$4:$Z$138))</f>
        <v>45</v>
      </c>
      <c r="AD132" s="204"/>
      <c r="AE132" s="204"/>
      <c r="AG132" s="204"/>
      <c r="AH132" s="204"/>
    </row>
    <row r="133" spans="1:34">
      <c r="B133" s="143">
        <v>13927</v>
      </c>
      <c r="C133" s="144" t="s">
        <v>238</v>
      </c>
      <c r="D133" s="199">
        <f>IF(Init!$R$9="Yes",'Staging Table'!F135,'Staging Table'!BS135)*Rates_previous!$E$76*100*12</f>
        <v>1346053.9794223369</v>
      </c>
      <c r="E133" s="199">
        <f>IF(Init!$R$9="Yes",'Staging Table'!F135,'Staging Table'!BS135)*Rates_previous!$E$77*100*12</f>
        <v>-222236.74185127555</v>
      </c>
      <c r="F133" s="200"/>
      <c r="G133" s="200">
        <f>IF(Init!$R$9="Yes",SUMPRODUCT('Staging Table'!AJ135:AU135,LS_Demand_Rates_Restatement!$C$10:$N$10),SUMPRODUCT(LS_Demand_Rates_Restatement!$C$10:$N$10,'Staging Table'!CW135:DH135))*1000</f>
        <v>10087.374292592578</v>
      </c>
      <c r="H133" s="201"/>
      <c r="I133" s="199">
        <v>0</v>
      </c>
      <c r="J133" s="201">
        <f>IF(Init!$R$9="Yes",IF('Staging Table'!D135=1,'Staging Table'!H135*-1*'Staging Table'!F135/'Staging Table'!E135,'Staging Table'!H135*SUM(D133:I133)*(-1)),IF('Staging Table'!D135=1,'Staging Table'!BU135*-1*'Staging Table'!BS135/'Staging Table'!BR135,'Staging Table'!BU135*SUM(D133:I133)*(-1)))</f>
        <v>0</v>
      </c>
      <c r="K133" s="199">
        <f>IF(Init!$R$9="Yes",'Staging Table'!K135,'Staging Table'!BX135)*(-1)*Rates_previous!$H$32</f>
        <v>0</v>
      </c>
      <c r="L133" s="199">
        <f>IF('Staging Table'!C135=1,"",SUM(D133:K133))</f>
        <v>1133904.6118636539</v>
      </c>
      <c r="M133" s="199">
        <f>IF('Staging Table'!C135=1,"",IF(Init!$R$9="Yes",(RT1SC!$C$3*'Staging Table'!F135*'Staging Table'!$F$2),X133))</f>
        <v>33122.596366692</v>
      </c>
      <c r="N133" s="297">
        <f>IF('Staging Table'!C135=1,"",IF(M133=0, 0, L133/M133))</f>
        <v>34.233566695994448</v>
      </c>
      <c r="O133" s="199">
        <f>'Staging Table'!BS135*Rates_current!$E$76*100*12</f>
        <v>1257774.1624799999</v>
      </c>
      <c r="P133" s="199">
        <f>'Staging Table'!BS135*Rates_current!$E$77*100*12</f>
        <v>-221038.95923999997</v>
      </c>
      <c r="Q133" s="200"/>
      <c r="R133" s="200">
        <f>SUMPRODUCT('Staging Table'!CW135:DH135, LS_Demand_Rates_Restatement!$C$11:$N$11)*1000</f>
        <v>13890.70799145298</v>
      </c>
      <c r="S133" s="201"/>
      <c r="T133" s="201">
        <v>0</v>
      </c>
      <c r="U133" s="201">
        <f>IF('Staging Table'!D135=1, 'Staging Table'!BU135*-1*'Staging Table'!BS135/'Staging Table'!BR135,SUM(O133:T133)*'Staging Table'!BU135*-1)</f>
        <v>0</v>
      </c>
      <c r="V133" s="199">
        <f>'Staging Table'!BX135*Rates_current!$H$32*-1</f>
        <v>0</v>
      </c>
      <c r="W133" s="199">
        <f>IF('Staging Table'!C135=1,"",SUM(O133:V133))</f>
        <v>1050625.9112314528</v>
      </c>
      <c r="X133" s="199">
        <f>IF('Staging Table'!C135=1,"",(RT1SC!$C$4*'Staging Table'!BS135*'Staging Table'!$BS$2))</f>
        <v>31326.317610983999</v>
      </c>
      <c r="Y133" s="297">
        <f>IF('Staging Table'!C135=1,"",IF(X133=0, 0, W133/X133))</f>
        <v>33.538123576422855</v>
      </c>
      <c r="Z133" s="76">
        <f ca="1">IF('Staging Table'!C135=1,"",(Y133/N133-1)+(RAND()/100000000000))</f>
        <v>-2.0314655663026114E-2</v>
      </c>
      <c r="AA133" s="53">
        <f t="shared" ca="1" si="2"/>
        <v>10</v>
      </c>
      <c r="AD133" s="204"/>
      <c r="AE133" s="204"/>
      <c r="AG133" s="204"/>
      <c r="AH133" s="204"/>
    </row>
    <row r="134" spans="1:34">
      <c r="B134" s="123">
        <v>10597</v>
      </c>
      <c r="C134" s="124" t="s">
        <v>136</v>
      </c>
      <c r="D134" s="199">
        <f>IF(Init!$R$9="Yes",'Staging Table'!F136,'Staging Table'!BS136)*Rates_previous!$E$76*100*12</f>
        <v>4381330.1628444847</v>
      </c>
      <c r="E134" s="199">
        <f>IF(Init!$R$9="Yes",'Staging Table'!F136,'Staging Table'!BS136)*Rates_previous!$E$77*100*12</f>
        <v>-723368.12286171457</v>
      </c>
      <c r="F134" s="200"/>
      <c r="G134" s="200">
        <f>IF(Init!$R$9="Yes",SUMPRODUCT('Staging Table'!AJ136:AU136,LS_Demand_Rates_Restatement!$C$10:$N$10),SUMPRODUCT(LS_Demand_Rates_Restatement!$C$10:$N$10,'Staging Table'!CW136:DH136))*1000</f>
        <v>206878.12192215098</v>
      </c>
      <c r="H134" s="201"/>
      <c r="I134" s="199">
        <v>0</v>
      </c>
      <c r="J134" s="201">
        <f>IF(Init!$R$9="Yes",IF('Staging Table'!D136=1,'Staging Table'!H136*-1*'Staging Table'!F136/'Staging Table'!E136,'Staging Table'!H136*SUM(D134:I134)*(-1)),IF('Staging Table'!D136=1,'Staging Table'!BU136*-1*'Staging Table'!BS136/'Staging Table'!BR136,'Staging Table'!BU136*SUM(D134:I134)*(-1)))</f>
        <v>0</v>
      </c>
      <c r="K134" s="199">
        <f>IF(Init!$R$9="Yes",'Staging Table'!K136,'Staging Table'!BX136)*(-1)*Rates_previous!$H$32</f>
        <v>0</v>
      </c>
      <c r="L134" s="199">
        <f>IF('Staging Table'!C136=1,"",SUM(D134:K134))</f>
        <v>3864840.1619049213</v>
      </c>
      <c r="M134" s="199">
        <f>IF('Staging Table'!C136=1,"",IF(Init!$R$9="Yes",(RT1SC!$C$3*'Staging Table'!F136*'Staging Table'!$F$2),X134))</f>
        <v>107812.19234268002</v>
      </c>
      <c r="N134" s="297">
        <f>IF('Staging Table'!C136=1,"",IF(M134=0, 0, L134/M134))</f>
        <v>35.847895102815123</v>
      </c>
      <c r="O134" s="199">
        <f>'Staging Table'!BS136*Rates_current!$E$76*100*12</f>
        <v>4343294.2212000005</v>
      </c>
      <c r="P134" s="199">
        <f>'Staging Table'!BS136*Rates_current!$E$77*100*12</f>
        <v>-763282.68060000008</v>
      </c>
      <c r="Q134" s="200"/>
      <c r="R134" s="200">
        <f>SUMPRODUCT('Staging Table'!CW136:DH136, LS_Demand_Rates_Restatement!$C$11:$N$11)*1000</f>
        <v>211034.60247609511</v>
      </c>
      <c r="S134" s="201"/>
      <c r="T134" s="201">
        <v>0</v>
      </c>
      <c r="U134" s="201">
        <f>IF('Staging Table'!D136=1, 'Staging Table'!BU136*-1*'Staging Table'!BS136/'Staging Table'!BR136,SUM(O134:T134)*'Staging Table'!BU136*-1)</f>
        <v>0</v>
      </c>
      <c r="V134" s="199">
        <f>'Staging Table'!BX136*Rates_current!$H$32*-1</f>
        <v>0</v>
      </c>
      <c r="W134" s="199">
        <f>IF('Staging Table'!C136=1,"",SUM(O134:V134))</f>
        <v>3791046.1430760957</v>
      </c>
      <c r="X134" s="199">
        <f>IF('Staging Table'!C136=1,"",(RT1SC!$C$4*'Staging Table'!BS136*'Staging Table'!$BS$2))</f>
        <v>108174.75689196</v>
      </c>
      <c r="Y134" s="297">
        <f>IF('Staging Table'!C136=1,"",IF(X134=0, 0, W134/X134))</f>
        <v>35.045571184989299</v>
      </c>
      <c r="Z134" s="76">
        <f ca="1">IF('Staging Table'!C136=1,"",(Y134/N134-1)+(RAND()/100000000000))</f>
        <v>-2.2381339690726972E-2</v>
      </c>
      <c r="AA134" s="53">
        <f t="shared" ca="1" si="2"/>
        <v>25</v>
      </c>
      <c r="AD134" s="204"/>
      <c r="AE134" s="204"/>
      <c r="AG134" s="204"/>
      <c r="AH134" s="204"/>
    </row>
    <row r="135" spans="1:34">
      <c r="B135" s="123">
        <v>10706</v>
      </c>
      <c r="C135" s="124" t="s">
        <v>137</v>
      </c>
      <c r="D135" s="199">
        <f>IF(Init!$R$9="Yes",'Staging Table'!F137,'Staging Table'!BS137)*Rates_previous!$E$76*100*12</f>
        <v>5867433.2290266016</v>
      </c>
      <c r="E135" s="199">
        <f>IF(Init!$R$9="Yes",'Staging Table'!F137,'Staging Table'!BS137)*Rates_previous!$E$77*100*12</f>
        <v>-968727.30498399411</v>
      </c>
      <c r="F135" s="200"/>
      <c r="G135" s="200">
        <f>IF(Init!$R$9="Yes",SUMPRODUCT('Staging Table'!AJ137:AU137,LS_Demand_Rates_Restatement!$C$10:$N$10),SUMPRODUCT(LS_Demand_Rates_Restatement!$C$10:$N$10,'Staging Table'!CW137:DH137))*1000</f>
        <v>228098.93106493048</v>
      </c>
      <c r="H135" s="201"/>
      <c r="I135" s="199">
        <v>0</v>
      </c>
      <c r="J135" s="201">
        <f>IF(Init!$R$9="Yes",IF('Staging Table'!D137=1,'Staging Table'!H137*-1*'Staging Table'!F137/'Staging Table'!E137,'Staging Table'!H137*SUM(D135:I135)*(-1)),IF('Staging Table'!D137=1,'Staging Table'!BU137*-1*'Staging Table'!BS137/'Staging Table'!BR137,'Staging Table'!BU137*SUM(D135:I135)*(-1)))</f>
        <v>0</v>
      </c>
      <c r="K135" s="199">
        <f>IF(Init!$R$9="Yes",'Staging Table'!K137,'Staging Table'!BX137)*(-1)*Rates_previous!$H$32</f>
        <v>0</v>
      </c>
      <c r="L135" s="199">
        <f>IF('Staging Table'!C137=1,"",SUM(D135:K135))</f>
        <v>5126804.8551075384</v>
      </c>
      <c r="M135" s="199">
        <f>IF('Staging Table'!C137=1,"",IF(Init!$R$9="Yes",(RT1SC!$C$3*'Staging Table'!F137*'Staging Table'!$F$2),X135))</f>
        <v>144381.00219202798</v>
      </c>
      <c r="N135" s="297">
        <f>IF('Staging Table'!C137=1,"",IF(M135=0, 0, L135/M135))</f>
        <v>35.508860426725974</v>
      </c>
      <c r="O135" s="199">
        <f>'Staging Table'!BS137*Rates_current!$E$76*100*12</f>
        <v>5908474.4673599992</v>
      </c>
      <c r="P135" s="199">
        <f>'Staging Table'!BS137*Rates_current!$E$77*100*12</f>
        <v>-1038344.62968</v>
      </c>
      <c r="Q135" s="200"/>
      <c r="R135" s="200">
        <f>SUMPRODUCT('Staging Table'!CW137:DH137, LS_Demand_Rates_Restatement!$C$11:$N$11)*1000</f>
        <v>229434.67946362172</v>
      </c>
      <c r="S135" s="201"/>
      <c r="T135" s="201">
        <v>0</v>
      </c>
      <c r="U135" s="201">
        <f>IF('Staging Table'!D137=1, 'Staging Table'!BU137*-1*'Staging Table'!BS137/'Staging Table'!BR137,SUM(O135:T135)*'Staging Table'!BU137*-1)</f>
        <v>0</v>
      </c>
      <c r="V135" s="199">
        <f>'Staging Table'!BX137*Rates_current!$H$32*-1</f>
        <v>0</v>
      </c>
      <c r="W135" s="199">
        <f>IF('Staging Table'!C137=1,"",SUM(O135:V135))</f>
        <v>5099564.5171436211</v>
      </c>
      <c r="X135" s="199">
        <f>IF('Staging Table'!C137=1,"",(RT1SC!$C$4*'Staging Table'!BS137*'Staging Table'!$BS$2))</f>
        <v>147157.37791588798</v>
      </c>
      <c r="Y135" s="297">
        <f>IF('Staging Table'!C137=1,"",IF(X135=0, 0, W135/X135))</f>
        <v>34.653814775487668</v>
      </c>
      <c r="Z135" s="76">
        <f ca="1">IF('Staging Table'!C137=1,"",(Y135/N135-1)+(RAND()/100000000000))</f>
        <v>-2.4079782925671932E-2</v>
      </c>
      <c r="AA135" s="53">
        <f t="shared" ca="1" si="2"/>
        <v>42</v>
      </c>
      <c r="AD135" s="204"/>
      <c r="AE135" s="204"/>
      <c r="AG135" s="204"/>
      <c r="AH135" s="204"/>
    </row>
    <row r="136" spans="1:34">
      <c r="B136" s="123">
        <v>11680</v>
      </c>
      <c r="C136" s="124" t="s">
        <v>138</v>
      </c>
      <c r="D136" s="199">
        <f>IF(Init!$R$9="Yes",'Staging Table'!F138,'Staging Table'!BS138)*Rates_previous!$E$76*100*12</f>
        <v>2149177.9375704583</v>
      </c>
      <c r="E136" s="199">
        <f>IF(Init!$R$9="Yes",'Staging Table'!F138,'Staging Table'!BS138)*Rates_previous!$E$77*100*12</f>
        <v>-354834.43443276884</v>
      </c>
      <c r="F136" s="200"/>
      <c r="G136" s="200">
        <f>IF(Init!$R$9="Yes",SUMPRODUCT('Staging Table'!AJ138:AU138,LS_Demand_Rates_Restatement!$C$10:$N$10),SUMPRODUCT(LS_Demand_Rates_Restatement!$C$10:$N$10,'Staging Table'!CW138:DH138))*1000</f>
        <v>58443.509003490057</v>
      </c>
      <c r="H136" s="201"/>
      <c r="I136" s="199">
        <v>0</v>
      </c>
      <c r="J136" s="201">
        <f>IF(Init!$R$9="Yes",IF('Staging Table'!D138=1,'Staging Table'!H138*-1*'Staging Table'!F138/'Staging Table'!E138,'Staging Table'!H138*SUM(D136:I136)*(-1)),IF('Staging Table'!D138=1,'Staging Table'!BU138*-1*'Staging Table'!BS138/'Staging Table'!BR138,'Staging Table'!BU138*SUM(D136:I136)*(-1)))</f>
        <v>0</v>
      </c>
      <c r="K136" s="199">
        <f>IF(Init!$R$9="Yes",'Staging Table'!K138,'Staging Table'!BX138)*(-1)*Rates_previous!$H$32</f>
        <v>0</v>
      </c>
      <c r="L136" s="199">
        <f>IF('Staging Table'!C138=1,"",SUM(D136:K136))</f>
        <v>1852787.0121411795</v>
      </c>
      <c r="M136" s="199">
        <f>IF('Staging Table'!C138=1,"",IF(Init!$R$9="Yes",(RT1SC!$C$3*'Staging Table'!F138*'Staging Table'!$F$2),X136))</f>
        <v>52885.214437608003</v>
      </c>
      <c r="N136" s="297">
        <f>IF('Staging Table'!C138=1,"",IF(M136=0, 0, L136/M136))</f>
        <v>35.034121197088616</v>
      </c>
      <c r="O136" s="199">
        <f>'Staging Table'!BS138*Rates_current!$E$76*100*12</f>
        <v>2232057.1392000001</v>
      </c>
      <c r="P136" s="199">
        <f>'Staging Table'!BS138*Rates_current!$E$77*100*12</f>
        <v>-392257.68960000004</v>
      </c>
      <c r="Q136" s="200"/>
      <c r="R136" s="200">
        <f>SUMPRODUCT('Staging Table'!CW138:DH138, LS_Demand_Rates_Restatement!$C$11:$N$11)*1000</f>
        <v>52466.508926068433</v>
      </c>
      <c r="S136" s="201"/>
      <c r="T136" s="201">
        <v>0</v>
      </c>
      <c r="U136" s="201">
        <f>IF('Staging Table'!D138=1, 'Staging Table'!BU138*-1*'Staging Table'!BS138/'Staging Table'!BR138,SUM(O136:T136)*'Staging Table'!BU138*-1)</f>
        <v>0</v>
      </c>
      <c r="V136" s="199">
        <f>'Staging Table'!BX138*Rates_current!$H$32*-1</f>
        <v>0</v>
      </c>
      <c r="W136" s="199">
        <f>IF('Staging Table'!C138=1,"",SUM(O136:V136))</f>
        <v>1892265.9585260684</v>
      </c>
      <c r="X136" s="199">
        <f>IF('Staging Table'!C138=1,"",(RT1SC!$C$4*'Staging Table'!BS138*'Staging Table'!$BS$2))</f>
        <v>55591.959951359997</v>
      </c>
      <c r="Y136" s="297">
        <f>IF('Staging Table'!C138=1,"",IF(X136=0, 0, W136/X136))</f>
        <v>34.038482546427581</v>
      </c>
      <c r="Z136" s="76">
        <f ca="1">IF('Staging Table'!C138=1,"",(Y136/N136-1)+(RAND()/100000000000))</f>
        <v>-2.841911304091449E-2</v>
      </c>
      <c r="AA136" s="53">
        <f t="shared" ca="1" si="2"/>
        <v>101</v>
      </c>
      <c r="AD136" s="204"/>
      <c r="AE136" s="204"/>
      <c r="AG136" s="204"/>
      <c r="AH136" s="204"/>
    </row>
    <row r="137" spans="1:34">
      <c r="B137" s="123">
        <v>12026</v>
      </c>
      <c r="C137" s="124" t="s">
        <v>139</v>
      </c>
      <c r="D137" s="199">
        <f>IF(Init!$R$9="Yes",'Staging Table'!F139,'Staging Table'!BS139)*Rates_previous!$E$76*100*12</f>
        <v>15340171.201797262</v>
      </c>
      <c r="E137" s="199">
        <f>IF(Init!$R$9="Yes",'Staging Table'!F139,'Staging Table'!BS139)*Rates_previous!$E$77*100*12</f>
        <v>-2532699.07406777</v>
      </c>
      <c r="F137" s="200"/>
      <c r="G137" s="200">
        <f>IF(Init!$R$9="Yes",SUMPRODUCT('Staging Table'!AJ139:AU139,LS_Demand_Rates_Restatement!$C$10:$N$10),SUMPRODUCT(LS_Demand_Rates_Restatement!$C$10:$N$10,'Staging Table'!CW139:DH139))*1000</f>
        <v>675432.3526669069</v>
      </c>
      <c r="H137" s="201"/>
      <c r="I137" s="199">
        <v>0</v>
      </c>
      <c r="J137" s="201">
        <f>IF(Init!$R$9="Yes",IF('Staging Table'!D139=1,'Staging Table'!H139*-1*'Staging Table'!F139/'Staging Table'!E139,'Staging Table'!H139*SUM(D137:I137)*(-1)),IF('Staging Table'!D139=1,'Staging Table'!BU139*-1*'Staging Table'!BS139/'Staging Table'!BR139,'Staging Table'!BU139*SUM(D137:I137)*(-1)))</f>
        <v>0</v>
      </c>
      <c r="K137" s="199">
        <f>IF(Init!$R$9="Yes",'Staging Table'!K139,'Staging Table'!BX139)*(-1)*Rates_previous!$H$32</f>
        <v>0</v>
      </c>
      <c r="L137" s="199">
        <f>IF('Staging Table'!C139=1,"",SUM(D137:K137))</f>
        <v>13482904.480396399</v>
      </c>
      <c r="M137" s="199">
        <f>IF('Staging Table'!C139=1,"",IF(Init!$R$9="Yes",(RT1SC!$C$3*'Staging Table'!F139*'Staging Table'!$F$2),X137))</f>
        <v>377478.39736051206</v>
      </c>
      <c r="N137" s="297">
        <f>IF('Staging Table'!C139=1,"",IF(M137=0, 0, L137/M137))</f>
        <v>35.71834726086194</v>
      </c>
      <c r="O137" s="199">
        <f>'Staging Table'!BS139*Rates_current!$E$76*100*12</f>
        <v>15931806.058080001</v>
      </c>
      <c r="P137" s="199">
        <f>'Staging Table'!BS139*Rates_current!$E$77*100*12</f>
        <v>-2799826.8170399996</v>
      </c>
      <c r="Q137" s="200"/>
      <c r="R137" s="200">
        <f>SUMPRODUCT('Staging Table'!CW139:DH139, LS_Demand_Rates_Restatement!$C$11:$N$11)*1000</f>
        <v>668404.69099086535</v>
      </c>
      <c r="S137" s="201"/>
      <c r="T137" s="201">
        <v>0</v>
      </c>
      <c r="U137" s="201">
        <f>IF('Staging Table'!D139=1, 'Staging Table'!BU139*-1*'Staging Table'!BS139/'Staging Table'!BR139,SUM(O137:T137)*'Staging Table'!BU139*-1)</f>
        <v>0</v>
      </c>
      <c r="V137" s="199">
        <f>'Staging Table'!BX139*Rates_current!$H$32*-1</f>
        <v>0</v>
      </c>
      <c r="W137" s="199">
        <f>IF('Staging Table'!C139=1,"",SUM(O137:V137))</f>
        <v>13800383.932030866</v>
      </c>
      <c r="X137" s="199">
        <f>IF('Staging Table'!C139=1,"",(RT1SC!$C$4*'Staging Table'!BS139*'Staging Table'!$BS$2))</f>
        <v>396800.02307246393</v>
      </c>
      <c r="Y137" s="297">
        <f>IF('Staging Table'!C139=1,"",IF(X137=0, 0, W137/X137))</f>
        <v>34.779191354811566</v>
      </c>
      <c r="Z137" s="76">
        <f ca="1">IF('Staging Table'!C139=1,"",(Y137/N137-1)+(RAND()/100000000000))</f>
        <v>-2.629337518998159E-2</v>
      </c>
      <c r="AA137" s="53">
        <f t="shared" ca="1" si="2"/>
        <v>84</v>
      </c>
      <c r="AD137" s="204"/>
      <c r="AE137" s="204"/>
      <c r="AG137" s="204"/>
      <c r="AH137" s="204"/>
    </row>
    <row r="138" spans="1:34">
      <c r="B138" s="123">
        <v>10298</v>
      </c>
      <c r="C138" s="124" t="s">
        <v>140</v>
      </c>
      <c r="D138" s="199">
        <f>IF(Init!$R$9="Yes",'Staging Table'!F140,'Staging Table'!BS140)*Rates_previous!$E$76*100*12</f>
        <v>204357277.26108623</v>
      </c>
      <c r="E138" s="199">
        <f>IF(Init!$R$9="Yes",'Staging Table'!F140,'Staging Table'!BS140)*Rates_previous!$E$77*100*12</f>
        <v>-33739876.829896398</v>
      </c>
      <c r="F138" s="200"/>
      <c r="G138" s="200">
        <f>IF(Init!$R$9="Yes",SUMPRODUCT('Staging Table'!AJ140:AU140,LS_Demand_Rates_Restatement!$C$10:$N$10),SUMPRODUCT(LS_Demand_Rates_Restatement!$C$10:$N$10,'Staging Table'!CW140:DH140))*1000</f>
        <v>12105395.683502745</v>
      </c>
      <c r="H138" s="201"/>
      <c r="I138" s="199">
        <v>0</v>
      </c>
      <c r="J138" s="201">
        <f>IF(Init!$R$9="Yes",IF('Staging Table'!D140=1,'Staging Table'!H140*-1*'Staging Table'!F140/'Staging Table'!E140,'Staging Table'!H140*SUM(D138:I138)*(-1)),IF('Staging Table'!D140=1,'Staging Table'!BU140*-1*'Staging Table'!BS140/'Staging Table'!BR140,'Staging Table'!BU140*SUM(D138:I138)*(-1)))</f>
        <v>-9596780.6634153593</v>
      </c>
      <c r="K138" s="199">
        <f>IF(Init!$R$9="Yes",'Staging Table'!K140,'Staging Table'!BX140)*(-1)*Rates_previous!$H$32</f>
        <v>-2381457.1899000001</v>
      </c>
      <c r="L138" s="199">
        <f>IF('Staging Table'!C140=1,"",SUM(D138:K138))</f>
        <v>170744558.26137719</v>
      </c>
      <c r="M138" s="199">
        <f>IF('Staging Table'!C140=1,"",IF(Init!$R$9="Yes",(RT1SC!$C$3*'Staging Table'!F140*'Staging Table'!$F$2),X138))</f>
        <v>5028656.8835968915</v>
      </c>
      <c r="N138" s="297">
        <f>IF('Staging Table'!C140=1,"",IF(M138=0, 0, L138/M138))</f>
        <v>33.954306729165268</v>
      </c>
      <c r="O138" s="199">
        <f>'Staging Table'!BS140*Rates_current!$E$76*100*12</f>
        <v>210947335.82783997</v>
      </c>
      <c r="P138" s="199">
        <f>'Staging Table'!BS140*Rates_current!$E$77*100*12</f>
        <v>-37071503.737920001</v>
      </c>
      <c r="Q138" s="200"/>
      <c r="R138" s="200">
        <f>SUMPRODUCT('Staging Table'!CW140:DH140, LS_Demand_Rates_Restatement!$C$11:$N$11)*1000</f>
        <v>12198696.416568385</v>
      </c>
      <c r="S138" s="201"/>
      <c r="T138" s="201">
        <v>0</v>
      </c>
      <c r="U138" s="201">
        <f>IF('Staging Table'!D140=1, 'Staging Table'!BU140*-1*'Staging Table'!BS140/'Staging Table'!BR140,SUM(O138:T138)*'Staging Table'!BU140*-1)</f>
        <v>-9639035.4608223904</v>
      </c>
      <c r="V138" s="199">
        <f>'Staging Table'!BX140*Rates_current!$H$32*-1</f>
        <v>-2527840.3382700002</v>
      </c>
      <c r="W138" s="199">
        <f>IF('Staging Table'!C140=1,"",SUM(O138:V138))</f>
        <v>173907652.70739597</v>
      </c>
      <c r="X138" s="199">
        <f>IF('Staging Table'!C140=1,"",(RT1SC!$C$4*'Staging Table'!BS140*'Staging Table'!$BS$2))</f>
        <v>5253886.9365102714</v>
      </c>
      <c r="Y138" s="297">
        <f>IF('Staging Table'!C140=1,"",IF(X138=0, 0, W138/X138))</f>
        <v>33.100760410140964</v>
      </c>
      <c r="Z138" s="76">
        <f ca="1">IF('Staging Table'!C140=1,"",(Y138/N138-1)+(RAND()/100000000000))</f>
        <v>-2.5138087065043325E-2</v>
      </c>
      <c r="AA138" s="53">
        <f t="shared" ca="1" si="2"/>
        <v>65</v>
      </c>
      <c r="AD138" s="204"/>
      <c r="AE138" s="204"/>
      <c r="AG138" s="204"/>
      <c r="AH138" s="204"/>
    </row>
    <row r="139" spans="1:34">
      <c r="B139" s="239"/>
      <c r="C139" s="239"/>
      <c r="D139" s="239"/>
      <c r="E139" s="239"/>
      <c r="F139" s="239"/>
      <c r="G139" s="239"/>
      <c r="H139" s="239"/>
      <c r="I139" s="239"/>
      <c r="J139" s="239"/>
      <c r="K139" s="239"/>
      <c r="L139" s="239"/>
      <c r="O139" s="239"/>
      <c r="P139" s="239"/>
      <c r="Q139" s="239"/>
      <c r="R139" s="239"/>
      <c r="S139" s="239"/>
      <c r="T139" s="239"/>
      <c r="U139" s="239"/>
      <c r="V139" s="239"/>
      <c r="W139" s="239"/>
      <c r="AD139" s="204"/>
      <c r="AE139" s="204"/>
      <c r="AG139" s="204"/>
      <c r="AH139" s="204"/>
    </row>
    <row r="140" spans="1:34">
      <c r="A140" s="18"/>
      <c r="B140" s="239"/>
      <c r="C140" s="239"/>
      <c r="D140" s="239"/>
      <c r="E140" s="239"/>
      <c r="F140" s="239"/>
      <c r="G140" s="239"/>
      <c r="H140" s="239"/>
      <c r="I140" s="239"/>
      <c r="J140" s="239"/>
      <c r="K140" s="239"/>
      <c r="L140" s="239"/>
      <c r="O140" s="239"/>
      <c r="P140" s="239"/>
      <c r="Q140" s="239"/>
      <c r="R140" s="239"/>
      <c r="S140" s="239"/>
      <c r="T140" s="239"/>
      <c r="U140" s="239"/>
      <c r="V140" s="239"/>
      <c r="W140" s="240"/>
      <c r="AD140" s="204"/>
      <c r="AE140" s="204"/>
      <c r="AG140" s="204"/>
      <c r="AH140" s="204"/>
    </row>
    <row r="141" spans="1:34">
      <c r="A141" s="18"/>
      <c r="D141" s="239"/>
      <c r="E141" s="239"/>
      <c r="F141" s="239"/>
      <c r="G141" s="239"/>
      <c r="H141" s="239"/>
      <c r="I141" s="239"/>
      <c r="J141" s="239"/>
      <c r="K141" s="239"/>
      <c r="L141" s="239"/>
      <c r="O141" s="239"/>
      <c r="P141" s="239"/>
      <c r="Q141" s="239"/>
      <c r="R141" s="239"/>
      <c r="S141" s="239"/>
      <c r="T141" s="239"/>
      <c r="U141" s="239"/>
      <c r="V141" s="239"/>
      <c r="W141" s="239"/>
      <c r="AD141" s="204"/>
      <c r="AE141" s="204"/>
      <c r="AG141" s="204"/>
      <c r="AH141" s="204"/>
    </row>
    <row r="142" spans="1:34">
      <c r="A142" s="18"/>
      <c r="B142" s="239"/>
      <c r="C142" s="239"/>
      <c r="D142" s="239"/>
      <c r="E142" s="239"/>
      <c r="F142" s="239"/>
      <c r="G142" s="239"/>
      <c r="H142" s="239"/>
      <c r="I142" s="239"/>
      <c r="J142" s="239"/>
      <c r="K142" s="239"/>
      <c r="L142" s="239"/>
      <c r="O142" s="239"/>
      <c r="P142" s="239"/>
      <c r="Q142" s="239"/>
      <c r="R142" s="239"/>
      <c r="S142" s="239"/>
      <c r="T142" s="239"/>
      <c r="U142" s="239"/>
      <c r="V142" s="239"/>
      <c r="W142" s="239"/>
    </row>
    <row r="143" spans="1:34">
      <c r="B143" s="239"/>
      <c r="C143" s="239"/>
      <c r="D143" s="239"/>
      <c r="E143" s="239"/>
      <c r="F143" s="239"/>
      <c r="G143" s="239"/>
      <c r="H143" s="239"/>
      <c r="I143" s="239"/>
      <c r="J143" s="239"/>
      <c r="K143" s="239"/>
      <c r="L143" s="239"/>
      <c r="O143" s="239"/>
      <c r="P143" s="239"/>
      <c r="Q143" s="239"/>
      <c r="R143" s="239"/>
      <c r="S143" s="84"/>
      <c r="T143" s="84"/>
      <c r="U143" s="239"/>
      <c r="V143" s="239"/>
      <c r="W143" s="239"/>
    </row>
    <row r="144" spans="1:34">
      <c r="B144" s="123"/>
      <c r="C144" s="124"/>
      <c r="G144" s="147"/>
    </row>
    <row r="145" spans="2:3">
      <c r="B145" s="123"/>
      <c r="C145" s="124"/>
    </row>
    <row r="146" spans="2:3">
      <c r="B146" s="123"/>
      <c r="C146" s="124"/>
    </row>
    <row r="147" spans="2:3">
      <c r="B147" s="123"/>
      <c r="C147" s="124"/>
    </row>
    <row r="148" spans="2:3">
      <c r="B148" s="123"/>
      <c r="C148" s="124"/>
    </row>
    <row r="149" spans="2:3">
      <c r="B149" s="123"/>
      <c r="C149" s="124"/>
    </row>
    <row r="150" spans="2:3">
      <c r="B150" s="123"/>
      <c r="C150" s="124"/>
    </row>
    <row r="151" spans="2:3">
      <c r="B151" s="123"/>
      <c r="C151" s="124"/>
    </row>
    <row r="152" spans="2:3">
      <c r="B152" s="123"/>
      <c r="C152" s="124"/>
    </row>
    <row r="153" spans="2:3">
      <c r="B153" s="123"/>
      <c r="C153" s="124"/>
    </row>
    <row r="154" spans="2:3">
      <c r="B154" s="123"/>
      <c r="C154" s="124"/>
    </row>
    <row r="155" spans="2:3">
      <c r="B155" s="123"/>
      <c r="C155" s="124"/>
    </row>
    <row r="156" spans="2:3">
      <c r="B156" s="123"/>
      <c r="C156" s="124"/>
    </row>
    <row r="157" spans="2:3">
      <c r="B157" s="123"/>
      <c r="C157" s="124"/>
    </row>
    <row r="158" spans="2:3">
      <c r="B158" s="123"/>
      <c r="C158" s="124"/>
    </row>
    <row r="159" spans="2:3">
      <c r="B159" s="123"/>
      <c r="C159" s="124"/>
    </row>
    <row r="160" spans="2:3">
      <c r="B160" s="123"/>
      <c r="C160" s="124"/>
    </row>
    <row r="161" spans="2:3">
      <c r="B161" s="123"/>
      <c r="C161" s="124"/>
    </row>
    <row r="162" spans="2:3">
      <c r="B162" s="123"/>
      <c r="C162" s="124"/>
    </row>
    <row r="163" spans="2:3">
      <c r="B163" s="123"/>
      <c r="C163" s="124"/>
    </row>
    <row r="164" spans="2:3">
      <c r="B164" s="123"/>
      <c r="C164" s="124"/>
    </row>
    <row r="165" spans="2:3">
      <c r="B165" s="123"/>
      <c r="C165" s="124"/>
    </row>
    <row r="166" spans="2:3">
      <c r="B166" s="123"/>
      <c r="C166" s="124"/>
    </row>
    <row r="167" spans="2:3">
      <c r="B167" s="123"/>
      <c r="C167" s="124"/>
    </row>
    <row r="168" spans="2:3">
      <c r="B168" s="140"/>
      <c r="C168" s="140"/>
    </row>
    <row r="169" spans="2:3">
      <c r="B169" s="140"/>
      <c r="C169" s="140"/>
    </row>
    <row r="170" spans="2:3">
      <c r="B170" s="140"/>
      <c r="C170" s="140"/>
    </row>
  </sheetData>
  <conditionalFormatting sqref="B2">
    <cfRule type="expression" dxfId="0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theme="7"/>
  </sheetPr>
  <dimension ref="A1:Z164"/>
  <sheetViews>
    <sheetView workbookViewId="0">
      <selection activeCell="B3" sqref="B3"/>
    </sheetView>
  </sheetViews>
  <sheetFormatPr defaultRowHeight="14.4"/>
  <cols>
    <col min="2" max="2" width="35.33203125" bestFit="1" customWidth="1"/>
    <col min="8" max="8" width="35.33203125" bestFit="1" customWidth="1"/>
    <col min="10" max="10" width="11.5546875" bestFit="1" customWidth="1"/>
    <col min="11" max="11" width="9.5546875" bestFit="1" customWidth="1"/>
    <col min="12" max="12" width="10.5546875" bestFit="1" customWidth="1"/>
    <col min="14" max="14" width="31.5546875" customWidth="1"/>
    <col min="20" max="20" width="35.33203125" bestFit="1" customWidth="1"/>
    <col min="22" max="22" width="13.33203125" bestFit="1" customWidth="1"/>
    <col min="25" max="25" width="30.5546875" style="65" bestFit="1" customWidth="1"/>
    <col min="26" max="26" width="9.109375" style="65"/>
  </cols>
  <sheetData>
    <row r="1" spans="1:26">
      <c r="Y1"/>
      <c r="Z1"/>
    </row>
    <row r="2" spans="1:26">
      <c r="X2" s="58"/>
      <c r="Y2" s="58" t="s">
        <v>3</v>
      </c>
      <c r="Z2" s="58" t="s">
        <v>608</v>
      </c>
    </row>
    <row r="3" spans="1:26">
      <c r="B3" s="58" t="s">
        <v>225</v>
      </c>
      <c r="H3" s="58" t="s">
        <v>233</v>
      </c>
      <c r="N3" s="58" t="s">
        <v>232</v>
      </c>
      <c r="T3" s="58" t="s">
        <v>234</v>
      </c>
      <c r="Y3" s="66" t="s">
        <v>137</v>
      </c>
      <c r="Z3" s="67">
        <v>36.057180125911728</v>
      </c>
    </row>
    <row r="4" spans="1:26">
      <c r="A4" t="s">
        <v>224</v>
      </c>
      <c r="B4" t="s">
        <v>227</v>
      </c>
      <c r="C4" t="s">
        <v>226</v>
      </c>
      <c r="D4" t="s">
        <v>230</v>
      </c>
      <c r="E4" t="s">
        <v>228</v>
      </c>
      <c r="F4" t="s">
        <v>229</v>
      </c>
      <c r="H4" t="s">
        <v>227</v>
      </c>
      <c r="I4" t="s">
        <v>226</v>
      </c>
      <c r="J4" t="s">
        <v>230</v>
      </c>
      <c r="K4" t="s">
        <v>228</v>
      </c>
      <c r="L4" t="s">
        <v>229</v>
      </c>
      <c r="N4" t="s">
        <v>227</v>
      </c>
      <c r="O4" t="s">
        <v>226</v>
      </c>
      <c r="P4" t="s">
        <v>230</v>
      </c>
      <c r="Q4" t="s">
        <v>228</v>
      </c>
      <c r="R4" t="s">
        <v>229</v>
      </c>
      <c r="T4" t="s">
        <v>227</v>
      </c>
      <c r="U4" t="s">
        <v>226</v>
      </c>
      <c r="V4" t="s">
        <v>607</v>
      </c>
      <c r="W4" t="s">
        <v>549</v>
      </c>
      <c r="Y4" s="66" t="s">
        <v>38</v>
      </c>
      <c r="Z4" s="67">
        <v>34.305532612328349</v>
      </c>
    </row>
    <row r="5" spans="1:26">
      <c r="A5">
        <v>1</v>
      </c>
      <c r="B5" t="str">
        <f ca="1">+INDEX('Charges_Including Slice and LS'!$C$4:$C$138,MATCH($A5,'Charges_Including Slice and LS'!$AA$4:$AA$138,0),1)</f>
        <v>Umatilla Elec Coop</v>
      </c>
      <c r="C5" s="406">
        <f ca="1">+INDEX('Charges_Including Slice and LS'!$Z$4:$Z$138,MATCH($A5,'Charges_Including Slice and LS'!$AA$4:$AA$138,0),1)</f>
        <v>5.0525817335117504E-2</v>
      </c>
      <c r="D5" s="60">
        <f ca="1">+INDEX('Charges_Including Slice and LS'!$Y$4:$Y$138,MATCH($A5,'Charges_Including Slice and LS'!$AA$4:$AA$138,0),1)</f>
        <v>29.189094840072123</v>
      </c>
      <c r="E5" s="45">
        <f ca="1">+INDEX('Charges_Including Slice and LS'!$X$4:$X$138,MATCH($A5,'Charges_Including Slice and LS'!$AA$4:$AA$138,0),1)/1000</f>
        <v>994.5508319999999</v>
      </c>
      <c r="F5" s="45">
        <f ca="1">+SUM(E$5:E5)</f>
        <v>994.5508319999999</v>
      </c>
      <c r="H5" t="str">
        <f ca="1">+INDEX(Charges_NonSlice!$C$4:$C$138,MATCH($A5,Charges_NonSlice!$AA$4:$AA$138,0),1)</f>
        <v>Umatilla Elec Coop</v>
      </c>
      <c r="I5" s="63">
        <f ca="1">+INDEX(Charges_NonSlice!$Z$4:$Z$138,MATCH($A5,Charges_NonSlice!$AA$4:$AA$138,0),1)</f>
        <v>5.0525817335114728E-2</v>
      </c>
      <c r="J5" s="60">
        <f ca="1">+INDEX(Charges_NonSlice!$Y$4:$Y$138,MATCH($A5,Charges_NonSlice!$AA$4:$AA$138,0),1)</f>
        <v>29.189094840072123</v>
      </c>
      <c r="K5" s="45">
        <f ca="1">+INDEX(Charges_NonSlice!$X$4:$X$138,MATCH($A5,Charges_NonSlice!$AA$4:$AA$138,0),1)/1000</f>
        <v>994.5508319999999</v>
      </c>
      <c r="L5" s="45">
        <f ca="1">+SUM(K$5:K5)</f>
        <v>994.5508319999999</v>
      </c>
      <c r="N5" t="str">
        <f ca="1">+INDEX('Charges_NonSlice &amp; Excl LS'!$C$4:$C$138,MATCH($A5,'Charges_NonSlice &amp; Excl LS'!$AA$4:$AA$138,0),1)</f>
        <v>Mason County PUD #1</v>
      </c>
      <c r="O5" s="63">
        <f ca="1">+INDEX('Charges_NonSlice &amp; Excl LS'!$Z$4:$Z$138,MATCH($A5,'Charges_NonSlice &amp; Excl LS'!$AA$4:$AA$138,0),1)</f>
        <v>3.4563906588515325E-2</v>
      </c>
      <c r="P5" s="86">
        <f ca="1">+INDEX('Charges_NonSlice &amp; Excl LS'!$Y$4:$Y$138,MATCH($A5,'Charges_NonSlice &amp; Excl LS'!$AA$4:$AA$138,0),1)</f>
        <v>36.413152498453314</v>
      </c>
      <c r="Q5" s="234">
        <f ca="1">+INDEX('Charges_NonSlice &amp; Excl LS'!$X$4:$X$138,MATCH($A5,'Charges_NonSlice &amp; Excl LS'!$AA$4:$AA$138,0),1)/1000</f>
        <v>78.93934223896801</v>
      </c>
      <c r="R5" s="234">
        <f ca="1">+SUM(Q$5:Q5)</f>
        <v>78.93934223896801</v>
      </c>
      <c r="T5" t="str">
        <f ca="1">+INDEX(Charges_NonSlice!$C$4:$C$138,MATCH($A5,Charges_NonSlice!$AA$4:$AA$138,0),1)</f>
        <v>Umatilla Elec Coop</v>
      </c>
      <c r="U5" s="63" t="str">
        <f ca="1">IFERROR(+V5/W5-1,"")</f>
        <v/>
      </c>
      <c r="V5" s="60">
        <f ca="1">+INDEX(Charges_NonSlice!$Y$4:$Y$138,MATCH($A5,Charges_NonSlice!$AA$4:$AA$138,0),1)</f>
        <v>29.189094840072123</v>
      </c>
      <c r="W5" s="411" t="str">
        <f ca="1">IFERROR(+VLOOKUP(T5,Y:Z,2,FALSE), " ")</f>
        <v xml:space="preserve"> </v>
      </c>
      <c r="Y5" s="66" t="s">
        <v>23</v>
      </c>
      <c r="Z5" s="67">
        <v>35.876379306073112</v>
      </c>
    </row>
    <row r="6" spans="1:26">
      <c r="A6">
        <f>+A5+1</f>
        <v>2</v>
      </c>
      <c r="B6" s="71" t="str">
        <f ca="1">+INDEX('Charges_Including Slice and LS'!$C$4:$C$138,MATCH($A6,'Charges_Including Slice and LS'!$AA$4:$AA$138,0),1)</f>
        <v>Mason County PUD #1</v>
      </c>
      <c r="C6" s="406">
        <f ca="1">+INDEX('Charges_Including Slice and LS'!$Z$4:$Z$138,MATCH($A6,'Charges_Including Slice and LS'!$AA$4:$AA$138,0),1)</f>
        <v>4.5174850817703019E-2</v>
      </c>
      <c r="D6" s="60">
        <f ca="1">+INDEX('Charges_Including Slice and LS'!$Y$4:$Y$138,MATCH($A6,'Charges_Including Slice and LS'!$AA$4:$AA$138,0),1)</f>
        <v>37.70636259978135</v>
      </c>
      <c r="E6" s="69">
        <f ca="1">+INDEX('Charges_Including Slice and LS'!$X$4:$X$138,MATCH($A6,'Charges_Including Slice and LS'!$AA$4:$AA$138,0),1)/1000</f>
        <v>78.941808000000009</v>
      </c>
      <c r="F6" s="69">
        <f ca="1">+SUM(E$5:E6)</f>
        <v>1073.4926399999999</v>
      </c>
      <c r="H6" s="232" t="str">
        <f ca="1">+INDEX(Charges_NonSlice!$C$4:$C$138,MATCH($A6,Charges_NonSlice!$AA$4:$AA$138,0),1)</f>
        <v>Mason County PUD #1</v>
      </c>
      <c r="I6" s="63">
        <f ca="1">+INDEX(Charges_NonSlice!$Z$4:$Z$138,MATCH($A6,Charges_NonSlice!$AA$4:$AA$138,0),1)</f>
        <v>4.5174850817704566E-2</v>
      </c>
      <c r="J6" s="86">
        <f ca="1">+INDEX(Charges_NonSlice!$Y$4:$Y$138,MATCH($A6,Charges_NonSlice!$AA$4:$AA$138,0),1)</f>
        <v>37.70636259978135</v>
      </c>
      <c r="K6" s="234">
        <f ca="1">+INDEX(Charges_NonSlice!$X$4:$X$138,MATCH($A6,Charges_NonSlice!$AA$4:$AA$138,0),1)/1000</f>
        <v>78.941808000000009</v>
      </c>
      <c r="L6" s="69">
        <f ca="1">+SUM(K$5:K6)</f>
        <v>1073.4926399999999</v>
      </c>
      <c r="N6" s="232" t="str">
        <f ca="1">+INDEX('Charges_NonSlice &amp; Excl LS'!$C$4:$C$138,MATCH($A6,'Charges_NonSlice &amp; Excl LS'!$AA$4:$AA$138,0),1)</f>
        <v>Mason County PUD #3</v>
      </c>
      <c r="O6" s="63">
        <f ca="1">+INDEX('Charges_NonSlice &amp; Excl LS'!$Z$4:$Z$138,MATCH($A6,'Charges_NonSlice &amp; Excl LS'!$AA$4:$AA$138,0),1)</f>
        <v>2.8508164148162336E-2</v>
      </c>
      <c r="P6" s="86">
        <f ca="1">+INDEX('Charges_NonSlice &amp; Excl LS'!$Y$4:$Y$138,MATCH($A6,'Charges_NonSlice &amp; Excl LS'!$AA$4:$AA$138,0),1)</f>
        <v>34.991398602545104</v>
      </c>
      <c r="Q6" s="234">
        <f ca="1">+INDEX('Charges_NonSlice &amp; Excl LS'!$X$4:$X$138,MATCH($A6,'Charges_NonSlice &amp; Excl LS'!$AA$4:$AA$138,0),1)/1000</f>
        <v>702.09667277855999</v>
      </c>
      <c r="R6" s="69">
        <f ca="1">+SUM(Q$5:Q6)</f>
        <v>781.03601501752803</v>
      </c>
      <c r="T6" s="232" t="str">
        <f ca="1">+INDEX(Charges_NonSlice!$C$4:$C$138,MATCH($A6,Charges_NonSlice!$AA$4:$AA$138,0),1)</f>
        <v>Mason County PUD #1</v>
      </c>
      <c r="U6" s="63">
        <f t="shared" ref="U6:U69" ca="1" si="0">IFERROR(+V6/W6-1,"")</f>
        <v>3.7785679910750325E-2</v>
      </c>
      <c r="V6" s="86">
        <f ca="1">+INDEX(Charges_NonSlice!$Y$4:$Y$138,MATCH($A6,Charges_NonSlice!$AA$4:$AA$138,0),1)</f>
        <v>37.70636259978135</v>
      </c>
      <c r="W6" s="411">
        <f t="shared" ref="W6:W69" ca="1" si="1">IFERROR(+VLOOKUP(T6,Y:Z,2,FALSE), " ")</f>
        <v>36.33347745078165</v>
      </c>
      <c r="Y6" s="66" t="s">
        <v>115</v>
      </c>
      <c r="Z6" s="67">
        <v>29.075812988176111</v>
      </c>
    </row>
    <row r="7" spans="1:26">
      <c r="A7">
        <f t="shared" ref="A7:A70" si="2">+A6+1</f>
        <v>3</v>
      </c>
      <c r="B7" s="71" t="str">
        <f ca="1">+INDEX('Charges_Including Slice and LS'!$C$4:$C$138,MATCH($A7,'Charges_Including Slice and LS'!$AA$4:$AA$138,0),1)</f>
        <v>Mason County PUD #3</v>
      </c>
      <c r="C7" s="406">
        <f ca="1">+INDEX('Charges_Including Slice and LS'!$Z$4:$Z$138,MATCH($A7,'Charges_Including Slice and LS'!$AA$4:$AA$138,0),1)</f>
        <v>3.7988956686779846E-2</v>
      </c>
      <c r="D7" s="60">
        <f ca="1">+INDEX('Charges_Including Slice and LS'!$Y$4:$Y$138,MATCH($A7,'Charges_Including Slice and LS'!$AA$4:$AA$138,0),1)</f>
        <v>36.04628902459654</v>
      </c>
      <c r="E7" s="69">
        <f ca="1">+INDEX('Charges_Including Slice and LS'!$X$4:$X$138,MATCH($A7,'Charges_Including Slice and LS'!$AA$4:$AA$138,0),1)/1000</f>
        <v>702.09633600000006</v>
      </c>
      <c r="F7" s="69">
        <f ca="1">+SUM(E$5:E7)</f>
        <v>1775.588976</v>
      </c>
      <c r="H7" s="232" t="str">
        <f ca="1">+INDEX(Charges_NonSlice!$C$4:$C$138,MATCH($A7,Charges_NonSlice!$AA$4:$AA$138,0),1)</f>
        <v>Mason County PUD #3</v>
      </c>
      <c r="I7" s="63">
        <f ca="1">+INDEX(Charges_NonSlice!$Z$4:$Z$138,MATCH($A7,Charges_NonSlice!$AA$4:$AA$138,0),1)</f>
        <v>3.7988956686781761E-2</v>
      </c>
      <c r="J7" s="86">
        <f ca="1">+INDEX(Charges_NonSlice!$Y$4:$Y$138,MATCH($A7,Charges_NonSlice!$AA$4:$AA$138,0),1)</f>
        <v>36.04628902459654</v>
      </c>
      <c r="K7" s="234">
        <f ca="1">+INDEX(Charges_NonSlice!$X$4:$X$138,MATCH($A7,Charges_NonSlice!$AA$4:$AA$138,0),1)/1000</f>
        <v>702.09633600000006</v>
      </c>
      <c r="L7" s="69">
        <f ca="1">+SUM(K$5:K7)</f>
        <v>1775.588976</v>
      </c>
      <c r="N7" s="232" t="str">
        <f ca="1">+INDEX('Charges_NonSlice &amp; Excl LS'!$C$4:$C$138,MATCH($A7,'Charges_NonSlice &amp; Excl LS'!$AA$4:$AA$138,0),1)</f>
        <v>Umatilla Elec Coop</v>
      </c>
      <c r="O7" s="63">
        <f ca="1">+INDEX('Charges_NonSlice &amp; Excl LS'!$Z$4:$Z$138,MATCH($A7,'Charges_NonSlice &amp; Excl LS'!$AA$4:$AA$138,0),1)</f>
        <v>-1.1635588238100798E-2</v>
      </c>
      <c r="P7" s="86">
        <f ca="1">+INDEX('Charges_NonSlice &amp; Excl LS'!$Y$4:$Y$138,MATCH($A7,'Charges_NonSlice &amp; Excl LS'!$AA$4:$AA$138,0),1)</f>
        <v>27.839754254865088</v>
      </c>
      <c r="Q7" s="234">
        <f ca="1">+INDEX('Charges_NonSlice &amp; Excl LS'!$X$4:$X$138,MATCH($A7,'Charges_NonSlice &amp; Excl LS'!$AA$4:$AA$138,0),1)/1000</f>
        <v>994.55009066553612</v>
      </c>
      <c r="R7" s="69">
        <f ca="1">+SUM(Q$5:Q7)</f>
        <v>1775.586105683064</v>
      </c>
      <c r="T7" s="232" t="str">
        <f ca="1">+INDEX(Charges_NonSlice!$C$4:$C$138,MATCH($A7,Charges_NonSlice!$AA$4:$AA$138,0),1)</f>
        <v>Mason County PUD #3</v>
      </c>
      <c r="U7" s="63">
        <f t="shared" ca="1" si="0"/>
        <v>3.7796137917592176E-2</v>
      </c>
      <c r="V7" s="86">
        <f ca="1">+INDEX(Charges_NonSlice!$Y$4:$Y$138,MATCH($A7,Charges_NonSlice!$AA$4:$AA$138,0),1)</f>
        <v>36.04628902459654</v>
      </c>
      <c r="W7" s="411">
        <f t="shared" ca="1" si="1"/>
        <v>34.733496982293502</v>
      </c>
      <c r="Y7" s="66" t="s">
        <v>73</v>
      </c>
      <c r="Z7" s="67">
        <v>36.811653320738806</v>
      </c>
    </row>
    <row r="8" spans="1:26">
      <c r="A8">
        <f t="shared" si="2"/>
        <v>4</v>
      </c>
      <c r="B8" s="71" t="str">
        <f ca="1">+INDEX('Charges_Including Slice and LS'!$C$4:$C$138,MATCH($A8,'Charges_Including Slice and LS'!$AA$4:$AA$138,0),1)</f>
        <v>Bonners Ferry, City of</v>
      </c>
      <c r="C8" s="406">
        <f ca="1">+INDEX('Charges_Including Slice and LS'!$Z$4:$Z$138,MATCH($A8,'Charges_Including Slice and LS'!$AA$4:$AA$138,0),1)</f>
        <v>3.7186625929801154E-2</v>
      </c>
      <c r="D8" s="60">
        <f ca="1">+INDEX('Charges_Including Slice and LS'!$Y$4:$Y$138,MATCH($A8,'Charges_Including Slice and LS'!$AA$4:$AA$138,0),1)</f>
        <v>40.146471585960334</v>
      </c>
      <c r="E8" s="69">
        <f ca="1">+INDEX('Charges_Including Slice and LS'!$X$4:$X$138,MATCH($A8,'Charges_Including Slice and LS'!$AA$4:$AA$138,0),1)/1000</f>
        <v>46.727460214210076</v>
      </c>
      <c r="F8" s="69">
        <f ca="1">+SUM(E$5:E8)</f>
        <v>1822.3164362142102</v>
      </c>
      <c r="H8" s="232" t="str">
        <f ca="1">+INDEX(Charges_NonSlice!$C$4:$C$138,MATCH($A8,Charges_NonSlice!$AA$4:$AA$138,0),1)</f>
        <v>Bonners Ferry, City of</v>
      </c>
      <c r="I8" s="63">
        <f ca="1">+INDEX(Charges_NonSlice!$Z$4:$Z$138,MATCH($A8,Charges_NonSlice!$AA$4:$AA$138,0),1)</f>
        <v>3.7186625929798607E-2</v>
      </c>
      <c r="J8" s="86">
        <f ca="1">+INDEX(Charges_NonSlice!$Y$4:$Y$138,MATCH($A8,Charges_NonSlice!$AA$4:$AA$138,0),1)</f>
        <v>40.146471585960334</v>
      </c>
      <c r="K8" s="234">
        <f ca="1">+INDEX(Charges_NonSlice!$X$4:$X$138,MATCH($A8,Charges_NonSlice!$AA$4:$AA$138,0),1)/1000</f>
        <v>46.727460214210076</v>
      </c>
      <c r="L8" s="69">
        <f ca="1">+SUM(K$5:K8)</f>
        <v>1822.3164362142102</v>
      </c>
      <c r="N8" s="232" t="str">
        <f ca="1">+INDEX('Charges_NonSlice &amp; Excl LS'!$C$4:$C$138,MATCH($A8,'Charges_NonSlice &amp; Excl LS'!$AA$4:$AA$138,0),1)</f>
        <v>Nespelem Valley Elec Coop</v>
      </c>
      <c r="O8" s="63">
        <f ca="1">+INDEX('Charges_NonSlice &amp; Excl LS'!$Z$4:$Z$138,MATCH($A8,'Charges_NonSlice &amp; Excl LS'!$AA$4:$AA$138,0),1)</f>
        <v>-1.1707511643406237E-2</v>
      </c>
      <c r="P8" s="86">
        <f ca="1">+INDEX('Charges_NonSlice &amp; Excl LS'!$Y$4:$Y$138,MATCH($A8,'Charges_NonSlice &amp; Excl LS'!$AA$4:$AA$138,0),1)</f>
        <v>31.941940369358985</v>
      </c>
      <c r="Q8" s="234">
        <f ca="1">+INDEX('Charges_NonSlice &amp; Excl LS'!$X$4:$X$138,MATCH($A8,'Charges_NonSlice &amp; Excl LS'!$AA$4:$AA$138,0),1)/1000</f>
        <v>51.658332428015996</v>
      </c>
      <c r="R8" s="69">
        <f ca="1">+SUM(Q$5:Q8)</f>
        <v>1827.2444381110799</v>
      </c>
      <c r="T8" s="232" t="str">
        <f ca="1">+INDEX(Charges_NonSlice!$C$4:$C$138,MATCH($A8,Charges_NonSlice!$AA$4:$AA$138,0),1)</f>
        <v>Bonners Ferry, City of</v>
      </c>
      <c r="U8" s="63">
        <f t="shared" ca="1" si="0"/>
        <v>4.4662866064799411E-2</v>
      </c>
      <c r="V8" s="86">
        <f ca="1">+INDEX(Charges_NonSlice!$Y$4:$Y$138,MATCH($A8,Charges_NonSlice!$AA$4:$AA$138,0),1)</f>
        <v>40.146471585960334</v>
      </c>
      <c r="W8" s="411">
        <f t="shared" ca="1" si="1"/>
        <v>38.430074323585735</v>
      </c>
      <c r="Y8" s="66" t="s">
        <v>29</v>
      </c>
      <c r="Z8" s="67">
        <v>36.733523258266352</v>
      </c>
    </row>
    <row r="9" spans="1:26">
      <c r="A9">
        <f t="shared" si="2"/>
        <v>5</v>
      </c>
      <c r="B9" s="71" t="str">
        <f ca="1">+INDEX('Charges_Including Slice and LS'!$C$4:$C$138,MATCH($A9,'Charges_Including Slice and LS'!$AA$4:$AA$138,0),1)</f>
        <v>Harney Elec Coop</v>
      </c>
      <c r="C9" s="406">
        <f ca="1">+INDEX('Charges_Including Slice and LS'!$Z$4:$Z$138,MATCH($A9,'Charges_Including Slice and LS'!$AA$4:$AA$138,0),1)</f>
        <v>3.4916537218300944E-2</v>
      </c>
      <c r="D9" s="60">
        <f ca="1">+INDEX('Charges_Including Slice and LS'!$Y$4:$Y$138,MATCH($A9,'Charges_Including Slice and LS'!$AA$4:$AA$138,0),1)</f>
        <v>25.79242102044126</v>
      </c>
      <c r="E9" s="69">
        <f ca="1">+INDEX('Charges_Including Slice and LS'!$X$4:$X$138,MATCH($A9,'Charges_Including Slice and LS'!$AA$4:$AA$138,0),1)/1000</f>
        <v>199.86208591613766</v>
      </c>
      <c r="F9" s="69">
        <f ca="1">+SUM(E$5:E9)</f>
        <v>2022.1785221303478</v>
      </c>
      <c r="H9" s="232" t="str">
        <f ca="1">+INDEX(Charges_NonSlice!$C$4:$C$138,MATCH($A9,Charges_NonSlice!$AA$4:$AA$138,0),1)</f>
        <v>Harney Elec Coop</v>
      </c>
      <c r="I9" s="63">
        <f ca="1">+INDEX(Charges_NonSlice!$Z$4:$Z$138,MATCH($A9,Charges_NonSlice!$AA$4:$AA$138,0),1)</f>
        <v>3.4916537218306842E-2</v>
      </c>
      <c r="J9" s="86">
        <f ca="1">+INDEX(Charges_NonSlice!$Y$4:$Y$138,MATCH($A9,Charges_NonSlice!$AA$4:$AA$138,0),1)</f>
        <v>25.79242102044126</v>
      </c>
      <c r="K9" s="234">
        <f ca="1">+INDEX(Charges_NonSlice!$X$4:$X$138,MATCH($A9,Charges_NonSlice!$AA$4:$AA$138,0),1)/1000</f>
        <v>199.86208591613766</v>
      </c>
      <c r="L9" s="69">
        <f ca="1">+SUM(K$5:K9)</f>
        <v>2022.1785221303478</v>
      </c>
      <c r="N9" s="232" t="str">
        <f ca="1">+INDEX('Charges_NonSlice &amp; Excl LS'!$C$4:$C$138,MATCH($A9,'Charges_NonSlice &amp; Excl LS'!$AA$4:$AA$138,0),1)</f>
        <v>Wells Rural Elec Coop</v>
      </c>
      <c r="O9" s="63">
        <f ca="1">+INDEX('Charges_NonSlice &amp; Excl LS'!$Z$4:$Z$138,MATCH($A9,'Charges_NonSlice &amp; Excl LS'!$AA$4:$AA$138,0),1)</f>
        <v>-1.3947824452733598E-2</v>
      </c>
      <c r="P9" s="86">
        <f ca="1">+INDEX('Charges_NonSlice &amp; Excl LS'!$Y$4:$Y$138,MATCH($A9,'Charges_NonSlice &amp; Excl LS'!$AA$4:$AA$138,0),1)</f>
        <v>31.793546995844448</v>
      </c>
      <c r="Q9" s="234">
        <f ca="1">+INDEX('Charges_NonSlice &amp; Excl LS'!$X$4:$X$138,MATCH($A9,'Charges_NonSlice &amp; Excl LS'!$AA$4:$AA$138,0),1)/1000</f>
        <v>841.25029753180786</v>
      </c>
      <c r="R9" s="69">
        <f ca="1">+SUM(Q$5:Q9)</f>
        <v>2668.4947356428879</v>
      </c>
      <c r="T9" s="232" t="str">
        <f ca="1">+INDEX(Charges_NonSlice!$C$4:$C$138,MATCH($A9,Charges_NonSlice!$AA$4:$AA$138,0),1)</f>
        <v>Harney Elec Coop</v>
      </c>
      <c r="U9" s="63">
        <f t="shared" ca="1" si="0"/>
        <v>1.2227972096302109E-2</v>
      </c>
      <c r="V9" s="86">
        <f ca="1">+INDEX(Charges_NonSlice!$Y$4:$Y$138,MATCH($A9,Charges_NonSlice!$AA$4:$AA$138,0),1)</f>
        <v>25.79242102044126</v>
      </c>
      <c r="W9" s="411">
        <f t="shared" ca="1" si="1"/>
        <v>25.480841995529641</v>
      </c>
      <c r="Y9" s="66" t="s">
        <v>92</v>
      </c>
      <c r="Z9" s="67">
        <v>32.165638360219141</v>
      </c>
    </row>
    <row r="10" spans="1:26">
      <c r="A10">
        <f t="shared" si="2"/>
        <v>6</v>
      </c>
      <c r="B10" s="71" t="str">
        <f ca="1">+INDEX('Charges_Including Slice and LS'!$C$4:$C$138,MATCH($A10,'Charges_Including Slice and LS'!$AA$4:$AA$138,0),1)</f>
        <v>Surprise Valley Elec Coop</v>
      </c>
      <c r="C10" s="406">
        <f ca="1">+INDEX('Charges_Including Slice and LS'!$Z$4:$Z$138,MATCH($A10,'Charges_Including Slice and LS'!$AA$4:$AA$138,0),1)</f>
        <v>3.3955600460315066E-2</v>
      </c>
      <c r="D10" s="60">
        <f ca="1">+INDEX('Charges_Including Slice and LS'!$Y$4:$Y$138,MATCH($A10,'Charges_Including Slice and LS'!$AA$4:$AA$138,0),1)</f>
        <v>30.108854597399535</v>
      </c>
      <c r="E10" s="69">
        <f ca="1">+INDEX('Charges_Including Slice and LS'!$X$4:$X$138,MATCH($A10,'Charges_Including Slice and LS'!$AA$4:$AA$138,0),1)/1000</f>
        <v>144.33841766162814</v>
      </c>
      <c r="F10" s="69">
        <f ca="1">+SUM(E$5:E10)</f>
        <v>2166.5169397919758</v>
      </c>
      <c r="H10" s="232" t="str">
        <f ca="1">+INDEX(Charges_NonSlice!$C$4:$C$138,MATCH($A10,Charges_NonSlice!$AA$4:$AA$138,0),1)</f>
        <v>Surprise Valley Elec Coop</v>
      </c>
      <c r="I10" s="63">
        <f ca="1">+INDEX(Charges_NonSlice!$Z$4:$Z$138,MATCH($A10,Charges_NonSlice!$AA$4:$AA$138,0),1)</f>
        <v>3.3955600460308669E-2</v>
      </c>
      <c r="J10" s="86">
        <f ca="1">+INDEX(Charges_NonSlice!$Y$4:$Y$138,MATCH($A10,Charges_NonSlice!$AA$4:$AA$138,0),1)</f>
        <v>30.108854597399535</v>
      </c>
      <c r="K10" s="234">
        <f ca="1">+INDEX(Charges_NonSlice!$X$4:$X$138,MATCH($A10,Charges_NonSlice!$AA$4:$AA$138,0),1)/1000</f>
        <v>144.33841766162814</v>
      </c>
      <c r="L10" s="69">
        <f ca="1">+SUM(K$5:K10)</f>
        <v>2166.5169397919758</v>
      </c>
      <c r="N10" s="232" t="str">
        <f ca="1">+INDEX('Charges_NonSlice &amp; Excl LS'!$C$4:$C$138,MATCH($A10,'Charges_NonSlice &amp; Excl LS'!$AA$4:$AA$138,0),1)</f>
        <v>Benton REA</v>
      </c>
      <c r="O10" s="63">
        <f ca="1">+INDEX('Charges_NonSlice &amp; Excl LS'!$Z$4:$Z$138,MATCH($A10,'Charges_NonSlice &amp; Excl LS'!$AA$4:$AA$138,0),1)</f>
        <v>-1.7821388950539439E-2</v>
      </c>
      <c r="P10" s="86">
        <f ca="1">+INDEX('Charges_NonSlice &amp; Excl LS'!$Y$4:$Y$138,MATCH($A10,'Charges_NonSlice &amp; Excl LS'!$AA$4:$AA$138,0),1)</f>
        <v>31.010047325280443</v>
      </c>
      <c r="Q10" s="234">
        <f ca="1">+INDEX('Charges_NonSlice &amp; Excl LS'!$X$4:$X$138,MATCH($A10,'Charges_NonSlice &amp; Excl LS'!$AA$4:$AA$138,0),1)/1000</f>
        <v>524.04728943880798</v>
      </c>
      <c r="R10" s="69">
        <f ca="1">+SUM(Q$5:Q10)</f>
        <v>3192.542025081696</v>
      </c>
      <c r="T10" s="232" t="str">
        <f ca="1">+INDEX(Charges_NonSlice!$C$4:$C$138,MATCH($A10,Charges_NonSlice!$AA$4:$AA$138,0),1)</f>
        <v>Surprise Valley Elec Coop</v>
      </c>
      <c r="U10" s="63">
        <f t="shared" ca="1" si="0"/>
        <v>3.5529242454665599E-2</v>
      </c>
      <c r="V10" s="86">
        <f ca="1">+INDEX(Charges_NonSlice!$Y$4:$Y$138,MATCH($A10,Charges_NonSlice!$AA$4:$AA$138,0),1)</f>
        <v>30.108854597399535</v>
      </c>
      <c r="W10" s="411">
        <f t="shared" ca="1" si="1"/>
        <v>29.075812988176111</v>
      </c>
      <c r="Y10" s="66" t="s">
        <v>63</v>
      </c>
      <c r="Z10" s="67">
        <v>37.142992727711224</v>
      </c>
    </row>
    <row r="11" spans="1:26">
      <c r="A11">
        <f t="shared" si="2"/>
        <v>7</v>
      </c>
      <c r="B11" s="71" t="str">
        <f ca="1">+INDEX('Charges_Including Slice and LS'!$C$4:$C$138,MATCH($A11,'Charges_Including Slice and LS'!$AA$4:$AA$138,0),1)</f>
        <v>Pend Oreille County PUD  #1</v>
      </c>
      <c r="C11" s="406">
        <f ca="1">+INDEX('Charges_Including Slice and LS'!$Z$4:$Z$138,MATCH($A11,'Charges_Including Slice and LS'!$AA$4:$AA$138,0),1)</f>
        <v>3.2498030618613345E-2</v>
      </c>
      <c r="D11" s="60">
        <f ca="1">+INDEX('Charges_Including Slice and LS'!$Y$4:$Y$138,MATCH($A11,'Charges_Including Slice and LS'!$AA$4:$AA$138,0),1)</f>
        <v>38.109907203162606</v>
      </c>
      <c r="E11" s="69">
        <f ca="1">+INDEX('Charges_Including Slice and LS'!$X$4:$X$138,MATCH($A11,'Charges_Including Slice and LS'!$AA$4:$AA$138,0),1)/1000</f>
        <v>226.35489703757645</v>
      </c>
      <c r="F11" s="69">
        <f ca="1">+SUM(E$5:E11)</f>
        <v>2392.8718368295522</v>
      </c>
      <c r="H11" s="232" t="str">
        <f ca="1">+INDEX(Charges_NonSlice!$C$4:$C$138,MATCH($A11,Charges_NonSlice!$AA$4:$AA$138,0),1)</f>
        <v>Pend Oreille County PUD  #1</v>
      </c>
      <c r="I11" s="63">
        <f ca="1">+INDEX(Charges_NonSlice!$Z$4:$Z$138,MATCH($A11,Charges_NonSlice!$AA$4:$AA$138,0),1)</f>
        <v>3.2498030618611125E-2</v>
      </c>
      <c r="J11" s="86">
        <f ca="1">+INDEX(Charges_NonSlice!$Y$4:$Y$138,MATCH($A11,Charges_NonSlice!$AA$4:$AA$138,0),1)</f>
        <v>38.109907203162606</v>
      </c>
      <c r="K11" s="234">
        <f ca="1">+INDEX(Charges_NonSlice!$X$4:$X$138,MATCH($A11,Charges_NonSlice!$AA$4:$AA$138,0),1)/1000</f>
        <v>226.35489703757645</v>
      </c>
      <c r="L11" s="69">
        <f ca="1">+SUM(K$5:K11)</f>
        <v>2392.8718368295522</v>
      </c>
      <c r="N11" s="232" t="str">
        <f ca="1">+INDEX('Charges_NonSlice &amp; Excl LS'!$C$4:$C$138,MATCH($A11,'Charges_NonSlice &amp; Excl LS'!$AA$4:$AA$138,0),1)</f>
        <v>Milton, Town of</v>
      </c>
      <c r="O11" s="63">
        <f ca="1">+INDEX('Charges_NonSlice &amp; Excl LS'!$Z$4:$Z$138,MATCH($A11,'Charges_NonSlice &amp; Excl LS'!$AA$4:$AA$138,0),1)</f>
        <v>-1.8321719860019479E-2</v>
      </c>
      <c r="P11" s="86">
        <f ca="1">+INDEX('Charges_NonSlice &amp; Excl LS'!$Y$4:$Y$138,MATCH($A11,'Charges_NonSlice &amp; Excl LS'!$AA$4:$AA$138,0),1)</f>
        <v>35.181123112773726</v>
      </c>
      <c r="Q11" s="234">
        <f ca="1">+INDEX('Charges_NonSlice &amp; Excl LS'!$X$4:$X$138,MATCH($A11,'Charges_NonSlice &amp; Excl LS'!$AA$4:$AA$138,0),1)/1000</f>
        <v>58.042721578680002</v>
      </c>
      <c r="R11" s="69">
        <f ca="1">+SUM(Q$5:Q11)</f>
        <v>3250.5847466603759</v>
      </c>
      <c r="T11" s="232" t="str">
        <f ca="1">+INDEX(Charges_NonSlice!$C$4:$C$138,MATCH($A11,Charges_NonSlice!$AA$4:$AA$138,0),1)</f>
        <v>Pend Oreille County PUD  #1</v>
      </c>
      <c r="U11" s="63" t="str">
        <f t="shared" ca="1" si="0"/>
        <v/>
      </c>
      <c r="V11" s="86">
        <f ca="1">+INDEX(Charges_NonSlice!$Y$4:$Y$138,MATCH($A11,Charges_NonSlice!$AA$4:$AA$138,0),1)</f>
        <v>38.109907203162606</v>
      </c>
      <c r="W11" s="411" t="str">
        <f t="shared" ca="1" si="1"/>
        <v xml:space="preserve"> </v>
      </c>
      <c r="Y11" s="66" t="s">
        <v>20</v>
      </c>
      <c r="Z11" s="67">
        <v>38.430074323585735</v>
      </c>
    </row>
    <row r="12" spans="1:26">
      <c r="A12">
        <f t="shared" si="2"/>
        <v>8</v>
      </c>
      <c r="B12" s="71" t="str">
        <f ca="1">+INDEX('Charges_Including Slice and LS'!$C$4:$C$138,MATCH($A12,'Charges_Including Slice and LS'!$AA$4:$AA$138,0),1)</f>
        <v>Seattle City Light</v>
      </c>
      <c r="C12" s="406">
        <f ca="1">+INDEX('Charges_Including Slice and LS'!$Z$4:$Z$138,MATCH($A12,'Charges_Including Slice and LS'!$AA$4:$AA$138,0),1)</f>
        <v>2.9086796760128816E-2</v>
      </c>
      <c r="D12" s="60">
        <f ca="1">+INDEX('Charges_Including Slice and LS'!$Y$4:$Y$138,MATCH($A12,'Charges_Including Slice and LS'!$AA$4:$AA$138,0),1)</f>
        <v>37.399676217435363</v>
      </c>
      <c r="E12" s="69">
        <f ca="1">+INDEX('Charges_Including Slice and LS'!$X$4:$X$138,MATCH($A12,'Charges_Including Slice and LS'!$AA$4:$AA$138,0),1)/1000</f>
        <v>4050.3814745661439</v>
      </c>
      <c r="F12" s="69">
        <f ca="1">+SUM(E$5:E12)</f>
        <v>6443.2533113956961</v>
      </c>
      <c r="H12" s="232" t="str">
        <f ca="1">+INDEX(Charges_NonSlice!$C$4:$C$138,MATCH($A12,Charges_NonSlice!$AA$4:$AA$138,0),1)</f>
        <v>Seattle City Light</v>
      </c>
      <c r="I12" s="63">
        <f ca="1">+INDEX(Charges_NonSlice!$Z$4:$Z$138,MATCH($A12,Charges_NonSlice!$AA$4:$AA$138,0),1)</f>
        <v>2.9086796760131223E-2</v>
      </c>
      <c r="J12" s="86">
        <f ca="1">+INDEX(Charges_NonSlice!$Y$4:$Y$138,MATCH($A12,Charges_NonSlice!$AA$4:$AA$138,0),1)</f>
        <v>37.399676217435363</v>
      </c>
      <c r="K12" s="234">
        <f ca="1">+INDEX(Charges_NonSlice!$X$4:$X$138,MATCH($A12,Charges_NonSlice!$AA$4:$AA$138,0),1)/1000</f>
        <v>4050.3814745661439</v>
      </c>
      <c r="L12" s="69">
        <f ca="1">+SUM(K$5:K12)</f>
        <v>6443.2533113956961</v>
      </c>
      <c r="N12" s="232" t="str">
        <f ca="1">+INDEX('Charges_NonSlice &amp; Excl LS'!$C$4:$C$138,MATCH($A12,'Charges_NonSlice &amp; Excl LS'!$AA$4:$AA$138,0),1)</f>
        <v>Ferry County PUD #1</v>
      </c>
      <c r="O12" s="63">
        <f ca="1">+INDEX('Charges_NonSlice &amp; Excl LS'!$Z$4:$Z$138,MATCH($A12,'Charges_NonSlice &amp; Excl LS'!$AA$4:$AA$138,0),1)</f>
        <v>-1.9380444103267364E-2</v>
      </c>
      <c r="P12" s="86">
        <f ca="1">+INDEX('Charges_NonSlice &amp; Excl LS'!$Y$4:$Y$138,MATCH($A12,'Charges_NonSlice &amp; Excl LS'!$AA$4:$AA$138,0),1)</f>
        <v>31.824534232863872</v>
      </c>
      <c r="Q12" s="234">
        <f ca="1">+INDEX('Charges_NonSlice &amp; Excl LS'!$X$4:$X$138,MATCH($A12,'Charges_NonSlice &amp; Excl LS'!$AA$4:$AA$138,0),1)/1000</f>
        <v>76.041859504895996</v>
      </c>
      <c r="R12" s="69">
        <f ca="1">+SUM(Q$5:Q12)</f>
        <v>3326.6266061652718</v>
      </c>
      <c r="T12" s="232" t="str">
        <f ca="1">+INDEX(Charges_NonSlice!$C$4:$C$138,MATCH($A12,Charges_NonSlice!$AA$4:$AA$138,0),1)</f>
        <v>Seattle City Light</v>
      </c>
      <c r="U12" s="63">
        <f t="shared" ca="1" si="0"/>
        <v>2.9086705206834873E-2</v>
      </c>
      <c r="V12" s="86">
        <f ca="1">+INDEX(Charges_NonSlice!$Y$4:$Y$138,MATCH($A12,Charges_NonSlice!$AA$4:$AA$138,0),1)</f>
        <v>37.399676217435363</v>
      </c>
      <c r="W12" s="411">
        <f t="shared" ca="1" si="1"/>
        <v>36.342590015210085</v>
      </c>
      <c r="Y12" s="66" t="s">
        <v>22</v>
      </c>
      <c r="Z12" s="67">
        <v>31.63645468559568</v>
      </c>
    </row>
    <row r="13" spans="1:26">
      <c r="A13">
        <f t="shared" si="2"/>
        <v>9</v>
      </c>
      <c r="B13" s="71" t="str">
        <f ca="1">+INDEX('Charges_Including Slice and LS'!$C$4:$C$138,MATCH($A13,'Charges_Including Slice and LS'!$AA$4:$AA$138,0),1)</f>
        <v>Asotin County PUD #1</v>
      </c>
      <c r="C13" s="406">
        <f ca="1">+INDEX('Charges_Including Slice and LS'!$Z$4:$Z$138,MATCH($A13,'Charges_Including Slice and LS'!$AA$4:$AA$138,0),1)</f>
        <v>2.7103790361682457E-2</v>
      </c>
      <c r="D13" s="60">
        <f ca="1">+INDEX('Charges_Including Slice and LS'!$Y$4:$Y$138,MATCH($A13,'Charges_Including Slice and LS'!$AA$4:$AA$138,0),1)</f>
        <v>39.522911482621673</v>
      </c>
      <c r="E13" s="69">
        <f ca="1">+INDEX('Charges_Including Slice and LS'!$X$4:$X$138,MATCH($A13,'Charges_Including Slice and LS'!$AA$4:$AA$138,0),1)/1000</f>
        <v>5.0332319999999999</v>
      </c>
      <c r="F13" s="69">
        <f ca="1">+SUM(E$5:E13)</f>
        <v>6448.2865433956958</v>
      </c>
      <c r="H13" s="232" t="str">
        <f ca="1">+INDEX(Charges_NonSlice!$C$4:$C$138,MATCH($A13,Charges_NonSlice!$AA$4:$AA$138,0),1)</f>
        <v>Asotin County PUD #1</v>
      </c>
      <c r="I13" s="63">
        <f ca="1">+INDEX(Charges_NonSlice!$Z$4:$Z$138,MATCH($A13,Charges_NonSlice!$AA$4:$AA$138,0),1)</f>
        <v>2.7103790361687339E-2</v>
      </c>
      <c r="J13" s="86">
        <f ca="1">+INDEX(Charges_NonSlice!$Y$4:$Y$138,MATCH($A13,Charges_NonSlice!$AA$4:$AA$138,0),1)</f>
        <v>39.522911482621673</v>
      </c>
      <c r="K13" s="234">
        <f ca="1">+INDEX(Charges_NonSlice!$X$4:$X$138,MATCH($A13,Charges_NonSlice!$AA$4:$AA$138,0),1)/1000</f>
        <v>5.0332319999999999</v>
      </c>
      <c r="L13" s="69">
        <f ca="1">+SUM(K$5:K13)</f>
        <v>6448.2865433956958</v>
      </c>
      <c r="N13" s="232" t="str">
        <f ca="1">+INDEX('Charges_NonSlice &amp; Excl LS'!$C$4:$C$138,MATCH($A13,'Charges_NonSlice &amp; Excl LS'!$AA$4:$AA$138,0),1)</f>
        <v>Alder Mutual</v>
      </c>
      <c r="O13" s="63">
        <f ca="1">+INDEX('Charges_NonSlice &amp; Excl LS'!$Z$4:$Z$138,MATCH($A13,'Charges_NonSlice &amp; Excl LS'!$AA$4:$AA$138,0),1)</f>
        <v>-2.0275885414524054E-2</v>
      </c>
      <c r="P13" s="86">
        <f ca="1">+INDEX('Charges_NonSlice &amp; Excl LS'!$Y$4:$Y$138,MATCH($A13,'Charges_NonSlice &amp; Excl LS'!$AA$4:$AA$138,0),1)</f>
        <v>34.91418294327358</v>
      </c>
      <c r="Q13" s="234">
        <f ca="1">+INDEX('Charges_NonSlice &amp; Excl LS'!$X$4:$X$138,MATCH($A13,'Charges_NonSlice &amp; Excl LS'!$AA$4:$AA$138,0),1)/1000</f>
        <v>4.8146608172160006</v>
      </c>
      <c r="R13" s="69">
        <f ca="1">+SUM(Q$5:Q13)</f>
        <v>3331.4412669824878</v>
      </c>
      <c r="T13" s="232" t="str">
        <f ca="1">+INDEX(Charges_NonSlice!$C$4:$C$138,MATCH($A13,Charges_NonSlice!$AA$4:$AA$138,0),1)</f>
        <v>Asotin County PUD #1</v>
      </c>
      <c r="U13" s="63">
        <f t="shared" ca="1" si="0"/>
        <v>2.6748472275737623E-2</v>
      </c>
      <c r="V13" s="86">
        <f ca="1">+INDEX(Charges_NonSlice!$Y$4:$Y$138,MATCH($A13,Charges_NonSlice!$AA$4:$AA$138,0),1)</f>
        <v>39.522911482621673</v>
      </c>
      <c r="W13" s="411">
        <f t="shared" ca="1" si="1"/>
        <v>38.493275178701829</v>
      </c>
      <c r="Y13" s="66" t="s">
        <v>27</v>
      </c>
      <c r="Z13" s="67">
        <v>35.768773958100034</v>
      </c>
    </row>
    <row r="14" spans="1:26">
      <c r="A14">
        <f t="shared" si="2"/>
        <v>10</v>
      </c>
      <c r="B14" s="71" t="str">
        <f ca="1">+INDEX('Charges_Including Slice and LS'!$C$4:$C$138,MATCH($A14,'Charges_Including Slice and LS'!$AA$4:$AA$138,0),1)</f>
        <v>Nespelem Valley Elec Coop</v>
      </c>
      <c r="C14" s="406">
        <f ca="1">+INDEX('Charges_Including Slice and LS'!$Z$4:$Z$138,MATCH($A14,'Charges_Including Slice and LS'!$AA$4:$AA$138,0),1)</f>
        <v>2.5663435303691532E-2</v>
      </c>
      <c r="D14" s="60">
        <f ca="1">+INDEX('Charges_Including Slice and LS'!$Y$4:$Y$138,MATCH($A14,'Charges_Including Slice and LS'!$AA$4:$AA$138,0),1)</f>
        <v>33.419713791832287</v>
      </c>
      <c r="E14" s="69">
        <f ca="1">+INDEX('Charges_Including Slice and LS'!$X$4:$X$138,MATCH($A14,'Charges_Including Slice and LS'!$AA$4:$AA$138,0),1)/1000</f>
        <v>51.658704000000007</v>
      </c>
      <c r="F14" s="69">
        <f ca="1">+SUM(E$5:E14)</f>
        <v>6499.9452473956962</v>
      </c>
      <c r="H14" s="232" t="str">
        <f ca="1">+INDEX(Charges_NonSlice!$C$4:$C$138,MATCH($A14,Charges_NonSlice!$AA$4:$AA$138,0),1)</f>
        <v>Nespelem Valley Elec Coop</v>
      </c>
      <c r="I14" s="63">
        <f ca="1">+INDEX(Charges_NonSlice!$Z$4:$Z$138,MATCH($A14,Charges_NonSlice!$AA$4:$AA$138,0),1)</f>
        <v>2.5663435303699016E-2</v>
      </c>
      <c r="J14" s="86">
        <f ca="1">+INDEX(Charges_NonSlice!$Y$4:$Y$138,MATCH($A14,Charges_NonSlice!$AA$4:$AA$138,0),1)</f>
        <v>33.419713791832287</v>
      </c>
      <c r="K14" s="234">
        <f ca="1">+INDEX(Charges_NonSlice!$X$4:$X$138,MATCH($A14,Charges_NonSlice!$AA$4:$AA$138,0),1)/1000</f>
        <v>51.658704000000007</v>
      </c>
      <c r="L14" s="69">
        <f ca="1">+SUM(K$5:K14)</f>
        <v>6499.9452473956962</v>
      </c>
      <c r="N14" s="232" t="str">
        <f ca="1">+INDEX('Charges_NonSlice &amp; Excl LS'!$C$4:$C$138,MATCH($A14,'Charges_NonSlice &amp; Excl LS'!$AA$4:$AA$138,0),1)</f>
        <v>Kalispel Tribe Utility</v>
      </c>
      <c r="O14" s="63">
        <f ca="1">+INDEX('Charges_NonSlice &amp; Excl LS'!$Z$4:$Z$138,MATCH($A14,'Charges_NonSlice &amp; Excl LS'!$AA$4:$AA$138,0),1)</f>
        <v>-2.0314655663026114E-2</v>
      </c>
      <c r="P14" s="86">
        <f ca="1">+INDEX('Charges_NonSlice &amp; Excl LS'!$Y$4:$Y$138,MATCH($A14,'Charges_NonSlice &amp; Excl LS'!$AA$4:$AA$138,0),1)</f>
        <v>33.538123576422855</v>
      </c>
      <c r="Q14" s="234">
        <f ca="1">+INDEX('Charges_NonSlice &amp; Excl LS'!$X$4:$X$138,MATCH($A14,'Charges_NonSlice &amp; Excl LS'!$AA$4:$AA$138,0),1)/1000</f>
        <v>31.326317610983999</v>
      </c>
      <c r="R14" s="69">
        <f ca="1">+SUM(Q$5:Q14)</f>
        <v>3362.7675845934718</v>
      </c>
      <c r="T14" s="232" t="str">
        <f ca="1">+INDEX(Charges_NonSlice!$C$4:$C$138,MATCH($A14,Charges_NonSlice!$AA$4:$AA$138,0),1)</f>
        <v>Nespelem Valley Elec Coop</v>
      </c>
      <c r="U14" s="63">
        <f t="shared" ca="1" si="0"/>
        <v>3.898804735565653E-2</v>
      </c>
      <c r="V14" s="86">
        <f ca="1">+INDEX(Charges_NonSlice!$Y$4:$Y$138,MATCH($A14,Charges_NonSlice!$AA$4:$AA$138,0),1)</f>
        <v>33.419713791832287</v>
      </c>
      <c r="W14" s="411">
        <f t="shared" ca="1" si="1"/>
        <v>32.165638360219141</v>
      </c>
      <c r="Y14" s="66" t="s">
        <v>31</v>
      </c>
      <c r="Z14" s="67">
        <v>38.291974428276077</v>
      </c>
    </row>
    <row r="15" spans="1:26">
      <c r="A15">
        <f t="shared" si="2"/>
        <v>11</v>
      </c>
      <c r="B15" s="71" t="str">
        <f ca="1">+INDEX('Charges_Including Slice and LS'!$C$4:$C$138,MATCH($A15,'Charges_Including Slice and LS'!$AA$4:$AA$138,0),1)</f>
        <v>Lost River Elec Coop</v>
      </c>
      <c r="C15" s="406">
        <f ca="1">+INDEX('Charges_Including Slice and LS'!$Z$4:$Z$138,MATCH($A15,'Charges_Including Slice and LS'!$AA$4:$AA$138,0),1)</f>
        <v>2.4607505878225255E-2</v>
      </c>
      <c r="D15" s="60">
        <f ca="1">+INDEX('Charges_Including Slice and LS'!$Y$4:$Y$138,MATCH($A15,'Charges_Including Slice and LS'!$AA$4:$AA$138,0),1)</f>
        <v>28.131971899667594</v>
      </c>
      <c r="E15" s="69">
        <f ca="1">+INDEX('Charges_Including Slice and LS'!$X$4:$X$138,MATCH($A15,'Charges_Including Slice and LS'!$AA$4:$AA$138,0),1)/1000</f>
        <v>83.676383999999999</v>
      </c>
      <c r="F15" s="69">
        <f ca="1">+SUM(E$5:E15)</f>
        <v>6583.6216313956966</v>
      </c>
      <c r="H15" s="232" t="str">
        <f ca="1">+INDEX(Charges_NonSlice!$C$4:$C$138,MATCH($A15,Charges_NonSlice!$AA$4:$AA$138,0),1)</f>
        <v>Lost River Elec Coop</v>
      </c>
      <c r="I15" s="63">
        <f ca="1">+INDEX(Charges_NonSlice!$Z$4:$Z$138,MATCH($A15,Charges_NonSlice!$AA$4:$AA$138,0),1)</f>
        <v>2.4607505878224505E-2</v>
      </c>
      <c r="J15" s="86">
        <f ca="1">+INDEX(Charges_NonSlice!$Y$4:$Y$138,MATCH($A15,Charges_NonSlice!$AA$4:$AA$138,0),1)</f>
        <v>28.131971899667594</v>
      </c>
      <c r="K15" s="234">
        <f ca="1">+INDEX(Charges_NonSlice!$X$4:$X$138,MATCH($A15,Charges_NonSlice!$AA$4:$AA$138,0),1)/1000</f>
        <v>83.676383999999999</v>
      </c>
      <c r="L15" s="69">
        <f ca="1">+SUM(K$5:K15)</f>
        <v>6583.6216313956966</v>
      </c>
      <c r="N15" s="232" t="str">
        <f ca="1">+INDEX('Charges_NonSlice &amp; Excl LS'!$C$4:$C$138,MATCH($A15,'Charges_NonSlice &amp; Excl LS'!$AA$4:$AA$138,0),1)</f>
        <v>Chewelah, City of</v>
      </c>
      <c r="O15" s="63">
        <f ca="1">+INDEX('Charges_NonSlice &amp; Excl LS'!$Z$4:$Z$138,MATCH($A15,'Charges_NonSlice &amp; Excl LS'!$AA$4:$AA$138,0),1)</f>
        <v>-2.0393340287849896E-2</v>
      </c>
      <c r="P15" s="86">
        <f ca="1">+INDEX('Charges_NonSlice &amp; Excl LS'!$Y$4:$Y$138,MATCH($A15,'Charges_NonSlice &amp; Excl LS'!$AA$4:$AA$138,0),1)</f>
        <v>35.244274299387982</v>
      </c>
      <c r="Q15" s="234">
        <f ca="1">+INDEX('Charges_NonSlice &amp; Excl LS'!$X$4:$X$138,MATCH($A15,'Charges_NonSlice &amp; Excl LS'!$AA$4:$AA$138,0),1)/1000</f>
        <v>22.156126002935999</v>
      </c>
      <c r="R15" s="69">
        <f ca="1">+SUM(Q$5:Q15)</f>
        <v>3384.923710596408</v>
      </c>
      <c r="T15" s="232" t="str">
        <f ca="1">+INDEX(Charges_NonSlice!$C$4:$C$138,MATCH($A15,Charges_NonSlice!$AA$4:$AA$138,0),1)</f>
        <v>Lost River Elec Coop</v>
      </c>
      <c r="U15" s="63">
        <f t="shared" ca="1" si="0"/>
        <v>4.2004195489081519E-2</v>
      </c>
      <c r="V15" s="86">
        <f ca="1">+INDEX(Charges_NonSlice!$Y$4:$Y$138,MATCH($A15,Charges_NonSlice!$AA$4:$AA$138,0),1)</f>
        <v>28.131971899667594</v>
      </c>
      <c r="W15" s="411">
        <f t="shared" ca="1" si="1"/>
        <v>26.997944942499391</v>
      </c>
      <c r="Y15" s="66" t="s">
        <v>44</v>
      </c>
      <c r="Z15" s="67">
        <v>35.083526622367124</v>
      </c>
    </row>
    <row r="16" spans="1:26">
      <c r="A16">
        <f t="shared" si="2"/>
        <v>12</v>
      </c>
      <c r="B16" s="71" t="str">
        <f ca="1">+INDEX('Charges_Including Slice and LS'!$C$4:$C$138,MATCH($A16,'Charges_Including Slice and LS'!$AA$4:$AA$138,0),1)</f>
        <v>Yakama Power</v>
      </c>
      <c r="C16" s="406">
        <f ca="1">+INDEX('Charges_Including Slice and LS'!$Z$4:$Z$138,MATCH($A16,'Charges_Including Slice and LS'!$AA$4:$AA$138,0),1)</f>
        <v>2.1329632801396908E-2</v>
      </c>
      <c r="D16" s="60">
        <f ca="1">+INDEX('Charges_Including Slice and LS'!$Y$4:$Y$138,MATCH($A16,'Charges_Including Slice and LS'!$AA$4:$AA$138,0),1)</f>
        <v>32.720586829639714</v>
      </c>
      <c r="E16" s="69">
        <f ca="1">+INDEX('Charges_Including Slice and LS'!$X$4:$X$138,MATCH($A16,'Charges_Including Slice and LS'!$AA$4:$AA$138,0),1)/1000</f>
        <v>163.51514174950779</v>
      </c>
      <c r="F16" s="69">
        <f ca="1">+SUM(E$5:E16)</f>
        <v>6747.1367731452046</v>
      </c>
      <c r="H16" s="232" t="str">
        <f ca="1">+INDEX(Charges_NonSlice!$C$4:$C$138,MATCH($A16,Charges_NonSlice!$AA$4:$AA$138,0),1)</f>
        <v>Yakama Power</v>
      </c>
      <c r="I16" s="63">
        <f ca="1">+INDEX(Charges_NonSlice!$Z$4:$Z$138,MATCH($A16,Charges_NonSlice!$AA$4:$AA$138,0),1)</f>
        <v>2.1329632801397165E-2</v>
      </c>
      <c r="J16" s="86">
        <f ca="1">+INDEX(Charges_NonSlice!$Y$4:$Y$138,MATCH($A16,Charges_NonSlice!$AA$4:$AA$138,0),1)</f>
        <v>32.720586829639714</v>
      </c>
      <c r="K16" s="234">
        <f ca="1">+INDEX(Charges_NonSlice!$X$4:$X$138,MATCH($A16,Charges_NonSlice!$AA$4:$AA$138,0),1)/1000</f>
        <v>163.51514174950779</v>
      </c>
      <c r="L16" s="69">
        <f ca="1">+SUM(K$5:K16)</f>
        <v>6747.1367731452046</v>
      </c>
      <c r="N16" s="232" t="str">
        <f ca="1">+INDEX('Charges_NonSlice &amp; Excl LS'!$C$4:$C$138,MATCH($A16,'Charges_NonSlice &amp; Excl LS'!$AA$4:$AA$138,0),1)</f>
        <v>Parkland L &amp; W</v>
      </c>
      <c r="O16" s="63">
        <f ca="1">+INDEX('Charges_NonSlice &amp; Excl LS'!$Z$4:$Z$138,MATCH($A16,'Charges_NonSlice &amp; Excl LS'!$AA$4:$AA$138,0),1)</f>
        <v>-2.0719074186492516E-2</v>
      </c>
      <c r="P16" s="86">
        <f ca="1">+INDEX('Charges_NonSlice &amp; Excl LS'!$Y$4:$Y$138,MATCH($A16,'Charges_NonSlice &amp; Excl LS'!$AA$4:$AA$138,0),1)</f>
        <v>34.835751453816414</v>
      </c>
      <c r="Q16" s="234">
        <f ca="1">+INDEX('Charges_NonSlice &amp; Excl LS'!$X$4:$X$138,MATCH($A16,'Charges_NonSlice &amp; Excl LS'!$AA$4:$AA$138,0),1)/1000</f>
        <v>117.82889636565599</v>
      </c>
      <c r="R16" s="69">
        <f ca="1">+SUM(Q$5:Q16)</f>
        <v>3502.752606962064</v>
      </c>
      <c r="T16" s="232" t="str">
        <f ca="1">+INDEX(Charges_NonSlice!$C$4:$C$138,MATCH($A16,Charges_NonSlice!$AA$4:$AA$138,0),1)</f>
        <v>Yakama Power</v>
      </c>
      <c r="U16" s="63">
        <f t="shared" ca="1" si="0"/>
        <v>-1.2623367677733199E-4</v>
      </c>
      <c r="V16" s="86">
        <f ca="1">+INDEX(Charges_NonSlice!$Y$4:$Y$138,MATCH($A16,Charges_NonSlice!$AA$4:$AA$138,0),1)</f>
        <v>32.720586829639714</v>
      </c>
      <c r="W16" s="411">
        <f t="shared" ca="1" si="1"/>
        <v>32.724717791087983</v>
      </c>
      <c r="Y16" s="66" t="s">
        <v>34</v>
      </c>
      <c r="Z16" s="67">
        <v>37.062265613386856</v>
      </c>
    </row>
    <row r="17" spans="1:26">
      <c r="A17">
        <f t="shared" si="2"/>
        <v>13</v>
      </c>
      <c r="B17" s="71" t="str">
        <f ca="1">+INDEX('Charges_Including Slice and LS'!$C$4:$C$138,MATCH($A17,'Charges_Including Slice and LS'!$AA$4:$AA$138,0),1)</f>
        <v>Milton-Freewater, City of</v>
      </c>
      <c r="C17" s="406">
        <f ca="1">+INDEX('Charges_Including Slice and LS'!$Z$4:$Z$138,MATCH($A17,'Charges_Including Slice and LS'!$AA$4:$AA$138,0),1)</f>
        <v>1.3584631247787754E-2</v>
      </c>
      <c r="D17" s="60">
        <f ca="1">+INDEX('Charges_Including Slice and LS'!$Y$4:$Y$138,MATCH($A17,'Charges_Including Slice and LS'!$AA$4:$AA$138,0),1)</f>
        <v>37.60296351703974</v>
      </c>
      <c r="E17" s="69">
        <f ca="1">+INDEX('Charges_Including Slice and LS'!$X$4:$X$138,MATCH($A17,'Charges_Including Slice and LS'!$AA$4:$AA$138,0),1)/1000</f>
        <v>80.049160366932881</v>
      </c>
      <c r="F17" s="69">
        <f ca="1">+SUM(E$5:E17)</f>
        <v>6827.1859335121371</v>
      </c>
      <c r="H17" s="232" t="str">
        <f ca="1">+INDEX(Charges_NonSlice!$C$4:$C$138,MATCH($A17,Charges_NonSlice!$AA$4:$AA$138,0),1)</f>
        <v>Milton-Freewater, City of</v>
      </c>
      <c r="I17" s="63">
        <f ca="1">+INDEX(Charges_NonSlice!$Z$4:$Z$138,MATCH($A17,Charges_NonSlice!$AA$4:$AA$138,0),1)</f>
        <v>1.3584631247788087E-2</v>
      </c>
      <c r="J17" s="86">
        <f ca="1">+INDEX(Charges_NonSlice!$Y$4:$Y$138,MATCH($A17,Charges_NonSlice!$AA$4:$AA$138,0),1)</f>
        <v>37.60296351703974</v>
      </c>
      <c r="K17" s="234">
        <f ca="1">+INDEX(Charges_NonSlice!$X$4:$X$138,MATCH($A17,Charges_NonSlice!$AA$4:$AA$138,0),1)/1000</f>
        <v>80.049160366932881</v>
      </c>
      <c r="L17" s="69">
        <f ca="1">+SUM(K$5:K17)</f>
        <v>6827.1859335121371</v>
      </c>
      <c r="N17" s="232" t="str">
        <f ca="1">+INDEX('Charges_NonSlice &amp; Excl LS'!$C$4:$C$138,MATCH($A17,'Charges_NonSlice &amp; Excl LS'!$AA$4:$AA$138,0),1)</f>
        <v>Oregon Trail Coop</v>
      </c>
      <c r="O17" s="63">
        <f ca="1">+INDEX('Charges_NonSlice &amp; Excl LS'!$Z$4:$Z$138,MATCH($A17,'Charges_NonSlice &amp; Excl LS'!$AA$4:$AA$138,0),1)</f>
        <v>-2.0738946013228676E-2</v>
      </c>
      <c r="P17" s="86">
        <f ca="1">+INDEX('Charges_NonSlice &amp; Excl LS'!$Y$4:$Y$138,MATCH($A17,'Charges_NonSlice &amp; Excl LS'!$AA$4:$AA$138,0),1)</f>
        <v>33.004691405121648</v>
      </c>
      <c r="Q17" s="234">
        <f ca="1">+INDEX('Charges_NonSlice &amp; Excl LS'!$X$4:$X$138,MATCH($A17,'Charges_NonSlice &amp; Excl LS'!$AA$4:$AA$138,0),1)/1000</f>
        <v>686.76545257322391</v>
      </c>
      <c r="R17" s="69">
        <f ca="1">+SUM(Q$5:Q17)</f>
        <v>4189.5180595352876</v>
      </c>
      <c r="T17" s="232" t="str">
        <f ca="1">+INDEX(Charges_NonSlice!$C$4:$C$138,MATCH($A17,Charges_NonSlice!$AA$4:$AA$138,0),1)</f>
        <v>Milton-Freewater, City of</v>
      </c>
      <c r="U17" s="63">
        <f t="shared" ca="1" si="0"/>
        <v>1.4588905850849709E-2</v>
      </c>
      <c r="V17" s="86">
        <f ca="1">+INDEX(Charges_NonSlice!$Y$4:$Y$138,MATCH($A17,Charges_NonSlice!$AA$4:$AA$138,0),1)</f>
        <v>37.60296351703974</v>
      </c>
      <c r="W17" s="411">
        <f t="shared" ca="1" si="1"/>
        <v>37.062265613386856</v>
      </c>
      <c r="Y17" s="66" t="s">
        <v>86</v>
      </c>
      <c r="Z17" s="67">
        <v>36.33347745078165</v>
      </c>
    </row>
    <row r="18" spans="1:26">
      <c r="A18">
        <f t="shared" si="2"/>
        <v>14</v>
      </c>
      <c r="B18" s="71" t="str">
        <f ca="1">+INDEX('Charges_Including Slice and LS'!$C$4:$C$138,MATCH($A18,'Charges_Including Slice and LS'!$AA$4:$AA$138,0),1)</f>
        <v>Columbia REA</v>
      </c>
      <c r="C18" s="63">
        <f ca="1">+INDEX('Charges_Including Slice and LS'!$Z$4:$Z$138,MATCH($A18,'Charges_Including Slice and LS'!$AA$4:$AA$138,0),1)</f>
        <v>1.2955970233490511E-2</v>
      </c>
      <c r="D18" s="60">
        <f ca="1">+INDEX('Charges_Including Slice and LS'!$Y$4:$Y$138,MATCH($A18,'Charges_Including Slice and LS'!$AA$4:$AA$138,0),1)</f>
        <v>26.332535113418015</v>
      </c>
      <c r="E18" s="69">
        <f ca="1">+INDEX('Charges_Including Slice and LS'!$X$4:$X$138,MATCH($A18,'Charges_Including Slice and LS'!$AA$4:$AA$138,0),1)/1000</f>
        <v>331.09531199999998</v>
      </c>
      <c r="F18" s="69">
        <f ca="1">+SUM(E$5:E18)</f>
        <v>7158.2812455121375</v>
      </c>
      <c r="H18" s="232" t="str">
        <f ca="1">+INDEX(Charges_NonSlice!$C$4:$C$138,MATCH($A18,Charges_NonSlice!$AA$4:$AA$138,0),1)</f>
        <v>Columbia REA</v>
      </c>
      <c r="I18" s="63">
        <f ca="1">+INDEX(Charges_NonSlice!$Z$4:$Z$138,MATCH($A18,Charges_NonSlice!$AA$4:$AA$138,0),1)</f>
        <v>1.2955970233482142E-2</v>
      </c>
      <c r="J18" s="86">
        <f ca="1">+INDEX(Charges_NonSlice!$Y$4:$Y$138,MATCH($A18,Charges_NonSlice!$AA$4:$AA$138,0),1)</f>
        <v>26.332535113418015</v>
      </c>
      <c r="K18" s="234">
        <f ca="1">+INDEX(Charges_NonSlice!$X$4:$X$138,MATCH($A18,Charges_NonSlice!$AA$4:$AA$138,0),1)/1000</f>
        <v>331.09531199999998</v>
      </c>
      <c r="L18" s="69">
        <f ca="1">+SUM(K$5:K18)</f>
        <v>7158.2812455121375</v>
      </c>
      <c r="N18" s="232" t="str">
        <f ca="1">+INDEX('Charges_NonSlice &amp; Excl LS'!$C$4:$C$138,MATCH($A18,'Charges_NonSlice &amp; Excl LS'!$AA$4:$AA$138,0),1)</f>
        <v>Tanner Elec Coop</v>
      </c>
      <c r="O18" s="63">
        <f ca="1">+INDEX('Charges_NonSlice &amp; Excl LS'!$Z$4:$Z$138,MATCH($A18,'Charges_NonSlice &amp; Excl LS'!$AA$4:$AA$138,0),1)</f>
        <v>-2.1026801559020519E-2</v>
      </c>
      <c r="P18" s="86">
        <f ca="1">+INDEX('Charges_NonSlice &amp; Excl LS'!$Y$4:$Y$138,MATCH($A18,'Charges_NonSlice &amp; Excl LS'!$AA$4:$AA$138,0),1)</f>
        <v>33.700446929312207</v>
      </c>
      <c r="Q18" s="234">
        <f ca="1">+INDEX('Charges_NonSlice &amp; Excl LS'!$X$4:$X$138,MATCH($A18,'Charges_NonSlice &amp; Excl LS'!$AA$4:$AA$138,0),1)/1000</f>
        <v>96.907457866103996</v>
      </c>
      <c r="R18" s="69">
        <f ca="1">+SUM(Q$5:Q18)</f>
        <v>4286.4255174013915</v>
      </c>
      <c r="T18" s="232" t="str">
        <f ca="1">+INDEX(Charges_NonSlice!$C$4:$C$138,MATCH($A18,Charges_NonSlice!$AA$4:$AA$138,0),1)</f>
        <v>Columbia REA</v>
      </c>
      <c r="U18" s="63">
        <f t="shared" ca="1" si="0"/>
        <v>1.5376539752613327E-2</v>
      </c>
      <c r="V18" s="86">
        <f ca="1">+INDEX(Charges_NonSlice!$Y$4:$Y$138,MATCH($A18,Charges_NonSlice!$AA$4:$AA$138,0),1)</f>
        <v>26.332535113418015</v>
      </c>
      <c r="W18" s="411">
        <f t="shared" ca="1" si="1"/>
        <v>25.933763566995239</v>
      </c>
      <c r="Y18" s="66" t="s">
        <v>30</v>
      </c>
      <c r="Z18" s="67">
        <v>35.492207912911361</v>
      </c>
    </row>
    <row r="19" spans="1:26">
      <c r="A19">
        <f t="shared" si="2"/>
        <v>15</v>
      </c>
      <c r="B19" s="71" t="str">
        <f ca="1">+INDEX('Charges_Including Slice and LS'!$C$4:$C$138,MATCH($A19,'Charges_Including Slice and LS'!$AA$4:$AA$138,0),1)</f>
        <v>Hermiston, City of</v>
      </c>
      <c r="C19" s="63">
        <f ca="1">+INDEX('Charges_Including Slice and LS'!$Z$4:$Z$138,MATCH($A19,'Charges_Including Slice and LS'!$AA$4:$AA$138,0),1)</f>
        <v>9.8824879651941751E-3</v>
      </c>
      <c r="D19" s="60">
        <f ca="1">+INDEX('Charges_Including Slice and LS'!$Y$4:$Y$138,MATCH($A19,'Charges_Including Slice and LS'!$AA$4:$AA$138,0),1)</f>
        <v>36.68192819952089</v>
      </c>
      <c r="E19" s="69">
        <f ca="1">+INDEX('Charges_Including Slice and LS'!$X$4:$X$138,MATCH($A19,'Charges_Including Slice and LS'!$AA$4:$AA$138,0),1)/1000</f>
        <v>108.17407749585139</v>
      </c>
      <c r="F19" s="69">
        <f ca="1">+SUM(E$5:E19)</f>
        <v>7266.4553230079891</v>
      </c>
      <c r="H19" s="232" t="str">
        <f ca="1">+INDEX(Charges_NonSlice!$C$4:$C$138,MATCH($A19,Charges_NonSlice!$AA$4:$AA$138,0),1)</f>
        <v>Hermiston, City of</v>
      </c>
      <c r="I19" s="63">
        <f ca="1">+INDEX(Charges_NonSlice!$Z$4:$Z$138,MATCH($A19,Charges_NonSlice!$AA$4:$AA$138,0),1)</f>
        <v>9.8824879651933564E-3</v>
      </c>
      <c r="J19" s="86">
        <f ca="1">+INDEX(Charges_NonSlice!$Y$4:$Y$138,MATCH($A19,Charges_NonSlice!$AA$4:$AA$138,0),1)</f>
        <v>36.68192819952089</v>
      </c>
      <c r="K19" s="234">
        <f ca="1">+INDEX(Charges_NonSlice!$X$4:$X$138,MATCH($A19,Charges_NonSlice!$AA$4:$AA$138,0),1)/1000</f>
        <v>108.17407749585139</v>
      </c>
      <c r="L19" s="69">
        <f ca="1">+SUM(K$5:K19)</f>
        <v>7266.4553230079891</v>
      </c>
      <c r="N19" s="232" t="str">
        <f ca="1">+INDEX('Charges_NonSlice &amp; Excl LS'!$C$4:$C$138,MATCH($A19,'Charges_NonSlice &amp; Excl LS'!$AA$4:$AA$138,0),1)</f>
        <v>Vera Irrigation District</v>
      </c>
      <c r="O19" s="63">
        <f ca="1">+INDEX('Charges_NonSlice &amp; Excl LS'!$Z$4:$Z$138,MATCH($A19,'Charges_NonSlice &amp; Excl LS'!$AA$4:$AA$138,0),1)</f>
        <v>-2.1063912881077253E-2</v>
      </c>
      <c r="P19" s="86">
        <f ca="1">+INDEX('Charges_NonSlice &amp; Excl LS'!$Y$4:$Y$138,MATCH($A19,'Charges_NonSlice &amp; Excl LS'!$AA$4:$AA$138,0),1)</f>
        <v>35.753850873236082</v>
      </c>
      <c r="Q19" s="234">
        <f ca="1">+INDEX('Charges_NonSlice &amp; Excl LS'!$X$4:$X$138,MATCH($A19,'Charges_NonSlice &amp; Excl LS'!$AA$4:$AA$138,0),1)/1000</f>
        <v>238.54907100556804</v>
      </c>
      <c r="R19" s="69">
        <f ca="1">+SUM(Q$5:Q19)</f>
        <v>4524.9745884069598</v>
      </c>
      <c r="T19" s="232" t="str">
        <f ca="1">+INDEX(Charges_NonSlice!$C$4:$C$138,MATCH($A19,Charges_NonSlice!$AA$4:$AA$138,0),1)</f>
        <v>Hermiston, City of</v>
      </c>
      <c r="U19" s="63">
        <f t="shared" ca="1" si="0"/>
        <v>8.4844239809531707E-3</v>
      </c>
      <c r="V19" s="86">
        <f ca="1">+INDEX(Charges_NonSlice!$Y$4:$Y$138,MATCH($A19,Charges_NonSlice!$AA$4:$AA$138,0),1)</f>
        <v>36.68192819952089</v>
      </c>
      <c r="W19" s="411">
        <f t="shared" ca="1" si="1"/>
        <v>36.373321518165248</v>
      </c>
      <c r="Y19" s="66" t="s">
        <v>7</v>
      </c>
      <c r="Z19" s="67">
        <v>36.351996689486455</v>
      </c>
    </row>
    <row r="20" spans="1:26">
      <c r="A20">
        <f t="shared" si="2"/>
        <v>16</v>
      </c>
      <c r="B20" s="71" t="str">
        <f ca="1">+INDEX('Charges_Including Slice and LS'!$C$4:$C$138,MATCH($A20,'Charges_Including Slice and LS'!$AA$4:$AA$138,0),1)</f>
        <v>East End Mutual Electric</v>
      </c>
      <c r="C20" s="63">
        <f ca="1">+INDEX('Charges_Including Slice and LS'!$Z$4:$Z$138,MATCH($A20,'Charges_Including Slice and LS'!$AA$4:$AA$138,0),1)</f>
        <v>9.6687902686184383E-3</v>
      </c>
      <c r="D20" s="60">
        <f ca="1">+INDEX('Charges_Including Slice and LS'!$Y$4:$Y$138,MATCH($A20,'Charges_Including Slice and LS'!$AA$4:$AA$138,0),1)</f>
        <v>32.762245991353382</v>
      </c>
      <c r="E20" s="69">
        <f ca="1">+INDEX('Charges_Including Slice and LS'!$X$4:$X$138,MATCH($A20,'Charges_Including Slice and LS'!$AA$4:$AA$138,0),1)/1000</f>
        <v>23.602608</v>
      </c>
      <c r="F20" s="69">
        <f ca="1">+SUM(E$5:E20)</f>
        <v>7290.0579310079893</v>
      </c>
      <c r="H20" s="232" t="str">
        <f ca="1">+INDEX(Charges_NonSlice!$C$4:$C$138,MATCH($A20,Charges_NonSlice!$AA$4:$AA$138,0),1)</f>
        <v>East End Mutual Electric</v>
      </c>
      <c r="I20" s="63">
        <f ca="1">+INDEX(Charges_NonSlice!$Z$4:$Z$138,MATCH($A20,Charges_NonSlice!$AA$4:$AA$138,0),1)</f>
        <v>9.6687902686182475E-3</v>
      </c>
      <c r="J20" s="86">
        <f ca="1">+INDEX(Charges_NonSlice!$Y$4:$Y$138,MATCH($A20,Charges_NonSlice!$AA$4:$AA$138,0),1)</f>
        <v>32.762245991353382</v>
      </c>
      <c r="K20" s="234">
        <f ca="1">+INDEX(Charges_NonSlice!$X$4:$X$138,MATCH($A20,Charges_NonSlice!$AA$4:$AA$138,0),1)/1000</f>
        <v>23.602608</v>
      </c>
      <c r="L20" s="69">
        <f ca="1">+SUM(K$5:K20)</f>
        <v>7290.0579310079893</v>
      </c>
      <c r="N20" s="232" t="str">
        <f ca="1">+INDEX('Charges_NonSlice &amp; Excl LS'!$C$4:$C$138,MATCH($A20,'Charges_NonSlice &amp; Excl LS'!$AA$4:$AA$138,0),1)</f>
        <v>Energy Northwest</v>
      </c>
      <c r="O20" s="63">
        <f ca="1">+INDEX('Charges_NonSlice &amp; Excl LS'!$Z$4:$Z$138,MATCH($A20,'Charges_NonSlice &amp; Excl LS'!$AA$4:$AA$138,0),1)</f>
        <v>-2.1075738237945292E-2</v>
      </c>
      <c r="P20" s="86">
        <f ca="1">+INDEX('Charges_NonSlice &amp; Excl LS'!$Y$4:$Y$138,MATCH($A20,'Charges_NonSlice &amp; Excl LS'!$AA$4:$AA$138,0),1)</f>
        <v>35.05695965052228</v>
      </c>
      <c r="Q20" s="234">
        <f ca="1">+INDEX('Charges_NonSlice &amp; Excl LS'!$X$4:$X$138,MATCH($A20,'Charges_NonSlice &amp; Excl LS'!$AA$4:$AA$138,0),1)/1000</f>
        <v>19.928724928991997</v>
      </c>
      <c r="R20" s="69">
        <f ca="1">+SUM(Q$5:Q20)</f>
        <v>4544.9033133359517</v>
      </c>
      <c r="T20" s="232" t="str">
        <f ca="1">+INDEX(Charges_NonSlice!$C$4:$C$138,MATCH($A20,Charges_NonSlice!$AA$4:$AA$138,0),1)</f>
        <v>East End Mutual Electric</v>
      </c>
      <c r="U20" s="63">
        <f t="shared" ca="1" si="0"/>
        <v>4.2354712597216571E-2</v>
      </c>
      <c r="V20" s="86">
        <f ca="1">+INDEX(Charges_NonSlice!$Y$4:$Y$138,MATCH($A20,Charges_NonSlice!$AA$4:$AA$138,0),1)</f>
        <v>32.762245991353382</v>
      </c>
      <c r="W20" s="411">
        <f t="shared" ca="1" si="1"/>
        <v>31.43099522207779</v>
      </c>
      <c r="Y20" s="66" t="s">
        <v>55</v>
      </c>
      <c r="Z20" s="67">
        <v>33.743985471276453</v>
      </c>
    </row>
    <row r="21" spans="1:26">
      <c r="A21">
        <f t="shared" si="2"/>
        <v>17</v>
      </c>
      <c r="B21" s="71" t="str">
        <f ca="1">+INDEX('Charges_Including Slice and LS'!$C$4:$C$138,MATCH($A21,'Charges_Including Slice and LS'!$AA$4:$AA$138,0),1)</f>
        <v>Southside Elec Lines</v>
      </c>
      <c r="C21" s="63">
        <f ca="1">+INDEX('Charges_Including Slice and LS'!$Z$4:$Z$138,MATCH($A21,'Charges_Including Slice and LS'!$AA$4:$AA$138,0),1)</f>
        <v>9.248618786114127E-3</v>
      </c>
      <c r="D21" s="60">
        <f ca="1">+INDEX('Charges_Including Slice and LS'!$Y$4:$Y$138,MATCH($A21,'Charges_Including Slice and LS'!$AA$4:$AA$138,0),1)</f>
        <v>29.191269744672471</v>
      </c>
      <c r="E21" s="69">
        <f ca="1">+INDEX('Charges_Including Slice and LS'!$X$4:$X$138,MATCH($A21,'Charges_Including Slice and LS'!$AA$4:$AA$138,0),1)/1000</f>
        <v>59.423759999999994</v>
      </c>
      <c r="F21" s="69">
        <f ca="1">+SUM(E$5:E21)</f>
        <v>7349.481691007989</v>
      </c>
      <c r="H21" s="232" t="str">
        <f ca="1">+INDEX(Charges_NonSlice!$C$4:$C$138,MATCH($A21,Charges_NonSlice!$AA$4:$AA$138,0),1)</f>
        <v>Southside Elec Lines</v>
      </c>
      <c r="I21" s="63">
        <f ca="1">+INDEX(Charges_NonSlice!$Z$4:$Z$138,MATCH($A21,Charges_NonSlice!$AA$4:$AA$138,0),1)</f>
        <v>9.2486187861178341E-3</v>
      </c>
      <c r="J21" s="86">
        <f ca="1">+INDEX(Charges_NonSlice!$Y$4:$Y$138,MATCH($A21,Charges_NonSlice!$AA$4:$AA$138,0),1)</f>
        <v>29.191269744672471</v>
      </c>
      <c r="K21" s="234">
        <f ca="1">+INDEX(Charges_NonSlice!$X$4:$X$138,MATCH($A21,Charges_NonSlice!$AA$4:$AA$138,0),1)/1000</f>
        <v>59.423759999999994</v>
      </c>
      <c r="L21" s="69">
        <f ca="1">+SUM(K$5:K21)</f>
        <v>7349.481691007989</v>
      </c>
      <c r="N21" s="232" t="str">
        <f ca="1">+INDEX('Charges_NonSlice &amp; Excl LS'!$C$4:$C$138,MATCH($A21,'Charges_NonSlice &amp; Excl LS'!$AA$4:$AA$138,0),1)</f>
        <v>Steilacoom, Town of</v>
      </c>
      <c r="O21" s="63">
        <f ca="1">+INDEX('Charges_NonSlice &amp; Excl LS'!$Z$4:$Z$138,MATCH($A21,'Charges_NonSlice &amp; Excl LS'!$AA$4:$AA$138,0),1)</f>
        <v>-2.1238748819940818E-2</v>
      </c>
      <c r="P21" s="86">
        <f ca="1">+INDEX('Charges_NonSlice &amp; Excl LS'!$Y$4:$Y$138,MATCH($A21,'Charges_NonSlice &amp; Excl LS'!$AA$4:$AA$138,0),1)</f>
        <v>35.349202742653127</v>
      </c>
      <c r="Q21" s="234">
        <f ca="1">+INDEX('Charges_NonSlice &amp; Excl LS'!$X$4:$X$138,MATCH($A21,'Charges_NonSlice &amp; Excl LS'!$AA$4:$AA$138,0),1)/1000</f>
        <v>40.316579884368004</v>
      </c>
      <c r="R21" s="69">
        <f ca="1">+SUM(Q$5:Q21)</f>
        <v>4585.21989322032</v>
      </c>
      <c r="T21" s="232" t="str">
        <f ca="1">+INDEX(Charges_NonSlice!$C$4:$C$138,MATCH($A21,Charges_NonSlice!$AA$4:$AA$138,0),1)</f>
        <v>Southside Elec Lines</v>
      </c>
      <c r="U21" s="63">
        <f t="shared" ca="1" si="0"/>
        <v>2.1724542665204627E-3</v>
      </c>
      <c r="V21" s="86">
        <f ca="1">+INDEX(Charges_NonSlice!$Y$4:$Y$138,MATCH($A21,Charges_NonSlice!$AA$4:$AA$138,0),1)</f>
        <v>29.191269744672471</v>
      </c>
      <c r="W21" s="411">
        <f t="shared" ca="1" si="1"/>
        <v>29.127990517397784</v>
      </c>
      <c r="Y21" s="66" t="s">
        <v>108</v>
      </c>
      <c r="Z21" s="67">
        <v>36.773706351610059</v>
      </c>
    </row>
    <row r="22" spans="1:26">
      <c r="A22">
        <f t="shared" si="2"/>
        <v>18</v>
      </c>
      <c r="B22" s="71" t="str">
        <f ca="1">+INDEX('Charges_Including Slice and LS'!$C$4:$C$138,MATCH($A22,'Charges_Including Slice and LS'!$AA$4:$AA$138,0),1)</f>
        <v>Hood River Elec Coop</v>
      </c>
      <c r="C22" s="63">
        <f ca="1">+INDEX('Charges_Including Slice and LS'!$Z$4:$Z$138,MATCH($A22,'Charges_Including Slice and LS'!$AA$4:$AA$138,0),1)</f>
        <v>8.8188546249660903E-3</v>
      </c>
      <c r="D22" s="60">
        <f ca="1">+INDEX('Charges_Including Slice and LS'!$Y$4:$Y$138,MATCH($A22,'Charges_Including Slice and LS'!$AA$4:$AA$138,0),1)</f>
        <v>37.145627359910733</v>
      </c>
      <c r="E22" s="69">
        <f ca="1">+INDEX('Charges_Including Slice and LS'!$X$4:$X$138,MATCH($A22,'Charges_Including Slice and LS'!$AA$4:$AA$138,0),1)/1000</f>
        <v>115.0590175274198</v>
      </c>
      <c r="F22" s="69">
        <f ca="1">+SUM(E$5:E22)</f>
        <v>7464.5407085354091</v>
      </c>
      <c r="H22" s="232" t="str">
        <f ca="1">+INDEX(Charges_NonSlice!$C$4:$C$138,MATCH($A22,Charges_NonSlice!$AA$4:$AA$138,0),1)</f>
        <v>Hood River Elec Coop</v>
      </c>
      <c r="I22" s="63">
        <f ca="1">+INDEX(Charges_NonSlice!$Z$4:$Z$138,MATCH($A22,Charges_NonSlice!$AA$4:$AA$138,0),1)</f>
        <v>8.8188546249670288E-3</v>
      </c>
      <c r="J22" s="86">
        <f ca="1">+INDEX(Charges_NonSlice!$Y$4:$Y$138,MATCH($A22,Charges_NonSlice!$AA$4:$AA$138,0),1)</f>
        <v>37.145627359910733</v>
      </c>
      <c r="K22" s="234">
        <f ca="1">+INDEX(Charges_NonSlice!$X$4:$X$138,MATCH($A22,Charges_NonSlice!$AA$4:$AA$138,0),1)/1000</f>
        <v>115.0590175274198</v>
      </c>
      <c r="L22" s="69">
        <f ca="1">+SUM(K$5:K22)</f>
        <v>7464.5407085354091</v>
      </c>
      <c r="N22" s="232" t="str">
        <f ca="1">+INDEX('Charges_NonSlice &amp; Excl LS'!$C$4:$C$138,MATCH($A22,'Charges_NonSlice &amp; Excl LS'!$AA$4:$AA$138,0),1)</f>
        <v>Umpqua Indian Utility Cooperative</v>
      </c>
      <c r="O22" s="63">
        <f ca="1">+INDEX('Charges_NonSlice &amp; Excl LS'!$Z$4:$Z$138,MATCH($A22,'Charges_NonSlice &amp; Excl LS'!$AA$4:$AA$138,0),1)</f>
        <v>-2.1445175214215548E-2</v>
      </c>
      <c r="P22" s="86">
        <f ca="1">+INDEX('Charges_NonSlice &amp; Excl LS'!$Y$4:$Y$138,MATCH($A22,'Charges_NonSlice &amp; Excl LS'!$AA$4:$AA$138,0),1)</f>
        <v>34.55519014581796</v>
      </c>
      <c r="Q22" s="234">
        <f ca="1">+INDEX('Charges_NonSlice &amp; Excl LS'!$X$4:$X$138,MATCH($A22,'Charges_NonSlice &amp; Excl LS'!$AA$4:$AA$138,0),1)/1000</f>
        <v>24.377322617063996</v>
      </c>
      <c r="R22" s="69">
        <f ca="1">+SUM(Q$5:Q22)</f>
        <v>4609.5972158373843</v>
      </c>
      <c r="T22" s="232" t="str">
        <f ca="1">+INDEX(Charges_NonSlice!$C$4:$C$138,MATCH($A22,Charges_NonSlice!$AA$4:$AA$138,0),1)</f>
        <v>Hood River Elec Coop</v>
      </c>
      <c r="U22" s="63">
        <f t="shared" ca="1" si="0"/>
        <v>9.0725085413041473E-3</v>
      </c>
      <c r="V22" s="86">
        <f ca="1">+INDEX(Charges_NonSlice!$Y$4:$Y$138,MATCH($A22,Charges_NonSlice!$AA$4:$AA$138,0),1)</f>
        <v>37.145627359910733</v>
      </c>
      <c r="W22" s="411">
        <f t="shared" ca="1" si="1"/>
        <v>36.811653320738806</v>
      </c>
      <c r="Y22" s="66" t="s">
        <v>17</v>
      </c>
      <c r="Z22" s="67">
        <v>36.32156932088261</v>
      </c>
    </row>
    <row r="23" spans="1:26">
      <c r="A23">
        <f t="shared" si="2"/>
        <v>19</v>
      </c>
      <c r="B23" s="71" t="str">
        <f ca="1">+INDEX('Charges_Including Slice and LS'!$C$4:$C$138,MATCH($A23,'Charges_Including Slice and LS'!$AA$4:$AA$138,0),1)</f>
        <v>Ashland, City of</v>
      </c>
      <c r="C23" s="63">
        <f ca="1">+INDEX('Charges_Including Slice and LS'!$Z$4:$Z$138,MATCH($A23,'Charges_Including Slice and LS'!$AA$4:$AA$138,0),1)</f>
        <v>6.3751155341273923E-3</v>
      </c>
      <c r="D23" s="60">
        <f ca="1">+INDEX('Charges_Including Slice and LS'!$Y$4:$Y$138,MATCH($A23,'Charges_Including Slice and LS'!$AA$4:$AA$138,0),1)</f>
        <v>35.521317651818784</v>
      </c>
      <c r="E23" s="69">
        <f ca="1">+INDEX('Charges_Including Slice and LS'!$X$4:$X$138,MATCH($A23,'Charges_Including Slice and LS'!$AA$4:$AA$138,0),1)/1000</f>
        <v>175.62698080505109</v>
      </c>
      <c r="F23" s="69">
        <f ca="1">+SUM(E$5:E23)</f>
        <v>7640.1676893404601</v>
      </c>
      <c r="H23" s="232" t="str">
        <f ca="1">+INDEX(Charges_NonSlice!$C$4:$C$138,MATCH($A23,Charges_NonSlice!$AA$4:$AA$138,0),1)</f>
        <v>Ashland, City of</v>
      </c>
      <c r="I23" s="63">
        <f ca="1">+INDEX(Charges_NonSlice!$Z$4:$Z$138,MATCH($A23,Charges_NonSlice!$AA$4:$AA$138,0),1)</f>
        <v>6.375115534127904E-3</v>
      </c>
      <c r="J23" s="86">
        <f ca="1">+INDEX(Charges_NonSlice!$Y$4:$Y$138,MATCH($A23,Charges_NonSlice!$AA$4:$AA$138,0),1)</f>
        <v>35.521317651818784</v>
      </c>
      <c r="K23" s="234">
        <f ca="1">+INDEX(Charges_NonSlice!$X$4:$X$138,MATCH($A23,Charges_NonSlice!$AA$4:$AA$138,0),1)/1000</f>
        <v>175.62698080505109</v>
      </c>
      <c r="L23" s="69">
        <f ca="1">+SUM(K$5:K23)</f>
        <v>7640.1676893404601</v>
      </c>
      <c r="N23" s="232" t="str">
        <f ca="1">+INDEX('Charges_NonSlice &amp; Excl LS'!$C$4:$C$138,MATCH($A23,'Charges_NonSlice &amp; Excl LS'!$AA$4:$AA$138,0),1)</f>
        <v>Riverside Elec Coop</v>
      </c>
      <c r="O23" s="63">
        <f ca="1">+INDEX('Charges_NonSlice &amp; Excl LS'!$Z$4:$Z$138,MATCH($A23,'Charges_NonSlice &amp; Excl LS'!$AA$4:$AA$138,0),1)</f>
        <v>-2.1456088680222876E-2</v>
      </c>
      <c r="P23" s="86">
        <f ca="1">+INDEX('Charges_NonSlice &amp; Excl LS'!$Y$4:$Y$138,MATCH($A23,'Charges_NonSlice &amp; Excl LS'!$AA$4:$AA$138,0),1)</f>
        <v>31.352412593899114</v>
      </c>
      <c r="Q23" s="234">
        <f ca="1">+INDEX('Charges_NonSlice &amp; Excl LS'!$X$4:$X$138,MATCH($A23,'Charges_NonSlice &amp; Excl LS'!$AA$4:$AA$138,0),1)/1000</f>
        <v>20.846984981760002</v>
      </c>
      <c r="R23" s="69">
        <f ca="1">+SUM(Q$5:Q23)</f>
        <v>4630.4442008191445</v>
      </c>
      <c r="T23" s="232" t="str">
        <f ca="1">+INDEX(Charges_NonSlice!$C$4:$C$138,MATCH($A23,Charges_NonSlice!$AA$4:$AA$138,0),1)</f>
        <v>Ashland, City of</v>
      </c>
      <c r="U23" s="63">
        <f t="shared" ca="1" si="0"/>
        <v>-2.203240895221259E-2</v>
      </c>
      <c r="V23" s="86">
        <f ca="1">+INDEX(Charges_NonSlice!$Y$4:$Y$138,MATCH($A23,Charges_NonSlice!$AA$4:$AA$138,0),1)</f>
        <v>35.521317651818784</v>
      </c>
      <c r="W23" s="411">
        <f t="shared" ca="1" si="1"/>
        <v>36.32156932088261</v>
      </c>
      <c r="Y23" s="66" t="s">
        <v>80</v>
      </c>
      <c r="Z23" s="67">
        <v>36.301362413560966</v>
      </c>
    </row>
    <row r="24" spans="1:26">
      <c r="A24">
        <f t="shared" si="2"/>
        <v>20</v>
      </c>
      <c r="B24" s="71" t="str">
        <f ca="1">+INDEX('Charges_Including Slice and LS'!$C$4:$C$138,MATCH($A24,'Charges_Including Slice and LS'!$AA$4:$AA$138,0),1)</f>
        <v>Okanogan County PUD #1</v>
      </c>
      <c r="C24" s="63">
        <f ca="1">+INDEX('Charges_Including Slice and LS'!$Z$4:$Z$138,MATCH($A24,'Charges_Including Slice and LS'!$AA$4:$AA$138,0),1)</f>
        <v>5.6214283553006799E-3</v>
      </c>
      <c r="D24" s="60">
        <f ca="1">+INDEX('Charges_Including Slice and LS'!$Y$4:$Y$138,MATCH($A24,'Charges_Including Slice and LS'!$AA$4:$AA$138,0),1)</f>
        <v>33.806875353979301</v>
      </c>
      <c r="E24" s="69">
        <f ca="1">+INDEX('Charges_Including Slice and LS'!$X$4:$X$138,MATCH($A24,'Charges_Including Slice and LS'!$AA$4:$AA$138,0),1)/1000</f>
        <v>403.28222584857156</v>
      </c>
      <c r="F24" s="69">
        <f ca="1">+SUM(E$5:E24)</f>
        <v>8043.4499151890313</v>
      </c>
      <c r="H24" s="232" t="str">
        <f ca="1">+INDEX(Charges_NonSlice!$C$4:$C$138,MATCH($A24,Charges_NonSlice!$AA$4:$AA$138,0),1)</f>
        <v>Okanogan County PUD #1</v>
      </c>
      <c r="I24" s="63">
        <f ca="1">+INDEX(Charges_NonSlice!$Z$4:$Z$138,MATCH($A24,Charges_NonSlice!$AA$4:$AA$138,0),1)</f>
        <v>5.6214283552992756E-3</v>
      </c>
      <c r="J24" s="86">
        <f ca="1">+INDEX(Charges_NonSlice!$Y$4:$Y$138,MATCH($A24,Charges_NonSlice!$AA$4:$AA$138,0),1)</f>
        <v>33.806875353979301</v>
      </c>
      <c r="K24" s="234">
        <f ca="1">+INDEX(Charges_NonSlice!$X$4:$X$138,MATCH($A24,Charges_NonSlice!$AA$4:$AA$138,0),1)/1000</f>
        <v>403.28222584857156</v>
      </c>
      <c r="L24" s="69">
        <f ca="1">+SUM(K$5:K24)</f>
        <v>8043.4499151890313</v>
      </c>
      <c r="N24" s="232" t="str">
        <f ca="1">+INDEX('Charges_NonSlice &amp; Excl LS'!$C$4:$C$138,MATCH($A24,'Charges_NonSlice &amp; Excl LS'!$AA$4:$AA$138,0),1)</f>
        <v>U.S. Airforce Base, Fairchild</v>
      </c>
      <c r="O24" s="63">
        <f ca="1">+INDEX('Charges_NonSlice &amp; Excl LS'!$Z$4:$Z$138,MATCH($A24,'Charges_NonSlice &amp; Excl LS'!$AA$4:$AA$138,0),1)</f>
        <v>-2.1471334345676579E-2</v>
      </c>
      <c r="P24" s="86">
        <f ca="1">+INDEX('Charges_NonSlice &amp; Excl LS'!$Y$4:$Y$138,MATCH($A24,'Charges_NonSlice &amp; Excl LS'!$AA$4:$AA$138,0),1)</f>
        <v>36.057656215363181</v>
      </c>
      <c r="Q24" s="234">
        <f ca="1">+INDEX('Charges_NonSlice &amp; Excl LS'!$X$4:$X$138,MATCH($A24,'Charges_NonSlice &amp; Excl LS'!$AA$4:$AA$138,0),1)/1000</f>
        <v>46.316292526439995</v>
      </c>
      <c r="R24" s="69">
        <f ca="1">+SUM(Q$5:Q24)</f>
        <v>4676.7604933455841</v>
      </c>
      <c r="T24" s="232" t="str">
        <f ca="1">+INDEX(Charges_NonSlice!$C$4:$C$138,MATCH($A24,Charges_NonSlice!$AA$4:$AA$138,0),1)</f>
        <v>Okanogan County PUD #1</v>
      </c>
      <c r="U24" s="63">
        <f t="shared" ca="1" si="0"/>
        <v>5.6214283552942224E-3</v>
      </c>
      <c r="V24" s="86">
        <f ca="1">+INDEX(Charges_NonSlice!$Y$4:$Y$138,MATCH($A24,Charges_NonSlice!$AA$4:$AA$138,0),1)</f>
        <v>33.806875353979301</v>
      </c>
      <c r="W24" s="411">
        <f t="shared" ca="1" si="1"/>
        <v>33.617894767090284</v>
      </c>
      <c r="Y24" s="66" t="s">
        <v>77</v>
      </c>
      <c r="Z24" s="67">
        <v>36.764206132560446</v>
      </c>
    </row>
    <row r="25" spans="1:26">
      <c r="A25">
        <f t="shared" si="2"/>
        <v>21</v>
      </c>
      <c r="B25" s="71" t="str">
        <f ca="1">+INDEX('Charges_Including Slice and LS'!$C$4:$C$138,MATCH($A25,'Charges_Including Slice and LS'!$AA$4:$AA$138,0),1)</f>
        <v>Mission Valley</v>
      </c>
      <c r="C25" s="63">
        <f ca="1">+INDEX('Charges_Including Slice and LS'!$Z$4:$Z$138,MATCH($A25,'Charges_Including Slice and LS'!$AA$4:$AA$138,0),1)</f>
        <v>5.4723000563543026E-3</v>
      </c>
      <c r="D25" s="60">
        <f ca="1">+INDEX('Charges_Including Slice and LS'!$Y$4:$Y$138,MATCH($A25,'Charges_Including Slice and LS'!$AA$4:$AA$138,0),1)</f>
        <v>35.335356918824949</v>
      </c>
      <c r="E25" s="69">
        <f ca="1">+INDEX('Charges_Including Slice and LS'!$X$4:$X$138,MATCH($A25,'Charges_Including Slice and LS'!$AA$4:$AA$138,0),1)/1000</f>
        <v>333.36980452810963</v>
      </c>
      <c r="F25" s="69">
        <f ca="1">+SUM(E$5:E25)</f>
        <v>8376.8197197171412</v>
      </c>
      <c r="H25" s="232" t="str">
        <f ca="1">+INDEX(Charges_NonSlice!$C$4:$C$138,MATCH($A25,Charges_NonSlice!$AA$4:$AA$138,0),1)</f>
        <v>Mission Valley</v>
      </c>
      <c r="I25" s="63">
        <f ca="1">+INDEX(Charges_NonSlice!$Z$4:$Z$138,MATCH($A25,Charges_NonSlice!$AA$4:$AA$138,0),1)</f>
        <v>5.4723000563538793E-3</v>
      </c>
      <c r="J25" s="86">
        <f ca="1">+INDEX(Charges_NonSlice!$Y$4:$Y$138,MATCH($A25,Charges_NonSlice!$AA$4:$AA$138,0),1)</f>
        <v>35.335356918824949</v>
      </c>
      <c r="K25" s="234">
        <f ca="1">+INDEX(Charges_NonSlice!$X$4:$X$138,MATCH($A25,Charges_NonSlice!$AA$4:$AA$138,0),1)/1000</f>
        <v>333.36980452810963</v>
      </c>
      <c r="L25" s="69">
        <f ca="1">+SUM(K$5:K25)</f>
        <v>8376.8197197171412</v>
      </c>
      <c r="N25" s="232" t="str">
        <f ca="1">+INDEX('Charges_NonSlice &amp; Excl LS'!$C$4:$C$138,MATCH($A25,'Charges_NonSlice &amp; Excl LS'!$AA$4:$AA$138,0),1)</f>
        <v>Salem Elec Coop</v>
      </c>
      <c r="O25" s="63">
        <f ca="1">+INDEX('Charges_NonSlice &amp; Excl LS'!$Z$4:$Z$138,MATCH($A25,'Charges_NonSlice &amp; Excl LS'!$AA$4:$AA$138,0),1)</f>
        <v>-2.1478564354637436E-2</v>
      </c>
      <c r="P25" s="86">
        <f ca="1">+INDEX('Charges_NonSlice &amp; Excl LS'!$Y$4:$Y$138,MATCH($A25,'Charges_NonSlice &amp; Excl LS'!$AA$4:$AA$138,0),1)</f>
        <v>35.526092614591143</v>
      </c>
      <c r="Q25" s="234">
        <f ca="1">+INDEX('Charges_NonSlice &amp; Excl LS'!$X$4:$X$138,MATCH($A25,'Charges_NonSlice &amp; Excl LS'!$AA$4:$AA$138,0),1)/1000</f>
        <v>335.698502804496</v>
      </c>
      <c r="R25" s="69">
        <f ca="1">+SUM(Q$5:Q25)</f>
        <v>5012.4589961500806</v>
      </c>
      <c r="T25" s="232" t="str">
        <f ca="1">+INDEX(Charges_NonSlice!$C$4:$C$138,MATCH($A25,Charges_NonSlice!$AA$4:$AA$138,0),1)</f>
        <v>Mission Valley</v>
      </c>
      <c r="U25" s="63">
        <f t="shared" ca="1" si="0"/>
        <v>4.5594591223414582E-3</v>
      </c>
      <c r="V25" s="86">
        <f ca="1">+INDEX(Charges_NonSlice!$Y$4:$Y$138,MATCH($A25,Charges_NonSlice!$AA$4:$AA$138,0),1)</f>
        <v>35.335356918824949</v>
      </c>
      <c r="W25" s="411">
        <f t="shared" ca="1" si="1"/>
        <v>35.174978044302691</v>
      </c>
      <c r="Y25" s="66" t="s">
        <v>66</v>
      </c>
      <c r="Z25" s="67">
        <v>32.999076843229318</v>
      </c>
    </row>
    <row r="26" spans="1:26">
      <c r="A26">
        <f t="shared" si="2"/>
        <v>22</v>
      </c>
      <c r="B26" s="71" t="str">
        <f ca="1">+INDEX('Charges_Including Slice and LS'!$C$4:$C$138,MATCH($A26,'Charges_Including Slice and LS'!$AA$4:$AA$138,0),1)</f>
        <v>Richland, City of</v>
      </c>
      <c r="C26" s="63">
        <f ca="1">+INDEX('Charges_Including Slice and LS'!$Z$4:$Z$138,MATCH($A26,'Charges_Including Slice and LS'!$AA$4:$AA$138,0),1)</f>
        <v>4.3748553905585789E-3</v>
      </c>
      <c r="D26" s="60">
        <f ca="1">+INDEX('Charges_Including Slice and LS'!$Y$4:$Y$138,MATCH($A26,'Charges_Including Slice and LS'!$AA$4:$AA$138,0),1)</f>
        <v>36.439888775859025</v>
      </c>
      <c r="E26" s="69">
        <f ca="1">+INDEX('Charges_Including Slice and LS'!$X$4:$X$138,MATCH($A26,'Charges_Including Slice and LS'!$AA$4:$AA$138,0),1)/1000</f>
        <v>915.40433119603756</v>
      </c>
      <c r="F26" s="69">
        <f ca="1">+SUM(E$5:E26)</f>
        <v>9292.2240509131789</v>
      </c>
      <c r="H26" s="232" t="str">
        <f ca="1">+INDEX(Charges_NonSlice!$C$4:$C$138,MATCH($A26,Charges_NonSlice!$AA$4:$AA$138,0),1)</f>
        <v>Richland, City of</v>
      </c>
      <c r="I26" s="63">
        <f ca="1">+INDEX(Charges_NonSlice!$Z$4:$Z$138,MATCH($A26,Charges_NonSlice!$AA$4:$AA$138,0),1)</f>
        <v>4.3748553905531432E-3</v>
      </c>
      <c r="J26" s="86">
        <f ca="1">+INDEX(Charges_NonSlice!$Y$4:$Y$138,MATCH($A26,Charges_NonSlice!$AA$4:$AA$138,0),1)</f>
        <v>36.439888775859025</v>
      </c>
      <c r="K26" s="234">
        <f ca="1">+INDEX(Charges_NonSlice!$X$4:$X$138,MATCH($A26,Charges_NonSlice!$AA$4:$AA$138,0),1)/1000</f>
        <v>915.40433119603756</v>
      </c>
      <c r="L26" s="69">
        <f ca="1">+SUM(K$5:K26)</f>
        <v>9292.2240509131789</v>
      </c>
      <c r="N26" s="232" t="str">
        <f ca="1">+INDEX('Charges_NonSlice &amp; Excl LS'!$C$4:$C$138,MATCH($A26,'Charges_NonSlice &amp; Excl LS'!$AA$4:$AA$138,0),1)</f>
        <v>Grays Harbor PUD #1</v>
      </c>
      <c r="O26" s="63">
        <f ca="1">+INDEX('Charges_NonSlice &amp; Excl LS'!$Z$4:$Z$138,MATCH($A26,'Charges_NonSlice &amp; Excl LS'!$AA$4:$AA$138,0),1)</f>
        <v>-2.1898563026615046E-2</v>
      </c>
      <c r="P26" s="86">
        <f ca="1">+INDEX('Charges_NonSlice &amp; Excl LS'!$Y$4:$Y$138,MATCH($A26,'Charges_NonSlice &amp; Excl LS'!$AA$4:$AA$138,0),1)</f>
        <v>34.41171061233235</v>
      </c>
      <c r="Q26" s="234">
        <f ca="1">+INDEX('Charges_NonSlice &amp; Excl LS'!$X$4:$X$138,MATCH($A26,'Charges_NonSlice &amp; Excl LS'!$AA$4:$AA$138,0),1)/1000</f>
        <v>1058.1830305384319</v>
      </c>
      <c r="R26" s="69">
        <f ca="1">+SUM(Q$5:Q26)</f>
        <v>6070.6420266885125</v>
      </c>
      <c r="T26" s="232" t="str">
        <f ca="1">+INDEX(Charges_NonSlice!$C$4:$C$138,MATCH($A26,Charges_NonSlice!$AA$4:$AA$138,0),1)</f>
        <v>Richland, City of</v>
      </c>
      <c r="U26" s="63">
        <f t="shared" ca="1" si="0"/>
        <v>2.8762311198125001E-3</v>
      </c>
      <c r="V26" s="86">
        <f ca="1">+INDEX(Charges_NonSlice!$Y$4:$Y$138,MATCH($A26,Charges_NonSlice!$AA$4:$AA$138,0),1)</f>
        <v>36.439888775859025</v>
      </c>
      <c r="W26" s="411">
        <f t="shared" ca="1" si="1"/>
        <v>36.335379825654272</v>
      </c>
      <c r="Y26" s="66" t="s">
        <v>33</v>
      </c>
      <c r="Z26" s="67">
        <v>36.530007250044477</v>
      </c>
    </row>
    <row r="27" spans="1:26">
      <c r="A27">
        <f t="shared" si="2"/>
        <v>23</v>
      </c>
      <c r="B27" s="71" t="str">
        <f ca="1">+INDEX('Charges_Including Slice and LS'!$C$4:$C$138,MATCH($A27,'Charges_Including Slice and LS'!$AA$4:$AA$138,0),1)</f>
        <v>Weiser, City of</v>
      </c>
      <c r="C27" s="63">
        <f ca="1">+INDEX('Charges_Including Slice and LS'!$Z$4:$Z$138,MATCH($A27,'Charges_Including Slice and LS'!$AA$4:$AA$138,0),1)</f>
        <v>4.045552236345464E-3</v>
      </c>
      <c r="D27" s="60">
        <f ca="1">+INDEX('Charges_Including Slice and LS'!$Y$4:$Y$138,MATCH($A27,'Charges_Including Slice and LS'!$AA$4:$AA$138,0),1)</f>
        <v>35.826104013626043</v>
      </c>
      <c r="E27" s="69">
        <f ca="1">+INDEX('Charges_Including Slice and LS'!$X$4:$X$138,MATCH($A27,'Charges_Including Slice and LS'!$AA$4:$AA$138,0),1)/1000</f>
        <v>55.593935999999992</v>
      </c>
      <c r="F27" s="69">
        <f ca="1">+SUM(E$5:E27)</f>
        <v>9347.8179869131782</v>
      </c>
      <c r="H27" s="232" t="str">
        <f ca="1">+INDEX(Charges_NonSlice!$C$4:$C$138,MATCH($A27,Charges_NonSlice!$AA$4:$AA$138,0),1)</f>
        <v>Weiser, City of</v>
      </c>
      <c r="I27" s="63">
        <f ca="1">+INDEX(Charges_NonSlice!$Z$4:$Z$138,MATCH($A27,Charges_NonSlice!$AA$4:$AA$138,0),1)</f>
        <v>4.0455522363388782E-3</v>
      </c>
      <c r="J27" s="86">
        <f ca="1">+INDEX(Charges_NonSlice!$Y$4:$Y$138,MATCH($A27,Charges_NonSlice!$AA$4:$AA$138,0),1)</f>
        <v>35.826104013626043</v>
      </c>
      <c r="K27" s="234">
        <f ca="1">+INDEX(Charges_NonSlice!$X$4:$X$138,MATCH($A27,Charges_NonSlice!$AA$4:$AA$138,0),1)/1000</f>
        <v>55.593935999999992</v>
      </c>
      <c r="L27" s="69">
        <f ca="1">+SUM(K$5:K27)</f>
        <v>9347.8179869131782</v>
      </c>
      <c r="N27" s="232" t="str">
        <f ca="1">+INDEX('Charges_NonSlice &amp; Excl LS'!$C$4:$C$138,MATCH($A27,'Charges_NonSlice &amp; Excl LS'!$AA$4:$AA$138,0),1)</f>
        <v>Lakeview L &amp; P (WA)</v>
      </c>
      <c r="O27" s="63">
        <f ca="1">+INDEX('Charges_NonSlice &amp; Excl LS'!$Z$4:$Z$138,MATCH($A27,'Charges_NonSlice &amp; Excl LS'!$AA$4:$AA$138,0),1)</f>
        <v>-2.2182364895645731E-2</v>
      </c>
      <c r="P27" s="86">
        <f ca="1">+INDEX('Charges_NonSlice &amp; Excl LS'!$Y$4:$Y$138,MATCH($A27,'Charges_NonSlice &amp; Excl LS'!$AA$4:$AA$138,0),1)</f>
        <v>34.974322810221473</v>
      </c>
      <c r="Q27" s="234">
        <f ca="1">+INDEX('Charges_NonSlice &amp; Excl LS'!$X$4:$X$138,MATCH($A27,'Charges_NonSlice &amp; Excl LS'!$AA$4:$AA$138,0),1)/1000</f>
        <v>265.59431134351195</v>
      </c>
      <c r="R27" s="69">
        <f ca="1">+SUM(Q$5:Q27)</f>
        <v>6336.2363380320248</v>
      </c>
      <c r="T27" s="232" t="str">
        <f ca="1">+INDEX(Charges_NonSlice!$C$4:$C$138,MATCH($A27,Charges_NonSlice!$AA$4:$AA$138,0),1)</f>
        <v>Weiser, City of</v>
      </c>
      <c r="U27" s="63">
        <f t="shared" ca="1" si="0"/>
        <v>1.5417099450652394E-2</v>
      </c>
      <c r="V27" s="86">
        <f ca="1">+INDEX(Charges_NonSlice!$Y$4:$Y$138,MATCH($A27,Charges_NonSlice!$AA$4:$AA$138,0),1)</f>
        <v>35.826104013626043</v>
      </c>
      <c r="W27" s="411">
        <f t="shared" ca="1" si="1"/>
        <v>35.282155513244959</v>
      </c>
      <c r="Y27" s="66" t="s">
        <v>111</v>
      </c>
      <c r="Z27" s="67">
        <v>34.436008697086528</v>
      </c>
    </row>
    <row r="28" spans="1:26">
      <c r="A28">
        <f t="shared" si="2"/>
        <v>24</v>
      </c>
      <c r="B28" s="71" t="str">
        <f ca="1">+INDEX('Charges_Including Slice and LS'!$C$4:$C$138,MATCH($A28,'Charges_Including Slice and LS'!$AA$4:$AA$138,0),1)</f>
        <v>Benton REA</v>
      </c>
      <c r="C28" s="63">
        <f ca="1">+INDEX('Charges_Including Slice and LS'!$Z$4:$Z$138,MATCH($A28,'Charges_Including Slice and LS'!$AA$4:$AA$138,0),1)</f>
        <v>3.4379595876461388E-3</v>
      </c>
      <c r="D28" s="60">
        <f ca="1">+INDEX('Charges_Including Slice and LS'!$Y$4:$Y$138,MATCH($A28,'Charges_Including Slice and LS'!$AA$4:$AA$138,0),1)</f>
        <v>31.622231969445231</v>
      </c>
      <c r="E28" s="69">
        <f ca="1">+INDEX('Charges_Including Slice and LS'!$X$4:$X$138,MATCH($A28,'Charges_Including Slice and LS'!$AA$4:$AA$138,0),1)/1000</f>
        <v>519.65224540212773</v>
      </c>
      <c r="F28" s="69">
        <f ca="1">+SUM(E$5:E28)</f>
        <v>9867.4702323153051</v>
      </c>
      <c r="H28" s="232" t="str">
        <f ca="1">+INDEX(Charges_NonSlice!$C$4:$C$138,MATCH($A28,Charges_NonSlice!$AA$4:$AA$138,0),1)</f>
        <v>Benton REA</v>
      </c>
      <c r="I28" s="63">
        <f ca="1">+INDEX(Charges_NonSlice!$Z$4:$Z$138,MATCH($A28,Charges_NonSlice!$AA$4:$AA$138,0),1)</f>
        <v>3.4379595876436642E-3</v>
      </c>
      <c r="J28" s="86">
        <f ca="1">+INDEX(Charges_NonSlice!$Y$4:$Y$138,MATCH($A28,Charges_NonSlice!$AA$4:$AA$138,0),1)</f>
        <v>31.622231969445231</v>
      </c>
      <c r="K28" s="234">
        <f ca="1">+INDEX(Charges_NonSlice!$X$4:$X$138,MATCH($A28,Charges_NonSlice!$AA$4:$AA$138,0),1)/1000</f>
        <v>519.65224540212773</v>
      </c>
      <c r="L28" s="69">
        <f ca="1">+SUM(K$5:K28)</f>
        <v>9867.4702323153051</v>
      </c>
      <c r="N28" s="232" t="str">
        <f ca="1">+INDEX('Charges_NonSlice &amp; Excl LS'!$C$4:$C$138,MATCH($A28,'Charges_NonSlice &amp; Excl LS'!$AA$4:$AA$138,0),1)</f>
        <v>Peninsula Light Company</v>
      </c>
      <c r="O28" s="63">
        <f ca="1">+INDEX('Charges_NonSlice &amp; Excl LS'!$Z$4:$Z$138,MATCH($A28,'Charges_NonSlice &amp; Excl LS'!$AA$4:$AA$138,0),1)</f>
        <v>-2.2332916263142023E-2</v>
      </c>
      <c r="P28" s="86">
        <f ca="1">+INDEX('Charges_NonSlice &amp; Excl LS'!$Y$4:$Y$138,MATCH($A28,'Charges_NonSlice &amp; Excl LS'!$AA$4:$AA$138,0),1)</f>
        <v>35.67181240491356</v>
      </c>
      <c r="Q28" s="234">
        <f ca="1">+INDEX('Charges_NonSlice &amp; Excl LS'!$X$4:$X$138,MATCH($A28,'Charges_NonSlice &amp; Excl LS'!$AA$4:$AA$138,0),1)/1000</f>
        <v>603.15415209280798</v>
      </c>
      <c r="R28" s="69">
        <f ca="1">+SUM(Q$5:Q28)</f>
        <v>6939.3904901248325</v>
      </c>
      <c r="T28" s="232" t="str">
        <f ca="1">+INDEX(Charges_NonSlice!$C$4:$C$138,MATCH($A28,Charges_NonSlice!$AA$4:$AA$138,0),1)</f>
        <v>Benton REA</v>
      </c>
      <c r="U28" s="63">
        <f t="shared" ca="1" si="0"/>
        <v>8.7136381405550356E-3</v>
      </c>
      <c r="V28" s="86">
        <f ca="1">+INDEX(Charges_NonSlice!$Y$4:$Y$138,MATCH($A28,Charges_NonSlice!$AA$4:$AA$138,0),1)</f>
        <v>31.622231969445231</v>
      </c>
      <c r="W28" s="411">
        <f t="shared" ca="1" si="1"/>
        <v>31.349067538867715</v>
      </c>
      <c r="Y28" s="66" t="s">
        <v>78</v>
      </c>
      <c r="Z28" s="67">
        <v>31.186067043395745</v>
      </c>
    </row>
    <row r="29" spans="1:26">
      <c r="A29">
        <f t="shared" si="2"/>
        <v>25</v>
      </c>
      <c r="B29" s="71" t="str">
        <f ca="1">+INDEX('Charges_Including Slice and LS'!$C$4:$C$138,MATCH($A29,'Charges_Including Slice and LS'!$AA$4:$AA$138,0),1)</f>
        <v>Salem Elec Coop</v>
      </c>
      <c r="C29" s="63">
        <f ca="1">+INDEX('Charges_Including Slice and LS'!$Z$4:$Z$138,MATCH($A29,'Charges_Including Slice and LS'!$AA$4:$AA$138,0),1)</f>
        <v>3.3686307035693396E-3</v>
      </c>
      <c r="D29" s="60">
        <f ca="1">+INDEX('Charges_Including Slice and LS'!$Y$4:$Y$138,MATCH($A29,'Charges_Including Slice and LS'!$AA$4:$AA$138,0),1)</f>
        <v>37.011478017435863</v>
      </c>
      <c r="E29" s="69">
        <f ca="1">+INDEX('Charges_Including Slice and LS'!$X$4:$X$138,MATCH($A29,'Charges_Including Slice and LS'!$AA$4:$AA$138,0),1)/1000</f>
        <v>335.69996453877462</v>
      </c>
      <c r="F29" s="69">
        <f ca="1">+SUM(E$5:E29)</f>
        <v>10203.17019685408</v>
      </c>
      <c r="H29" s="232" t="str">
        <f ca="1">+INDEX(Charges_NonSlice!$C$4:$C$138,MATCH($A29,Charges_NonSlice!$AA$4:$AA$138,0),1)</f>
        <v>Salem Elec Coop</v>
      </c>
      <c r="I29" s="63">
        <f ca="1">+INDEX(Charges_NonSlice!$Z$4:$Z$138,MATCH($A29,Charges_NonSlice!$AA$4:$AA$138,0),1)</f>
        <v>3.3686307035711402E-3</v>
      </c>
      <c r="J29" s="86">
        <f ca="1">+INDEX(Charges_NonSlice!$Y$4:$Y$138,MATCH($A29,Charges_NonSlice!$AA$4:$AA$138,0),1)</f>
        <v>37.011478017435863</v>
      </c>
      <c r="K29" s="234">
        <f ca="1">+INDEX(Charges_NonSlice!$X$4:$X$138,MATCH($A29,Charges_NonSlice!$AA$4:$AA$138,0),1)/1000</f>
        <v>335.69996453877462</v>
      </c>
      <c r="L29" s="69">
        <f ca="1">+SUM(K$5:K29)</f>
        <v>10203.17019685408</v>
      </c>
      <c r="N29" s="232" t="str">
        <f ca="1">+INDEX('Charges_NonSlice &amp; Excl LS'!$C$4:$C$138,MATCH($A29,'Charges_NonSlice &amp; Excl LS'!$AA$4:$AA$138,0),1)</f>
        <v>Hermiston, City of</v>
      </c>
      <c r="O29" s="63">
        <f ca="1">+INDEX('Charges_NonSlice &amp; Excl LS'!$Z$4:$Z$138,MATCH($A29,'Charges_NonSlice &amp; Excl LS'!$AA$4:$AA$138,0),1)</f>
        <v>-2.2381339690726972E-2</v>
      </c>
      <c r="P29" s="86">
        <f ca="1">+INDEX('Charges_NonSlice &amp; Excl LS'!$Y$4:$Y$138,MATCH($A29,'Charges_NonSlice &amp; Excl LS'!$AA$4:$AA$138,0),1)</f>
        <v>35.045571184989299</v>
      </c>
      <c r="Q29" s="234">
        <f ca="1">+INDEX('Charges_NonSlice &amp; Excl LS'!$X$4:$X$138,MATCH($A29,'Charges_NonSlice &amp; Excl LS'!$AA$4:$AA$138,0),1)/1000</f>
        <v>108.17475689196</v>
      </c>
      <c r="R29" s="69">
        <f ca="1">+SUM(Q$5:Q29)</f>
        <v>7047.5652470167925</v>
      </c>
      <c r="T29" s="232" t="str">
        <f ca="1">+INDEX(Charges_NonSlice!$C$4:$C$138,MATCH($A29,Charges_NonSlice!$AA$4:$AA$138,0),1)</f>
        <v>Salem Elec Coop</v>
      </c>
      <c r="U29" s="63">
        <f t="shared" ca="1" si="0"/>
        <v>6.4658063985272296E-3</v>
      </c>
      <c r="V29" s="86">
        <f ca="1">+INDEX(Charges_NonSlice!$Y$4:$Y$138,MATCH($A29,Charges_NonSlice!$AA$4:$AA$138,0),1)</f>
        <v>37.011478017435863</v>
      </c>
      <c r="W29" s="411">
        <f t="shared" ca="1" si="1"/>
        <v>36.773706351610059</v>
      </c>
      <c r="Y29" s="66" t="s">
        <v>120</v>
      </c>
      <c r="Z29" s="67">
        <v>36.808329728999951</v>
      </c>
    </row>
    <row r="30" spans="1:26">
      <c r="A30">
        <f t="shared" si="2"/>
        <v>26</v>
      </c>
      <c r="B30" s="71" t="str">
        <f ca="1">+INDEX('Charges_Including Slice and LS'!$C$4:$C$138,MATCH($A30,'Charges_Including Slice and LS'!$AA$4:$AA$138,0),1)</f>
        <v>Big Bend Elec Coop</v>
      </c>
      <c r="C30" s="63">
        <f ca="1">+INDEX('Charges_Including Slice and LS'!$Z$4:$Z$138,MATCH($A30,'Charges_Including Slice and LS'!$AA$4:$AA$138,0),1)</f>
        <v>3.1933337822408554E-3</v>
      </c>
      <c r="D30" s="60">
        <f ca="1">+INDEX('Charges_Including Slice and LS'!$Y$4:$Y$138,MATCH($A30,'Charges_Including Slice and LS'!$AA$4:$AA$138,0),1)</f>
        <v>27.5796085756384</v>
      </c>
      <c r="E30" s="69">
        <f ca="1">+INDEX('Charges_Including Slice and LS'!$X$4:$X$138,MATCH($A30,'Charges_Including Slice and LS'!$AA$4:$AA$138,0),1)/1000</f>
        <v>537.52809600000001</v>
      </c>
      <c r="F30" s="69">
        <f ca="1">+SUM(E$5:E30)</f>
        <v>10740.69829285408</v>
      </c>
      <c r="H30" s="232" t="str">
        <f ca="1">+INDEX(Charges_NonSlice!$C$4:$C$138,MATCH($A30,Charges_NonSlice!$AA$4:$AA$138,0),1)</f>
        <v>Big Bend Elec Coop</v>
      </c>
      <c r="I30" s="63">
        <f ca="1">+INDEX(Charges_NonSlice!$Z$4:$Z$138,MATCH($A30,Charges_NonSlice!$AA$4:$AA$138,0),1)</f>
        <v>3.1933337822398675E-3</v>
      </c>
      <c r="J30" s="86">
        <f ca="1">+INDEX(Charges_NonSlice!$Y$4:$Y$138,MATCH($A30,Charges_NonSlice!$AA$4:$AA$138,0),1)</f>
        <v>27.5796085756384</v>
      </c>
      <c r="K30" s="234">
        <f ca="1">+INDEX(Charges_NonSlice!$X$4:$X$138,MATCH($A30,Charges_NonSlice!$AA$4:$AA$138,0),1)/1000</f>
        <v>537.52809600000001</v>
      </c>
      <c r="L30" s="69">
        <f ca="1">+SUM(K$5:K30)</f>
        <v>10740.69829285408</v>
      </c>
      <c r="N30" s="232" t="str">
        <f ca="1">+INDEX('Charges_NonSlice &amp; Excl LS'!$C$4:$C$138,MATCH($A30,'Charges_NonSlice &amp; Excl LS'!$AA$4:$AA$138,0),1)</f>
        <v>Glacier Elec  Coop</v>
      </c>
      <c r="O30" s="63">
        <f ca="1">+INDEX('Charges_NonSlice &amp; Excl LS'!$Z$4:$Z$138,MATCH($A30,'Charges_NonSlice &amp; Excl LS'!$AA$4:$AA$138,0),1)</f>
        <v>-2.243882639309247E-2</v>
      </c>
      <c r="P30" s="86">
        <f ca="1">+INDEX('Charges_NonSlice &amp; Excl LS'!$Y$4:$Y$138,MATCH($A30,'Charges_NonSlice &amp; Excl LS'!$AA$4:$AA$138,0),1)</f>
        <v>32.606841701249294</v>
      </c>
      <c r="Q30" s="234">
        <f ca="1">+INDEX('Charges_NonSlice &amp; Excl LS'!$X$4:$X$138,MATCH($A30,'Charges_NonSlice &amp; Excl LS'!$AA$4:$AA$138,0),1)/1000</f>
        <v>155.01222404294396</v>
      </c>
      <c r="R30" s="69">
        <f ca="1">+SUM(Q$5:Q30)</f>
        <v>7202.5774710597361</v>
      </c>
      <c r="T30" s="232" t="str">
        <f ca="1">+INDEX(Charges_NonSlice!$C$4:$C$138,MATCH($A30,Charges_NonSlice!$AA$4:$AA$138,0),1)</f>
        <v>Big Bend Elec Coop</v>
      </c>
      <c r="U30" s="63">
        <f t="shared" ca="1" si="0"/>
        <v>1.8685877896349457E-3</v>
      </c>
      <c r="V30" s="86">
        <f ca="1">+INDEX(Charges_NonSlice!$Y$4:$Y$138,MATCH($A30,Charges_NonSlice!$AA$4:$AA$138,0),1)</f>
        <v>27.5796085756384</v>
      </c>
      <c r="W30" s="411">
        <f t="shared" ca="1" si="1"/>
        <v>27.528169773728216</v>
      </c>
      <c r="Y30" s="66" t="s">
        <v>58</v>
      </c>
      <c r="Z30" s="67">
        <v>38.264654385143885</v>
      </c>
    </row>
    <row r="31" spans="1:26">
      <c r="A31">
        <f t="shared" si="2"/>
        <v>27</v>
      </c>
      <c r="B31" s="71" t="str">
        <f ca="1">+INDEX('Charges_Including Slice and LS'!$C$4:$C$138,MATCH($A31,'Charges_Including Slice and LS'!$AA$4:$AA$138,0),1)</f>
        <v>Columbia Power Coop</v>
      </c>
      <c r="C31" s="63">
        <f ca="1">+INDEX('Charges_Including Slice and LS'!$Z$4:$Z$138,MATCH($A31,'Charges_Including Slice and LS'!$AA$4:$AA$138,0),1)</f>
        <v>2.913619884687369E-3</v>
      </c>
      <c r="D31" s="60">
        <f ca="1">+INDEX('Charges_Including Slice and LS'!$Y$4:$Y$138,MATCH($A31,'Charges_Including Slice and LS'!$AA$4:$AA$138,0),1)</f>
        <v>31.891426299288462</v>
      </c>
      <c r="E31" s="69">
        <f ca="1">+INDEX('Charges_Including Slice and LS'!$X$4:$X$138,MATCH($A31,'Charges_Including Slice and LS'!$AA$4:$AA$138,0),1)/1000</f>
        <v>27.554403126302038</v>
      </c>
      <c r="F31" s="69">
        <f ca="1">+SUM(E$5:E31)</f>
        <v>10768.252695980382</v>
      </c>
      <c r="H31" s="232" t="str">
        <f ca="1">+INDEX(Charges_NonSlice!$C$4:$C$138,MATCH($A31,Charges_NonSlice!$AA$4:$AA$138,0),1)</f>
        <v>Franklin County PUD #1</v>
      </c>
      <c r="I31" s="63">
        <f ca="1">+INDEX(Charges_NonSlice!$Z$4:$Z$138,MATCH($A31,Charges_NonSlice!$AA$4:$AA$138,0),1)</f>
        <v>2.926202342446972E-3</v>
      </c>
      <c r="J31" s="86">
        <f ca="1">+INDEX(Charges_NonSlice!$Y$4:$Y$138,MATCH($A31,Charges_NonSlice!$AA$4:$AA$138,0),1)</f>
        <v>31.782461346417673</v>
      </c>
      <c r="K31" s="234">
        <f ca="1">+INDEX(Charges_NonSlice!$X$4:$X$138,MATCH($A31,Charges_NonSlice!$AA$4:$AA$138,0),1)/1000</f>
        <v>547.61405966807752</v>
      </c>
      <c r="L31" s="69">
        <f ca="1">+SUM(K$5:K31)</f>
        <v>11288.312352522158</v>
      </c>
      <c r="N31" s="232" t="str">
        <f ca="1">+INDEX('Charges_NonSlice &amp; Excl LS'!$C$4:$C$138,MATCH($A31,'Charges_NonSlice &amp; Excl LS'!$AA$4:$AA$138,0),1)</f>
        <v>Emerald PUD</v>
      </c>
      <c r="O31" s="63">
        <f ca="1">+INDEX('Charges_NonSlice &amp; Excl LS'!$Z$4:$Z$138,MATCH($A31,'Charges_NonSlice &amp; Excl LS'!$AA$4:$AA$138,0),1)</f>
        <v>-2.2742751666343156E-2</v>
      </c>
      <c r="P31" s="86">
        <f ca="1">+INDEX('Charges_NonSlice &amp; Excl LS'!$Y$4:$Y$138,MATCH($A31,'Charges_NonSlice &amp; Excl LS'!$AA$4:$AA$138,0),1)</f>
        <v>30.797681698985791</v>
      </c>
      <c r="Q31" s="234">
        <f ca="1">+INDEX('Charges_NonSlice &amp; Excl LS'!$X$4:$X$138,MATCH($A31,'Charges_NonSlice &amp; Excl LS'!$AA$4:$AA$138,0),1)/1000</f>
        <v>209.437745548896</v>
      </c>
      <c r="R31" s="69">
        <f ca="1">+SUM(Q$5:Q31)</f>
        <v>7412.0152166086318</v>
      </c>
      <c r="T31" s="232" t="str">
        <f ca="1">+INDEX(Charges_NonSlice!$C$4:$C$138,MATCH($A31,Charges_NonSlice!$AA$4:$AA$138,0),1)</f>
        <v>Franklin County PUD #1</v>
      </c>
      <c r="U31" s="63">
        <f t="shared" ca="1" si="0"/>
        <v>2.9262023424425632E-3</v>
      </c>
      <c r="V31" s="86">
        <f ca="1">+INDEX(Charges_NonSlice!$Y$4:$Y$138,MATCH($A31,Charges_NonSlice!$AA$4:$AA$138,0),1)</f>
        <v>31.782461346417673</v>
      </c>
      <c r="W31" s="411">
        <f t="shared" ca="1" si="1"/>
        <v>31.689730781972095</v>
      </c>
      <c r="Y31" s="66" t="s">
        <v>136</v>
      </c>
      <c r="Z31" s="67">
        <v>36.373321518165248</v>
      </c>
    </row>
    <row r="32" spans="1:26">
      <c r="A32">
        <f t="shared" si="2"/>
        <v>28</v>
      </c>
      <c r="B32" s="71" t="str">
        <f ca="1">+INDEX('Charges_Including Slice and LS'!$C$4:$C$138,MATCH($A32,'Charges_Including Slice and LS'!$AA$4:$AA$138,0),1)</f>
        <v>Canby, City of</v>
      </c>
      <c r="C32" s="63">
        <f ca="1">+INDEX('Charges_Including Slice and LS'!$Z$4:$Z$138,MATCH($A32,'Charges_Including Slice and LS'!$AA$4:$AA$138,0),1)</f>
        <v>1.7972770678653517E-3</v>
      </c>
      <c r="D32" s="60">
        <f ca="1">+INDEX('Charges_Including Slice and LS'!$Y$4:$Y$138,MATCH($A32,'Charges_Including Slice and LS'!$AA$4:$AA$138,0),1)</f>
        <v>36.211238009780168</v>
      </c>
      <c r="E32" s="69">
        <f ca="1">+INDEX('Charges_Including Slice and LS'!$X$4:$X$138,MATCH($A32,'Charges_Including Slice and LS'!$AA$4:$AA$138,0),1)/1000</f>
        <v>178.39222081773531</v>
      </c>
      <c r="F32" s="69">
        <f ca="1">+SUM(E$5:E32)</f>
        <v>10946.644916798117</v>
      </c>
      <c r="H32" s="232" t="str">
        <f ca="1">+INDEX(Charges_NonSlice!$C$4:$C$138,MATCH($A32,Charges_NonSlice!$AA$4:$AA$138,0),1)</f>
        <v>Columbia Power Coop</v>
      </c>
      <c r="I32" s="63">
        <f ca="1">+INDEX(Charges_NonSlice!$Z$4:$Z$138,MATCH($A32,Charges_NonSlice!$AA$4:$AA$138,0),1)</f>
        <v>2.9136198846851547E-3</v>
      </c>
      <c r="J32" s="86">
        <f ca="1">+INDEX(Charges_NonSlice!$Y$4:$Y$138,MATCH($A32,Charges_NonSlice!$AA$4:$AA$138,0),1)</f>
        <v>31.891426299288462</v>
      </c>
      <c r="K32" s="234">
        <f ca="1">+INDEX(Charges_NonSlice!$X$4:$X$138,MATCH($A32,Charges_NonSlice!$AA$4:$AA$138,0),1)/1000</f>
        <v>27.554403126302038</v>
      </c>
      <c r="L32" s="69">
        <f ca="1">+SUM(K$5:K32)</f>
        <v>11315.86675564846</v>
      </c>
      <c r="N32" s="232" t="str">
        <f ca="1">+INDEX('Charges_NonSlice &amp; Excl LS'!$C$4:$C$138,MATCH($A32,'Charges_NonSlice &amp; Excl LS'!$AA$4:$AA$138,0),1)</f>
        <v>Milton-Freewater, City of</v>
      </c>
      <c r="O32" s="63">
        <f ca="1">+INDEX('Charges_NonSlice &amp; Excl LS'!$Z$4:$Z$138,MATCH($A32,'Charges_NonSlice &amp; Excl LS'!$AA$4:$AA$138,0),1)</f>
        <v>-2.2756516542468651E-2</v>
      </c>
      <c r="P32" s="86">
        <f ca="1">+INDEX('Charges_NonSlice &amp; Excl LS'!$Y$4:$Y$138,MATCH($A32,'Charges_NonSlice &amp; Excl LS'!$AA$4:$AA$138,0),1)</f>
        <v>35.171943597901702</v>
      </c>
      <c r="Q32" s="234">
        <f ca="1">+INDEX('Charges_NonSlice &amp; Excl LS'!$X$4:$X$138,MATCH($A32,'Charges_NonSlice &amp; Excl LS'!$AA$4:$AA$138,0),1)/1000</f>
        <v>80.049940546031991</v>
      </c>
      <c r="R32" s="69">
        <f ca="1">+SUM(Q$5:Q32)</f>
        <v>7492.0651571546641</v>
      </c>
      <c r="T32" s="232" t="str">
        <f ca="1">+INDEX(Charges_NonSlice!$C$4:$C$138,MATCH($A32,Charges_NonSlice!$AA$4:$AA$138,0),1)</f>
        <v>Columbia Power Coop</v>
      </c>
      <c r="U32" s="63">
        <f t="shared" ca="1" si="0"/>
        <v>1.2167848686925886E-2</v>
      </c>
      <c r="V32" s="86">
        <f ca="1">+INDEX(Charges_NonSlice!$Y$4:$Y$138,MATCH($A32,Charges_NonSlice!$AA$4:$AA$138,0),1)</f>
        <v>31.891426299288462</v>
      </c>
      <c r="W32" s="411">
        <f t="shared" ca="1" si="1"/>
        <v>31.508041221286426</v>
      </c>
      <c r="Y32" s="66" t="s">
        <v>129</v>
      </c>
      <c r="Z32" s="67">
        <v>34.226059080448984</v>
      </c>
    </row>
    <row r="33" spans="1:26">
      <c r="A33">
        <f t="shared" si="2"/>
        <v>29</v>
      </c>
      <c r="B33" s="71" t="str">
        <f ca="1">+INDEX('Charges_Including Slice and LS'!$C$4:$C$138,MATCH($A33,'Charges_Including Slice and LS'!$AA$4:$AA$138,0),1)</f>
        <v>Vera Irrigation District</v>
      </c>
      <c r="C33" s="63">
        <f ca="1">+INDEX('Charges_Including Slice and LS'!$Z$4:$Z$138,MATCH($A33,'Charges_Including Slice and LS'!$AA$4:$AA$138,0),1)</f>
        <v>1.6990915742418351E-3</v>
      </c>
      <c r="D33" s="60">
        <f ca="1">+INDEX('Charges_Including Slice and LS'!$Y$4:$Y$138,MATCH($A33,'Charges_Including Slice and LS'!$AA$4:$AA$138,0),1)</f>
        <v>37.270419879323832</v>
      </c>
      <c r="E33" s="69">
        <f ca="1">+INDEX('Charges_Including Slice and LS'!$X$4:$X$138,MATCH($A33,'Charges_Including Slice and LS'!$AA$4:$AA$138,0),1)/1000</f>
        <v>238.547088</v>
      </c>
      <c r="F33" s="69">
        <f ca="1">+SUM(E$5:E33)</f>
        <v>11185.192004798117</v>
      </c>
      <c r="H33" s="232" t="str">
        <f ca="1">+INDEX(Charges_NonSlice!$C$4:$C$138,MATCH($A33,Charges_NonSlice!$AA$4:$AA$138,0),1)</f>
        <v>Canby, City of</v>
      </c>
      <c r="I33" s="63">
        <f ca="1">+INDEX(Charges_NonSlice!$Z$4:$Z$138,MATCH($A33,Charges_NonSlice!$AA$4:$AA$138,0),1)</f>
        <v>1.7972770678558892E-3</v>
      </c>
      <c r="J33" s="86">
        <f ca="1">+INDEX(Charges_NonSlice!$Y$4:$Y$138,MATCH($A33,Charges_NonSlice!$AA$4:$AA$138,0),1)</f>
        <v>36.211238009780168</v>
      </c>
      <c r="K33" s="234">
        <f ca="1">+INDEX(Charges_NonSlice!$X$4:$X$138,MATCH($A33,Charges_NonSlice!$AA$4:$AA$138,0),1)/1000</f>
        <v>178.39222081773531</v>
      </c>
      <c r="L33" s="69">
        <f ca="1">+SUM(K$5:K33)</f>
        <v>11494.258976466195</v>
      </c>
      <c r="N33" s="232" t="str">
        <f ca="1">+INDEX('Charges_NonSlice &amp; Excl LS'!$C$4:$C$138,MATCH($A33,'Charges_NonSlice &amp; Excl LS'!$AA$4:$AA$138,0),1)</f>
        <v>Albion, City of</v>
      </c>
      <c r="O33" s="63">
        <f ca="1">+INDEX('Charges_NonSlice &amp; Excl LS'!$Z$4:$Z$138,MATCH($A33,'Charges_NonSlice &amp; Excl LS'!$AA$4:$AA$138,0),1)</f>
        <v>-2.2861426133165184E-2</v>
      </c>
      <c r="P33" s="86">
        <f ca="1">+INDEX('Charges_NonSlice &amp; Excl LS'!$Y$4:$Y$138,MATCH($A33,'Charges_NonSlice &amp; Excl LS'!$AA$4:$AA$138,0),1)</f>
        <v>35.368750761642282</v>
      </c>
      <c r="Q33" s="234">
        <f ca="1">+INDEX('Charges_NonSlice &amp; Excl LS'!$X$4:$X$138,MATCH($A33,'Charges_NonSlice &amp; Excl LS'!$AA$4:$AA$138,0),1)/1000</f>
        <v>3.4372707380639995</v>
      </c>
      <c r="R33" s="69">
        <f ca="1">+SUM(Q$5:Q33)</f>
        <v>7495.5024278927285</v>
      </c>
      <c r="T33" s="232" t="str">
        <f ca="1">+INDEX(Charges_NonSlice!$C$4:$C$138,MATCH($A33,Charges_NonSlice!$AA$4:$AA$138,0),1)</f>
        <v>Canby, City of</v>
      </c>
      <c r="U33" s="63">
        <f t="shared" ca="1" si="0"/>
        <v>-7.0195526582575996E-3</v>
      </c>
      <c r="V33" s="86">
        <f ca="1">+INDEX(Charges_NonSlice!$Y$4:$Y$138,MATCH($A33,Charges_NonSlice!$AA$4:$AA$138,0),1)</f>
        <v>36.211238009780168</v>
      </c>
      <c r="W33" s="411">
        <f t="shared" ca="1" si="1"/>
        <v>36.467221592045881</v>
      </c>
      <c r="Y33" s="66" t="s">
        <v>103</v>
      </c>
      <c r="Z33" s="67">
        <v>36.950235093768427</v>
      </c>
    </row>
    <row r="34" spans="1:26">
      <c r="A34">
        <f t="shared" si="2"/>
        <v>30</v>
      </c>
      <c r="B34" s="71" t="str">
        <f ca="1">+INDEX('Charges_Including Slice and LS'!$C$4:$C$138,MATCH($A34,'Charges_Including Slice and LS'!$AA$4:$AA$138,0),1)</f>
        <v>Kalispel Tribe Utility</v>
      </c>
      <c r="C34" s="63">
        <f ca="1">+INDEX('Charges_Including Slice and LS'!$Z$4:$Z$138,MATCH($A34,'Charges_Including Slice and LS'!$AA$4:$AA$138,0),1)</f>
        <v>9.9634707829511612E-4</v>
      </c>
      <c r="D34" s="60">
        <f ca="1">+INDEX('Charges_Including Slice and LS'!$Y$4:$Y$138,MATCH($A34,'Charges_Including Slice and LS'!$AA$4:$AA$138,0),1)</f>
        <v>34.156259944871834</v>
      </c>
      <c r="E34" s="69">
        <f ca="1">+INDEX('Charges_Including Slice and LS'!$X$4:$X$138,MATCH($A34,'Charges_Including Slice and LS'!$AA$4:$AA$138,0),1)/1000</f>
        <v>31.326882143593561</v>
      </c>
      <c r="F34" s="69">
        <f ca="1">+SUM(E$5:E34)</f>
        <v>11216.518886941711</v>
      </c>
      <c r="H34" s="232" t="str">
        <f ca="1">+INDEX(Charges_NonSlice!$C$4:$C$138,MATCH($A34,Charges_NonSlice!$AA$4:$AA$138,0),1)</f>
        <v>Vera Irrigation District</v>
      </c>
      <c r="I34" s="63">
        <f ca="1">+INDEX(Charges_NonSlice!$Z$4:$Z$138,MATCH($A34,Charges_NonSlice!$AA$4:$AA$138,0),1)</f>
        <v>1.699091574236187E-3</v>
      </c>
      <c r="J34" s="86">
        <f ca="1">+INDEX(Charges_NonSlice!$Y$4:$Y$138,MATCH($A34,Charges_NonSlice!$AA$4:$AA$138,0),1)</f>
        <v>37.270419879323832</v>
      </c>
      <c r="K34" s="234">
        <f ca="1">+INDEX(Charges_NonSlice!$X$4:$X$138,MATCH($A34,Charges_NonSlice!$AA$4:$AA$138,0),1)/1000</f>
        <v>238.547088</v>
      </c>
      <c r="L34" s="69">
        <f ca="1">+SUM(K$5:K34)</f>
        <v>11732.806064466195</v>
      </c>
      <c r="N34" s="232" t="str">
        <f ca="1">+INDEX('Charges_NonSlice &amp; Excl LS'!$C$4:$C$138,MATCH($A34,'Charges_NonSlice &amp; Excl LS'!$AA$4:$AA$138,0),1)</f>
        <v>Rupert, City of</v>
      </c>
      <c r="O34" s="63">
        <f ca="1">+INDEX('Charges_NonSlice &amp; Excl LS'!$Z$4:$Z$138,MATCH($A34,'Charges_NonSlice &amp; Excl LS'!$AA$4:$AA$138,0),1)</f>
        <v>-2.3047159875616324E-2</v>
      </c>
      <c r="P34" s="86">
        <f ca="1">+INDEX('Charges_NonSlice &amp; Excl LS'!$Y$4:$Y$138,MATCH($A34,'Charges_NonSlice &amp; Excl LS'!$AA$4:$AA$138,0),1)</f>
        <v>34.331842800697096</v>
      </c>
      <c r="Q34" s="234">
        <f ca="1">+INDEX('Charges_NonSlice &amp; Excl LS'!$X$4:$X$138,MATCH($A34,'Charges_NonSlice &amp; Excl LS'!$AA$4:$AA$138,0),1)/1000</f>
        <v>79.361245506456001</v>
      </c>
      <c r="R34" s="69">
        <f ca="1">+SUM(Q$5:Q34)</f>
        <v>7574.8636733991843</v>
      </c>
      <c r="T34" s="232" t="str">
        <f ca="1">+INDEX(Charges_NonSlice!$C$4:$C$138,MATCH($A34,Charges_NonSlice!$AA$4:$AA$138,0),1)</f>
        <v>Vera Irrigation District</v>
      </c>
      <c r="U34" s="63">
        <f t="shared" ca="1" si="0"/>
        <v>-2.8727547519445951E-3</v>
      </c>
      <c r="V34" s="86">
        <f ca="1">+INDEX(Charges_NonSlice!$Y$4:$Y$138,MATCH($A34,Charges_NonSlice!$AA$4:$AA$138,0),1)</f>
        <v>37.270419879323832</v>
      </c>
      <c r="W34" s="411">
        <f t="shared" ca="1" si="1"/>
        <v>37.377797123627957</v>
      </c>
      <c r="Y34" s="66" t="s">
        <v>99</v>
      </c>
      <c r="Z34" s="67">
        <v>34.155608416749253</v>
      </c>
    </row>
    <row r="35" spans="1:26">
      <c r="A35">
        <f t="shared" si="2"/>
        <v>31</v>
      </c>
      <c r="B35" s="71" t="str">
        <f ca="1">+INDEX('Charges_Including Slice and LS'!$C$4:$C$138,MATCH($A35,'Charges_Including Slice and LS'!$AA$4:$AA$138,0),1)</f>
        <v>Burley, City of</v>
      </c>
      <c r="C35" s="63">
        <f ca="1">+INDEX('Charges_Including Slice and LS'!$Z$4:$Z$138,MATCH($A35,'Charges_Including Slice and LS'!$AA$4:$AA$138,0),1)</f>
        <v>8.8224352334161907E-4</v>
      </c>
      <c r="D35" s="60">
        <f ca="1">+INDEX('Charges_Including Slice and LS'!$Y$4:$Y$138,MATCH($A35,'Charges_Including Slice and LS'!$AA$4:$AA$138,0),1)</f>
        <v>36.89069859276848</v>
      </c>
      <c r="E35" s="69">
        <f ca="1">+INDEX('Charges_Including Slice and LS'!$X$4:$X$138,MATCH($A35,'Charges_Including Slice and LS'!$AA$4:$AA$138,0),1)/1000</f>
        <v>123.53817600000001</v>
      </c>
      <c r="F35" s="69">
        <f ca="1">+SUM(E$5:E35)</f>
        <v>11340.057062941711</v>
      </c>
      <c r="H35" s="232" t="str">
        <f ca="1">+INDEX(Charges_NonSlice!$C$4:$C$138,MATCH($A35,Charges_NonSlice!$AA$4:$AA$138,0),1)</f>
        <v>Kalispel Tribe Utility</v>
      </c>
      <c r="I35" s="63">
        <f ca="1">+INDEX(Charges_NonSlice!$Z$4:$Z$138,MATCH($A35,Charges_NonSlice!$AA$4:$AA$138,0),1)</f>
        <v>9.963470782908383E-4</v>
      </c>
      <c r="J35" s="86">
        <f ca="1">+INDEX(Charges_NonSlice!$Y$4:$Y$138,MATCH($A35,Charges_NonSlice!$AA$4:$AA$138,0),1)</f>
        <v>34.156259944871834</v>
      </c>
      <c r="K35" s="234">
        <f ca="1">+INDEX(Charges_NonSlice!$X$4:$X$138,MATCH($A35,Charges_NonSlice!$AA$4:$AA$138,0),1)/1000</f>
        <v>31.326882143593561</v>
      </c>
      <c r="L35" s="69">
        <f ca="1">+SUM(K$5:K35)</f>
        <v>11764.132946609789</v>
      </c>
      <c r="N35" s="232" t="str">
        <f ca="1">+INDEX('Charges_NonSlice &amp; Excl LS'!$C$4:$C$138,MATCH($A35,'Charges_NonSlice &amp; Excl LS'!$AA$4:$AA$138,0),1)</f>
        <v>Elmhurst Mutual P &amp; L</v>
      </c>
      <c r="O35" s="63">
        <f ca="1">+INDEX('Charges_NonSlice &amp; Excl LS'!$Z$4:$Z$138,MATCH($A35,'Charges_NonSlice &amp; Excl LS'!$AA$4:$AA$138,0),1)</f>
        <v>-2.3153383170428758E-2</v>
      </c>
      <c r="P35" s="86">
        <f ca="1">+INDEX('Charges_NonSlice &amp; Excl LS'!$Y$4:$Y$138,MATCH($A35,'Charges_NonSlice &amp; Excl LS'!$AA$4:$AA$138,0),1)</f>
        <v>35.520908711259366</v>
      </c>
      <c r="Q35" s="234">
        <f ca="1">+INDEX('Charges_NonSlice &amp; Excl LS'!$X$4:$X$138,MATCH($A35,'Charges_NonSlice &amp; Excl LS'!$AA$4:$AA$138,0),1)/1000</f>
        <v>283.17775046205594</v>
      </c>
      <c r="R35" s="69">
        <f ca="1">+SUM(Q$5:Q35)</f>
        <v>7858.0414238612402</v>
      </c>
      <c r="T35" s="232" t="str">
        <f ca="1">+INDEX(Charges_NonSlice!$C$4:$C$138,MATCH($A35,Charges_NonSlice!$AA$4:$AA$138,0),1)</f>
        <v>Kalispel Tribe Utility</v>
      </c>
      <c r="U35" s="63">
        <f t="shared" ca="1" si="0"/>
        <v>1.8130376086529232E-3</v>
      </c>
      <c r="V35" s="86">
        <f ca="1">+INDEX(Charges_NonSlice!$Y$4:$Y$138,MATCH($A35,Charges_NonSlice!$AA$4:$AA$138,0),1)</f>
        <v>34.156259944871834</v>
      </c>
      <c r="W35" s="411">
        <f t="shared" ca="1" si="1"/>
        <v>34.09444543305554</v>
      </c>
      <c r="Y35" s="66" t="s">
        <v>37</v>
      </c>
      <c r="Z35" s="67">
        <v>36.659301091004835</v>
      </c>
    </row>
    <row r="36" spans="1:26">
      <c r="A36">
        <f t="shared" si="2"/>
        <v>32</v>
      </c>
      <c r="B36" s="71" t="str">
        <f ca="1">+INDEX('Charges_Including Slice and LS'!$C$4:$C$138,MATCH($A36,'Charges_Including Slice and LS'!$AA$4:$AA$138,0),1)</f>
        <v>Riverside Elec Coop</v>
      </c>
      <c r="C36" s="63">
        <f ca="1">+INDEX('Charges_Including Slice and LS'!$Z$4:$Z$138,MATCH($A36,'Charges_Including Slice and LS'!$AA$4:$AA$138,0),1)</f>
        <v>1.1719082694150638E-4</v>
      </c>
      <c r="D36" s="60">
        <f ca="1">+INDEX('Charges_Including Slice and LS'!$Y$4:$Y$138,MATCH($A36,'Charges_Including Slice and LS'!$AA$4:$AA$138,0),1)</f>
        <v>31.627058439241615</v>
      </c>
      <c r="E36" s="69">
        <f ca="1">+INDEX('Charges_Including Slice and LS'!$X$4:$X$138,MATCH($A36,'Charges_Including Slice and LS'!$AA$4:$AA$138,0),1)/1000</f>
        <v>20.844432000000001</v>
      </c>
      <c r="F36" s="69">
        <f ca="1">+SUM(E$5:E36)</f>
        <v>11360.901494941711</v>
      </c>
      <c r="H36" s="232" t="str">
        <f ca="1">+INDEX(Charges_NonSlice!$C$4:$C$138,MATCH($A36,Charges_NonSlice!$AA$4:$AA$138,0),1)</f>
        <v>Burley, City of</v>
      </c>
      <c r="I36" s="63">
        <f ca="1">+INDEX(Charges_NonSlice!$Z$4:$Z$138,MATCH($A36,Charges_NonSlice!$AA$4:$AA$138,0),1)</f>
        <v>8.8224352334341277E-4</v>
      </c>
      <c r="J36" s="86">
        <f ca="1">+INDEX(Charges_NonSlice!$Y$4:$Y$138,MATCH($A36,Charges_NonSlice!$AA$4:$AA$138,0),1)</f>
        <v>36.89069859276848</v>
      </c>
      <c r="K36" s="234">
        <f ca="1">+INDEX(Charges_NonSlice!$X$4:$X$138,MATCH($A36,Charges_NonSlice!$AA$4:$AA$138,0),1)/1000</f>
        <v>123.53817600000001</v>
      </c>
      <c r="L36" s="69">
        <f ca="1">+SUM(K$5:K36)</f>
        <v>11887.671122609789</v>
      </c>
      <c r="N36" s="232" t="str">
        <f ca="1">+INDEX('Charges_NonSlice &amp; Excl LS'!$C$4:$C$138,MATCH($A36,'Charges_NonSlice &amp; Excl LS'!$AA$4:$AA$138,0),1)</f>
        <v>Lewis County PUD #1</v>
      </c>
      <c r="O36" s="63">
        <f ca="1">+INDEX('Charges_NonSlice &amp; Excl LS'!$Z$4:$Z$138,MATCH($A36,'Charges_NonSlice &amp; Excl LS'!$AA$4:$AA$138,0),1)</f>
        <v>-2.3164544027355977E-2</v>
      </c>
      <c r="P36" s="86">
        <f ca="1">+INDEX('Charges_NonSlice &amp; Excl LS'!$Y$4:$Y$138,MATCH($A36,'Charges_NonSlice &amp; Excl LS'!$AA$4:$AA$138,0),1)</f>
        <v>31.292944417350348</v>
      </c>
      <c r="Q36" s="234">
        <f ca="1">+INDEX('Charges_NonSlice &amp; Excl LS'!$X$4:$X$138,MATCH($A36,'Charges_NonSlice &amp; Excl LS'!$AA$4:$AA$138,0),1)/1000</f>
        <v>403.22163898202399</v>
      </c>
      <c r="R36" s="69">
        <f ca="1">+SUM(Q$5:Q36)</f>
        <v>8261.2630628432635</v>
      </c>
      <c r="T36" s="232" t="str">
        <f ca="1">+INDEX(Charges_NonSlice!$C$4:$C$138,MATCH($A36,Charges_NonSlice!$AA$4:$AA$138,0),1)</f>
        <v>Burley, City of</v>
      </c>
      <c r="U36" s="63">
        <f t="shared" ca="1" si="0"/>
        <v>3.0052234823723323E-2</v>
      </c>
      <c r="V36" s="86">
        <f ca="1">+INDEX(Charges_NonSlice!$Y$4:$Y$138,MATCH($A36,Charges_NonSlice!$AA$4:$AA$138,0),1)</f>
        <v>36.89069859276848</v>
      </c>
      <c r="W36" s="411">
        <f t="shared" ca="1" si="1"/>
        <v>35.814395955445619</v>
      </c>
      <c r="Y36" s="66" t="s">
        <v>88</v>
      </c>
      <c r="Z36" s="67">
        <v>33.665997898795261</v>
      </c>
    </row>
    <row r="37" spans="1:26">
      <c r="A37">
        <f t="shared" si="2"/>
        <v>33</v>
      </c>
      <c r="B37" s="71" t="str">
        <f ca="1">+INDEX('Charges_Including Slice and LS'!$C$4:$C$138,MATCH($A37,'Charges_Including Slice and LS'!$AA$4:$AA$138,0),1)</f>
        <v>Kootenai Electric Coop</v>
      </c>
      <c r="C37" s="63">
        <f ca="1">+INDEX('Charges_Including Slice and LS'!$Z$4:$Z$138,MATCH($A37,'Charges_Including Slice and LS'!$AA$4:$AA$138,0),1)</f>
        <v>-5.2280111665443386E-5</v>
      </c>
      <c r="D37" s="60">
        <f ca="1">+INDEX('Charges_Including Slice and LS'!$Y$4:$Y$138,MATCH($A37,'Charges_Including Slice and LS'!$AA$4:$AA$138,0),1)</f>
        <v>39.046014616935182</v>
      </c>
      <c r="E37" s="69">
        <f ca="1">+INDEX('Charges_Including Slice and LS'!$X$4:$X$138,MATCH($A37,'Charges_Including Slice and LS'!$AA$4:$AA$138,0),1)/1000</f>
        <v>447.97521599999999</v>
      </c>
      <c r="F37" s="69">
        <f ca="1">+SUM(E$5:E37)</f>
        <v>11808.876710941711</v>
      </c>
      <c r="H37" s="232" t="str">
        <f ca="1">+INDEX(Charges_NonSlice!$C$4:$C$138,MATCH($A37,Charges_NonSlice!$AA$4:$AA$138,0),1)</f>
        <v>Riverside Elec Coop</v>
      </c>
      <c r="I37" s="63">
        <f ca="1">+INDEX(Charges_NonSlice!$Z$4:$Z$138,MATCH($A37,Charges_NonSlice!$AA$4:$AA$138,0),1)</f>
        <v>1.1719082694760667E-4</v>
      </c>
      <c r="J37" s="86">
        <f ca="1">+INDEX(Charges_NonSlice!$Y$4:$Y$138,MATCH($A37,Charges_NonSlice!$AA$4:$AA$138,0),1)</f>
        <v>31.627058439241615</v>
      </c>
      <c r="K37" s="234">
        <f ca="1">+INDEX(Charges_NonSlice!$X$4:$X$138,MATCH($A37,Charges_NonSlice!$AA$4:$AA$138,0),1)/1000</f>
        <v>20.844432000000001</v>
      </c>
      <c r="L37" s="69">
        <f ca="1">+SUM(K$5:K37)</f>
        <v>11908.515554609789</v>
      </c>
      <c r="N37" s="232" t="str">
        <f ca="1">+INDEX('Charges_NonSlice &amp; Excl LS'!$C$4:$C$138,MATCH($A37,'Charges_NonSlice &amp; Excl LS'!$AA$4:$AA$138,0),1)</f>
        <v>U.S. Naval Base,  Bremerton</v>
      </c>
      <c r="O37" s="63">
        <f ca="1">+INDEX('Charges_NonSlice &amp; Excl LS'!$Z$4:$Z$138,MATCH($A37,'Charges_NonSlice &amp; Excl LS'!$AA$4:$AA$138,0),1)</f>
        <v>-2.3189482644705346E-2</v>
      </c>
      <c r="P37" s="86">
        <f ca="1">+INDEX('Charges_NonSlice &amp; Excl LS'!$Y$4:$Y$138,MATCH($A37,'Charges_NonSlice &amp; Excl LS'!$AA$4:$AA$138,0),1)</f>
        <v>34.474836357455857</v>
      </c>
      <c r="Q37" s="234">
        <f ca="1">+INDEX('Charges_NonSlice &amp; Excl LS'!$X$4:$X$138,MATCH($A37,'Charges_NonSlice &amp; Excl LS'!$AA$4:$AA$138,0),1)/1000</f>
        <v>267.56112510518398</v>
      </c>
      <c r="R37" s="69">
        <f ca="1">+SUM(Q$5:Q37)</f>
        <v>8528.8241879484467</v>
      </c>
      <c r="T37" s="232" t="str">
        <f ca="1">+INDEX(Charges_NonSlice!$C$4:$C$138,MATCH($A37,Charges_NonSlice!$AA$4:$AA$138,0),1)</f>
        <v>Riverside Elec Coop</v>
      </c>
      <c r="U37" s="63">
        <f t="shared" ca="1" si="0"/>
        <v>2.1350962598825074E-2</v>
      </c>
      <c r="V37" s="86">
        <f ca="1">+INDEX(Charges_NonSlice!$Y$4:$Y$138,MATCH($A37,Charges_NonSlice!$AA$4:$AA$138,0),1)</f>
        <v>31.627058439241615</v>
      </c>
      <c r="W37" s="411">
        <f t="shared" ca="1" si="1"/>
        <v>30.965906527141897</v>
      </c>
      <c r="Y37" s="66" t="s">
        <v>40</v>
      </c>
      <c r="Z37" s="67">
        <v>36.836320219311865</v>
      </c>
    </row>
    <row r="38" spans="1:26">
      <c r="A38">
        <f t="shared" si="2"/>
        <v>34</v>
      </c>
      <c r="B38" s="71" t="str">
        <f ca="1">+INDEX('Charges_Including Slice and LS'!$C$4:$C$138,MATCH($A38,'Charges_Including Slice and LS'!$AA$4:$AA$138,0),1)</f>
        <v>Wasco Elec Coop</v>
      </c>
      <c r="C38" s="63">
        <f ca="1">+INDEX('Charges_Including Slice and LS'!$Z$4:$Z$138,MATCH($A38,'Charges_Including Slice and LS'!$AA$4:$AA$138,0),1)</f>
        <v>-6.4677467419764077E-4</v>
      </c>
      <c r="D38" s="60">
        <f ca="1">+INDEX('Charges_Including Slice and LS'!$Y$4:$Y$138,MATCH($A38,'Charges_Including Slice and LS'!$AA$4:$AA$138,0),1)</f>
        <v>33.702346177186051</v>
      </c>
      <c r="E38" s="69">
        <f ca="1">+INDEX('Charges_Including Slice and LS'!$X$4:$X$138,MATCH($A38,'Charges_Including Slice and LS'!$AA$4:$AA$138,0),1)/1000</f>
        <v>110.54116550671547</v>
      </c>
      <c r="F38" s="69">
        <f ca="1">+SUM(E$5:E38)</f>
        <v>11919.417876448426</v>
      </c>
      <c r="H38" s="232" t="str">
        <f ca="1">+INDEX(Charges_NonSlice!$C$4:$C$138,MATCH($A38,Charges_NonSlice!$AA$4:$AA$138,0),1)</f>
        <v>Kootenai Electric Coop</v>
      </c>
      <c r="I38" s="63">
        <f ca="1">+INDEX(Charges_NonSlice!$Z$4:$Z$138,MATCH($A38,Charges_NonSlice!$AA$4:$AA$138,0),1)</f>
        <v>-5.2280111660948453E-5</v>
      </c>
      <c r="J38" s="86">
        <f ca="1">+INDEX(Charges_NonSlice!$Y$4:$Y$138,MATCH($A38,Charges_NonSlice!$AA$4:$AA$138,0),1)</f>
        <v>39.046014616935182</v>
      </c>
      <c r="K38" s="234">
        <f ca="1">+INDEX(Charges_NonSlice!$X$4:$X$138,MATCH($A38,Charges_NonSlice!$AA$4:$AA$138,0),1)/1000</f>
        <v>447.97521599999999</v>
      </c>
      <c r="L38" s="69">
        <f ca="1">+SUM(K$5:K38)</f>
        <v>12356.490770609789</v>
      </c>
      <c r="N38" s="232" t="str">
        <f ca="1">+INDEX('Charges_NonSlice &amp; Excl LS'!$C$4:$C$138,MATCH($A38,'Charges_NonSlice &amp; Excl LS'!$AA$4:$AA$138,0),1)</f>
        <v>Ellensburg, City of</v>
      </c>
      <c r="O38" s="63">
        <f ca="1">+INDEX('Charges_NonSlice &amp; Excl LS'!$Z$4:$Z$138,MATCH($A38,'Charges_NonSlice &amp; Excl LS'!$AA$4:$AA$138,0),1)</f>
        <v>-2.3223066222655724E-2</v>
      </c>
      <c r="P38" s="86">
        <f ca="1">+INDEX('Charges_NonSlice &amp; Excl LS'!$Y$4:$Y$138,MATCH($A38,'Charges_NonSlice &amp; Excl LS'!$AA$4:$AA$138,0),1)</f>
        <v>34.412826445380944</v>
      </c>
      <c r="Q38" s="234">
        <f ca="1">+INDEX('Charges_NonSlice &amp; Excl LS'!$X$4:$X$138,MATCH($A38,'Charges_NonSlice &amp; Excl LS'!$AA$4:$AA$138,0),1)/1000</f>
        <v>210.66002413264798</v>
      </c>
      <c r="R38" s="69">
        <f ca="1">+SUM(Q$5:Q38)</f>
        <v>8739.4842120810954</v>
      </c>
      <c r="T38" s="232" t="str">
        <f ca="1">+INDEX(Charges_NonSlice!$C$4:$C$138,MATCH($A38,Charges_NonSlice!$AA$4:$AA$138,0),1)</f>
        <v>Kootenai Electric Coop</v>
      </c>
      <c r="U38" s="63">
        <f t="shared" ca="1" si="0"/>
        <v>0.10868201828079105</v>
      </c>
      <c r="V38" s="86">
        <f ca="1">+INDEX(Charges_NonSlice!$Y$4:$Y$138,MATCH($A38,Charges_NonSlice!$AA$4:$AA$138,0),1)</f>
        <v>39.046014616935182</v>
      </c>
      <c r="W38" s="411">
        <f t="shared" ca="1" si="1"/>
        <v>35.218407057312049</v>
      </c>
      <c r="Y38" s="66" t="s">
        <v>36</v>
      </c>
      <c r="Z38" s="67">
        <v>36.863356215731045</v>
      </c>
    </row>
    <row r="39" spans="1:26">
      <c r="A39">
        <f t="shared" si="2"/>
        <v>35</v>
      </c>
      <c r="B39" s="71" t="str">
        <f ca="1">+INDEX('Charges_Including Slice and LS'!$C$4:$C$138,MATCH($A39,'Charges_Including Slice and LS'!$AA$4:$AA$138,0),1)</f>
        <v>Chewelah, City of</v>
      </c>
      <c r="C39" s="63">
        <f ca="1">+INDEX('Charges_Including Slice and LS'!$Z$4:$Z$138,MATCH($A39,'Charges_Including Slice and LS'!$AA$4:$AA$138,0),1)</f>
        <v>-1.3008933849019844E-3</v>
      </c>
      <c r="D39" s="60">
        <f ca="1">+INDEX('Charges_Including Slice and LS'!$Y$4:$Y$138,MATCH($A39,'Charges_Including Slice and LS'!$AA$4:$AA$138,0),1)</f>
        <v>36.62654882126558</v>
      </c>
      <c r="E39" s="69">
        <f ca="1">+INDEX('Charges_Including Slice and LS'!$X$4:$X$138,MATCH($A39,'Charges_Including Slice and LS'!$AA$4:$AA$138,0),1)/1000</f>
        <v>22.152745101559237</v>
      </c>
      <c r="F39" s="69">
        <f ca="1">+SUM(E$5:E39)</f>
        <v>11941.570621549985</v>
      </c>
      <c r="H39" s="232" t="str">
        <f ca="1">+INDEX(Charges_NonSlice!$C$4:$C$138,MATCH($A39,Charges_NonSlice!$AA$4:$AA$138,0),1)</f>
        <v>Wasco Elec Coop</v>
      </c>
      <c r="I39" s="63">
        <f ca="1">+INDEX(Charges_NonSlice!$Z$4:$Z$138,MATCH($A39,Charges_NonSlice!$AA$4:$AA$138,0),1)</f>
        <v>-6.4677467419847073E-4</v>
      </c>
      <c r="J39" s="86">
        <f ca="1">+INDEX(Charges_NonSlice!$Y$4:$Y$138,MATCH($A39,Charges_NonSlice!$AA$4:$AA$138,0),1)</f>
        <v>33.702346177186051</v>
      </c>
      <c r="K39" s="234">
        <f ca="1">+INDEX(Charges_NonSlice!$X$4:$X$138,MATCH($A39,Charges_NonSlice!$AA$4:$AA$138,0),1)/1000</f>
        <v>110.54116550671547</v>
      </c>
      <c r="L39" s="69">
        <f ca="1">+SUM(K$5:K39)</f>
        <v>12467.031936116504</v>
      </c>
      <c r="N39" s="232" t="str">
        <f ca="1">+INDEX('Charges_NonSlice &amp; Excl LS'!$C$4:$C$138,MATCH($A39,'Charges_NonSlice &amp; Excl LS'!$AA$4:$AA$138,0),1)</f>
        <v>Declo, City of</v>
      </c>
      <c r="O39" s="63">
        <f ca="1">+INDEX('Charges_NonSlice &amp; Excl LS'!$Z$4:$Z$138,MATCH($A39,'Charges_NonSlice &amp; Excl LS'!$AA$4:$AA$138,0),1)</f>
        <v>-2.3468417259275707E-2</v>
      </c>
      <c r="P39" s="86">
        <f ca="1">+INDEX('Charges_NonSlice &amp; Excl LS'!$Y$4:$Y$138,MATCH($A39,'Charges_NonSlice &amp; Excl LS'!$AA$4:$AA$138,0),1)</f>
        <v>35.278454937042945</v>
      </c>
      <c r="Q39" s="234">
        <f ca="1">+INDEX('Charges_NonSlice &amp; Excl LS'!$X$4:$X$138,MATCH($A39,'Charges_NonSlice &amp; Excl LS'!$AA$4:$AA$138,0),1)/1000</f>
        <v>3.1518655865279999</v>
      </c>
      <c r="R39" s="69">
        <f ca="1">+SUM(Q$5:Q39)</f>
        <v>8742.6360776676229</v>
      </c>
      <c r="T39" s="232" t="str">
        <f ca="1">+INDEX(Charges_NonSlice!$C$4:$C$138,MATCH($A39,Charges_NonSlice!$AA$4:$AA$138,0),1)</f>
        <v>Wasco Elec Coop</v>
      </c>
      <c r="U39" s="63">
        <f t="shared" ca="1" si="0"/>
        <v>2.858873298073128E-2</v>
      </c>
      <c r="V39" s="86">
        <f ca="1">+INDEX(Charges_NonSlice!$Y$4:$Y$138,MATCH($A39,Charges_NonSlice!$AA$4:$AA$138,0),1)</f>
        <v>33.702346177186051</v>
      </c>
      <c r="W39" s="411">
        <f t="shared" ca="1" si="1"/>
        <v>32.765618654523415</v>
      </c>
      <c r="Y39" s="66" t="s">
        <v>52</v>
      </c>
      <c r="Z39" s="67">
        <v>33.620329040443593</v>
      </c>
    </row>
    <row r="40" spans="1:26">
      <c r="A40">
        <f t="shared" si="2"/>
        <v>36</v>
      </c>
      <c r="B40" s="71" t="str">
        <f ca="1">+INDEX('Charges_Including Slice and LS'!$C$4:$C$138,MATCH($A40,'Charges_Including Slice and LS'!$AA$4:$AA$138,0),1)</f>
        <v>Vigilante Elec Coop</v>
      </c>
      <c r="C40" s="63">
        <f ca="1">+INDEX('Charges_Including Slice and LS'!$Z$4:$Z$138,MATCH($A40,'Charges_Including Slice and LS'!$AA$4:$AA$138,0),1)</f>
        <v>-1.899536438175958E-3</v>
      </c>
      <c r="D40" s="60">
        <f ca="1">+INDEX('Charges_Including Slice and LS'!$Y$4:$Y$138,MATCH($A40,'Charges_Including Slice and LS'!$AA$4:$AA$138,0),1)</f>
        <v>29.479654338367865</v>
      </c>
      <c r="E40" s="69">
        <f ca="1">+INDEX('Charges_Including Slice and LS'!$X$4:$X$138,MATCH($A40,'Charges_Including Slice and LS'!$AA$4:$AA$138,0),1)/1000</f>
        <v>168.22751277115057</v>
      </c>
      <c r="F40" s="69">
        <f ca="1">+SUM(E$5:E40)</f>
        <v>12109.798134321136</v>
      </c>
      <c r="H40" s="232" t="str">
        <f ca="1">+INDEX(Charges_NonSlice!$C$4:$C$138,MATCH($A40,Charges_NonSlice!$AA$4:$AA$138,0),1)</f>
        <v>Chewelah, City of</v>
      </c>
      <c r="I40" s="63">
        <f ca="1">+INDEX(Charges_NonSlice!$Z$4:$Z$138,MATCH($A40,Charges_NonSlice!$AA$4:$AA$138,0),1)</f>
        <v>-1.3008933849017208E-3</v>
      </c>
      <c r="J40" s="86">
        <f ca="1">+INDEX(Charges_NonSlice!$Y$4:$Y$138,MATCH($A40,Charges_NonSlice!$AA$4:$AA$138,0),1)</f>
        <v>36.62654882126558</v>
      </c>
      <c r="K40" s="234">
        <f ca="1">+INDEX(Charges_NonSlice!$X$4:$X$138,MATCH($A40,Charges_NonSlice!$AA$4:$AA$138,0),1)/1000</f>
        <v>22.152745101559237</v>
      </c>
      <c r="L40" s="69">
        <f ca="1">+SUM(K$5:K40)</f>
        <v>12489.184681218063</v>
      </c>
      <c r="N40" s="232" t="str">
        <f ca="1">+INDEX('Charges_NonSlice &amp; Excl LS'!$C$4:$C$138,MATCH($A40,'Charges_NonSlice &amp; Excl LS'!$AA$4:$AA$138,0),1)</f>
        <v>Farmers Elec Coop</v>
      </c>
      <c r="O40" s="63">
        <f ca="1">+INDEX('Charges_NonSlice &amp; Excl LS'!$Z$4:$Z$138,MATCH($A40,'Charges_NonSlice &amp; Excl LS'!$AA$4:$AA$138,0),1)</f>
        <v>-2.3479804079625691E-2</v>
      </c>
      <c r="P40" s="86">
        <f ca="1">+INDEX('Charges_NonSlice &amp; Excl LS'!$Y$4:$Y$138,MATCH($A40,'Charges_NonSlice &amp; Excl LS'!$AA$4:$AA$138,0),1)</f>
        <v>34.339988620006928</v>
      </c>
      <c r="Q40" s="234">
        <f ca="1">+INDEX('Charges_NonSlice &amp; Excl LS'!$X$4:$X$138,MATCH($A40,'Charges_NonSlice &amp; Excl LS'!$AA$4:$AA$138,0),1)/1000</f>
        <v>4.3555307908319998</v>
      </c>
      <c r="R40" s="69">
        <f ca="1">+SUM(Q$5:Q40)</f>
        <v>8746.9916084584547</v>
      </c>
      <c r="T40" s="232" t="str">
        <f ca="1">+INDEX(Charges_NonSlice!$C$4:$C$138,MATCH($A40,Charges_NonSlice!$AA$4:$AA$138,0),1)</f>
        <v>Chewelah, City of</v>
      </c>
      <c r="U40" s="63">
        <f t="shared" ca="1" si="0"/>
        <v>1.1371329647124284E-2</v>
      </c>
      <c r="V40" s="86">
        <f ca="1">+INDEX(Charges_NonSlice!$Y$4:$Y$138,MATCH($A40,Charges_NonSlice!$AA$4:$AA$138,0),1)</f>
        <v>36.62654882126558</v>
      </c>
      <c r="W40" s="411">
        <f t="shared" ca="1" si="1"/>
        <v>36.21473908504494</v>
      </c>
      <c r="Y40" s="66" t="s">
        <v>21</v>
      </c>
      <c r="Z40" s="67">
        <v>35.814395955445619</v>
      </c>
    </row>
    <row r="41" spans="1:26">
      <c r="A41">
        <f t="shared" si="2"/>
        <v>37</v>
      </c>
      <c r="B41" s="71" t="str">
        <f ca="1">+INDEX('Charges_Including Slice and LS'!$C$4:$C$138,MATCH($A41,'Charges_Including Slice and LS'!$AA$4:$AA$138,0),1)</f>
        <v>Kittitas County PUD #1</v>
      </c>
      <c r="C41" s="63">
        <f ca="1">+INDEX('Charges_Including Slice and LS'!$Z$4:$Z$138,MATCH($A41,'Charges_Including Slice and LS'!$AA$4:$AA$138,0),1)</f>
        <v>-2.0895547179649943E-3</v>
      </c>
      <c r="D41" s="60">
        <f ca="1">+INDEX('Charges_Including Slice and LS'!$Y$4:$Y$138,MATCH($A41,'Charges_Including Slice and LS'!$AA$4:$AA$138,0),1)</f>
        <v>35.566157616475536</v>
      </c>
      <c r="E41" s="69">
        <f ca="1">+INDEX('Charges_Including Slice and LS'!$X$4:$X$138,MATCH($A41,'Charges_Including Slice and LS'!$AA$4:$AA$138,0),1)/1000</f>
        <v>85.218409390651843</v>
      </c>
      <c r="F41" s="69">
        <f ca="1">+SUM(E$5:E41)</f>
        <v>12195.016543711788</v>
      </c>
      <c r="H41" s="232" t="str">
        <f ca="1">+INDEX(Charges_NonSlice!$C$4:$C$138,MATCH($A41,Charges_NonSlice!$AA$4:$AA$138,0),1)</f>
        <v>Vigilante Elec Coop</v>
      </c>
      <c r="I41" s="63">
        <f ca="1">+INDEX(Charges_NonSlice!$Z$4:$Z$138,MATCH($A41,Charges_NonSlice!$AA$4:$AA$138,0),1)</f>
        <v>-1.8995364381766487E-3</v>
      </c>
      <c r="J41" s="86">
        <f ca="1">+INDEX(Charges_NonSlice!$Y$4:$Y$138,MATCH($A41,Charges_NonSlice!$AA$4:$AA$138,0),1)</f>
        <v>29.479654338367865</v>
      </c>
      <c r="K41" s="234">
        <f ca="1">+INDEX(Charges_NonSlice!$X$4:$X$138,MATCH($A41,Charges_NonSlice!$AA$4:$AA$138,0),1)/1000</f>
        <v>168.22751277115057</v>
      </c>
      <c r="L41" s="69">
        <f ca="1">+SUM(K$5:K41)</f>
        <v>12657.412193989214</v>
      </c>
      <c r="N41" s="232" t="str">
        <f ca="1">+INDEX('Charges_NonSlice &amp; Excl LS'!$C$4:$C$138,MATCH($A41,'Charges_NonSlice &amp; Excl LS'!$AA$4:$AA$138,0),1)</f>
        <v>Monmouth, City of</v>
      </c>
      <c r="O41" s="63">
        <f ca="1">+INDEX('Charges_NonSlice &amp; Excl LS'!$Z$4:$Z$138,MATCH($A41,'Charges_NonSlice &amp; Excl LS'!$AA$4:$AA$138,0),1)</f>
        <v>-2.3511112359691805E-2</v>
      </c>
      <c r="P41" s="86">
        <f ca="1">+INDEX('Charges_NonSlice &amp; Excl LS'!$Y$4:$Y$138,MATCH($A41,'Charges_NonSlice &amp; Excl LS'!$AA$4:$AA$138,0),1)</f>
        <v>35.273224974634857</v>
      </c>
      <c r="Q41" s="234">
        <f ca="1">+INDEX('Charges_NonSlice &amp; Excl LS'!$X$4:$X$138,MATCH($A41,'Charges_NonSlice &amp; Excl LS'!$AA$4:$AA$138,0),1)/1000</f>
        <v>73.46080422144</v>
      </c>
      <c r="R41" s="69">
        <f ca="1">+SUM(Q$5:Q41)</f>
        <v>8820.4524126798951</v>
      </c>
      <c r="T41" s="232" t="str">
        <f ca="1">+INDEX(Charges_NonSlice!$C$4:$C$138,MATCH($A41,Charges_NonSlice!$AA$4:$AA$138,0),1)</f>
        <v>Vigilante Elec Coop</v>
      </c>
      <c r="U41" s="63">
        <f t="shared" ca="1" si="0"/>
        <v>-1.6556452094726559E-2</v>
      </c>
      <c r="V41" s="86">
        <f ca="1">+INDEX(Charges_NonSlice!$Y$4:$Y$138,MATCH($A41,Charges_NonSlice!$AA$4:$AA$138,0),1)</f>
        <v>29.479654338367865</v>
      </c>
      <c r="W41" s="411">
        <f t="shared" ca="1" si="1"/>
        <v>29.9759497137983</v>
      </c>
      <c r="Y41" s="66" t="s">
        <v>74</v>
      </c>
      <c r="Z41" s="67">
        <v>34.581749629095995</v>
      </c>
    </row>
    <row r="42" spans="1:26">
      <c r="A42">
        <f t="shared" si="2"/>
        <v>38</v>
      </c>
      <c r="B42" s="71" t="str">
        <f ca="1">+INDEX('Charges_Including Slice and LS'!$C$4:$C$138,MATCH($A42,'Charges_Including Slice and LS'!$AA$4:$AA$138,0),1)</f>
        <v>Forest Grove, City of</v>
      </c>
      <c r="C42" s="63">
        <f ca="1">+INDEX('Charges_Including Slice and LS'!$Z$4:$Z$138,MATCH($A42,'Charges_Including Slice and LS'!$AA$4:$AA$138,0),1)</f>
        <v>-4.4840506629243316E-3</v>
      </c>
      <c r="D42" s="60">
        <f ca="1">+INDEX('Charges_Including Slice and LS'!$Y$4:$Y$138,MATCH($A42,'Charges_Including Slice and LS'!$AA$4:$AA$138,0),1)</f>
        <v>36.206735772270669</v>
      </c>
      <c r="E42" s="69">
        <f ca="1">+INDEX('Charges_Including Slice and LS'!$X$4:$X$138,MATCH($A42,'Charges_Including Slice and LS'!$AA$4:$AA$138,0),1)/1000</f>
        <v>234.36879007432097</v>
      </c>
      <c r="F42" s="69">
        <f ca="1">+SUM(E$5:E42)</f>
        <v>12429.385333786109</v>
      </c>
      <c r="H42" s="232" t="str">
        <f ca="1">+INDEX(Charges_NonSlice!$C$4:$C$138,MATCH($A42,Charges_NonSlice!$AA$4:$AA$138,0),1)</f>
        <v>Kittitas County PUD #1</v>
      </c>
      <c r="I42" s="63">
        <f ca="1">+INDEX(Charges_NonSlice!$Z$4:$Z$138,MATCH($A42,Charges_NonSlice!$AA$4:$AA$138,0),1)</f>
        <v>-2.0895547179647579E-3</v>
      </c>
      <c r="J42" s="86">
        <f ca="1">+INDEX(Charges_NonSlice!$Y$4:$Y$138,MATCH($A42,Charges_NonSlice!$AA$4:$AA$138,0),1)</f>
        <v>35.566157616475536</v>
      </c>
      <c r="K42" s="234">
        <f ca="1">+INDEX(Charges_NonSlice!$X$4:$X$138,MATCH($A42,Charges_NonSlice!$AA$4:$AA$138,0),1)/1000</f>
        <v>85.218409390651843</v>
      </c>
      <c r="L42" s="69">
        <f ca="1">+SUM(K$5:K42)</f>
        <v>12742.630603379866</v>
      </c>
      <c r="N42" s="232" t="str">
        <f ca="1">+INDEX('Charges_NonSlice &amp; Excl LS'!$C$4:$C$138,MATCH($A42,'Charges_NonSlice &amp; Excl LS'!$AA$4:$AA$138,0),1)</f>
        <v>Canby, City of</v>
      </c>
      <c r="O42" s="63">
        <f ca="1">+INDEX('Charges_NonSlice &amp; Excl LS'!$Z$4:$Z$138,MATCH($A42,'Charges_NonSlice &amp; Excl LS'!$AA$4:$AA$138,0),1)</f>
        <v>-2.3543129080161769E-2</v>
      </c>
      <c r="P42" s="86">
        <f ca="1">+INDEX('Charges_NonSlice &amp; Excl LS'!$Y$4:$Y$138,MATCH($A42,'Charges_NonSlice &amp; Excl LS'!$AA$4:$AA$138,0),1)</f>
        <v>34.751540470121846</v>
      </c>
      <c r="Q42" s="234">
        <f ca="1">+INDEX('Charges_NonSlice &amp; Excl LS'!$X$4:$X$138,MATCH($A42,'Charges_NonSlice &amp; Excl LS'!$AA$4:$AA$138,0),1)/1000</f>
        <v>178.39683308944799</v>
      </c>
      <c r="R42" s="69">
        <f ca="1">+SUM(Q$5:Q42)</f>
        <v>8998.8492457693428</v>
      </c>
      <c r="T42" s="232" t="str">
        <f ca="1">+INDEX(Charges_NonSlice!$C$4:$C$138,MATCH($A42,Charges_NonSlice!$AA$4:$AA$138,0),1)</f>
        <v>Kittitas County PUD #1</v>
      </c>
      <c r="U42" s="63">
        <f t="shared" ca="1" si="0"/>
        <v>-3.2587362603862968E-2</v>
      </c>
      <c r="V42" s="86">
        <f ca="1">+INDEX(Charges_NonSlice!$Y$4:$Y$138,MATCH($A42,Charges_NonSlice!$AA$4:$AA$138,0),1)</f>
        <v>35.566157616475536</v>
      </c>
      <c r="W42" s="411">
        <f t="shared" ca="1" si="1"/>
        <v>36.764206132560446</v>
      </c>
      <c r="Y42" s="66" t="s">
        <v>28</v>
      </c>
      <c r="Z42" s="67">
        <v>36.640136244174251</v>
      </c>
    </row>
    <row r="43" spans="1:26">
      <c r="A43">
        <f t="shared" si="2"/>
        <v>39</v>
      </c>
      <c r="B43" s="71" t="str">
        <f ca="1">+INDEX('Charges_Including Slice and LS'!$C$4:$C$138,MATCH($A43,'Charges_Including Slice and LS'!$AA$4:$AA$138,0),1)</f>
        <v>Ferry County PUD #1</v>
      </c>
      <c r="C43" s="63">
        <f ca="1">+INDEX('Charges_Including Slice and LS'!$Z$4:$Z$138,MATCH($A43,'Charges_Including Slice and LS'!$AA$4:$AA$138,0),1)</f>
        <v>-4.5215097512243665E-3</v>
      </c>
      <c r="D43" s="60">
        <f ca="1">+INDEX('Charges_Including Slice and LS'!$Y$4:$Y$138,MATCH($A43,'Charges_Including Slice and LS'!$AA$4:$AA$138,0),1)</f>
        <v>32.932439008209641</v>
      </c>
      <c r="E43" s="69">
        <f ca="1">+INDEX('Charges_Including Slice and LS'!$X$4:$X$138,MATCH($A43,'Charges_Including Slice and LS'!$AA$4:$AA$138,0),1)/1000</f>
        <v>76.044034348560629</v>
      </c>
      <c r="F43" s="69">
        <f ca="1">+SUM(E$5:E43)</f>
        <v>12505.42936813467</v>
      </c>
      <c r="H43" s="232" t="str">
        <f ca="1">+INDEX(Charges_NonSlice!$C$4:$C$138,MATCH($A43,Charges_NonSlice!$AA$4:$AA$138,0),1)</f>
        <v>Forest Grove, City of</v>
      </c>
      <c r="I43" s="63">
        <f ca="1">+INDEX(Charges_NonSlice!$Z$4:$Z$138,MATCH($A43,Charges_NonSlice!$AA$4:$AA$138,0),1)</f>
        <v>-4.4840506629214112E-3</v>
      </c>
      <c r="J43" s="86">
        <f ca="1">+INDEX(Charges_NonSlice!$Y$4:$Y$138,MATCH($A43,Charges_NonSlice!$AA$4:$AA$138,0),1)</f>
        <v>36.206735772270669</v>
      </c>
      <c r="K43" s="234">
        <f ca="1">+INDEX(Charges_NonSlice!$X$4:$X$138,MATCH($A43,Charges_NonSlice!$AA$4:$AA$138,0),1)/1000</f>
        <v>234.36879007432097</v>
      </c>
      <c r="L43" s="69">
        <f ca="1">+SUM(K$5:K43)</f>
        <v>12976.999393454187</v>
      </c>
      <c r="N43" s="232" t="str">
        <f ca="1">+INDEX('Charges_NonSlice &amp; Excl LS'!$C$4:$C$138,MATCH($A43,'Charges_NonSlice &amp; Excl LS'!$AA$4:$AA$138,0),1)</f>
        <v>Kittitas County PUD #1</v>
      </c>
      <c r="O43" s="63">
        <f ca="1">+INDEX('Charges_NonSlice &amp; Excl LS'!$Z$4:$Z$138,MATCH($A43,'Charges_NonSlice &amp; Excl LS'!$AA$4:$AA$138,0),1)</f>
        <v>-2.370493614550942E-2</v>
      </c>
      <c r="P43" s="86">
        <f ca="1">+INDEX('Charges_NonSlice &amp; Excl LS'!$Y$4:$Y$138,MATCH($A43,'Charges_NonSlice &amp; Excl LS'!$AA$4:$AA$138,0),1)</f>
        <v>33.932784218983706</v>
      </c>
      <c r="Q43" s="234">
        <f ca="1">+INDEX('Charges_NonSlice &amp; Excl LS'!$X$4:$X$138,MATCH($A43,'Charges_NonSlice &amp; Excl LS'!$AA$4:$AA$138,0),1)/1000</f>
        <v>85.22446003257599</v>
      </c>
      <c r="R43" s="69">
        <f ca="1">+SUM(Q$5:Q43)</f>
        <v>9084.0737058019185</v>
      </c>
      <c r="T43" s="232" t="str">
        <f ca="1">+INDEX(Charges_NonSlice!$C$4:$C$138,MATCH($A43,Charges_NonSlice!$AA$4:$AA$138,0),1)</f>
        <v>Forest Grove, City of</v>
      </c>
      <c r="U43" s="63">
        <f t="shared" ca="1" si="0"/>
        <v>-1.4340783003360169E-2</v>
      </c>
      <c r="V43" s="86">
        <f ca="1">+INDEX(Charges_NonSlice!$Y$4:$Y$138,MATCH($A43,Charges_NonSlice!$AA$4:$AA$138,0),1)</f>
        <v>36.206735772270669</v>
      </c>
      <c r="W43" s="411">
        <f t="shared" ca="1" si="1"/>
        <v>36.733523258266352</v>
      </c>
      <c r="Y43" s="66" t="s">
        <v>61</v>
      </c>
      <c r="Z43" s="67">
        <v>36.398434459861562</v>
      </c>
    </row>
    <row r="44" spans="1:26">
      <c r="A44">
        <f t="shared" si="2"/>
        <v>40</v>
      </c>
      <c r="B44" s="71" t="str">
        <f ca="1">+INDEX('Charges_Including Slice and LS'!$C$4:$C$138,MATCH($A44,'Charges_Including Slice and LS'!$AA$4:$AA$138,0),1)</f>
        <v>U.S. Airforce Base, Fairchild</v>
      </c>
      <c r="C44" s="63">
        <f ca="1">+INDEX('Charges_Including Slice and LS'!$Z$4:$Z$138,MATCH($A44,'Charges_Including Slice and LS'!$AA$4:$AA$138,0),1)</f>
        <v>-4.6790016472088919E-3</v>
      </c>
      <c r="D44" s="60">
        <f ca="1">+INDEX('Charges_Including Slice and LS'!$Y$4:$Y$138,MATCH($A44,'Charges_Including Slice and LS'!$AA$4:$AA$138,0),1)</f>
        <v>36.886714585386009</v>
      </c>
      <c r="E44" s="69">
        <f ca="1">+INDEX('Charges_Including Slice and LS'!$X$4:$X$138,MATCH($A44,'Charges_Including Slice and LS'!$AA$4:$AA$138,0),1)/1000</f>
        <v>46.316436212304595</v>
      </c>
      <c r="F44" s="69">
        <f ca="1">+SUM(E$5:E44)</f>
        <v>12551.745804346974</v>
      </c>
      <c r="H44" s="232" t="str">
        <f ca="1">+INDEX(Charges_NonSlice!$C$4:$C$138,MATCH($A44,Charges_NonSlice!$AA$4:$AA$138,0),1)</f>
        <v>Ferry County PUD #1</v>
      </c>
      <c r="I44" s="63">
        <f ca="1">+INDEX(Charges_NonSlice!$Z$4:$Z$138,MATCH($A44,Charges_NonSlice!$AA$4:$AA$138,0),1)</f>
        <v>-4.5215097512202734E-3</v>
      </c>
      <c r="J44" s="86">
        <f ca="1">+INDEX(Charges_NonSlice!$Y$4:$Y$138,MATCH($A44,Charges_NonSlice!$AA$4:$AA$138,0),1)</f>
        <v>32.932439008209641</v>
      </c>
      <c r="K44" s="234">
        <f ca="1">+INDEX(Charges_NonSlice!$X$4:$X$138,MATCH($A44,Charges_NonSlice!$AA$4:$AA$138,0),1)/1000</f>
        <v>76.044034348560629</v>
      </c>
      <c r="L44" s="69">
        <f ca="1">+SUM(K$5:K44)</f>
        <v>13053.043427802748</v>
      </c>
      <c r="N44" s="232" t="str">
        <f ca="1">+INDEX('Charges_NonSlice &amp; Excl LS'!$C$4:$C$138,MATCH($A44,'Charges_NonSlice &amp; Excl LS'!$AA$4:$AA$138,0),1)</f>
        <v>Forest Grove, City of</v>
      </c>
      <c r="O44" s="63">
        <f ca="1">+INDEX('Charges_NonSlice &amp; Excl LS'!$Z$4:$Z$138,MATCH($A44,'Charges_NonSlice &amp; Excl LS'!$AA$4:$AA$138,0),1)</f>
        <v>-2.3779087687751662E-2</v>
      </c>
      <c r="P44" s="86">
        <f ca="1">+INDEX('Charges_NonSlice &amp; Excl LS'!$Y$4:$Y$138,MATCH($A44,'Charges_NonSlice &amp; Excl LS'!$AA$4:$AA$138,0),1)</f>
        <v>34.893661371903519</v>
      </c>
      <c r="Q44" s="234">
        <f ca="1">+INDEX('Charges_NonSlice &amp; Excl LS'!$X$4:$X$138,MATCH($A44,'Charges_NonSlice &amp; Excl LS'!$AA$4:$AA$138,0),1)/1000</f>
        <v>234.37346954939997</v>
      </c>
      <c r="R44" s="69">
        <f ca="1">+SUM(Q$5:Q44)</f>
        <v>9318.4471753513189</v>
      </c>
      <c r="T44" s="232" t="str">
        <f ca="1">+INDEX(Charges_NonSlice!$C$4:$C$138,MATCH($A44,Charges_NonSlice!$AA$4:$AA$138,0),1)</f>
        <v>Ferry County PUD #1</v>
      </c>
      <c r="U44" s="63">
        <f t="shared" ca="1" si="0"/>
        <v>-2.0193848251045532E-3</v>
      </c>
      <c r="V44" s="86">
        <f ca="1">+INDEX(Charges_NonSlice!$Y$4:$Y$138,MATCH($A44,Charges_NonSlice!$AA$4:$AA$138,0),1)</f>
        <v>32.932439008209641</v>
      </c>
      <c r="W44" s="411">
        <f t="shared" ca="1" si="1"/>
        <v>32.999076843229318</v>
      </c>
      <c r="Y44" s="66" t="s">
        <v>10</v>
      </c>
      <c r="Z44" s="67">
        <v>31.349067538867715</v>
      </c>
    </row>
    <row r="45" spans="1:26">
      <c r="A45">
        <f t="shared" si="2"/>
        <v>41</v>
      </c>
      <c r="B45" s="71" t="str">
        <f ca="1">+INDEX('Charges_Including Slice and LS'!$C$4:$C$138,MATCH($A45,'Charges_Including Slice and LS'!$AA$4:$AA$138,0),1)</f>
        <v>Declo, City of</v>
      </c>
      <c r="C45" s="63">
        <f ca="1">+INDEX('Charges_Including Slice and LS'!$Z$4:$Z$138,MATCH($A45,'Charges_Including Slice and LS'!$AA$4:$AA$138,0),1)</f>
        <v>-4.7369000476217508E-3</v>
      </c>
      <c r="D45" s="60">
        <f ca="1">+INDEX('Charges_Including Slice and LS'!$Y$4:$Y$138,MATCH($A45,'Charges_Including Slice and LS'!$AA$4:$AA$138,0),1)</f>
        <v>36.591789373091203</v>
      </c>
      <c r="E45" s="69">
        <f ca="1">+INDEX('Charges_Including Slice and LS'!$X$4:$X$138,MATCH($A45,'Charges_Including Slice and LS'!$AA$4:$AA$138,0),1)/1000</f>
        <v>3.1534559999999998</v>
      </c>
      <c r="F45" s="69">
        <f ca="1">+SUM(E$5:E45)</f>
        <v>12554.899260346974</v>
      </c>
      <c r="H45" s="232" t="str">
        <f ca="1">+INDEX(Charges_NonSlice!$C$4:$C$138,MATCH($A45,Charges_NonSlice!$AA$4:$AA$138,0),1)</f>
        <v>U.S. Airforce Base, Fairchild</v>
      </c>
      <c r="I45" s="63">
        <f ca="1">+INDEX(Charges_NonSlice!$Z$4:$Z$138,MATCH($A45,Charges_NonSlice!$AA$4:$AA$138,0),1)</f>
        <v>-4.6790016472095276E-3</v>
      </c>
      <c r="J45" s="86">
        <f ca="1">+INDEX(Charges_NonSlice!$Y$4:$Y$138,MATCH($A45,Charges_NonSlice!$AA$4:$AA$138,0),1)</f>
        <v>36.886714585386009</v>
      </c>
      <c r="K45" s="234">
        <f ca="1">+INDEX(Charges_NonSlice!$X$4:$X$138,MATCH($A45,Charges_NonSlice!$AA$4:$AA$138,0),1)/1000</f>
        <v>46.316436212304595</v>
      </c>
      <c r="L45" s="69">
        <f ca="1">+SUM(K$5:K45)</f>
        <v>13099.359864015052</v>
      </c>
      <c r="N45" s="232" t="str">
        <f ca="1">+INDEX('Charges_NonSlice &amp; Excl LS'!$C$4:$C$138,MATCH($A45,'Charges_NonSlice &amp; Excl LS'!$AA$4:$AA$138,0),1)</f>
        <v>Wasco Elec Coop</v>
      </c>
      <c r="O45" s="63">
        <f ca="1">+INDEX('Charges_NonSlice &amp; Excl LS'!$Z$4:$Z$138,MATCH($A45,'Charges_NonSlice &amp; Excl LS'!$AA$4:$AA$138,0),1)</f>
        <v>-2.4060840575103139E-2</v>
      </c>
      <c r="P45" s="86">
        <f ca="1">+INDEX('Charges_NonSlice &amp; Excl LS'!$Y$4:$Y$138,MATCH($A45,'Charges_NonSlice &amp; Excl LS'!$AA$4:$AA$138,0),1)</f>
        <v>32.686752748808225</v>
      </c>
      <c r="Q45" s="234">
        <f ca="1">+INDEX('Charges_NonSlice &amp; Excl LS'!$X$4:$X$138,MATCH($A45,'Charges_NonSlice &amp; Excl LS'!$AA$4:$AA$138,0),1)/1000</f>
        <v>110.54486054167199</v>
      </c>
      <c r="R45" s="69">
        <f ca="1">+SUM(Q$5:Q45)</f>
        <v>9428.9920358929903</v>
      </c>
      <c r="T45" s="232" t="str">
        <f ca="1">+INDEX(Charges_NonSlice!$C$4:$C$138,MATCH($A45,Charges_NonSlice!$AA$4:$AA$138,0),1)</f>
        <v>U.S. Airforce Base, Fairchild</v>
      </c>
      <c r="U45" s="63">
        <f t="shared" ca="1" si="0"/>
        <v>-6.8997709528670903E-3</v>
      </c>
      <c r="V45" s="86">
        <f ca="1">+INDEX(Charges_NonSlice!$Y$4:$Y$138,MATCH($A45,Charges_NonSlice!$AA$4:$AA$138,0),1)</f>
        <v>36.886714585386009</v>
      </c>
      <c r="W45" s="411">
        <f t="shared" ca="1" si="1"/>
        <v>37.142992727711224</v>
      </c>
      <c r="Y45" s="66" t="s">
        <v>13</v>
      </c>
      <c r="Z45" s="67">
        <v>36.467221592045881</v>
      </c>
    </row>
    <row r="46" spans="1:26">
      <c r="A46">
        <f t="shared" si="2"/>
        <v>42</v>
      </c>
      <c r="B46" s="71" t="str">
        <f ca="1">+INDEX('Charges_Including Slice and LS'!$C$4:$C$138,MATCH($A46,'Charges_Including Slice and LS'!$AA$4:$AA$138,0),1)</f>
        <v>Franklin County PUD #1</v>
      </c>
      <c r="C46" s="63">
        <f ca="1">+INDEX('Charges_Including Slice and LS'!$Z$4:$Z$138,MATCH($A46,'Charges_Including Slice and LS'!$AA$4:$AA$138,0),1)</f>
        <v>-4.9985988463307224E-3</v>
      </c>
      <c r="D46" s="60">
        <f ca="1">+INDEX('Charges_Including Slice and LS'!$Y$4:$Y$138,MATCH($A46,'Charges_Including Slice and LS'!$AA$4:$AA$138,0),1)</f>
        <v>35.705117503178109</v>
      </c>
      <c r="E46" s="69">
        <f ca="1">+INDEX('Charges_Including Slice and LS'!$X$4:$X$138,MATCH($A46,'Charges_Including Slice and LS'!$AA$4:$AA$138,0),1)/1000</f>
        <v>1030.8111856783416</v>
      </c>
      <c r="F46" s="69">
        <f ca="1">+SUM(E$5:E46)</f>
        <v>13585.710446025316</v>
      </c>
      <c r="H46" s="232" t="str">
        <f ca="1">+INDEX(Charges_NonSlice!$C$4:$C$138,MATCH($A46,Charges_NonSlice!$AA$4:$AA$138,0),1)</f>
        <v>Declo, City of</v>
      </c>
      <c r="I46" s="63">
        <f ca="1">+INDEX(Charges_NonSlice!$Z$4:$Z$138,MATCH($A46,Charges_NonSlice!$AA$4:$AA$138,0),1)</f>
        <v>-4.7369000476206883E-3</v>
      </c>
      <c r="J46" s="86">
        <f ca="1">+INDEX(Charges_NonSlice!$Y$4:$Y$138,MATCH($A46,Charges_NonSlice!$AA$4:$AA$138,0),1)</f>
        <v>36.591789373091203</v>
      </c>
      <c r="K46" s="234">
        <f ca="1">+INDEX(Charges_NonSlice!$X$4:$X$138,MATCH($A46,Charges_NonSlice!$AA$4:$AA$138,0),1)/1000</f>
        <v>3.1534559999999998</v>
      </c>
      <c r="L46" s="69">
        <f ca="1">+SUM(K$5:K46)</f>
        <v>13102.513320015052</v>
      </c>
      <c r="N46" s="232" t="str">
        <f ca="1">+INDEX('Charges_NonSlice &amp; Excl LS'!$C$4:$C$138,MATCH($A46,'Charges_NonSlice &amp; Excl LS'!$AA$4:$AA$138,0),1)</f>
        <v>Port of Seattle - SETAC In'tl. Airport</v>
      </c>
      <c r="O46" s="63">
        <f ca="1">+INDEX('Charges_NonSlice &amp; Excl LS'!$Z$4:$Z$138,MATCH($A46,'Charges_NonSlice &amp; Excl LS'!$AA$4:$AA$138,0),1)</f>
        <v>-2.4079782925671932E-2</v>
      </c>
      <c r="P46" s="86">
        <f ca="1">+INDEX('Charges_NonSlice &amp; Excl LS'!$Y$4:$Y$138,MATCH($A46,'Charges_NonSlice &amp; Excl LS'!$AA$4:$AA$138,0),1)</f>
        <v>34.653814775487668</v>
      </c>
      <c r="Q46" s="234">
        <f ca="1">+INDEX('Charges_NonSlice &amp; Excl LS'!$X$4:$X$138,MATCH($A46,'Charges_NonSlice &amp; Excl LS'!$AA$4:$AA$138,0),1)/1000</f>
        <v>147.15737791588796</v>
      </c>
      <c r="R46" s="69">
        <f ca="1">+SUM(Q$5:Q46)</f>
        <v>9576.1494138088783</v>
      </c>
      <c r="T46" s="232" t="str">
        <f ca="1">+INDEX(Charges_NonSlice!$C$4:$C$138,MATCH($A46,Charges_NonSlice!$AA$4:$AA$138,0),1)</f>
        <v>Declo, City of</v>
      </c>
      <c r="U46" s="63">
        <f t="shared" ca="1" si="0"/>
        <v>-1.1060555900033187E-2</v>
      </c>
      <c r="V46" s="86">
        <f ca="1">+INDEX(Charges_NonSlice!$Y$4:$Y$138,MATCH($A46,Charges_NonSlice!$AA$4:$AA$138,0),1)</f>
        <v>36.591789373091203</v>
      </c>
      <c r="W46" s="411">
        <f t="shared" ca="1" si="1"/>
        <v>37.001041460524782</v>
      </c>
      <c r="Y46" s="66" t="s">
        <v>123</v>
      </c>
      <c r="Z46" s="67">
        <v>37.092288484940397</v>
      </c>
    </row>
    <row r="47" spans="1:26">
      <c r="A47">
        <f t="shared" si="2"/>
        <v>43</v>
      </c>
      <c r="B47" s="71" t="str">
        <f ca="1">+INDEX('Charges_Including Slice and LS'!$C$4:$C$138,MATCH($A47,'Charges_Including Slice and LS'!$AA$4:$AA$138,0),1)</f>
        <v>Eugene Water &amp; Electric Board</v>
      </c>
      <c r="C47" s="63">
        <f ca="1">+INDEX('Charges_Including Slice and LS'!$Z$4:$Z$138,MATCH($A47,'Charges_Including Slice and LS'!$AA$4:$AA$138,0),1)</f>
        <v>-5.0356833011803957E-3</v>
      </c>
      <c r="D47" s="60">
        <f ca="1">+INDEX('Charges_Including Slice and LS'!$Y$4:$Y$138,MATCH($A47,'Charges_Including Slice and LS'!$AA$4:$AA$138,0),1)</f>
        <v>37.387910569338523</v>
      </c>
      <c r="E47" s="69">
        <f ca="1">+INDEX('Charges_Including Slice and LS'!$X$4:$X$138,MATCH($A47,'Charges_Including Slice and LS'!$AA$4:$AA$138,0),1)/1000</f>
        <v>2023.4991258381683</v>
      </c>
      <c r="F47" s="69">
        <f ca="1">+SUM(E$5:E47)</f>
        <v>15609.209571863485</v>
      </c>
      <c r="H47" s="232" t="str">
        <f ca="1">+INDEX(Charges_NonSlice!$C$4:$C$138,MATCH($A47,Charges_NonSlice!$AA$4:$AA$138,0),1)</f>
        <v>Northern Wasco County PUD</v>
      </c>
      <c r="I47" s="63">
        <f ca="1">+INDEX(Charges_NonSlice!$Z$4:$Z$138,MATCH($A47,Charges_NonSlice!$AA$4:$AA$138,0),1)</f>
        <v>-5.1018554138385014E-3</v>
      </c>
      <c r="J47" s="86">
        <f ca="1">+INDEX(Charges_NonSlice!$Y$4:$Y$138,MATCH($A47,Charges_NonSlice!$AA$4:$AA$138,0),1)</f>
        <v>34.176268726866923</v>
      </c>
      <c r="K47" s="234">
        <f ca="1">+INDEX(Charges_NonSlice!$X$4:$X$138,MATCH($A47,Charges_NonSlice!$AA$4:$AA$138,0),1)/1000</f>
        <v>568.89338808209743</v>
      </c>
      <c r="L47" s="69">
        <f ca="1">+SUM(K$5:K47)</f>
        <v>13671.406708097149</v>
      </c>
      <c r="N47" s="232" t="str">
        <f ca="1">+INDEX('Charges_NonSlice &amp; Excl LS'!$C$4:$C$138,MATCH($A47,'Charges_NonSlice &amp; Excl LS'!$AA$4:$AA$138,0),1)</f>
        <v>Springfield Utility Board</v>
      </c>
      <c r="O47" s="63">
        <f ca="1">+INDEX('Charges_NonSlice &amp; Excl LS'!$Z$4:$Z$138,MATCH($A47,'Charges_NonSlice &amp; Excl LS'!$AA$4:$AA$138,0),1)</f>
        <v>-2.43248911088975E-2</v>
      </c>
      <c r="P47" s="86">
        <f ca="1">+INDEX('Charges_NonSlice &amp; Excl LS'!$Y$4:$Y$138,MATCH($A47,'Charges_NonSlice &amp; Excl LS'!$AA$4:$AA$138,0),1)</f>
        <v>34.289095118057013</v>
      </c>
      <c r="Q47" s="234">
        <f ca="1">+INDEX('Charges_NonSlice &amp; Excl LS'!$X$4:$X$138,MATCH($A47,'Charges_NonSlice &amp; Excl LS'!$AA$4:$AA$138,0),1)/1000</f>
        <v>799.78589258147986</v>
      </c>
      <c r="R47" s="69">
        <f ca="1">+SUM(Q$5:Q47)</f>
        <v>10375.935306390358</v>
      </c>
      <c r="T47" s="232" t="str">
        <f ca="1">+INDEX(Charges_NonSlice!$C$4:$C$138,MATCH($A47,Charges_NonSlice!$AA$4:$AA$138,0),1)</f>
        <v>Northern Wasco County PUD</v>
      </c>
      <c r="U47" s="63">
        <f t="shared" ca="1" si="0"/>
        <v>2.8207924080525526E-3</v>
      </c>
      <c r="V47" s="86">
        <f ca="1">+INDEX(Charges_NonSlice!$Y$4:$Y$138,MATCH($A47,Charges_NonSlice!$AA$4:$AA$138,0),1)</f>
        <v>34.176268726866923</v>
      </c>
      <c r="W47" s="411">
        <f t="shared" ca="1" si="1"/>
        <v>34.080135738709771</v>
      </c>
      <c r="Y47" s="66" t="s">
        <v>18</v>
      </c>
      <c r="Z47" s="67">
        <v>36.251080530852406</v>
      </c>
    </row>
    <row r="48" spans="1:26">
      <c r="A48">
        <f t="shared" si="2"/>
        <v>44</v>
      </c>
      <c r="B48" s="71" t="str">
        <f ca="1">+INDEX('Charges_Including Slice and LS'!$C$4:$C$138,MATCH($A48,'Charges_Including Slice and LS'!$AA$4:$AA$138,0),1)</f>
        <v>Northern Wasco County PUD</v>
      </c>
      <c r="C48" s="63">
        <f ca="1">+INDEX('Charges_Including Slice and LS'!$Z$4:$Z$138,MATCH($A48,'Charges_Including Slice and LS'!$AA$4:$AA$138,0),1)</f>
        <v>-5.1018554138425546E-3</v>
      </c>
      <c r="D48" s="60">
        <f ca="1">+INDEX('Charges_Including Slice and LS'!$Y$4:$Y$138,MATCH($A48,'Charges_Including Slice and LS'!$AA$4:$AA$138,0),1)</f>
        <v>34.176268726866923</v>
      </c>
      <c r="E48" s="69">
        <f ca="1">+INDEX('Charges_Including Slice and LS'!$X$4:$X$138,MATCH($A48,'Charges_Including Slice and LS'!$AA$4:$AA$138,0),1)/1000</f>
        <v>568.89338808209743</v>
      </c>
      <c r="F48" s="69">
        <f ca="1">+SUM(E$5:E48)</f>
        <v>16178.102959945581</v>
      </c>
      <c r="H48" s="232" t="str">
        <f ca="1">+INDEX(Charges_NonSlice!$C$4:$C$138,MATCH($A48,Charges_NonSlice!$AA$4:$AA$138,0),1)</f>
        <v>Ellensburg, City of</v>
      </c>
      <c r="I48" s="63">
        <f ca="1">+INDEX(Charges_NonSlice!$Z$4:$Z$138,MATCH($A48,Charges_NonSlice!$AA$4:$AA$138,0),1)</f>
        <v>-5.1296497190052312E-3</v>
      </c>
      <c r="J48" s="86">
        <f ca="1">+INDEX(Charges_NonSlice!$Y$4:$Y$138,MATCH($A48,Charges_NonSlice!$AA$4:$AA$138,0),1)</f>
        <v>35.620414462469377</v>
      </c>
      <c r="K48" s="234">
        <f ca="1">+INDEX(Charges_NonSlice!$X$4:$X$138,MATCH($A48,Charges_NonSlice!$AA$4:$AA$138,0),1)/1000</f>
        <v>210.65788800000001</v>
      </c>
      <c r="L48" s="69">
        <f ca="1">+SUM(K$5:K48)</f>
        <v>13882.064596097149</v>
      </c>
      <c r="N48" s="232" t="str">
        <f ca="1">+INDEX('Charges_NonSlice &amp; Excl LS'!$C$4:$C$138,MATCH($A48,'Charges_NonSlice &amp; Excl LS'!$AA$4:$AA$138,0),1)</f>
        <v>Blaine, City of</v>
      </c>
      <c r="O48" s="63">
        <f ca="1">+INDEX('Charges_NonSlice &amp; Excl LS'!$Z$4:$Z$138,MATCH($A48,'Charges_NonSlice &amp; Excl LS'!$AA$4:$AA$138,0),1)</f>
        <v>-2.4426997669903559E-2</v>
      </c>
      <c r="P48" s="86">
        <f ca="1">+INDEX('Charges_NonSlice &amp; Excl LS'!$Y$4:$Y$138,MATCH($A48,'Charges_NonSlice &amp; Excl LS'!$AA$4:$AA$138,0),1)</f>
        <v>34.747324241383339</v>
      </c>
      <c r="Q48" s="234">
        <f ca="1">+INDEX('Charges_NonSlice &amp; Excl LS'!$X$4:$X$138,MATCH($A48,'Charges_NonSlice &amp; Excl LS'!$AA$4:$AA$138,0),1)/1000</f>
        <v>76.836030361343987</v>
      </c>
      <c r="R48" s="69">
        <f ca="1">+SUM(Q$5:Q48)</f>
        <v>10452.771336751703</v>
      </c>
      <c r="T48" s="232" t="str">
        <f ca="1">+INDEX(Charges_NonSlice!$C$4:$C$138,MATCH($A48,Charges_NonSlice!$AA$4:$AA$138,0),1)</f>
        <v>Ellensburg, City of</v>
      </c>
      <c r="U48" s="63">
        <f t="shared" ca="1" si="0"/>
        <v>-2.7830731166208711E-2</v>
      </c>
      <c r="V48" s="86">
        <f ca="1">+INDEX(Charges_NonSlice!$Y$4:$Y$138,MATCH($A48,Charges_NonSlice!$AA$4:$AA$138,0),1)</f>
        <v>35.620414462469377</v>
      </c>
      <c r="W48" s="411">
        <f t="shared" ca="1" si="1"/>
        <v>36.640136244174251</v>
      </c>
      <c r="Y48" s="66" t="s">
        <v>19</v>
      </c>
      <c r="Z48" s="67">
        <v>36.654204373547877</v>
      </c>
    </row>
    <row r="49" spans="1:26">
      <c r="A49">
        <f t="shared" si="2"/>
        <v>45</v>
      </c>
      <c r="B49" s="71" t="str">
        <f ca="1">+INDEX('Charges_Including Slice and LS'!$C$4:$C$138,MATCH($A49,'Charges_Including Slice and LS'!$AA$4:$AA$138,0),1)</f>
        <v>Ellensburg, City of</v>
      </c>
      <c r="C49" s="63">
        <f ca="1">+INDEX('Charges_Including Slice and LS'!$Z$4:$Z$138,MATCH($A49,'Charges_Including Slice and LS'!$AA$4:$AA$138,0),1)</f>
        <v>-5.12964971900673E-3</v>
      </c>
      <c r="D49" s="60">
        <f ca="1">+INDEX('Charges_Including Slice and LS'!$Y$4:$Y$138,MATCH($A49,'Charges_Including Slice and LS'!$AA$4:$AA$138,0),1)</f>
        <v>35.620414462469377</v>
      </c>
      <c r="E49" s="69">
        <f ca="1">+INDEX('Charges_Including Slice and LS'!$X$4:$X$138,MATCH($A49,'Charges_Including Slice and LS'!$AA$4:$AA$138,0),1)/1000</f>
        <v>210.65788800000001</v>
      </c>
      <c r="F49" s="69">
        <f ca="1">+SUM(E$5:E49)</f>
        <v>16388.760847945581</v>
      </c>
      <c r="H49" s="232" t="str">
        <f ca="1">+INDEX(Charges_NonSlice!$C$4:$C$138,MATCH($A49,Charges_NonSlice!$AA$4:$AA$138,0),1)</f>
        <v>Grant County PUD #2</v>
      </c>
      <c r="I49" s="63">
        <f ca="1">+INDEX(Charges_NonSlice!$Z$4:$Z$138,MATCH($A49,Charges_NonSlice!$AA$4:$AA$138,0),1)</f>
        <v>-5.3962364267870202E-3</v>
      </c>
      <c r="J49" s="86">
        <f ca="1">+INDEX(Charges_NonSlice!$Y$4:$Y$138,MATCH($A49,Charges_NonSlice!$AA$4:$AA$138,0),1)</f>
        <v>38.965291334220822</v>
      </c>
      <c r="K49" s="234">
        <f ca="1">+INDEX(Charges_NonSlice!$X$4:$X$138,MATCH($A49,Charges_NonSlice!$AA$4:$AA$138,0),1)/1000</f>
        <v>45.606527999999997</v>
      </c>
      <c r="L49" s="69">
        <f ca="1">+SUM(K$5:K49)</f>
        <v>13927.671124097149</v>
      </c>
      <c r="N49" s="232" t="str">
        <f ca="1">+INDEX('Charges_NonSlice &amp; Excl LS'!$C$4:$C$138,MATCH($A49,'Charges_NonSlice &amp; Excl LS'!$AA$4:$AA$138,0),1)</f>
        <v>Yakama Power</v>
      </c>
      <c r="O49" s="63">
        <f ca="1">+INDEX('Charges_NonSlice &amp; Excl LS'!$Z$4:$Z$138,MATCH($A49,'Charges_NonSlice &amp; Excl LS'!$AA$4:$AA$138,0),1)</f>
        <v>-2.4464281690088449E-2</v>
      </c>
      <c r="P49" s="86">
        <f ca="1">+INDEX('Charges_NonSlice &amp; Excl LS'!$Y$4:$Y$138,MATCH($A49,'Charges_NonSlice &amp; Excl LS'!$AA$4:$AA$138,0),1)</f>
        <v>31.775978872248672</v>
      </c>
      <c r="Q49" s="234">
        <f ca="1">+INDEX('Charges_NonSlice &amp; Excl LS'!$X$4:$X$138,MATCH($A49,'Charges_NonSlice &amp; Excl LS'!$AA$4:$AA$138,0),1)/1000</f>
        <v>163.51233399086402</v>
      </c>
      <c r="R49" s="69">
        <f ca="1">+SUM(Q$5:Q49)</f>
        <v>10616.283670742567</v>
      </c>
      <c r="T49" s="232" t="str">
        <f ca="1">+INDEX(Charges_NonSlice!$C$4:$C$138,MATCH($A49,Charges_NonSlice!$AA$4:$AA$138,0),1)</f>
        <v>Grant County PUD #2</v>
      </c>
      <c r="U49" s="63" t="str">
        <f t="shared" ca="1" si="0"/>
        <v/>
      </c>
      <c r="V49" s="86">
        <f ca="1">+INDEX(Charges_NonSlice!$Y$4:$Y$138,MATCH($A49,Charges_NonSlice!$AA$4:$AA$138,0),1)</f>
        <v>38.965291334220822</v>
      </c>
      <c r="W49" s="411" t="str">
        <f t="shared" ca="1" si="1"/>
        <v xml:space="preserve"> </v>
      </c>
      <c r="Y49" s="66" t="s">
        <v>60</v>
      </c>
      <c r="Z49" s="67">
        <v>32.111887572413615</v>
      </c>
    </row>
    <row r="50" spans="1:26">
      <c r="A50">
        <f t="shared" si="2"/>
        <v>46</v>
      </c>
      <c r="B50" s="71" t="str">
        <f ca="1">+INDEX('Charges_Including Slice and LS'!$C$4:$C$138,MATCH($A50,'Charges_Including Slice and LS'!$AA$4:$AA$138,0),1)</f>
        <v>Grant County PUD #2</v>
      </c>
      <c r="C50" s="63">
        <f ca="1">+INDEX('Charges_Including Slice and LS'!$Z$4:$Z$138,MATCH($A50,'Charges_Including Slice and LS'!$AA$4:$AA$138,0),1)</f>
        <v>-5.3962364267850157E-3</v>
      </c>
      <c r="D50" s="60">
        <f ca="1">+INDEX('Charges_Including Slice and LS'!$Y$4:$Y$138,MATCH($A50,'Charges_Including Slice and LS'!$AA$4:$AA$138,0),1)</f>
        <v>38.965291334220822</v>
      </c>
      <c r="E50" s="69">
        <f ca="1">+INDEX('Charges_Including Slice and LS'!$X$4:$X$138,MATCH($A50,'Charges_Including Slice and LS'!$AA$4:$AA$138,0),1)/1000</f>
        <v>45.606527999999997</v>
      </c>
      <c r="F50" s="69">
        <f ca="1">+SUM(E$5:E50)</f>
        <v>16434.367375945581</v>
      </c>
      <c r="H50" s="232" t="str">
        <f ca="1">+INDEX(Charges_NonSlice!$C$4:$C$138,MATCH($A50,Charges_NonSlice!$AA$4:$AA$138,0),1)</f>
        <v>PNGC Aggregate</v>
      </c>
      <c r="I50" s="63">
        <f ca="1">+INDEX(Charges_NonSlice!$Z$4:$Z$138,MATCH($A50,Charges_NonSlice!$AA$4:$AA$138,0),1)</f>
        <v>-5.8444175994853825E-3</v>
      </c>
      <c r="J50" s="86">
        <f ca="1">+INDEX(Charges_NonSlice!$Y$4:$Y$138,MATCH($A50,Charges_NonSlice!$AA$4:$AA$138,0),1)</f>
        <v>34.268802686734865</v>
      </c>
      <c r="K50" s="234">
        <f ca="1">+INDEX(Charges_NonSlice!$X$4:$X$138,MATCH($A50,Charges_NonSlice!$AA$4:$AA$138,0),1)/1000</f>
        <v>5254.5289200827638</v>
      </c>
      <c r="L50" s="69">
        <f ca="1">+SUM(K$5:K50)</f>
        <v>19182.200044179914</v>
      </c>
      <c r="N50" s="232" t="str">
        <f ca="1">+INDEX('Charges_NonSlice &amp; Excl LS'!$C$4:$C$138,MATCH($A50,'Charges_NonSlice &amp; Excl LS'!$AA$4:$AA$138,0),1)</f>
        <v>Eugene Water &amp; Electric Board</v>
      </c>
      <c r="O50" s="63">
        <f ca="1">+INDEX('Charges_NonSlice &amp; Excl LS'!$Z$4:$Z$138,MATCH($A50,'Charges_NonSlice &amp; Excl LS'!$AA$4:$AA$138,0),1)</f>
        <v>-2.4590048978782999E-2</v>
      </c>
      <c r="P50" s="86">
        <f ca="1">+INDEX('Charges_NonSlice &amp; Excl LS'!$Y$4:$Y$138,MATCH($A50,'Charges_NonSlice &amp; Excl LS'!$AA$4:$AA$138,0),1)</f>
        <v>33.094703824253124</v>
      </c>
      <c r="Q50" s="234">
        <f ca="1">+INDEX('Charges_NonSlice &amp; Excl LS'!$X$4:$X$138,MATCH($A50,'Charges_NonSlice &amp; Excl LS'!$AA$4:$AA$138,0),1)/1000</f>
        <v>911.05047046180789</v>
      </c>
      <c r="R50" s="69">
        <f ca="1">+SUM(Q$5:Q50)</f>
        <v>11527.334141204374</v>
      </c>
      <c r="T50" s="232" t="str">
        <f ca="1">+INDEX(Charges_NonSlice!$C$4:$C$138,MATCH($A50,Charges_NonSlice!$AA$4:$AA$138,0),1)</f>
        <v>PNGC Aggregate</v>
      </c>
      <c r="U50" s="63">
        <f t="shared" ca="1" si="0"/>
        <v>3.1694310477800025E-2</v>
      </c>
      <c r="V50" s="86">
        <f ca="1">+INDEX(Charges_NonSlice!$Y$4:$Y$138,MATCH($A50,Charges_NonSlice!$AA$4:$AA$138,0),1)</f>
        <v>34.268802686734865</v>
      </c>
      <c r="W50" s="411">
        <f t="shared" ca="1" si="1"/>
        <v>33.216043103760299</v>
      </c>
      <c r="Y50" s="66" t="s">
        <v>104</v>
      </c>
      <c r="Z50" s="67">
        <v>36.115651081055866</v>
      </c>
    </row>
    <row r="51" spans="1:26">
      <c r="A51">
        <f t="shared" si="2"/>
        <v>47</v>
      </c>
      <c r="B51" s="71" t="str">
        <f ca="1">+INDEX('Charges_Including Slice and LS'!$C$4:$C$138,MATCH($A51,'Charges_Including Slice and LS'!$AA$4:$AA$138,0),1)</f>
        <v>PNGC Aggregate</v>
      </c>
      <c r="C51" s="63">
        <f ca="1">+INDEX('Charges_Including Slice and LS'!$Z$4:$Z$138,MATCH($A51,'Charges_Including Slice and LS'!$AA$4:$AA$138,0),1)</f>
        <v>-5.8444175994815384E-3</v>
      </c>
      <c r="D51" s="60">
        <f ca="1">+INDEX('Charges_Including Slice and LS'!$Y$4:$Y$138,MATCH($A51,'Charges_Including Slice and LS'!$AA$4:$AA$138,0),1)</f>
        <v>34.268802686734865</v>
      </c>
      <c r="E51" s="69">
        <f ca="1">+INDEX('Charges_Including Slice and LS'!$X$4:$X$138,MATCH($A51,'Charges_Including Slice and LS'!$AA$4:$AA$138,0),1)/1000</f>
        <v>5254.5289200827638</v>
      </c>
      <c r="F51" s="69">
        <f ca="1">+SUM(E$5:E51)</f>
        <v>21688.896296028346</v>
      </c>
      <c r="H51" s="232" t="str">
        <f ca="1">+INDEX(Charges_NonSlice!$C$4:$C$138,MATCH($A51,Charges_NonSlice!$AA$4:$AA$138,0),1)</f>
        <v>Tanner Elec Coop</v>
      </c>
      <c r="I51" s="63">
        <f ca="1">+INDEX(Charges_NonSlice!$Z$4:$Z$138,MATCH($A51,Charges_NonSlice!$AA$4:$AA$138,0),1)</f>
        <v>-5.9389220983164957E-3</v>
      </c>
      <c r="J51" s="86">
        <f ca="1">+INDEX(Charges_NonSlice!$Y$4:$Y$138,MATCH($A51,Charges_NonSlice!$AA$4:$AA$138,0),1)</f>
        <v>34.821064103731885</v>
      </c>
      <c r="K51" s="234">
        <f ca="1">+INDEX(Charges_NonSlice!$X$4:$X$138,MATCH($A51,Charges_NonSlice!$AA$4:$AA$138,0),1)/1000</f>
        <v>96.905088000000006</v>
      </c>
      <c r="L51" s="69">
        <f ca="1">+SUM(K$5:K51)</f>
        <v>19279.105132179913</v>
      </c>
      <c r="N51" s="232" t="str">
        <f ca="1">+INDEX('Charges_NonSlice &amp; Excl LS'!$C$4:$C$138,MATCH($A51,'Charges_NonSlice &amp; Excl LS'!$AA$4:$AA$138,0),1)</f>
        <v>Seattle City Light</v>
      </c>
      <c r="O51" s="63">
        <f ca="1">+INDEX('Charges_NonSlice &amp; Excl LS'!$Z$4:$Z$138,MATCH($A51,'Charges_NonSlice &amp; Excl LS'!$AA$4:$AA$138,0),1)</f>
        <v>-2.4590048979550468E-2</v>
      </c>
      <c r="P51" s="86">
        <f ca="1">+INDEX('Charges_NonSlice &amp; Excl LS'!$Y$4:$Y$138,MATCH($A51,'Charges_NonSlice &amp; Excl LS'!$AA$4:$AA$138,0),1)</f>
        <v>33.094703824253116</v>
      </c>
      <c r="Q51" s="234">
        <f ca="1">+INDEX('Charges_NonSlice &amp; Excl LS'!$X$4:$X$138,MATCH($A51,'Charges_NonSlice &amp; Excl LS'!$AA$4:$AA$138,0),1)/1000</f>
        <v>4050.3830481614882</v>
      </c>
      <c r="R51" s="69">
        <f ca="1">+SUM(Q$5:Q51)</f>
        <v>15577.717189365861</v>
      </c>
      <c r="T51" s="232" t="str">
        <f ca="1">+INDEX(Charges_NonSlice!$C$4:$C$138,MATCH($A51,Charges_NonSlice!$AA$4:$AA$138,0),1)</f>
        <v>Tanner Elec Coop</v>
      </c>
      <c r="U51" s="63">
        <f t="shared" ca="1" si="0"/>
        <v>-6.6126215216911755E-3</v>
      </c>
      <c r="V51" s="86">
        <f ca="1">+INDEX(Charges_NonSlice!$Y$4:$Y$138,MATCH($A51,Charges_NonSlice!$AA$4:$AA$138,0),1)</f>
        <v>34.821064103731885</v>
      </c>
      <c r="W51" s="411">
        <f t="shared" ca="1" si="1"/>
        <v>35.05285536954527</v>
      </c>
      <c r="Y51" s="66" t="s">
        <v>97</v>
      </c>
      <c r="Z51" s="67">
        <v>33.617894767090284</v>
      </c>
    </row>
    <row r="52" spans="1:26">
      <c r="A52">
        <f t="shared" si="2"/>
        <v>48</v>
      </c>
      <c r="B52" s="71" t="str">
        <f ca="1">+INDEX('Charges_Including Slice and LS'!$C$4:$C$138,MATCH($A52,'Charges_Including Slice and LS'!$AA$4:$AA$138,0),1)</f>
        <v>Tanner Elec Coop</v>
      </c>
      <c r="C52" s="63">
        <f ca="1">+INDEX('Charges_Including Slice and LS'!$Z$4:$Z$138,MATCH($A52,'Charges_Including Slice and LS'!$AA$4:$AA$138,0),1)</f>
        <v>-5.9389220983193458E-3</v>
      </c>
      <c r="D52" s="60">
        <f ca="1">+INDEX('Charges_Including Slice and LS'!$Y$4:$Y$138,MATCH($A52,'Charges_Including Slice and LS'!$AA$4:$AA$138,0),1)</f>
        <v>34.821064103731885</v>
      </c>
      <c r="E52" s="69">
        <f ca="1">+INDEX('Charges_Including Slice and LS'!$X$4:$X$138,MATCH($A52,'Charges_Including Slice and LS'!$AA$4:$AA$138,0),1)/1000</f>
        <v>96.905088000000006</v>
      </c>
      <c r="F52" s="69">
        <f ca="1">+SUM(E$5:E52)</f>
        <v>21785.801384028346</v>
      </c>
      <c r="H52" s="232" t="str">
        <f ca="1">+INDEX(Charges_NonSlice!$C$4:$C$138,MATCH($A52,Charges_NonSlice!$AA$4:$AA$138,0),1)</f>
        <v>Idaho County L &amp; P</v>
      </c>
      <c r="I52" s="63">
        <f ca="1">+INDEX(Charges_NonSlice!$Z$4:$Z$138,MATCH($A52,Charges_NonSlice!$AA$4:$AA$138,0),1)</f>
        <v>-6.002085338470518E-3</v>
      </c>
      <c r="J52" s="86">
        <f ca="1">+INDEX(Charges_NonSlice!$Y$4:$Y$138,MATCH($A52,Charges_NonSlice!$AA$4:$AA$138,0),1)</f>
        <v>34.120766694305551</v>
      </c>
      <c r="K52" s="234">
        <f ca="1">+INDEX(Charges_NonSlice!$X$4:$X$138,MATCH($A52,Charges_NonSlice!$AA$4:$AA$138,0),1)/1000</f>
        <v>54.574992000000002</v>
      </c>
      <c r="L52" s="69">
        <f ca="1">+SUM(K$5:K52)</f>
        <v>19333.680124179915</v>
      </c>
      <c r="N52" s="232" t="str">
        <f ca="1">+INDEX('Charges_NonSlice &amp; Excl LS'!$C$4:$C$138,MATCH($A52,'Charges_NonSlice &amp; Excl LS'!$AA$4:$AA$138,0),1)</f>
        <v>Pend Oreille County PUD  #1</v>
      </c>
      <c r="O52" s="63">
        <f ca="1">+INDEX('Charges_NonSlice &amp; Excl LS'!$Z$4:$Z$138,MATCH($A52,'Charges_NonSlice &amp; Excl LS'!$AA$4:$AA$138,0),1)</f>
        <v>-2.45900489798048E-2</v>
      </c>
      <c r="P52" s="86">
        <f ca="1">+INDEX('Charges_NonSlice &amp; Excl LS'!$Y$4:$Y$138,MATCH($A52,'Charges_NonSlice &amp; Excl LS'!$AA$4:$AA$138,0),1)</f>
        <v>33.094703824253109</v>
      </c>
      <c r="Q52" s="234">
        <f ca="1">+INDEX('Charges_NonSlice &amp; Excl LS'!$X$4:$X$138,MATCH($A52,'Charges_NonSlice &amp; Excl LS'!$AA$4:$AA$138,0),1)/1000</f>
        <v>226.35730746712798</v>
      </c>
      <c r="R52" s="69">
        <f ca="1">+SUM(Q$5:Q52)</f>
        <v>15804.074496832989</v>
      </c>
      <c r="T52" s="232" t="str">
        <f ca="1">+INDEX(Charges_NonSlice!$C$4:$C$138,MATCH($A52,Charges_NonSlice!$AA$4:$AA$138,0),1)</f>
        <v>Idaho County L &amp; P</v>
      </c>
      <c r="U52" s="63">
        <f t="shared" ca="1" si="0"/>
        <v>-1.3330237473079931E-2</v>
      </c>
      <c r="V52" s="86">
        <f ca="1">+INDEX(Charges_NonSlice!$Y$4:$Y$138,MATCH($A52,Charges_NonSlice!$AA$4:$AA$138,0),1)</f>
        <v>34.120766694305551</v>
      </c>
      <c r="W52" s="411">
        <f t="shared" ca="1" si="1"/>
        <v>34.581749629095995</v>
      </c>
      <c r="Y52" s="66" t="s">
        <v>100</v>
      </c>
      <c r="Z52" s="67">
        <v>34.303758661806469</v>
      </c>
    </row>
    <row r="53" spans="1:26">
      <c r="A53">
        <f t="shared" si="2"/>
        <v>49</v>
      </c>
      <c r="B53" s="71" t="str">
        <f ca="1">+INDEX('Charges_Including Slice and LS'!$C$4:$C$138,MATCH($A53,'Charges_Including Slice and LS'!$AA$4:$AA$138,0),1)</f>
        <v>Idaho County L &amp; P</v>
      </c>
      <c r="C53" s="63">
        <f ca="1">+INDEX('Charges_Including Slice and LS'!$Z$4:$Z$138,MATCH($A53,'Charges_Including Slice and LS'!$AA$4:$AA$138,0),1)</f>
        <v>-6.0020853384687572E-3</v>
      </c>
      <c r="D53" s="60">
        <f ca="1">+INDEX('Charges_Including Slice and LS'!$Y$4:$Y$138,MATCH($A53,'Charges_Including Slice and LS'!$AA$4:$AA$138,0),1)</f>
        <v>34.120766694305551</v>
      </c>
      <c r="E53" s="69">
        <f ca="1">+INDEX('Charges_Including Slice and LS'!$X$4:$X$138,MATCH($A53,'Charges_Including Slice and LS'!$AA$4:$AA$138,0),1)/1000</f>
        <v>54.574992000000002</v>
      </c>
      <c r="F53" s="69">
        <f ca="1">+SUM(E$5:E53)</f>
        <v>21840.376376028347</v>
      </c>
      <c r="H53" s="232" t="str">
        <f ca="1">+INDEX(Charges_NonSlice!$C$4:$C$138,MATCH($A53,Charges_NonSlice!$AA$4:$AA$138,0),1)</f>
        <v>Eugene Water &amp; Electric Board</v>
      </c>
      <c r="I53" s="63">
        <f ca="1">+INDEX(Charges_NonSlice!$Z$4:$Z$138,MATCH($A53,Charges_NonSlice!$AA$4:$AA$138,0),1)</f>
        <v>-6.0276442904302046E-3</v>
      </c>
      <c r="J53" s="86">
        <f ca="1">+INDEX(Charges_NonSlice!$Y$4:$Y$138,MATCH($A53,Charges_NonSlice!$AA$4:$AA$138,0),1)</f>
        <v>34.014361633726182</v>
      </c>
      <c r="K53" s="234">
        <f ca="1">+INDEX(Charges_NonSlice!$X$4:$X$138,MATCH($A53,Charges_NonSlice!$AA$4:$AA$138,0),1)/1000</f>
        <v>911.051889749</v>
      </c>
      <c r="L53" s="69">
        <f ca="1">+SUM(K$5:K53)</f>
        <v>20244.732013928915</v>
      </c>
      <c r="N53" s="232" t="str">
        <f ca="1">+INDEX('Charges_NonSlice &amp; Excl LS'!$C$4:$C$138,MATCH($A53,'Charges_NonSlice &amp; Excl LS'!$AA$4:$AA$138,0),1)</f>
        <v>Idaho Falls Power</v>
      </c>
      <c r="O53" s="63">
        <f ca="1">+INDEX('Charges_NonSlice &amp; Excl LS'!$Z$4:$Z$138,MATCH($A53,'Charges_NonSlice &amp; Excl LS'!$AA$4:$AA$138,0),1)</f>
        <v>-2.4590048980713819E-2</v>
      </c>
      <c r="P53" s="86">
        <f ca="1">+INDEX('Charges_NonSlice &amp; Excl LS'!$Y$4:$Y$138,MATCH($A53,'Charges_NonSlice &amp; Excl LS'!$AA$4:$AA$138,0),1)</f>
        <v>33.094703824253116</v>
      </c>
      <c r="Q53" s="234">
        <f ca="1">+INDEX('Charges_NonSlice &amp; Excl LS'!$X$4:$X$138,MATCH($A53,'Charges_NonSlice &amp; Excl LS'!$AA$4:$AA$138,0),1)/1000</f>
        <v>358.31375883381594</v>
      </c>
      <c r="R53" s="69">
        <f ca="1">+SUM(Q$5:Q53)</f>
        <v>16162.388255666805</v>
      </c>
      <c r="T53" s="232" t="str">
        <f ca="1">+INDEX(Charges_NonSlice!$C$4:$C$138,MATCH($A53,Charges_NonSlice!$AA$4:$AA$138,0),1)</f>
        <v>Eugene Water &amp; Electric Board</v>
      </c>
      <c r="U53" s="63">
        <f t="shared" ca="1" si="0"/>
        <v>-5.9737085696826009E-3</v>
      </c>
      <c r="V53" s="86">
        <f ca="1">+INDEX(Charges_NonSlice!$Y$4:$Y$138,MATCH($A53,Charges_NonSlice!$AA$4:$AA$138,0),1)</f>
        <v>34.014361633726182</v>
      </c>
      <c r="W53" s="411">
        <f t="shared" ca="1" si="1"/>
        <v>34.218774620923227</v>
      </c>
      <c r="Y53" s="66" t="s">
        <v>116</v>
      </c>
      <c r="Z53" s="67">
        <v>34.045459747515423</v>
      </c>
    </row>
    <row r="54" spans="1:26">
      <c r="A54">
        <f t="shared" si="2"/>
        <v>50</v>
      </c>
      <c r="B54" s="71" t="str">
        <f ca="1">+INDEX('Charges_Including Slice and LS'!$C$4:$C$138,MATCH($A54,'Charges_Including Slice and LS'!$AA$4:$AA$138,0),1)</f>
        <v>Rupert, City of</v>
      </c>
      <c r="C54" s="63">
        <f ca="1">+INDEX('Charges_Including Slice and LS'!$Z$4:$Z$138,MATCH($A54,'Charges_Including Slice and LS'!$AA$4:$AA$138,0),1)</f>
        <v>-6.4217139420927882E-3</v>
      </c>
      <c r="D54" s="60">
        <f ca="1">+INDEX('Charges_Including Slice and LS'!$Y$4:$Y$138,MATCH($A54,'Charges_Including Slice and LS'!$AA$4:$AA$138,0),1)</f>
        <v>35.462094239915459</v>
      </c>
      <c r="E54" s="69">
        <f ca="1">+INDEX('Charges_Including Slice and LS'!$X$4:$X$138,MATCH($A54,'Charges_Including Slice and LS'!$AA$4:$AA$138,0),1)/1000</f>
        <v>79.363756363776048</v>
      </c>
      <c r="F54" s="69">
        <f ca="1">+SUM(E$5:E54)</f>
        <v>21919.740132392122</v>
      </c>
      <c r="H54" s="232" t="str">
        <f ca="1">+INDEX(Charges_NonSlice!$C$4:$C$138,MATCH($A54,Charges_NonSlice!$AA$4:$AA$138,0),1)</f>
        <v>Rupert, City of</v>
      </c>
      <c r="I54" s="63">
        <f ca="1">+INDEX(Charges_NonSlice!$Z$4:$Z$138,MATCH($A54,Charges_NonSlice!$AA$4:$AA$138,0),1)</f>
        <v>-6.4217139420882302E-3</v>
      </c>
      <c r="J54" s="86">
        <f ca="1">+INDEX(Charges_NonSlice!$Y$4:$Y$138,MATCH($A54,Charges_NonSlice!$AA$4:$AA$138,0),1)</f>
        <v>35.462094239915459</v>
      </c>
      <c r="K54" s="234">
        <f ca="1">+INDEX(Charges_NonSlice!$X$4:$X$138,MATCH($A54,Charges_NonSlice!$AA$4:$AA$138,0),1)/1000</f>
        <v>79.363756363776048</v>
      </c>
      <c r="L54" s="69">
        <f ca="1">+SUM(K$5:K54)</f>
        <v>20324.09577029269</v>
      </c>
      <c r="N54" s="232" t="str">
        <f ca="1">+INDEX('Charges_NonSlice &amp; Excl LS'!$C$4:$C$138,MATCH($A54,'Charges_NonSlice &amp; Excl LS'!$AA$4:$AA$138,0),1)</f>
        <v>Cowlitz County PUD #1</v>
      </c>
      <c r="O54" s="63">
        <f ca="1">+INDEX('Charges_NonSlice &amp; Excl LS'!$Z$4:$Z$138,MATCH($A54,'Charges_NonSlice &amp; Excl LS'!$AA$4:$AA$138,0),1)</f>
        <v>-2.459004898138091E-2</v>
      </c>
      <c r="P54" s="86">
        <f ca="1">+INDEX('Charges_NonSlice &amp; Excl LS'!$Y$4:$Y$138,MATCH($A54,'Charges_NonSlice &amp; Excl LS'!$AA$4:$AA$138,0),1)</f>
        <v>33.094703824253124</v>
      </c>
      <c r="Q54" s="234">
        <f ca="1">+INDEX('Charges_NonSlice &amp; Excl LS'!$X$4:$X$138,MATCH($A54,'Charges_NonSlice &amp; Excl LS'!$AA$4:$AA$138,0),1)/1000</f>
        <v>2200.6846699763041</v>
      </c>
      <c r="R54" s="69">
        <f ca="1">+SUM(Q$5:Q54)</f>
        <v>18363.072925643108</v>
      </c>
      <c r="T54" s="232" t="str">
        <f ca="1">+INDEX(Charges_NonSlice!$C$4:$C$138,MATCH($A54,Charges_NonSlice!$AA$4:$AA$138,0),1)</f>
        <v>Rupert, City of</v>
      </c>
      <c r="U54" s="63">
        <f t="shared" ca="1" si="0"/>
        <v>-3.7306277370125374E-2</v>
      </c>
      <c r="V54" s="86">
        <f ca="1">+INDEX(Charges_NonSlice!$Y$4:$Y$138,MATCH($A54,Charges_NonSlice!$AA$4:$AA$138,0),1)</f>
        <v>35.462094239915459</v>
      </c>
      <c r="W54" s="411">
        <f t="shared" ca="1" si="1"/>
        <v>36.836320219311865</v>
      </c>
      <c r="Y54" s="66" t="s">
        <v>125</v>
      </c>
      <c r="Z54" s="67">
        <v>37.065637100783171</v>
      </c>
    </row>
    <row r="55" spans="1:26">
      <c r="A55">
        <f t="shared" si="2"/>
        <v>51</v>
      </c>
      <c r="B55" s="71" t="str">
        <f ca="1">+INDEX('Charges_Including Slice and LS'!$C$4:$C$138,MATCH($A55,'Charges_Including Slice and LS'!$AA$4:$AA$138,0),1)</f>
        <v>Springfield Utility Board</v>
      </c>
      <c r="C55" s="63">
        <f ca="1">+INDEX('Charges_Including Slice and LS'!$Z$4:$Z$138,MATCH($A55,'Charges_Including Slice and LS'!$AA$4:$AA$138,0),1)</f>
        <v>-6.4980987138309057E-3</v>
      </c>
      <c r="D55" s="60">
        <f ca="1">+INDEX('Charges_Including Slice and LS'!$Y$4:$Y$138,MATCH($A55,'Charges_Including Slice and LS'!$AA$4:$AA$138,0),1)</f>
        <v>35.391682511967964</v>
      </c>
      <c r="E55" s="69">
        <f ca="1">+INDEX('Charges_Including Slice and LS'!$X$4:$X$138,MATCH($A55,'Charges_Including Slice and LS'!$AA$4:$AA$138,0),1)/1000</f>
        <v>799.78245566605813</v>
      </c>
      <c r="F55" s="69">
        <f ca="1">+SUM(E$5:E55)</f>
        <v>22719.522588058182</v>
      </c>
      <c r="H55" s="232" t="str">
        <f ca="1">+INDEX(Charges_NonSlice!$C$4:$C$138,MATCH($A55,Charges_NonSlice!$AA$4:$AA$138,0),1)</f>
        <v>Springfield Utility Board</v>
      </c>
      <c r="I55" s="63">
        <f ca="1">+INDEX(Charges_NonSlice!$Z$4:$Z$138,MATCH($A55,Charges_NonSlice!$AA$4:$AA$138,0),1)</f>
        <v>-6.4980987138317384E-3</v>
      </c>
      <c r="J55" s="86">
        <f ca="1">+INDEX(Charges_NonSlice!$Y$4:$Y$138,MATCH($A55,Charges_NonSlice!$AA$4:$AA$138,0),1)</f>
        <v>35.391682511967964</v>
      </c>
      <c r="K55" s="234">
        <f ca="1">+INDEX(Charges_NonSlice!$X$4:$X$138,MATCH($A55,Charges_NonSlice!$AA$4:$AA$138,0),1)/1000</f>
        <v>799.78245566605813</v>
      </c>
      <c r="L55" s="69">
        <f ca="1">+SUM(K$5:K55)</f>
        <v>21123.87822595875</v>
      </c>
      <c r="N55" s="232" t="str">
        <f ca="1">+INDEX('Charges_NonSlice &amp; Excl LS'!$C$4:$C$138,MATCH($A55,'Charges_NonSlice &amp; Excl LS'!$AA$4:$AA$138,0),1)</f>
        <v>Snohomish County PUD #1</v>
      </c>
      <c r="O55" s="63">
        <f ca="1">+INDEX('Charges_NonSlice &amp; Excl LS'!$Z$4:$Z$138,MATCH($A55,'Charges_NonSlice &amp; Excl LS'!$AA$4:$AA$138,0),1)</f>
        <v>-2.4590048982294485E-2</v>
      </c>
      <c r="P55" s="86">
        <f ca="1">+INDEX('Charges_NonSlice &amp; Excl LS'!$Y$4:$Y$138,MATCH($A55,'Charges_NonSlice &amp; Excl LS'!$AA$4:$AA$138,0),1)</f>
        <v>33.094703824253116</v>
      </c>
      <c r="Q55" s="234">
        <f ca="1">+INDEX('Charges_NonSlice &amp; Excl LS'!$X$4:$X$138,MATCH($A55,'Charges_NonSlice &amp; Excl LS'!$AA$4:$AA$138,0),1)/1000</f>
        <v>3123.3747070529275</v>
      </c>
      <c r="R55" s="69">
        <f ca="1">+SUM(Q$5:Q55)</f>
        <v>21486.447632696036</v>
      </c>
      <c r="T55" s="232" t="str">
        <f ca="1">+INDEX(Charges_NonSlice!$C$4:$C$138,MATCH($A55,Charges_NonSlice!$AA$4:$AA$138,0),1)</f>
        <v>Springfield Utility Board</v>
      </c>
      <c r="U55" s="63">
        <f t="shared" ca="1" si="0"/>
        <v>-3.2416182200726285E-3</v>
      </c>
      <c r="V55" s="86">
        <f ca="1">+INDEX(Charges_NonSlice!$Y$4:$Y$138,MATCH($A55,Charges_NonSlice!$AA$4:$AA$138,0),1)</f>
        <v>35.391682511967964</v>
      </c>
      <c r="W55" s="411">
        <f t="shared" ca="1" si="1"/>
        <v>35.506781943251355</v>
      </c>
      <c r="Y55" s="66" t="s">
        <v>32</v>
      </c>
      <c r="Z55" s="67">
        <v>37.610457338124995</v>
      </c>
    </row>
    <row r="56" spans="1:26">
      <c r="A56">
        <f t="shared" si="2"/>
        <v>52</v>
      </c>
      <c r="B56" s="71" t="str">
        <f ca="1">+INDEX('Charges_Including Slice and LS'!$C$4:$C$138,MATCH($A56,'Charges_Including Slice and LS'!$AA$4:$AA$138,0),1)</f>
        <v>Peninsula Light Company</v>
      </c>
      <c r="C56" s="63">
        <f ca="1">+INDEX('Charges_Including Slice and LS'!$Z$4:$Z$138,MATCH($A56,'Charges_Including Slice and LS'!$AA$4:$AA$138,0),1)</f>
        <v>-6.5661746820898674E-3</v>
      </c>
      <c r="D56" s="60">
        <f ca="1">+INDEX('Charges_Including Slice and LS'!$Y$4:$Y$138,MATCH($A56,'Charges_Including Slice and LS'!$AA$4:$AA$138,0),1)</f>
        <v>36.998518783835415</v>
      </c>
      <c r="E56" s="69">
        <f ca="1">+INDEX('Charges_Including Slice and LS'!$X$4:$X$138,MATCH($A56,'Charges_Including Slice and LS'!$AA$4:$AA$138,0),1)/1000</f>
        <v>603.15214576473761</v>
      </c>
      <c r="F56" s="69">
        <f ca="1">+SUM(E$5:E56)</f>
        <v>23322.674733822918</v>
      </c>
      <c r="H56" s="232" t="str">
        <f ca="1">+INDEX(Charges_NonSlice!$C$4:$C$138,MATCH($A56,Charges_NonSlice!$AA$4:$AA$138,0),1)</f>
        <v>Peninsula Light Company</v>
      </c>
      <c r="I56" s="63">
        <f ca="1">+INDEX(Charges_NonSlice!$Z$4:$Z$138,MATCH($A56,Charges_NonSlice!$AA$4:$AA$138,0),1)</f>
        <v>-6.5661746820897156E-3</v>
      </c>
      <c r="J56" s="86">
        <f ca="1">+INDEX(Charges_NonSlice!$Y$4:$Y$138,MATCH($A56,Charges_NonSlice!$AA$4:$AA$138,0),1)</f>
        <v>36.998518783835415</v>
      </c>
      <c r="K56" s="234">
        <f ca="1">+INDEX(Charges_NonSlice!$X$4:$X$138,MATCH($A56,Charges_NonSlice!$AA$4:$AA$138,0),1)/1000</f>
        <v>603.15214576473761</v>
      </c>
      <c r="L56" s="69">
        <f ca="1">+SUM(K$5:K56)</f>
        <v>21727.030371723486</v>
      </c>
      <c r="N56" s="232" t="str">
        <f ca="1">+INDEX('Charges_NonSlice &amp; Excl LS'!$C$4:$C$138,MATCH($A56,'Charges_NonSlice &amp; Excl LS'!$AA$4:$AA$138,0),1)</f>
        <v>Northern Wasco County PUD</v>
      </c>
      <c r="O56" s="63">
        <f ca="1">+INDEX('Charges_NonSlice &amp; Excl LS'!$Z$4:$Z$138,MATCH($A56,'Charges_NonSlice &amp; Excl LS'!$AA$4:$AA$138,0),1)</f>
        <v>-2.4590048982500549E-2</v>
      </c>
      <c r="P56" s="86">
        <f ca="1">+INDEX('Charges_NonSlice &amp; Excl LS'!$Y$4:$Y$138,MATCH($A56,'Charges_NonSlice &amp; Excl LS'!$AA$4:$AA$138,0),1)</f>
        <v>33.094703824253131</v>
      </c>
      <c r="Q56" s="234">
        <f ca="1">+INDEX('Charges_NonSlice &amp; Excl LS'!$X$4:$X$138,MATCH($A56,'Charges_NonSlice &amp; Excl LS'!$AA$4:$AA$138,0),1)/1000</f>
        <v>568.8931249888559</v>
      </c>
      <c r="R56" s="69">
        <f ca="1">+SUM(Q$5:Q56)</f>
        <v>22055.340757684891</v>
      </c>
      <c r="T56" s="232" t="str">
        <f ca="1">+INDEX(Charges_NonSlice!$C$4:$C$138,MATCH($A56,Charges_NonSlice!$AA$4:$AA$138,0),1)</f>
        <v>Peninsula Light Company</v>
      </c>
      <c r="U56" s="63">
        <f t="shared" ca="1" si="0"/>
        <v>1.3067221343641133E-3</v>
      </c>
      <c r="V56" s="86">
        <f ca="1">+INDEX(Charges_NonSlice!$Y$4:$Y$138,MATCH($A56,Charges_NonSlice!$AA$4:$AA$138,0),1)</f>
        <v>36.998518783835415</v>
      </c>
      <c r="W56" s="411">
        <f t="shared" ca="1" si="1"/>
        <v>36.950235093768427</v>
      </c>
      <c r="Y56" s="66" t="s">
        <v>42</v>
      </c>
      <c r="Z56" s="67">
        <v>35.086913064570794</v>
      </c>
    </row>
    <row r="57" spans="1:26">
      <c r="A57">
        <f t="shared" si="2"/>
        <v>53</v>
      </c>
      <c r="B57" s="71" t="str">
        <f ca="1">+INDEX('Charges_Including Slice and LS'!$C$4:$C$138,MATCH($A57,'Charges_Including Slice and LS'!$AA$4:$AA$138,0),1)</f>
        <v>Monmouth, City of</v>
      </c>
      <c r="C57" s="63">
        <f ca="1">+INDEX('Charges_Including Slice and LS'!$Z$4:$Z$138,MATCH($A57,'Charges_Including Slice and LS'!$AA$4:$AA$138,0),1)</f>
        <v>-6.5924106592136194E-3</v>
      </c>
      <c r="D57" s="60">
        <f ca="1">+INDEX('Charges_Including Slice and LS'!$Y$4:$Y$138,MATCH($A57,'Charges_Including Slice and LS'!$AA$4:$AA$138,0),1)</f>
        <v>36.471617434710907</v>
      </c>
      <c r="E57" s="69">
        <f ca="1">+INDEX('Charges_Including Slice and LS'!$X$4:$X$138,MATCH($A57,'Charges_Including Slice and LS'!$AA$4:$AA$138,0),1)/1000</f>
        <v>73.460591999999991</v>
      </c>
      <c r="F57" s="69">
        <f ca="1">+SUM(E$5:E57)</f>
        <v>23396.135325822917</v>
      </c>
      <c r="H57" s="232" t="str">
        <f ca="1">+INDEX(Charges_NonSlice!$C$4:$C$138,MATCH($A57,Charges_NonSlice!$AA$4:$AA$138,0),1)</f>
        <v>Monmouth, City of</v>
      </c>
      <c r="I57" s="63">
        <f ca="1">+INDEX(Charges_NonSlice!$Z$4:$Z$138,MATCH($A57,Charges_NonSlice!$AA$4:$AA$138,0),1)</f>
        <v>-6.5924106592074585E-3</v>
      </c>
      <c r="J57" s="86">
        <f ca="1">+INDEX(Charges_NonSlice!$Y$4:$Y$138,MATCH($A57,Charges_NonSlice!$AA$4:$AA$138,0),1)</f>
        <v>36.471617434710907</v>
      </c>
      <c r="K57" s="234">
        <f ca="1">+INDEX(Charges_NonSlice!$X$4:$X$138,MATCH($A57,Charges_NonSlice!$AA$4:$AA$138,0),1)/1000</f>
        <v>73.460591999999991</v>
      </c>
      <c r="L57" s="69">
        <f ca="1">+SUM(K$5:K57)</f>
        <v>21800.490963723485</v>
      </c>
      <c r="N57" s="232" t="str">
        <f ca="1">+INDEX('Charges_NonSlice &amp; Excl LS'!$C$4:$C$138,MATCH($A57,'Charges_NonSlice &amp; Excl LS'!$AA$4:$AA$138,0),1)</f>
        <v>Tacoma Public Utilities</v>
      </c>
      <c r="O57" s="63">
        <f ca="1">+INDEX('Charges_NonSlice &amp; Excl LS'!$Z$4:$Z$138,MATCH($A57,'Charges_NonSlice &amp; Excl LS'!$AA$4:$AA$138,0),1)</f>
        <v>-2.4590048983316019E-2</v>
      </c>
      <c r="P57" s="86">
        <f ca="1">+INDEX('Charges_NonSlice &amp; Excl LS'!$Y$4:$Y$138,MATCH($A57,'Charges_NonSlice &amp; Excl LS'!$AA$4:$AA$138,0),1)</f>
        <v>33.094703824253131</v>
      </c>
      <c r="Q57" s="234">
        <f ca="1">+INDEX('Charges_NonSlice &amp; Excl LS'!$X$4:$X$138,MATCH($A57,'Charges_NonSlice &amp; Excl LS'!$AA$4:$AA$138,0),1)/1000</f>
        <v>1402.9648625135517</v>
      </c>
      <c r="R57" s="69">
        <f ca="1">+SUM(Q$5:Q57)</f>
        <v>23458.305620198444</v>
      </c>
      <c r="T57" s="232" t="str">
        <f ca="1">+INDEX(Charges_NonSlice!$C$4:$C$138,MATCH($A57,Charges_NonSlice!$AA$4:$AA$138,0),1)</f>
        <v>Monmouth, City of</v>
      </c>
      <c r="U57" s="63">
        <f t="shared" ca="1" si="0"/>
        <v>-1.0626780120822743E-2</v>
      </c>
      <c r="V57" s="86">
        <f ca="1">+INDEX(Charges_NonSlice!$Y$4:$Y$138,MATCH($A57,Charges_NonSlice!$AA$4:$AA$138,0),1)</f>
        <v>36.471617434710907</v>
      </c>
      <c r="W57" s="411">
        <f t="shared" ca="1" si="1"/>
        <v>36.863356215731045</v>
      </c>
      <c r="Y57" s="66" t="s">
        <v>110</v>
      </c>
      <c r="Z57" s="67">
        <v>36.342590015210085</v>
      </c>
    </row>
    <row r="58" spans="1:26">
      <c r="A58">
        <f t="shared" si="2"/>
        <v>54</v>
      </c>
      <c r="B58" s="71" t="str">
        <f ca="1">+INDEX('Charges_Including Slice and LS'!$C$4:$C$138,MATCH($A58,'Charges_Including Slice and LS'!$AA$4:$AA$138,0),1)</f>
        <v>Coulee Dam, City of</v>
      </c>
      <c r="C58" s="63">
        <f ca="1">+INDEX('Charges_Including Slice and LS'!$Z$4:$Z$138,MATCH($A58,'Charges_Including Slice and LS'!$AA$4:$AA$138,0),1)</f>
        <v>-6.8977316379217621E-3</v>
      </c>
      <c r="D58" s="60">
        <f ca="1">+INDEX('Charges_Including Slice and LS'!$Y$4:$Y$138,MATCH($A58,'Charges_Including Slice and LS'!$AA$4:$AA$138,0),1)</f>
        <v>38.67685178511136</v>
      </c>
      <c r="E58" s="69">
        <f ca="1">+INDEX('Charges_Including Slice and LS'!$X$4:$X$138,MATCH($A58,'Charges_Including Slice and LS'!$AA$4:$AA$138,0),1)/1000</f>
        <v>17.752464</v>
      </c>
      <c r="F58" s="69">
        <f ca="1">+SUM(E$5:E58)</f>
        <v>23413.887789822918</v>
      </c>
      <c r="H58" s="232" t="str">
        <f ca="1">+INDEX(Charges_NonSlice!$C$4:$C$138,MATCH($A58,Charges_NonSlice!$AA$4:$AA$138,0),1)</f>
        <v>Coulee Dam, City of</v>
      </c>
      <c r="I58" s="63">
        <f ca="1">+INDEX(Charges_NonSlice!$Z$4:$Z$138,MATCH($A58,Charges_NonSlice!$AA$4:$AA$138,0),1)</f>
        <v>-6.8977316379223372E-3</v>
      </c>
      <c r="J58" s="86">
        <f ca="1">+INDEX(Charges_NonSlice!$Y$4:$Y$138,MATCH($A58,Charges_NonSlice!$AA$4:$AA$138,0),1)</f>
        <v>38.67685178511136</v>
      </c>
      <c r="K58" s="234">
        <f ca="1">+INDEX(Charges_NonSlice!$X$4:$X$138,MATCH($A58,Charges_NonSlice!$AA$4:$AA$138,0),1)/1000</f>
        <v>17.752464</v>
      </c>
      <c r="L58" s="69">
        <f ca="1">+SUM(K$5:K58)</f>
        <v>21818.243427723486</v>
      </c>
      <c r="N58" s="232" t="str">
        <f ca="1">+INDEX('Charges_NonSlice &amp; Excl LS'!$C$4:$C$138,MATCH($A58,'Charges_NonSlice &amp; Excl LS'!$AA$4:$AA$138,0),1)</f>
        <v>Consolidated Irrigation District #19</v>
      </c>
      <c r="O58" s="63">
        <f ca="1">+INDEX('Charges_NonSlice &amp; Excl LS'!$Z$4:$Z$138,MATCH($A58,'Charges_NonSlice &amp; Excl LS'!$AA$4:$AA$138,0),1)</f>
        <v>-2.4590048984465991E-2</v>
      </c>
      <c r="P58" s="86">
        <f ca="1">+INDEX('Charges_NonSlice &amp; Excl LS'!$Y$4:$Y$138,MATCH($A58,'Charges_NonSlice &amp; Excl LS'!$AA$4:$AA$138,0),1)</f>
        <v>33.094703824253109</v>
      </c>
      <c r="Q58" s="234">
        <f ca="1">+INDEX('Charges_NonSlice &amp; Excl LS'!$X$4:$X$138,MATCH($A58,'Charges_NonSlice &amp; Excl LS'!$AA$4:$AA$138,0),1)/1000</f>
        <v>2.0040405205680001</v>
      </c>
      <c r="R58" s="69">
        <f ca="1">+SUM(Q$5:Q58)</f>
        <v>23460.309660719013</v>
      </c>
      <c r="T58" s="232" t="str">
        <f ca="1">+INDEX(Charges_NonSlice!$C$4:$C$138,MATCH($A58,Charges_NonSlice!$AA$4:$AA$138,0),1)</f>
        <v>Coulee Dam, City of</v>
      </c>
      <c r="U58" s="63">
        <f t="shared" ca="1" si="0"/>
        <v>1.8124976788567171E-3</v>
      </c>
      <c r="V58" s="86">
        <f ca="1">+INDEX(Charges_NonSlice!$Y$4:$Y$138,MATCH($A58,Charges_NonSlice!$AA$4:$AA$138,0),1)</f>
        <v>38.67685178511136</v>
      </c>
      <c r="W58" s="411">
        <f t="shared" ca="1" si="1"/>
        <v>38.606876910323493</v>
      </c>
      <c r="Y58" s="66" t="s">
        <v>45</v>
      </c>
      <c r="Z58" s="67">
        <v>34.099639004788884</v>
      </c>
    </row>
    <row r="59" spans="1:26">
      <c r="A59">
        <f t="shared" si="2"/>
        <v>55</v>
      </c>
      <c r="B59" s="71" t="str">
        <f ca="1">+INDEX('Charges_Including Slice and LS'!$C$4:$C$138,MATCH($A59,'Charges_Including Slice and LS'!$AA$4:$AA$138,0),1)</f>
        <v>Lakeview L &amp; P (WA)</v>
      </c>
      <c r="C59" s="63">
        <f ca="1">+INDEX('Charges_Including Slice and LS'!$Z$4:$Z$138,MATCH($A59,'Charges_Including Slice and LS'!$AA$4:$AA$138,0),1)</f>
        <v>-6.9670305141516535E-3</v>
      </c>
      <c r="D59" s="60">
        <f ca="1">+INDEX('Charges_Including Slice and LS'!$Y$4:$Y$138,MATCH($A59,'Charges_Including Slice and LS'!$AA$4:$AA$138,0),1)</f>
        <v>36.075349902869341</v>
      </c>
      <c r="E59" s="69">
        <f ca="1">+INDEX('Charges_Including Slice and LS'!$X$4:$X$138,MATCH($A59,'Charges_Including Slice and LS'!$AA$4:$AA$138,0),1)/1000</f>
        <v>265.596845217431</v>
      </c>
      <c r="F59" s="69">
        <f ca="1">+SUM(E$5:E59)</f>
        <v>23679.48463504035</v>
      </c>
      <c r="H59" s="232" t="str">
        <f ca="1">+INDEX(Charges_NonSlice!$C$4:$C$138,MATCH($A59,Charges_NonSlice!$AA$4:$AA$138,0),1)</f>
        <v>Lakeview L &amp; P (WA)</v>
      </c>
      <c r="I59" s="63">
        <f ca="1">+INDEX(Charges_NonSlice!$Z$4:$Z$138,MATCH($A59,Charges_NonSlice!$AA$4:$AA$138,0),1)</f>
        <v>-6.9670305141558047E-3</v>
      </c>
      <c r="J59" s="86">
        <f ca="1">+INDEX(Charges_NonSlice!$Y$4:$Y$138,MATCH($A59,Charges_NonSlice!$AA$4:$AA$138,0),1)</f>
        <v>36.075349902869341</v>
      </c>
      <c r="K59" s="234">
        <f ca="1">+INDEX(Charges_NonSlice!$X$4:$X$138,MATCH($A59,Charges_NonSlice!$AA$4:$AA$138,0),1)/1000</f>
        <v>265.596845217431</v>
      </c>
      <c r="L59" s="69">
        <f ca="1">+SUM(K$5:K59)</f>
        <v>22083.840272940917</v>
      </c>
      <c r="N59" s="232" t="str">
        <f ca="1">+INDEX('Charges_NonSlice &amp; Excl LS'!$C$4:$C$138,MATCH($A59,'Charges_NonSlice &amp; Excl LS'!$AA$4:$AA$138,0),1)</f>
        <v>Clark County PUD #1</v>
      </c>
      <c r="O59" s="63">
        <f ca="1">+INDEX('Charges_NonSlice &amp; Excl LS'!$Z$4:$Z$138,MATCH($A59,'Charges_NonSlice &amp; Excl LS'!$AA$4:$AA$138,0),1)</f>
        <v>-2.4590048984939748E-2</v>
      </c>
      <c r="P59" s="86">
        <f ca="1">+INDEX('Charges_NonSlice &amp; Excl LS'!$Y$4:$Y$138,MATCH($A59,'Charges_NonSlice &amp; Excl LS'!$AA$4:$AA$138,0),1)</f>
        <v>33.094703824253116</v>
      </c>
      <c r="Q59" s="234">
        <f ca="1">+INDEX('Charges_NonSlice &amp; Excl LS'!$X$4:$X$138,MATCH($A59,'Charges_NonSlice &amp; Excl LS'!$AA$4:$AA$138,0),1)/1000</f>
        <v>1444.032182035656</v>
      </c>
      <c r="R59" s="69">
        <f ca="1">+SUM(Q$5:Q59)</f>
        <v>24904.341842754668</v>
      </c>
      <c r="T59" s="232" t="str">
        <f ca="1">+INDEX(Charges_NonSlice!$C$4:$C$138,MATCH($A59,Charges_NonSlice!$AA$4:$AA$138,0),1)</f>
        <v>Lakeview L &amp; P (WA)</v>
      </c>
      <c r="U59" s="63">
        <f t="shared" ca="1" si="0"/>
        <v>-6.2260062891522638E-3</v>
      </c>
      <c r="V59" s="86">
        <f ca="1">+INDEX(Charges_NonSlice!$Y$4:$Y$138,MATCH($A59,Charges_NonSlice!$AA$4:$AA$138,0),1)</f>
        <v>36.075349902869341</v>
      </c>
      <c r="W59" s="411">
        <f t="shared" ca="1" si="1"/>
        <v>36.301362413560966</v>
      </c>
      <c r="Y59" s="66" t="s">
        <v>51</v>
      </c>
      <c r="Z59" s="67">
        <v>25.933763566995239</v>
      </c>
    </row>
    <row r="60" spans="1:26">
      <c r="A60">
        <f t="shared" si="2"/>
        <v>56</v>
      </c>
      <c r="B60" s="71" t="str">
        <f ca="1">+INDEX('Charges_Including Slice and LS'!$C$4:$C$138,MATCH($A60,'Charges_Including Slice and LS'!$AA$4:$AA$138,0),1)</f>
        <v>Albion, City of</v>
      </c>
      <c r="C60" s="63">
        <f ca="1">+INDEX('Charges_Including Slice and LS'!$Z$4:$Z$138,MATCH($A60,'Charges_Including Slice and LS'!$AA$4:$AA$138,0),1)</f>
        <v>-7.0531339800170524E-3</v>
      </c>
      <c r="D60" s="60">
        <f ca="1">+INDEX('Charges_Including Slice and LS'!$Y$4:$Y$138,MATCH($A60,'Charges_Including Slice and LS'!$AA$4:$AA$138,0),1)</f>
        <v>36.867050336997927</v>
      </c>
      <c r="E60" s="69">
        <f ca="1">+INDEX('Charges_Including Slice and LS'!$X$4:$X$138,MATCH($A60,'Charges_Including Slice and LS'!$AA$4:$AA$138,0),1)/1000</f>
        <v>3.4308880157557597</v>
      </c>
      <c r="F60" s="69">
        <f ca="1">+SUM(E$5:E60)</f>
        <v>23682.915523056105</v>
      </c>
      <c r="H60" s="232" t="str">
        <f ca="1">+INDEX(Charges_NonSlice!$C$4:$C$138,MATCH($A60,Charges_NonSlice!$AA$4:$AA$138,0),1)</f>
        <v>Albion, City of</v>
      </c>
      <c r="I60" s="63">
        <f ca="1">+INDEX(Charges_NonSlice!$Z$4:$Z$138,MATCH($A60,Charges_NonSlice!$AA$4:$AA$138,0),1)</f>
        <v>-7.053133980018984E-3</v>
      </c>
      <c r="J60" s="86">
        <f ca="1">+INDEX(Charges_NonSlice!$Y$4:$Y$138,MATCH($A60,Charges_NonSlice!$AA$4:$AA$138,0),1)</f>
        <v>36.867050336997927</v>
      </c>
      <c r="K60" s="234">
        <f ca="1">+INDEX(Charges_NonSlice!$X$4:$X$138,MATCH($A60,Charges_NonSlice!$AA$4:$AA$138,0),1)/1000</f>
        <v>3.4308880157557597</v>
      </c>
      <c r="L60" s="69">
        <f ca="1">+SUM(K$5:K60)</f>
        <v>22087.271160956672</v>
      </c>
      <c r="N60" s="232" t="str">
        <f ca="1">+INDEX('Charges_NonSlice &amp; Excl LS'!$C$4:$C$138,MATCH($A60,'Charges_NonSlice &amp; Excl LS'!$AA$4:$AA$138,0),1)</f>
        <v>Clatskanie PUD</v>
      </c>
      <c r="O60" s="63">
        <f ca="1">+INDEX('Charges_NonSlice &amp; Excl LS'!$Z$4:$Z$138,MATCH($A60,'Charges_NonSlice &amp; Excl LS'!$AA$4:$AA$138,0),1)</f>
        <v>-2.4590048986033907E-2</v>
      </c>
      <c r="P60" s="86">
        <f ca="1">+INDEX('Charges_NonSlice &amp; Excl LS'!$Y$4:$Y$138,MATCH($A60,'Charges_NonSlice &amp; Excl LS'!$AA$4:$AA$138,0),1)</f>
        <v>33.094703824253124</v>
      </c>
      <c r="Q60" s="234">
        <f ca="1">+INDEX('Charges_NonSlice &amp; Excl LS'!$X$4:$X$138,MATCH($A60,'Charges_NonSlice &amp; Excl LS'!$AA$4:$AA$138,0),1)/1000</f>
        <v>286.86940405257599</v>
      </c>
      <c r="R60" s="69">
        <f ca="1">+SUM(Q$5:Q60)</f>
        <v>25191.211246807245</v>
      </c>
      <c r="T60" s="232" t="str">
        <f ca="1">+INDEX(Charges_NonSlice!$C$4:$C$138,MATCH($A60,Charges_NonSlice!$AA$4:$AA$138,0),1)</f>
        <v>Albion, City of</v>
      </c>
      <c r="U60" s="63">
        <f t="shared" ca="1" si="0"/>
        <v>-3.1272226018150162E-2</v>
      </c>
      <c r="V60" s="86">
        <f ca="1">+INDEX(Charges_NonSlice!$Y$4:$Y$138,MATCH($A60,Charges_NonSlice!$AA$4:$AA$138,0),1)</f>
        <v>36.867050336997927</v>
      </c>
      <c r="W60" s="411">
        <f t="shared" ca="1" si="1"/>
        <v>38.057183170727043</v>
      </c>
      <c r="Y60" s="66" t="s">
        <v>75</v>
      </c>
      <c r="Z60" s="67">
        <v>34.043888329384586</v>
      </c>
    </row>
    <row r="61" spans="1:26">
      <c r="A61">
        <f t="shared" si="2"/>
        <v>57</v>
      </c>
      <c r="B61" s="71" t="str">
        <f ca="1">+INDEX('Charges_Including Slice and LS'!$C$4:$C$138,MATCH($A61,'Charges_Including Slice and LS'!$AA$4:$AA$138,0),1)</f>
        <v>Milton, Town of</v>
      </c>
      <c r="C61" s="63">
        <f ca="1">+INDEX('Charges_Including Slice and LS'!$Z$4:$Z$138,MATCH($A61,'Charges_Including Slice and LS'!$AA$4:$AA$138,0),1)</f>
        <v>-7.0764685034405087E-3</v>
      </c>
      <c r="D61" s="60">
        <f ca="1">+INDEX('Charges_Including Slice and LS'!$Y$4:$Y$138,MATCH($A61,'Charges_Including Slice and LS'!$AA$4:$AA$138,0),1)</f>
        <v>36.242163214347507</v>
      </c>
      <c r="E61" s="69">
        <f ca="1">+INDEX('Charges_Including Slice and LS'!$X$4:$X$138,MATCH($A61,'Charges_Including Slice and LS'!$AA$4:$AA$138,0),1)/1000</f>
        <v>58.048338266056199</v>
      </c>
      <c r="F61" s="69">
        <f ca="1">+SUM(E$5:E61)</f>
        <v>23740.963861322161</v>
      </c>
      <c r="H61" s="232" t="str">
        <f ca="1">+INDEX(Charges_NonSlice!$C$4:$C$138,MATCH($A61,Charges_NonSlice!$AA$4:$AA$138,0),1)</f>
        <v>Milton, Town of</v>
      </c>
      <c r="I61" s="63">
        <f ca="1">+INDEX(Charges_NonSlice!$Z$4:$Z$138,MATCH($A61,Charges_NonSlice!$AA$4:$AA$138,0),1)</f>
        <v>-7.0764685034462533E-3</v>
      </c>
      <c r="J61" s="86">
        <f ca="1">+INDEX(Charges_NonSlice!$Y$4:$Y$138,MATCH($A61,Charges_NonSlice!$AA$4:$AA$138,0),1)</f>
        <v>36.242163214347507</v>
      </c>
      <c r="K61" s="234">
        <f ca="1">+INDEX(Charges_NonSlice!$X$4:$X$138,MATCH($A61,Charges_NonSlice!$AA$4:$AA$138,0),1)/1000</f>
        <v>58.048338266056199</v>
      </c>
      <c r="L61" s="69">
        <f ca="1">+SUM(K$5:K61)</f>
        <v>22145.319499222729</v>
      </c>
      <c r="N61" s="232" t="str">
        <f ca="1">+INDEX('Charges_NonSlice &amp; Excl LS'!$C$4:$C$138,MATCH($A61,'Charges_NonSlice &amp; Excl LS'!$AA$4:$AA$138,0),1)</f>
        <v>Burley, City of</v>
      </c>
      <c r="O61" s="63">
        <f ca="1">+INDEX('Charges_NonSlice &amp; Excl LS'!$Z$4:$Z$138,MATCH($A61,'Charges_NonSlice &amp; Excl LS'!$AA$4:$AA$138,0),1)</f>
        <v>-2.4628757956962514E-2</v>
      </c>
      <c r="P61" s="86">
        <f ca="1">+INDEX('Charges_NonSlice &amp; Excl LS'!$Y$4:$Y$138,MATCH($A61,'Charges_NonSlice &amp; Excl LS'!$AA$4:$AA$138,0),1)</f>
        <v>35.33358570132723</v>
      </c>
      <c r="Q61" s="234">
        <f ca="1">+INDEX('Charges_NonSlice &amp; Excl LS'!$X$4:$X$138,MATCH($A61,'Charges_NonSlice &amp; Excl LS'!$AA$4:$AA$138,0),1)/1000</f>
        <v>123.53699939637599</v>
      </c>
      <c r="R61" s="69">
        <f ca="1">+SUM(Q$5:Q61)</f>
        <v>25314.748246203621</v>
      </c>
      <c r="T61" s="232" t="str">
        <f ca="1">+INDEX(Charges_NonSlice!$C$4:$C$138,MATCH($A61,Charges_NonSlice!$AA$4:$AA$138,0),1)</f>
        <v>Milton, Town of</v>
      </c>
      <c r="U61" s="63">
        <f t="shared" ca="1" si="0"/>
        <v>-7.8796599663040201E-3</v>
      </c>
      <c r="V61" s="86">
        <f ca="1">+INDEX(Charges_NonSlice!$Y$4:$Y$138,MATCH($A61,Charges_NonSlice!$AA$4:$AA$138,0),1)</f>
        <v>36.242163214347507</v>
      </c>
      <c r="W61" s="411">
        <f t="shared" ca="1" si="1"/>
        <v>36.530007250044477</v>
      </c>
      <c r="Y61" s="66" t="s">
        <v>133</v>
      </c>
      <c r="Z61" s="67">
        <v>35.976781240329252</v>
      </c>
    </row>
    <row r="62" spans="1:26">
      <c r="A62">
        <f t="shared" si="2"/>
        <v>58</v>
      </c>
      <c r="B62" s="71" t="str">
        <f ca="1">+INDEX('Charges_Including Slice and LS'!$C$4:$C$138,MATCH($A62,'Charges_Including Slice and LS'!$AA$4:$AA$138,0),1)</f>
        <v>Klickitat County PUD #1</v>
      </c>
      <c r="C62" s="63">
        <f ca="1">+INDEX('Charges_Including Slice and LS'!$Z$4:$Z$138,MATCH($A62,'Charges_Including Slice and LS'!$AA$4:$AA$138,0),1)</f>
        <v>-7.7940425936068149E-3</v>
      </c>
      <c r="D62" s="60">
        <f ca="1">+INDEX('Charges_Including Slice and LS'!$Y$4:$Y$138,MATCH($A62,'Charges_Including Slice and LS'!$AA$4:$AA$138,0),1)</f>
        <v>31.755314447525461</v>
      </c>
      <c r="E62" s="69">
        <f ca="1">+INDEX('Charges_Including Slice and LS'!$X$4:$X$138,MATCH($A62,'Charges_Including Slice and LS'!$AA$4:$AA$138,0),1)/1000</f>
        <v>322.01265599999999</v>
      </c>
      <c r="F62" s="69">
        <f ca="1">+SUM(E$5:E62)</f>
        <v>24062.97651732216</v>
      </c>
      <c r="H62" s="232" t="str">
        <f ca="1">+INDEX(Charges_NonSlice!$C$4:$C$138,MATCH($A62,Charges_NonSlice!$AA$4:$AA$138,0),1)</f>
        <v>Klickitat County PUD #1</v>
      </c>
      <c r="I62" s="63">
        <f ca="1">+INDEX(Charges_NonSlice!$Z$4:$Z$138,MATCH($A62,Charges_NonSlice!$AA$4:$AA$138,0),1)</f>
        <v>-7.7940425936081038E-3</v>
      </c>
      <c r="J62" s="86">
        <f ca="1">+INDEX(Charges_NonSlice!$Y$4:$Y$138,MATCH($A62,Charges_NonSlice!$AA$4:$AA$138,0),1)</f>
        <v>31.755314447525461</v>
      </c>
      <c r="K62" s="234">
        <f ca="1">+INDEX(Charges_NonSlice!$X$4:$X$138,MATCH($A62,Charges_NonSlice!$AA$4:$AA$138,0),1)/1000</f>
        <v>322.01265599999999</v>
      </c>
      <c r="L62" s="69">
        <f ca="1">+SUM(K$5:K62)</f>
        <v>22467.332155222728</v>
      </c>
      <c r="N62" s="232" t="str">
        <f ca="1">+INDEX('Charges_NonSlice &amp; Excl LS'!$C$4:$C$138,MATCH($A62,'Charges_NonSlice &amp; Excl LS'!$AA$4:$AA$138,0),1)</f>
        <v>Eatonville, City of</v>
      </c>
      <c r="O62" s="63">
        <f ca="1">+INDEX('Charges_NonSlice &amp; Excl LS'!$Z$4:$Z$138,MATCH($A62,'Charges_NonSlice &amp; Excl LS'!$AA$4:$AA$138,0),1)</f>
        <v>-2.4659821767965249E-2</v>
      </c>
      <c r="P62" s="86">
        <f ca="1">+INDEX('Charges_NonSlice &amp; Excl LS'!$Y$4:$Y$138,MATCH($A62,'Charges_NonSlice &amp; Excl LS'!$AA$4:$AA$138,0),1)</f>
        <v>36.07675511918724</v>
      </c>
      <c r="Q62" s="234">
        <f ca="1">+INDEX('Charges_NonSlice &amp; Excl LS'!$X$4:$X$138,MATCH($A62,'Charges_NonSlice &amp; Excl LS'!$AA$4:$AA$138,0),1)/1000</f>
        <v>28.608764211575995</v>
      </c>
      <c r="R62" s="69">
        <f ca="1">+SUM(Q$5:Q62)</f>
        <v>25343.357010415195</v>
      </c>
      <c r="T62" s="232" t="str">
        <f ca="1">+INDEX(Charges_NonSlice!$C$4:$C$138,MATCH($A62,Charges_NonSlice!$AA$4:$AA$138,0),1)</f>
        <v>Klickitat County PUD #1</v>
      </c>
      <c r="U62" s="63">
        <f t="shared" ca="1" si="0"/>
        <v>1.8253260449212938E-2</v>
      </c>
      <c r="V62" s="86">
        <f ca="1">+INDEX(Charges_NonSlice!$Y$4:$Y$138,MATCH($A62,Charges_NonSlice!$AA$4:$AA$138,0),1)</f>
        <v>31.755314447525461</v>
      </c>
      <c r="W62" s="411">
        <f t="shared" ca="1" si="1"/>
        <v>31.186067043395745</v>
      </c>
      <c r="Y62" s="66" t="s">
        <v>114</v>
      </c>
      <c r="Z62" s="67">
        <v>35.506781943251355</v>
      </c>
    </row>
    <row r="63" spans="1:26">
      <c r="A63">
        <f t="shared" si="2"/>
        <v>59</v>
      </c>
      <c r="B63" s="71" t="str">
        <f ca="1">+INDEX('Charges_Including Slice and LS'!$C$4:$C$138,MATCH($A63,'Charges_Including Slice and LS'!$AA$4:$AA$138,0),1)</f>
        <v>Oregon Trail Coop</v>
      </c>
      <c r="C63" s="63">
        <f ca="1">+INDEX('Charges_Including Slice and LS'!$Z$4:$Z$138,MATCH($A63,'Charges_Including Slice and LS'!$AA$4:$AA$138,0),1)</f>
        <v>-7.8722650940143413E-3</v>
      </c>
      <c r="D63" s="60">
        <f ca="1">+INDEX('Charges_Including Slice and LS'!$Y$4:$Y$138,MATCH($A63,'Charges_Including Slice and LS'!$AA$4:$AA$138,0),1)</f>
        <v>33.889205394709229</v>
      </c>
      <c r="E63" s="69">
        <f ca="1">+INDEX('Charges_Including Slice and LS'!$X$4:$X$138,MATCH($A63,'Charges_Including Slice and LS'!$AA$4:$AA$138,0),1)/1000</f>
        <v>686.76545214799501</v>
      </c>
      <c r="F63" s="69">
        <f ca="1">+SUM(E$5:E63)</f>
        <v>24749.741969470157</v>
      </c>
      <c r="H63" s="232" t="str">
        <f ca="1">+INDEX(Charges_NonSlice!$C$4:$C$138,MATCH($A63,Charges_NonSlice!$AA$4:$AA$138,0),1)</f>
        <v>Oregon Trail Coop</v>
      </c>
      <c r="I63" s="63">
        <f ca="1">+INDEX(Charges_NonSlice!$Z$4:$Z$138,MATCH($A63,Charges_NonSlice!$AA$4:$AA$138,0),1)</f>
        <v>-7.8722650940116646E-3</v>
      </c>
      <c r="J63" s="86">
        <f ca="1">+INDEX(Charges_NonSlice!$Y$4:$Y$138,MATCH($A63,Charges_NonSlice!$AA$4:$AA$138,0),1)</f>
        <v>33.889205394709229</v>
      </c>
      <c r="K63" s="234">
        <f ca="1">+INDEX(Charges_NonSlice!$X$4:$X$138,MATCH($A63,Charges_NonSlice!$AA$4:$AA$138,0),1)/1000</f>
        <v>686.76545214799501</v>
      </c>
      <c r="L63" s="69">
        <f ca="1">+SUM(K$5:K63)</f>
        <v>23154.097607370724</v>
      </c>
      <c r="N63" s="232" t="str">
        <f ca="1">+INDEX('Charges_NonSlice &amp; Excl LS'!$C$4:$C$138,MATCH($A63,'Charges_NonSlice &amp; Excl LS'!$AA$4:$AA$138,0),1)</f>
        <v>Richland, City of</v>
      </c>
      <c r="O63" s="63">
        <f ca="1">+INDEX('Charges_NonSlice &amp; Excl LS'!$Z$4:$Z$138,MATCH($A63,'Charges_NonSlice &amp; Excl LS'!$AA$4:$AA$138,0),1)</f>
        <v>-2.4669134857168921E-2</v>
      </c>
      <c r="P63" s="86">
        <f ca="1">+INDEX('Charges_NonSlice &amp; Excl LS'!$Y$4:$Y$138,MATCH($A63,'Charges_NonSlice &amp; Excl LS'!$AA$4:$AA$138,0),1)</f>
        <v>34.945913012958208</v>
      </c>
      <c r="Q63" s="234">
        <f ca="1">+INDEX('Charges_NonSlice &amp; Excl LS'!$X$4:$X$138,MATCH($A63,'Charges_NonSlice &amp; Excl LS'!$AA$4:$AA$138,0),1)/1000</f>
        <v>915.40600125263995</v>
      </c>
      <c r="R63" s="69">
        <f ca="1">+SUM(Q$5:Q63)</f>
        <v>26258.763011667834</v>
      </c>
      <c r="T63" s="232" t="str">
        <f ca="1">+INDEX(Charges_NonSlice!$C$4:$C$138,MATCH($A63,Charges_NonSlice!$AA$4:$AA$138,0),1)</f>
        <v>Oregon Trail Coop</v>
      </c>
      <c r="U63" s="63">
        <f t="shared" ca="1" si="0"/>
        <v>-7.7996860366095211E-3</v>
      </c>
      <c r="V63" s="86">
        <f ca="1">+INDEX(Charges_NonSlice!$Y$4:$Y$138,MATCH($A63,Charges_NonSlice!$AA$4:$AA$138,0),1)</f>
        <v>33.889205394709229</v>
      </c>
      <c r="W63" s="411">
        <f t="shared" ca="1" si="1"/>
        <v>34.155608416749253</v>
      </c>
      <c r="Y63" s="66" t="s">
        <v>109</v>
      </c>
      <c r="Z63" s="67">
        <v>30.303728919238587</v>
      </c>
    </row>
    <row r="64" spans="1:26">
      <c r="A64">
        <f t="shared" si="2"/>
        <v>60</v>
      </c>
      <c r="B64" s="71" t="str">
        <f ca="1">+INDEX('Charges_Including Slice and LS'!$C$4:$C$138,MATCH($A64,'Charges_Including Slice and LS'!$AA$4:$AA$138,0),1)</f>
        <v>McMinnville, City of</v>
      </c>
      <c r="C64" s="63">
        <f ca="1">+INDEX('Charges_Including Slice and LS'!$Z$4:$Z$138,MATCH($A64,'Charges_Including Slice and LS'!$AA$4:$AA$138,0),1)</f>
        <v>-7.8843246660192032E-3</v>
      </c>
      <c r="D64" s="60">
        <f ca="1">+INDEX('Charges_Including Slice and LS'!$Y$4:$Y$138,MATCH($A64,'Charges_Including Slice and LS'!$AA$4:$AA$138,0),1)</f>
        <v>37.313450199241338</v>
      </c>
      <c r="E64" s="69">
        <f ca="1">+INDEX('Charges_Including Slice and LS'!$X$4:$X$138,MATCH($A64,'Charges_Including Slice and LS'!$AA$4:$AA$138,0),1)/1000</f>
        <v>718.2920822925272</v>
      </c>
      <c r="F64" s="69">
        <f ca="1">+SUM(E$5:E64)</f>
        <v>25468.034051762683</v>
      </c>
      <c r="H64" s="232" t="str">
        <f ca="1">+INDEX(Charges_NonSlice!$C$4:$C$138,MATCH($A64,Charges_NonSlice!$AA$4:$AA$138,0),1)</f>
        <v>McMinnville, City of</v>
      </c>
      <c r="I64" s="63">
        <f ca="1">+INDEX(Charges_NonSlice!$Z$4:$Z$138,MATCH($A64,Charges_NonSlice!$AA$4:$AA$138,0),1)</f>
        <v>-7.8843246660244594E-3</v>
      </c>
      <c r="J64" s="86">
        <f ca="1">+INDEX(Charges_NonSlice!$Y$4:$Y$138,MATCH($A64,Charges_NonSlice!$AA$4:$AA$138,0),1)</f>
        <v>37.313450199241338</v>
      </c>
      <c r="K64" s="234">
        <f ca="1">+INDEX(Charges_NonSlice!$X$4:$X$138,MATCH($A64,Charges_NonSlice!$AA$4:$AA$138,0),1)/1000</f>
        <v>718.2920822925272</v>
      </c>
      <c r="L64" s="69">
        <f ca="1">+SUM(K$5:K64)</f>
        <v>23872.38968966325</v>
      </c>
      <c r="N64" s="232" t="str">
        <f ca="1">+INDEX('Charges_NonSlice &amp; Excl LS'!$C$4:$C$138,MATCH($A64,'Charges_NonSlice &amp; Excl LS'!$AA$4:$AA$138,0),1)</f>
        <v>Minidoka, City of</v>
      </c>
      <c r="O64" s="63">
        <f ca="1">+INDEX('Charges_NonSlice &amp; Excl LS'!$Z$4:$Z$138,MATCH($A64,'Charges_NonSlice &amp; Excl LS'!$AA$4:$AA$138,0),1)</f>
        <v>-2.4679701799058214E-2</v>
      </c>
      <c r="P64" s="86">
        <f ca="1">+INDEX('Charges_NonSlice &amp; Excl LS'!$Y$4:$Y$138,MATCH($A64,'Charges_NonSlice &amp; Excl LS'!$AA$4:$AA$138,0),1)</f>
        <v>35.210585920393349</v>
      </c>
      <c r="Q64" s="234">
        <f ca="1">+INDEX('Charges_NonSlice &amp; Excl LS'!$X$4:$X$138,MATCH($A64,'Charges_NonSlice &amp; Excl LS'!$AA$4:$AA$138,0),1)/1000</f>
        <v>0.86862437423999994</v>
      </c>
      <c r="R64" s="69">
        <f ca="1">+SUM(Q$5:Q64)</f>
        <v>26259.631636042075</v>
      </c>
      <c r="T64" s="232" t="str">
        <f ca="1">+INDEX(Charges_NonSlice!$C$4:$C$138,MATCH($A64,Charges_NonSlice!$AA$4:$AA$138,0),1)</f>
        <v>McMinnville, City of</v>
      </c>
      <c r="U64" s="63">
        <f t="shared" ca="1" si="0"/>
        <v>-7.8969297345551359E-3</v>
      </c>
      <c r="V64" s="86">
        <f ca="1">+INDEX(Charges_NonSlice!$Y$4:$Y$138,MATCH($A64,Charges_NonSlice!$AA$4:$AA$138,0),1)</f>
        <v>37.313450199241338</v>
      </c>
      <c r="W64" s="411">
        <f t="shared" ca="1" si="1"/>
        <v>37.610457338124995</v>
      </c>
      <c r="Y64" s="66" t="s">
        <v>124</v>
      </c>
      <c r="Z64" s="67">
        <v>35.819379959470062</v>
      </c>
    </row>
    <row r="65" spans="1:26">
      <c r="A65">
        <f t="shared" si="2"/>
        <v>61</v>
      </c>
      <c r="B65" s="71" t="str">
        <f ca="1">+INDEX('Charges_Including Slice and LS'!$C$4:$C$138,MATCH($A65,'Charges_Including Slice and LS'!$AA$4:$AA$138,0),1)</f>
        <v>Farmers Elec Coop</v>
      </c>
      <c r="C65" s="63">
        <f ca="1">+INDEX('Charges_Including Slice and LS'!$Z$4:$Z$138,MATCH($A65,'Charges_Including Slice and LS'!$AA$4:$AA$138,0),1)</f>
        <v>-7.9412448334083788E-3</v>
      </c>
      <c r="D65" s="60">
        <f ca="1">+INDEX('Charges_Including Slice and LS'!$Y$4:$Y$138,MATCH($A65,'Charges_Including Slice and LS'!$AA$4:$AA$138,0),1)</f>
        <v>35.442862038405906</v>
      </c>
      <c r="E65" s="69">
        <f ca="1">+INDEX('Charges_Including Slice and LS'!$X$4:$X$138,MATCH($A65,'Charges_Including Slice and LS'!$AA$4:$AA$138,0),1)/1000</f>
        <v>4.3548500199648794</v>
      </c>
      <c r="F65" s="69">
        <f ca="1">+SUM(E$5:E65)</f>
        <v>25472.388901782648</v>
      </c>
      <c r="H65" s="232" t="str">
        <f ca="1">+INDEX(Charges_NonSlice!$C$4:$C$138,MATCH($A65,Charges_NonSlice!$AA$4:$AA$138,0),1)</f>
        <v>Farmers Elec Coop</v>
      </c>
      <c r="I65" s="63">
        <f ca="1">+INDEX(Charges_NonSlice!$Z$4:$Z$138,MATCH($A65,Charges_NonSlice!$AA$4:$AA$138,0),1)</f>
        <v>-7.9412448334121102E-3</v>
      </c>
      <c r="J65" s="86">
        <f ca="1">+INDEX(Charges_NonSlice!$Y$4:$Y$138,MATCH($A65,Charges_NonSlice!$AA$4:$AA$138,0),1)</f>
        <v>35.442862038405906</v>
      </c>
      <c r="K65" s="234">
        <f ca="1">+INDEX(Charges_NonSlice!$X$4:$X$138,MATCH($A65,Charges_NonSlice!$AA$4:$AA$138,0),1)/1000</f>
        <v>4.3548500199648794</v>
      </c>
      <c r="L65" s="69">
        <f ca="1">+SUM(K$5:K65)</f>
        <v>23876.744539683215</v>
      </c>
      <c r="N65" s="232" t="str">
        <f ca="1">+INDEX('Charges_NonSlice &amp; Excl LS'!$C$4:$C$138,MATCH($A65,'Charges_NonSlice &amp; Excl LS'!$AA$4:$AA$138,0),1)</f>
        <v>Centralia, City of</v>
      </c>
      <c r="O65" s="63">
        <f ca="1">+INDEX('Charges_NonSlice &amp; Excl LS'!$Z$4:$Z$138,MATCH($A65,'Charges_NonSlice &amp; Excl LS'!$AA$4:$AA$138,0),1)</f>
        <v>-2.4995844789557041E-2</v>
      </c>
      <c r="P65" s="86">
        <f ca="1">+INDEX('Charges_NonSlice &amp; Excl LS'!$Y$4:$Y$138,MATCH($A65,'Charges_NonSlice &amp; Excl LS'!$AA$4:$AA$138,0),1)</f>
        <v>34.792107031043898</v>
      </c>
      <c r="Q65" s="234">
        <f ca="1">+INDEX('Charges_NonSlice &amp; Excl LS'!$X$4:$X$138,MATCH($A65,'Charges_NonSlice &amp; Excl LS'!$AA$4:$AA$138,0),1)/1000</f>
        <v>214.07247703144799</v>
      </c>
      <c r="R65" s="69">
        <f ca="1">+SUM(Q$5:Q65)</f>
        <v>26473.704113073523</v>
      </c>
      <c r="T65" s="232" t="str">
        <f ca="1">+INDEX(Charges_NonSlice!$C$4:$C$138,MATCH($A65,Charges_NonSlice!$AA$4:$AA$138,0),1)</f>
        <v>Farmers Elec Coop</v>
      </c>
      <c r="U65" s="63">
        <f t="shared" ca="1" si="0"/>
        <v>-3.3038193566844676E-2</v>
      </c>
      <c r="V65" s="86">
        <f ca="1">+INDEX(Charges_NonSlice!$Y$4:$Y$138,MATCH($A65,Charges_NonSlice!$AA$4:$AA$138,0),1)</f>
        <v>35.442862038405906</v>
      </c>
      <c r="W65" s="411">
        <f t="shared" ca="1" si="1"/>
        <v>36.653838654852827</v>
      </c>
      <c r="Y65" s="66" t="s">
        <v>84</v>
      </c>
      <c r="Z65" s="67">
        <v>26.997944942499391</v>
      </c>
    </row>
    <row r="66" spans="1:26">
      <c r="A66">
        <f t="shared" si="2"/>
        <v>62</v>
      </c>
      <c r="B66" s="71" t="str">
        <f ca="1">+INDEX('Charges_Including Slice and LS'!$C$4:$C$138,MATCH($A66,'Charges_Including Slice and LS'!$AA$4:$AA$138,0),1)</f>
        <v>Steilacoom, Town of</v>
      </c>
      <c r="C66" s="63">
        <f ca="1">+INDEX('Charges_Including Slice and LS'!$Z$4:$Z$138,MATCH($A66,'Charges_Including Slice and LS'!$AA$4:$AA$138,0),1)</f>
        <v>-8.9667673116878358E-3</v>
      </c>
      <c r="D66" s="60">
        <f ca="1">+INDEX('Charges_Including Slice and LS'!$Y$4:$Y$138,MATCH($A66,'Charges_Including Slice and LS'!$AA$4:$AA$138,0),1)</f>
        <v>36.436568395670989</v>
      </c>
      <c r="E66" s="69">
        <f ca="1">+INDEX('Charges_Including Slice and LS'!$X$4:$X$138,MATCH($A66,'Charges_Including Slice and LS'!$AA$4:$AA$138,0),1)/1000</f>
        <v>40.316224184803126</v>
      </c>
      <c r="F66" s="69">
        <f ca="1">+SUM(E$5:E66)</f>
        <v>25512.705125967452</v>
      </c>
      <c r="H66" s="232" t="str">
        <f ca="1">+INDEX(Charges_NonSlice!$C$4:$C$138,MATCH($A66,Charges_NonSlice!$AA$4:$AA$138,0),1)</f>
        <v>Steilacoom, Town of</v>
      </c>
      <c r="I66" s="63">
        <f ca="1">+INDEX(Charges_NonSlice!$Z$4:$Z$138,MATCH($A66,Charges_NonSlice!$AA$4:$AA$138,0),1)</f>
        <v>-8.9667673116848243E-3</v>
      </c>
      <c r="J66" s="86">
        <f ca="1">+INDEX(Charges_NonSlice!$Y$4:$Y$138,MATCH($A66,Charges_NonSlice!$AA$4:$AA$138,0),1)</f>
        <v>36.436568395670989</v>
      </c>
      <c r="K66" s="234">
        <f ca="1">+INDEX(Charges_NonSlice!$X$4:$X$138,MATCH($A66,Charges_NonSlice!$AA$4:$AA$138,0),1)/1000</f>
        <v>40.316224184803126</v>
      </c>
      <c r="L66" s="69">
        <f ca="1">+SUM(K$5:K66)</f>
        <v>23917.060763868019</v>
      </c>
      <c r="N66" s="232" t="str">
        <f ca="1">+INDEX('Charges_NonSlice &amp; Excl LS'!$C$4:$C$138,MATCH($A66,'Charges_NonSlice &amp; Excl LS'!$AA$4:$AA$138,0),1)</f>
        <v>Ashland, City of</v>
      </c>
      <c r="O66" s="63">
        <f ca="1">+INDEX('Charges_NonSlice &amp; Excl LS'!$Z$4:$Z$138,MATCH($A66,'Charges_NonSlice &amp; Excl LS'!$AA$4:$AA$138,0),1)</f>
        <v>-2.500436627190614E-2</v>
      </c>
      <c r="P66" s="86">
        <f ca="1">+INDEX('Charges_NonSlice &amp; Excl LS'!$Y$4:$Y$138,MATCH($A66,'Charges_NonSlice &amp; Excl LS'!$AA$4:$AA$138,0),1)</f>
        <v>33.781049443729025</v>
      </c>
      <c r="Q66" s="234">
        <f ca="1">+INDEX('Charges_NonSlice &amp; Excl LS'!$X$4:$X$138,MATCH($A66,'Charges_NonSlice &amp; Excl LS'!$AA$4:$AA$138,0),1)/1000</f>
        <v>175.629644011512</v>
      </c>
      <c r="R66" s="69">
        <f ca="1">+SUM(Q$5:Q66)</f>
        <v>26649.333757085034</v>
      </c>
      <c r="T66" s="232" t="str">
        <f ca="1">+INDEX(Charges_NonSlice!$C$4:$C$138,MATCH($A66,Charges_NonSlice!$AA$4:$AA$138,0),1)</f>
        <v>Steilacoom, Town of</v>
      </c>
      <c r="U66" s="63">
        <f t="shared" ca="1" si="0"/>
        <v>-1.009992401356008E-2</v>
      </c>
      <c r="V66" s="86">
        <f ca="1">+INDEX(Charges_NonSlice!$Y$4:$Y$138,MATCH($A66,Charges_NonSlice!$AA$4:$AA$138,0),1)</f>
        <v>36.436568395670989</v>
      </c>
      <c r="W66" s="411">
        <f t="shared" ca="1" si="1"/>
        <v>36.808329728999951</v>
      </c>
      <c r="Y66" s="66" t="s">
        <v>50</v>
      </c>
      <c r="Z66" s="67">
        <v>36.057519962015419</v>
      </c>
    </row>
    <row r="67" spans="1:26">
      <c r="A67">
        <f t="shared" si="2"/>
        <v>63</v>
      </c>
      <c r="B67" s="71" t="str">
        <f ca="1">+INDEX('Charges_Including Slice and LS'!$C$4:$C$138,MATCH($A67,'Charges_Including Slice and LS'!$AA$4:$AA$138,0),1)</f>
        <v>Columbia River PUD</v>
      </c>
      <c r="C67" s="63">
        <f ca="1">+INDEX('Charges_Including Slice and LS'!$Z$4:$Z$138,MATCH($A67,'Charges_Including Slice and LS'!$AA$4:$AA$138,0),1)</f>
        <v>-9.033342449295283E-3</v>
      </c>
      <c r="D67" s="60">
        <f ca="1">+INDEX('Charges_Including Slice and LS'!$Y$4:$Y$138,MATCH($A67,'Charges_Including Slice and LS'!$AA$4:$AA$138,0),1)</f>
        <v>35.858940454466143</v>
      </c>
      <c r="E67" s="69">
        <f ca="1">+INDEX('Charges_Including Slice and LS'!$X$4:$X$138,MATCH($A67,'Charges_Including Slice and LS'!$AA$4:$AA$138,0),1)/1000</f>
        <v>511.66800000000001</v>
      </c>
      <c r="F67" s="69">
        <f ca="1">+SUM(E$5:E67)</f>
        <v>26024.373125967453</v>
      </c>
      <c r="H67" s="232" t="str">
        <f ca="1">+INDEX(Charges_NonSlice!$C$4:$C$138,MATCH($A67,Charges_NonSlice!$AA$4:$AA$138,0),1)</f>
        <v>Columbia River PUD</v>
      </c>
      <c r="I67" s="63">
        <f ca="1">+INDEX(Charges_NonSlice!$Z$4:$Z$138,MATCH($A67,Charges_NonSlice!$AA$4:$AA$138,0),1)</f>
        <v>-9.0333424493000882E-3</v>
      </c>
      <c r="J67" s="86">
        <f ca="1">+INDEX(Charges_NonSlice!$Y$4:$Y$138,MATCH($A67,Charges_NonSlice!$AA$4:$AA$138,0),1)</f>
        <v>35.858940454466143</v>
      </c>
      <c r="K67" s="234">
        <f ca="1">+INDEX(Charges_NonSlice!$X$4:$X$138,MATCH($A67,Charges_NonSlice!$AA$4:$AA$138,0),1)/1000</f>
        <v>511.66800000000001</v>
      </c>
      <c r="L67" s="69">
        <f ca="1">+SUM(K$5:K67)</f>
        <v>24428.728763868021</v>
      </c>
      <c r="N67" s="232" t="str">
        <f ca="1">+INDEX('Charges_NonSlice &amp; Excl LS'!$C$4:$C$138,MATCH($A67,'Charges_NonSlice &amp; Excl LS'!$AA$4:$AA$138,0),1)</f>
        <v>McMinnville, City of</v>
      </c>
      <c r="O67" s="63">
        <f ca="1">+INDEX('Charges_NonSlice &amp; Excl LS'!$Z$4:$Z$138,MATCH($A67,'Charges_NonSlice &amp; Excl LS'!$AA$4:$AA$138,0),1)</f>
        <v>-2.5082408903881616E-2</v>
      </c>
      <c r="P67" s="86">
        <f ca="1">+INDEX('Charges_NonSlice &amp; Excl LS'!$Y$4:$Y$138,MATCH($A67,'Charges_NonSlice &amp; Excl LS'!$AA$4:$AA$138,0),1)</f>
        <v>36.384453599375853</v>
      </c>
      <c r="Q67" s="234">
        <f ca="1">+INDEX('Charges_NonSlice &amp; Excl LS'!$X$4:$X$138,MATCH($A67,'Charges_NonSlice &amp; Excl LS'!$AA$4:$AA$138,0),1)/1000</f>
        <v>718.29651735813604</v>
      </c>
      <c r="R67" s="69">
        <f ca="1">+SUM(Q$5:Q67)</f>
        <v>27367.63027444317</v>
      </c>
      <c r="T67" s="232" t="str">
        <f ca="1">+INDEX(Charges_NonSlice!$C$4:$C$138,MATCH($A67,Charges_NonSlice!$AA$4:$AA$138,0),1)</f>
        <v>Columbia River PUD</v>
      </c>
      <c r="U67" s="63">
        <f t="shared" ca="1" si="0"/>
        <v>-5.507297999376215E-3</v>
      </c>
      <c r="V67" s="86">
        <f ca="1">+INDEX(Charges_NonSlice!$Y$4:$Y$138,MATCH($A67,Charges_NonSlice!$AA$4:$AA$138,0),1)</f>
        <v>35.858940454466143</v>
      </c>
      <c r="W67" s="411">
        <f t="shared" ca="1" si="1"/>
        <v>36.057519962015419</v>
      </c>
      <c r="Y67" s="66" t="s">
        <v>46</v>
      </c>
      <c r="Z67" s="67">
        <v>33.813846094925573</v>
      </c>
    </row>
    <row r="68" spans="1:26">
      <c r="A68">
        <f t="shared" si="2"/>
        <v>64</v>
      </c>
      <c r="B68" s="71" t="str">
        <f ca="1">+INDEX('Charges_Including Slice and LS'!$C$4:$C$138,MATCH($A68,'Charges_Including Slice and LS'!$AA$4:$AA$138,0),1)</f>
        <v>Modern Elec Coop</v>
      </c>
      <c r="C68" s="63">
        <f ca="1">+INDEX('Charges_Including Slice and LS'!$Z$4:$Z$138,MATCH($A68,'Charges_Including Slice and LS'!$AA$4:$AA$138,0),1)</f>
        <v>-9.3081076591661413E-3</v>
      </c>
      <c r="D68" s="60">
        <f ca="1">+INDEX('Charges_Including Slice and LS'!$Y$4:$Y$138,MATCH($A68,'Charges_Including Slice and LS'!$AA$4:$AA$138,0),1)</f>
        <v>37.18809078475666</v>
      </c>
      <c r="E68" s="69">
        <f ca="1">+INDEX('Charges_Including Slice and LS'!$X$4:$X$138,MATCH($A68,'Charges_Including Slice and LS'!$AA$4:$AA$138,0),1)/1000</f>
        <v>230.88744</v>
      </c>
      <c r="F68" s="69">
        <f ca="1">+SUM(E$5:E68)</f>
        <v>26255.260565967452</v>
      </c>
      <c r="H68" s="232" t="str">
        <f ca="1">+INDEX(Charges_NonSlice!$C$4:$C$138,MATCH($A68,Charges_NonSlice!$AA$4:$AA$138,0),1)</f>
        <v>Modern Elec Coop</v>
      </c>
      <c r="I68" s="63">
        <f ca="1">+INDEX(Charges_NonSlice!$Z$4:$Z$138,MATCH($A68,Charges_NonSlice!$AA$4:$AA$138,0),1)</f>
        <v>-9.3081076591579014E-3</v>
      </c>
      <c r="J68" s="86">
        <f ca="1">+INDEX(Charges_NonSlice!$Y$4:$Y$138,MATCH($A68,Charges_NonSlice!$AA$4:$AA$138,0),1)</f>
        <v>37.18809078475666</v>
      </c>
      <c r="K68" s="234">
        <f ca="1">+INDEX(Charges_NonSlice!$X$4:$X$138,MATCH($A68,Charges_NonSlice!$AA$4:$AA$138,0),1)/1000</f>
        <v>230.88744</v>
      </c>
      <c r="L68" s="69">
        <f ca="1">+SUM(K$5:K68)</f>
        <v>24659.61620386802</v>
      </c>
      <c r="N68" s="232" t="str">
        <f ca="1">+INDEX('Charges_NonSlice &amp; Excl LS'!$C$4:$C$138,MATCH($A68,'Charges_NonSlice &amp; Excl LS'!$AA$4:$AA$138,0),1)</f>
        <v>Cascade Locks, City of</v>
      </c>
      <c r="O68" s="63">
        <f ca="1">+INDEX('Charges_NonSlice &amp; Excl LS'!$Z$4:$Z$138,MATCH($A68,'Charges_NonSlice &amp; Excl LS'!$AA$4:$AA$138,0),1)</f>
        <v>-2.5121293218982155E-2</v>
      </c>
      <c r="P68" s="86">
        <f ca="1">+INDEX('Charges_NonSlice &amp; Excl LS'!$Y$4:$Y$138,MATCH($A68,'Charges_NonSlice &amp; Excl LS'!$AA$4:$AA$138,0),1)</f>
        <v>30.982768101994409</v>
      </c>
      <c r="Q68" s="234">
        <f ca="1">+INDEX('Charges_NonSlice &amp; Excl LS'!$X$4:$X$138,MATCH($A68,'Charges_NonSlice &amp; Excl LS'!$AA$4:$AA$138,0),1)/1000</f>
        <v>20.890416200472</v>
      </c>
      <c r="R68" s="69">
        <f ca="1">+SUM(Q$5:Q68)</f>
        <v>27388.520690643643</v>
      </c>
      <c r="T68" s="232" t="str">
        <f ca="1">+INDEX(Charges_NonSlice!$C$4:$C$138,MATCH($A68,Charges_NonSlice!$AA$4:$AA$138,0),1)</f>
        <v>Modern Elec Coop</v>
      </c>
      <c r="U68" s="63">
        <f t="shared" ca="1" si="0"/>
        <v>-4.8053947194093283E-4</v>
      </c>
      <c r="V68" s="86">
        <f ca="1">+INDEX(Charges_NonSlice!$Y$4:$Y$138,MATCH($A68,Charges_NonSlice!$AA$4:$AA$138,0),1)</f>
        <v>37.18809078475666</v>
      </c>
      <c r="W68" s="411">
        <f t="shared" ca="1" si="1"/>
        <v>37.205969721799825</v>
      </c>
      <c r="Y68" s="66" t="s">
        <v>87</v>
      </c>
      <c r="Z68" s="67">
        <v>34.733496982293502</v>
      </c>
    </row>
    <row r="69" spans="1:26">
      <c r="A69">
        <f t="shared" si="2"/>
        <v>65</v>
      </c>
      <c r="B69" s="71" t="str">
        <f ca="1">+INDEX('Charges_Including Slice and LS'!$C$4:$C$138,MATCH($A69,'Charges_Including Slice and LS'!$AA$4:$AA$138,0),1)</f>
        <v>Clatskanie PUD</v>
      </c>
      <c r="C69" s="63">
        <f ca="1">+INDEX('Charges_Including Slice and LS'!$Z$4:$Z$138,MATCH($A69,'Charges_Including Slice and LS'!$AA$4:$AA$138,0),1)</f>
        <v>-9.3390641119000303E-3</v>
      </c>
      <c r="D69" s="60">
        <f ca="1">+INDEX('Charges_Including Slice and LS'!$Y$4:$Y$138,MATCH($A69,'Charges_Including Slice and LS'!$AA$4:$AA$138,0),1)</f>
        <v>37.426881125191301</v>
      </c>
      <c r="E69" s="69">
        <f ca="1">+INDEX('Charges_Including Slice and LS'!$X$4:$X$138,MATCH($A69,'Charges_Including Slice and LS'!$AA$4:$AA$138,0),1)/1000</f>
        <v>736.80984408710128</v>
      </c>
      <c r="F69" s="69">
        <f ca="1">+SUM(E$5:E69)</f>
        <v>26992.070410054552</v>
      </c>
      <c r="H69" s="232" t="str">
        <f ca="1">+INDEX(Charges_NonSlice!$C$4:$C$138,MATCH($A69,Charges_NonSlice!$AA$4:$AA$138,0),1)</f>
        <v>McCleary, City of</v>
      </c>
      <c r="I69" s="63">
        <f ca="1">+INDEX(Charges_NonSlice!$Z$4:$Z$138,MATCH($A69,Charges_NonSlice!$AA$4:$AA$138,0),1)</f>
        <v>-9.4554475727519557E-3</v>
      </c>
      <c r="J69" s="86">
        <f ca="1">+INDEX(Charges_NonSlice!$Y$4:$Y$138,MATCH($A69,Charges_NonSlice!$AA$4:$AA$138,0),1)</f>
        <v>38.550179644658783</v>
      </c>
      <c r="K69" s="234">
        <f ca="1">+INDEX(Charges_NonSlice!$X$4:$X$138,MATCH($A69,Charges_NonSlice!$AA$4:$AA$138,0),1)/1000</f>
        <v>32.658912000000001</v>
      </c>
      <c r="L69" s="69">
        <f ca="1">+SUM(K$5:K69)</f>
        <v>24692.275115868018</v>
      </c>
      <c r="N69" s="232" t="str">
        <f ca="1">+INDEX('Charges_NonSlice &amp; Excl LS'!$C$4:$C$138,MATCH($A69,'Charges_NonSlice &amp; Excl LS'!$AA$4:$AA$138,0),1)</f>
        <v>PNGC Aggregate</v>
      </c>
      <c r="O69" s="63">
        <f ca="1">+INDEX('Charges_NonSlice &amp; Excl LS'!$Z$4:$Z$138,MATCH($A69,'Charges_NonSlice &amp; Excl LS'!$AA$4:$AA$138,0),1)</f>
        <v>-2.5138087065043325E-2</v>
      </c>
      <c r="P69" s="86">
        <f ca="1">+INDEX('Charges_NonSlice &amp; Excl LS'!$Y$4:$Y$138,MATCH($A69,'Charges_NonSlice &amp; Excl LS'!$AA$4:$AA$138,0),1)</f>
        <v>33.100760410140964</v>
      </c>
      <c r="Q69" s="234">
        <f ca="1">+INDEX('Charges_NonSlice &amp; Excl LS'!$X$4:$X$138,MATCH($A69,'Charges_NonSlice &amp; Excl LS'!$AA$4:$AA$138,0),1)/1000</f>
        <v>5253.886936510271</v>
      </c>
      <c r="R69" s="69">
        <f ca="1">+SUM(Q$5:Q69)</f>
        <v>32642.407627153916</v>
      </c>
      <c r="T69" s="232" t="str">
        <f ca="1">+INDEX(Charges_NonSlice!$C$4:$C$138,MATCH($A69,Charges_NonSlice!$AA$4:$AA$138,0),1)</f>
        <v>McCleary, City of</v>
      </c>
      <c r="U69" s="63">
        <f t="shared" ca="1" si="0"/>
        <v>6.7430635332306199E-3</v>
      </c>
      <c r="V69" s="86">
        <f ca="1">+INDEX(Charges_NonSlice!$Y$4:$Y$138,MATCH($A69,Charges_NonSlice!$AA$4:$AA$138,0),1)</f>
        <v>38.550179644658783</v>
      </c>
      <c r="W69" s="411">
        <f t="shared" ca="1" si="1"/>
        <v>38.291974428276077</v>
      </c>
      <c r="Y69" s="66" t="s">
        <v>9</v>
      </c>
      <c r="Z69" s="67">
        <v>29.468837317342551</v>
      </c>
    </row>
    <row r="70" spans="1:26">
      <c r="A70">
        <f t="shared" si="2"/>
        <v>66</v>
      </c>
      <c r="B70" s="71" t="str">
        <f ca="1">+INDEX('Charges_Including Slice and LS'!$C$4:$C$138,MATCH($A70,'Charges_Including Slice and LS'!$AA$4:$AA$138,0),1)</f>
        <v>McCleary, City of</v>
      </c>
      <c r="C70" s="63">
        <f ca="1">+INDEX('Charges_Including Slice and LS'!$Z$4:$Z$138,MATCH($A70,'Charges_Including Slice and LS'!$AA$4:$AA$138,0),1)</f>
        <v>-9.4554475727457246E-3</v>
      </c>
      <c r="D70" s="60">
        <f ca="1">+INDEX('Charges_Including Slice and LS'!$Y$4:$Y$138,MATCH($A70,'Charges_Including Slice and LS'!$AA$4:$AA$138,0),1)</f>
        <v>38.550179644658783</v>
      </c>
      <c r="E70" s="69">
        <f ca="1">+INDEX('Charges_Including Slice and LS'!$X$4:$X$138,MATCH($A70,'Charges_Including Slice and LS'!$AA$4:$AA$138,0),1)/1000</f>
        <v>32.658912000000001</v>
      </c>
      <c r="F70" s="69">
        <f ca="1">+SUM(E$5:E70)</f>
        <v>27024.729322054551</v>
      </c>
      <c r="H70" s="232" t="str">
        <f ca="1">+INDEX(Charges_NonSlice!$C$4:$C$138,MATCH($A70,Charges_NonSlice!$AA$4:$AA$138,0),1)</f>
        <v>Benton County PUD #1</v>
      </c>
      <c r="I70" s="63">
        <f ca="1">+INDEX(Charges_NonSlice!$Z$4:$Z$138,MATCH($A70,Charges_NonSlice!$AA$4:$AA$138,0),1)</f>
        <v>-9.5813993963878505E-3</v>
      </c>
      <c r="J70" s="86">
        <f ca="1">+INDEX(Charges_NonSlice!$Y$4:$Y$138,MATCH($A70,Charges_NonSlice!$AA$4:$AA$138,0),1)</f>
        <v>33.393397875617829</v>
      </c>
      <c r="K70" s="234">
        <f ca="1">+INDEX(Charges_NonSlice!$X$4:$X$138,MATCH($A70,Charges_NonSlice!$AA$4:$AA$138,0),1)/1000</f>
        <v>1711.9078910899855</v>
      </c>
      <c r="L70" s="69">
        <f ca="1">+SUM(K$5:K70)</f>
        <v>26404.183006958003</v>
      </c>
      <c r="N70" s="232" t="str">
        <f ca="1">+INDEX('Charges_NonSlice &amp; Excl LS'!$C$4:$C$138,MATCH($A70,'Charges_NonSlice &amp; Excl LS'!$AA$4:$AA$138,0),1)</f>
        <v>Sumas, Town of</v>
      </c>
      <c r="O70" s="63">
        <f ca="1">+INDEX('Charges_NonSlice &amp; Excl LS'!$Z$4:$Z$138,MATCH($A70,'Charges_NonSlice &amp; Excl LS'!$AA$4:$AA$138,0),1)</f>
        <v>-2.5189012621107048E-2</v>
      </c>
      <c r="P70" s="86">
        <f ca="1">+INDEX('Charges_NonSlice &amp; Excl LS'!$Y$4:$Y$138,MATCH($A70,'Charges_NonSlice &amp; Excl LS'!$AA$4:$AA$138,0),1)</f>
        <v>34.120715348112832</v>
      </c>
      <c r="Q70" s="234">
        <f ca="1">+INDEX('Charges_NonSlice &amp; Excl LS'!$X$4:$X$138,MATCH($A70,'Charges_NonSlice &amp; Excl LS'!$AA$4:$AA$138,0),1)/1000</f>
        <v>32.002603730927994</v>
      </c>
      <c r="R70" s="69">
        <f ca="1">+SUM(Q$5:Q70)</f>
        <v>32674.410230884845</v>
      </c>
      <c r="T70" s="232" t="str">
        <f ca="1">+INDEX(Charges_NonSlice!$C$4:$C$138,MATCH($A70,Charges_NonSlice!$AA$4:$AA$138,0),1)</f>
        <v>Benton County PUD #1</v>
      </c>
      <c r="U70" s="63">
        <f t="shared" ref="U70:U122" ca="1" si="3">IFERROR(+V70/W70-1,"")</f>
        <v>0.13317663387980549</v>
      </c>
      <c r="V70" s="86">
        <f ca="1">+INDEX(Charges_NonSlice!$Y$4:$Y$138,MATCH($A70,Charges_NonSlice!$AA$4:$AA$138,0),1)</f>
        <v>33.393397875617829</v>
      </c>
      <c r="W70" s="411">
        <f t="shared" ref="W70:W77" ca="1" si="4">IFERROR(+VLOOKUP(T70,Y:Z,2,FALSE), " ")</f>
        <v>29.468837317342551</v>
      </c>
      <c r="Y70" s="66" t="s">
        <v>24</v>
      </c>
      <c r="Z70" s="67">
        <v>39.303884165559381</v>
      </c>
    </row>
    <row r="71" spans="1:26">
      <c r="A71">
        <f t="shared" ref="A71:A123" si="5">+A70+1</f>
        <v>67</v>
      </c>
      <c r="B71" s="71" t="str">
        <f ca="1">+INDEX('Charges_Including Slice and LS'!$C$4:$C$138,MATCH($A71,'Charges_Including Slice and LS'!$AA$4:$AA$138,0),1)</f>
        <v>Benton County PUD #1</v>
      </c>
      <c r="C71" s="63">
        <f ca="1">+INDEX('Charges_Including Slice and LS'!$Z$4:$Z$138,MATCH($A71,'Charges_Including Slice and LS'!$AA$4:$AA$138,0),1)</f>
        <v>-9.5813993963851617E-3</v>
      </c>
      <c r="D71" s="60">
        <f ca="1">+INDEX('Charges_Including Slice and LS'!$Y$4:$Y$138,MATCH($A71,'Charges_Including Slice and LS'!$AA$4:$AA$138,0),1)</f>
        <v>33.393397875617829</v>
      </c>
      <c r="E71" s="69">
        <f ca="1">+INDEX('Charges_Including Slice and LS'!$X$4:$X$138,MATCH($A71,'Charges_Including Slice and LS'!$AA$4:$AA$138,0),1)/1000</f>
        <v>1711.9078910899855</v>
      </c>
      <c r="F71" s="69">
        <f ca="1">+SUM(E$5:E71)</f>
        <v>28736.637213144535</v>
      </c>
      <c r="H71" s="232" t="str">
        <f ca="1">+INDEX(Charges_NonSlice!$C$4:$C$138,MATCH($A71,Charges_NonSlice!$AA$4:$AA$138,0),1)</f>
        <v>Inland P &amp; L</v>
      </c>
      <c r="I71" s="63">
        <f ca="1">+INDEX(Charges_NonSlice!$Z$4:$Z$138,MATCH($A71,Charges_NonSlice!$AA$4:$AA$138,0),1)</f>
        <v>-1.0529069170865504E-2</v>
      </c>
      <c r="J71" s="86">
        <f ca="1">+INDEX(Charges_NonSlice!$Y$4:$Y$138,MATCH($A71,Charges_NonSlice!$AA$4:$AA$138,0),1)</f>
        <v>33.451751826339148</v>
      </c>
      <c r="K71" s="234">
        <f ca="1">+INDEX(Charges_NonSlice!$X$4:$X$138,MATCH($A71,Charges_NonSlice!$AA$4:$AA$138,0),1)/1000</f>
        <v>921.34975322331161</v>
      </c>
      <c r="L71" s="69">
        <f ca="1">+SUM(K$5:K71)</f>
        <v>27325.532760181315</v>
      </c>
      <c r="N71" s="232" t="str">
        <f ca="1">+INDEX('Charges_NonSlice &amp; Excl LS'!$C$4:$C$138,MATCH($A71,'Charges_NonSlice &amp; Excl LS'!$AA$4:$AA$138,0),1)</f>
        <v>Clallam County PUD #1</v>
      </c>
      <c r="O71" s="63">
        <f ca="1">+INDEX('Charges_NonSlice &amp; Excl LS'!$Z$4:$Z$138,MATCH($A71,'Charges_NonSlice &amp; Excl LS'!$AA$4:$AA$138,0),1)</f>
        <v>-2.5218386757870626E-2</v>
      </c>
      <c r="P71" s="86">
        <f ca="1">+INDEX('Charges_NonSlice &amp; Excl LS'!$Y$4:$Y$138,MATCH($A71,'Charges_NonSlice &amp; Excl LS'!$AA$4:$AA$138,0),1)</f>
        <v>33.60044714936398</v>
      </c>
      <c r="Q71" s="234">
        <f ca="1">+INDEX('Charges_NonSlice &amp; Excl LS'!$X$4:$X$138,MATCH($A71,'Charges_NonSlice &amp; Excl LS'!$AA$4:$AA$138,0),1)/1000</f>
        <v>667.82944121479193</v>
      </c>
      <c r="R71" s="69">
        <f ca="1">+SUM(Q$5:Q71)</f>
        <v>33342.23967209964</v>
      </c>
      <c r="T71" s="232" t="str">
        <f ca="1">+INDEX(Charges_NonSlice!$C$4:$C$138,MATCH($A71,Charges_NonSlice!$AA$4:$AA$138,0),1)</f>
        <v>Inland P &amp; L</v>
      </c>
      <c r="U71" s="63">
        <f t="shared" ca="1" si="3"/>
        <v>-4.8055772966232979E-2</v>
      </c>
      <c r="V71" s="86">
        <f ca="1">+INDEX(Charges_NonSlice!$Y$4:$Y$138,MATCH($A71,Charges_NonSlice!$AA$4:$AA$138,0),1)</f>
        <v>33.451751826339148</v>
      </c>
      <c r="W71" s="411">
        <f t="shared" ca="1" si="4"/>
        <v>35.140453480740064</v>
      </c>
      <c r="Y71" s="66" t="s">
        <v>122</v>
      </c>
      <c r="Z71" s="67">
        <v>31.814749633776739</v>
      </c>
    </row>
    <row r="72" spans="1:26">
      <c r="A72">
        <f t="shared" si="5"/>
        <v>68</v>
      </c>
      <c r="B72" s="71" t="str">
        <f ca="1">+INDEX('Charges_Including Slice and LS'!$C$4:$C$138,MATCH($A72,'Charges_Including Slice and LS'!$AA$4:$AA$138,0),1)</f>
        <v>Emerald PUD</v>
      </c>
      <c r="C72" s="63">
        <f ca="1">+INDEX('Charges_Including Slice and LS'!$Z$4:$Z$138,MATCH($A72,'Charges_Including Slice and LS'!$AA$4:$AA$138,0),1)</f>
        <v>-1.0087597204826167E-2</v>
      </c>
      <c r="D72" s="60">
        <f ca="1">+INDEX('Charges_Including Slice and LS'!$Y$4:$Y$138,MATCH($A72,'Charges_Including Slice and LS'!$AA$4:$AA$138,0),1)</f>
        <v>34.828491298890725</v>
      </c>
      <c r="E72" s="69">
        <f ca="1">+INDEX('Charges_Including Slice and LS'!$X$4:$X$138,MATCH($A72,'Charges_Including Slice and LS'!$AA$4:$AA$138,0),1)/1000</f>
        <v>438.8310712271682</v>
      </c>
      <c r="F72" s="69">
        <f ca="1">+SUM(E$5:E72)</f>
        <v>29175.468284371702</v>
      </c>
      <c r="H72" s="232" t="str">
        <f ca="1">+INDEX(Charges_NonSlice!$C$4:$C$138,MATCH($A72,Charges_NonSlice!$AA$4:$AA$138,0),1)</f>
        <v>Emerald PUD</v>
      </c>
      <c r="I72" s="63">
        <f ca="1">+INDEX(Charges_NonSlice!$Z$4:$Z$138,MATCH($A72,Charges_NonSlice!$AA$4:$AA$138,0),1)</f>
        <v>-1.0613265541155546E-2</v>
      </c>
      <c r="J72" s="86">
        <f ca="1">+INDEX(Charges_NonSlice!$Y$4:$Y$138,MATCH($A72,Charges_NonSlice!$AA$4:$AA$138,0),1)</f>
        <v>31.515101177899179</v>
      </c>
      <c r="K72" s="234">
        <f ca="1">+INDEX(Charges_NonSlice!$X$4:$X$138,MATCH($A72,Charges_NonSlice!$AA$4:$AA$138,0),1)/1000</f>
        <v>209.43978291001619</v>
      </c>
      <c r="L72" s="69">
        <f ca="1">+SUM(K$5:K72)</f>
        <v>27534.972543091331</v>
      </c>
      <c r="N72" s="232" t="str">
        <f ca="1">+INDEX('Charges_NonSlice &amp; Excl LS'!$C$4:$C$138,MATCH($A72,'Charges_NonSlice &amp; Excl LS'!$AA$4:$AA$138,0),1)</f>
        <v>Whatcom County PUD #1</v>
      </c>
      <c r="O72" s="63">
        <f ca="1">+INDEX('Charges_NonSlice &amp; Excl LS'!$Z$4:$Z$138,MATCH($A72,'Charges_NonSlice &amp; Excl LS'!$AA$4:$AA$138,0),1)</f>
        <v>-2.5332000378345008E-2</v>
      </c>
      <c r="P72" s="86">
        <f ca="1">+INDEX('Charges_NonSlice &amp; Excl LS'!$Y$4:$Y$138,MATCH($A72,'Charges_NonSlice &amp; Excl LS'!$AA$4:$AA$138,0),1)</f>
        <v>34.715666130354904</v>
      </c>
      <c r="Q72" s="234">
        <f ca="1">+INDEX('Charges_NonSlice &amp; Excl LS'!$X$4:$X$138,MATCH($A72,'Charges_NonSlice &amp; Excl LS'!$AA$4:$AA$138,0),1)/1000</f>
        <v>230.508091084032</v>
      </c>
      <c r="R72" s="69">
        <f ca="1">+SUM(Q$5:Q72)</f>
        <v>33572.747763183674</v>
      </c>
      <c r="T72" s="232" t="str">
        <f ca="1">+INDEX(Charges_NonSlice!$C$4:$C$138,MATCH($A72,Charges_NonSlice!$AA$4:$AA$138,0),1)</f>
        <v>Emerald PUD</v>
      </c>
      <c r="U72" s="63">
        <f t="shared" ca="1" si="3"/>
        <v>-1.8584594043830616E-2</v>
      </c>
      <c r="V72" s="86">
        <f ca="1">+INDEX(Charges_NonSlice!$Y$4:$Y$138,MATCH($A72,Charges_NonSlice!$AA$4:$AA$138,0),1)</f>
        <v>31.515101177899179</v>
      </c>
      <c r="W72" s="411">
        <f t="shared" ca="1" si="4"/>
        <v>32.111887572413615</v>
      </c>
      <c r="Y72" s="66" t="s">
        <v>82</v>
      </c>
      <c r="Z72" s="67">
        <v>32.167025021058265</v>
      </c>
    </row>
    <row r="73" spans="1:26">
      <c r="A73">
        <f t="shared" si="5"/>
        <v>69</v>
      </c>
      <c r="B73" s="71" t="str">
        <f ca="1">+INDEX('Charges_Including Slice and LS'!$C$4:$C$138,MATCH($A73,'Charges_Including Slice and LS'!$AA$4:$AA$138,0),1)</f>
        <v>Inland P &amp; L</v>
      </c>
      <c r="C73" s="63">
        <f ca="1">+INDEX('Charges_Including Slice and LS'!$Z$4:$Z$138,MATCH($A73,'Charges_Including Slice and LS'!$AA$4:$AA$138,0),1)</f>
        <v>-1.0529069170863747E-2</v>
      </c>
      <c r="D73" s="60">
        <f ca="1">+INDEX('Charges_Including Slice and LS'!$Y$4:$Y$138,MATCH($A73,'Charges_Including Slice and LS'!$AA$4:$AA$138,0),1)</f>
        <v>33.451751826339148</v>
      </c>
      <c r="E73" s="69">
        <f ca="1">+INDEX('Charges_Including Slice and LS'!$X$4:$X$138,MATCH($A73,'Charges_Including Slice and LS'!$AA$4:$AA$138,0),1)/1000</f>
        <v>921.34975322331161</v>
      </c>
      <c r="F73" s="69">
        <f ca="1">+SUM(E$5:E73)</f>
        <v>30096.818037595014</v>
      </c>
      <c r="H73" s="232" t="str">
        <f ca="1">+INDEX(Charges_NonSlice!$C$4:$C$138,MATCH($A73,Charges_NonSlice!$AA$4:$AA$138,0),1)</f>
        <v>Glacier Elec  Coop</v>
      </c>
      <c r="I73" s="63">
        <f ca="1">+INDEX(Charges_NonSlice!$Z$4:$Z$138,MATCH($A73,Charges_NonSlice!$AA$4:$AA$138,0),1)</f>
        <v>-1.0832469620949409E-2</v>
      </c>
      <c r="J73" s="86">
        <f ca="1">+INDEX(Charges_NonSlice!$Y$4:$Y$138,MATCH($A73,Charges_NonSlice!$AA$4:$AA$138,0),1)</f>
        <v>33.285101506513151</v>
      </c>
      <c r="K73" s="234">
        <f ca="1">+INDEX(Charges_NonSlice!$X$4:$X$138,MATCH($A73,Charges_NonSlice!$AA$4:$AA$138,0),1)/1000</f>
        <v>155.01209571054494</v>
      </c>
      <c r="L73" s="69">
        <f ca="1">+SUM(K$5:K73)</f>
        <v>27689.984638801878</v>
      </c>
      <c r="N73" s="232" t="str">
        <f ca="1">+INDEX('Charges_NonSlice &amp; Excl LS'!$C$4:$C$138,MATCH($A73,'Charges_NonSlice &amp; Excl LS'!$AA$4:$AA$138,0),1)</f>
        <v>Mission Valley</v>
      </c>
      <c r="O73" s="63">
        <f ca="1">+INDEX('Charges_NonSlice &amp; Excl LS'!$Z$4:$Z$138,MATCH($A73,'Charges_NonSlice &amp; Excl LS'!$AA$4:$AA$138,0),1)</f>
        <v>-2.5332509700109238E-2</v>
      </c>
      <c r="P73" s="86">
        <f ca="1">+INDEX('Charges_NonSlice &amp; Excl LS'!$Y$4:$Y$138,MATCH($A73,'Charges_NonSlice &amp; Excl LS'!$AA$4:$AA$138,0),1)</f>
        <v>32.88971096848789</v>
      </c>
      <c r="Q73" s="234">
        <f ca="1">+INDEX('Charges_NonSlice &amp; Excl LS'!$X$4:$X$138,MATCH($A73,'Charges_NonSlice &amp; Excl LS'!$AA$4:$AA$138,0),1)/1000</f>
        <v>333.37183037349592</v>
      </c>
      <c r="R73" s="69">
        <f ca="1">+SUM(Q$5:Q73)</f>
        <v>33906.119593557167</v>
      </c>
      <c r="T73" s="232" t="str">
        <f ca="1">+INDEX(Charges_NonSlice!$C$4:$C$138,MATCH($A73,Charges_NonSlice!$AA$4:$AA$138,0),1)</f>
        <v>Glacier Elec  Coop</v>
      </c>
      <c r="U73" s="63">
        <f t="shared" ca="1" si="3"/>
        <v>-1.6971909953345188E-2</v>
      </c>
      <c r="V73" s="86">
        <f ca="1">+INDEX(Charges_NonSlice!$Y$4:$Y$138,MATCH($A73,Charges_NonSlice!$AA$4:$AA$138,0),1)</f>
        <v>33.285101506513151</v>
      </c>
      <c r="W73" s="411">
        <f t="shared" ca="1" si="4"/>
        <v>33.859766413117889</v>
      </c>
      <c r="Y73" s="66" t="s">
        <v>62</v>
      </c>
      <c r="Z73" s="67">
        <v>34.218774620923227</v>
      </c>
    </row>
    <row r="74" spans="1:26">
      <c r="A74">
        <f t="shared" si="5"/>
        <v>70</v>
      </c>
      <c r="B74" s="71" t="str">
        <f ca="1">+INDEX('Charges_Including Slice and LS'!$C$4:$C$138,MATCH($A74,'Charges_Including Slice and LS'!$AA$4:$AA$138,0),1)</f>
        <v>Snohomish County PUD #1</v>
      </c>
      <c r="C74" s="63">
        <f ca="1">+INDEX('Charges_Including Slice and LS'!$Z$4:$Z$138,MATCH($A74,'Charges_Including Slice and LS'!$AA$4:$AA$138,0),1)</f>
        <v>-1.0752591260343031E-2</v>
      </c>
      <c r="D74" s="60">
        <f ca="1">+INDEX('Charges_Including Slice and LS'!$Y$4:$Y$138,MATCH($A74,'Charges_Including Slice and LS'!$AA$4:$AA$138,0),1)</f>
        <v>36.920275014476992</v>
      </c>
      <c r="E74" s="69">
        <f ca="1">+INDEX('Charges_Including Slice and LS'!$X$4:$X$138,MATCH($A74,'Charges_Including Slice and LS'!$AA$4:$AA$138,0),1)/1000</f>
        <v>6495.6378856254823</v>
      </c>
      <c r="F74" s="69">
        <f ca="1">+SUM(E$5:E74)</f>
        <v>36592.455923220499</v>
      </c>
      <c r="H74" s="232" t="str">
        <f ca="1">+INDEX(Charges_NonSlice!$C$4:$C$138,MATCH($A74,Charges_NonSlice!$AA$4:$AA$138,0),1)</f>
        <v>Soda Springs, City of</v>
      </c>
      <c r="I74" s="63">
        <f ca="1">+INDEX(Charges_NonSlice!$Z$4:$Z$138,MATCH($A74,Charges_NonSlice!$AA$4:$AA$138,0),1)</f>
        <v>-1.122679776115581E-2</v>
      </c>
      <c r="J74" s="86">
        <f ca="1">+INDEX(Charges_NonSlice!$Y$4:$Y$138,MATCH($A74,Charges_NonSlice!$AA$4:$AA$138,0),1)</f>
        <v>36.133586332438526</v>
      </c>
      <c r="K74" s="234">
        <f ca="1">+INDEX(Charges_NonSlice!$X$4:$X$138,MATCH($A74,Charges_NonSlice!$AA$4:$AA$138,0),1)/1000</f>
        <v>26.640231122092917</v>
      </c>
      <c r="L74" s="69">
        <f ca="1">+SUM(K$5:K74)</f>
        <v>27716.62486992397</v>
      </c>
      <c r="N74" s="232" t="str">
        <f ca="1">+INDEX('Charges_NonSlice &amp; Excl LS'!$C$4:$C$138,MATCH($A74,'Charges_NonSlice &amp; Excl LS'!$AA$4:$AA$138,0),1)</f>
        <v>Bonners Ferry, City of</v>
      </c>
      <c r="O74" s="63">
        <f ca="1">+INDEX('Charges_NonSlice &amp; Excl LS'!$Z$4:$Z$138,MATCH($A74,'Charges_NonSlice &amp; Excl LS'!$AA$4:$AA$138,0),1)</f>
        <v>-2.5357413361640487E-2</v>
      </c>
      <c r="P74" s="86">
        <f ca="1">+INDEX('Charges_NonSlice &amp; Excl LS'!$Y$4:$Y$138,MATCH($A74,'Charges_NonSlice &amp; Excl LS'!$AA$4:$AA$138,0),1)</f>
        <v>34.937419614820143</v>
      </c>
      <c r="Q74" s="234">
        <f ca="1">+INDEX('Charges_NonSlice &amp; Excl LS'!$X$4:$X$138,MATCH($A74,'Charges_NonSlice &amp; Excl LS'!$AA$4:$AA$138,0),1)/1000</f>
        <v>46.731991334111996</v>
      </c>
      <c r="R74" s="69">
        <f ca="1">+SUM(Q$5:Q74)</f>
        <v>33952.851584891279</v>
      </c>
      <c r="T74" s="232" t="str">
        <f ca="1">+INDEX(Charges_NonSlice!$C$4:$C$138,MATCH($A74,Charges_NonSlice!$AA$4:$AA$138,0),1)</f>
        <v>Soda Springs, City of</v>
      </c>
      <c r="U74" s="63">
        <f t="shared" ca="1" si="3"/>
        <v>-1.1948654211133447E-2</v>
      </c>
      <c r="V74" s="86">
        <f ca="1">+INDEX(Charges_NonSlice!$Y$4:$Y$138,MATCH($A74,Charges_NonSlice!$AA$4:$AA$138,0),1)</f>
        <v>36.133586332438526</v>
      </c>
      <c r="W74" s="411">
        <f t="shared" ca="1" si="4"/>
        <v>36.570555251447217</v>
      </c>
      <c r="Y74" s="66" t="s">
        <v>134</v>
      </c>
      <c r="Z74" s="67">
        <v>35.006787289355159</v>
      </c>
    </row>
    <row r="75" spans="1:26">
      <c r="A75">
        <f t="shared" si="5"/>
        <v>71</v>
      </c>
      <c r="B75" s="71" t="str">
        <f ca="1">+INDEX('Charges_Including Slice and LS'!$C$4:$C$138,MATCH($A75,'Charges_Including Slice and LS'!$AA$4:$AA$138,0),1)</f>
        <v>Glacier Elec  Coop</v>
      </c>
      <c r="C75" s="63">
        <f ca="1">+INDEX('Charges_Including Slice and LS'!$Z$4:$Z$138,MATCH($A75,'Charges_Including Slice and LS'!$AA$4:$AA$138,0),1)</f>
        <v>-1.083246962094685E-2</v>
      </c>
      <c r="D75" s="60">
        <f ca="1">+INDEX('Charges_Including Slice and LS'!$Y$4:$Y$138,MATCH($A75,'Charges_Including Slice and LS'!$AA$4:$AA$138,0),1)</f>
        <v>33.285101506513151</v>
      </c>
      <c r="E75" s="69">
        <f ca="1">+INDEX('Charges_Including Slice and LS'!$X$4:$X$138,MATCH($A75,'Charges_Including Slice and LS'!$AA$4:$AA$138,0),1)/1000</f>
        <v>155.01209571054494</v>
      </c>
      <c r="F75" s="69">
        <f ca="1">+SUM(E$5:E75)</f>
        <v>36747.468018931046</v>
      </c>
      <c r="H75" s="232" t="str">
        <f ca="1">+INDEX(Charges_NonSlice!$C$4:$C$138,MATCH($A75,Charges_NonSlice!$AA$4:$AA$138,0),1)</f>
        <v>Parkland L &amp; W</v>
      </c>
      <c r="I75" s="63">
        <f ca="1">+INDEX(Charges_NonSlice!$Z$4:$Z$138,MATCH($A75,Charges_NonSlice!$AA$4:$AA$138,0),1)</f>
        <v>-1.1328230266540281E-2</v>
      </c>
      <c r="J75" s="86">
        <f ca="1">+INDEX(Charges_NonSlice!$Y$4:$Y$138,MATCH($A75,Charges_NonSlice!$AA$4:$AA$138,0),1)</f>
        <v>35.777009057374208</v>
      </c>
      <c r="K75" s="234">
        <f ca="1">+INDEX(Charges_NonSlice!$X$4:$X$138,MATCH($A75,Charges_NonSlice!$AA$4:$AA$138,0),1)/1000</f>
        <v>117.82883054010404</v>
      </c>
      <c r="L75" s="69">
        <f ca="1">+SUM(K$5:K75)</f>
        <v>27834.453700464073</v>
      </c>
      <c r="N75" s="232" t="str">
        <f ca="1">+INDEX('Charges_NonSlice &amp; Excl LS'!$C$4:$C$138,MATCH($A75,'Charges_NonSlice &amp; Excl LS'!$AA$4:$AA$138,0),1)</f>
        <v>Idaho County L &amp; P</v>
      </c>
      <c r="O75" s="63">
        <f ca="1">+INDEX('Charges_NonSlice &amp; Excl LS'!$Z$4:$Z$138,MATCH($A75,'Charges_NonSlice &amp; Excl LS'!$AA$4:$AA$138,0),1)</f>
        <v>-2.549940147714868E-2</v>
      </c>
      <c r="P75" s="86">
        <f ca="1">+INDEX('Charges_NonSlice &amp; Excl LS'!$Y$4:$Y$138,MATCH($A75,'Charges_NonSlice &amp; Excl LS'!$AA$4:$AA$138,0),1)</f>
        <v>32.53331152617654</v>
      </c>
      <c r="Q75" s="234">
        <f ca="1">+INDEX('Charges_NonSlice &amp; Excl LS'!$X$4:$X$138,MATCH($A75,'Charges_NonSlice &amp; Excl LS'!$AA$4:$AA$138,0),1)/1000</f>
        <v>54.574428541536008</v>
      </c>
      <c r="R75" s="69">
        <f ca="1">+SUM(Q$5:Q75)</f>
        <v>34007.426013432814</v>
      </c>
      <c r="T75" s="232" t="str">
        <f ca="1">+INDEX(Charges_NonSlice!$C$4:$C$138,MATCH($A75,Charges_NonSlice!$AA$4:$AA$138,0),1)</f>
        <v>Parkland L &amp; W</v>
      </c>
      <c r="U75" s="63">
        <f t="shared" ca="1" si="3"/>
        <v>-9.3134297336388006E-3</v>
      </c>
      <c r="V75" s="86">
        <f ca="1">+INDEX(Charges_NonSlice!$Y$4:$Y$138,MATCH($A75,Charges_NonSlice!$AA$4:$AA$138,0),1)</f>
        <v>35.777009057374208</v>
      </c>
      <c r="W75" s="411">
        <f t="shared" ca="1" si="4"/>
        <v>36.113348188171173</v>
      </c>
      <c r="Y75" s="66" t="s">
        <v>112</v>
      </c>
      <c r="Z75" s="67">
        <v>34.084271670948297</v>
      </c>
    </row>
    <row r="76" spans="1:26">
      <c r="A76">
        <f t="shared" si="5"/>
        <v>72</v>
      </c>
      <c r="B76" s="71" t="str">
        <f ca="1">+INDEX('Charges_Including Slice and LS'!$C$4:$C$138,MATCH($A76,'Charges_Including Slice and LS'!$AA$4:$AA$138,0),1)</f>
        <v>Soda Springs, City of</v>
      </c>
      <c r="C76" s="63">
        <f ca="1">+INDEX('Charges_Including Slice and LS'!$Z$4:$Z$138,MATCH($A76,'Charges_Including Slice and LS'!$AA$4:$AA$138,0),1)</f>
        <v>-1.1226797761153963E-2</v>
      </c>
      <c r="D76" s="60">
        <f ca="1">+INDEX('Charges_Including Slice and LS'!$Y$4:$Y$138,MATCH($A76,'Charges_Including Slice and LS'!$AA$4:$AA$138,0),1)</f>
        <v>36.133586332438526</v>
      </c>
      <c r="E76" s="69">
        <f ca="1">+INDEX('Charges_Including Slice and LS'!$X$4:$X$138,MATCH($A76,'Charges_Including Slice and LS'!$AA$4:$AA$138,0),1)/1000</f>
        <v>26.640231122092917</v>
      </c>
      <c r="F76" s="69">
        <f ca="1">+SUM(E$5:E76)</f>
        <v>36774.108250053141</v>
      </c>
      <c r="H76" s="232" t="str">
        <f ca="1">+INDEX(Charges_NonSlice!$C$4:$C$138,MATCH($A76,Charges_NonSlice!$AA$4:$AA$138,0),1)</f>
        <v>Drain, City of</v>
      </c>
      <c r="I76" s="63">
        <f ca="1">+INDEX(Charges_NonSlice!$Z$4:$Z$138,MATCH($A76,Charges_NonSlice!$AA$4:$AA$138,0),1)</f>
        <v>-1.1354731435082985E-2</v>
      </c>
      <c r="J76" s="86">
        <f ca="1">+INDEX(Charges_NonSlice!$Y$4:$Y$138,MATCH($A76,Charges_NonSlice!$AA$4:$AA$138,0),1)</f>
        <v>35.374774907501127</v>
      </c>
      <c r="K76" s="234">
        <f ca="1">+INDEX(Charges_NonSlice!$X$4:$X$138,MATCH($A76,Charges_NonSlice!$AA$4:$AA$138,0),1)/1000</f>
        <v>16.379736075081599</v>
      </c>
      <c r="L76" s="69">
        <f ca="1">+SUM(K$5:K76)</f>
        <v>27850.833436539157</v>
      </c>
      <c r="N76" s="232" t="str">
        <f ca="1">+INDEX('Charges_NonSlice &amp; Excl LS'!$C$4:$C$138,MATCH($A76,'Charges_NonSlice &amp; Excl LS'!$AA$4:$AA$138,0),1)</f>
        <v>Drain, City of</v>
      </c>
      <c r="O76" s="63">
        <f ca="1">+INDEX('Charges_NonSlice &amp; Excl LS'!$Z$4:$Z$138,MATCH($A76,'Charges_NonSlice &amp; Excl LS'!$AA$4:$AA$138,0),1)</f>
        <v>-2.5566057558415803E-2</v>
      </c>
      <c r="P76" s="86">
        <f ca="1">+INDEX('Charges_NonSlice &amp; Excl LS'!$Y$4:$Y$138,MATCH($A76,'Charges_NonSlice &amp; Excl LS'!$AA$4:$AA$138,0),1)</f>
        <v>34.243044781775822</v>
      </c>
      <c r="Q76" s="234">
        <f ca="1">+INDEX('Charges_NonSlice &amp; Excl LS'!$X$4:$X$138,MATCH($A76,'Charges_NonSlice &amp; Excl LS'!$AA$4:$AA$138,0),1)/1000</f>
        <v>16.379773914240001</v>
      </c>
      <c r="R76" s="69">
        <f ca="1">+SUM(Q$5:Q76)</f>
        <v>34023.805787347053</v>
      </c>
      <c r="T76" s="232" t="str">
        <f ca="1">+INDEX(Charges_NonSlice!$C$4:$C$138,MATCH($A76,Charges_NonSlice!$AA$4:$AA$138,0),1)</f>
        <v>Drain, City of</v>
      </c>
      <c r="U76" s="63">
        <f t="shared" ca="1" si="3"/>
        <v>-1.1015167896457512E-2</v>
      </c>
      <c r="V76" s="86">
        <f ca="1">+INDEX(Charges_NonSlice!$Y$4:$Y$138,MATCH($A76,Charges_NonSlice!$AA$4:$AA$138,0),1)</f>
        <v>35.374774907501127</v>
      </c>
      <c r="W76" s="411">
        <f t="shared" ca="1" si="4"/>
        <v>35.768773958100034</v>
      </c>
      <c r="Y76" s="66" t="s">
        <v>118</v>
      </c>
      <c r="Z76" s="67">
        <v>35.561342296592805</v>
      </c>
    </row>
    <row r="77" spans="1:26">
      <c r="A77">
        <f t="shared" si="5"/>
        <v>73</v>
      </c>
      <c r="B77" s="71" t="str">
        <f ca="1">+INDEX('Charges_Including Slice and LS'!$C$4:$C$138,MATCH($A77,'Charges_Including Slice and LS'!$AA$4:$AA$138,0),1)</f>
        <v>Parkland L &amp; W</v>
      </c>
      <c r="C77" s="63">
        <f ca="1">+INDEX('Charges_Including Slice and LS'!$Z$4:$Z$138,MATCH($A77,'Charges_Including Slice and LS'!$AA$4:$AA$138,0),1)</f>
        <v>-1.1328230266534761E-2</v>
      </c>
      <c r="D77" s="60">
        <f ca="1">+INDEX('Charges_Including Slice and LS'!$Y$4:$Y$138,MATCH($A77,'Charges_Including Slice and LS'!$AA$4:$AA$138,0),1)</f>
        <v>35.777009057374208</v>
      </c>
      <c r="E77" s="69">
        <f ca="1">+INDEX('Charges_Including Slice and LS'!$X$4:$X$138,MATCH($A77,'Charges_Including Slice and LS'!$AA$4:$AA$138,0),1)/1000</f>
        <v>117.82883054010404</v>
      </c>
      <c r="F77" s="69">
        <f ca="1">+SUM(E$5:E77)</f>
        <v>36891.937080593249</v>
      </c>
      <c r="H77" s="232" t="str">
        <f ca="1">+INDEX(Charges_NonSlice!$C$4:$C$138,MATCH($A77,Charges_NonSlice!$AA$4:$AA$138,0),1)</f>
        <v>Elmhurst Mutual P &amp; L</v>
      </c>
      <c r="I77" s="63">
        <f ca="1">+INDEX(Charges_NonSlice!$Z$4:$Z$138,MATCH($A77,Charges_NonSlice!$AA$4:$AA$138,0),1)</f>
        <v>-1.1881611633181089E-2</v>
      </c>
      <c r="J77" s="86">
        <f ca="1">+INDEX(Charges_NonSlice!$Y$4:$Y$138,MATCH($A77,Charges_NonSlice!$AA$4:$AA$138,0),1)</f>
        <v>36.770133661039196</v>
      </c>
      <c r="K77" s="234">
        <f ca="1">+INDEX(Charges_NonSlice!$X$4:$X$138,MATCH($A77,Charges_NonSlice!$AA$4:$AA$138,0),1)/1000</f>
        <v>283.17859199999998</v>
      </c>
      <c r="L77" s="69">
        <f ca="1">+SUM(K$5:K77)</f>
        <v>28134.012028539157</v>
      </c>
      <c r="N77" s="232" t="str">
        <f ca="1">+INDEX('Charges_NonSlice &amp; Excl LS'!$C$4:$C$138,MATCH($A77,'Charges_NonSlice &amp; Excl LS'!$AA$4:$AA$138,0),1)</f>
        <v>Troy, City of</v>
      </c>
      <c r="O77" s="63">
        <f ca="1">+INDEX('Charges_NonSlice &amp; Excl LS'!$Z$4:$Z$138,MATCH($A77,'Charges_NonSlice &amp; Excl LS'!$AA$4:$AA$138,0),1)</f>
        <v>-2.5684682088304954E-2</v>
      </c>
      <c r="P77" s="86">
        <f ca="1">+INDEX('Charges_NonSlice &amp; Excl LS'!$Y$4:$Y$138,MATCH($A77,'Charges_NonSlice &amp; Excl LS'!$AA$4:$AA$138,0),1)</f>
        <v>35.529932317658876</v>
      </c>
      <c r="Q77" s="234">
        <f ca="1">+INDEX('Charges_NonSlice &amp; Excl LS'!$X$4:$X$138,MATCH($A77,'Charges_NonSlice &amp; Excl LS'!$AA$4:$AA$138,0),1)/1000</f>
        <v>17.540007899831998</v>
      </c>
      <c r="R77" s="69">
        <f ca="1">+SUM(Q$5:Q77)</f>
        <v>34041.345795246889</v>
      </c>
      <c r="T77" s="232" t="str">
        <f ca="1">+INDEX(Charges_NonSlice!$C$4:$C$138,MATCH($A77,Charges_NonSlice!$AA$4:$AA$138,0),1)</f>
        <v>Elmhurst Mutual P &amp; L</v>
      </c>
      <c r="U77" s="63">
        <f t="shared" ca="1" si="3"/>
        <v>-3.496748913089931E-6</v>
      </c>
      <c r="V77" s="86">
        <f ca="1">+INDEX(Charges_NonSlice!$Y$4:$Y$138,MATCH($A77,Charges_NonSlice!$AA$4:$AA$138,0),1)</f>
        <v>36.770133661039196</v>
      </c>
      <c r="W77" s="411">
        <f t="shared" ca="1" si="4"/>
        <v>36.770262237413711</v>
      </c>
      <c r="Y77" s="66" t="s">
        <v>11</v>
      </c>
      <c r="Z77" s="67">
        <v>27.528169773728216</v>
      </c>
    </row>
    <row r="78" spans="1:26">
      <c r="A78">
        <f t="shared" si="5"/>
        <v>74</v>
      </c>
      <c r="B78" s="71" t="str">
        <f ca="1">+INDEX('Charges_Including Slice and LS'!$C$4:$C$138,MATCH($A78,'Charges_Including Slice and LS'!$AA$4:$AA$138,0),1)</f>
        <v>Drain, City of</v>
      </c>
      <c r="C78" s="63">
        <f ca="1">+INDEX('Charges_Including Slice and LS'!$Z$4:$Z$138,MATCH($A78,'Charges_Including Slice and LS'!$AA$4:$AA$138,0),1)</f>
        <v>-1.135473143507381E-2</v>
      </c>
      <c r="D78" s="60">
        <f ca="1">+INDEX('Charges_Including Slice and LS'!$Y$4:$Y$138,MATCH($A78,'Charges_Including Slice and LS'!$AA$4:$AA$138,0),1)</f>
        <v>35.374774907501127</v>
      </c>
      <c r="E78" s="69">
        <f ca="1">+INDEX('Charges_Including Slice and LS'!$X$4:$X$138,MATCH($A78,'Charges_Including Slice and LS'!$AA$4:$AA$138,0),1)/1000</f>
        <v>16.379736075081599</v>
      </c>
      <c r="F78" s="69">
        <f ca="1">+SUM(E$5:E78)</f>
        <v>36908.316816668332</v>
      </c>
      <c r="H78" s="232" t="str">
        <f ca="1">+INDEX(Charges_NonSlice!$C$4:$C$138,MATCH($A78,Charges_NonSlice!$AA$4:$AA$138,0),1)</f>
        <v>Cheney, City of</v>
      </c>
      <c r="I78" s="63">
        <f ca="1">+INDEX(Charges_NonSlice!$Z$4:$Z$138,MATCH($A78,Charges_NonSlice!$AA$4:$AA$138,0),1)</f>
        <v>-1.2000527104068195E-2</v>
      </c>
      <c r="J78" s="86">
        <f ca="1">+INDEX(Charges_NonSlice!$Y$4:$Y$138,MATCH($A78,Charges_NonSlice!$AA$4:$AA$138,0),1)</f>
        <v>37.94302451293138</v>
      </c>
      <c r="K78" s="234">
        <f ca="1">+INDEX(Charges_NonSlice!$X$4:$X$138,MATCH($A78,Charges_NonSlice!$AA$4:$AA$138,0),1)/1000</f>
        <v>138.93345363685691</v>
      </c>
      <c r="L78" s="69">
        <f ca="1">+SUM(K$5:K78)</f>
        <v>28272.945482176012</v>
      </c>
      <c r="N78" s="232" t="str">
        <f ca="1">+INDEX('Charges_NonSlice &amp; Excl LS'!$C$4:$C$138,MATCH($A78,'Charges_NonSlice &amp; Excl LS'!$AA$4:$AA$138,0),1)</f>
        <v>Columbia River PUD</v>
      </c>
      <c r="O78" s="63">
        <f ca="1">+INDEX('Charges_NonSlice &amp; Excl LS'!$Z$4:$Z$138,MATCH($A78,'Charges_NonSlice &amp; Excl LS'!$AA$4:$AA$138,0),1)</f>
        <v>-2.580925860175292E-2</v>
      </c>
      <c r="P78" s="86">
        <f ca="1">+INDEX('Charges_NonSlice &amp; Excl LS'!$Y$4:$Y$138,MATCH($A78,'Charges_NonSlice &amp; Excl LS'!$AA$4:$AA$138,0),1)</f>
        <v>34.913451580262297</v>
      </c>
      <c r="Q78" s="234">
        <f ca="1">+INDEX('Charges_NonSlice &amp; Excl LS'!$X$4:$X$138,MATCH($A78,'Charges_NonSlice &amp; Excl LS'!$AA$4:$AA$138,0),1)/1000</f>
        <v>511.66939210588805</v>
      </c>
      <c r="R78" s="69">
        <f ca="1">+SUM(Q$5:Q78)</f>
        <v>34553.015187352779</v>
      </c>
      <c r="T78" s="232" t="str">
        <f ca="1">+INDEX(Charges_NonSlice!$C$4:$C$138,MATCH($A78,Charges_NonSlice!$AA$4:$AA$138,0),1)</f>
        <v>Cheney, City of</v>
      </c>
      <c r="U78" s="63" t="str">
        <f t="shared" ca="1" si="3"/>
        <v/>
      </c>
      <c r="V78" s="86">
        <f ca="1">+INDEX(Charges_NonSlice!$Y$4:$Y$138,MATCH($A78,Charges_NonSlice!$AA$4:$AA$138,0),1)</f>
        <v>37.94302451293138</v>
      </c>
      <c r="W78" s="77"/>
      <c r="Y78" s="66" t="s">
        <v>39</v>
      </c>
      <c r="Z78" s="67">
        <v>36.335379825654272</v>
      </c>
    </row>
    <row r="79" spans="1:26">
      <c r="A79">
        <f t="shared" si="5"/>
        <v>75</v>
      </c>
      <c r="B79" s="71" t="str">
        <f ca="1">+INDEX('Charges_Including Slice and LS'!$C$4:$C$138,MATCH($A79,'Charges_Including Slice and LS'!$AA$4:$AA$138,0),1)</f>
        <v>Tacoma Public Utilities</v>
      </c>
      <c r="C79" s="63">
        <f ca="1">+INDEX('Charges_Including Slice and LS'!$Z$4:$Z$138,MATCH($A79,'Charges_Including Slice and LS'!$AA$4:$AA$138,0),1)</f>
        <v>-1.1447558551140546E-2</v>
      </c>
      <c r="D79" s="60">
        <f ca="1">+INDEX('Charges_Including Slice and LS'!$Y$4:$Y$138,MATCH($A79,'Charges_Including Slice and LS'!$AA$4:$AA$138,0),1)</f>
        <v>37.170353263093297</v>
      </c>
      <c r="E79" s="69">
        <f ca="1">+INDEX('Charges_Including Slice and LS'!$X$4:$X$138,MATCH($A79,'Charges_Including Slice and LS'!$AA$4:$AA$138,0),1)/1000</f>
        <v>3239.7837511117391</v>
      </c>
      <c r="F79" s="69">
        <f ca="1">+SUM(E$5:E79)</f>
        <v>40148.100567780071</v>
      </c>
      <c r="H79" s="232" t="str">
        <f ca="1">+INDEX(Charges_NonSlice!$C$4:$C$138,MATCH($A79,Charges_NonSlice!$AA$4:$AA$138,0),1)</f>
        <v>Blaine, City of</v>
      </c>
      <c r="I79" s="63">
        <f ca="1">+INDEX(Charges_NonSlice!$Z$4:$Z$138,MATCH($A79,Charges_NonSlice!$AA$4:$AA$138,0),1)</f>
        <v>-1.2086716759728024E-2</v>
      </c>
      <c r="J79" s="86">
        <f ca="1">+INDEX(Charges_NonSlice!$Y$4:$Y$138,MATCH($A79,Charges_NonSlice!$AA$4:$AA$138,0),1)</f>
        <v>35.630107639571108</v>
      </c>
      <c r="K79" s="234">
        <f ca="1">+INDEX(Charges_NonSlice!$X$4:$X$138,MATCH($A79,Charges_NonSlice!$AA$4:$AA$138,0),1)/1000</f>
        <v>76.833647999999997</v>
      </c>
      <c r="L79" s="69">
        <f ca="1">+SUM(K$5:K79)</f>
        <v>28349.779130176012</v>
      </c>
      <c r="N79" s="232" t="str">
        <f ca="1">+INDEX('Charges_NonSlice &amp; Excl LS'!$C$4:$C$138,MATCH($A79,'Charges_NonSlice &amp; Excl LS'!$AA$4:$AA$138,0),1)</f>
        <v>Kootenai Electric Coop</v>
      </c>
      <c r="O79" s="63">
        <f ca="1">+INDEX('Charges_NonSlice &amp; Excl LS'!$Z$4:$Z$138,MATCH($A79,'Charges_NonSlice &amp; Excl LS'!$AA$4:$AA$138,0),1)</f>
        <v>-2.5825663477527801E-2</v>
      </c>
      <c r="P79" s="86">
        <f ca="1">+INDEX('Charges_NonSlice &amp; Excl LS'!$Y$4:$Y$138,MATCH($A79,'Charges_NonSlice &amp; Excl LS'!$AA$4:$AA$138,0),1)</f>
        <v>37.220724552674021</v>
      </c>
      <c r="Q79" s="234">
        <f ca="1">+INDEX('Charges_NonSlice &amp; Excl LS'!$X$4:$X$138,MATCH($A79,'Charges_NonSlice &amp; Excl LS'!$AA$4:$AA$138,0),1)/1000</f>
        <v>447.974407634832</v>
      </c>
      <c r="R79" s="69">
        <f ca="1">+SUM(Q$5:Q79)</f>
        <v>35000.989594987608</v>
      </c>
      <c r="T79" s="232" t="str">
        <f ca="1">+INDEX(Charges_NonSlice!$C$4:$C$138,MATCH($A79,Charges_NonSlice!$AA$4:$AA$138,0),1)</f>
        <v>Blaine, City of</v>
      </c>
      <c r="U79" s="63">
        <f t="shared" ca="1" si="3"/>
        <v>-2.7939406992443794E-2</v>
      </c>
      <c r="V79" s="86">
        <f ca="1">+INDEX(Charges_NonSlice!$Y$4:$Y$138,MATCH($A79,Charges_NonSlice!$AA$4:$AA$138,0),1)</f>
        <v>35.630107639571108</v>
      </c>
      <c r="W79" s="77">
        <f t="shared" ref="W79:W122" ca="1" si="6">+VLOOKUP(T79,Y:Z,2,FALSE)</f>
        <v>36.654204373547877</v>
      </c>
      <c r="Y79" s="66" t="s">
        <v>71</v>
      </c>
      <c r="Z79" s="67">
        <v>34.075029757337681</v>
      </c>
    </row>
    <row r="80" spans="1:26">
      <c r="A80">
        <f t="shared" si="5"/>
        <v>76</v>
      </c>
      <c r="B80" s="71" t="str">
        <f ca="1">+INDEX('Charges_Including Slice and LS'!$C$4:$C$138,MATCH($A80,'Charges_Including Slice and LS'!$AA$4:$AA$138,0),1)</f>
        <v>Elmhurst Mutual P &amp; L</v>
      </c>
      <c r="C80" s="63">
        <f ca="1">+INDEX('Charges_Including Slice and LS'!$Z$4:$Z$138,MATCH($A80,'Charges_Including Slice and LS'!$AA$4:$AA$138,0),1)</f>
        <v>-1.1881611633183301E-2</v>
      </c>
      <c r="D80" s="60">
        <f ca="1">+INDEX('Charges_Including Slice and LS'!$Y$4:$Y$138,MATCH($A80,'Charges_Including Slice and LS'!$AA$4:$AA$138,0),1)</f>
        <v>36.770133661039196</v>
      </c>
      <c r="E80" s="69">
        <f ca="1">+INDEX('Charges_Including Slice and LS'!$X$4:$X$138,MATCH($A80,'Charges_Including Slice and LS'!$AA$4:$AA$138,0),1)/1000</f>
        <v>283.17859199999998</v>
      </c>
      <c r="F80" s="69">
        <f ca="1">+SUM(E$5:E80)</f>
        <v>40431.279159780068</v>
      </c>
      <c r="H80" s="232" t="str">
        <f ca="1">+INDEX(Charges_NonSlice!$C$4:$C$138,MATCH($A80,Charges_NonSlice!$AA$4:$AA$138,0),1)</f>
        <v>Port of Seattle - SETAC In'tl. Airport</v>
      </c>
      <c r="I80" s="63">
        <f ca="1">+INDEX(Charges_NonSlice!$Z$4:$Z$138,MATCH($A80,Charges_NonSlice!$AA$4:$AA$138,0),1)</f>
        <v>-1.2141218096343076E-2</v>
      </c>
      <c r="J80" s="86">
        <f ca="1">+INDEX(Charges_NonSlice!$Y$4:$Y$138,MATCH($A80,Charges_NonSlice!$AA$4:$AA$138,0),1)</f>
        <v>34.826944377820382</v>
      </c>
      <c r="K80" s="234">
        <f ca="1">+INDEX(Charges_NonSlice!$X$4:$X$138,MATCH($A80,Charges_NonSlice!$AA$4:$AA$138,0),1)/1000</f>
        <v>147.15418567453992</v>
      </c>
      <c r="L80" s="69">
        <f ca="1">+SUM(K$5:K80)</f>
        <v>28496.933315850551</v>
      </c>
      <c r="N80" s="232" t="str">
        <f ca="1">+INDEX('Charges_NonSlice &amp; Excl LS'!$C$4:$C$138,MATCH($A80,'Charges_NonSlice &amp; Excl LS'!$AA$4:$AA$138,0),1)</f>
        <v>U.S. Naval Station, Everett (Jim Creek)</v>
      </c>
      <c r="O80" s="63">
        <f ca="1">+INDEX('Charges_NonSlice &amp; Excl LS'!$Z$4:$Z$138,MATCH($A80,'Charges_NonSlice &amp; Excl LS'!$AA$4:$AA$138,0),1)</f>
        <v>-2.5844814718999465E-2</v>
      </c>
      <c r="P80" s="86">
        <f ca="1">+INDEX('Charges_NonSlice &amp; Excl LS'!$Y$4:$Y$138,MATCH($A80,'Charges_NonSlice &amp; Excl LS'!$AA$4:$AA$138,0),1)</f>
        <v>34.978850967720192</v>
      </c>
      <c r="Q80" s="234">
        <f ca="1">+INDEX('Charges_NonSlice &amp; Excl LS'!$X$4:$X$138,MATCH($A80,'Charges_NonSlice &amp; Excl LS'!$AA$4:$AA$138,0),1)/1000</f>
        <v>13.414042122192001</v>
      </c>
      <c r="R80" s="69">
        <f ca="1">+SUM(Q$5:Q80)</f>
        <v>35014.403637109797</v>
      </c>
      <c r="T80" s="232" t="str">
        <f ca="1">+INDEX(Charges_NonSlice!$C$4:$C$138,MATCH($A80,Charges_NonSlice!$AA$4:$AA$138,0),1)</f>
        <v>Port of Seattle - SETAC In'tl. Airport</v>
      </c>
      <c r="U80" s="63">
        <f t="shared" ca="1" si="3"/>
        <v>-3.411902272433287E-2</v>
      </c>
      <c r="V80" s="86">
        <f ca="1">+INDEX(Charges_NonSlice!$Y$4:$Y$138,MATCH($A80,Charges_NonSlice!$AA$4:$AA$138,0),1)</f>
        <v>34.826944377820382</v>
      </c>
      <c r="W80" s="77">
        <f t="shared" ca="1" si="6"/>
        <v>36.057180125911728</v>
      </c>
      <c r="Y80" s="66" t="s">
        <v>91</v>
      </c>
      <c r="Z80" s="67">
        <v>37.205969721799825</v>
      </c>
    </row>
    <row r="81" spans="1:26">
      <c r="A81">
        <f t="shared" si="5"/>
        <v>77</v>
      </c>
      <c r="B81" s="71" t="str">
        <f ca="1">+INDEX('Charges_Including Slice and LS'!$C$4:$C$138,MATCH($A81,'Charges_Including Slice and LS'!$AA$4:$AA$138,0),1)</f>
        <v>Cheney, City of</v>
      </c>
      <c r="C81" s="63">
        <f ca="1">+INDEX('Charges_Including Slice and LS'!$Z$4:$Z$138,MATCH($A81,'Charges_Including Slice and LS'!$AA$4:$AA$138,0),1)</f>
        <v>-1.2000527104065847E-2</v>
      </c>
      <c r="D81" s="60">
        <f ca="1">+INDEX('Charges_Including Slice and LS'!$Y$4:$Y$138,MATCH($A81,'Charges_Including Slice and LS'!$AA$4:$AA$138,0),1)</f>
        <v>37.94302451293138</v>
      </c>
      <c r="E81" s="69">
        <f ca="1">+INDEX('Charges_Including Slice and LS'!$X$4:$X$138,MATCH($A81,'Charges_Including Slice and LS'!$AA$4:$AA$138,0),1)/1000</f>
        <v>138.93345363685691</v>
      </c>
      <c r="F81" s="69">
        <f ca="1">+SUM(E$5:E81)</f>
        <v>40570.212613416923</v>
      </c>
      <c r="H81" s="232" t="str">
        <f ca="1">+INDEX(Charges_NonSlice!$C$4:$C$138,MATCH($A81,Charges_NonSlice!$AA$4:$AA$138,0),1)</f>
        <v>Idaho Falls Power</v>
      </c>
      <c r="I81" s="63">
        <f ca="1">+INDEX(Charges_NonSlice!$Z$4:$Z$138,MATCH($A81,Charges_NonSlice!$AA$4:$AA$138,0),1)</f>
        <v>-1.2170746463460572E-2</v>
      </c>
      <c r="J81" s="86">
        <f ca="1">+INDEX(Charges_NonSlice!$Y$4:$Y$138,MATCH($A81,Charges_NonSlice!$AA$4:$AA$138,0),1)</f>
        <v>33.629484876000419</v>
      </c>
      <c r="K81" s="234">
        <f ca="1">+INDEX(Charges_NonSlice!$X$4:$X$138,MATCH($A81,Charges_NonSlice!$AA$4:$AA$138,0),1)/1000</f>
        <v>358.31294915337389</v>
      </c>
      <c r="L81" s="69">
        <f ca="1">+SUM(K$5:K81)</f>
        <v>28855.246265003923</v>
      </c>
      <c r="N81" s="232" t="str">
        <f ca="1">+INDEX('Charges_NonSlice &amp; Excl LS'!$C$4:$C$138,MATCH($A81,'Charges_NonSlice &amp; Excl LS'!$AA$4:$AA$138,0),1)</f>
        <v>Heyburn, City of</v>
      </c>
      <c r="O81" s="63">
        <f ca="1">+INDEX('Charges_NonSlice &amp; Excl LS'!$Z$4:$Z$138,MATCH($A81,'Charges_NonSlice &amp; Excl LS'!$AA$4:$AA$138,0),1)</f>
        <v>-2.5901725141840332E-2</v>
      </c>
      <c r="P81" s="86">
        <f ca="1">+INDEX('Charges_NonSlice &amp; Excl LS'!$Y$4:$Y$138,MATCH($A81,'Charges_NonSlice &amp; Excl LS'!$AA$4:$AA$138,0),1)</f>
        <v>34.282524928943339</v>
      </c>
      <c r="Q81" s="234">
        <f ca="1">+INDEX('Charges_NonSlice &amp; Excl LS'!$X$4:$X$138,MATCH($A81,'Charges_NonSlice &amp; Excl LS'!$AA$4:$AA$138,0),1)/1000</f>
        <v>42.314415945119997</v>
      </c>
      <c r="R81" s="69">
        <f ca="1">+SUM(Q$5:Q81)</f>
        <v>35056.718053054916</v>
      </c>
      <c r="T81" s="232" t="str">
        <f ca="1">+INDEX(Charges_NonSlice!$C$4:$C$138,MATCH($A81,Charges_NonSlice!$AA$4:$AA$138,0),1)</f>
        <v>Idaho Falls Power</v>
      </c>
      <c r="U81" s="63">
        <f t="shared" ca="1" si="3"/>
        <v>-1.2172624036793089E-2</v>
      </c>
      <c r="V81" s="86">
        <f ca="1">+INDEX(Charges_NonSlice!$Y$4:$Y$138,MATCH($A81,Charges_NonSlice!$AA$4:$AA$138,0),1)</f>
        <v>33.629484876000419</v>
      </c>
      <c r="W81" s="77">
        <f t="shared" ca="1" si="6"/>
        <v>34.043888329384586</v>
      </c>
      <c r="Y81" s="66" t="s">
        <v>67</v>
      </c>
      <c r="Z81" s="67">
        <v>38.334217046208067</v>
      </c>
    </row>
    <row r="82" spans="1:26">
      <c r="A82">
        <f t="shared" si="5"/>
        <v>78</v>
      </c>
      <c r="B82" s="71" t="str">
        <f ca="1">+INDEX('Charges_Including Slice and LS'!$C$4:$C$138,MATCH($A82,'Charges_Including Slice and LS'!$AA$4:$AA$138,0),1)</f>
        <v>Idaho Falls Power</v>
      </c>
      <c r="C82" s="63">
        <f ca="1">+INDEX('Charges_Including Slice and LS'!$Z$4:$Z$138,MATCH($A82,'Charges_Including Slice and LS'!$AA$4:$AA$138,0),1)</f>
        <v>-1.208259795731809E-2</v>
      </c>
      <c r="D82" s="60">
        <f ca="1">+INDEX('Charges_Including Slice and LS'!$Y$4:$Y$138,MATCH($A82,'Charges_Including Slice and LS'!$AA$4:$AA$138,0),1)</f>
        <v>36.807020935563209</v>
      </c>
      <c r="E82" s="69">
        <f ca="1">+INDEX('Charges_Including Slice and LS'!$X$4:$X$138,MATCH($A82,'Charges_Including Slice and LS'!$AA$4:$AA$138,0),1)/1000</f>
        <v>698.81990831527003</v>
      </c>
      <c r="F82" s="69">
        <f ca="1">+SUM(E$5:E82)</f>
        <v>41269.032521732195</v>
      </c>
      <c r="H82" s="232" t="str">
        <f ca="1">+INDEX(Charges_NonSlice!$C$4:$C$138,MATCH($A82,Charges_NonSlice!$AA$4:$AA$138,0),1)</f>
        <v>Sumas, Town of</v>
      </c>
      <c r="I82" s="63">
        <f ca="1">+INDEX(Charges_NonSlice!$Z$4:$Z$138,MATCH($A82,Charges_NonSlice!$AA$4:$AA$138,0),1)</f>
        <v>-1.2534803761649456E-2</v>
      </c>
      <c r="J82" s="86">
        <f ca="1">+INDEX(Charges_NonSlice!$Y$4:$Y$138,MATCH($A82,Charges_NonSlice!$AA$4:$AA$138,0),1)</f>
        <v>34.788000028741159</v>
      </c>
      <c r="K82" s="234">
        <f ca="1">+INDEX(Charges_NonSlice!$X$4:$X$138,MATCH($A82,Charges_NonSlice!$AA$4:$AA$138,0),1)/1000</f>
        <v>32.000111999999994</v>
      </c>
      <c r="L82" s="69">
        <f ca="1">+SUM(K$5:K82)</f>
        <v>28887.246377003925</v>
      </c>
      <c r="N82" s="232" t="str">
        <f ca="1">+INDEX('Charges_NonSlice &amp; Excl LS'!$C$4:$C$138,MATCH($A82,'Charges_NonSlice &amp; Excl LS'!$AA$4:$AA$138,0),1)</f>
        <v>Plummer, City of</v>
      </c>
      <c r="O82" s="63">
        <f ca="1">+INDEX('Charges_NonSlice &amp; Excl LS'!$Z$4:$Z$138,MATCH($A82,'Charges_NonSlice &amp; Excl LS'!$AA$4:$AA$138,0),1)</f>
        <v>-2.5912251984062783E-2</v>
      </c>
      <c r="P82" s="86">
        <f ca="1">+INDEX('Charges_NonSlice &amp; Excl LS'!$Y$4:$Y$138,MATCH($A82,'Charges_NonSlice &amp; Excl LS'!$AA$4:$AA$138,0),1)</f>
        <v>35.260672875244538</v>
      </c>
      <c r="Q82" s="234">
        <f ca="1">+INDEX('Charges_NonSlice &amp; Excl LS'!$X$4:$X$138,MATCH($A82,'Charges_NonSlice &amp; Excl LS'!$AA$4:$AA$138,0),1)/1000</f>
        <v>33.988030872047993</v>
      </c>
      <c r="R82" s="69">
        <f ca="1">+SUM(Q$5:Q82)</f>
        <v>35090.706083926962</v>
      </c>
      <c r="T82" s="232" t="str">
        <f ca="1">+INDEX(Charges_NonSlice!$C$4:$C$138,MATCH($A82,Charges_NonSlice!$AA$4:$AA$138,0),1)</f>
        <v>Sumas, Town of</v>
      </c>
      <c r="U82" s="63">
        <f t="shared" ca="1" si="3"/>
        <v>-8.5192172728202342E-3</v>
      </c>
      <c r="V82" s="86">
        <f ca="1">+INDEX(Charges_NonSlice!$Y$4:$Y$138,MATCH($A82,Charges_NonSlice!$AA$4:$AA$138,0),1)</f>
        <v>34.788000028741159</v>
      </c>
      <c r="W82" s="77">
        <f t="shared" ca="1" si="6"/>
        <v>35.086913064570794</v>
      </c>
      <c r="Y82" s="66" t="s">
        <v>127</v>
      </c>
      <c r="Z82" s="67">
        <v>37.377797123627957</v>
      </c>
    </row>
    <row r="83" spans="1:26">
      <c r="A83">
        <f t="shared" si="5"/>
        <v>79</v>
      </c>
      <c r="B83" s="71" t="str">
        <f ca="1">+INDEX('Charges_Including Slice and LS'!$C$4:$C$138,MATCH($A83,'Charges_Including Slice and LS'!$AA$4:$AA$138,0),1)</f>
        <v>Blaine, City of</v>
      </c>
      <c r="C83" s="63">
        <f ca="1">+INDEX('Charges_Including Slice and LS'!$Z$4:$Z$138,MATCH($A83,'Charges_Including Slice and LS'!$AA$4:$AA$138,0),1)</f>
        <v>-1.2086716759726637E-2</v>
      </c>
      <c r="D83" s="60">
        <f ca="1">+INDEX('Charges_Including Slice and LS'!$Y$4:$Y$138,MATCH($A83,'Charges_Including Slice and LS'!$AA$4:$AA$138,0),1)</f>
        <v>35.630107639571108</v>
      </c>
      <c r="E83" s="69">
        <f ca="1">+INDEX('Charges_Including Slice and LS'!$X$4:$X$138,MATCH($A83,'Charges_Including Slice and LS'!$AA$4:$AA$138,0),1)/1000</f>
        <v>76.833647999999997</v>
      </c>
      <c r="F83" s="69">
        <f ca="1">+SUM(E$5:E83)</f>
        <v>41345.866169732195</v>
      </c>
      <c r="H83" s="232" t="str">
        <f ca="1">+INDEX(Charges_NonSlice!$C$4:$C$138,MATCH($A83,Charges_NonSlice!$AA$4:$AA$138,0),1)</f>
        <v>Eatonville, City of</v>
      </c>
      <c r="I83" s="63">
        <f ca="1">+INDEX(Charges_NonSlice!$Z$4:$Z$138,MATCH($A83,Charges_NonSlice!$AA$4:$AA$138,0),1)</f>
        <v>-1.2818167712595639E-2</v>
      </c>
      <c r="J83" s="86">
        <f ca="1">+INDEX(Charges_NonSlice!$Y$4:$Y$138,MATCH($A83,Charges_NonSlice!$AA$4:$AA$138,0),1)</f>
        <v>37.358173707310634</v>
      </c>
      <c r="K83" s="234">
        <f ca="1">+INDEX(Charges_NonSlice!$X$4:$X$138,MATCH($A83,Charges_NonSlice!$AA$4:$AA$138,0),1)/1000</f>
        <v>28.607096131136839</v>
      </c>
      <c r="L83" s="69">
        <f ca="1">+SUM(K$5:K83)</f>
        <v>28915.853473135063</v>
      </c>
      <c r="N83" s="232" t="str">
        <f ca="1">+INDEX('Charges_NonSlice &amp; Excl LS'!$C$4:$C$138,MATCH($A83,'Charges_NonSlice &amp; Excl LS'!$AA$4:$AA$138,0),1)</f>
        <v>Port Angeles, City of</v>
      </c>
      <c r="O83" s="63">
        <f ca="1">+INDEX('Charges_NonSlice &amp; Excl LS'!$Z$4:$Z$138,MATCH($A83,'Charges_NonSlice &amp; Excl LS'!$AA$4:$AA$138,0),1)</f>
        <v>-2.5933132990517697E-2</v>
      </c>
      <c r="P83" s="86">
        <f ca="1">+INDEX('Charges_NonSlice &amp; Excl LS'!$Y$4:$Y$138,MATCH($A83,'Charges_NonSlice &amp; Excl LS'!$AA$4:$AA$138,0),1)</f>
        <v>33.155343814526987</v>
      </c>
      <c r="Q83" s="234">
        <f ca="1">+INDEX('Charges_NonSlice &amp; Excl LS'!$X$4:$X$138,MATCH($A83,'Charges_NonSlice &amp; Excl LS'!$AA$4:$AA$138,0),1)/1000</f>
        <v>411.01444051092</v>
      </c>
      <c r="R83" s="69">
        <f ca="1">+SUM(Q$5:Q83)</f>
        <v>35501.720524437878</v>
      </c>
      <c r="T83" s="232" t="str">
        <f ca="1">+INDEX(Charges_NonSlice!$C$4:$C$138,MATCH($A83,Charges_NonSlice!$AA$4:$AA$138,0),1)</f>
        <v>Eatonville, City of</v>
      </c>
      <c r="U83" s="63">
        <f t="shared" ca="1" si="3"/>
        <v>-2.3689765199739754E-2</v>
      </c>
      <c r="V83" s="86">
        <f ca="1">+INDEX(Charges_NonSlice!$Y$4:$Y$138,MATCH($A83,Charges_NonSlice!$AA$4:$AA$138,0),1)</f>
        <v>37.358173707310634</v>
      </c>
      <c r="W83" s="77">
        <f t="shared" ca="1" si="6"/>
        <v>38.264654385143885</v>
      </c>
      <c r="Y83" s="66" t="s">
        <v>102</v>
      </c>
      <c r="Z83" s="67" t="s">
        <v>609</v>
      </c>
    </row>
    <row r="84" spans="1:26">
      <c r="A84">
        <f t="shared" si="5"/>
        <v>80</v>
      </c>
      <c r="B84" s="71" t="str">
        <f ca="1">+INDEX('Charges_Including Slice and LS'!$C$4:$C$138,MATCH($A84,'Charges_Including Slice and LS'!$AA$4:$AA$138,0),1)</f>
        <v>Cowlitz County PUD #1</v>
      </c>
      <c r="C84" s="63">
        <f ca="1">+INDEX('Charges_Including Slice and LS'!$Z$4:$Z$138,MATCH($A84,'Charges_Including Slice and LS'!$AA$4:$AA$138,0),1)</f>
        <v>-1.211127676575976E-2</v>
      </c>
      <c r="D84" s="60">
        <f ca="1">+INDEX('Charges_Including Slice and LS'!$Y$4:$Y$138,MATCH($A84,'Charges_Including Slice and LS'!$AA$4:$AA$138,0),1)</f>
        <v>36.833494161229872</v>
      </c>
      <c r="E84" s="69">
        <f ca="1">+INDEX('Charges_Including Slice and LS'!$X$4:$X$138,MATCH($A84,'Charges_Including Slice and LS'!$AA$4:$AA$138,0),1)/1000</f>
        <v>4674.7482114282575</v>
      </c>
      <c r="F84" s="69">
        <f ca="1">+SUM(E$5:E84)</f>
        <v>46020.614381160456</v>
      </c>
      <c r="H84" s="232" t="str">
        <f ca="1">+INDEX(Charges_NonSlice!$C$4:$C$138,MATCH($A84,Charges_NonSlice!$AA$4:$AA$138,0),1)</f>
        <v>Heyburn, City of</v>
      </c>
      <c r="I84" s="63">
        <f ca="1">+INDEX(Charges_NonSlice!$Z$4:$Z$138,MATCH($A84,Charges_NonSlice!$AA$4:$AA$138,0),1)</f>
        <v>-1.2881409605445373E-2</v>
      </c>
      <c r="J84" s="86">
        <f ca="1">+INDEX(Charges_NonSlice!$Y$4:$Y$138,MATCH($A84,Charges_NonSlice!$AA$4:$AA$138,0),1)</f>
        <v>35.146618672432567</v>
      </c>
      <c r="K84" s="234">
        <f ca="1">+INDEX(Charges_NonSlice!$X$4:$X$138,MATCH($A84,Charges_NonSlice!$AA$4:$AA$138,0),1)/1000</f>
        <v>42.312528</v>
      </c>
      <c r="L84" s="69">
        <f ca="1">+SUM(K$5:K84)</f>
        <v>28958.166001135061</v>
      </c>
      <c r="N84" s="232" t="str">
        <f ca="1">+INDEX('Charges_NonSlice &amp; Excl LS'!$C$4:$C$138,MATCH($A84,'Charges_NonSlice &amp; Excl LS'!$AA$4:$AA$138,0),1)</f>
        <v>Soda Springs, City of</v>
      </c>
      <c r="O84" s="63">
        <f ca="1">+INDEX('Charges_NonSlice &amp; Excl LS'!$Z$4:$Z$138,MATCH($A84,'Charges_NonSlice &amp; Excl LS'!$AA$4:$AA$138,0),1)</f>
        <v>-2.6110716807432547E-2</v>
      </c>
      <c r="P84" s="86">
        <f ca="1">+INDEX('Charges_NonSlice &amp; Excl LS'!$Y$4:$Y$138,MATCH($A84,'Charges_NonSlice &amp; Excl LS'!$AA$4:$AA$138,0),1)</f>
        <v>35.097089653727004</v>
      </c>
      <c r="Q84" s="234">
        <f ca="1">+INDEX('Charges_NonSlice &amp; Excl LS'!$X$4:$X$138,MATCH($A84,'Charges_NonSlice &amp; Excl LS'!$AA$4:$AA$138,0),1)/1000</f>
        <v>26.635745990087997</v>
      </c>
      <c r="R84" s="69">
        <f ca="1">+SUM(Q$5:Q84)</f>
        <v>35528.356270427968</v>
      </c>
      <c r="T84" s="232" t="str">
        <f ca="1">+INDEX(Charges_NonSlice!$C$4:$C$138,MATCH($A84,Charges_NonSlice!$AA$4:$AA$138,0),1)</f>
        <v>Heyburn, City of</v>
      </c>
      <c r="U84" s="63">
        <f t="shared" ca="1" si="3"/>
        <v>-9.7370454192869937E-3</v>
      </c>
      <c r="V84" s="86">
        <f ca="1">+INDEX(Charges_NonSlice!$Y$4:$Y$138,MATCH($A84,Charges_NonSlice!$AA$4:$AA$138,0),1)</f>
        <v>35.146618672432567</v>
      </c>
      <c r="W84" s="77">
        <f t="shared" ca="1" si="6"/>
        <v>35.492207912911361</v>
      </c>
      <c r="Y84" s="66" t="s">
        <v>68</v>
      </c>
      <c r="Z84" s="67">
        <v>31.689730781972095</v>
      </c>
    </row>
    <row r="85" spans="1:26">
      <c r="A85">
        <f t="shared" si="5"/>
        <v>81</v>
      </c>
      <c r="B85" s="71" t="str">
        <f ca="1">+INDEX('Charges_Including Slice and LS'!$C$4:$C$138,MATCH($A85,'Charges_Including Slice and LS'!$AA$4:$AA$138,0),1)</f>
        <v>Port of Seattle - SETAC In'tl. Airport</v>
      </c>
      <c r="C85" s="63">
        <f ca="1">+INDEX('Charges_Including Slice and LS'!$Z$4:$Z$138,MATCH($A85,'Charges_Including Slice and LS'!$AA$4:$AA$138,0),1)</f>
        <v>-1.2141218096341935E-2</v>
      </c>
      <c r="D85" s="60">
        <f ca="1">+INDEX('Charges_Including Slice and LS'!$Y$4:$Y$138,MATCH($A85,'Charges_Including Slice and LS'!$AA$4:$AA$138,0),1)</f>
        <v>34.826944377820382</v>
      </c>
      <c r="E85" s="69">
        <f ca="1">+INDEX('Charges_Including Slice and LS'!$X$4:$X$138,MATCH($A85,'Charges_Including Slice and LS'!$AA$4:$AA$138,0),1)/1000</f>
        <v>147.15418567453992</v>
      </c>
      <c r="F85" s="69">
        <f ca="1">+SUM(E$5:E85)</f>
        <v>46167.768566834995</v>
      </c>
      <c r="H85" s="232" t="str">
        <f ca="1">+INDEX(Charges_NonSlice!$C$4:$C$138,MATCH($A85,Charges_NonSlice!$AA$4:$AA$138,0),1)</f>
        <v>Energy Northwest</v>
      </c>
      <c r="I85" s="63">
        <f ca="1">+INDEX(Charges_NonSlice!$Z$4:$Z$138,MATCH($A85,Charges_NonSlice!$AA$4:$AA$138,0),1)</f>
        <v>-1.2973364599785788E-2</v>
      </c>
      <c r="J85" s="86">
        <f ca="1">+INDEX(Charges_NonSlice!$Y$4:$Y$138,MATCH($A85,Charges_NonSlice!$AA$4:$AA$138,0),1)</f>
        <v>35.86223054298798</v>
      </c>
      <c r="K85" s="234">
        <f ca="1">+INDEX(Charges_NonSlice!$X$4:$X$138,MATCH($A85,Charges_NonSlice!$AA$4:$AA$138,0),1)/1000</f>
        <v>19.930845091349276</v>
      </c>
      <c r="L85" s="69">
        <f ca="1">+SUM(K$5:K85)</f>
        <v>28978.09684622641</v>
      </c>
      <c r="N85" s="232" t="str">
        <f ca="1">+INDEX('Charges_NonSlice &amp; Excl LS'!$C$4:$C$138,MATCH($A85,'Charges_NonSlice &amp; Excl LS'!$AA$4:$AA$138,0),1)</f>
        <v>Lower Valley Energy</v>
      </c>
      <c r="O85" s="63">
        <f ca="1">+INDEX('Charges_NonSlice &amp; Excl LS'!$Z$4:$Z$138,MATCH($A85,'Charges_NonSlice &amp; Excl LS'!$AA$4:$AA$138,0),1)</f>
        <v>-2.624078660945656E-2</v>
      </c>
      <c r="P85" s="86">
        <f ca="1">+INDEX('Charges_NonSlice &amp; Excl LS'!$Y$4:$Y$138,MATCH($A85,'Charges_NonSlice &amp; Excl LS'!$AA$4:$AA$138,0),1)</f>
        <v>33.258440621166891</v>
      </c>
      <c r="Q85" s="234">
        <f ca="1">+INDEX('Charges_NonSlice &amp; Excl LS'!$X$4:$X$138,MATCH($A85,'Charges_NonSlice &amp; Excl LS'!$AA$4:$AA$138,0),1)/1000</f>
        <v>755.75904572714387</v>
      </c>
      <c r="R85" s="69">
        <f ca="1">+SUM(Q$5:Q85)</f>
        <v>36284.115316155112</v>
      </c>
      <c r="T85" s="232" t="str">
        <f ca="1">+INDEX(Charges_NonSlice!$C$4:$C$138,MATCH($A85,Charges_NonSlice!$AA$4:$AA$138,0),1)</f>
        <v>Energy Northwest</v>
      </c>
      <c r="U85" s="63">
        <f t="shared" ca="1" si="3"/>
        <v>-1.4731510429792816E-2</v>
      </c>
      <c r="V85" s="86">
        <f ca="1">+INDEX(Charges_NonSlice!$Y$4:$Y$138,MATCH($A85,Charges_NonSlice!$AA$4:$AA$138,0),1)</f>
        <v>35.86223054298798</v>
      </c>
      <c r="W85" s="77">
        <f t="shared" ca="1" si="6"/>
        <v>36.398434459861562</v>
      </c>
      <c r="Y85" s="66" t="s">
        <v>72</v>
      </c>
      <c r="Z85" s="67">
        <v>25.480841995529641</v>
      </c>
    </row>
    <row r="86" spans="1:26">
      <c r="A86">
        <f t="shared" si="5"/>
        <v>82</v>
      </c>
      <c r="B86" s="71" t="str">
        <f ca="1">+INDEX('Charges_Including Slice and LS'!$C$4:$C$138,MATCH($A86,'Charges_Including Slice and LS'!$AA$4:$AA$138,0),1)</f>
        <v>Sumas, Town of</v>
      </c>
      <c r="C86" s="63">
        <f ca="1">+INDEX('Charges_Including Slice and LS'!$Z$4:$Z$138,MATCH($A86,'Charges_Including Slice and LS'!$AA$4:$AA$138,0),1)</f>
        <v>-1.2534803761649602E-2</v>
      </c>
      <c r="D86" s="60">
        <f ca="1">+INDEX('Charges_Including Slice and LS'!$Y$4:$Y$138,MATCH($A86,'Charges_Including Slice and LS'!$AA$4:$AA$138,0),1)</f>
        <v>34.788000028741159</v>
      </c>
      <c r="E86" s="69">
        <f ca="1">+INDEX('Charges_Including Slice and LS'!$X$4:$X$138,MATCH($A86,'Charges_Including Slice and LS'!$AA$4:$AA$138,0),1)/1000</f>
        <v>32.000111999999994</v>
      </c>
      <c r="F86" s="69">
        <f ca="1">+SUM(E$5:E86)</f>
        <v>46199.768678834997</v>
      </c>
      <c r="H86" s="232" t="str">
        <f ca="1">+INDEX(Charges_NonSlice!$C$4:$C$138,MATCH($A86,Charges_NonSlice!$AA$4:$AA$138,0),1)</f>
        <v>United Electric Coop</v>
      </c>
      <c r="I86" s="63">
        <f ca="1">+INDEX(Charges_NonSlice!$Z$4:$Z$138,MATCH($A86,Charges_NonSlice!$AA$4:$AA$138,0),1)</f>
        <v>-1.299006225940524E-2</v>
      </c>
      <c r="J86" s="86">
        <f ca="1">+INDEX(Charges_NonSlice!$Y$4:$Y$138,MATCH($A86,Charges_NonSlice!$AA$4:$AA$138,0),1)</f>
        <v>31.886133616576121</v>
      </c>
      <c r="K86" s="234">
        <f ca="1">+INDEX(Charges_NonSlice!$X$4:$X$138,MATCH($A86,Charges_NonSlice!$AA$4:$AA$138,0),1)/1000</f>
        <v>263.31796800000001</v>
      </c>
      <c r="L86" s="69">
        <f ca="1">+SUM(K$5:K86)</f>
        <v>29241.414814226409</v>
      </c>
      <c r="N86" s="232" t="str">
        <f ca="1">+INDEX('Charges_NonSlice &amp; Excl LS'!$C$4:$C$138,MATCH($A86,'Charges_NonSlice &amp; Excl LS'!$AA$4:$AA$138,0),1)</f>
        <v>Okanogan County PUD #1</v>
      </c>
      <c r="O86" s="63">
        <f ca="1">+INDEX('Charges_NonSlice &amp; Excl LS'!$Z$4:$Z$138,MATCH($A86,'Charges_NonSlice &amp; Excl LS'!$AA$4:$AA$138,0),1)</f>
        <v>-2.6262226546035997E-2</v>
      </c>
      <c r="P86" s="86">
        <f ca="1">+INDEX('Charges_NonSlice &amp; Excl LS'!$Y$4:$Y$138,MATCH($A86,'Charges_NonSlice &amp; Excl LS'!$AA$4:$AA$138,0),1)</f>
        <v>31.505072670870398</v>
      </c>
      <c r="Q86" s="234">
        <f ca="1">+INDEX('Charges_NonSlice &amp; Excl LS'!$X$4:$X$138,MATCH($A86,'Charges_NonSlice &amp; Excl LS'!$AA$4:$AA$138,0),1)/1000</f>
        <v>403.283683580184</v>
      </c>
      <c r="R86" s="69">
        <f ca="1">+SUM(Q$5:Q86)</f>
        <v>36687.398999735298</v>
      </c>
      <c r="T86" s="232" t="str">
        <f ca="1">+INDEX(Charges_NonSlice!$C$4:$C$138,MATCH($A86,Charges_NonSlice!$AA$4:$AA$138,0),1)</f>
        <v>United Electric Coop</v>
      </c>
      <c r="U86" s="63">
        <f t="shared" ca="1" si="3"/>
        <v>2.2437386313296503E-3</v>
      </c>
      <c r="V86" s="86">
        <f ca="1">+INDEX(Charges_NonSlice!$Y$4:$Y$138,MATCH($A86,Charges_NonSlice!$AA$4:$AA$138,0),1)</f>
        <v>31.886133616576121</v>
      </c>
      <c r="W86" s="77">
        <f t="shared" ca="1" si="6"/>
        <v>31.814749633776739</v>
      </c>
      <c r="Y86" s="66" t="s">
        <v>140</v>
      </c>
      <c r="Z86" s="67">
        <v>33.216043103760299</v>
      </c>
    </row>
    <row r="87" spans="1:26">
      <c r="A87">
        <f t="shared" si="5"/>
        <v>83</v>
      </c>
      <c r="B87" s="71" t="str">
        <f ca="1">+INDEX('Charges_Including Slice and LS'!$C$4:$C$138,MATCH($A87,'Charges_Including Slice and LS'!$AA$4:$AA$138,0),1)</f>
        <v>Eatonville, City of</v>
      </c>
      <c r="C87" s="63">
        <f ca="1">+INDEX('Charges_Including Slice and LS'!$Z$4:$Z$138,MATCH($A87,'Charges_Including Slice and LS'!$AA$4:$AA$138,0),1)</f>
        <v>-1.2818167712596605E-2</v>
      </c>
      <c r="D87" s="60">
        <f ca="1">+INDEX('Charges_Including Slice and LS'!$Y$4:$Y$138,MATCH($A87,'Charges_Including Slice and LS'!$AA$4:$AA$138,0),1)</f>
        <v>37.358173707310634</v>
      </c>
      <c r="E87" s="69">
        <f ca="1">+INDEX('Charges_Including Slice and LS'!$X$4:$X$138,MATCH($A87,'Charges_Including Slice and LS'!$AA$4:$AA$138,0),1)/1000</f>
        <v>28.607096131136839</v>
      </c>
      <c r="F87" s="69">
        <f ca="1">+SUM(E$5:E87)</f>
        <v>46228.375774966131</v>
      </c>
      <c r="H87" s="232" t="str">
        <f ca="1">+INDEX(Charges_NonSlice!$C$4:$C$138,MATCH($A87,Charges_NonSlice!$AA$4:$AA$138,0),1)</f>
        <v>U.S. Naval Base,  Bremerton</v>
      </c>
      <c r="I87" s="63">
        <f ca="1">+INDEX(Charges_NonSlice!$Z$4:$Z$138,MATCH($A87,Charges_NonSlice!$AA$4:$AA$138,0),1)</f>
        <v>-1.3305881268875226E-2</v>
      </c>
      <c r="J87" s="86">
        <f ca="1">+INDEX(Charges_NonSlice!$Y$4:$Y$138,MATCH($A87,Charges_NonSlice!$AA$4:$AA$138,0),1)</f>
        <v>34.724511353938411</v>
      </c>
      <c r="K87" s="234">
        <f ca="1">+INDEX(Charges_NonSlice!$X$4:$X$138,MATCH($A87,Charges_NonSlice!$AA$4:$AA$138,0),1)/1000</f>
        <v>267.56064000000003</v>
      </c>
      <c r="L87" s="69">
        <f ca="1">+SUM(K$5:K87)</f>
        <v>29508.975454226409</v>
      </c>
      <c r="N87" s="232" t="str">
        <f ca="1">+INDEX('Charges_NonSlice &amp; Excl LS'!$C$4:$C$138,MATCH($A87,'Charges_NonSlice &amp; Excl LS'!$AA$4:$AA$138,0),1)</f>
        <v>Columbia REA</v>
      </c>
      <c r="O87" s="63">
        <f ca="1">+INDEX('Charges_NonSlice &amp; Excl LS'!$Z$4:$Z$138,MATCH($A87,'Charges_NonSlice &amp; Excl LS'!$AA$4:$AA$138,0),1)</f>
        <v>-2.626699800036086E-2</v>
      </c>
      <c r="P87" s="86">
        <f ca="1">+INDEX('Charges_NonSlice &amp; Excl LS'!$Y$4:$Y$138,MATCH($A87,'Charges_NonSlice &amp; Excl LS'!$AA$4:$AA$138,0),1)</f>
        <v>26.485537745773257</v>
      </c>
      <c r="Q87" s="234">
        <f ca="1">+INDEX('Charges_NonSlice &amp; Excl LS'!$X$4:$X$138,MATCH($A87,'Charges_NonSlice &amp; Excl LS'!$AA$4:$AA$138,0),1)/1000</f>
        <v>331.09479362102394</v>
      </c>
      <c r="R87" s="69">
        <f ca="1">+SUM(Q$5:Q87)</f>
        <v>37018.49379335632</v>
      </c>
      <c r="T87" s="232" t="str">
        <f ca="1">+INDEX(Charges_NonSlice!$C$4:$C$138,MATCH($A87,Charges_NonSlice!$AA$4:$AA$138,0),1)</f>
        <v>U.S. Naval Base,  Bremerton</v>
      </c>
      <c r="U87" s="63">
        <f t="shared" ca="1" si="3"/>
        <v>-3.8519026667836131E-2</v>
      </c>
      <c r="V87" s="86">
        <f ca="1">+INDEX(Charges_NonSlice!$Y$4:$Y$138,MATCH($A87,Charges_NonSlice!$AA$4:$AA$138,0),1)</f>
        <v>34.724511353938411</v>
      </c>
      <c r="W87" s="77">
        <f t="shared" ca="1" si="6"/>
        <v>36.115651081055866</v>
      </c>
      <c r="Y87" s="66" t="s">
        <v>15</v>
      </c>
      <c r="Z87" s="67">
        <v>35.171943562457294</v>
      </c>
    </row>
    <row r="88" spans="1:26">
      <c r="A88">
        <f t="shared" si="5"/>
        <v>84</v>
      </c>
      <c r="B88" s="71" t="str">
        <f ca="1">+INDEX('Charges_Including Slice and LS'!$C$4:$C$138,MATCH($A88,'Charges_Including Slice and LS'!$AA$4:$AA$138,0),1)</f>
        <v>Heyburn, City of</v>
      </c>
      <c r="C88" s="63">
        <f ca="1">+INDEX('Charges_Including Slice and LS'!$Z$4:$Z$138,MATCH($A88,'Charges_Including Slice and LS'!$AA$4:$AA$138,0),1)</f>
        <v>-1.2881409605440335E-2</v>
      </c>
      <c r="D88" s="60">
        <f ca="1">+INDEX('Charges_Including Slice and LS'!$Y$4:$Y$138,MATCH($A88,'Charges_Including Slice and LS'!$AA$4:$AA$138,0),1)</f>
        <v>35.146618672432567</v>
      </c>
      <c r="E88" s="69">
        <f ca="1">+INDEX('Charges_Including Slice and LS'!$X$4:$X$138,MATCH($A88,'Charges_Including Slice and LS'!$AA$4:$AA$138,0),1)/1000</f>
        <v>42.312528</v>
      </c>
      <c r="F88" s="69">
        <f ca="1">+SUM(E$5:E88)</f>
        <v>46270.688302966133</v>
      </c>
      <c r="H88" s="232" t="str">
        <f ca="1">+INDEX(Charges_NonSlice!$C$4:$C$138,MATCH($A88,Charges_NonSlice!$AA$4:$AA$138,0),1)</f>
        <v>Skamania County PUD #1</v>
      </c>
      <c r="I88" s="63">
        <f ca="1">+INDEX(Charges_NonSlice!$Z$4:$Z$138,MATCH($A88,Charges_NonSlice!$AA$4:$AA$138,0),1)</f>
        <v>-1.43102352925044E-2</v>
      </c>
      <c r="J88" s="86">
        <f ca="1">+INDEX(Charges_NonSlice!$Y$4:$Y$138,MATCH($A88,Charges_NonSlice!$AA$4:$AA$138,0),1)</f>
        <v>34.519868461700867</v>
      </c>
      <c r="K88" s="234">
        <f ca="1">+INDEX(Charges_NonSlice!$X$4:$X$138,MATCH($A88,Charges_NonSlice!$AA$4:$AA$138,0),1)/1000</f>
        <v>139.53539663958719</v>
      </c>
      <c r="L88" s="69">
        <f ca="1">+SUM(K$5:K88)</f>
        <v>29648.510850865998</v>
      </c>
      <c r="N88" s="232" t="str">
        <f ca="1">+INDEX('Charges_NonSlice &amp; Excl LS'!$C$4:$C$138,MATCH($A88,'Charges_NonSlice &amp; Excl LS'!$AA$4:$AA$138,0),1)</f>
        <v>Jefferson County PUD #1</v>
      </c>
      <c r="O88" s="63">
        <f ca="1">+INDEX('Charges_NonSlice &amp; Excl LS'!$Z$4:$Z$138,MATCH($A88,'Charges_NonSlice &amp; Excl LS'!$AA$4:$AA$138,0),1)</f>
        <v>-2.629337518998159E-2</v>
      </c>
      <c r="P88" s="86">
        <f ca="1">+INDEX('Charges_NonSlice &amp; Excl LS'!$Y$4:$Y$138,MATCH($A88,'Charges_NonSlice &amp; Excl LS'!$AA$4:$AA$138,0),1)</f>
        <v>34.779191354811566</v>
      </c>
      <c r="Q88" s="234">
        <f ca="1">+INDEX('Charges_NonSlice &amp; Excl LS'!$X$4:$X$138,MATCH($A88,'Charges_NonSlice &amp; Excl LS'!$AA$4:$AA$138,0),1)/1000</f>
        <v>396.80002307246394</v>
      </c>
      <c r="R88" s="69">
        <f ca="1">+SUM(Q$5:Q88)</f>
        <v>37415.293816428784</v>
      </c>
      <c r="T88" s="232" t="str">
        <f ca="1">+INDEX(Charges_NonSlice!$C$4:$C$138,MATCH($A88,Charges_NonSlice!$AA$4:$AA$138,0),1)</f>
        <v>Skamania County PUD #1</v>
      </c>
      <c r="U88" s="63">
        <f t="shared" ca="1" si="3"/>
        <v>2.435234737916403E-3</v>
      </c>
      <c r="V88" s="86">
        <f ca="1">+INDEX(Charges_NonSlice!$Y$4:$Y$138,MATCH($A88,Charges_NonSlice!$AA$4:$AA$138,0),1)</f>
        <v>34.519868461700867</v>
      </c>
      <c r="W88" s="77">
        <f t="shared" ca="1" si="6"/>
        <v>34.436008697086528</v>
      </c>
      <c r="Y88" s="66" t="s">
        <v>49</v>
      </c>
      <c r="Z88" s="67">
        <v>31.508041221286426</v>
      </c>
    </row>
    <row r="89" spans="1:26">
      <c r="A89">
        <f t="shared" si="5"/>
        <v>85</v>
      </c>
      <c r="B89" s="71" t="str">
        <f ca="1">+INDEX('Charges_Including Slice and LS'!$C$4:$C$138,MATCH($A89,'Charges_Including Slice and LS'!$AA$4:$AA$138,0),1)</f>
        <v>Energy Northwest</v>
      </c>
      <c r="C89" s="63">
        <f ca="1">+INDEX('Charges_Including Slice and LS'!$Z$4:$Z$138,MATCH($A89,'Charges_Including Slice and LS'!$AA$4:$AA$138,0),1)</f>
        <v>-1.2973364599788293E-2</v>
      </c>
      <c r="D89" s="60">
        <f ca="1">+INDEX('Charges_Including Slice and LS'!$Y$4:$Y$138,MATCH($A89,'Charges_Including Slice and LS'!$AA$4:$AA$138,0),1)</f>
        <v>35.86223054298798</v>
      </c>
      <c r="E89" s="69">
        <f ca="1">+INDEX('Charges_Including Slice and LS'!$X$4:$X$138,MATCH($A89,'Charges_Including Slice and LS'!$AA$4:$AA$138,0),1)/1000</f>
        <v>19.930845091349276</v>
      </c>
      <c r="F89" s="69">
        <f ca="1">+SUM(E$5:E89)</f>
        <v>46290.619148057485</v>
      </c>
      <c r="H89" s="232" t="str">
        <f ca="1">+INDEX(Charges_NonSlice!$C$4:$C$138,MATCH($A89,Charges_NonSlice!$AA$4:$AA$138,0),1)</f>
        <v>Lower Valley Energy</v>
      </c>
      <c r="I89" s="63">
        <f ca="1">+INDEX(Charges_NonSlice!$Z$4:$Z$138,MATCH($A89,Charges_NonSlice!$AA$4:$AA$138,0),1)</f>
        <v>-1.4546395759960043E-2</v>
      </c>
      <c r="J89" s="86">
        <f ca="1">+INDEX(Charges_NonSlice!$Y$4:$Y$138,MATCH($A89,Charges_NonSlice!$AA$4:$AA$138,0),1)</f>
        <v>34.83929732068124</v>
      </c>
      <c r="K89" s="234">
        <f ca="1">+INDEX(Charges_NonSlice!$X$4:$X$138,MATCH($A89,Charges_NonSlice!$AA$4:$AA$138,0),1)/1000</f>
        <v>755.75779199999999</v>
      </c>
      <c r="L89" s="69">
        <f ca="1">+SUM(K$5:K89)</f>
        <v>30404.268642865998</v>
      </c>
      <c r="N89" s="232" t="str">
        <f ca="1">+INDEX('Charges_NonSlice &amp; Excl LS'!$C$4:$C$138,MATCH($A89,'Charges_NonSlice &amp; Excl LS'!$AA$4:$AA$138,0),1)</f>
        <v>Modern Elec Coop</v>
      </c>
      <c r="O89" s="63">
        <f ca="1">+INDEX('Charges_NonSlice &amp; Excl LS'!$Z$4:$Z$138,MATCH($A89,'Charges_NonSlice &amp; Excl LS'!$AA$4:$AA$138,0),1)</f>
        <v>-2.66581232040747E-2</v>
      </c>
      <c r="P89" s="86">
        <f ca="1">+INDEX('Charges_NonSlice &amp; Excl LS'!$Y$4:$Y$138,MATCH($A89,'Charges_NonSlice &amp; Excl LS'!$AA$4:$AA$138,0),1)</f>
        <v>35.898055451731096</v>
      </c>
      <c r="Q89" s="234">
        <f ca="1">+INDEX('Charges_NonSlice &amp; Excl LS'!$X$4:$X$138,MATCH($A89,'Charges_NonSlice &amp; Excl LS'!$AA$4:$AA$138,0),1)/1000</f>
        <v>230.88656313280799</v>
      </c>
      <c r="R89" s="69">
        <f ca="1">+SUM(Q$5:Q89)</f>
        <v>37646.180379561592</v>
      </c>
      <c r="T89" s="232" t="str">
        <f ca="1">+INDEX(Charges_NonSlice!$C$4:$C$138,MATCH($A89,Charges_NonSlice!$AA$4:$AA$138,0),1)</f>
        <v>Lower Valley Energy</v>
      </c>
      <c r="U89" s="63">
        <f t="shared" ca="1" si="3"/>
        <v>-9.5695849084160844E-3</v>
      </c>
      <c r="V89" s="86">
        <f ca="1">+INDEX(Charges_NonSlice!$Y$4:$Y$138,MATCH($A89,Charges_NonSlice!$AA$4:$AA$138,0),1)</f>
        <v>34.83929732068124</v>
      </c>
      <c r="W89" s="77">
        <f t="shared" ca="1" si="6"/>
        <v>35.175916237850686</v>
      </c>
      <c r="Y89" s="66" t="s">
        <v>95</v>
      </c>
      <c r="Z89" s="67">
        <v>35.62918623771634</v>
      </c>
    </row>
    <row r="90" spans="1:26">
      <c r="A90">
        <f t="shared" si="5"/>
        <v>86</v>
      </c>
      <c r="B90" s="71" t="str">
        <f ca="1">+INDEX('Charges_Including Slice and LS'!$C$4:$C$138,MATCH($A90,'Charges_Including Slice and LS'!$AA$4:$AA$138,0),1)</f>
        <v>United Electric Coop</v>
      </c>
      <c r="C90" s="63">
        <f ca="1">+INDEX('Charges_Including Slice and LS'!$Z$4:$Z$138,MATCH($A90,'Charges_Including Slice and LS'!$AA$4:$AA$138,0),1)</f>
        <v>-1.2990062259403847E-2</v>
      </c>
      <c r="D90" s="60">
        <f ca="1">+INDEX('Charges_Including Slice and LS'!$Y$4:$Y$138,MATCH($A90,'Charges_Including Slice and LS'!$AA$4:$AA$138,0),1)</f>
        <v>31.886133616576121</v>
      </c>
      <c r="E90" s="69">
        <f ca="1">+INDEX('Charges_Including Slice and LS'!$X$4:$X$138,MATCH($A90,'Charges_Including Slice and LS'!$AA$4:$AA$138,0),1)/1000</f>
        <v>263.31796800000001</v>
      </c>
      <c r="F90" s="69">
        <f ca="1">+SUM(E$5:E90)</f>
        <v>46553.937116057488</v>
      </c>
      <c r="H90" s="232" t="str">
        <f ca="1">+INDEX(Charges_NonSlice!$C$4:$C$138,MATCH($A90,Charges_NonSlice!$AA$4:$AA$138,0),1)</f>
        <v>Wells Rural Elec Coop</v>
      </c>
      <c r="I90" s="63">
        <f ca="1">+INDEX(Charges_NonSlice!$Z$4:$Z$138,MATCH($A90,Charges_NonSlice!$AA$4:$AA$138,0),1)</f>
        <v>-1.4898332458805065E-2</v>
      </c>
      <c r="J90" s="86">
        <f ca="1">+INDEX(Charges_NonSlice!$Y$4:$Y$138,MATCH($A90,Charges_NonSlice!$AA$4:$AA$138,0),1)</f>
        <v>31.707875087516804</v>
      </c>
      <c r="K90" s="234">
        <f ca="1">+INDEX(Charges_NonSlice!$X$4:$X$138,MATCH($A90,Charges_NonSlice!$AA$4:$AA$138,0),1)/1000</f>
        <v>841.25143585612261</v>
      </c>
      <c r="L90" s="69">
        <f ca="1">+SUM(K$5:K90)</f>
        <v>31245.520078722122</v>
      </c>
      <c r="N90" s="232" t="str">
        <f ca="1">+INDEX('Charges_NonSlice &amp; Excl LS'!$C$4:$C$138,MATCH($A90,'Charges_NonSlice &amp; Excl LS'!$AA$4:$AA$138,0),1)</f>
        <v>Hood River Elec Coop</v>
      </c>
      <c r="O90" s="63">
        <f ca="1">+INDEX('Charges_NonSlice &amp; Excl LS'!$Z$4:$Z$138,MATCH($A90,'Charges_NonSlice &amp; Excl LS'!$AA$4:$AA$138,0),1)</f>
        <v>-2.6693099532919672E-2</v>
      </c>
      <c r="P90" s="86">
        <f ca="1">+INDEX('Charges_NonSlice &amp; Excl LS'!$Y$4:$Y$138,MATCH($A90,'Charges_NonSlice &amp; Excl LS'!$AA$4:$AA$138,0),1)</f>
        <v>34.797581972780534</v>
      </c>
      <c r="Q90" s="234">
        <f ca="1">+INDEX('Charges_NonSlice &amp; Excl LS'!$X$4:$X$138,MATCH($A90,'Charges_NonSlice &amp; Excl LS'!$AA$4:$AA$138,0),1)/1000</f>
        <v>115.06170728772</v>
      </c>
      <c r="R90" s="69">
        <f ca="1">+SUM(Q$5:Q90)</f>
        <v>37761.242086849314</v>
      </c>
      <c r="T90" s="232" t="str">
        <f ca="1">+INDEX(Charges_NonSlice!$C$4:$C$138,MATCH($A90,Charges_NonSlice!$AA$4:$AA$138,0),1)</f>
        <v>Wells Rural Elec Coop</v>
      </c>
      <c r="U90" s="63">
        <f t="shared" ca="1" si="3"/>
        <v>-1.970332659476981E-2</v>
      </c>
      <c r="V90" s="86">
        <f ca="1">+INDEX(Charges_NonSlice!$Y$4:$Y$138,MATCH($A90,Charges_NonSlice!$AA$4:$AA$138,0),1)</f>
        <v>31.707875087516804</v>
      </c>
      <c r="W90" s="77">
        <f t="shared" ca="1" si="6"/>
        <v>32.345182787751398</v>
      </c>
      <c r="Y90" s="66" t="s">
        <v>89</v>
      </c>
      <c r="Z90" s="67">
        <v>35.174978044302691</v>
      </c>
    </row>
    <row r="91" spans="1:26">
      <c r="A91">
        <f t="shared" si="5"/>
        <v>87</v>
      </c>
      <c r="B91" s="71" t="str">
        <f ca="1">+INDEX('Charges_Including Slice and LS'!$C$4:$C$138,MATCH($A91,'Charges_Including Slice and LS'!$AA$4:$AA$138,0),1)</f>
        <v>U.S. Naval Base,  Bremerton</v>
      </c>
      <c r="C91" s="63">
        <f ca="1">+INDEX('Charges_Including Slice and LS'!$Z$4:$Z$138,MATCH($A91,'Charges_Including Slice and LS'!$AA$4:$AA$138,0),1)</f>
        <v>-1.3305881268875899E-2</v>
      </c>
      <c r="D91" s="60">
        <f ca="1">+INDEX('Charges_Including Slice and LS'!$Y$4:$Y$138,MATCH($A91,'Charges_Including Slice and LS'!$AA$4:$AA$138,0),1)</f>
        <v>34.724511353938411</v>
      </c>
      <c r="E91" s="69">
        <f ca="1">+INDEX('Charges_Including Slice and LS'!$X$4:$X$138,MATCH($A91,'Charges_Including Slice and LS'!$AA$4:$AA$138,0),1)/1000</f>
        <v>267.56064000000003</v>
      </c>
      <c r="F91" s="69">
        <f ca="1">+SUM(E$5:E91)</f>
        <v>46821.497756057492</v>
      </c>
      <c r="H91" s="232" t="str">
        <f ca="1">+INDEX(Charges_NonSlice!$C$4:$C$138,MATCH($A91,Charges_NonSlice!$AA$4:$AA$138,0),1)</f>
        <v>Umpqua Indian Utility Cooperative</v>
      </c>
      <c r="I91" s="63">
        <f ca="1">+INDEX(Charges_NonSlice!$Z$4:$Z$138,MATCH($A91,Charges_NonSlice!$AA$4:$AA$138,0),1)</f>
        <v>-1.5613208651817529E-2</v>
      </c>
      <c r="J91" s="86">
        <f ca="1">+INDEX(Charges_NonSlice!$Y$4:$Y$138,MATCH($A91,Charges_NonSlice!$AA$4:$AA$138,0),1)</f>
        <v>34.631868027604156</v>
      </c>
      <c r="K91" s="234">
        <f ca="1">+INDEX(Charges_NonSlice!$X$4:$X$138,MATCH($A91,Charges_NonSlice!$AA$4:$AA$138,0),1)/1000</f>
        <v>24.379632111740758</v>
      </c>
      <c r="L91" s="69">
        <f ca="1">+SUM(K$5:K91)</f>
        <v>31269.899710833863</v>
      </c>
      <c r="N91" s="232" t="str">
        <f ca="1">+INDEX('Charges_NonSlice &amp; Excl LS'!$C$4:$C$138,MATCH($A91,'Charges_NonSlice &amp; Excl LS'!$AA$4:$AA$138,0),1)</f>
        <v>Central Lincoln PUD</v>
      </c>
      <c r="O91" s="63">
        <f ca="1">+INDEX('Charges_NonSlice &amp; Excl LS'!$Z$4:$Z$138,MATCH($A91,'Charges_NonSlice &amp; Excl LS'!$AA$4:$AA$138,0),1)</f>
        <v>-2.6711583932671097E-2</v>
      </c>
      <c r="P91" s="86">
        <f ca="1">+INDEX('Charges_NonSlice &amp; Excl LS'!$Y$4:$Y$138,MATCH($A91,'Charges_NonSlice &amp; Excl LS'!$AA$4:$AA$138,0),1)</f>
        <v>33.898870042424171</v>
      </c>
      <c r="Q91" s="234">
        <f ca="1">+INDEX('Charges_NonSlice &amp; Excl LS'!$X$4:$X$138,MATCH($A91,'Charges_NonSlice &amp; Excl LS'!$AA$4:$AA$138,0),1)/1000</f>
        <v>1337.9173058026079</v>
      </c>
      <c r="R91" s="69">
        <f ca="1">+SUM(Q$5:Q91)</f>
        <v>39099.15939265192</v>
      </c>
      <c r="T91" s="232" t="str">
        <f ca="1">+INDEX(Charges_NonSlice!$C$4:$C$138,MATCH($A91,Charges_NonSlice!$AA$4:$AA$138,0),1)</f>
        <v>Umpqua Indian Utility Cooperative</v>
      </c>
      <c r="U91" s="63">
        <f t="shared" ca="1" si="3"/>
        <v>-1.0709902015630268E-2</v>
      </c>
      <c r="V91" s="86">
        <f ca="1">+INDEX(Charges_NonSlice!$Y$4:$Y$138,MATCH($A91,Charges_NonSlice!$AA$4:$AA$138,0),1)</f>
        <v>34.631868027604156</v>
      </c>
      <c r="W91" s="77">
        <f t="shared" ca="1" si="6"/>
        <v>35.006787289355159</v>
      </c>
      <c r="Y91" s="66" t="s">
        <v>35</v>
      </c>
      <c r="Z91" s="67">
        <v>36.145306836612811</v>
      </c>
    </row>
    <row r="92" spans="1:26">
      <c r="A92">
        <f t="shared" si="5"/>
        <v>88</v>
      </c>
      <c r="B92" s="71" t="str">
        <f ca="1">+INDEX('Charges_Including Slice and LS'!$C$4:$C$138,MATCH($A92,'Charges_Including Slice and LS'!$AA$4:$AA$138,0),1)</f>
        <v>Lewis County PUD #1</v>
      </c>
      <c r="C92" s="63">
        <f ca="1">+INDEX('Charges_Including Slice and LS'!$Z$4:$Z$138,MATCH($A92,'Charges_Including Slice and LS'!$AA$4:$AA$138,0),1)</f>
        <v>-1.4079261542578329E-2</v>
      </c>
      <c r="D92" s="60">
        <f ca="1">+INDEX('Charges_Including Slice and LS'!$Y$4:$Y$138,MATCH($A92,'Charges_Including Slice and LS'!$AA$4:$AA$138,0),1)</f>
        <v>35.607199100728913</v>
      </c>
      <c r="E92" s="69">
        <f ca="1">+INDEX('Charges_Including Slice and LS'!$X$4:$X$138,MATCH($A92,'Charges_Including Slice and LS'!$AA$4:$AA$138,0),1)/1000</f>
        <v>999.02189478996934</v>
      </c>
      <c r="F92" s="69">
        <f ca="1">+SUM(E$5:E92)</f>
        <v>47820.519650847462</v>
      </c>
      <c r="H92" s="232" t="str">
        <f ca="1">+INDEX(Charges_NonSlice!$C$4:$C$138,MATCH($A92,Charges_NonSlice!$AA$4:$AA$138,0),1)</f>
        <v>Plummer, City of</v>
      </c>
      <c r="I92" s="63">
        <f ca="1">+INDEX(Charges_NonSlice!$Z$4:$Z$138,MATCH($A92,Charges_NonSlice!$AA$4:$AA$138,0),1)</f>
        <v>-1.5626257653158108E-2</v>
      </c>
      <c r="J92" s="86">
        <f ca="1">+INDEX(Charges_NonSlice!$Y$4:$Y$138,MATCH($A92,Charges_NonSlice!$AA$4:$AA$138,0),1)</f>
        <v>36.171289593359987</v>
      </c>
      <c r="K92" s="234">
        <f ca="1">+INDEX(Charges_NonSlice!$X$4:$X$138,MATCH($A92,Charges_NonSlice!$AA$4:$AA$138,0),1)/1000</f>
        <v>33.985456155794317</v>
      </c>
      <c r="L92" s="69">
        <f ca="1">+SUM(K$5:K92)</f>
        <v>31303.885166989658</v>
      </c>
      <c r="N92" s="232" t="str">
        <f ca="1">+INDEX('Charges_NonSlice &amp; Excl LS'!$C$4:$C$138,MATCH($A92,'Charges_NonSlice &amp; Excl LS'!$AA$4:$AA$138,0),1)</f>
        <v>Franklin County PUD #1</v>
      </c>
      <c r="O92" s="63">
        <f ca="1">+INDEX('Charges_NonSlice &amp; Excl LS'!$Z$4:$Z$138,MATCH($A92,'Charges_NonSlice &amp; Excl LS'!$AA$4:$AA$138,0),1)</f>
        <v>-2.6715285308534412E-2</v>
      </c>
      <c r="P92" s="86">
        <f ca="1">+INDEX('Charges_NonSlice &amp; Excl LS'!$Y$4:$Y$138,MATCH($A92,'Charges_NonSlice &amp; Excl LS'!$AA$4:$AA$138,0),1)</f>
        <v>31.100057630911426</v>
      </c>
      <c r="Q92" s="234">
        <f ca="1">+INDEX('Charges_NonSlice &amp; Excl LS'!$X$4:$X$138,MATCH($A92,'Charges_NonSlice &amp; Excl LS'!$AA$4:$AA$138,0),1)/1000</f>
        <v>547.61182781997604</v>
      </c>
      <c r="R92" s="69">
        <f ca="1">+SUM(Q$5:Q92)</f>
        <v>39646.771220471899</v>
      </c>
      <c r="T92" s="232" t="str">
        <f ca="1">+INDEX(Charges_NonSlice!$C$4:$C$138,MATCH($A92,Charges_NonSlice!$AA$4:$AA$138,0),1)</f>
        <v>Plummer, City of</v>
      </c>
      <c r="U92" s="63">
        <f t="shared" ca="1" si="3"/>
        <v>-1.3312078602736754E-2</v>
      </c>
      <c r="V92" s="86">
        <f ca="1">+INDEX(Charges_NonSlice!$Y$4:$Y$138,MATCH($A92,Charges_NonSlice!$AA$4:$AA$138,0),1)</f>
        <v>36.171289593359987</v>
      </c>
      <c r="W92" s="77">
        <f t="shared" ca="1" si="6"/>
        <v>36.659301091004835</v>
      </c>
      <c r="Y92" s="66" t="s">
        <v>130</v>
      </c>
      <c r="Z92" s="67">
        <v>32.765618654523415</v>
      </c>
    </row>
    <row r="93" spans="1:26">
      <c r="A93">
        <f t="shared" si="5"/>
        <v>89</v>
      </c>
      <c r="B93" s="71" t="str">
        <f ca="1">+INDEX('Charges_Including Slice and LS'!$C$4:$C$138,MATCH($A93,'Charges_Including Slice and LS'!$AA$4:$AA$138,0),1)</f>
        <v>Skamania County PUD #1</v>
      </c>
      <c r="C93" s="63">
        <f ca="1">+INDEX('Charges_Including Slice and LS'!$Z$4:$Z$138,MATCH($A93,'Charges_Including Slice and LS'!$AA$4:$AA$138,0),1)</f>
        <v>-1.4310235292502017E-2</v>
      </c>
      <c r="D93" s="60">
        <f ca="1">+INDEX('Charges_Including Slice and LS'!$Y$4:$Y$138,MATCH($A93,'Charges_Including Slice and LS'!$AA$4:$AA$138,0),1)</f>
        <v>34.519868461700867</v>
      </c>
      <c r="E93" s="69">
        <f ca="1">+INDEX('Charges_Including Slice and LS'!$X$4:$X$138,MATCH($A93,'Charges_Including Slice and LS'!$AA$4:$AA$138,0),1)/1000</f>
        <v>139.53539663958719</v>
      </c>
      <c r="F93" s="69">
        <f ca="1">+SUM(E$5:E93)</f>
        <v>47960.055047487047</v>
      </c>
      <c r="H93" s="232" t="str">
        <f ca="1">+INDEX(Charges_NonSlice!$C$4:$C$138,MATCH($A93,Charges_NonSlice!$AA$4:$AA$138,0),1)</f>
        <v>Missoula Elec Coop</v>
      </c>
      <c r="I93" s="63">
        <f ca="1">+INDEX(Charges_NonSlice!$Z$4:$Z$138,MATCH($A93,Charges_NonSlice!$AA$4:$AA$138,0),1)</f>
        <v>-1.5643233793546527E-2</v>
      </c>
      <c r="J93" s="86">
        <f ca="1">+INDEX(Charges_NonSlice!$Y$4:$Y$138,MATCH($A93,Charges_NonSlice!$AA$4:$AA$138,0),1)</f>
        <v>34.069454375326579</v>
      </c>
      <c r="K93" s="234">
        <f ca="1">+INDEX(Charges_NonSlice!$X$4:$X$138,MATCH($A93,Charges_NonSlice!$AA$4:$AA$138,0),1)/1000</f>
        <v>237.03623999999999</v>
      </c>
      <c r="L93" s="69">
        <f ca="1">+SUM(K$5:K93)</f>
        <v>31540.921406989659</v>
      </c>
      <c r="N93" s="232" t="str">
        <f ca="1">+INDEX('Charges_NonSlice &amp; Excl LS'!$C$4:$C$138,MATCH($A93,'Charges_NonSlice &amp; Excl LS'!$AA$4:$AA$138,0),1)</f>
        <v>Asotin County PUD #1</v>
      </c>
      <c r="O93" s="63">
        <f ca="1">+INDEX('Charges_NonSlice &amp; Excl LS'!$Z$4:$Z$138,MATCH($A93,'Charges_NonSlice &amp; Excl LS'!$AA$4:$AA$138,0),1)</f>
        <v>-2.6822268018479249E-2</v>
      </c>
      <c r="P93" s="86">
        <f ca="1">+INDEX('Charges_NonSlice &amp; Excl LS'!$Y$4:$Y$138,MATCH($A93,'Charges_NonSlice &amp; Excl LS'!$AA$4:$AA$138,0),1)</f>
        <v>39.072409387462812</v>
      </c>
      <c r="Q93" s="234">
        <f ca="1">+INDEX('Charges_NonSlice &amp; Excl LS'!$X$4:$X$138,MATCH($A93,'Charges_NonSlice &amp; Excl LS'!$AA$4:$AA$138,0),1)/1000</f>
        <v>5.0318169107760005</v>
      </c>
      <c r="R93" s="69">
        <f ca="1">+SUM(Q$5:Q93)</f>
        <v>39651.803037382677</v>
      </c>
      <c r="T93" s="232" t="str">
        <f ca="1">+INDEX(Charges_NonSlice!$C$4:$C$138,MATCH($A93,Charges_NonSlice!$AA$4:$AA$138,0),1)</f>
        <v>Missoula Elec Coop</v>
      </c>
      <c r="U93" s="63">
        <f t="shared" ca="1" si="3"/>
        <v>4.1728200869630694E-3</v>
      </c>
      <c r="V93" s="86">
        <f ca="1">+INDEX(Charges_NonSlice!$Y$4:$Y$138,MATCH($A93,Charges_NonSlice!$AA$4:$AA$138,0),1)</f>
        <v>34.069454375326579</v>
      </c>
      <c r="W93" s="77">
        <f t="shared" ca="1" si="6"/>
        <v>33.927879438497555</v>
      </c>
      <c r="Y93" s="66" t="s">
        <v>126</v>
      </c>
      <c r="Z93" s="67">
        <v>38.672475546862245</v>
      </c>
    </row>
    <row r="94" spans="1:26">
      <c r="A94">
        <f t="shared" si="5"/>
        <v>90</v>
      </c>
      <c r="B94" s="71" t="str">
        <f ca="1">+INDEX('Charges_Including Slice and LS'!$C$4:$C$138,MATCH($A94,'Charges_Including Slice and LS'!$AA$4:$AA$138,0),1)</f>
        <v>Lower Valley Energy</v>
      </c>
      <c r="C94" s="63">
        <f ca="1">+INDEX('Charges_Including Slice and LS'!$Z$4:$Z$138,MATCH($A94,'Charges_Including Slice and LS'!$AA$4:$AA$138,0),1)</f>
        <v>-1.4546395759956582E-2</v>
      </c>
      <c r="D94" s="60">
        <f ca="1">+INDEX('Charges_Including Slice and LS'!$Y$4:$Y$138,MATCH($A94,'Charges_Including Slice and LS'!$AA$4:$AA$138,0),1)</f>
        <v>34.83929732068124</v>
      </c>
      <c r="E94" s="69">
        <f ca="1">+INDEX('Charges_Including Slice and LS'!$X$4:$X$138,MATCH($A94,'Charges_Including Slice and LS'!$AA$4:$AA$138,0),1)/1000</f>
        <v>755.75779199999999</v>
      </c>
      <c r="F94" s="69">
        <f ca="1">+SUM(E$5:E94)</f>
        <v>48715.812839487044</v>
      </c>
      <c r="H94" s="232" t="str">
        <f ca="1">+INDEX(Charges_NonSlice!$C$4:$C$138,MATCH($A94,Charges_NonSlice!$AA$4:$AA$138,0),1)</f>
        <v>Troy, City of</v>
      </c>
      <c r="I94" s="63">
        <f ca="1">+INDEX(Charges_NonSlice!$Z$4:$Z$138,MATCH($A94,Charges_NonSlice!$AA$4:$AA$138,0),1)</f>
        <v>-1.589879544691709E-2</v>
      </c>
      <c r="J94" s="86">
        <f ca="1">+INDEX(Charges_NonSlice!$Y$4:$Y$138,MATCH($A94,Charges_NonSlice!$AA$4:$AA$138,0),1)</f>
        <v>36.779089724557501</v>
      </c>
      <c r="K94" s="234">
        <f ca="1">+INDEX(Charges_NonSlice!$X$4:$X$138,MATCH($A94,Charges_NonSlice!$AA$4:$AA$138,0),1)/1000</f>
        <v>17.543174080399879</v>
      </c>
      <c r="L94" s="69">
        <f ca="1">+SUM(K$5:K94)</f>
        <v>31558.46458107006</v>
      </c>
      <c r="N94" s="232" t="str">
        <f ca="1">+INDEX('Charges_NonSlice &amp; Excl LS'!$C$4:$C$138,MATCH($A94,'Charges_NonSlice &amp; Excl LS'!$AA$4:$AA$138,0),1)</f>
        <v>Big Bend Elec Coop</v>
      </c>
      <c r="O94" s="63">
        <f ca="1">+INDEX('Charges_NonSlice &amp; Excl LS'!$Z$4:$Z$138,MATCH($A94,'Charges_NonSlice &amp; Excl LS'!$AA$4:$AA$138,0),1)</f>
        <v>-2.6878994697683661E-2</v>
      </c>
      <c r="P94" s="86">
        <f ca="1">+INDEX('Charges_NonSlice &amp; Excl LS'!$Y$4:$Y$138,MATCH($A94,'Charges_NonSlice &amp; Excl LS'!$AA$4:$AA$138,0),1)</f>
        <v>28.236363461020407</v>
      </c>
      <c r="Q94" s="234">
        <f ca="1">+INDEX('Charges_NonSlice &amp; Excl LS'!$X$4:$X$138,MATCH($A94,'Charges_NonSlice &amp; Excl LS'!$AA$4:$AA$138,0),1)/1000</f>
        <v>537.52958061897607</v>
      </c>
      <c r="R94" s="69">
        <f ca="1">+SUM(Q$5:Q94)</f>
        <v>40189.332618001652</v>
      </c>
      <c r="T94" s="232" t="str">
        <f ca="1">+INDEX(Charges_NonSlice!$C$4:$C$138,MATCH($A94,Charges_NonSlice!$AA$4:$AA$138,0),1)</f>
        <v>Troy, City of</v>
      </c>
      <c r="U94" s="63">
        <f t="shared" ca="1" si="3"/>
        <v>-1.5683323916970249E-2</v>
      </c>
      <c r="V94" s="86">
        <f ca="1">+INDEX(Charges_NonSlice!$Y$4:$Y$138,MATCH($A94,Charges_NonSlice!$AA$4:$AA$138,0),1)</f>
        <v>36.779089724557501</v>
      </c>
      <c r="W94" s="77">
        <f t="shared" ca="1" si="6"/>
        <v>37.365098670191671</v>
      </c>
      <c r="Y94" s="66" t="s">
        <v>16</v>
      </c>
      <c r="Z94" s="67">
        <v>38.057183170727043</v>
      </c>
    </row>
    <row r="95" spans="1:26">
      <c r="A95">
        <f t="shared" si="5"/>
        <v>91</v>
      </c>
      <c r="B95" s="71" t="str">
        <f ca="1">+INDEX('Charges_Including Slice and LS'!$C$4:$C$138,MATCH($A95,'Charges_Including Slice and LS'!$AA$4:$AA$138,0),1)</f>
        <v>Wells Rural Elec Coop</v>
      </c>
      <c r="C95" s="63">
        <f ca="1">+INDEX('Charges_Including Slice and LS'!$Z$4:$Z$138,MATCH($A95,'Charges_Including Slice and LS'!$AA$4:$AA$138,0),1)</f>
        <v>-1.4898332458804127E-2</v>
      </c>
      <c r="D95" s="60">
        <f ca="1">+INDEX('Charges_Including Slice and LS'!$Y$4:$Y$138,MATCH($A95,'Charges_Including Slice and LS'!$AA$4:$AA$138,0),1)</f>
        <v>31.707875087516804</v>
      </c>
      <c r="E95" s="69">
        <f ca="1">+INDEX('Charges_Including Slice and LS'!$X$4:$X$138,MATCH($A95,'Charges_Including Slice and LS'!$AA$4:$AA$138,0),1)/1000</f>
        <v>841.25143585612261</v>
      </c>
      <c r="F95" s="69">
        <f ca="1">+SUM(E$5:E95)</f>
        <v>49557.064275343168</v>
      </c>
      <c r="H95" s="232" t="str">
        <f ca="1">+INDEX(Charges_NonSlice!$C$4:$C$138,MATCH($A95,Charges_NonSlice!$AA$4:$AA$138,0),1)</f>
        <v>Minidoka, City of</v>
      </c>
      <c r="I95" s="63">
        <f ca="1">+INDEX(Charges_NonSlice!$Z$4:$Z$138,MATCH($A95,Charges_NonSlice!$AA$4:$AA$138,0),1)</f>
        <v>-1.6227087582567003E-2</v>
      </c>
      <c r="J95" s="86">
        <f ca="1">+INDEX(Charges_NonSlice!$Y$4:$Y$138,MATCH($A95,Charges_NonSlice!$AA$4:$AA$138,0),1)</f>
        <v>36.08877567598023</v>
      </c>
      <c r="K95" s="234">
        <f ca="1">+INDEX(Charges_NonSlice!$X$4:$X$138,MATCH($A95,Charges_NonSlice!$AA$4:$AA$138,0),1)/1000</f>
        <v>0.87399300398159996</v>
      </c>
      <c r="L95" s="69">
        <f ca="1">+SUM(K$5:K95)</f>
        <v>31559.338574074041</v>
      </c>
      <c r="N95" s="232" t="str">
        <f ca="1">+INDEX('Charges_NonSlice &amp; Excl LS'!$C$4:$C$138,MATCH($A95,'Charges_NonSlice &amp; Excl LS'!$AA$4:$AA$138,0),1)</f>
        <v>Skamania County PUD #1</v>
      </c>
      <c r="O95" s="63">
        <f ca="1">+INDEX('Charges_NonSlice &amp; Excl LS'!$Z$4:$Z$138,MATCH($A95,'Charges_NonSlice &amp; Excl LS'!$AA$4:$AA$138,0),1)</f>
        <v>-2.699188897841593E-2</v>
      </c>
      <c r="P95" s="86">
        <f ca="1">+INDEX('Charges_NonSlice &amp; Excl LS'!$Y$4:$Y$138,MATCH($A95,'Charges_NonSlice &amp; Excl LS'!$AA$4:$AA$138,0),1)</f>
        <v>33.428314116042337</v>
      </c>
      <c r="Q95" s="234">
        <f ca="1">+INDEX('Charges_NonSlice &amp; Excl LS'!$X$4:$X$138,MATCH($A95,'Charges_NonSlice &amp; Excl LS'!$AA$4:$AA$138,0),1)/1000</f>
        <v>139.532096802024</v>
      </c>
      <c r="R95" s="69">
        <f ca="1">+SUM(Q$5:Q95)</f>
        <v>40328.864714803676</v>
      </c>
      <c r="T95" s="232" t="str">
        <f ca="1">+INDEX(Charges_NonSlice!$C$4:$C$138,MATCH($A95,Charges_NonSlice!$AA$4:$AA$138,0),1)</f>
        <v>Minidoka, City of</v>
      </c>
      <c r="U95" s="63">
        <f t="shared" ca="1" si="3"/>
        <v>-1.5639972538652458E-3</v>
      </c>
      <c r="V95" s="86">
        <f ca="1">+INDEX(Charges_NonSlice!$Y$4:$Y$138,MATCH($A95,Charges_NonSlice!$AA$4:$AA$138,0),1)</f>
        <v>36.08877567598023</v>
      </c>
      <c r="W95" s="77">
        <f t="shared" ca="1" si="6"/>
        <v>36.145306836612811</v>
      </c>
      <c r="Y95" s="66" t="s">
        <v>128</v>
      </c>
      <c r="Z95" s="67">
        <v>29.9759497137983</v>
      </c>
    </row>
    <row r="96" spans="1:26">
      <c r="A96">
        <f t="shared" si="5"/>
        <v>92</v>
      </c>
      <c r="B96" s="71" t="str">
        <f ca="1">+INDEX('Charges_Including Slice and LS'!$C$4:$C$138,MATCH($A96,'Charges_Including Slice and LS'!$AA$4:$AA$138,0),1)</f>
        <v>Clark County PUD #1</v>
      </c>
      <c r="C96" s="63">
        <f ca="1">+INDEX('Charges_Including Slice and LS'!$Z$4:$Z$138,MATCH($A96,'Charges_Including Slice and LS'!$AA$4:$AA$138,0),1)</f>
        <v>-1.512259086370967E-2</v>
      </c>
      <c r="D96" s="60">
        <f ca="1">+INDEX('Charges_Including Slice and LS'!$Y$4:$Y$138,MATCH($A96,'Charges_Including Slice and LS'!$AA$4:$AA$138,0),1)</f>
        <v>36.699924018349549</v>
      </c>
      <c r="E96" s="69">
        <f ca="1">+INDEX('Charges_Including Slice and LS'!$X$4:$X$138,MATCH($A96,'Charges_Including Slice and LS'!$AA$4:$AA$138,0),1)/1000</f>
        <v>2797.6513111184609</v>
      </c>
      <c r="F96" s="69">
        <f ca="1">+SUM(E$5:E96)</f>
        <v>52354.715586461629</v>
      </c>
      <c r="H96" s="232" t="str">
        <f ca="1">+INDEX(Charges_NonSlice!$C$4:$C$138,MATCH($A96,Charges_NonSlice!$AA$4:$AA$138,0),1)</f>
        <v>Centralia, City of</v>
      </c>
      <c r="I96" s="63">
        <f ca="1">+INDEX(Charges_NonSlice!$Z$4:$Z$138,MATCH($A96,Charges_NonSlice!$AA$4:$AA$138,0),1)</f>
        <v>-1.6449468158858119E-2</v>
      </c>
      <c r="J96" s="86">
        <f ca="1">+INDEX(Charges_NonSlice!$Y$4:$Y$138,MATCH($A96,Charges_NonSlice!$AA$4:$AA$138,0),1)</f>
        <v>36.151351628958665</v>
      </c>
      <c r="K96" s="234">
        <f ca="1">+INDEX(Charges_NonSlice!$X$4:$X$138,MATCH($A96,Charges_NonSlice!$AA$4:$AA$138,0),1)/1000</f>
        <v>214.07486399999999</v>
      </c>
      <c r="L96" s="69">
        <f ca="1">+SUM(K$5:K96)</f>
        <v>31773.41343807404</v>
      </c>
      <c r="N96" s="232" t="str">
        <f ca="1">+INDEX('Charges_NonSlice &amp; Excl LS'!$C$4:$C$138,MATCH($A96,'Charges_NonSlice &amp; Excl LS'!$AA$4:$AA$138,0),1)</f>
        <v>Bandon, City of</v>
      </c>
      <c r="O96" s="63">
        <f ca="1">+INDEX('Charges_NonSlice &amp; Excl LS'!$Z$4:$Z$138,MATCH($A96,'Charges_NonSlice &amp; Excl LS'!$AA$4:$AA$138,0),1)</f>
        <v>-2.729082659326958E-2</v>
      </c>
      <c r="P96" s="86">
        <f ca="1">+INDEX('Charges_NonSlice &amp; Excl LS'!$Y$4:$Y$138,MATCH($A96,'Charges_NonSlice &amp; Excl LS'!$AA$4:$AA$138,0),1)</f>
        <v>34.607597865528376</v>
      </c>
      <c r="Q96" s="234">
        <f ca="1">+INDEX('Charges_NonSlice &amp; Excl LS'!$X$4:$X$138,MATCH($A96,'Charges_NonSlice &amp; Excl LS'!$AA$4:$AA$138,0),1)/1000</f>
        <v>66.791009919239997</v>
      </c>
      <c r="R96" s="69">
        <f ca="1">+SUM(Q$5:Q96)</f>
        <v>40395.655724722914</v>
      </c>
      <c r="T96" s="232" t="str">
        <f ca="1">+INDEX(Charges_NonSlice!$C$4:$C$138,MATCH($A96,Charges_NonSlice!$AA$4:$AA$138,0),1)</f>
        <v>Centralia, City of</v>
      </c>
      <c r="U96" s="63">
        <f t="shared" ca="1" si="3"/>
        <v>7.6644390600197898E-3</v>
      </c>
      <c r="V96" s="86">
        <f ca="1">+INDEX(Charges_NonSlice!$Y$4:$Y$138,MATCH($A96,Charges_NonSlice!$AA$4:$AA$138,0),1)</f>
        <v>36.151351628958665</v>
      </c>
      <c r="W96" s="77">
        <f t="shared" ca="1" si="6"/>
        <v>35.876379306073112</v>
      </c>
      <c r="Y96" s="66" t="s">
        <v>90</v>
      </c>
      <c r="Z96" s="67">
        <v>33.927879438497555</v>
      </c>
    </row>
    <row r="97" spans="1:26">
      <c r="A97">
        <f t="shared" si="5"/>
        <v>93</v>
      </c>
      <c r="B97" s="71" t="str">
        <f ca="1">+INDEX('Charges_Including Slice and LS'!$C$4:$C$138,MATCH($A97,'Charges_Including Slice and LS'!$AA$4:$AA$138,0),1)</f>
        <v>Umpqua Indian Utility Cooperative</v>
      </c>
      <c r="C97" s="63">
        <f ca="1">+INDEX('Charges_Including Slice and LS'!$Z$4:$Z$138,MATCH($A97,'Charges_Including Slice and LS'!$AA$4:$AA$138,0),1)</f>
        <v>-1.5613208651813881E-2</v>
      </c>
      <c r="D97" s="60">
        <f ca="1">+INDEX('Charges_Including Slice and LS'!$Y$4:$Y$138,MATCH($A97,'Charges_Including Slice and LS'!$AA$4:$AA$138,0),1)</f>
        <v>34.631868027604156</v>
      </c>
      <c r="E97" s="69">
        <f ca="1">+INDEX('Charges_Including Slice and LS'!$X$4:$X$138,MATCH($A97,'Charges_Including Slice and LS'!$AA$4:$AA$138,0),1)/1000</f>
        <v>24.379632111740758</v>
      </c>
      <c r="F97" s="69">
        <f ca="1">+SUM(E$5:E97)</f>
        <v>52379.095218573369</v>
      </c>
      <c r="H97" s="232" t="str">
        <f ca="1">+INDEX(Charges_NonSlice!$C$4:$C$138,MATCH($A97,Charges_NonSlice!$AA$4:$AA$138,0),1)</f>
        <v>Salmon River Elec Coop</v>
      </c>
      <c r="I97" s="63">
        <f ca="1">+INDEX(Charges_NonSlice!$Z$4:$Z$138,MATCH($A97,Charges_NonSlice!$AA$4:$AA$138,0),1)</f>
        <v>-1.7639892922830157E-2</v>
      </c>
      <c r="J97" s="86">
        <f ca="1">+INDEX(Charges_NonSlice!$Y$4:$Y$138,MATCH($A97,Charges_NonSlice!$AA$4:$AA$138,0),1)</f>
        <v>29.768642547058086</v>
      </c>
      <c r="K97" s="234">
        <f ca="1">+INDEX(Charges_NonSlice!$X$4:$X$138,MATCH($A97,Charges_NonSlice!$AA$4:$AA$138,0),1)/1000</f>
        <v>105.04721748151762</v>
      </c>
      <c r="L97" s="69">
        <f ca="1">+SUM(K$5:K97)</f>
        <v>31878.460655555558</v>
      </c>
      <c r="N97" s="232" t="str">
        <f ca="1">+INDEX('Charges_NonSlice &amp; Excl LS'!$C$4:$C$138,MATCH($A97,'Charges_NonSlice &amp; Excl LS'!$AA$4:$AA$138,0),1)</f>
        <v>U.S. Naval Submarine Base, Bangor</v>
      </c>
      <c r="O97" s="63">
        <f ca="1">+INDEX('Charges_NonSlice &amp; Excl LS'!$Z$4:$Z$138,MATCH($A97,'Charges_NonSlice &amp; Excl LS'!$AA$4:$AA$138,0),1)</f>
        <v>-2.75056531325098E-2</v>
      </c>
      <c r="P97" s="86">
        <f ca="1">+INDEX('Charges_NonSlice &amp; Excl LS'!$Y$4:$Y$138,MATCH($A97,'Charges_NonSlice &amp; Excl LS'!$AA$4:$AA$138,0),1)</f>
        <v>37.001695570756262</v>
      </c>
      <c r="Q97" s="234">
        <f ca="1">+INDEX('Charges_NonSlice &amp; Excl LS'!$X$4:$X$138,MATCH($A97,'Charges_NonSlice &amp; Excl LS'!$AA$4:$AA$138,0),1)/1000</f>
        <v>179.37713774037601</v>
      </c>
      <c r="R97" s="69">
        <f ca="1">+SUM(Q$5:Q97)</f>
        <v>40575.032862463289</v>
      </c>
      <c r="T97" s="232" t="str">
        <f ca="1">+INDEX(Charges_NonSlice!$C$4:$C$138,MATCH($A97,Charges_NonSlice!$AA$4:$AA$138,0),1)</f>
        <v>Salmon River Elec Coop</v>
      </c>
      <c r="U97" s="63">
        <f t="shared" ca="1" si="3"/>
        <v>-1.7657443201347989E-2</v>
      </c>
      <c r="V97" s="86">
        <f ca="1">+INDEX(Charges_NonSlice!$Y$4:$Y$138,MATCH($A97,Charges_NonSlice!$AA$4:$AA$138,0),1)</f>
        <v>29.768642547058086</v>
      </c>
      <c r="W97" s="77">
        <f t="shared" ca="1" si="6"/>
        <v>30.303728919238587</v>
      </c>
      <c r="Y97" s="66" t="s">
        <v>106</v>
      </c>
      <c r="Z97" s="67" t="s">
        <v>609</v>
      </c>
    </row>
    <row r="98" spans="1:26">
      <c r="A98">
        <f t="shared" si="5"/>
        <v>94</v>
      </c>
      <c r="B98" s="71" t="str">
        <f ca="1">+INDEX('Charges_Including Slice and LS'!$C$4:$C$138,MATCH($A98,'Charges_Including Slice and LS'!$AA$4:$AA$138,0),1)</f>
        <v>Plummer, City of</v>
      </c>
      <c r="C98" s="63">
        <f ca="1">+INDEX('Charges_Including Slice and LS'!$Z$4:$Z$138,MATCH($A98,'Charges_Including Slice and LS'!$AA$4:$AA$138,0),1)</f>
        <v>-1.5626257653150673E-2</v>
      </c>
      <c r="D98" s="60">
        <f ca="1">+INDEX('Charges_Including Slice and LS'!$Y$4:$Y$138,MATCH($A98,'Charges_Including Slice and LS'!$AA$4:$AA$138,0),1)</f>
        <v>36.171289593359987</v>
      </c>
      <c r="E98" s="69">
        <f ca="1">+INDEX('Charges_Including Slice and LS'!$X$4:$X$138,MATCH($A98,'Charges_Including Slice and LS'!$AA$4:$AA$138,0),1)/1000</f>
        <v>33.985456155794317</v>
      </c>
      <c r="F98" s="69">
        <f ca="1">+SUM(E$5:E98)</f>
        <v>52413.080674729164</v>
      </c>
      <c r="H98" s="232" t="str">
        <f ca="1">+INDEX(Charges_NonSlice!$C$4:$C$138,MATCH($A98,Charges_NonSlice!$AA$4:$AA$138,0),1)</f>
        <v>Port Angeles, City of</v>
      </c>
      <c r="I98" s="63">
        <f ca="1">+INDEX(Charges_NonSlice!$Z$4:$Z$138,MATCH($A98,Charges_NonSlice!$AA$4:$AA$138,0),1)</f>
        <v>-1.7673231789849551E-2</v>
      </c>
      <c r="J98" s="86">
        <f ca="1">+INDEX(Charges_NonSlice!$Y$4:$Y$138,MATCH($A98,Charges_NonSlice!$AA$4:$AA$138,0),1)</f>
        <v>33.588799529002777</v>
      </c>
      <c r="K98" s="234">
        <f ca="1">+INDEX(Charges_NonSlice!$X$4:$X$138,MATCH($A98,Charges_NonSlice!$AA$4:$AA$138,0),1)/1000</f>
        <v>411.01561388400779</v>
      </c>
      <c r="L98" s="69">
        <f ca="1">+SUM(K$5:K98)</f>
        <v>32289.476269439565</v>
      </c>
      <c r="N98" s="232" t="str">
        <f ca="1">+INDEX('Charges_NonSlice &amp; Excl LS'!$C$4:$C$138,MATCH($A98,'Charges_NonSlice &amp; Excl LS'!$AA$4:$AA$138,0),1)</f>
        <v>Cheney, City of</v>
      </c>
      <c r="O98" s="63">
        <f ca="1">+INDEX('Charges_NonSlice &amp; Excl LS'!$Z$4:$Z$138,MATCH($A98,'Charges_NonSlice &amp; Excl LS'!$AA$4:$AA$138,0),1)</f>
        <v>-2.7733774307839732E-2</v>
      </c>
      <c r="P98" s="86">
        <f ca="1">+INDEX('Charges_NonSlice &amp; Excl LS'!$Y$4:$Y$138,MATCH($A98,'Charges_NonSlice &amp; Excl LS'!$AA$4:$AA$138,0),1)</f>
        <v>36.856024141744413</v>
      </c>
      <c r="Q98" s="234">
        <f ca="1">+INDEX('Charges_NonSlice &amp; Excl LS'!$X$4:$X$138,MATCH($A98,'Charges_NonSlice &amp; Excl LS'!$AA$4:$AA$138,0),1)/1000</f>
        <v>138.93646865968802</v>
      </c>
      <c r="R98" s="69">
        <f ca="1">+SUM(Q$5:Q98)</f>
        <v>40713.969331122978</v>
      </c>
      <c r="T98" s="232" t="str">
        <f ca="1">+INDEX(Charges_NonSlice!$C$4:$C$138,MATCH($A98,Charges_NonSlice!$AA$4:$AA$138,0),1)</f>
        <v>Port Angeles, City of</v>
      </c>
      <c r="U98" s="63">
        <f t="shared" ca="1" si="3"/>
        <v>-2.0892638264068286E-2</v>
      </c>
      <c r="V98" s="86">
        <f ca="1">+INDEX(Charges_NonSlice!$Y$4:$Y$138,MATCH($A98,Charges_NonSlice!$AA$4:$AA$138,0),1)</f>
        <v>33.588799529002777</v>
      </c>
      <c r="W98" s="77">
        <f t="shared" ca="1" si="6"/>
        <v>34.305532612328349</v>
      </c>
      <c r="Y98" s="66" t="s">
        <v>59</v>
      </c>
      <c r="Z98" s="67">
        <v>36.770262237413711</v>
      </c>
    </row>
    <row r="99" spans="1:26">
      <c r="A99">
        <f t="shared" si="5"/>
        <v>95</v>
      </c>
      <c r="B99" s="71" t="str">
        <f ca="1">+INDEX('Charges_Including Slice and LS'!$C$4:$C$138,MATCH($A99,'Charges_Including Slice and LS'!$AA$4:$AA$138,0),1)</f>
        <v>Missoula Elec Coop</v>
      </c>
      <c r="C99" s="63">
        <f ca="1">+INDEX('Charges_Including Slice and LS'!$Z$4:$Z$138,MATCH($A99,'Charges_Including Slice and LS'!$AA$4:$AA$138,0),1)</f>
        <v>-1.5643233793541749E-2</v>
      </c>
      <c r="D99" s="60">
        <f ca="1">+INDEX('Charges_Including Slice and LS'!$Y$4:$Y$138,MATCH($A99,'Charges_Including Slice and LS'!$AA$4:$AA$138,0),1)</f>
        <v>34.069454375326579</v>
      </c>
      <c r="E99" s="69">
        <f ca="1">+INDEX('Charges_Including Slice and LS'!$X$4:$X$138,MATCH($A99,'Charges_Including Slice and LS'!$AA$4:$AA$138,0),1)/1000</f>
        <v>237.03623999999999</v>
      </c>
      <c r="F99" s="69">
        <f ca="1">+SUM(E$5:E99)</f>
        <v>52650.116914729166</v>
      </c>
      <c r="H99" s="232" t="str">
        <f ca="1">+INDEX(Charges_NonSlice!$C$4:$C$138,MATCH($A99,Charges_NonSlice!$AA$4:$AA$138,0),1)</f>
        <v>Clallam County PUD #1</v>
      </c>
      <c r="I99" s="63">
        <f ca="1">+INDEX(Charges_NonSlice!$Z$4:$Z$138,MATCH($A99,Charges_NonSlice!$AA$4:$AA$138,0),1)</f>
        <v>-1.8371301711168714E-2</v>
      </c>
      <c r="J99" s="86">
        <f ca="1">+INDEX(Charges_NonSlice!$Y$4:$Y$138,MATCH($A99,Charges_NonSlice!$AA$4:$AA$138,0),1)</f>
        <v>34.613398000854552</v>
      </c>
      <c r="K99" s="234">
        <f ca="1">+INDEX(Charges_NonSlice!$X$4:$X$138,MATCH($A99,Charges_NonSlice!$AA$4:$AA$138,0),1)/1000</f>
        <v>667.82995200000005</v>
      </c>
      <c r="L99" s="69">
        <f ca="1">+SUM(K$5:K99)</f>
        <v>32957.306221439561</v>
      </c>
      <c r="N99" s="232" t="str">
        <f ca="1">+INDEX('Charges_NonSlice &amp; Excl LS'!$C$4:$C$138,MATCH($A99,'Charges_NonSlice &amp; Excl LS'!$AA$4:$AA$138,0),1)</f>
        <v>Salmon River Elec Coop</v>
      </c>
      <c r="O99" s="63">
        <f ca="1">+INDEX('Charges_NonSlice &amp; Excl LS'!$Z$4:$Z$138,MATCH($A99,'Charges_NonSlice &amp; Excl LS'!$AA$4:$AA$138,0),1)</f>
        <v>-2.7740603439910274E-2</v>
      </c>
      <c r="P99" s="86">
        <f ca="1">+INDEX('Charges_NonSlice &amp; Excl LS'!$Y$4:$Y$138,MATCH($A99,'Charges_NonSlice &amp; Excl LS'!$AA$4:$AA$138,0),1)</f>
        <v>29.620976522151125</v>
      </c>
      <c r="Q99" s="234">
        <f ca="1">+INDEX('Charges_NonSlice &amp; Excl LS'!$X$4:$X$138,MATCH($A99,'Charges_NonSlice &amp; Excl LS'!$AA$4:$AA$138,0),1)/1000</f>
        <v>105.04770914469599</v>
      </c>
      <c r="R99" s="69">
        <f ca="1">+SUM(Q$5:Q99)</f>
        <v>40819.017040267674</v>
      </c>
      <c r="T99" s="232" t="str">
        <f ca="1">+INDEX(Charges_NonSlice!$C$4:$C$138,MATCH($A99,Charges_NonSlice!$AA$4:$AA$138,0),1)</f>
        <v>Clallam County PUD #1</v>
      </c>
      <c r="U99" s="63">
        <f t="shared" ca="1" si="3"/>
        <v>-1.3400266927921844E-2</v>
      </c>
      <c r="V99" s="86">
        <f ca="1">+INDEX(Charges_NonSlice!$Y$4:$Y$138,MATCH($A99,Charges_NonSlice!$AA$4:$AA$138,0),1)</f>
        <v>34.613398000854552</v>
      </c>
      <c r="W99" s="77">
        <f t="shared" ca="1" si="6"/>
        <v>35.083526622367124</v>
      </c>
      <c r="Y99" s="66" t="s">
        <v>76</v>
      </c>
      <c r="Z99" s="67">
        <v>35.140453480740064</v>
      </c>
    </row>
    <row r="100" spans="1:26">
      <c r="A100">
        <f t="shared" si="5"/>
        <v>96</v>
      </c>
      <c r="B100" s="71" t="str">
        <f ca="1">+INDEX('Charges_Including Slice and LS'!$C$4:$C$138,MATCH($A100,'Charges_Including Slice and LS'!$AA$4:$AA$138,0),1)</f>
        <v>Troy, City of</v>
      </c>
      <c r="C100" s="63">
        <f ca="1">+INDEX('Charges_Including Slice and LS'!$Z$4:$Z$138,MATCH($A100,'Charges_Including Slice and LS'!$AA$4:$AA$138,0),1)</f>
        <v>-1.5898795446915016E-2</v>
      </c>
      <c r="D100" s="60">
        <f ca="1">+INDEX('Charges_Including Slice and LS'!$Y$4:$Y$138,MATCH($A100,'Charges_Including Slice and LS'!$AA$4:$AA$138,0),1)</f>
        <v>36.779089724557501</v>
      </c>
      <c r="E100" s="69">
        <f ca="1">+INDEX('Charges_Including Slice and LS'!$X$4:$X$138,MATCH($A100,'Charges_Including Slice and LS'!$AA$4:$AA$138,0),1)/1000</f>
        <v>17.543174080399879</v>
      </c>
      <c r="F100" s="69">
        <f ca="1">+SUM(E$5:E100)</f>
        <v>52667.660088809564</v>
      </c>
      <c r="H100" s="232" t="str">
        <f ca="1">+INDEX(Charges_NonSlice!$C$4:$C$138,MATCH($A100,Charges_NonSlice!$AA$4:$AA$138,0),1)</f>
        <v>Clark County PUD #1</v>
      </c>
      <c r="I100" s="63">
        <f ca="1">+INDEX(Charges_NonSlice!$Z$4:$Z$138,MATCH($A100,Charges_NonSlice!$AA$4:$AA$138,0),1)</f>
        <v>-1.8605996157240418E-2</v>
      </c>
      <c r="J100" s="86">
        <f ca="1">+INDEX(Charges_NonSlice!$Y$4:$Y$138,MATCH($A100,Charges_NonSlice!$AA$4:$AA$138,0),1)</f>
        <v>33.465181252502241</v>
      </c>
      <c r="K100" s="234">
        <f ca="1">+INDEX(Charges_NonSlice!$X$4:$X$138,MATCH($A100,Charges_NonSlice!$AA$4:$AA$138,0),1)/1000</f>
        <v>1444.0305175215565</v>
      </c>
      <c r="L100" s="69">
        <f ca="1">+SUM(K$5:K100)</f>
        <v>34401.336738961116</v>
      </c>
      <c r="N100" s="232" t="str">
        <f ca="1">+INDEX('Charges_NonSlice &amp; Excl LS'!$C$4:$C$138,MATCH($A100,'Charges_NonSlice &amp; Excl LS'!$AA$4:$AA$138,0),1)</f>
        <v>Columbia Power Coop</v>
      </c>
      <c r="O100" s="63">
        <f ca="1">+INDEX('Charges_NonSlice &amp; Excl LS'!$Z$4:$Z$138,MATCH($A100,'Charges_NonSlice &amp; Excl LS'!$AA$4:$AA$138,0),1)</f>
        <v>-2.7806298168924066E-2</v>
      </c>
      <c r="P100" s="86">
        <f ca="1">+INDEX('Charges_NonSlice &amp; Excl LS'!$Y$4:$Y$138,MATCH($A100,'Charges_NonSlice &amp; Excl LS'!$AA$4:$AA$138,0),1)</f>
        <v>30.784845611893193</v>
      </c>
      <c r="Q100" s="234">
        <f ca="1">+INDEX('Charges_NonSlice &amp; Excl LS'!$X$4:$X$138,MATCH($A100,'Charges_NonSlice &amp; Excl LS'!$AA$4:$AA$138,0),1)/1000</f>
        <v>27.554006042855999</v>
      </c>
      <c r="R100" s="69">
        <f ca="1">+SUM(Q$5:Q100)</f>
        <v>40846.571046310528</v>
      </c>
      <c r="T100" s="232" t="str">
        <f ca="1">+INDEX(Charges_NonSlice!$C$4:$C$138,MATCH($A100,Charges_NonSlice!$AA$4:$AA$138,0),1)</f>
        <v>Clark County PUD #1</v>
      </c>
      <c r="U100" s="63">
        <f t="shared" ca="1" si="3"/>
        <v>-1.8605996157247895E-2</v>
      </c>
      <c r="V100" s="86">
        <f ca="1">+INDEX(Charges_NonSlice!$Y$4:$Y$138,MATCH($A100,Charges_NonSlice!$AA$4:$AA$138,0),1)</f>
        <v>33.465181252502241</v>
      </c>
      <c r="W100" s="77">
        <f t="shared" ca="1" si="6"/>
        <v>34.099639004788884</v>
      </c>
      <c r="Y100" s="66" t="s">
        <v>69</v>
      </c>
      <c r="Z100" s="67">
        <v>33.859766413117889</v>
      </c>
    </row>
    <row r="101" spans="1:26">
      <c r="A101">
        <f t="shared" si="5"/>
        <v>97</v>
      </c>
      <c r="B101" s="71" t="str">
        <f ca="1">+INDEX('Charges_Including Slice and LS'!$C$4:$C$138,MATCH($A101,'Charges_Including Slice and LS'!$AA$4:$AA$138,0),1)</f>
        <v>Minidoka, City of</v>
      </c>
      <c r="C101" s="63">
        <f ca="1">+INDEX('Charges_Including Slice and LS'!$Z$4:$Z$138,MATCH($A101,'Charges_Including Slice and LS'!$AA$4:$AA$138,0),1)</f>
        <v>-1.6227087582569907E-2</v>
      </c>
      <c r="D101" s="60">
        <f ca="1">+INDEX('Charges_Including Slice and LS'!$Y$4:$Y$138,MATCH($A101,'Charges_Including Slice and LS'!$AA$4:$AA$138,0),1)</f>
        <v>36.08877567598023</v>
      </c>
      <c r="E101" s="69">
        <f ca="1">+INDEX('Charges_Including Slice and LS'!$X$4:$X$138,MATCH($A101,'Charges_Including Slice and LS'!$AA$4:$AA$138,0),1)/1000</f>
        <v>0.87399300398159996</v>
      </c>
      <c r="F101" s="69">
        <f ca="1">+SUM(E$5:E101)</f>
        <v>52668.534081813545</v>
      </c>
      <c r="H101" s="232" t="str">
        <f ca="1">+INDEX(Charges_NonSlice!$C$4:$C$138,MATCH($A101,Charges_NonSlice!$AA$4:$AA$138,0),1)</f>
        <v>Snohomish County PUD #1</v>
      </c>
      <c r="I101" s="63">
        <f ca="1">+INDEX(Charges_NonSlice!$Z$4:$Z$138,MATCH($A101,Charges_NonSlice!$AA$4:$AA$138,0),1)</f>
        <v>-1.9142995110553451E-2</v>
      </c>
      <c r="J101" s="86">
        <f ca="1">+INDEX(Charges_NonSlice!$Y$4:$Y$138,MATCH($A101,Charges_NonSlice!$AA$4:$AA$138,0),1)</f>
        <v>33.432417076093301</v>
      </c>
      <c r="K101" s="234">
        <f ca="1">+INDEX(Charges_NonSlice!$X$4:$X$138,MATCH($A101,Charges_NonSlice!$AA$4:$AA$138,0),1)/1000</f>
        <v>3123.3774775135312</v>
      </c>
      <c r="L101" s="69">
        <f ca="1">+SUM(K$5:K101)</f>
        <v>37524.714216474647</v>
      </c>
      <c r="N101" s="232" t="str">
        <f ca="1">+INDEX('Charges_NonSlice &amp; Excl LS'!$C$4:$C$138,MATCH($A101,'Charges_NonSlice &amp; Excl LS'!$AA$4:$AA$138,0),1)</f>
        <v>Tillamook PUD #1</v>
      </c>
      <c r="O101" s="63">
        <f ca="1">+INDEX('Charges_NonSlice &amp; Excl LS'!$Z$4:$Z$138,MATCH($A101,'Charges_NonSlice &amp; Excl LS'!$AA$4:$AA$138,0),1)</f>
        <v>-2.7835217704928285E-2</v>
      </c>
      <c r="P101" s="86">
        <f ca="1">+INDEX('Charges_NonSlice &amp; Excl LS'!$Y$4:$Y$138,MATCH($A101,'Charges_NonSlice &amp; Excl LS'!$AA$4:$AA$138,0),1)</f>
        <v>34.103099351141573</v>
      </c>
      <c r="Q101" s="234">
        <f ca="1">+INDEX('Charges_NonSlice &amp; Excl LS'!$X$4:$X$138,MATCH($A101,'Charges_NonSlice &amp; Excl LS'!$AA$4:$AA$138,0),1)/1000</f>
        <v>492.15636598456797</v>
      </c>
      <c r="R101" s="69">
        <f ca="1">+SUM(Q$5:Q101)</f>
        <v>41338.727412295098</v>
      </c>
      <c r="T101" s="232" t="str">
        <f ca="1">+INDEX(Charges_NonSlice!$C$4:$C$138,MATCH($A101,Charges_NonSlice!$AA$4:$AA$138,0),1)</f>
        <v>Snohomish County PUD #1</v>
      </c>
      <c r="U101" s="63">
        <f t="shared" ca="1" si="3"/>
        <v>-1.9124791667782803E-2</v>
      </c>
      <c r="V101" s="86">
        <f ca="1">+INDEX(Charges_NonSlice!$Y$4:$Y$138,MATCH($A101,Charges_NonSlice!$AA$4:$AA$138,0),1)</f>
        <v>33.432417076093301</v>
      </c>
      <c r="W101" s="77">
        <f t="shared" ca="1" si="6"/>
        <v>34.084271670948297</v>
      </c>
      <c r="Y101" s="66" t="s">
        <v>43</v>
      </c>
      <c r="Z101" s="67">
        <v>37.365098670191671</v>
      </c>
    </row>
    <row r="102" spans="1:26">
      <c r="A102">
        <f t="shared" si="5"/>
        <v>98</v>
      </c>
      <c r="B102" s="71" t="str">
        <f ca="1">+INDEX('Charges_Including Slice and LS'!$C$4:$C$138,MATCH($A102,'Charges_Including Slice and LS'!$AA$4:$AA$138,0),1)</f>
        <v>Centralia, City of</v>
      </c>
      <c r="C102" s="63">
        <f ca="1">+INDEX('Charges_Including Slice and LS'!$Z$4:$Z$138,MATCH($A102,'Charges_Including Slice and LS'!$AA$4:$AA$138,0),1)</f>
        <v>-1.6449468158858227E-2</v>
      </c>
      <c r="D102" s="60">
        <f ca="1">+INDEX('Charges_Including Slice and LS'!$Y$4:$Y$138,MATCH($A102,'Charges_Including Slice and LS'!$AA$4:$AA$138,0),1)</f>
        <v>36.151351628958665</v>
      </c>
      <c r="E102" s="69">
        <f ca="1">+INDEX('Charges_Including Slice and LS'!$X$4:$X$138,MATCH($A102,'Charges_Including Slice and LS'!$AA$4:$AA$138,0),1)/1000</f>
        <v>214.07486399999999</v>
      </c>
      <c r="F102" s="69">
        <f ca="1">+SUM(E$5:E102)</f>
        <v>52882.608945813547</v>
      </c>
      <c r="H102" s="232" t="str">
        <f ca="1">+INDEX(Charges_NonSlice!$C$4:$C$138,MATCH($A102,Charges_NonSlice!$AA$4:$AA$138,0),1)</f>
        <v>Central Lincoln PUD</v>
      </c>
      <c r="I102" s="63">
        <f ca="1">+INDEX(Charges_NonSlice!$Z$4:$Z$138,MATCH($A102,Charges_NonSlice!$AA$4:$AA$138,0),1)</f>
        <v>-1.9192562946683846E-2</v>
      </c>
      <c r="J102" s="86">
        <f ca="1">+INDEX(Charges_NonSlice!$Y$4:$Y$138,MATCH($A102,Charges_NonSlice!$AA$4:$AA$138,0),1)</f>
        <v>34.458873143100831</v>
      </c>
      <c r="K102" s="234">
        <f ca="1">+INDEX(Charges_NonSlice!$X$4:$X$138,MATCH($A102,Charges_NonSlice!$AA$4:$AA$138,0),1)/1000</f>
        <v>1337.9131021327446</v>
      </c>
      <c r="L102" s="69">
        <f ca="1">+SUM(K$5:K102)</f>
        <v>38862.627318607389</v>
      </c>
      <c r="N102" s="232" t="str">
        <f ca="1">+INDEX('Charges_NonSlice &amp; Excl LS'!$C$4:$C$138,MATCH($A102,'Charges_NonSlice &amp; Excl LS'!$AA$4:$AA$138,0),1)</f>
        <v>Benton County PUD #1</v>
      </c>
      <c r="O102" s="63">
        <f ca="1">+INDEX('Charges_NonSlice &amp; Excl LS'!$Z$4:$Z$138,MATCH($A102,'Charges_NonSlice &amp; Excl LS'!$AA$4:$AA$138,0),1)</f>
        <v>-2.7912180259352423E-2</v>
      </c>
      <c r="P102" s="86">
        <f ca="1">+INDEX('Charges_NonSlice &amp; Excl LS'!$Y$4:$Y$138,MATCH($A102,'Charges_NonSlice &amp; Excl LS'!$AA$4:$AA$138,0),1)</f>
        <v>32.968036964588933</v>
      </c>
      <c r="Q102" s="234">
        <f ca="1">+INDEX('Charges_NonSlice &amp; Excl LS'!$X$4:$X$138,MATCH($A102,'Charges_NonSlice &amp; Excl LS'!$AA$4:$AA$138,0),1)/1000</f>
        <v>1764.9082303397279</v>
      </c>
      <c r="R102" s="69">
        <f ca="1">+SUM(Q$5:Q102)</f>
        <v>43103.635642634828</v>
      </c>
      <c r="T102" s="232" t="str">
        <f ca="1">+INDEX(Charges_NonSlice!$C$4:$C$138,MATCH($A102,Charges_NonSlice!$AA$4:$AA$138,0),1)</f>
        <v>Central Lincoln PUD</v>
      </c>
      <c r="U102" s="63">
        <f t="shared" ca="1" si="3"/>
        <v>-2.0273841793536751E-2</v>
      </c>
      <c r="V102" s="86">
        <f ca="1">+INDEX(Charges_NonSlice!$Y$4:$Y$138,MATCH($A102,Charges_NonSlice!$AA$4:$AA$138,0),1)</f>
        <v>34.458873143100831</v>
      </c>
      <c r="W102" s="77">
        <f t="shared" ca="1" si="6"/>
        <v>35.171943562457294</v>
      </c>
      <c r="Y102" s="66" t="s">
        <v>101</v>
      </c>
      <c r="Z102" s="67">
        <v>36.113348188171173</v>
      </c>
    </row>
    <row r="103" spans="1:26">
      <c r="A103">
        <f t="shared" si="5"/>
        <v>99</v>
      </c>
      <c r="B103" s="71" t="str">
        <f ca="1">+INDEX('Charges_Including Slice and LS'!$C$4:$C$138,MATCH($A103,'Charges_Including Slice and LS'!$AA$4:$AA$138,0),1)</f>
        <v>Salmon River Elec Coop</v>
      </c>
      <c r="C103" s="63">
        <f ca="1">+INDEX('Charges_Including Slice and LS'!$Z$4:$Z$138,MATCH($A103,'Charges_Including Slice and LS'!$AA$4:$AA$138,0),1)</f>
        <v>-1.7639892922831586E-2</v>
      </c>
      <c r="D103" s="60">
        <f ca="1">+INDEX('Charges_Including Slice and LS'!$Y$4:$Y$138,MATCH($A103,'Charges_Including Slice and LS'!$AA$4:$AA$138,0),1)</f>
        <v>29.768642547058086</v>
      </c>
      <c r="E103" s="69">
        <f ca="1">+INDEX('Charges_Including Slice and LS'!$X$4:$X$138,MATCH($A103,'Charges_Including Slice and LS'!$AA$4:$AA$138,0),1)/1000</f>
        <v>105.04721748151762</v>
      </c>
      <c r="F103" s="69">
        <f ca="1">+SUM(E$5:E103)</f>
        <v>52987.656163295062</v>
      </c>
      <c r="H103" s="232" t="str">
        <f ca="1">+INDEX(Charges_NonSlice!$C$4:$C$138,MATCH($A103,Charges_NonSlice!$AA$4:$AA$138,0),1)</f>
        <v>Grays Harbor PUD #1</v>
      </c>
      <c r="I103" s="63">
        <f ca="1">+INDEX(Charges_NonSlice!$Z$4:$Z$138,MATCH($A103,Charges_NonSlice!$AA$4:$AA$138,0),1)</f>
        <v>-1.9270112604988756E-2</v>
      </c>
      <c r="J103" s="86">
        <f ca="1">+INDEX(Charges_NonSlice!$Y$4:$Y$138,MATCH($A103,Charges_NonSlice!$AA$4:$AA$138,0),1)</f>
        <v>34.868115965389528</v>
      </c>
      <c r="K103" s="234">
        <f ca="1">+INDEX(Charges_NonSlice!$X$4:$X$138,MATCH($A103,Charges_NonSlice!$AA$4:$AA$138,0),1)/1000</f>
        <v>1144.9188718504988</v>
      </c>
      <c r="L103" s="69">
        <f ca="1">+SUM(K$5:K103)</f>
        <v>40007.546190457884</v>
      </c>
      <c r="N103" s="232" t="str">
        <f ca="1">+INDEX('Charges_NonSlice &amp; Excl LS'!$C$4:$C$138,MATCH($A103,'Charges_NonSlice &amp; Excl LS'!$AA$4:$AA$138,0),1)</f>
        <v>Grant County PUD #2</v>
      </c>
      <c r="O103" s="63">
        <f ca="1">+INDEX('Charges_NonSlice &amp; Excl LS'!$Z$4:$Z$138,MATCH($A103,'Charges_NonSlice &amp; Excl LS'!$AA$4:$AA$138,0),1)</f>
        <v>-2.8180246631747955E-2</v>
      </c>
      <c r="P103" s="86">
        <f ca="1">+INDEX('Charges_NonSlice &amp; Excl LS'!$Y$4:$Y$138,MATCH($A103,'Charges_NonSlice &amp; Excl LS'!$AA$4:$AA$138,0),1)</f>
        <v>36.752455925565833</v>
      </c>
      <c r="Q103" s="234">
        <f ca="1">+INDEX('Charges_NonSlice &amp; Excl LS'!$X$4:$X$138,MATCH($A103,'Charges_NonSlice &amp; Excl LS'!$AA$4:$AA$138,0),1)/1000</f>
        <v>45.608984107415999</v>
      </c>
      <c r="R103" s="69">
        <f ca="1">+SUM(Q$5:Q103)</f>
        <v>43149.244626742242</v>
      </c>
      <c r="T103" s="232" t="str">
        <f ca="1">+INDEX(Charges_NonSlice!$C$4:$C$138,MATCH($A103,Charges_NonSlice!$AA$4:$AA$138,0),1)</f>
        <v>Grays Harbor PUD #1</v>
      </c>
      <c r="U103" s="63">
        <f t="shared" ca="1" si="3"/>
        <v>2.3274703315000478E-2</v>
      </c>
      <c r="V103" s="86">
        <f ca="1">+INDEX(Charges_NonSlice!$Y$4:$Y$138,MATCH($A103,Charges_NonSlice!$AA$4:$AA$138,0),1)</f>
        <v>34.868115965389528</v>
      </c>
      <c r="W103" s="77">
        <f t="shared" ca="1" si="6"/>
        <v>34.075029757337681</v>
      </c>
      <c r="Y103" s="66" t="s">
        <v>26</v>
      </c>
      <c r="Z103" s="67">
        <v>37.001041460524782</v>
      </c>
    </row>
    <row r="104" spans="1:26">
      <c r="A104">
        <f t="shared" si="5"/>
        <v>100</v>
      </c>
      <c r="B104" s="71" t="str">
        <f ca="1">+INDEX('Charges_Including Slice and LS'!$C$4:$C$138,MATCH($A104,'Charges_Including Slice and LS'!$AA$4:$AA$138,0),1)</f>
        <v>Port Angeles, City of</v>
      </c>
      <c r="C104" s="63">
        <f ca="1">+INDEX('Charges_Including Slice and LS'!$Z$4:$Z$138,MATCH($A104,'Charges_Including Slice and LS'!$AA$4:$AA$138,0),1)</f>
        <v>-1.7673231789848046E-2</v>
      </c>
      <c r="D104" s="60">
        <f ca="1">+INDEX('Charges_Including Slice and LS'!$Y$4:$Y$138,MATCH($A104,'Charges_Including Slice and LS'!$AA$4:$AA$138,0),1)</f>
        <v>33.588799529002777</v>
      </c>
      <c r="E104" s="69">
        <f ca="1">+INDEX('Charges_Including Slice and LS'!$X$4:$X$138,MATCH($A104,'Charges_Including Slice and LS'!$AA$4:$AA$138,0),1)/1000</f>
        <v>411.01561388400779</v>
      </c>
      <c r="F104" s="69">
        <f ca="1">+SUM(E$5:E104)</f>
        <v>53398.671777179072</v>
      </c>
      <c r="H104" s="232" t="str">
        <f ca="1">+INDEX(Charges_NonSlice!$C$4:$C$138,MATCH($A104,Charges_NonSlice!$AA$4:$AA$138,0),1)</f>
        <v>Cowlitz County PUD #1</v>
      </c>
      <c r="I104" s="63">
        <f ca="1">+INDEX(Charges_NonSlice!$Z$4:$Z$138,MATCH($A104,Charges_NonSlice!$AA$4:$AA$138,0),1)</f>
        <v>-1.9270453298219286E-2</v>
      </c>
      <c r="J104" s="86">
        <f ca="1">+INDEX(Charges_NonSlice!$Y$4:$Y$138,MATCH($A104,Charges_NonSlice!$AA$4:$AA$138,0),1)</f>
        <v>33.104202666856928</v>
      </c>
      <c r="K104" s="234">
        <f ca="1">+INDEX(Charges_NonSlice!$X$4:$X$138,MATCH($A104,Charges_NonSlice!$AA$4:$AA$138,0),1)/1000</f>
        <v>2200.6888374991772</v>
      </c>
      <c r="L104" s="69">
        <f ca="1">+SUM(K$5:K104)</f>
        <v>42208.23502795706</v>
      </c>
      <c r="N104" s="232" t="str">
        <f ca="1">+INDEX('Charges_NonSlice &amp; Excl LS'!$C$4:$C$138,MATCH($A104,'Charges_NonSlice &amp; Excl LS'!$AA$4:$AA$138,0),1)</f>
        <v>East End Mutual Electric</v>
      </c>
      <c r="O104" s="63">
        <f ca="1">+INDEX('Charges_NonSlice &amp; Excl LS'!$Z$4:$Z$138,MATCH($A104,'Charges_NonSlice &amp; Excl LS'!$AA$4:$AA$138,0),1)</f>
        <v>-2.82627678262381E-2</v>
      </c>
      <c r="P104" s="86">
        <f ca="1">+INDEX('Charges_NonSlice &amp; Excl LS'!$Y$4:$Y$138,MATCH($A104,'Charges_NonSlice &amp; Excl LS'!$AA$4:$AA$138,0),1)</f>
        <v>32.061435802822437</v>
      </c>
      <c r="Q104" s="234">
        <f ca="1">+INDEX('Charges_NonSlice &amp; Excl LS'!$X$4:$X$138,MATCH($A104,'Charges_NonSlice &amp; Excl LS'!$AA$4:$AA$138,0),1)/1000</f>
        <v>23.601765140063996</v>
      </c>
      <c r="R104" s="69">
        <f ca="1">+SUM(Q$5:Q104)</f>
        <v>43172.846391882304</v>
      </c>
      <c r="T104" s="232" t="str">
        <f ca="1">+INDEX(Charges_NonSlice!$C$4:$C$138,MATCH($A104,Charges_NonSlice!$AA$4:$AA$138,0),1)</f>
        <v>Cowlitz County PUD #1</v>
      </c>
      <c r="U104" s="63">
        <f t="shared" ca="1" si="3"/>
        <v>-1.8959906350247802E-2</v>
      </c>
      <c r="V104" s="86">
        <f ca="1">+INDEX(Charges_NonSlice!$Y$4:$Y$138,MATCH($A104,Charges_NonSlice!$AA$4:$AA$138,0),1)</f>
        <v>33.104202666856928</v>
      </c>
      <c r="W104" s="77">
        <f t="shared" ca="1" si="6"/>
        <v>33.743985471276453</v>
      </c>
      <c r="Y104" s="66" t="s">
        <v>94</v>
      </c>
      <c r="Z104" s="67">
        <v>34.080135738709771</v>
      </c>
    </row>
    <row r="105" spans="1:26">
      <c r="A105">
        <f t="shared" si="5"/>
        <v>101</v>
      </c>
      <c r="B105" s="71" t="str">
        <f ca="1">+INDEX('Charges_Including Slice and LS'!$C$4:$C$138,MATCH($A105,'Charges_Including Slice and LS'!$AA$4:$AA$138,0),1)</f>
        <v>Clallam County PUD #1</v>
      </c>
      <c r="C105" s="63">
        <f ca="1">+INDEX('Charges_Including Slice and LS'!$Z$4:$Z$138,MATCH($A105,'Charges_Including Slice and LS'!$AA$4:$AA$138,0),1)</f>
        <v>-1.8371301711159329E-2</v>
      </c>
      <c r="D105" s="60">
        <f ca="1">+INDEX('Charges_Including Slice and LS'!$Y$4:$Y$138,MATCH($A105,'Charges_Including Slice and LS'!$AA$4:$AA$138,0),1)</f>
        <v>34.613398000854552</v>
      </c>
      <c r="E105" s="69">
        <f ca="1">+INDEX('Charges_Including Slice and LS'!$X$4:$X$138,MATCH($A105,'Charges_Including Slice and LS'!$AA$4:$AA$138,0),1)/1000</f>
        <v>667.82995200000005</v>
      </c>
      <c r="F105" s="69">
        <f ca="1">+SUM(E$5:E105)</f>
        <v>54066.501729179072</v>
      </c>
      <c r="H105" s="232" t="str">
        <f ca="1">+INDEX(Charges_NonSlice!$C$4:$C$138,MATCH($A105,Charges_NonSlice!$AA$4:$AA$138,0),1)</f>
        <v>Clatskanie PUD</v>
      </c>
      <c r="I105" s="63">
        <f ca="1">+INDEX(Charges_NonSlice!$Z$4:$Z$138,MATCH($A105,Charges_NonSlice!$AA$4:$AA$138,0),1)</f>
        <v>-1.9579953272227259E-2</v>
      </c>
      <c r="J105" s="86">
        <f ca="1">+INDEX(Charges_NonSlice!$Y$4:$Y$138,MATCH($A105,Charges_NonSlice!$AA$4:$AA$138,0),1)</f>
        <v>33.154658046714339</v>
      </c>
      <c r="K105" s="234">
        <f ca="1">+INDEX(Charges_NonSlice!$X$4:$X$138,MATCH($A105,Charges_NonSlice!$AA$4:$AA$138,0),1)/1000</f>
        <v>286.86862269059719</v>
      </c>
      <c r="L105" s="69">
        <f ca="1">+SUM(K$5:K105)</f>
        <v>42495.103650647659</v>
      </c>
      <c r="N105" s="232" t="str">
        <f ca="1">+INDEX('Charges_NonSlice &amp; Excl LS'!$C$4:$C$138,MATCH($A105,'Charges_NonSlice &amp; Excl LS'!$AA$4:$AA$138,0),1)</f>
        <v>Weiser, City of</v>
      </c>
      <c r="O105" s="63">
        <f ca="1">+INDEX('Charges_NonSlice &amp; Excl LS'!$Z$4:$Z$138,MATCH($A105,'Charges_NonSlice &amp; Excl LS'!$AA$4:$AA$138,0),1)</f>
        <v>-2.841911304091449E-2</v>
      </c>
      <c r="P105" s="86">
        <f ca="1">+INDEX('Charges_NonSlice &amp; Excl LS'!$Y$4:$Y$138,MATCH($A105,'Charges_NonSlice &amp; Excl LS'!$AA$4:$AA$138,0),1)</f>
        <v>34.038482546427581</v>
      </c>
      <c r="Q105" s="234">
        <f ca="1">+INDEX('Charges_NonSlice &amp; Excl LS'!$X$4:$X$138,MATCH($A105,'Charges_NonSlice &amp; Excl LS'!$AA$4:$AA$138,0),1)/1000</f>
        <v>55.591959951359996</v>
      </c>
      <c r="R105" s="69">
        <f ca="1">+SUM(Q$5:Q105)</f>
        <v>43228.438351833662</v>
      </c>
      <c r="T105" s="232" t="str">
        <f ca="1">+INDEX(Charges_NonSlice!$C$4:$C$138,MATCH($A105,Charges_NonSlice!$AA$4:$AA$138,0),1)</f>
        <v>Clatskanie PUD</v>
      </c>
      <c r="U105" s="63">
        <f t="shared" ca="1" si="3"/>
        <v>-1.9494619049270412E-2</v>
      </c>
      <c r="V105" s="86">
        <f ca="1">+INDEX(Charges_NonSlice!$Y$4:$Y$138,MATCH($A105,Charges_NonSlice!$AA$4:$AA$138,0),1)</f>
        <v>33.154658046714339</v>
      </c>
      <c r="W105" s="77">
        <f t="shared" ca="1" si="6"/>
        <v>33.813846094925573</v>
      </c>
      <c r="Y105" s="66" t="s">
        <v>79</v>
      </c>
      <c r="Z105" s="67">
        <v>35.218407057312049</v>
      </c>
    </row>
    <row r="106" spans="1:26">
      <c r="A106">
        <f t="shared" si="5"/>
        <v>102</v>
      </c>
      <c r="B106" s="71" t="str">
        <f ca="1">+INDEX('Charges_Including Slice and LS'!$C$4:$C$138,MATCH($A106,'Charges_Including Slice and LS'!$AA$4:$AA$138,0),1)</f>
        <v>Central Lincoln PUD</v>
      </c>
      <c r="C106" s="63">
        <f ca="1">+INDEX('Charges_Including Slice and LS'!$Z$4:$Z$138,MATCH($A106,'Charges_Including Slice and LS'!$AA$4:$AA$138,0),1)</f>
        <v>-1.9192562946681799E-2</v>
      </c>
      <c r="D106" s="60">
        <f ca="1">+INDEX('Charges_Including Slice and LS'!$Y$4:$Y$138,MATCH($A106,'Charges_Including Slice and LS'!$AA$4:$AA$138,0),1)</f>
        <v>34.458873143100831</v>
      </c>
      <c r="E106" s="69">
        <f ca="1">+INDEX('Charges_Including Slice and LS'!$X$4:$X$138,MATCH($A106,'Charges_Including Slice and LS'!$AA$4:$AA$138,0),1)/1000</f>
        <v>1337.9131021327446</v>
      </c>
      <c r="F106" s="69">
        <f ca="1">+SUM(E$5:E106)</f>
        <v>55404.414831311813</v>
      </c>
      <c r="H106" s="232" t="str">
        <f ca="1">+INDEX(Charges_NonSlice!$C$4:$C$138,MATCH($A106,Charges_NonSlice!$AA$4:$AA$138,0),1)</f>
        <v>Bandon, City of</v>
      </c>
      <c r="I106" s="63">
        <f ca="1">+INDEX(Charges_NonSlice!$Z$4:$Z$138,MATCH($A106,Charges_NonSlice!$AA$4:$AA$138,0),1)</f>
        <v>-1.9948441433207648E-2</v>
      </c>
      <c r="J106" s="86">
        <f ca="1">+INDEX(Charges_NonSlice!$Y$4:$Y$138,MATCH($A106,Charges_NonSlice!$AA$4:$AA$138,0),1)</f>
        <v>35.378507125198212</v>
      </c>
      <c r="K106" s="234">
        <f ca="1">+INDEX(Charges_NonSlice!$X$4:$X$138,MATCH($A106,Charges_NonSlice!$AA$4:$AA$138,0),1)/1000</f>
        <v>66.796621306156595</v>
      </c>
      <c r="L106" s="69">
        <f ca="1">+SUM(K$5:K106)</f>
        <v>42561.900271953818</v>
      </c>
      <c r="N106" s="232" t="str">
        <f ca="1">+INDEX('Charges_NonSlice &amp; Excl LS'!$C$4:$C$138,MATCH($A106,'Charges_NonSlice &amp; Excl LS'!$AA$4:$AA$138,0),1)</f>
        <v>McCleary, City of</v>
      </c>
      <c r="O106" s="63">
        <f ca="1">+INDEX('Charges_NonSlice &amp; Excl LS'!$Z$4:$Z$138,MATCH($A106,'Charges_NonSlice &amp; Excl LS'!$AA$4:$AA$138,0),1)</f>
        <v>-2.8547345868872989E-2</v>
      </c>
      <c r="P106" s="86">
        <f ca="1">+INDEX('Charges_NonSlice &amp; Excl LS'!$Y$4:$Y$138,MATCH($A106,'Charges_NonSlice &amp; Excl LS'!$AA$4:$AA$138,0),1)</f>
        <v>36.975777672437452</v>
      </c>
      <c r="Q106" s="234">
        <f ca="1">+INDEX('Charges_NonSlice &amp; Excl LS'!$X$4:$X$138,MATCH($A106,'Charges_NonSlice &amp; Excl LS'!$AA$4:$AA$138,0),1)/1000</f>
        <v>32.660276471423998</v>
      </c>
      <c r="R106" s="69">
        <f ca="1">+SUM(Q$5:Q106)</f>
        <v>43261.098628305088</v>
      </c>
      <c r="T106" s="232" t="str">
        <f ca="1">+INDEX(Charges_NonSlice!$C$4:$C$138,MATCH($A106,Charges_NonSlice!$AA$4:$AA$138,0),1)</f>
        <v>Bandon, City of</v>
      </c>
      <c r="U106" s="63">
        <f t="shared" ca="1" si="3"/>
        <v>-2.4070273020181276E-2</v>
      </c>
      <c r="V106" s="86">
        <f ca="1">+INDEX(Charges_NonSlice!$Y$4:$Y$138,MATCH($A106,Charges_NonSlice!$AA$4:$AA$138,0),1)</f>
        <v>35.378507125198212</v>
      </c>
      <c r="W106" s="77">
        <f t="shared" ca="1" si="6"/>
        <v>36.251080530852406</v>
      </c>
      <c r="Y106" s="66" t="s">
        <v>41</v>
      </c>
      <c r="Z106" s="67">
        <v>36.570555251447217</v>
      </c>
    </row>
    <row r="107" spans="1:26">
      <c r="A107">
        <f t="shared" si="5"/>
        <v>103</v>
      </c>
      <c r="B107" s="71" t="str">
        <f ca="1">+INDEX('Charges_Including Slice and LS'!$C$4:$C$138,MATCH($A107,'Charges_Including Slice and LS'!$AA$4:$AA$138,0),1)</f>
        <v>Grays Harbor PUD #1</v>
      </c>
      <c r="C107" s="63">
        <f ca="1">+INDEX('Charges_Including Slice and LS'!$Z$4:$Z$138,MATCH($A107,'Charges_Including Slice and LS'!$AA$4:$AA$138,0),1)</f>
        <v>-1.9270112604991275E-2</v>
      </c>
      <c r="D107" s="60">
        <f ca="1">+INDEX('Charges_Including Slice and LS'!$Y$4:$Y$138,MATCH($A107,'Charges_Including Slice and LS'!$AA$4:$AA$138,0),1)</f>
        <v>34.868115965389528</v>
      </c>
      <c r="E107" s="69">
        <f ca="1">+INDEX('Charges_Including Slice and LS'!$X$4:$X$138,MATCH($A107,'Charges_Including Slice and LS'!$AA$4:$AA$138,0),1)/1000</f>
        <v>1144.9188718504988</v>
      </c>
      <c r="F107" s="69">
        <f ca="1">+SUM(E$5:E107)</f>
        <v>56549.333703162309</v>
      </c>
      <c r="H107" s="232" t="str">
        <f ca="1">+INDEX(Charges_NonSlice!$C$4:$C$138,MATCH($A107,Charges_NonSlice!$AA$4:$AA$138,0),1)</f>
        <v>Jefferson County PUD #1</v>
      </c>
      <c r="I107" s="63">
        <f ca="1">+INDEX(Charges_NonSlice!$Z$4:$Z$138,MATCH($A107,Charges_NonSlice!$AA$4:$AA$138,0),1)</f>
        <v>-2.0113958889076022E-2</v>
      </c>
      <c r="J107" s="86">
        <f ca="1">+INDEX(Charges_NonSlice!$Y$4:$Y$138,MATCH($A107,Charges_NonSlice!$AA$4:$AA$138,0),1)</f>
        <v>35.649637997823525</v>
      </c>
      <c r="K107" s="234">
        <f ca="1">+INDEX(Charges_NonSlice!$X$4:$X$138,MATCH($A107,Charges_NonSlice!$AA$4:$AA$138,0),1)/1000</f>
        <v>396.79963200000003</v>
      </c>
      <c r="L107" s="69">
        <f ca="1">+SUM(K$5:K107)</f>
        <v>42958.69990395382</v>
      </c>
      <c r="N107" s="232" t="str">
        <f ca="1">+INDEX('Charges_NonSlice &amp; Excl LS'!$C$4:$C$138,MATCH($A107,'Charges_NonSlice &amp; Excl LS'!$AA$4:$AA$138,0),1)</f>
        <v>Surprise Valley Elec Coop</v>
      </c>
      <c r="O107" s="63">
        <f ca="1">+INDEX('Charges_NonSlice &amp; Excl LS'!$Z$4:$Z$138,MATCH($A107,'Charges_NonSlice &amp; Excl LS'!$AA$4:$AA$138,0),1)</f>
        <v>-2.8860692271050672E-2</v>
      </c>
      <c r="P107" s="86">
        <f ca="1">+INDEX('Charges_NonSlice &amp; Excl LS'!$Y$4:$Y$138,MATCH($A107,'Charges_NonSlice &amp; Excl LS'!$AA$4:$AA$138,0),1)</f>
        <v>28.882380075535007</v>
      </c>
      <c r="Q107" s="234">
        <f ca="1">+INDEX('Charges_NonSlice &amp; Excl LS'!$X$4:$X$138,MATCH($A107,'Charges_NonSlice &amp; Excl LS'!$AA$4:$AA$138,0),1)/1000</f>
        <v>144.34055315942399</v>
      </c>
      <c r="R107" s="69">
        <f ca="1">+SUM(Q$5:Q107)</f>
        <v>43405.439181464513</v>
      </c>
      <c r="T107" s="232" t="str">
        <f ca="1">+INDEX(Charges_NonSlice!$C$4:$C$138,MATCH($A107,Charges_NonSlice!$AA$4:$AA$138,0),1)</f>
        <v>Jefferson County PUD #1</v>
      </c>
      <c r="U107" s="63">
        <f t="shared" ca="1" si="3"/>
        <v>-1.8972421313087962E-2</v>
      </c>
      <c r="V107" s="86">
        <f ca="1">+INDEX(Charges_NonSlice!$Y$4:$Y$138,MATCH($A107,Charges_NonSlice!$AA$4:$AA$138,0),1)</f>
        <v>35.649637997823525</v>
      </c>
      <c r="W107" s="77">
        <f t="shared" ca="1" si="6"/>
        <v>36.339078301488662</v>
      </c>
      <c r="Y107" s="66" t="s">
        <v>131</v>
      </c>
      <c r="Z107" s="67">
        <v>32.345182787751398</v>
      </c>
    </row>
    <row r="108" spans="1:26">
      <c r="A108">
        <f t="shared" si="5"/>
        <v>104</v>
      </c>
      <c r="B108" s="71" t="str">
        <f ca="1">+INDEX('Charges_Including Slice and LS'!$C$4:$C$138,MATCH($A108,'Charges_Including Slice and LS'!$AA$4:$AA$138,0),1)</f>
        <v>Bandon, City of</v>
      </c>
      <c r="C108" s="63">
        <f ca="1">+INDEX('Charges_Including Slice and LS'!$Z$4:$Z$138,MATCH($A108,'Charges_Including Slice and LS'!$AA$4:$AA$138,0),1)</f>
        <v>-1.994844143320549E-2</v>
      </c>
      <c r="D108" s="60">
        <f ca="1">+INDEX('Charges_Including Slice and LS'!$Y$4:$Y$138,MATCH($A108,'Charges_Including Slice and LS'!$AA$4:$AA$138,0),1)</f>
        <v>35.378507125198212</v>
      </c>
      <c r="E108" s="69">
        <f ca="1">+INDEX('Charges_Including Slice and LS'!$X$4:$X$138,MATCH($A108,'Charges_Including Slice and LS'!$AA$4:$AA$138,0),1)/1000</f>
        <v>66.796621306156595</v>
      </c>
      <c r="F108" s="69">
        <f ca="1">+SUM(E$5:E108)</f>
        <v>56616.130324468468</v>
      </c>
      <c r="H108" s="232" t="str">
        <f ca="1">+INDEX(Charges_NonSlice!$C$4:$C$138,MATCH($A108,Charges_NonSlice!$AA$4:$AA$138,0),1)</f>
        <v>Tillamook PUD #1</v>
      </c>
      <c r="I108" s="63">
        <f ca="1">+INDEX(Charges_NonSlice!$Z$4:$Z$138,MATCH($A108,Charges_NonSlice!$AA$4:$AA$138,0),1)</f>
        <v>-2.0686718416068464E-2</v>
      </c>
      <c r="J108" s="86">
        <f ca="1">+INDEX(Charges_NonSlice!$Y$4:$Y$138,MATCH($A108,Charges_NonSlice!$AA$4:$AA$138,0),1)</f>
        <v>34.82235352307687</v>
      </c>
      <c r="K108" s="234">
        <f ca="1">+INDEX(Charges_NonSlice!$X$4:$X$138,MATCH($A108,Charges_NonSlice!$AA$4:$AA$138,0),1)/1000</f>
        <v>491.52728425594609</v>
      </c>
      <c r="L108" s="69">
        <f ca="1">+SUM(K$5:K108)</f>
        <v>43450.227188209763</v>
      </c>
      <c r="N108" s="232" t="str">
        <f ca="1">+INDEX('Charges_NonSlice &amp; Excl LS'!$C$4:$C$138,MATCH($A108,'Charges_NonSlice &amp; Excl LS'!$AA$4:$AA$138,0),1)</f>
        <v>Southside Elec Lines</v>
      </c>
      <c r="O108" s="63">
        <f ca="1">+INDEX('Charges_NonSlice &amp; Excl LS'!$Z$4:$Z$138,MATCH($A108,'Charges_NonSlice &amp; Excl LS'!$AA$4:$AA$138,0),1)</f>
        <v>-2.8930311631172819E-2</v>
      </c>
      <c r="P108" s="86">
        <f ca="1">+INDEX('Charges_NonSlice &amp; Excl LS'!$Y$4:$Y$138,MATCH($A108,'Charges_NonSlice &amp; Excl LS'!$AA$4:$AA$138,0),1)</f>
        <v>29.281403540493372</v>
      </c>
      <c r="Q108" s="234">
        <f ca="1">+INDEX('Charges_NonSlice &amp; Excl LS'!$X$4:$X$138,MATCH($A108,'Charges_NonSlice &amp; Excl LS'!$AA$4:$AA$138,0),1)/1000</f>
        <v>59.426316117647993</v>
      </c>
      <c r="R108" s="69">
        <f ca="1">+SUM(Q$5:Q108)</f>
        <v>43464.865497582163</v>
      </c>
      <c r="T108" s="232" t="str">
        <f ca="1">+INDEX(Charges_NonSlice!$C$4:$C$138,MATCH($A108,Charges_NonSlice!$AA$4:$AA$138,0),1)</f>
        <v>Tillamook PUD #1</v>
      </c>
      <c r="U108" s="63">
        <f t="shared" ca="1" si="3"/>
        <v>-2.0780677156462035E-2</v>
      </c>
      <c r="V108" s="86">
        <f ca="1">+INDEX(Charges_NonSlice!$Y$4:$Y$138,MATCH($A108,Charges_NonSlice!$AA$4:$AA$138,0),1)</f>
        <v>34.82235352307687</v>
      </c>
      <c r="W108" s="77">
        <f t="shared" ca="1" si="6"/>
        <v>35.561342296592805</v>
      </c>
      <c r="Y108" s="66" t="s">
        <v>107</v>
      </c>
      <c r="Z108" s="67">
        <v>30.965906527141897</v>
      </c>
    </row>
    <row r="109" spans="1:26">
      <c r="A109">
        <f t="shared" si="5"/>
        <v>105</v>
      </c>
      <c r="B109" s="71" t="str">
        <f ca="1">+INDEX('Charges_Including Slice and LS'!$C$4:$C$138,MATCH($A109,'Charges_Including Slice and LS'!$AA$4:$AA$138,0),1)</f>
        <v>Jefferson County PUD #1</v>
      </c>
      <c r="C109" s="63">
        <f ca="1">+INDEX('Charges_Including Slice and LS'!$Z$4:$Z$138,MATCH($A109,'Charges_Including Slice and LS'!$AA$4:$AA$138,0),1)</f>
        <v>-2.0113958889073327E-2</v>
      </c>
      <c r="D109" s="60">
        <f ca="1">+INDEX('Charges_Including Slice and LS'!$Y$4:$Y$138,MATCH($A109,'Charges_Including Slice and LS'!$AA$4:$AA$138,0),1)</f>
        <v>35.649637997823525</v>
      </c>
      <c r="E109" s="69">
        <f ca="1">+INDEX('Charges_Including Slice and LS'!$X$4:$X$138,MATCH($A109,'Charges_Including Slice and LS'!$AA$4:$AA$138,0),1)/1000</f>
        <v>396.79963200000003</v>
      </c>
      <c r="F109" s="69">
        <f ca="1">+SUM(E$5:E109)</f>
        <v>57012.92995646847</v>
      </c>
      <c r="H109" s="232" t="str">
        <f ca="1">+INDEX(Charges_NonSlice!$C$4:$C$138,MATCH($A109,Charges_NonSlice!$AA$4:$AA$138,0),1)</f>
        <v>Lewis County PUD #1</v>
      </c>
      <c r="I109" s="63">
        <f ca="1">+INDEX(Charges_NonSlice!$Z$4:$Z$138,MATCH($A109,Charges_NonSlice!$AA$4:$AA$138,0),1)</f>
        <v>-2.0954119527620319E-2</v>
      </c>
      <c r="J109" s="86">
        <f ca="1">+INDEX(Charges_NonSlice!$Y$4:$Y$138,MATCH($A109,Charges_NonSlice!$AA$4:$AA$138,0),1)</f>
        <v>31.55594753193288</v>
      </c>
      <c r="K109" s="234">
        <f ca="1">+INDEX(Charges_NonSlice!$X$4:$X$138,MATCH($A109,Charges_NonSlice!$AA$4:$AA$138,0),1)/1000</f>
        <v>403.22002757912122</v>
      </c>
      <c r="L109" s="69">
        <f ca="1">+SUM(K$5:K109)</f>
        <v>43853.447215788881</v>
      </c>
      <c r="N109" s="232" t="str">
        <f ca="1">+INDEX('Charges_NonSlice &amp; Excl LS'!$C$4:$C$138,MATCH($A109,'Charges_NonSlice &amp; Excl LS'!$AA$4:$AA$138,0),1)</f>
        <v>Pacific County PUD #2</v>
      </c>
      <c r="O109" s="63">
        <f ca="1">+INDEX('Charges_NonSlice &amp; Excl LS'!$Z$4:$Z$138,MATCH($A109,'Charges_NonSlice &amp; Excl LS'!$AA$4:$AA$138,0),1)</f>
        <v>-2.9096527949915151E-2</v>
      </c>
      <c r="P109" s="86">
        <f ca="1">+INDEX('Charges_NonSlice &amp; Excl LS'!$Y$4:$Y$138,MATCH($A109,'Charges_NonSlice &amp; Excl LS'!$AA$4:$AA$138,0),1)</f>
        <v>35.276607128189568</v>
      </c>
      <c r="Q109" s="234">
        <f ca="1">+INDEX('Charges_NonSlice &amp; Excl LS'!$X$4:$X$138,MATCH($A109,'Charges_NonSlice &amp; Excl LS'!$AA$4:$AA$138,0),1)/1000</f>
        <v>319.09536833687997</v>
      </c>
      <c r="R109" s="69">
        <f ca="1">+SUM(Q$5:Q109)</f>
        <v>43783.960865919042</v>
      </c>
      <c r="T109" s="232" t="str">
        <f ca="1">+INDEX(Charges_NonSlice!$C$4:$C$138,MATCH($A109,Charges_NonSlice!$AA$4:$AA$138,0),1)</f>
        <v>Lewis County PUD #1</v>
      </c>
      <c r="U109" s="63">
        <f t="shared" ca="1" si="3"/>
        <v>-1.8997016003977407E-2</v>
      </c>
      <c r="V109" s="86">
        <f ca="1">+INDEX(Charges_NonSlice!$Y$4:$Y$138,MATCH($A109,Charges_NonSlice!$AA$4:$AA$138,0),1)</f>
        <v>31.55594753193288</v>
      </c>
      <c r="W109" s="77">
        <f t="shared" ca="1" si="6"/>
        <v>32.167025021058265</v>
      </c>
      <c r="Y109" s="66" t="s">
        <v>135</v>
      </c>
      <c r="Z109" s="67">
        <v>32.724717791087983</v>
      </c>
    </row>
    <row r="110" spans="1:26">
      <c r="A110">
        <f t="shared" si="5"/>
        <v>106</v>
      </c>
      <c r="B110" s="71" t="str">
        <f ca="1">+INDEX('Charges_Including Slice and LS'!$C$4:$C$138,MATCH($A110,'Charges_Including Slice and LS'!$AA$4:$AA$138,0),1)</f>
        <v>Tillamook PUD #1</v>
      </c>
      <c r="C110" s="63">
        <f ca="1">+INDEX('Charges_Including Slice and LS'!$Z$4:$Z$138,MATCH($A110,'Charges_Including Slice and LS'!$AA$4:$AA$138,0),1)</f>
        <v>-2.0686718416074439E-2</v>
      </c>
      <c r="D110" s="60">
        <f ca="1">+INDEX('Charges_Including Slice and LS'!$Y$4:$Y$138,MATCH($A110,'Charges_Including Slice and LS'!$AA$4:$AA$138,0),1)</f>
        <v>34.82235352307687</v>
      </c>
      <c r="E110" s="69">
        <f ca="1">+INDEX('Charges_Including Slice and LS'!$X$4:$X$138,MATCH($A110,'Charges_Including Slice and LS'!$AA$4:$AA$138,0),1)/1000</f>
        <v>491.52728425594609</v>
      </c>
      <c r="F110" s="69">
        <f ca="1">+SUM(E$5:E110)</f>
        <v>57504.457240724412</v>
      </c>
      <c r="H110" s="232" t="str">
        <f ca="1">+INDEX(Charges_NonSlice!$C$4:$C$138,MATCH($A110,Charges_NonSlice!$AA$4:$AA$138,0),1)</f>
        <v>Alder Mutual</v>
      </c>
      <c r="I110" s="63">
        <f ca="1">+INDEX(Charges_NonSlice!$Z$4:$Z$138,MATCH($A110,Charges_NonSlice!$AA$4:$AA$138,0),1)</f>
        <v>-2.113232826007316E-2</v>
      </c>
      <c r="J110" s="86">
        <f ca="1">+INDEX(Charges_NonSlice!$Y$4:$Y$138,MATCH($A110,Charges_NonSlice!$AA$4:$AA$138,0),1)</f>
        <v>35.72319970270842</v>
      </c>
      <c r="K110" s="234">
        <f ca="1">+INDEX(Charges_NonSlice!$X$4:$X$138,MATCH($A110,Charges_NonSlice!$AA$4:$AA$138,0),1)/1000</f>
        <v>4.8136320000000001</v>
      </c>
      <c r="L110" s="69">
        <f ca="1">+SUM(K$5:K110)</f>
        <v>43858.260847788879</v>
      </c>
      <c r="N110" s="232" t="str">
        <f ca="1">+INDEX('Charges_NonSlice &amp; Excl LS'!$C$4:$C$138,MATCH($A110,'Charges_NonSlice &amp; Excl LS'!$AA$4:$AA$138,0),1)</f>
        <v>Wahkiakum County PUD #1</v>
      </c>
      <c r="O110" s="63">
        <f ca="1">+INDEX('Charges_NonSlice &amp; Excl LS'!$Z$4:$Z$138,MATCH($A110,'Charges_NonSlice &amp; Excl LS'!$AA$4:$AA$138,0),1)</f>
        <v>-2.9202233301566637E-2</v>
      </c>
      <c r="P110" s="86">
        <f ca="1">+INDEX('Charges_NonSlice &amp; Excl LS'!$Y$4:$Y$138,MATCH($A110,'Charges_NonSlice &amp; Excl LS'!$AA$4:$AA$138,0),1)</f>
        <v>31.995711794710754</v>
      </c>
      <c r="Q110" s="234">
        <f ca="1">+INDEX('Charges_NonSlice &amp; Excl LS'!$X$4:$X$138,MATCH($A110,'Charges_NonSlice &amp; Excl LS'!$AA$4:$AA$138,0),1)/1000</f>
        <v>43.964802256175993</v>
      </c>
      <c r="R110" s="69">
        <f ca="1">+SUM(Q$5:Q110)</f>
        <v>43827.925668175216</v>
      </c>
      <c r="T110" s="232" t="str">
        <f ca="1">+INDEX(Charges_NonSlice!$C$4:$C$138,MATCH($A110,Charges_NonSlice!$AA$4:$AA$138,0),1)</f>
        <v>Alder Mutual</v>
      </c>
      <c r="U110" s="63">
        <f t="shared" ca="1" si="3"/>
        <v>-1.7297453896387815E-2</v>
      </c>
      <c r="V110" s="86">
        <f ca="1">+INDEX(Charges_NonSlice!$Y$4:$Y$138,MATCH($A110,Charges_NonSlice!$AA$4:$AA$138,0),1)</f>
        <v>35.72319970270842</v>
      </c>
      <c r="W110" s="77">
        <f t="shared" ca="1" si="6"/>
        <v>36.351996689486455</v>
      </c>
      <c r="Y110" s="66" t="s">
        <v>65</v>
      </c>
      <c r="Z110" s="67">
        <v>36.653838654852827</v>
      </c>
    </row>
    <row r="111" spans="1:26">
      <c r="A111">
        <f t="shared" si="5"/>
        <v>107</v>
      </c>
      <c r="B111" s="71" t="str">
        <f ca="1">+INDEX('Charges_Including Slice and LS'!$C$4:$C$138,MATCH($A111,'Charges_Including Slice and LS'!$AA$4:$AA$138,0),1)</f>
        <v>Alder Mutual</v>
      </c>
      <c r="C111" s="63">
        <f ca="1">+INDEX('Charges_Including Slice and LS'!$Z$4:$Z$138,MATCH($A111,'Charges_Including Slice and LS'!$AA$4:$AA$138,0),1)</f>
        <v>-2.1132328260068233E-2</v>
      </c>
      <c r="D111" s="60">
        <f ca="1">+INDEX('Charges_Including Slice and LS'!$Y$4:$Y$138,MATCH($A111,'Charges_Including Slice and LS'!$AA$4:$AA$138,0),1)</f>
        <v>35.72319970270842</v>
      </c>
      <c r="E111" s="69">
        <f ca="1">+INDEX('Charges_Including Slice and LS'!$X$4:$X$138,MATCH($A111,'Charges_Including Slice and LS'!$AA$4:$AA$138,0),1)/1000</f>
        <v>4.8136320000000001</v>
      </c>
      <c r="F111" s="69">
        <f ca="1">+SUM(E$5:E111)</f>
        <v>57509.27087272441</v>
      </c>
      <c r="H111" s="232" t="str">
        <f ca="1">+INDEX(Charges_NonSlice!$C$4:$C$138,MATCH($A111,Charges_NonSlice!$AA$4:$AA$138,0),1)</f>
        <v>Ohop Mutual Light Company</v>
      </c>
      <c r="I111" s="63">
        <f ca="1">+INDEX(Charges_NonSlice!$Z$4:$Z$138,MATCH($A111,Charges_NonSlice!$AA$4:$AA$138,0),1)</f>
        <v>-2.1630656178482154E-2</v>
      </c>
      <c r="J111" s="86">
        <f ca="1">+INDEX(Charges_NonSlice!$Y$4:$Y$138,MATCH($A111,Charges_NonSlice!$AA$4:$AA$138,0),1)</f>
        <v>35.057026747774344</v>
      </c>
      <c r="K111" s="234">
        <f ca="1">+INDEX(Charges_NonSlice!$X$4:$X$138,MATCH($A111,Charges_NonSlice!$AA$4:$AA$138,0),1)/1000</f>
        <v>89.227871999999991</v>
      </c>
      <c r="L111" s="69">
        <f ca="1">+SUM(K$5:K111)</f>
        <v>43947.488719788882</v>
      </c>
      <c r="N111" s="232" t="str">
        <f ca="1">+INDEX('Charges_NonSlice &amp; Excl LS'!$C$4:$C$138,MATCH($A111,'Charges_NonSlice &amp; Excl LS'!$AA$4:$AA$138,0),1)</f>
        <v>Ohop Mutual Light Company</v>
      </c>
      <c r="O111" s="63">
        <f ca="1">+INDEX('Charges_NonSlice &amp; Excl LS'!$Z$4:$Z$138,MATCH($A111,'Charges_NonSlice &amp; Excl LS'!$AA$4:$AA$138,0),1)</f>
        <v>-2.9287751272976247E-2</v>
      </c>
      <c r="P111" s="86">
        <f ca="1">+INDEX('Charges_NonSlice &amp; Excl LS'!$Y$4:$Y$138,MATCH($A111,'Charges_NonSlice &amp; Excl LS'!$AA$4:$AA$138,0),1)</f>
        <v>33.948137607469739</v>
      </c>
      <c r="Q111" s="234">
        <f ca="1">+INDEX('Charges_NonSlice &amp; Excl LS'!$X$4:$X$138,MATCH($A111,'Charges_NonSlice &amp; Excl LS'!$AA$4:$AA$138,0),1)/1000</f>
        <v>89.226336613895995</v>
      </c>
      <c r="R111" s="69">
        <f ca="1">+SUM(Q$5:Q111)</f>
        <v>43917.15200478911</v>
      </c>
      <c r="T111" s="232" t="str">
        <f ca="1">+INDEX(Charges_NonSlice!$C$4:$C$138,MATCH($A111,Charges_NonSlice!$AA$4:$AA$138,0),1)</f>
        <v>Ohop Mutual Light Company</v>
      </c>
      <c r="U111" s="63">
        <f t="shared" ca="1" si="3"/>
        <v>-1.6058730225399276E-2</v>
      </c>
      <c r="V111" s="86">
        <f ca="1">+INDEX(Charges_NonSlice!$Y$4:$Y$138,MATCH($A111,Charges_NonSlice!$AA$4:$AA$138,0),1)</f>
        <v>35.057026747774344</v>
      </c>
      <c r="W111" s="77">
        <f t="shared" ca="1" si="6"/>
        <v>35.62918623771634</v>
      </c>
      <c r="Y111" s="66" t="s">
        <v>57</v>
      </c>
      <c r="Z111" s="67">
        <v>31.43099522207779</v>
      </c>
    </row>
    <row r="112" spans="1:26">
      <c r="A112">
        <f t="shared" si="5"/>
        <v>108</v>
      </c>
      <c r="B112" s="71" t="str">
        <f ca="1">+INDEX('Charges_Including Slice and LS'!$C$4:$C$138,MATCH($A112,'Charges_Including Slice and LS'!$AA$4:$AA$138,0),1)</f>
        <v>Ohop Mutual Light Company</v>
      </c>
      <c r="C112" s="63">
        <f ca="1">+INDEX('Charges_Including Slice and LS'!$Z$4:$Z$138,MATCH($A112,'Charges_Including Slice and LS'!$AA$4:$AA$138,0),1)</f>
        <v>-2.1630656178474563E-2</v>
      </c>
      <c r="D112" s="60">
        <f ca="1">+INDEX('Charges_Including Slice and LS'!$Y$4:$Y$138,MATCH($A112,'Charges_Including Slice and LS'!$AA$4:$AA$138,0),1)</f>
        <v>35.057026747774344</v>
      </c>
      <c r="E112" s="69">
        <f ca="1">+INDEX('Charges_Including Slice and LS'!$X$4:$X$138,MATCH($A112,'Charges_Including Slice and LS'!$AA$4:$AA$138,0),1)/1000</f>
        <v>89.227871999999991</v>
      </c>
      <c r="F112" s="69">
        <f ca="1">+SUM(E$5:E112)</f>
        <v>57598.498744724413</v>
      </c>
      <c r="H112" s="232" t="str">
        <f ca="1">+INDEX(Charges_NonSlice!$C$4:$C$138,MATCH($A112,Charges_NonSlice!$AA$4:$AA$138,0),1)</f>
        <v>U.S. DOE Albany Research Center</v>
      </c>
      <c r="I112" s="63">
        <f ca="1">+INDEX(Charges_NonSlice!$Z$4:$Z$138,MATCH($A112,Charges_NonSlice!$AA$4:$AA$138,0),1)</f>
        <v>-2.1731663021142742E-2</v>
      </c>
      <c r="J112" s="86">
        <f ca="1">+INDEX(Charges_NonSlice!$Y$4:$Y$138,MATCH($A112,Charges_NonSlice!$AA$4:$AA$138,0),1)</f>
        <v>36.868733285185009</v>
      </c>
      <c r="K112" s="234">
        <f ca="1">+INDEX(Charges_NonSlice!$X$4:$X$138,MATCH($A112,Charges_NonSlice!$AA$4:$AA$138,0),1)/1000</f>
        <v>4.023072</v>
      </c>
      <c r="L112" s="69">
        <f ca="1">+SUM(K$5:K112)</f>
        <v>43951.511791788886</v>
      </c>
      <c r="N112" s="232" t="str">
        <f ca="1">+INDEX('Charges_NonSlice &amp; Excl LS'!$C$4:$C$138,MATCH($A112,'Charges_NonSlice &amp; Excl LS'!$AA$4:$AA$138,0),1)</f>
        <v>Coulee Dam, City of</v>
      </c>
      <c r="O112" s="63">
        <f ca="1">+INDEX('Charges_NonSlice &amp; Excl LS'!$Z$4:$Z$138,MATCH($A112,'Charges_NonSlice &amp; Excl LS'!$AA$4:$AA$138,0),1)</f>
        <v>-2.9840211420275202E-2</v>
      </c>
      <c r="P112" s="86">
        <f ca="1">+INDEX('Charges_NonSlice &amp; Excl LS'!$Y$4:$Y$138,MATCH($A112,'Charges_NonSlice &amp; Excl LS'!$AA$4:$AA$138,0),1)</f>
        <v>36.628092922066664</v>
      </c>
      <c r="Q112" s="234">
        <f ca="1">+INDEX('Charges_NonSlice &amp; Excl LS'!$X$4:$X$138,MATCH($A112,'Charges_NonSlice &amp; Excl LS'!$AA$4:$AA$138,0),1)/1000</f>
        <v>17.750959533575998</v>
      </c>
      <c r="R112" s="69">
        <f ca="1">+SUM(Q$5:Q112)</f>
        <v>43934.90296432269</v>
      </c>
      <c r="T112" s="232" t="str">
        <f ca="1">+INDEX(Charges_NonSlice!$C$4:$C$138,MATCH($A112,Charges_NonSlice!$AA$4:$AA$138,0),1)</f>
        <v>U.S. DOE Albany Research Center</v>
      </c>
      <c r="U112" s="63">
        <f t="shared" ca="1" si="3"/>
        <v>-6.026999381452347E-3</v>
      </c>
      <c r="V112" s="86">
        <f ca="1">+INDEX(Charges_NonSlice!$Y$4:$Y$138,MATCH($A112,Charges_NonSlice!$AA$4:$AA$138,0),1)</f>
        <v>36.868733285185009</v>
      </c>
      <c r="W112" s="77">
        <f t="shared" ca="1" si="6"/>
        <v>37.092288484940397</v>
      </c>
      <c r="Y112" s="66" t="s">
        <v>85</v>
      </c>
      <c r="Z112" s="67">
        <v>35.175916237850686</v>
      </c>
    </row>
    <row r="113" spans="1:26">
      <c r="A113">
        <f t="shared" si="5"/>
        <v>109</v>
      </c>
      <c r="B113" s="71" t="str">
        <f ca="1">+INDEX('Charges_Including Slice and LS'!$C$4:$C$138,MATCH($A113,'Charges_Including Slice and LS'!$AA$4:$AA$138,0),1)</f>
        <v>U.S. DOE Albany Research Center</v>
      </c>
      <c r="C113" s="63">
        <f ca="1">+INDEX('Charges_Including Slice and LS'!$Z$4:$Z$138,MATCH($A113,'Charges_Including Slice and LS'!$AA$4:$AA$138,0),1)</f>
        <v>-2.1731663021143301E-2</v>
      </c>
      <c r="D113" s="60">
        <f ca="1">+INDEX('Charges_Including Slice and LS'!$Y$4:$Y$138,MATCH($A113,'Charges_Including Slice and LS'!$AA$4:$AA$138,0),1)</f>
        <v>36.868733285185009</v>
      </c>
      <c r="E113" s="69">
        <f ca="1">+INDEX('Charges_Including Slice and LS'!$X$4:$X$138,MATCH($A113,'Charges_Including Slice and LS'!$AA$4:$AA$138,0),1)/1000</f>
        <v>4.023072</v>
      </c>
      <c r="F113" s="69">
        <f ca="1">+SUM(E$5:E113)</f>
        <v>57602.521816724417</v>
      </c>
      <c r="H113" s="232" t="str">
        <f ca="1">+INDEX(Charges_NonSlice!$C$4:$C$138,MATCH($A113,Charges_NonSlice!$AA$4:$AA$138,0),1)</f>
        <v>U.S. Naval Submarine Base, Bangor</v>
      </c>
      <c r="I113" s="63">
        <f ca="1">+INDEX(Charges_NonSlice!$Z$4:$Z$138,MATCH($A113,Charges_NonSlice!$AA$4:$AA$138,0),1)</f>
        <v>-2.2213092096358321E-2</v>
      </c>
      <c r="J113" s="86">
        <f ca="1">+INDEX(Charges_NonSlice!$Y$4:$Y$138,MATCH($A113,Charges_NonSlice!$AA$4:$AA$138,0),1)</f>
        <v>37.304425608421518</v>
      </c>
      <c r="K113" s="234">
        <f ca="1">+INDEX(Charges_NonSlice!$X$4:$X$138,MATCH($A113,Charges_NonSlice!$AA$4:$AA$138,0),1)/1000</f>
        <v>179.37806399999999</v>
      </c>
      <c r="L113" s="69">
        <f ca="1">+SUM(K$5:K113)</f>
        <v>44130.889855788882</v>
      </c>
      <c r="N113" s="232" t="str">
        <f ca="1">+INDEX('Charges_NonSlice &amp; Excl LS'!$C$4:$C$138,MATCH($A113,'Charges_NonSlice &amp; Excl LS'!$AA$4:$AA$138,0),1)</f>
        <v>United Electric Coop</v>
      </c>
      <c r="O113" s="63">
        <f ca="1">+INDEX('Charges_NonSlice &amp; Excl LS'!$Z$4:$Z$138,MATCH($A113,'Charges_NonSlice &amp; Excl LS'!$AA$4:$AA$138,0),1)</f>
        <v>-3.0087642631830638E-2</v>
      </c>
      <c r="P113" s="86">
        <f ca="1">+INDEX('Charges_NonSlice &amp; Excl LS'!$Y$4:$Y$138,MATCH($A113,'Charges_NonSlice &amp; Excl LS'!$AA$4:$AA$138,0),1)</f>
        <v>31.878209365404704</v>
      </c>
      <c r="Q113" s="234">
        <f ca="1">+INDEX('Charges_NonSlice &amp; Excl LS'!$X$4:$X$138,MATCH($A113,'Charges_NonSlice &amp; Excl LS'!$AA$4:$AA$138,0),1)/1000</f>
        <v>263.31727459104002</v>
      </c>
      <c r="R113" s="69">
        <f ca="1">+SUM(Q$5:Q113)</f>
        <v>44198.220238913731</v>
      </c>
      <c r="T113" s="232" t="str">
        <f ca="1">+INDEX(Charges_NonSlice!$C$4:$C$138,MATCH($A113,Charges_NonSlice!$AA$4:$AA$138,0),1)</f>
        <v>U.S. Naval Submarine Base, Bangor</v>
      </c>
      <c r="U113" s="63">
        <f t="shared" ca="1" si="3"/>
        <v>6.4423149395509416E-3</v>
      </c>
      <c r="V113" s="86">
        <f ca="1">+INDEX(Charges_NonSlice!$Y$4:$Y$138,MATCH($A113,Charges_NonSlice!$AA$4:$AA$138,0),1)</f>
        <v>37.304425608421518</v>
      </c>
      <c r="W113" s="77">
        <f t="shared" ca="1" si="6"/>
        <v>37.065637100783171</v>
      </c>
      <c r="Y113" s="66" t="s">
        <v>25</v>
      </c>
      <c r="Z113" s="67">
        <v>36.21473908504494</v>
      </c>
    </row>
    <row r="114" spans="1:26">
      <c r="A114">
        <f t="shared" si="5"/>
        <v>110</v>
      </c>
      <c r="B114" s="71" t="str">
        <f ca="1">+INDEX('Charges_Including Slice and LS'!$C$4:$C$138,MATCH($A114,'Charges_Including Slice and LS'!$AA$4:$AA$138,0),1)</f>
        <v>U.S. Naval Submarine Base, Bangor</v>
      </c>
      <c r="C114" s="63">
        <f ca="1">+INDEX('Charges_Including Slice and LS'!$Z$4:$Z$138,MATCH($A114,'Charges_Including Slice and LS'!$AA$4:$AA$138,0),1)</f>
        <v>-2.2213092096364597E-2</v>
      </c>
      <c r="D114" s="60">
        <f ca="1">+INDEX('Charges_Including Slice and LS'!$Y$4:$Y$138,MATCH($A114,'Charges_Including Slice and LS'!$AA$4:$AA$138,0),1)</f>
        <v>37.304425608421518</v>
      </c>
      <c r="E114" s="69">
        <f ca="1">+INDEX('Charges_Including Slice and LS'!$X$4:$X$138,MATCH($A114,'Charges_Including Slice and LS'!$AA$4:$AA$138,0),1)/1000</f>
        <v>179.37806399999999</v>
      </c>
      <c r="F114" s="69">
        <f ca="1">+SUM(E$5:E114)</f>
        <v>57781.899880724413</v>
      </c>
      <c r="H114" s="232" t="str">
        <f ca="1">+INDEX(Charges_NonSlice!$C$4:$C$138,MATCH($A114,Charges_NonSlice!$AA$4:$AA$138,0),1)</f>
        <v>Wahkiakum County PUD #1</v>
      </c>
      <c r="I114" s="63">
        <f ca="1">+INDEX(Charges_NonSlice!$Z$4:$Z$138,MATCH($A114,Charges_NonSlice!$AA$4:$AA$138,0),1)</f>
        <v>-2.2710784652438448E-2</v>
      </c>
      <c r="J114" s="86">
        <f ca="1">+INDEX(Charges_NonSlice!$Y$4:$Y$138,MATCH($A114,Charges_NonSlice!$AA$4:$AA$138,0),1)</f>
        <v>33.021571976587907</v>
      </c>
      <c r="K114" s="234">
        <f ca="1">+INDEX(Charges_NonSlice!$X$4:$X$138,MATCH($A114,Charges_NonSlice!$AA$4:$AA$138,0),1)/1000</f>
        <v>43.963920000000002</v>
      </c>
      <c r="L114" s="69">
        <f ca="1">+SUM(K$5:K114)</f>
        <v>44174.853775788884</v>
      </c>
      <c r="N114" s="232" t="str">
        <f ca="1">+INDEX('Charges_NonSlice &amp; Excl LS'!$C$4:$C$138,MATCH($A114,'Charges_NonSlice &amp; Excl LS'!$AA$4:$AA$138,0),1)</f>
        <v>U.S. DOE Albany Research Center</v>
      </c>
      <c r="O114" s="63">
        <f ca="1">+INDEX('Charges_NonSlice &amp; Excl LS'!$Z$4:$Z$138,MATCH($A114,'Charges_NonSlice &amp; Excl LS'!$AA$4:$AA$138,0),1)</f>
        <v>-3.0982292376545862E-2</v>
      </c>
      <c r="P114" s="86">
        <f ca="1">+INDEX('Charges_NonSlice &amp; Excl LS'!$Y$4:$Y$138,MATCH($A114,'Charges_NonSlice &amp; Excl LS'!$AA$4:$AA$138,0),1)</f>
        <v>35.291073449002909</v>
      </c>
      <c r="Q114" s="234">
        <f ca="1">+INDEX('Charges_NonSlice &amp; Excl LS'!$X$4:$X$138,MATCH($A114,'Charges_NonSlice &amp; Excl LS'!$AA$4:$AA$138,0),1)/1000</f>
        <v>4.0204899607680007</v>
      </c>
      <c r="R114" s="69">
        <f ca="1">+SUM(Q$5:Q114)</f>
        <v>44202.240728874502</v>
      </c>
      <c r="T114" s="232" t="str">
        <f ca="1">+INDEX(Charges_NonSlice!$C$4:$C$138,MATCH($A114,Charges_NonSlice!$AA$4:$AA$138,0),1)</f>
        <v>Wahkiakum County PUD #1</v>
      </c>
      <c r="U114" s="63">
        <f t="shared" ca="1" si="3"/>
        <v>-3.5192106138480783E-2</v>
      </c>
      <c r="V114" s="86">
        <f ca="1">+INDEX(Charges_NonSlice!$Y$4:$Y$138,MATCH($A114,Charges_NonSlice!$AA$4:$AA$138,0),1)</f>
        <v>33.021571976587907</v>
      </c>
      <c r="W114" s="77">
        <f t="shared" ca="1" si="6"/>
        <v>34.226059080448984</v>
      </c>
      <c r="Y114" s="66" t="s">
        <v>138</v>
      </c>
      <c r="Z114" s="67">
        <v>35.282155513244959</v>
      </c>
    </row>
    <row r="115" spans="1:26">
      <c r="A115">
        <f t="shared" si="5"/>
        <v>111</v>
      </c>
      <c r="B115" s="71" t="str">
        <f ca="1">+INDEX('Charges_Including Slice and LS'!$C$4:$C$138,MATCH($A115,'Charges_Including Slice and LS'!$AA$4:$AA$138,0),1)</f>
        <v>Wahkiakum County PUD #1</v>
      </c>
      <c r="C115" s="63">
        <f ca="1">+INDEX('Charges_Including Slice and LS'!$Z$4:$Z$138,MATCH($A115,'Charges_Including Slice and LS'!$AA$4:$AA$138,0),1)</f>
        <v>-2.2710784652432123E-2</v>
      </c>
      <c r="D115" s="60">
        <f ca="1">+INDEX('Charges_Including Slice and LS'!$Y$4:$Y$138,MATCH($A115,'Charges_Including Slice and LS'!$AA$4:$AA$138,0),1)</f>
        <v>33.021571976587907</v>
      </c>
      <c r="E115" s="69">
        <f ca="1">+INDEX('Charges_Including Slice and LS'!$X$4:$X$138,MATCH($A115,'Charges_Including Slice and LS'!$AA$4:$AA$138,0),1)/1000</f>
        <v>43.963920000000002</v>
      </c>
      <c r="F115" s="69">
        <f ca="1">+SUM(E$5:E115)</f>
        <v>57825.863800724415</v>
      </c>
      <c r="H115" s="232" t="str">
        <f ca="1">+INDEX(Charges_NonSlice!$C$4:$C$138,MATCH($A115,Charges_NonSlice!$AA$4:$AA$138,0),1)</f>
        <v>Tacoma Public Utilities</v>
      </c>
      <c r="I115" s="63">
        <f ca="1">+INDEX(Charges_NonSlice!$Z$4:$Z$138,MATCH($A115,Charges_NonSlice!$AA$4:$AA$138,0),1)</f>
        <v>-2.278731552316474E-2</v>
      </c>
      <c r="J115" s="86">
        <f ca="1">+INDEX(Charges_NonSlice!$Y$4:$Y$138,MATCH($A115,Charges_NonSlice!$AA$4:$AA$138,0),1)</f>
        <v>33.26834204211395</v>
      </c>
      <c r="K115" s="234">
        <f ca="1">+INDEX(Charges_NonSlice!$X$4:$X$138,MATCH($A115,Charges_NonSlice!$AA$4:$AA$138,0),1)/1000</f>
        <v>1402.9658315045713</v>
      </c>
      <c r="L115" s="69">
        <f ca="1">+SUM(K$5:K115)</f>
        <v>45577.819607293459</v>
      </c>
      <c r="N115" s="232" t="str">
        <f ca="1">+INDEX('Charges_NonSlice &amp; Excl LS'!$C$4:$C$138,MATCH($A115,'Charges_NonSlice &amp; Excl LS'!$AA$4:$AA$138,0),1)</f>
        <v>Inland P &amp; L</v>
      </c>
      <c r="O115" s="63">
        <f ca="1">+INDEX('Charges_NonSlice &amp; Excl LS'!$Z$4:$Z$138,MATCH($A115,'Charges_NonSlice &amp; Excl LS'!$AA$4:$AA$138,0),1)</f>
        <v>-3.1721794330483818E-2</v>
      </c>
      <c r="P115" s="86">
        <f ca="1">+INDEX('Charges_NonSlice &amp; Excl LS'!$Y$4:$Y$138,MATCH($A115,'Charges_NonSlice &amp; Excl LS'!$AA$4:$AA$138,0),1)</f>
        <v>32.161187878322195</v>
      </c>
      <c r="Q115" s="234">
        <f ca="1">+INDEX('Charges_NonSlice &amp; Excl LS'!$X$4:$X$138,MATCH($A115,'Charges_NonSlice &amp; Excl LS'!$AA$4:$AA$138,0),1)/1000</f>
        <v>921.35607821618396</v>
      </c>
      <c r="R115" s="69">
        <f ca="1">+SUM(Q$5:Q115)</f>
        <v>45123.596807090682</v>
      </c>
      <c r="T115" s="232" t="str">
        <f ca="1">+INDEX(Charges_NonSlice!$C$4:$C$138,MATCH($A115,Charges_NonSlice!$AA$4:$AA$138,0),1)</f>
        <v>Tacoma Public Utilities</v>
      </c>
      <c r="U115" s="63">
        <f t="shared" ca="1" si="3"/>
        <v>-2.2825883720315576E-2</v>
      </c>
      <c r="V115" s="86">
        <f ca="1">+INDEX(Charges_NonSlice!$Y$4:$Y$138,MATCH($A115,Charges_NonSlice!$AA$4:$AA$138,0),1)</f>
        <v>33.26834204211395</v>
      </c>
      <c r="W115" s="77">
        <f t="shared" ca="1" si="6"/>
        <v>34.045459747515423</v>
      </c>
      <c r="Y115" s="66" t="s">
        <v>8</v>
      </c>
      <c r="Z115" s="67">
        <v>38.493275178701829</v>
      </c>
    </row>
    <row r="116" spans="1:26">
      <c r="A116">
        <f t="shared" si="5"/>
        <v>112</v>
      </c>
      <c r="B116" s="71" t="str">
        <f ca="1">+INDEX('Charges_Including Slice and LS'!$C$4:$C$138,MATCH($A116,'Charges_Including Slice and LS'!$AA$4:$AA$138,0),1)</f>
        <v>U.S. DOE Richland Operations Office</v>
      </c>
      <c r="C116" s="63">
        <f ca="1">+INDEX('Charges_Including Slice and LS'!$Z$4:$Z$138,MATCH($A116,'Charges_Including Slice and LS'!$AA$4:$AA$138,0),1)</f>
        <v>-2.4975999758785082E-2</v>
      </c>
      <c r="D116" s="60">
        <f ca="1">+INDEX('Charges_Including Slice and LS'!$Y$4:$Y$138,MATCH($A116,'Charges_Including Slice and LS'!$AA$4:$AA$138,0),1)</f>
        <v>35.516177855382175</v>
      </c>
      <c r="E116" s="69">
        <f ca="1">+INDEX('Charges_Including Slice and LS'!$X$4:$X$138,MATCH($A116,'Charges_Including Slice and LS'!$AA$4:$AA$138,0),1)/1000</f>
        <v>278.41707627621656</v>
      </c>
      <c r="F116" s="69">
        <f ca="1">+SUM(E$5:E116)</f>
        <v>58104.28087700063</v>
      </c>
      <c r="H116" s="232" t="str">
        <f ca="1">+INDEX(Charges_NonSlice!$C$4:$C$138,MATCH($A116,Charges_NonSlice!$AA$4:$AA$138,0),1)</f>
        <v>U.S. DOE Richland Operations Office</v>
      </c>
      <c r="I116" s="63">
        <f ca="1">+INDEX(Charges_NonSlice!$Z$4:$Z$138,MATCH($A116,Charges_NonSlice!$AA$4:$AA$138,0),1)</f>
        <v>-2.4975999758787105E-2</v>
      </c>
      <c r="J116" s="86">
        <f ca="1">+INDEX(Charges_NonSlice!$Y$4:$Y$138,MATCH($A116,Charges_NonSlice!$AA$4:$AA$138,0),1)</f>
        <v>35.516177855382175</v>
      </c>
      <c r="K116" s="234">
        <f ca="1">+INDEX(Charges_NonSlice!$X$4:$X$138,MATCH($A116,Charges_NonSlice!$AA$4:$AA$138,0),1)/1000</f>
        <v>278.41707627621656</v>
      </c>
      <c r="L116" s="69">
        <f ca="1">+SUM(K$5:K116)</f>
        <v>45856.236683569674</v>
      </c>
      <c r="N116" s="232" t="str">
        <f ca="1">+INDEX('Charges_NonSlice &amp; Excl LS'!$C$4:$C$138,MATCH($A116,'Charges_NonSlice &amp; Excl LS'!$AA$4:$AA$138,0),1)</f>
        <v>Harney Elec Coop</v>
      </c>
      <c r="O116" s="63">
        <f ca="1">+INDEX('Charges_NonSlice &amp; Excl LS'!$Z$4:$Z$138,MATCH($A116,'Charges_NonSlice &amp; Excl LS'!$AA$4:$AA$138,0),1)</f>
        <v>-3.1752337984837738E-2</v>
      </c>
      <c r="P116" s="86">
        <f ca="1">+INDEX('Charges_NonSlice &amp; Excl LS'!$Y$4:$Y$138,MATCH($A116,'Charges_NonSlice &amp; Excl LS'!$AA$4:$AA$138,0),1)</f>
        <v>26.215899922997803</v>
      </c>
      <c r="Q116" s="234">
        <f ca="1">+INDEX('Charges_NonSlice &amp; Excl LS'!$X$4:$X$138,MATCH($A116,'Charges_NonSlice &amp; Excl LS'!$AA$4:$AA$138,0),1)/1000</f>
        <v>199.86426405280795</v>
      </c>
      <c r="R116" s="69">
        <f ca="1">+SUM(Q$5:Q116)</f>
        <v>45323.461071143487</v>
      </c>
      <c r="T116" s="232" t="str">
        <f ca="1">+INDEX(Charges_NonSlice!$C$4:$C$138,MATCH($A116,Charges_NonSlice!$AA$4:$AA$138,0),1)</f>
        <v>U.S. DOE Richland Operations Office</v>
      </c>
      <c r="U116" s="63">
        <f t="shared" ca="1" si="3"/>
        <v>-8.1616127409670391E-2</v>
      </c>
      <c r="V116" s="86">
        <f ca="1">+INDEX(Charges_NonSlice!$Y$4:$Y$138,MATCH($A116,Charges_NonSlice!$AA$4:$AA$138,0),1)</f>
        <v>35.516177855382175</v>
      </c>
      <c r="W116" s="77">
        <f t="shared" ca="1" si="6"/>
        <v>38.672475546862245</v>
      </c>
      <c r="Y116" s="66" t="s">
        <v>48</v>
      </c>
      <c r="Z116" s="67">
        <v>33.133168906847096</v>
      </c>
    </row>
    <row r="117" spans="1:26">
      <c r="A117">
        <f t="shared" si="5"/>
        <v>113</v>
      </c>
      <c r="B117" s="71" t="str">
        <f ca="1">+INDEX('Charges_Including Slice and LS'!$C$4:$C$138,MATCH($A117,'Charges_Including Slice and LS'!$AA$4:$AA$138,0),1)</f>
        <v>Columbia Basin Elec Coop</v>
      </c>
      <c r="C117" s="63">
        <f ca="1">+INDEX('Charges_Including Slice and LS'!$Z$4:$Z$138,MATCH($A117,'Charges_Including Slice and LS'!$AA$4:$AA$138,0),1)</f>
        <v>-2.5506108232615399E-2</v>
      </c>
      <c r="D117" s="60">
        <f ca="1">+INDEX('Charges_Including Slice and LS'!$Y$4:$Y$138,MATCH($A117,'Charges_Including Slice and LS'!$AA$4:$AA$138,0),1)</f>
        <v>31.218101617414593</v>
      </c>
      <c r="E117" s="69">
        <f ca="1">+INDEX('Charges_Including Slice and LS'!$X$4:$X$138,MATCH($A117,'Charges_Including Slice and LS'!$AA$4:$AA$138,0),1)/1000</f>
        <v>106.44395248791665</v>
      </c>
      <c r="F117" s="69">
        <f ca="1">+SUM(E$5:E117)</f>
        <v>58210.72482948855</v>
      </c>
      <c r="H117" s="232" t="str">
        <f ca="1">+INDEX(Charges_NonSlice!$C$4:$C$138,MATCH($A117,Charges_NonSlice!$AA$4:$AA$138,0),1)</f>
        <v>Columbia Basin Elec Coop</v>
      </c>
      <c r="I117" s="63">
        <f ca="1">+INDEX(Charges_NonSlice!$Z$4:$Z$138,MATCH($A117,Charges_NonSlice!$AA$4:$AA$138,0),1)</f>
        <v>-2.5506108232611839E-2</v>
      </c>
      <c r="J117" s="86">
        <f ca="1">+INDEX(Charges_NonSlice!$Y$4:$Y$138,MATCH($A117,Charges_NonSlice!$AA$4:$AA$138,0),1)</f>
        <v>31.218101617414593</v>
      </c>
      <c r="K117" s="234">
        <f ca="1">+INDEX(Charges_NonSlice!$X$4:$X$138,MATCH($A117,Charges_NonSlice!$AA$4:$AA$138,0),1)/1000</f>
        <v>106.44395248791665</v>
      </c>
      <c r="L117" s="69">
        <f ca="1">+SUM(K$5:K117)</f>
        <v>45962.680636057594</v>
      </c>
      <c r="N117" s="232" t="str">
        <f ca="1">+INDEX('Charges_NonSlice &amp; Excl LS'!$C$4:$C$138,MATCH($A117,'Charges_NonSlice &amp; Excl LS'!$AA$4:$AA$138,0),1)</f>
        <v>Columbia Basin Elec Coop</v>
      </c>
      <c r="O117" s="63">
        <f ca="1">+INDEX('Charges_NonSlice &amp; Excl LS'!$Z$4:$Z$138,MATCH($A117,'Charges_NonSlice &amp; Excl LS'!$AA$4:$AA$138,0),1)</f>
        <v>-3.2899333171270292E-2</v>
      </c>
      <c r="P117" s="86">
        <f ca="1">+INDEX('Charges_NonSlice &amp; Excl LS'!$Y$4:$Y$138,MATCH($A117,'Charges_NonSlice &amp; Excl LS'!$AA$4:$AA$138,0),1)</f>
        <v>31.693294567181578</v>
      </c>
      <c r="Q117" s="234">
        <f ca="1">+INDEX('Charges_NonSlice &amp; Excl LS'!$X$4:$X$138,MATCH($A117,'Charges_NonSlice &amp; Excl LS'!$AA$4:$AA$138,0),1)/1000</f>
        <v>106.44371260329601</v>
      </c>
      <c r="R117" s="69">
        <f ca="1">+SUM(Q$5:Q117)</f>
        <v>45429.904783746781</v>
      </c>
      <c r="T117" s="232" t="str">
        <f ca="1">+INDEX(Charges_NonSlice!$C$4:$C$138,MATCH($A117,Charges_NonSlice!$AA$4:$AA$138,0),1)</f>
        <v>Columbia Basin Elec Coop</v>
      </c>
      <c r="U117" s="63">
        <f t="shared" ca="1" si="3"/>
        <v>-5.7799098384360925E-2</v>
      </c>
      <c r="V117" s="86">
        <f ca="1">+INDEX(Charges_NonSlice!$Y$4:$Y$138,MATCH($A117,Charges_NonSlice!$AA$4:$AA$138,0),1)</f>
        <v>31.218101617414593</v>
      </c>
      <c r="W117" s="77">
        <f t="shared" ca="1" si="6"/>
        <v>33.133168906847096</v>
      </c>
      <c r="Y117" s="66" t="s">
        <v>113</v>
      </c>
      <c r="Z117" s="67">
        <v>29.127990517397784</v>
      </c>
    </row>
    <row r="118" spans="1:26">
      <c r="A118">
        <f t="shared" si="5"/>
        <v>114</v>
      </c>
      <c r="B118" s="71" t="str">
        <f ca="1">+INDEX('Charges_Including Slice and LS'!$C$4:$C$138,MATCH($A118,'Charges_Including Slice and LS'!$AA$4:$AA$138,0),1)</f>
        <v>Pacific County PUD #2</v>
      </c>
      <c r="C118" s="63">
        <f ca="1">+INDEX('Charges_Including Slice and LS'!$Z$4:$Z$138,MATCH($A118,'Charges_Including Slice and LS'!$AA$4:$AA$138,0),1)</f>
        <v>-2.550638181100549E-2</v>
      </c>
      <c r="D118" s="60">
        <f ca="1">+INDEX('Charges_Including Slice and LS'!$Y$4:$Y$138,MATCH($A118,'Charges_Including Slice and LS'!$AA$4:$AA$138,0),1)</f>
        <v>36.154273152013218</v>
      </c>
      <c r="E118" s="69">
        <f ca="1">+INDEX('Charges_Including Slice and LS'!$X$4:$X$138,MATCH($A118,'Charges_Including Slice and LS'!$AA$4:$AA$138,0),1)/1000</f>
        <v>319.09636799999998</v>
      </c>
      <c r="F118" s="69">
        <f ca="1">+SUM(E$5:E118)</f>
        <v>58529.821197488549</v>
      </c>
      <c r="H118" s="232" t="str">
        <f ca="1">+INDEX(Charges_NonSlice!$C$4:$C$138,MATCH($A118,Charges_NonSlice!$AA$4:$AA$138,0),1)</f>
        <v>Pacific County PUD #2</v>
      </c>
      <c r="I118" s="63">
        <f ca="1">+INDEX(Charges_NonSlice!$Z$4:$Z$138,MATCH($A118,Charges_NonSlice!$AA$4:$AA$138,0),1)</f>
        <v>-2.5506381811002943E-2</v>
      </c>
      <c r="J118" s="86">
        <f ca="1">+INDEX(Charges_NonSlice!$Y$4:$Y$138,MATCH($A118,Charges_NonSlice!$AA$4:$AA$138,0),1)</f>
        <v>36.154273152013218</v>
      </c>
      <c r="K118" s="234">
        <f ca="1">+INDEX(Charges_NonSlice!$X$4:$X$138,MATCH($A118,Charges_NonSlice!$AA$4:$AA$138,0),1)/1000</f>
        <v>319.09636799999998</v>
      </c>
      <c r="L118" s="69">
        <f ca="1">+SUM(K$5:K118)</f>
        <v>46281.777004057592</v>
      </c>
      <c r="N118" s="232" t="str">
        <f ca="1">+INDEX('Charges_NonSlice &amp; Excl LS'!$C$4:$C$138,MATCH($A118,'Charges_NonSlice &amp; Excl LS'!$AA$4:$AA$138,0),1)</f>
        <v>Vigilante Elec Coop</v>
      </c>
      <c r="O118" s="63">
        <f ca="1">+INDEX('Charges_NonSlice &amp; Excl LS'!$Z$4:$Z$138,MATCH($A118,'Charges_NonSlice &amp; Excl LS'!$AA$4:$AA$138,0),1)</f>
        <v>-3.3953468793846447E-2</v>
      </c>
      <c r="P118" s="86">
        <f ca="1">+INDEX('Charges_NonSlice &amp; Excl LS'!$Y$4:$Y$138,MATCH($A118,'Charges_NonSlice &amp; Excl LS'!$AA$4:$AA$138,0),1)</f>
        <v>28.904064004785322</v>
      </c>
      <c r="Q118" s="234">
        <f ca="1">+INDEX('Charges_NonSlice &amp; Excl LS'!$X$4:$X$138,MATCH($A118,'Charges_NonSlice &amp; Excl LS'!$AA$4:$AA$138,0),1)/1000</f>
        <v>168.23392791083995</v>
      </c>
      <c r="R118" s="69">
        <f ca="1">+SUM(Q$5:Q118)</f>
        <v>45598.138711657622</v>
      </c>
      <c r="T118" s="232" t="str">
        <f ca="1">+INDEX(Charges_NonSlice!$C$4:$C$138,MATCH($A118,Charges_NonSlice!$AA$4:$AA$138,0),1)</f>
        <v>Pacific County PUD #2</v>
      </c>
      <c r="U118" s="63">
        <f t="shared" ca="1" si="3"/>
        <v>5.3944948378706226E-2</v>
      </c>
      <c r="V118" s="86">
        <f ca="1">+INDEX(Charges_NonSlice!$Y$4:$Y$138,MATCH($A118,Charges_NonSlice!$AA$4:$AA$138,0),1)</f>
        <v>36.154273152013218</v>
      </c>
      <c r="W118" s="77">
        <f t="shared" ca="1" si="6"/>
        <v>34.303758661806469</v>
      </c>
      <c r="Y118" s="66" t="s">
        <v>117</v>
      </c>
      <c r="Z118" s="67">
        <v>35.05285536954527</v>
      </c>
    </row>
    <row r="119" spans="1:26">
      <c r="A119">
        <f t="shared" si="5"/>
        <v>115</v>
      </c>
      <c r="B119" s="71" t="str">
        <f ca="1">+INDEX('Charges_Including Slice and LS'!$C$4:$C$138,MATCH($A119,'Charges_Including Slice and LS'!$AA$4:$AA$138,0),1)</f>
        <v>Cascade Locks, City of</v>
      </c>
      <c r="C119" s="63">
        <f ca="1">+INDEX('Charges_Including Slice and LS'!$Z$4:$Z$138,MATCH($A119,'Charges_Including Slice and LS'!$AA$4:$AA$138,0),1)</f>
        <v>-2.8802653919046014E-2</v>
      </c>
      <c r="D119" s="60">
        <f ca="1">+INDEX('Charges_Including Slice and LS'!$Y$4:$Y$138,MATCH($A119,'Charges_Including Slice and LS'!$AA$4:$AA$138,0),1)</f>
        <v>31.135361996113627</v>
      </c>
      <c r="E119" s="69">
        <f ca="1">+INDEX('Charges_Including Slice and LS'!$X$4:$X$138,MATCH($A119,'Charges_Including Slice and LS'!$AA$4:$AA$138,0),1)/1000</f>
        <v>20.888352000000001</v>
      </c>
      <c r="F119" s="69">
        <f ca="1">+SUM(E$5:E119)</f>
        <v>58550.709549488551</v>
      </c>
      <c r="H119" s="232" t="str">
        <f ca="1">+INDEX(Charges_NonSlice!$C$4:$C$138,MATCH($A119,Charges_NonSlice!$AA$4:$AA$138,0),1)</f>
        <v>Cascade Locks, City of</v>
      </c>
      <c r="I119" s="63">
        <f ca="1">+INDEX(Charges_NonSlice!$Z$4:$Z$138,MATCH($A119,Charges_NonSlice!$AA$4:$AA$138,0),1)</f>
        <v>-2.8802653919041903E-2</v>
      </c>
      <c r="J119" s="86">
        <f ca="1">+INDEX(Charges_NonSlice!$Y$4:$Y$138,MATCH($A119,Charges_NonSlice!$AA$4:$AA$138,0),1)</f>
        <v>31.135361996113627</v>
      </c>
      <c r="K119" s="234">
        <f ca="1">+INDEX(Charges_NonSlice!$X$4:$X$138,MATCH($A119,Charges_NonSlice!$AA$4:$AA$138,0),1)/1000</f>
        <v>20.888352000000001</v>
      </c>
      <c r="L119" s="69">
        <f ca="1">+SUM(K$5:K119)</f>
        <v>46302.665356057594</v>
      </c>
      <c r="N119" s="232" t="str">
        <f ca="1">+INDEX('Charges_NonSlice &amp; Excl LS'!$C$4:$C$138,MATCH($A119,'Charges_NonSlice &amp; Excl LS'!$AA$4:$AA$138,0),1)</f>
        <v>Missoula Elec Coop</v>
      </c>
      <c r="O119" s="63">
        <f ca="1">+INDEX('Charges_NonSlice &amp; Excl LS'!$Z$4:$Z$138,MATCH($A119,'Charges_NonSlice &amp; Excl LS'!$AA$4:$AA$138,0),1)</f>
        <v>-3.4094496486713206E-2</v>
      </c>
      <c r="P119" s="86">
        <f ca="1">+INDEX('Charges_NonSlice &amp; Excl LS'!$Y$4:$Y$138,MATCH($A119,'Charges_NonSlice &amp; Excl LS'!$AA$4:$AA$138,0),1)</f>
        <v>32.760773536923757</v>
      </c>
      <c r="Q119" s="234">
        <f ca="1">+INDEX('Charges_NonSlice &amp; Excl LS'!$X$4:$X$138,MATCH($A119,'Charges_NonSlice &amp; Excl LS'!$AA$4:$AA$138,0),1)/1000</f>
        <v>237.03518281046399</v>
      </c>
      <c r="R119" s="69">
        <f ca="1">+SUM(Q$5:Q119)</f>
        <v>45835.173894468084</v>
      </c>
      <c r="T119" s="232" t="str">
        <f ca="1">+INDEX(Charges_NonSlice!$C$4:$C$138,MATCH($A119,Charges_NonSlice!$AA$4:$AA$138,0),1)</f>
        <v>Cascade Locks, City of</v>
      </c>
      <c r="U119" s="63">
        <f t="shared" ca="1" si="3"/>
        <v>-1.5839091151708784E-2</v>
      </c>
      <c r="V119" s="86">
        <f ca="1">+INDEX(Charges_NonSlice!$Y$4:$Y$138,MATCH($A119,Charges_NonSlice!$AA$4:$AA$138,0),1)</f>
        <v>31.135361996113627</v>
      </c>
      <c r="W119" s="77">
        <f t="shared" ca="1" si="6"/>
        <v>31.63645468559568</v>
      </c>
      <c r="Y119" s="66" t="s">
        <v>119</v>
      </c>
      <c r="Z119" s="67">
        <v>38.606876910323493</v>
      </c>
    </row>
    <row r="120" spans="1:26">
      <c r="A120">
        <f t="shared" si="5"/>
        <v>116</v>
      </c>
      <c r="B120" s="71" t="str">
        <f ca="1">+INDEX('Charges_Including Slice and LS'!$C$4:$C$138,MATCH($A120,'Charges_Including Slice and LS'!$AA$4:$AA$138,0),1)</f>
        <v>Consolidated Irrigation District #19</v>
      </c>
      <c r="C120" s="63">
        <f ca="1">+INDEX('Charges_Including Slice and LS'!$Z$4:$Z$138,MATCH($A120,'Charges_Including Slice and LS'!$AA$4:$AA$138,0),1)</f>
        <v>-3.1037544630146345E-2</v>
      </c>
      <c r="D120" s="60">
        <f ca="1">+INDEX('Charges_Including Slice and LS'!$Y$4:$Y$138,MATCH($A120,'Charges_Including Slice and LS'!$AA$4:$AA$138,0),1)</f>
        <v>32.820667243383348</v>
      </c>
      <c r="E120" s="69">
        <f ca="1">+INDEX('Charges_Including Slice and LS'!$X$4:$X$138,MATCH($A120,'Charges_Including Slice and LS'!$AA$4:$AA$138,0),1)/1000</f>
        <v>2.0027520000000001</v>
      </c>
      <c r="F120" s="69">
        <f ca="1">+SUM(E$5:E120)</f>
        <v>58552.712301488551</v>
      </c>
      <c r="H120" s="232" t="str">
        <f ca="1">+INDEX(Charges_NonSlice!$C$4:$C$138,MATCH($A120,Charges_NonSlice!$AA$4:$AA$138,0),1)</f>
        <v>Consolidated Irrigation District #19</v>
      </c>
      <c r="I120" s="63">
        <f ca="1">+INDEX(Charges_NonSlice!$Z$4:$Z$138,MATCH($A120,Charges_NonSlice!$AA$4:$AA$138,0),1)</f>
        <v>-3.1037544630148951E-2</v>
      </c>
      <c r="J120" s="86">
        <f ca="1">+INDEX(Charges_NonSlice!$Y$4:$Y$138,MATCH($A120,Charges_NonSlice!$AA$4:$AA$138,0),1)</f>
        <v>32.820667243383348</v>
      </c>
      <c r="K120" s="234">
        <f ca="1">+INDEX(Charges_NonSlice!$X$4:$X$138,MATCH($A120,Charges_NonSlice!$AA$4:$AA$138,0),1)/1000</f>
        <v>2.0027520000000001</v>
      </c>
      <c r="L120" s="69">
        <f ca="1">+SUM(K$5:K120)</f>
        <v>46304.668108057595</v>
      </c>
      <c r="N120" s="232" t="str">
        <f ca="1">+INDEX('Charges_NonSlice &amp; Excl LS'!$C$4:$C$138,MATCH($A120,'Charges_NonSlice &amp; Excl LS'!$AA$4:$AA$138,0),1)</f>
        <v>Lost River Elec Coop</v>
      </c>
      <c r="O120" s="63">
        <f ca="1">+INDEX('Charges_NonSlice &amp; Excl LS'!$Z$4:$Z$138,MATCH($A120,'Charges_NonSlice &amp; Excl LS'!$AA$4:$AA$138,0),1)</f>
        <v>-3.991712165808952E-2</v>
      </c>
      <c r="P120" s="86">
        <f ca="1">+INDEX('Charges_NonSlice &amp; Excl LS'!$Y$4:$Y$138,MATCH($A120,'Charges_NonSlice &amp; Excl LS'!$AA$4:$AA$138,0),1)</f>
        <v>27.642062158094976</v>
      </c>
      <c r="Q120" s="234">
        <f ca="1">+INDEX('Charges_NonSlice &amp; Excl LS'!$X$4:$X$138,MATCH($A120,'Charges_NonSlice &amp; Excl LS'!$AA$4:$AA$138,0),1)/1000</f>
        <v>83.673345078575991</v>
      </c>
      <c r="R120" s="69">
        <f ca="1">+SUM(Q$5:Q120)</f>
        <v>45918.84723954666</v>
      </c>
      <c r="T120" s="232" t="str">
        <f ca="1">+INDEX(Charges_NonSlice!$C$4:$C$138,MATCH($A120,Charges_NonSlice!$AA$4:$AA$138,0),1)</f>
        <v>Consolidated Irrigation District #19</v>
      </c>
      <c r="U120" s="63">
        <f t="shared" ca="1" si="3"/>
        <v>-2.3785067543458327E-2</v>
      </c>
      <c r="V120" s="86">
        <f ca="1">+INDEX(Charges_NonSlice!$Y$4:$Y$138,MATCH($A120,Charges_NonSlice!$AA$4:$AA$138,0),1)</f>
        <v>32.820667243383348</v>
      </c>
      <c r="W120" s="77">
        <f t="shared" ca="1" si="6"/>
        <v>33.620329040443593</v>
      </c>
      <c r="Y120" s="66" t="s">
        <v>139</v>
      </c>
      <c r="Z120" s="67">
        <v>36.339078301488662</v>
      </c>
    </row>
    <row r="121" spans="1:26">
      <c r="A121">
        <f t="shared" si="5"/>
        <v>117</v>
      </c>
      <c r="B121" s="71" t="str">
        <f ca="1">+INDEX('Charges_Including Slice and LS'!$C$4:$C$138,MATCH($A121,'Charges_Including Slice and LS'!$AA$4:$AA$138,0),1)</f>
        <v>Midstate Elec Coop</v>
      </c>
      <c r="C121" s="63">
        <f ca="1">+INDEX('Charges_Including Slice and LS'!$Z$4:$Z$138,MATCH($A121,'Charges_Including Slice and LS'!$AA$4:$AA$138,0),1)</f>
        <v>-3.219314068846852E-2</v>
      </c>
      <c r="D121" s="60">
        <f ca="1">+INDEX('Charges_Including Slice and LS'!$Y$4:$Y$138,MATCH($A121,'Charges_Including Slice and LS'!$AA$4:$AA$138,0),1)</f>
        <v>32.317139673549072</v>
      </c>
      <c r="E121" s="69">
        <f ca="1">+INDEX('Charges_Including Slice and LS'!$X$4:$X$138,MATCH($A121,'Charges_Including Slice and LS'!$AA$4:$AA$138,0),1)/1000</f>
        <v>410.61686400000002</v>
      </c>
      <c r="F121" s="69">
        <f ca="1">+SUM(E$5:E121)</f>
        <v>58963.329165488554</v>
      </c>
      <c r="H121" s="232" t="str">
        <f ca="1">+INDEX(Charges_NonSlice!$C$4:$C$138,MATCH($A121,Charges_NonSlice!$AA$4:$AA$138,0),1)</f>
        <v>Midstate Elec Coop</v>
      </c>
      <c r="I121" s="63">
        <f ca="1">+INDEX(Charges_NonSlice!$Z$4:$Z$138,MATCH($A121,Charges_NonSlice!$AA$4:$AA$138,0),1)</f>
        <v>-3.2193140688476875E-2</v>
      </c>
      <c r="J121" s="86">
        <f ca="1">+INDEX(Charges_NonSlice!$Y$4:$Y$138,MATCH($A121,Charges_NonSlice!$AA$4:$AA$138,0),1)</f>
        <v>32.317139673549072</v>
      </c>
      <c r="K121" s="234">
        <f ca="1">+INDEX(Charges_NonSlice!$X$4:$X$138,MATCH($A121,Charges_NonSlice!$AA$4:$AA$138,0),1)/1000</f>
        <v>410.61686400000002</v>
      </c>
      <c r="L121" s="69">
        <f ca="1">+SUM(K$5:K121)</f>
        <v>46715.284972057598</v>
      </c>
      <c r="N121" s="232" t="str">
        <f ca="1">+INDEX('Charges_NonSlice &amp; Excl LS'!$C$4:$C$138,MATCH($A121,'Charges_NonSlice &amp; Excl LS'!$AA$4:$AA$138,0),1)</f>
        <v>Midstate Elec Coop</v>
      </c>
      <c r="O121" s="63">
        <f ca="1">+INDEX('Charges_NonSlice &amp; Excl LS'!$Z$4:$Z$138,MATCH($A121,'Charges_NonSlice &amp; Excl LS'!$AA$4:$AA$138,0),1)</f>
        <v>-4.2396361482904085E-2</v>
      </c>
      <c r="P121" s="86">
        <f ca="1">+INDEX('Charges_NonSlice &amp; Excl LS'!$Y$4:$Y$138,MATCH($A121,'Charges_NonSlice &amp; Excl LS'!$AA$4:$AA$138,0),1)</f>
        <v>31.609150429033445</v>
      </c>
      <c r="Q121" s="234">
        <f ca="1">+INDEX('Charges_NonSlice &amp; Excl LS'!$X$4:$X$138,MATCH($A121,'Charges_NonSlice &amp; Excl LS'!$AA$4:$AA$138,0),1)/1000</f>
        <v>410.61735508269595</v>
      </c>
      <c r="R121" s="69">
        <f ca="1">+SUM(Q$5:Q121)</f>
        <v>46329.464594629353</v>
      </c>
      <c r="T121" s="232" t="str">
        <f ca="1">+INDEX(Charges_NonSlice!$C$4:$C$138,MATCH($A121,Charges_NonSlice!$AA$4:$AA$138,0),1)</f>
        <v>Midstate Elec Coop</v>
      </c>
      <c r="U121" s="63">
        <f t="shared" ca="1" si="3"/>
        <v>-4.0065891683978783E-2</v>
      </c>
      <c r="V121" s="86">
        <f ca="1">+INDEX(Charges_NonSlice!$Y$4:$Y$138,MATCH($A121,Charges_NonSlice!$AA$4:$AA$138,0),1)</f>
        <v>32.317139673549072</v>
      </c>
      <c r="W121" s="77">
        <f t="shared" ca="1" si="6"/>
        <v>33.665997898795261</v>
      </c>
      <c r="Y121" s="66" t="s">
        <v>238</v>
      </c>
      <c r="Z121" s="67">
        <v>34.09444543305554</v>
      </c>
    </row>
    <row r="122" spans="1:26">
      <c r="A122">
        <f t="shared" si="5"/>
        <v>118</v>
      </c>
      <c r="B122" s="71" t="str">
        <f ca="1">+INDEX('Charges_Including Slice and LS'!$C$4:$C$138,MATCH($A122,'Charges_Including Slice and LS'!$AA$4:$AA$138,0),1)</f>
        <v>Whatcom County PUD #1</v>
      </c>
      <c r="C122" s="63">
        <f ca="1">+INDEX('Charges_Including Slice and LS'!$Z$4:$Z$138,MATCH($A122,'Charges_Including Slice and LS'!$AA$4:$AA$138,0),1)</f>
        <v>-3.2374269719433572E-2</v>
      </c>
      <c r="D122" s="60">
        <f ca="1">+INDEX('Charges_Including Slice and LS'!$Y$4:$Y$138,MATCH($A122,'Charges_Including Slice and LS'!$AA$4:$AA$138,0),1)</f>
        <v>34.439947662104402</v>
      </c>
      <c r="E122" s="69">
        <f ca="1">+INDEX('Charges_Including Slice and LS'!$X$4:$X$138,MATCH($A122,'Charges_Including Slice and LS'!$AA$4:$AA$138,0),1)/1000</f>
        <v>230.51151405660286</v>
      </c>
      <c r="F122" s="69">
        <f ca="1">+SUM(E$5:E122)</f>
        <v>59193.840679545159</v>
      </c>
      <c r="H122" s="232" t="str">
        <f ca="1">+INDEX(Charges_NonSlice!$C$4:$C$138,MATCH($A122,Charges_NonSlice!$AA$4:$AA$138,0),1)</f>
        <v>Whatcom County PUD #1</v>
      </c>
      <c r="I122" s="63">
        <f ca="1">+INDEX(Charges_NonSlice!$Z$4:$Z$138,MATCH($A122,Charges_NonSlice!$AA$4:$AA$138,0),1)</f>
        <v>-3.2374269719435224E-2</v>
      </c>
      <c r="J122" s="86">
        <f ca="1">+INDEX(Charges_NonSlice!$Y$4:$Y$138,MATCH($A122,Charges_NonSlice!$AA$4:$AA$138,0),1)</f>
        <v>34.439947662104402</v>
      </c>
      <c r="K122" s="234">
        <f ca="1">+INDEX(Charges_NonSlice!$X$4:$X$138,MATCH($A122,Charges_NonSlice!$AA$4:$AA$138,0),1)/1000</f>
        <v>230.51151405660286</v>
      </c>
      <c r="L122" s="69">
        <f ca="1">+SUM(K$5:K122)</f>
        <v>46945.796486114203</v>
      </c>
      <c r="N122" s="232" t="str">
        <f ca="1">+INDEX('Charges_NonSlice &amp; Excl LS'!$C$4:$C$138,MATCH($A122,'Charges_NonSlice &amp; Excl LS'!$AA$4:$AA$138,0),1)</f>
        <v>Klickitat County PUD #1</v>
      </c>
      <c r="O122" s="63">
        <f ca="1">+INDEX('Charges_NonSlice &amp; Excl LS'!$Z$4:$Z$138,MATCH($A122,'Charges_NonSlice &amp; Excl LS'!$AA$4:$AA$138,0),1)</f>
        <v>-4.5640890098940033E-2</v>
      </c>
      <c r="P122" s="86">
        <f ca="1">+INDEX('Charges_NonSlice &amp; Excl LS'!$Y$4:$Y$138,MATCH($A122,'Charges_NonSlice &amp; Excl LS'!$AA$4:$AA$138,0),1)</f>
        <v>29.833566512286158</v>
      </c>
      <c r="Q122" s="234">
        <f ca="1">+INDEX('Charges_NonSlice &amp; Excl LS'!$X$4:$X$138,MATCH($A122,'Charges_NonSlice &amp; Excl LS'!$AA$4:$AA$138,0),1)/1000</f>
        <v>322.01146445040001</v>
      </c>
      <c r="R122" s="69">
        <f ca="1">+SUM(Q$5:Q122)</f>
        <v>46651.476059079752</v>
      </c>
      <c r="T122" s="232" t="str">
        <f ca="1">+INDEX(Charges_NonSlice!$C$4:$C$138,MATCH($A122,Charges_NonSlice!$AA$4:$AA$138,0),1)</f>
        <v>Whatcom County PUD #1</v>
      </c>
      <c r="U122" s="63">
        <f t="shared" ca="1" si="3"/>
        <v>-4.2717372851079016E-2</v>
      </c>
      <c r="V122" s="86">
        <f ca="1">+INDEX(Charges_NonSlice!$Y$4:$Y$138,MATCH($A122,Charges_NonSlice!$AA$4:$AA$138,0),1)</f>
        <v>34.439947662104402</v>
      </c>
      <c r="W122" s="77">
        <f t="shared" ca="1" si="6"/>
        <v>35.976781240329252</v>
      </c>
      <c r="Y122" s="66" t="s">
        <v>102</v>
      </c>
      <c r="Z122" s="67" t="s">
        <v>609</v>
      </c>
    </row>
    <row r="123" spans="1:26">
      <c r="A123" s="232">
        <f t="shared" si="5"/>
        <v>119</v>
      </c>
      <c r="B123" s="232" t="str">
        <f ca="1">+INDEX('Charges_Including Slice and LS'!$C$4:$C$138,MATCH($A123,'Charges_Including Slice and LS'!$AA$4:$AA$138,0),1)</f>
        <v>U.S. Naval Station, Everett (Jim Creek)</v>
      </c>
      <c r="C123" s="63">
        <f ca="1">+INDEX('Charges_Including Slice and LS'!$Z$4:$Z$138,MATCH($A123,'Charges_Including Slice and LS'!$AA$4:$AA$138,0),1)</f>
        <v>-3.6761203276651867E-2</v>
      </c>
      <c r="D123" s="86">
        <f ca="1">+INDEX('Charges_Including Slice and LS'!$Y$4:$Y$138,MATCH($A123,'Charges_Including Slice and LS'!$AA$4:$AA$138,0),1)</f>
        <v>34.522541029886227</v>
      </c>
      <c r="E123" s="242">
        <f ca="1">+INDEX('Charges_Including Slice and LS'!$X$4:$X$138,MATCH($A123,'Charges_Including Slice and LS'!$AA$4:$AA$138,0),1)/1000</f>
        <v>13.413167999999999</v>
      </c>
      <c r="F123" s="242">
        <f ca="1">+SUM(E$5:E123)</f>
        <v>59207.253847545158</v>
      </c>
      <c r="H123" s="232" t="str">
        <f ca="1">+INDEX(Charges_NonSlice!$C$4:$C$138,MATCH($A123,Charges_NonSlice!$AA$4:$AA$138,0),1)</f>
        <v>U.S. Naval Station, Everett (Jim Creek)</v>
      </c>
      <c r="I123" s="63">
        <f ca="1">+INDEX(Charges_NonSlice!$Z$4:$Z$138,MATCH($A123,Charges_NonSlice!$AA$4:$AA$138,0),1)</f>
        <v>-3.6761203276653609E-2</v>
      </c>
      <c r="J123" s="86">
        <f ca="1">+INDEX(Charges_NonSlice!$Y$4:$Y$138,MATCH($A123,Charges_NonSlice!$AA$4:$AA$138,0),1)</f>
        <v>34.522541029886227</v>
      </c>
      <c r="K123" s="242">
        <f ca="1">+INDEX(Charges_NonSlice!$X$4:$X$138,MATCH($A123,Charges_NonSlice!$AA$4:$AA$138,0),1)/1000</f>
        <v>13.413167999999999</v>
      </c>
      <c r="L123" s="242">
        <f ca="1">+SUM(K$5:K123)</f>
        <v>46959.209654114202</v>
      </c>
      <c r="N123" s="232" t="str">
        <f ca="1">+INDEX('Charges_NonSlice &amp; Excl LS'!$C$4:$C$138,MATCH($A123,'Charges_NonSlice &amp; Excl LS'!$AA$4:$AA$138,0),1)</f>
        <v>U.S. DOE Richland Operations Office</v>
      </c>
      <c r="O123" s="63">
        <f ca="1">+INDEX('Charges_NonSlice &amp; Excl LS'!$Z$4:$Z$138,MATCH($A123,'Charges_NonSlice &amp; Excl LS'!$AA$4:$AA$138,0),1)</f>
        <v>-6.9777524159501697E-2</v>
      </c>
      <c r="P123" s="86">
        <f ca="1">+INDEX('Charges_NonSlice &amp; Excl LS'!$Y$4:$Y$138,MATCH($A123,'Charges_NonSlice &amp; Excl LS'!$AA$4:$AA$138,0),1)</f>
        <v>34.96199121195329</v>
      </c>
      <c r="Q123" s="242">
        <f ca="1">+INDEX('Charges_NonSlice &amp; Excl LS'!$X$4:$X$138,MATCH($A123,'Charges_NonSlice &amp; Excl LS'!$AA$4:$AA$138,0),1)/1000</f>
        <v>278.41892978318396</v>
      </c>
      <c r="R123" s="242">
        <f ca="1">+SUM(Q$5:Q123)</f>
        <v>46929.894988862936</v>
      </c>
      <c r="T123" s="232" t="str">
        <f ca="1">+INDEX(Charges_NonSlice!$C$4:$C$138,MATCH($A123,Charges_NonSlice!$AA$4:$AA$138,0),1)</f>
        <v>U.S. Naval Station, Everett (Jim Creek)</v>
      </c>
      <c r="U123" s="63" t="str">
        <f t="shared" ref="U123" ca="1" si="7">IFERROR(+V123/W123-1,"")</f>
        <v/>
      </c>
      <c r="V123" s="86">
        <f ca="1">+INDEX(Charges_NonSlice!$Y$4:$Y$138,MATCH($A123,Charges_NonSlice!$AA$4:$AA$138,0),1)</f>
        <v>34.522541029886227</v>
      </c>
      <c r="W123" s="77"/>
      <c r="Y123" s="66"/>
      <c r="Z123" s="67"/>
    </row>
    <row r="124" spans="1:26">
      <c r="A124" s="232"/>
      <c r="B124" s="232"/>
      <c r="C124" s="63"/>
      <c r="D124" s="86"/>
      <c r="E124" s="242"/>
      <c r="F124" s="242"/>
      <c r="Y124" s="66"/>
      <c r="Z124" s="67"/>
    </row>
    <row r="125" spans="1:26">
      <c r="Y125" s="66"/>
      <c r="Z125" s="67"/>
    </row>
    <row r="126" spans="1:26">
      <c r="C126" s="68"/>
      <c r="I126" s="68"/>
      <c r="O126" s="68"/>
      <c r="U126" s="68"/>
      <c r="Y126" s="66"/>
      <c r="Z126" s="67"/>
    </row>
    <row r="127" spans="1:26">
      <c r="Y127" s="66"/>
      <c r="Z127" s="67"/>
    </row>
    <row r="128" spans="1:26">
      <c r="Y128" s="66"/>
      <c r="Z128" s="67"/>
    </row>
    <row r="129" spans="25:26">
      <c r="Y129" s="66"/>
      <c r="Z129" s="67"/>
    </row>
    <row r="130" spans="25:26">
      <c r="Y130" s="66"/>
      <c r="Z130" s="67"/>
    </row>
    <row r="131" spans="25:26">
      <c r="Y131" s="66"/>
      <c r="Z131" s="67"/>
    </row>
    <row r="132" spans="25:26">
      <c r="Y132" s="66"/>
      <c r="Z132" s="67"/>
    </row>
    <row r="133" spans="25:26">
      <c r="Y133" s="66"/>
      <c r="Z133" s="67"/>
    </row>
    <row r="134" spans="25:26">
      <c r="Y134" s="66"/>
      <c r="Z134" s="67"/>
    </row>
    <row r="135" spans="25:26">
      <c r="Y135" s="66"/>
      <c r="Z135" s="67"/>
    </row>
    <row r="136" spans="25:26">
      <c r="Y136" s="66"/>
      <c r="Z136" s="67"/>
    </row>
    <row r="137" spans="25:26">
      <c r="Y137"/>
      <c r="Z137"/>
    </row>
    <row r="138" spans="25:26">
      <c r="Y138"/>
      <c r="Z138"/>
    </row>
    <row r="139" spans="25:26">
      <c r="Y139"/>
      <c r="Z139"/>
    </row>
    <row r="140" spans="25:26">
      <c r="Y140" s="64"/>
      <c r="Z140" s="64"/>
    </row>
    <row r="141" spans="25:26">
      <c r="Y141" s="64"/>
      <c r="Z141" s="64"/>
    </row>
    <row r="142" spans="25:26">
      <c r="Y142" s="64"/>
      <c r="Z142" s="64"/>
    </row>
    <row r="143" spans="25:26">
      <c r="Y143" s="64"/>
      <c r="Z143" s="64"/>
    </row>
    <row r="144" spans="25:26">
      <c r="Y144" s="64"/>
      <c r="Z144" s="64"/>
    </row>
    <row r="145" spans="25:26">
      <c r="Y145" s="64"/>
      <c r="Z145" s="64"/>
    </row>
    <row r="146" spans="25:26">
      <c r="Y146" s="64"/>
      <c r="Z146" s="64"/>
    </row>
    <row r="147" spans="25:26">
      <c r="Y147" s="64"/>
      <c r="Z147" s="64"/>
    </row>
    <row r="148" spans="25:26">
      <c r="Y148" s="64"/>
      <c r="Z148" s="64"/>
    </row>
    <row r="149" spans="25:26">
      <c r="Y149" s="64"/>
      <c r="Z149" s="64"/>
    </row>
    <row r="150" spans="25:26">
      <c r="Y150" s="64"/>
      <c r="Z150" s="64"/>
    </row>
    <row r="151" spans="25:26">
      <c r="Y151" s="64"/>
      <c r="Z151" s="64"/>
    </row>
    <row r="152" spans="25:26">
      <c r="Y152" s="64"/>
      <c r="Z152" s="64"/>
    </row>
    <row r="153" spans="25:26">
      <c r="Y153" s="64"/>
      <c r="Z153" s="64"/>
    </row>
    <row r="154" spans="25:26">
      <c r="Y154" s="64"/>
      <c r="Z154" s="64"/>
    </row>
    <row r="155" spans="25:26">
      <c r="Y155" s="64"/>
      <c r="Z155" s="64"/>
    </row>
    <row r="156" spans="25:26">
      <c r="Y156" s="64"/>
      <c r="Z156" s="64"/>
    </row>
    <row r="157" spans="25:26">
      <c r="Y157" s="64"/>
      <c r="Z157" s="64"/>
    </row>
    <row r="158" spans="25:26">
      <c r="Y158" s="64"/>
      <c r="Z158" s="64"/>
    </row>
    <row r="159" spans="25:26">
      <c r="Y159" s="64"/>
      <c r="Z159" s="64"/>
    </row>
    <row r="160" spans="25:26">
      <c r="Y160" s="64"/>
      <c r="Z160" s="64"/>
    </row>
    <row r="161" spans="25:26">
      <c r="Y161" s="64"/>
      <c r="Z161" s="64"/>
    </row>
    <row r="162" spans="25:26">
      <c r="Y162" s="64"/>
      <c r="Z162" s="64"/>
    </row>
    <row r="163" spans="25:26">
      <c r="Y163" s="64"/>
      <c r="Z163" s="64"/>
    </row>
    <row r="164" spans="25:26">
      <c r="Y164" s="64"/>
      <c r="Z164" s="64"/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theme="7"/>
  </sheetPr>
  <dimension ref="A2:Q122"/>
  <sheetViews>
    <sheetView workbookViewId="0">
      <pane xSplit="2" ySplit="3" topLeftCell="C91" activePane="bottomRight" state="frozen"/>
      <selection activeCell="B86" sqref="B86"/>
      <selection pane="topRight" activeCell="B86" sqref="B86"/>
      <selection pane="bottomLeft" activeCell="B86" sqref="B86"/>
      <selection pane="bottomRight" activeCell="D113" sqref="D113"/>
    </sheetView>
  </sheetViews>
  <sheetFormatPr defaultRowHeight="14.4"/>
  <cols>
    <col min="2" max="2" width="35.44140625" customWidth="1"/>
    <col min="3" max="10" width="15.88671875" style="60" customWidth="1"/>
    <col min="11" max="11" width="12.33203125" style="60" customWidth="1"/>
    <col min="12" max="16" width="15.88671875" style="60" customWidth="1"/>
    <col min="17" max="17" width="14.5546875" style="60" customWidth="1"/>
  </cols>
  <sheetData>
    <row r="2" spans="1:17">
      <c r="C2" s="59" t="s">
        <v>226</v>
      </c>
      <c r="D2" s="59"/>
      <c r="E2" s="59"/>
      <c r="L2" s="59" t="s">
        <v>230</v>
      </c>
      <c r="M2" s="59"/>
    </row>
    <row r="3" spans="1:17" ht="69" customHeight="1">
      <c r="C3" s="61" t="s">
        <v>225</v>
      </c>
      <c r="D3" s="61"/>
      <c r="E3" s="61"/>
      <c r="F3" s="61" t="s">
        <v>233</v>
      </c>
      <c r="G3" s="61"/>
      <c r="H3" s="61" t="s">
        <v>231</v>
      </c>
      <c r="I3" s="61"/>
      <c r="J3" s="61" t="s">
        <v>232</v>
      </c>
      <c r="K3" s="61" t="s">
        <v>235</v>
      </c>
      <c r="L3" s="61" t="s">
        <v>225</v>
      </c>
      <c r="M3" s="61"/>
      <c r="N3" s="61" t="s">
        <v>233</v>
      </c>
      <c r="O3" s="61"/>
      <c r="P3" s="61" t="s">
        <v>232</v>
      </c>
    </row>
    <row r="4" spans="1:17">
      <c r="A4">
        <f>IF(VLOOKUP(B4,TOCA_current!$B$2:$AG$137,32,FALSE)=0,0,1)</f>
        <v>0</v>
      </c>
      <c r="B4" t="s">
        <v>35</v>
      </c>
      <c r="C4" s="409" t="str">
        <f>IF(A4=1,VLOOKUP($B4,Outputs!$B:$F,2,FALSE),"")</f>
        <v/>
      </c>
      <c r="D4" s="409">
        <f ca="1">IF(A4=0,VLOOKUP($B4,Outputs!$B:$F,2,FALSE),"")</f>
        <v>-1.6227087582569907E-2</v>
      </c>
      <c r="E4" s="62"/>
      <c r="F4" s="62" t="str">
        <f>IF(A4=1,VLOOKUP($B4,Outputs!$H:$L,2,FALSE),"")</f>
        <v/>
      </c>
      <c r="G4" s="62">
        <f ca="1">IF(A4=0,VLOOKUP($B4,Outputs!$H:$L,2,FALSE),"")</f>
        <v>-1.6227087582567003E-2</v>
      </c>
      <c r="H4" s="409"/>
      <c r="I4" s="409"/>
      <c r="J4" s="410">
        <f ca="1">VLOOKUP($B4,Outputs!$N:$R,2,FALSE)</f>
        <v>-2.4679701799058214E-2</v>
      </c>
      <c r="K4" s="410">
        <f ca="1">+VLOOKUP(B4,Outputs!T:U,2,FALSE)</f>
        <v>-1.5639972538652458E-3</v>
      </c>
      <c r="L4" s="409" t="str">
        <f>IF($A4=1,VLOOKUP($B4,Outputs!$B:$F,3,FALSE),"")</f>
        <v/>
      </c>
      <c r="M4" s="409">
        <f ca="1">IF($A4=0,VLOOKUP($B4,Outputs!$B:$F,3,FALSE),"")</f>
        <v>36.08877567598023</v>
      </c>
      <c r="N4" s="409" t="str">
        <f>IF($A4=1,VLOOKUP($B4,Outputs!$H:$L,3,FALSE),"")</f>
        <v/>
      </c>
      <c r="O4" s="409">
        <f ca="1">IF($A4=0,VLOOKUP($B4,Outputs!$H:$L,3,FALSE),"")</f>
        <v>36.08877567598023</v>
      </c>
      <c r="P4" s="409" t="str">
        <f>IF($A4=1,VLOOKUP($B4,Outputs!$N:$R,3,FALSE),"")</f>
        <v/>
      </c>
      <c r="Q4" s="409">
        <f ca="1">IF($A4=0,VLOOKUP($B4,Outputs!$N:$R,3,FALSE),"")</f>
        <v>35.210585920393349</v>
      </c>
    </row>
    <row r="5" spans="1:17">
      <c r="A5" s="191">
        <f>IF(VLOOKUP(B5,TOCA_current!$B$2:$AG$137,32,FALSE)=0,0,1)</f>
        <v>0</v>
      </c>
      <c r="B5" t="s">
        <v>52</v>
      </c>
      <c r="C5" s="409" t="str">
        <f>IF(A5=1,VLOOKUP($B5,Outputs!$B:$F,2,FALSE),"")</f>
        <v/>
      </c>
      <c r="D5" s="409">
        <f ca="1">IF(A5=0,VLOOKUP($B5,Outputs!$B:$F,2,FALSE),"")</f>
        <v>-3.1037544630146345E-2</v>
      </c>
      <c r="E5" s="62"/>
      <c r="F5" s="62" t="str">
        <f>IF(A5=1,VLOOKUP($B5,Outputs!$H:$L,2,FALSE),"")</f>
        <v/>
      </c>
      <c r="G5" s="62">
        <f ca="1">IF(A5=0,VLOOKUP($B5,Outputs!$H:$L,2,FALSE),"")</f>
        <v>-3.1037544630148951E-2</v>
      </c>
      <c r="H5" s="409"/>
      <c r="I5" s="409"/>
      <c r="J5" s="410">
        <f ca="1">VLOOKUP($B5,Outputs!$N:$R,2,FALSE)</f>
        <v>-2.4590048984465991E-2</v>
      </c>
      <c r="K5" s="410">
        <f ca="1">+VLOOKUP(B5,Outputs!T:U,2,FALSE)</f>
        <v>-2.3785067543458327E-2</v>
      </c>
      <c r="L5" s="409" t="str">
        <f>IF($A5=1,VLOOKUP($B5,Outputs!$B:$F,3,FALSE),"")</f>
        <v/>
      </c>
      <c r="M5" s="409">
        <f ca="1">IF($A5=0,VLOOKUP($B5,Outputs!$B:$F,3,FALSE),"")</f>
        <v>32.820667243383348</v>
      </c>
      <c r="N5" s="409" t="str">
        <f>IF($A5=1,VLOOKUP($B5,Outputs!$H:$L,3,FALSE),"")</f>
        <v/>
      </c>
      <c r="O5" s="409">
        <f ca="1">IF($A5=0,VLOOKUP($B5,Outputs!$H:$L,3,FALSE),"")</f>
        <v>32.820667243383348</v>
      </c>
      <c r="P5" s="409" t="str">
        <f>IF($A5=1,VLOOKUP($B5,Outputs!$N:$R,3,FALSE),"")</f>
        <v/>
      </c>
      <c r="Q5" s="409">
        <f ca="1">IF($A5=0,VLOOKUP($B5,Outputs!$N:$R,3,FALSE),"")</f>
        <v>33.094703824253109</v>
      </c>
    </row>
    <row r="6" spans="1:17">
      <c r="A6" s="191">
        <f>IF(VLOOKUP(B6,TOCA_current!$B$2:$AG$137,32,FALSE)=0,0,1)</f>
        <v>0</v>
      </c>
      <c r="B6" t="s">
        <v>26</v>
      </c>
      <c r="C6" s="409" t="str">
        <f>IF(A6=1,VLOOKUP($B6,Outputs!$B:$F,2,FALSE),"")</f>
        <v/>
      </c>
      <c r="D6" s="409">
        <f ca="1">IF(A6=0,VLOOKUP($B6,Outputs!$B:$F,2,FALSE),"")</f>
        <v>-4.7369000476217508E-3</v>
      </c>
      <c r="E6" s="62"/>
      <c r="F6" s="62" t="str">
        <f>IF(A6=1,VLOOKUP($B6,Outputs!$H:$L,2,FALSE),"")</f>
        <v/>
      </c>
      <c r="G6" s="62">
        <f ca="1">IF(A6=0,VLOOKUP($B6,Outputs!$H:$L,2,FALSE),"")</f>
        <v>-4.7369000476206883E-3</v>
      </c>
      <c r="H6" s="409"/>
      <c r="I6" s="409"/>
      <c r="J6" s="410">
        <f ca="1">VLOOKUP($B6,Outputs!$N:$R,2,FALSE)</f>
        <v>-2.3468417259275707E-2</v>
      </c>
      <c r="K6" s="410">
        <f ca="1">+VLOOKUP(B6,Outputs!T:U,2,FALSE)</f>
        <v>-1.1060555900033187E-2</v>
      </c>
      <c r="L6" s="409" t="str">
        <f>IF($A6=1,VLOOKUP($B6,Outputs!$B:$F,3,FALSE),"")</f>
        <v/>
      </c>
      <c r="M6" s="409">
        <f ca="1">IF($A6=0,VLOOKUP($B6,Outputs!$B:$F,3,FALSE),"")</f>
        <v>36.591789373091203</v>
      </c>
      <c r="N6" s="409" t="str">
        <f>IF($A6=1,VLOOKUP($B6,Outputs!$H:$L,3,FALSE),"")</f>
        <v/>
      </c>
      <c r="O6" s="409">
        <f ca="1">IF($A6=0,VLOOKUP($B6,Outputs!$H:$L,3,FALSE),"")</f>
        <v>36.591789373091203</v>
      </c>
      <c r="P6" s="409" t="str">
        <f>IF($A6=1,VLOOKUP($B6,Outputs!$N:$R,3,FALSE),"")</f>
        <v/>
      </c>
      <c r="Q6" s="409">
        <f ca="1">IF($A6=0,VLOOKUP($B6,Outputs!$N:$R,3,FALSE),"")</f>
        <v>35.278454937042945</v>
      </c>
    </row>
    <row r="7" spans="1:17">
      <c r="A7" s="191">
        <f>IF(VLOOKUP(B7,TOCA_current!$B$2:$AG$137,32,FALSE)=0,0,1)</f>
        <v>0</v>
      </c>
      <c r="B7" t="s">
        <v>16</v>
      </c>
      <c r="C7" s="409" t="str">
        <f>IF(A7=1,VLOOKUP($B7,Outputs!$B:$F,2,FALSE),"")</f>
        <v/>
      </c>
      <c r="D7" s="409">
        <f ca="1">IF(A7=0,VLOOKUP($B7,Outputs!$B:$F,2,FALSE),"")</f>
        <v>-7.0531339800170524E-3</v>
      </c>
      <c r="E7" s="62"/>
      <c r="F7" s="62" t="str">
        <f>IF(A7=1,VLOOKUP($B7,Outputs!$H:$L,2,FALSE),"")</f>
        <v/>
      </c>
      <c r="G7" s="62">
        <f ca="1">IF(A7=0,VLOOKUP($B7,Outputs!$H:$L,2,FALSE),"")</f>
        <v>-7.053133980018984E-3</v>
      </c>
      <c r="H7" s="409"/>
      <c r="I7" s="409"/>
      <c r="J7" s="410">
        <f ca="1">VLOOKUP($B7,Outputs!$N:$R,2,FALSE)</f>
        <v>-2.2861426133165184E-2</v>
      </c>
      <c r="K7" s="410">
        <f ca="1">+VLOOKUP(B7,Outputs!T:U,2,FALSE)</f>
        <v>-3.1272226018150162E-2</v>
      </c>
      <c r="L7" s="409" t="str">
        <f>IF($A7=1,VLOOKUP($B7,Outputs!$B:$F,3,FALSE),"")</f>
        <v/>
      </c>
      <c r="M7" s="409">
        <f ca="1">IF($A7=0,VLOOKUP($B7,Outputs!$B:$F,3,FALSE),"")</f>
        <v>36.867050336997927</v>
      </c>
      <c r="N7" s="409" t="str">
        <f>IF($A7=1,VLOOKUP($B7,Outputs!$H:$L,3,FALSE),"")</f>
        <v/>
      </c>
      <c r="O7" s="409">
        <f ca="1">IF($A7=0,VLOOKUP($B7,Outputs!$H:$L,3,FALSE),"")</f>
        <v>36.867050336997927</v>
      </c>
      <c r="P7" s="409" t="str">
        <f>IF($A7=1,VLOOKUP($B7,Outputs!$N:$R,3,FALSE),"")</f>
        <v/>
      </c>
      <c r="Q7" s="409">
        <f ca="1">IF($A7=0,VLOOKUP($B7,Outputs!$N:$R,3,FALSE),"")</f>
        <v>35.368750761642282</v>
      </c>
    </row>
    <row r="8" spans="1:17">
      <c r="A8" s="191">
        <f>IF(VLOOKUP(B8,TOCA_current!$B$2:$AG$137,32,FALSE)=0,0,1)</f>
        <v>0</v>
      </c>
      <c r="B8" t="s">
        <v>123</v>
      </c>
      <c r="C8" s="409" t="str">
        <f>IF(A8=1,VLOOKUP($B8,Outputs!$B:$F,2,FALSE),"")</f>
        <v/>
      </c>
      <c r="D8" s="409">
        <f ca="1">IF(A8=0,VLOOKUP($B8,Outputs!$B:$F,2,FALSE),"")</f>
        <v>-2.1731663021143301E-2</v>
      </c>
      <c r="E8" s="62"/>
      <c r="F8" s="62" t="str">
        <f>IF(A8=1,VLOOKUP($B8,Outputs!$H:$L,2,FALSE),"")</f>
        <v/>
      </c>
      <c r="G8" s="62">
        <f ca="1">IF(A8=0,VLOOKUP($B8,Outputs!$H:$L,2,FALSE),"")</f>
        <v>-2.1731663021142742E-2</v>
      </c>
      <c r="H8" s="409"/>
      <c r="I8" s="409"/>
      <c r="J8" s="410">
        <f ca="1">VLOOKUP($B8,Outputs!$N:$R,2,FALSE)</f>
        <v>-3.0982292376545862E-2</v>
      </c>
      <c r="K8" s="410">
        <f ca="1">+VLOOKUP(B8,Outputs!T:U,2,FALSE)</f>
        <v>-6.026999381452347E-3</v>
      </c>
      <c r="L8" s="409" t="str">
        <f>IF($A8=1,VLOOKUP($B8,Outputs!$B:$F,3,FALSE),"")</f>
        <v/>
      </c>
      <c r="M8" s="409">
        <f ca="1">IF($A8=0,VLOOKUP($B8,Outputs!$B:$F,3,FALSE),"")</f>
        <v>36.868733285185009</v>
      </c>
      <c r="N8" s="409" t="str">
        <f>IF($A8=1,VLOOKUP($B8,Outputs!$H:$L,3,FALSE),"")</f>
        <v/>
      </c>
      <c r="O8" s="409">
        <f ca="1">IF($A8=0,VLOOKUP($B8,Outputs!$H:$L,3,FALSE),"")</f>
        <v>36.868733285185009</v>
      </c>
      <c r="P8" s="409" t="str">
        <f>IF($A8=1,VLOOKUP($B8,Outputs!$N:$R,3,FALSE),"")</f>
        <v/>
      </c>
      <c r="Q8" s="409">
        <f ca="1">IF($A8=0,VLOOKUP($B8,Outputs!$N:$R,3,FALSE),"")</f>
        <v>35.291073449002909</v>
      </c>
    </row>
    <row r="9" spans="1:17">
      <c r="A9" s="191">
        <f>IF(VLOOKUP(B9,TOCA_current!$B$2:$AG$137,32,FALSE)=0,0,1)</f>
        <v>0</v>
      </c>
      <c r="B9" t="s">
        <v>65</v>
      </c>
      <c r="C9" s="409" t="str">
        <f>IF(A9=1,VLOOKUP($B9,Outputs!$B:$F,2,FALSE),"")</f>
        <v/>
      </c>
      <c r="D9" s="409">
        <f ca="1">IF(A9=0,VLOOKUP($B9,Outputs!$B:$F,2,FALSE),"")</f>
        <v>-7.9412448334083788E-3</v>
      </c>
      <c r="E9" s="62"/>
      <c r="F9" s="62" t="str">
        <f>IF(A9=1,VLOOKUP($B9,Outputs!$H:$L,2,FALSE),"")</f>
        <v/>
      </c>
      <c r="G9" s="62">
        <f ca="1">IF(A9=0,VLOOKUP($B9,Outputs!$H:$L,2,FALSE),"")</f>
        <v>-7.9412448334121102E-3</v>
      </c>
      <c r="H9" s="409"/>
      <c r="I9" s="409"/>
      <c r="J9" s="410">
        <f ca="1">VLOOKUP($B9,Outputs!$N:$R,2,FALSE)</f>
        <v>-2.3479804079625691E-2</v>
      </c>
      <c r="K9" s="410">
        <f ca="1">+VLOOKUP(B9,Outputs!T:U,2,FALSE)</f>
        <v>-3.3038193566844676E-2</v>
      </c>
      <c r="L9" s="409" t="str">
        <f>IF($A9=1,VLOOKUP($B9,Outputs!$B:$F,3,FALSE),"")</f>
        <v/>
      </c>
      <c r="M9" s="409">
        <f ca="1">IF($A9=0,VLOOKUP($B9,Outputs!$B:$F,3,FALSE),"")</f>
        <v>35.442862038405906</v>
      </c>
      <c r="N9" s="409" t="str">
        <f>IF($A9=1,VLOOKUP($B9,Outputs!$H:$L,3,FALSE),"")</f>
        <v/>
      </c>
      <c r="O9" s="409">
        <f ca="1">IF($A9=0,VLOOKUP($B9,Outputs!$H:$L,3,FALSE),"")</f>
        <v>35.442862038405906</v>
      </c>
      <c r="P9" s="409" t="str">
        <f>IF($A9=1,VLOOKUP($B9,Outputs!$N:$R,3,FALSE),"")</f>
        <v/>
      </c>
      <c r="Q9" s="409">
        <f ca="1">IF($A9=0,VLOOKUP($B9,Outputs!$N:$R,3,FALSE),"")</f>
        <v>34.339988620006928</v>
      </c>
    </row>
    <row r="10" spans="1:17">
      <c r="A10" s="191">
        <f>IF(VLOOKUP(B10,TOCA_current!$B$2:$AG$137,32,FALSE)=0,0,1)</f>
        <v>0</v>
      </c>
      <c r="B10" t="s">
        <v>7</v>
      </c>
      <c r="C10" s="409" t="str">
        <f>IF(A10=1,VLOOKUP($B10,Outputs!$B:$F,2,FALSE),"")</f>
        <v/>
      </c>
      <c r="D10" s="409">
        <f ca="1">IF(A10=0,VLOOKUP($B10,Outputs!$B:$F,2,FALSE),"")</f>
        <v>-2.1132328260068233E-2</v>
      </c>
      <c r="E10" s="62"/>
      <c r="F10" s="62" t="str">
        <f>IF(A10=1,VLOOKUP($B10,Outputs!$H:$L,2,FALSE),"")</f>
        <v/>
      </c>
      <c r="G10" s="62">
        <f ca="1">IF(A10=0,VLOOKUP($B10,Outputs!$H:$L,2,FALSE),"")</f>
        <v>-2.113232826007316E-2</v>
      </c>
      <c r="H10" s="409"/>
      <c r="I10" s="409"/>
      <c r="J10" s="410">
        <f ca="1">VLOOKUP($B10,Outputs!$N:$R,2,FALSE)</f>
        <v>-2.0275885414524054E-2</v>
      </c>
      <c r="K10" s="410">
        <f ca="1">+VLOOKUP(B10,Outputs!T:U,2,FALSE)</f>
        <v>-1.7297453896387815E-2</v>
      </c>
      <c r="L10" s="409" t="str">
        <f>IF($A10=1,VLOOKUP($B10,Outputs!$B:$F,3,FALSE),"")</f>
        <v/>
      </c>
      <c r="M10" s="409">
        <f ca="1">IF($A10=0,VLOOKUP($B10,Outputs!$B:$F,3,FALSE),"")</f>
        <v>35.72319970270842</v>
      </c>
      <c r="N10" s="409" t="str">
        <f>IF($A10=1,VLOOKUP($B10,Outputs!$H:$L,3,FALSE),"")</f>
        <v/>
      </c>
      <c r="O10" s="409">
        <f ca="1">IF($A10=0,VLOOKUP($B10,Outputs!$H:$L,3,FALSE),"")</f>
        <v>35.72319970270842</v>
      </c>
      <c r="P10" s="409" t="str">
        <f>IF($A10=1,VLOOKUP($B10,Outputs!$N:$R,3,FALSE),"")</f>
        <v/>
      </c>
      <c r="Q10" s="409">
        <f ca="1">IF($A10=0,VLOOKUP($B10,Outputs!$N:$R,3,FALSE),"")</f>
        <v>34.91418294327358</v>
      </c>
    </row>
    <row r="11" spans="1:17">
      <c r="A11" s="191">
        <f>IF(VLOOKUP(B11,TOCA_current!$B$2:$AG$137,32,FALSE)=0,0,1)</f>
        <v>0</v>
      </c>
      <c r="B11" t="s">
        <v>8</v>
      </c>
      <c r="C11" s="409" t="str">
        <f>IF(A11=1,VLOOKUP($B11,Outputs!$B:$F,2,FALSE),"")</f>
        <v/>
      </c>
      <c r="D11" s="409">
        <f ca="1">IF(A11=0,VLOOKUP($B11,Outputs!$B:$F,2,FALSE),"")</f>
        <v>2.7103790361682457E-2</v>
      </c>
      <c r="E11" s="62"/>
      <c r="F11" s="62" t="str">
        <f>IF(A11=1,VLOOKUP($B11,Outputs!$H:$L,2,FALSE),"")</f>
        <v/>
      </c>
      <c r="G11" s="62">
        <f ca="1">IF(A11=0,VLOOKUP($B11,Outputs!$H:$L,2,FALSE),"")</f>
        <v>2.7103790361687339E-2</v>
      </c>
      <c r="H11" s="409"/>
      <c r="I11" s="409"/>
      <c r="J11" s="410">
        <f ca="1">VLOOKUP($B11,Outputs!$N:$R,2,FALSE)</f>
        <v>-2.6822268018479249E-2</v>
      </c>
      <c r="K11" s="410">
        <f ca="1">+VLOOKUP(B11,Outputs!T:U,2,FALSE)</f>
        <v>2.6748472275737623E-2</v>
      </c>
      <c r="L11" s="409" t="str">
        <f>IF($A11=1,VLOOKUP($B11,Outputs!$B:$F,3,FALSE),"")</f>
        <v/>
      </c>
      <c r="M11" s="409">
        <f ca="1">IF($A11=0,VLOOKUP($B11,Outputs!$B:$F,3,FALSE),"")</f>
        <v>39.522911482621673</v>
      </c>
      <c r="N11" s="409" t="str">
        <f>IF($A11=1,VLOOKUP($B11,Outputs!$H:$L,3,FALSE),"")</f>
        <v/>
      </c>
      <c r="O11" s="409">
        <f ca="1">IF($A11=0,VLOOKUP($B11,Outputs!$H:$L,3,FALSE),"")</f>
        <v>39.522911482621673</v>
      </c>
      <c r="P11" s="409" t="str">
        <f>IF($A11=1,VLOOKUP($B11,Outputs!$N:$R,3,FALSE),"")</f>
        <v/>
      </c>
      <c r="Q11" s="409">
        <f ca="1">IF($A11=0,VLOOKUP($B11,Outputs!$N:$R,3,FALSE),"")</f>
        <v>39.072409387462812</v>
      </c>
    </row>
    <row r="12" spans="1:17">
      <c r="A12" s="191">
        <f>IF(VLOOKUP(B12,TOCA_current!$B$2:$AG$137,32,FALSE)=0,0,1)</f>
        <v>0</v>
      </c>
      <c r="B12" t="s">
        <v>124</v>
      </c>
      <c r="C12" s="409" t="str">
        <f>IF(A12=1,VLOOKUP($B12,Outputs!$B:$F,2,FALSE),"")</f>
        <v/>
      </c>
      <c r="D12" s="409">
        <f ca="1">IF(A12=0,VLOOKUP($B12,Outputs!$B:$F,2,FALSE),"")</f>
        <v>-3.6761203276651867E-2</v>
      </c>
      <c r="E12" s="62"/>
      <c r="F12" s="62" t="str">
        <f>IF(A12=1,VLOOKUP($B12,Outputs!$H:$L,2,FALSE),"")</f>
        <v/>
      </c>
      <c r="G12" s="62">
        <f ca="1">IF(A12=0,VLOOKUP($B12,Outputs!$H:$L,2,FALSE),"")</f>
        <v>-3.6761203276653609E-2</v>
      </c>
      <c r="H12" s="409"/>
      <c r="I12" s="409"/>
      <c r="J12" s="410">
        <f ca="1">VLOOKUP($B12,Outputs!$N:$R,2,FALSE)</f>
        <v>-2.5844814718999465E-2</v>
      </c>
      <c r="K12" s="410" t="str">
        <f ca="1">+VLOOKUP(B12,Outputs!T:U,2,FALSE)</f>
        <v/>
      </c>
      <c r="L12" s="409" t="str">
        <f>IF($A12=1,VLOOKUP($B12,Outputs!$B:$F,3,FALSE),"")</f>
        <v/>
      </c>
      <c r="M12" s="409">
        <f ca="1">IF($A12=0,VLOOKUP($B12,Outputs!$B:$F,3,FALSE),"")</f>
        <v>34.522541029886227</v>
      </c>
      <c r="N12" s="409" t="str">
        <f>IF($A12=1,VLOOKUP($B12,Outputs!$H:$L,3,FALSE),"")</f>
        <v/>
      </c>
      <c r="O12" s="409">
        <f ca="1">IF($A12=0,VLOOKUP($B12,Outputs!$H:$L,3,FALSE),"")</f>
        <v>34.522541029886227</v>
      </c>
      <c r="P12" s="409" t="str">
        <f>IF($A12=1,VLOOKUP($B12,Outputs!$N:$R,3,FALSE),"")</f>
        <v/>
      </c>
      <c r="Q12" s="409">
        <f ca="1">IF($A12=0,VLOOKUP($B12,Outputs!$N:$R,3,FALSE),"")</f>
        <v>34.978850967720192</v>
      </c>
    </row>
    <row r="13" spans="1:17">
      <c r="A13" s="191">
        <f>IF(VLOOKUP(B13,TOCA_current!$B$2:$AG$137,32,FALSE)=0,0,1)</f>
        <v>0</v>
      </c>
      <c r="B13" t="s">
        <v>27</v>
      </c>
      <c r="C13" s="409" t="str">
        <f>IF(A13=1,VLOOKUP($B13,Outputs!$B:$F,2,FALSE),"")</f>
        <v/>
      </c>
      <c r="D13" s="409">
        <f ca="1">IF(A13=0,VLOOKUP($B13,Outputs!$B:$F,2,FALSE),"")</f>
        <v>-1.135473143507381E-2</v>
      </c>
      <c r="E13" s="62"/>
      <c r="F13" s="62" t="str">
        <f>IF(A13=1,VLOOKUP($B13,Outputs!$H:$L,2,FALSE),"")</f>
        <v/>
      </c>
      <c r="G13" s="62">
        <f ca="1">IF(A13=0,VLOOKUP($B13,Outputs!$H:$L,2,FALSE),"")</f>
        <v>-1.1354731435082985E-2</v>
      </c>
      <c r="H13" s="409"/>
      <c r="I13" s="409"/>
      <c r="J13" s="410">
        <f ca="1">VLOOKUP($B13,Outputs!$N:$R,2,FALSE)</f>
        <v>-2.5566057558415803E-2</v>
      </c>
      <c r="K13" s="410">
        <f ca="1">+VLOOKUP(B13,Outputs!T:U,2,FALSE)</f>
        <v>-1.1015167896457512E-2</v>
      </c>
      <c r="L13" s="409" t="str">
        <f>IF($A13=1,VLOOKUP($B13,Outputs!$B:$F,3,FALSE),"")</f>
        <v/>
      </c>
      <c r="M13" s="409">
        <f ca="1">IF($A13=0,VLOOKUP($B13,Outputs!$B:$F,3,FALSE),"")</f>
        <v>35.374774907501127</v>
      </c>
      <c r="N13" s="409" t="str">
        <f>IF($A13=1,VLOOKUP($B13,Outputs!$H:$L,3,FALSE),"")</f>
        <v/>
      </c>
      <c r="O13" s="409">
        <f ca="1">IF($A13=0,VLOOKUP($B13,Outputs!$H:$L,3,FALSE),"")</f>
        <v>35.374774907501127</v>
      </c>
      <c r="P13" s="409" t="str">
        <f>IF($A13=1,VLOOKUP($B13,Outputs!$N:$R,3,FALSE),"")</f>
        <v/>
      </c>
      <c r="Q13" s="409">
        <f ca="1">IF($A13=0,VLOOKUP($B13,Outputs!$N:$R,3,FALSE),"")</f>
        <v>34.243044781775822</v>
      </c>
    </row>
    <row r="14" spans="1:17">
      <c r="A14" s="191">
        <f>IF(VLOOKUP(B14,TOCA_current!$B$2:$AG$137,32,FALSE)=0,0,1)</f>
        <v>0</v>
      </c>
      <c r="B14" t="s">
        <v>119</v>
      </c>
      <c r="C14" s="409" t="str">
        <f>IF(A14=1,VLOOKUP($B14,Outputs!$B:$F,2,FALSE),"")</f>
        <v/>
      </c>
      <c r="D14" s="409">
        <f ca="1">IF(A14=0,VLOOKUP($B14,Outputs!$B:$F,2,FALSE),"")</f>
        <v>-6.8977316379217621E-3</v>
      </c>
      <c r="E14" s="62"/>
      <c r="F14" s="62" t="str">
        <f>IF(A14=1,VLOOKUP($B14,Outputs!$H:$L,2,FALSE),"")</f>
        <v/>
      </c>
      <c r="G14" s="62">
        <f ca="1">IF(A14=0,VLOOKUP($B14,Outputs!$H:$L,2,FALSE),"")</f>
        <v>-6.8977316379223372E-3</v>
      </c>
      <c r="H14" s="409"/>
      <c r="I14" s="409"/>
      <c r="J14" s="410">
        <f ca="1">VLOOKUP($B14,Outputs!$N:$R,2,FALSE)</f>
        <v>-2.9840211420275202E-2</v>
      </c>
      <c r="K14" s="410">
        <f ca="1">+VLOOKUP(B14,Outputs!T:U,2,FALSE)</f>
        <v>1.8124976788567171E-3</v>
      </c>
      <c r="L14" s="409" t="str">
        <f>IF($A14=1,VLOOKUP($B14,Outputs!$B:$F,3,FALSE),"")</f>
        <v/>
      </c>
      <c r="M14" s="409">
        <f ca="1">IF($A14=0,VLOOKUP($B14,Outputs!$B:$F,3,FALSE),"")</f>
        <v>38.67685178511136</v>
      </c>
      <c r="N14" s="409" t="str">
        <f>IF($A14=1,VLOOKUP($B14,Outputs!$H:$L,3,FALSE),"")</f>
        <v/>
      </c>
      <c r="O14" s="409">
        <f ca="1">IF($A14=0,VLOOKUP($B14,Outputs!$H:$L,3,FALSE),"")</f>
        <v>38.67685178511136</v>
      </c>
      <c r="P14" s="409" t="str">
        <f>IF($A14=1,VLOOKUP($B14,Outputs!$N:$R,3,FALSE),"")</f>
        <v/>
      </c>
      <c r="Q14" s="409">
        <f ca="1">IF($A14=0,VLOOKUP($B14,Outputs!$N:$R,3,FALSE),"")</f>
        <v>36.628092922066664</v>
      </c>
    </row>
    <row r="15" spans="1:17">
      <c r="A15" s="191">
        <f>IF(VLOOKUP(B15,TOCA_current!$B$2:$AG$137,32,FALSE)=0,0,1)</f>
        <v>0</v>
      </c>
      <c r="B15" t="s">
        <v>43</v>
      </c>
      <c r="C15" s="409" t="str">
        <f>IF(A15=1,VLOOKUP($B15,Outputs!$B:$F,2,FALSE),"")</f>
        <v/>
      </c>
      <c r="D15" s="409">
        <f ca="1">IF(A15=0,VLOOKUP($B15,Outputs!$B:$F,2,FALSE),"")</f>
        <v>-1.5898795446915016E-2</v>
      </c>
      <c r="E15" s="62"/>
      <c r="F15" s="62" t="str">
        <f>IF(A15=1,VLOOKUP($B15,Outputs!$H:$L,2,FALSE),"")</f>
        <v/>
      </c>
      <c r="G15" s="62">
        <f ca="1">IF(A15=0,VLOOKUP($B15,Outputs!$H:$L,2,FALSE),"")</f>
        <v>-1.589879544691709E-2</v>
      </c>
      <c r="H15" s="409"/>
      <c r="I15" s="409"/>
      <c r="J15" s="410">
        <f ca="1">VLOOKUP($B15,Outputs!$N:$R,2,FALSE)</f>
        <v>-2.5684682088304954E-2</v>
      </c>
      <c r="K15" s="410">
        <f ca="1">+VLOOKUP(B15,Outputs!T:U,2,FALSE)</f>
        <v>-1.5683323916970249E-2</v>
      </c>
      <c r="L15" s="409" t="str">
        <f>IF($A15=1,VLOOKUP($B15,Outputs!$B:$F,3,FALSE),"")</f>
        <v/>
      </c>
      <c r="M15" s="409">
        <f ca="1">IF($A15=0,VLOOKUP($B15,Outputs!$B:$F,3,FALSE),"")</f>
        <v>36.779089724557501</v>
      </c>
      <c r="N15" s="409" t="str">
        <f>IF($A15=1,VLOOKUP($B15,Outputs!$H:$L,3,FALSE),"")</f>
        <v/>
      </c>
      <c r="O15" s="409">
        <f ca="1">IF($A15=0,VLOOKUP($B15,Outputs!$H:$L,3,FALSE),"")</f>
        <v>36.779089724557501</v>
      </c>
      <c r="P15" s="409" t="str">
        <f>IF($A15=1,VLOOKUP($B15,Outputs!$N:$R,3,FALSE),"")</f>
        <v/>
      </c>
      <c r="Q15" s="409">
        <f ca="1">IF($A15=0,VLOOKUP($B15,Outputs!$N:$R,3,FALSE),"")</f>
        <v>35.529932317658876</v>
      </c>
    </row>
    <row r="16" spans="1:17">
      <c r="A16" s="191">
        <f>IF(VLOOKUP(B16,TOCA_current!$B$2:$AG$137,32,FALSE)=0,0,1)</f>
        <v>0</v>
      </c>
      <c r="B16" t="s">
        <v>107</v>
      </c>
      <c r="C16" s="409" t="str">
        <f>IF(A16=1,VLOOKUP($B16,Outputs!$B:$F,2,FALSE),"")</f>
        <v/>
      </c>
      <c r="D16" s="409">
        <f ca="1">IF(A16=0,VLOOKUP($B16,Outputs!$B:$F,2,FALSE),"")</f>
        <v>1.1719082694150638E-4</v>
      </c>
      <c r="E16" s="62"/>
      <c r="F16" s="62" t="str">
        <f>IF(A16=1,VLOOKUP($B16,Outputs!$H:$L,2,FALSE),"")</f>
        <v/>
      </c>
      <c r="G16" s="62">
        <f ca="1">IF(A16=0,VLOOKUP($B16,Outputs!$H:$L,2,FALSE),"")</f>
        <v>1.1719082694760667E-4</v>
      </c>
      <c r="H16" s="409"/>
      <c r="I16" s="409"/>
      <c r="J16" s="410">
        <f ca="1">VLOOKUP($B16,Outputs!$N:$R,2,FALSE)</f>
        <v>-2.1456088680222876E-2</v>
      </c>
      <c r="K16" s="410">
        <f ca="1">+VLOOKUP(B16,Outputs!T:U,2,FALSE)</f>
        <v>2.1350962598825074E-2</v>
      </c>
      <c r="L16" s="409" t="str">
        <f>IF($A16=1,VLOOKUP($B16,Outputs!$B:$F,3,FALSE),"")</f>
        <v/>
      </c>
      <c r="M16" s="409">
        <f ca="1">IF($A16=0,VLOOKUP($B16,Outputs!$B:$F,3,FALSE),"")</f>
        <v>31.627058439241615</v>
      </c>
      <c r="N16" s="409" t="str">
        <f>IF($A16=1,VLOOKUP($B16,Outputs!$H:$L,3,FALSE),"")</f>
        <v/>
      </c>
      <c r="O16" s="409">
        <f ca="1">IF($A16=0,VLOOKUP($B16,Outputs!$H:$L,3,FALSE),"")</f>
        <v>31.627058439241615</v>
      </c>
      <c r="P16" s="409" t="str">
        <f>IF($A16=1,VLOOKUP($B16,Outputs!$N:$R,3,FALSE),"")</f>
        <v/>
      </c>
      <c r="Q16" s="409">
        <f ca="1">IF($A16=0,VLOOKUP($B16,Outputs!$N:$R,3,FALSE),"")</f>
        <v>31.352412593899114</v>
      </c>
    </row>
    <row r="17" spans="1:17">
      <c r="A17" s="191">
        <f>IF(VLOOKUP(B17,TOCA_current!$B$2:$AG$137,32,FALSE)=0,0,1)</f>
        <v>0</v>
      </c>
      <c r="B17" t="s">
        <v>22</v>
      </c>
      <c r="C17" s="409" t="str">
        <f>IF(A17=1,VLOOKUP($B17,Outputs!$B:$F,2,FALSE),"")</f>
        <v/>
      </c>
      <c r="D17" s="409">
        <f ca="1">IF(A17=0,VLOOKUP($B17,Outputs!$B:$F,2,FALSE),"")</f>
        <v>-2.8802653919046014E-2</v>
      </c>
      <c r="E17" s="62"/>
      <c r="F17" s="62" t="str">
        <f>IF(A17=1,VLOOKUP($B17,Outputs!$H:$L,2,FALSE),"")</f>
        <v/>
      </c>
      <c r="G17" s="62">
        <f ca="1">IF(A17=0,VLOOKUP($B17,Outputs!$H:$L,2,FALSE),"")</f>
        <v>-2.8802653919041903E-2</v>
      </c>
      <c r="H17" s="409"/>
      <c r="I17" s="409"/>
      <c r="J17" s="410">
        <f ca="1">VLOOKUP($B17,Outputs!$N:$R,2,FALSE)</f>
        <v>-2.5121293218982155E-2</v>
      </c>
      <c r="K17" s="410">
        <f ca="1">+VLOOKUP(B17,Outputs!T:U,2,FALSE)</f>
        <v>-1.5839091151708784E-2</v>
      </c>
      <c r="L17" s="409" t="str">
        <f>IF($A17=1,VLOOKUP($B17,Outputs!$B:$F,3,FALSE),"")</f>
        <v/>
      </c>
      <c r="M17" s="409">
        <f ca="1">IF($A17=0,VLOOKUP($B17,Outputs!$B:$F,3,FALSE),"")</f>
        <v>31.135361996113627</v>
      </c>
      <c r="N17" s="409" t="str">
        <f>IF($A17=1,VLOOKUP($B17,Outputs!$H:$L,3,FALSE),"")</f>
        <v/>
      </c>
      <c r="O17" s="409">
        <f ca="1">IF($A17=0,VLOOKUP($B17,Outputs!$H:$L,3,FALSE),"")</f>
        <v>31.135361996113627</v>
      </c>
      <c r="P17" s="409" t="str">
        <f>IF($A17=1,VLOOKUP($B17,Outputs!$N:$R,3,FALSE),"")</f>
        <v/>
      </c>
      <c r="Q17" s="409">
        <f ca="1">IF($A17=0,VLOOKUP($B17,Outputs!$N:$R,3,FALSE),"")</f>
        <v>30.982768101994409</v>
      </c>
    </row>
    <row r="18" spans="1:17">
      <c r="A18" s="191">
        <f>IF(VLOOKUP(B18,TOCA_current!$B$2:$AG$137,32,FALSE)=0,0,1)</f>
        <v>0</v>
      </c>
      <c r="B18" t="s">
        <v>61</v>
      </c>
      <c r="C18" s="409" t="str">
        <f>IF(A18=1,VLOOKUP($B18,Outputs!$B:$F,2,FALSE),"")</f>
        <v/>
      </c>
      <c r="D18" s="409">
        <f ca="1">IF(A18=0,VLOOKUP($B18,Outputs!$B:$F,2,FALSE),"")</f>
        <v>-1.2973364599788293E-2</v>
      </c>
      <c r="E18" s="62"/>
      <c r="F18" s="62" t="str">
        <f>IF(A18=1,VLOOKUP($B18,Outputs!$H:$L,2,FALSE),"")</f>
        <v/>
      </c>
      <c r="G18" s="62">
        <f ca="1">IF(A18=0,VLOOKUP($B18,Outputs!$H:$L,2,FALSE),"")</f>
        <v>-1.2973364599785788E-2</v>
      </c>
      <c r="H18" s="409"/>
      <c r="I18" s="409"/>
      <c r="J18" s="410">
        <f ca="1">VLOOKUP($B18,Outputs!$N:$R,2,FALSE)</f>
        <v>-2.1075738237945292E-2</v>
      </c>
      <c r="K18" s="410">
        <f ca="1">+VLOOKUP(B18,Outputs!T:U,2,FALSE)</f>
        <v>-1.4731510429792816E-2</v>
      </c>
      <c r="L18" s="409" t="str">
        <f>IF($A18=1,VLOOKUP($B18,Outputs!$B:$F,3,FALSE),"")</f>
        <v/>
      </c>
      <c r="M18" s="409">
        <f ca="1">IF($A18=0,VLOOKUP($B18,Outputs!$B:$F,3,FALSE),"")</f>
        <v>35.86223054298798</v>
      </c>
      <c r="N18" s="409" t="str">
        <f>IF($A18=1,VLOOKUP($B18,Outputs!$H:$L,3,FALSE),"")</f>
        <v/>
      </c>
      <c r="O18" s="409">
        <f ca="1">IF($A18=0,VLOOKUP($B18,Outputs!$H:$L,3,FALSE),"")</f>
        <v>35.86223054298798</v>
      </c>
      <c r="P18" s="409" t="str">
        <f>IF($A18=1,VLOOKUP($B18,Outputs!$N:$R,3,FALSE),"")</f>
        <v/>
      </c>
      <c r="Q18" s="409">
        <f ca="1">IF($A18=0,VLOOKUP($B18,Outputs!$N:$R,3,FALSE),"")</f>
        <v>35.05695965052228</v>
      </c>
    </row>
    <row r="19" spans="1:17">
      <c r="A19" s="191">
        <f>IF(VLOOKUP(B19,TOCA_current!$B$2:$AG$137,32,FALSE)=0,0,1)</f>
        <v>0</v>
      </c>
      <c r="B19" t="s">
        <v>25</v>
      </c>
      <c r="C19" s="409" t="str">
        <f>IF(A19=1,VLOOKUP($B19,Outputs!$B:$F,2,FALSE),"")</f>
        <v/>
      </c>
      <c r="D19" s="409">
        <f ca="1">IF(A19=0,VLOOKUP($B19,Outputs!$B:$F,2,FALSE),"")</f>
        <v>-1.3008933849019844E-3</v>
      </c>
      <c r="E19" s="62"/>
      <c r="F19" s="62" t="str">
        <f>IF(A19=1,VLOOKUP($B19,Outputs!$H:$L,2,FALSE),"")</f>
        <v/>
      </c>
      <c r="G19" s="62">
        <f ca="1">IF(A19=0,VLOOKUP($B19,Outputs!$H:$L,2,FALSE),"")</f>
        <v>-1.3008933849017208E-3</v>
      </c>
      <c r="H19" s="409"/>
      <c r="I19" s="409"/>
      <c r="J19" s="410">
        <f ca="1">VLOOKUP($B19,Outputs!$N:$R,2,FALSE)</f>
        <v>-2.0393340287849896E-2</v>
      </c>
      <c r="K19" s="410">
        <f ca="1">+VLOOKUP(B19,Outputs!T:U,2,FALSE)</f>
        <v>1.1371329647124284E-2</v>
      </c>
      <c r="L19" s="409" t="str">
        <f>IF($A19=1,VLOOKUP($B19,Outputs!$B:$F,3,FALSE),"")</f>
        <v/>
      </c>
      <c r="M19" s="409">
        <f ca="1">IF($A19=0,VLOOKUP($B19,Outputs!$B:$F,3,FALSE),"")</f>
        <v>36.62654882126558</v>
      </c>
      <c r="N19" s="409" t="str">
        <f>IF($A19=1,VLOOKUP($B19,Outputs!$H:$L,3,FALSE),"")</f>
        <v/>
      </c>
      <c r="O19" s="409">
        <f ca="1">IF($A19=0,VLOOKUP($B19,Outputs!$H:$L,3,FALSE),"")</f>
        <v>36.62654882126558</v>
      </c>
      <c r="P19" s="409" t="str">
        <f>IF($A19=1,VLOOKUP($B19,Outputs!$N:$R,3,FALSE),"")</f>
        <v/>
      </c>
      <c r="Q19" s="409">
        <f ca="1">IF($A19=0,VLOOKUP($B19,Outputs!$N:$R,3,FALSE),"")</f>
        <v>35.244274299387982</v>
      </c>
    </row>
    <row r="20" spans="1:17">
      <c r="A20" s="232">
        <f>IF(VLOOKUP(B20,TOCA_current!$B$2:$AG$137,32,FALSE)=0,0,1)</f>
        <v>0</v>
      </c>
      <c r="B20" t="s">
        <v>57</v>
      </c>
      <c r="C20" s="409" t="str">
        <f>IF(A20=1,VLOOKUP($B20,Outputs!$B:$F,2,FALSE),"")</f>
        <v/>
      </c>
      <c r="D20" s="409">
        <f ca="1">IF(A20=0,VLOOKUP($B20,Outputs!$B:$F,2,FALSE),"")</f>
        <v>9.6687902686184383E-3</v>
      </c>
      <c r="E20" s="62"/>
      <c r="F20" s="62" t="str">
        <f>IF(A20=1,VLOOKUP($B20,Outputs!$H:$L,2,FALSE),"")</f>
        <v/>
      </c>
      <c r="G20" s="62">
        <f ca="1">IF(A20=0,VLOOKUP($B20,Outputs!$H:$L,2,FALSE),"")</f>
        <v>9.6687902686182475E-3</v>
      </c>
      <c r="H20" s="409"/>
      <c r="I20" s="409"/>
      <c r="J20" s="410">
        <f ca="1">VLOOKUP($B20,Outputs!$N:$R,2,FALSE)</f>
        <v>-2.82627678262381E-2</v>
      </c>
      <c r="K20" s="410">
        <f ca="1">+VLOOKUP(B20,Outputs!T:U,2,FALSE)</f>
        <v>4.2354712597216571E-2</v>
      </c>
      <c r="L20" s="409" t="str">
        <f>IF($A20=1,VLOOKUP($B20,Outputs!$B:$F,3,FALSE),"")</f>
        <v/>
      </c>
      <c r="M20" s="409">
        <f ca="1">IF($A20=0,VLOOKUP($B20,Outputs!$B:$F,3,FALSE),"")</f>
        <v>32.762245991353382</v>
      </c>
      <c r="N20" s="409" t="str">
        <f>IF($A20=1,VLOOKUP($B20,Outputs!$H:$L,3,FALSE),"")</f>
        <v/>
      </c>
      <c r="O20" s="409">
        <f ca="1">IF($A20=0,VLOOKUP($B20,Outputs!$H:$L,3,FALSE),"")</f>
        <v>32.762245991353382</v>
      </c>
      <c r="P20" s="409" t="str">
        <f>IF($A20=1,VLOOKUP($B20,Outputs!$N:$R,3,FALSE),"")</f>
        <v/>
      </c>
      <c r="Q20" s="409">
        <f ca="1">IF($A20=0,VLOOKUP($B20,Outputs!$N:$R,3,FALSE),"")</f>
        <v>32.061435802822437</v>
      </c>
    </row>
    <row r="21" spans="1:17">
      <c r="A21" s="232">
        <f>IF(VLOOKUP(B21,TOCA_current!$B$2:$AG$137,32,FALSE)=0,0,1)</f>
        <v>0</v>
      </c>
      <c r="B21" t="s">
        <v>134</v>
      </c>
      <c r="C21" s="409" t="str">
        <f>IF(A21=1,VLOOKUP($B21,Outputs!$B:$F,2,FALSE),"")</f>
        <v/>
      </c>
      <c r="D21" s="409">
        <f ca="1">IF(A21=0,VLOOKUP($B21,Outputs!$B:$F,2,FALSE),"")</f>
        <v>-1.5613208651813881E-2</v>
      </c>
      <c r="E21" s="62"/>
      <c r="F21" s="62" t="str">
        <f>IF(A21=1,VLOOKUP($B21,Outputs!$H:$L,2,FALSE),"")</f>
        <v/>
      </c>
      <c r="G21" s="62">
        <f ca="1">IF(A21=0,VLOOKUP($B21,Outputs!$H:$L,2,FALSE),"")</f>
        <v>-1.5613208651817529E-2</v>
      </c>
      <c r="H21" s="409"/>
      <c r="I21" s="409"/>
      <c r="J21" s="410">
        <f ca="1">VLOOKUP($B21,Outputs!$N:$R,2,FALSE)</f>
        <v>-2.1445175214215548E-2</v>
      </c>
      <c r="K21" s="410">
        <f ca="1">+VLOOKUP(B21,Outputs!T:U,2,FALSE)</f>
        <v>-1.0709902015630268E-2</v>
      </c>
      <c r="L21" s="409" t="str">
        <f>IF($A21=1,VLOOKUP($B21,Outputs!$B:$F,3,FALSE),"")</f>
        <v/>
      </c>
      <c r="M21" s="409">
        <f ca="1">IF($A21=0,VLOOKUP($B21,Outputs!$B:$F,3,FALSE),"")</f>
        <v>34.631868027604156</v>
      </c>
      <c r="N21" s="409" t="str">
        <f>IF($A21=1,VLOOKUP($B21,Outputs!$H:$L,3,FALSE),"")</f>
        <v/>
      </c>
      <c r="O21" s="409">
        <f ca="1">IF($A21=0,VLOOKUP($B21,Outputs!$H:$L,3,FALSE),"")</f>
        <v>34.631868027604156</v>
      </c>
      <c r="P21" s="409" t="str">
        <f>IF($A21=1,VLOOKUP($B21,Outputs!$N:$R,3,FALSE),"")</f>
        <v/>
      </c>
      <c r="Q21" s="409">
        <f ca="1">IF($A21=0,VLOOKUP($B21,Outputs!$N:$R,3,FALSE),"")</f>
        <v>34.55519014581796</v>
      </c>
    </row>
    <row r="22" spans="1:17">
      <c r="A22" s="232">
        <f>IF(VLOOKUP(B22,TOCA_current!$B$2:$AG$137,32,FALSE)=0,0,1)</f>
        <v>0</v>
      </c>
      <c r="B22" t="s">
        <v>238</v>
      </c>
      <c r="C22" s="409" t="str">
        <f>IF(A22=1,VLOOKUP($B22,Outputs!$B:$F,2,FALSE),"")</f>
        <v/>
      </c>
      <c r="D22" s="409">
        <f ca="1">IF(A22=0,VLOOKUP($B22,Outputs!$B:$F,2,FALSE),"")</f>
        <v>9.9634707829511612E-4</v>
      </c>
      <c r="E22" s="62"/>
      <c r="F22" s="62" t="str">
        <f>IF(A22=1,VLOOKUP($B22,Outputs!$H:$L,2,FALSE),"")</f>
        <v/>
      </c>
      <c r="G22" s="62">
        <f ca="1">IF(A22=0,VLOOKUP($B22,Outputs!$H:$L,2,FALSE),"")</f>
        <v>9.963470782908383E-4</v>
      </c>
      <c r="H22" s="409"/>
      <c r="I22" s="409"/>
      <c r="J22" s="410">
        <f ca="1">VLOOKUP($B22,Outputs!$N:$R,2,FALSE)</f>
        <v>-2.0314655663026114E-2</v>
      </c>
      <c r="K22" s="410">
        <f ca="1">+VLOOKUP(B22,Outputs!T:U,2,FALSE)</f>
        <v>1.8130376086529232E-3</v>
      </c>
      <c r="L22" s="409" t="str">
        <f>IF($A22=1,VLOOKUP($B22,Outputs!$B:$F,3,FALSE),"")</f>
        <v/>
      </c>
      <c r="M22" s="409">
        <f ca="1">IF($A22=0,VLOOKUP($B22,Outputs!$B:$F,3,FALSE),"")</f>
        <v>34.156259944871834</v>
      </c>
      <c r="N22" s="409" t="str">
        <f>IF($A22=1,VLOOKUP($B22,Outputs!$H:$L,3,FALSE),"")</f>
        <v/>
      </c>
      <c r="O22" s="409">
        <f ca="1">IF($A22=0,VLOOKUP($B22,Outputs!$H:$L,3,FALSE),"")</f>
        <v>34.156259944871834</v>
      </c>
      <c r="P22" s="409" t="str">
        <f>IF($A22=1,VLOOKUP($B22,Outputs!$N:$R,3,FALSE),"")</f>
        <v/>
      </c>
      <c r="Q22" s="409">
        <f ca="1">IF($A22=0,VLOOKUP($B22,Outputs!$N:$R,3,FALSE),"")</f>
        <v>33.538123576422855</v>
      </c>
    </row>
    <row r="23" spans="1:17">
      <c r="A23" s="232">
        <f>IF(VLOOKUP(B23,TOCA_current!$B$2:$AG$137,32,FALSE)=0,0,1)</f>
        <v>0</v>
      </c>
      <c r="B23" t="s">
        <v>41</v>
      </c>
      <c r="C23" s="409" t="str">
        <f>IF(A23=1,VLOOKUP($B23,Outputs!$B:$F,2,FALSE),"")</f>
        <v/>
      </c>
      <c r="D23" s="409">
        <f ca="1">IF(A23=0,VLOOKUP($B23,Outputs!$B:$F,2,FALSE),"")</f>
        <v>-1.1226797761153963E-2</v>
      </c>
      <c r="E23" s="62"/>
      <c r="F23" s="62" t="str">
        <f>IF(A23=1,VLOOKUP($B23,Outputs!$H:$L,2,FALSE),"")</f>
        <v/>
      </c>
      <c r="G23" s="62">
        <f ca="1">IF(A23=0,VLOOKUP($B23,Outputs!$H:$L,2,FALSE),"")</f>
        <v>-1.122679776115581E-2</v>
      </c>
      <c r="H23" s="409"/>
      <c r="I23" s="409"/>
      <c r="J23" s="410">
        <f ca="1">VLOOKUP($B23,Outputs!$N:$R,2,FALSE)</f>
        <v>-2.6110716807432547E-2</v>
      </c>
      <c r="K23" s="410">
        <f ca="1">+VLOOKUP(B23,Outputs!T:U,2,FALSE)</f>
        <v>-1.1948654211133447E-2</v>
      </c>
      <c r="L23" s="409" t="str">
        <f>IF($A23=1,VLOOKUP($B23,Outputs!$B:$F,3,FALSE),"")</f>
        <v/>
      </c>
      <c r="M23" s="409">
        <f ca="1">IF($A23=0,VLOOKUP($B23,Outputs!$B:$F,3,FALSE),"")</f>
        <v>36.133586332438526</v>
      </c>
      <c r="N23" s="409" t="str">
        <f>IF($A23=1,VLOOKUP($B23,Outputs!$H:$L,3,FALSE),"")</f>
        <v/>
      </c>
      <c r="O23" s="409">
        <f ca="1">IF($A23=0,VLOOKUP($B23,Outputs!$H:$L,3,FALSE),"")</f>
        <v>36.133586332438526</v>
      </c>
      <c r="P23" s="409" t="str">
        <f>IF($A23=1,VLOOKUP($B23,Outputs!$N:$R,3,FALSE),"")</f>
        <v/>
      </c>
      <c r="Q23" s="409">
        <f ca="1">IF($A23=0,VLOOKUP($B23,Outputs!$N:$R,3,FALSE),"")</f>
        <v>35.097089653727004</v>
      </c>
    </row>
    <row r="24" spans="1:17">
      <c r="A24" s="232">
        <f>IF(VLOOKUP(B24,TOCA_current!$B$2:$AG$137,32,FALSE)=0,0,1)</f>
        <v>0</v>
      </c>
      <c r="B24" t="s">
        <v>49</v>
      </c>
      <c r="C24" s="409" t="str">
        <f>IF(A24=1,VLOOKUP($B24,Outputs!$B:$F,2,FALSE),"")</f>
        <v/>
      </c>
      <c r="D24" s="409">
        <f ca="1">IF(A24=0,VLOOKUP($B24,Outputs!$B:$F,2,FALSE),"")</f>
        <v>2.913619884687369E-3</v>
      </c>
      <c r="E24" s="62"/>
      <c r="F24" s="62" t="str">
        <f>IF(A24=1,VLOOKUP($B24,Outputs!$H:$L,2,FALSE),"")</f>
        <v/>
      </c>
      <c r="G24" s="62">
        <f ca="1">IF(A24=0,VLOOKUP($B24,Outputs!$H:$L,2,FALSE),"")</f>
        <v>2.9136198846851547E-3</v>
      </c>
      <c r="H24" s="409"/>
      <c r="I24" s="409"/>
      <c r="J24" s="410">
        <f ca="1">VLOOKUP($B24,Outputs!$N:$R,2,FALSE)</f>
        <v>-2.7806298168924066E-2</v>
      </c>
      <c r="K24" s="410">
        <f ca="1">+VLOOKUP(B24,Outputs!T:U,2,FALSE)</f>
        <v>1.2167848686925886E-2</v>
      </c>
      <c r="L24" s="409" t="str">
        <f>IF($A24=1,VLOOKUP($B24,Outputs!$B:$F,3,FALSE),"")</f>
        <v/>
      </c>
      <c r="M24" s="409">
        <f ca="1">IF($A24=0,VLOOKUP($B24,Outputs!$B:$F,3,FALSE),"")</f>
        <v>31.891426299288462</v>
      </c>
      <c r="N24" s="409" t="str">
        <f>IF($A24=1,VLOOKUP($B24,Outputs!$H:$L,3,FALSE),"")</f>
        <v/>
      </c>
      <c r="O24" s="409">
        <f ca="1">IF($A24=0,VLOOKUP($B24,Outputs!$H:$L,3,FALSE),"")</f>
        <v>31.891426299288462</v>
      </c>
      <c r="P24" s="409" t="str">
        <f>IF($A24=1,VLOOKUP($B24,Outputs!$N:$R,3,FALSE),"")</f>
        <v/>
      </c>
      <c r="Q24" s="409">
        <f ca="1">IF($A24=0,VLOOKUP($B24,Outputs!$N:$R,3,FALSE),"")</f>
        <v>30.784845611893193</v>
      </c>
    </row>
    <row r="25" spans="1:17">
      <c r="A25" s="232">
        <f>IF(VLOOKUP(B25,TOCA_current!$B$2:$AG$137,32,FALSE)=0,0,1)</f>
        <v>0</v>
      </c>
      <c r="B25" t="s">
        <v>58</v>
      </c>
      <c r="C25" s="409" t="str">
        <f>IF(A25=1,VLOOKUP($B25,Outputs!$B:$F,2,FALSE),"")</f>
        <v/>
      </c>
      <c r="D25" s="409">
        <f ca="1">IF(A25=0,VLOOKUP($B25,Outputs!$B:$F,2,FALSE),"")</f>
        <v>-1.2818167712596605E-2</v>
      </c>
      <c r="E25" s="62"/>
      <c r="F25" s="62" t="str">
        <f>IF(A25=1,VLOOKUP($B25,Outputs!$H:$L,2,FALSE),"")</f>
        <v/>
      </c>
      <c r="G25" s="62">
        <f ca="1">IF(A25=0,VLOOKUP($B25,Outputs!$H:$L,2,FALSE),"")</f>
        <v>-1.2818167712595639E-2</v>
      </c>
      <c r="H25" s="409"/>
      <c r="I25" s="409"/>
      <c r="J25" s="410">
        <f ca="1">VLOOKUP($B25,Outputs!$N:$R,2,FALSE)</f>
        <v>-2.4659821767965249E-2</v>
      </c>
      <c r="K25" s="410">
        <f ca="1">+VLOOKUP(B25,Outputs!T:U,2,FALSE)</f>
        <v>-2.3689765199739754E-2</v>
      </c>
      <c r="L25" s="409" t="str">
        <f>IF($A25=1,VLOOKUP($B25,Outputs!$B:$F,3,FALSE),"")</f>
        <v/>
      </c>
      <c r="M25" s="409">
        <f ca="1">IF($A25=0,VLOOKUP($B25,Outputs!$B:$F,3,FALSE),"")</f>
        <v>37.358173707310634</v>
      </c>
      <c r="N25" s="409" t="str">
        <f>IF($A25=1,VLOOKUP($B25,Outputs!$H:$L,3,FALSE),"")</f>
        <v/>
      </c>
      <c r="O25" s="409">
        <f ca="1">IF($A25=0,VLOOKUP($B25,Outputs!$H:$L,3,FALSE),"")</f>
        <v>37.358173707310634</v>
      </c>
      <c r="P25" s="409" t="str">
        <f>IF($A25=1,VLOOKUP($B25,Outputs!$N:$R,3,FALSE),"")</f>
        <v/>
      </c>
      <c r="Q25" s="409">
        <f ca="1">IF($A25=0,VLOOKUP($B25,Outputs!$N:$R,3,FALSE),"")</f>
        <v>36.07675511918724</v>
      </c>
    </row>
    <row r="26" spans="1:17">
      <c r="A26" s="232">
        <f>IF(VLOOKUP(B26,TOCA_current!$B$2:$AG$137,32,FALSE)=0,0,1)</f>
        <v>0</v>
      </c>
      <c r="B26" t="s">
        <v>42</v>
      </c>
      <c r="C26" s="409" t="str">
        <f>IF(A26=1,VLOOKUP($B26,Outputs!$B:$F,2,FALSE),"")</f>
        <v/>
      </c>
      <c r="D26" s="409">
        <f ca="1">IF(A26=0,VLOOKUP($B26,Outputs!$B:$F,2,FALSE),"")</f>
        <v>-1.2534803761649602E-2</v>
      </c>
      <c r="E26" s="62"/>
      <c r="F26" s="62" t="str">
        <f>IF(A26=1,VLOOKUP($B26,Outputs!$H:$L,2,FALSE),"")</f>
        <v/>
      </c>
      <c r="G26" s="62">
        <f ca="1">IF(A26=0,VLOOKUP($B26,Outputs!$H:$L,2,FALSE),"")</f>
        <v>-1.2534803761649456E-2</v>
      </c>
      <c r="H26" s="409"/>
      <c r="I26" s="409"/>
      <c r="J26" s="410">
        <f ca="1">VLOOKUP($B26,Outputs!$N:$R,2,FALSE)</f>
        <v>-2.5189012621107048E-2</v>
      </c>
      <c r="K26" s="410">
        <f ca="1">+VLOOKUP(B26,Outputs!T:U,2,FALSE)</f>
        <v>-8.5192172728202342E-3</v>
      </c>
      <c r="L26" s="409" t="str">
        <f>IF($A26=1,VLOOKUP($B26,Outputs!$B:$F,3,FALSE),"")</f>
        <v/>
      </c>
      <c r="M26" s="409">
        <f ca="1">IF($A26=0,VLOOKUP($B26,Outputs!$B:$F,3,FALSE),"")</f>
        <v>34.788000028741159</v>
      </c>
      <c r="N26" s="409" t="str">
        <f>IF($A26=1,VLOOKUP($B26,Outputs!$H:$L,3,FALSE),"")</f>
        <v/>
      </c>
      <c r="O26" s="409">
        <f ca="1">IF($A26=0,VLOOKUP($B26,Outputs!$H:$L,3,FALSE),"")</f>
        <v>34.788000028741159</v>
      </c>
      <c r="P26" s="409" t="str">
        <f>IF($A26=1,VLOOKUP($B26,Outputs!$N:$R,3,FALSE),"")</f>
        <v/>
      </c>
      <c r="Q26" s="409">
        <f ca="1">IF($A26=0,VLOOKUP($B26,Outputs!$N:$R,3,FALSE),"")</f>
        <v>34.120715348112832</v>
      </c>
    </row>
    <row r="27" spans="1:17">
      <c r="A27" s="232">
        <f>IF(VLOOKUP(B27,TOCA_current!$B$2:$AG$137,32,FALSE)=0,0,1)</f>
        <v>0</v>
      </c>
      <c r="B27" t="s">
        <v>31</v>
      </c>
      <c r="C27" s="409" t="str">
        <f>IF(A27=1,VLOOKUP($B27,Outputs!$B:$F,2,FALSE),"")</f>
        <v/>
      </c>
      <c r="D27" s="409">
        <f ca="1">IF(A27=0,VLOOKUP($B27,Outputs!$B:$F,2,FALSE),"")</f>
        <v>-9.4554475727457246E-3</v>
      </c>
      <c r="E27" s="62"/>
      <c r="F27" s="62" t="str">
        <f>IF(A27=1,VLOOKUP($B27,Outputs!$H:$L,2,FALSE),"")</f>
        <v/>
      </c>
      <c r="G27" s="62">
        <f ca="1">IF(A27=0,VLOOKUP($B27,Outputs!$H:$L,2,FALSE),"")</f>
        <v>-9.4554475727519557E-3</v>
      </c>
      <c r="H27" s="409"/>
      <c r="I27" s="409"/>
      <c r="J27" s="410">
        <f ca="1">VLOOKUP($B27,Outputs!$N:$R,2,FALSE)</f>
        <v>-2.8547345868872989E-2</v>
      </c>
      <c r="K27" s="410">
        <f ca="1">+VLOOKUP(B27,Outputs!T:U,2,FALSE)</f>
        <v>6.7430635332306199E-3</v>
      </c>
      <c r="L27" s="409" t="str">
        <f>IF($A27=1,VLOOKUP($B27,Outputs!$B:$F,3,FALSE),"")</f>
        <v/>
      </c>
      <c r="M27" s="409">
        <f ca="1">IF($A27=0,VLOOKUP($B27,Outputs!$B:$F,3,FALSE),"")</f>
        <v>38.550179644658783</v>
      </c>
      <c r="N27" s="409" t="str">
        <f>IF($A27=1,VLOOKUP($B27,Outputs!$H:$L,3,FALSE),"")</f>
        <v/>
      </c>
      <c r="O27" s="409">
        <f ca="1">IF($A27=0,VLOOKUP($B27,Outputs!$H:$L,3,FALSE),"")</f>
        <v>38.550179644658783</v>
      </c>
      <c r="P27" s="409" t="str">
        <f>IF($A27=1,VLOOKUP($B27,Outputs!$N:$R,3,FALSE),"")</f>
        <v/>
      </c>
      <c r="Q27" s="409">
        <f ca="1">IF($A27=0,VLOOKUP($B27,Outputs!$N:$R,3,FALSE),"")</f>
        <v>36.975777672437452</v>
      </c>
    </row>
    <row r="28" spans="1:17">
      <c r="A28" s="232">
        <f>IF(VLOOKUP(B28,TOCA_current!$B$2:$AG$137,32,FALSE)=0,0,1)</f>
        <v>0</v>
      </c>
      <c r="B28" t="s">
        <v>37</v>
      </c>
      <c r="C28" s="409" t="str">
        <f>IF(A28=1,VLOOKUP($B28,Outputs!$B:$F,2,FALSE),"")</f>
        <v/>
      </c>
      <c r="D28" s="409">
        <f ca="1">IF(A28=0,VLOOKUP($B28,Outputs!$B:$F,2,FALSE),"")</f>
        <v>-1.5626257653150673E-2</v>
      </c>
      <c r="E28" s="62"/>
      <c r="F28" s="62" t="str">
        <f>IF(A28=1,VLOOKUP($B28,Outputs!$H:$L,2,FALSE),"")</f>
        <v/>
      </c>
      <c r="G28" s="62">
        <f ca="1">IF(A28=0,VLOOKUP($B28,Outputs!$H:$L,2,FALSE),"")</f>
        <v>-1.5626257653158108E-2</v>
      </c>
      <c r="H28" s="409"/>
      <c r="I28" s="409"/>
      <c r="J28" s="410">
        <f ca="1">VLOOKUP($B28,Outputs!$N:$R,2,FALSE)</f>
        <v>-2.5912251984062783E-2</v>
      </c>
      <c r="K28" s="410">
        <f ca="1">+VLOOKUP(B28,Outputs!T:U,2,FALSE)</f>
        <v>-1.3312078602736754E-2</v>
      </c>
      <c r="L28" s="409" t="str">
        <f>IF($A28=1,VLOOKUP($B28,Outputs!$B:$F,3,FALSE),"")</f>
        <v/>
      </c>
      <c r="M28" s="409">
        <f ca="1">IF($A28=0,VLOOKUP($B28,Outputs!$B:$F,3,FALSE),"")</f>
        <v>36.171289593359987</v>
      </c>
      <c r="N28" s="409" t="str">
        <f>IF($A28=1,VLOOKUP($B28,Outputs!$H:$L,3,FALSE),"")</f>
        <v/>
      </c>
      <c r="O28" s="409">
        <f ca="1">IF($A28=0,VLOOKUP($B28,Outputs!$H:$L,3,FALSE),"")</f>
        <v>36.171289593359987</v>
      </c>
      <c r="P28" s="409" t="str">
        <f>IF($A28=1,VLOOKUP($B28,Outputs!$N:$R,3,FALSE),"")</f>
        <v/>
      </c>
      <c r="Q28" s="409">
        <f ca="1">IF($A28=0,VLOOKUP($B28,Outputs!$N:$R,3,FALSE),"")</f>
        <v>35.260672875244538</v>
      </c>
    </row>
    <row r="29" spans="1:17">
      <c r="A29" s="232">
        <f>IF(VLOOKUP(B29,TOCA_current!$B$2:$AG$137,32,FALSE)=0,0,1)</f>
        <v>0</v>
      </c>
      <c r="B29" t="s">
        <v>120</v>
      </c>
      <c r="C29" s="409" t="str">
        <f>IF(A29=1,VLOOKUP($B29,Outputs!$B:$F,2,FALSE),"")</f>
        <v/>
      </c>
      <c r="D29" s="409">
        <f ca="1">IF(A29=0,VLOOKUP($B29,Outputs!$B:$F,2,FALSE),"")</f>
        <v>-8.9667673116878358E-3</v>
      </c>
      <c r="E29" s="62"/>
      <c r="F29" s="62" t="str">
        <f>IF(A29=1,VLOOKUP($B29,Outputs!$H:$L,2,FALSE),"")</f>
        <v/>
      </c>
      <c r="G29" s="62">
        <f ca="1">IF(A29=0,VLOOKUP($B29,Outputs!$H:$L,2,FALSE),"")</f>
        <v>-8.9667673116848243E-3</v>
      </c>
      <c r="H29" s="409"/>
      <c r="I29" s="409"/>
      <c r="J29" s="410">
        <f ca="1">VLOOKUP($B29,Outputs!$N:$R,2,FALSE)</f>
        <v>-2.1238748819940818E-2</v>
      </c>
      <c r="K29" s="410">
        <f ca="1">+VLOOKUP(B29,Outputs!T:U,2,FALSE)</f>
        <v>-1.009992401356008E-2</v>
      </c>
      <c r="L29" s="409" t="str">
        <f>IF($A29=1,VLOOKUP($B29,Outputs!$B:$F,3,FALSE),"")</f>
        <v/>
      </c>
      <c r="M29" s="409">
        <f ca="1">IF($A29=0,VLOOKUP($B29,Outputs!$B:$F,3,FALSE),"")</f>
        <v>36.436568395670989</v>
      </c>
      <c r="N29" s="409" t="str">
        <f>IF($A29=1,VLOOKUP($B29,Outputs!$H:$L,3,FALSE),"")</f>
        <v/>
      </c>
      <c r="O29" s="409">
        <f ca="1">IF($A29=0,VLOOKUP($B29,Outputs!$H:$L,3,FALSE),"")</f>
        <v>36.436568395670989</v>
      </c>
      <c r="P29" s="409" t="str">
        <f>IF($A29=1,VLOOKUP($B29,Outputs!$N:$R,3,FALSE),"")</f>
        <v/>
      </c>
      <c r="Q29" s="409">
        <f ca="1">IF($A29=0,VLOOKUP($B29,Outputs!$N:$R,3,FALSE),"")</f>
        <v>35.349202742653127</v>
      </c>
    </row>
    <row r="30" spans="1:17">
      <c r="A30" s="232">
        <f>IF(VLOOKUP(B30,TOCA_current!$B$2:$AG$137,32,FALSE)=0,0,1)</f>
        <v>0</v>
      </c>
      <c r="B30" t="s">
        <v>30</v>
      </c>
      <c r="C30" s="409" t="str">
        <f>IF(A30=1,VLOOKUP($B30,Outputs!$B:$F,2,FALSE),"")</f>
        <v/>
      </c>
      <c r="D30" s="409">
        <f ca="1">IF(A30=0,VLOOKUP($B30,Outputs!$B:$F,2,FALSE),"")</f>
        <v>-1.2881409605440335E-2</v>
      </c>
      <c r="E30" s="62"/>
      <c r="F30" s="62" t="str">
        <f>IF(A30=1,VLOOKUP($B30,Outputs!$H:$L,2,FALSE),"")</f>
        <v/>
      </c>
      <c r="G30" s="62">
        <f ca="1">IF(A30=0,VLOOKUP($B30,Outputs!$H:$L,2,FALSE),"")</f>
        <v>-1.2881409605445373E-2</v>
      </c>
      <c r="H30" s="409"/>
      <c r="I30" s="409"/>
      <c r="J30" s="410">
        <f ca="1">VLOOKUP($B30,Outputs!$N:$R,2,FALSE)</f>
        <v>-2.5901725141840332E-2</v>
      </c>
      <c r="K30" s="410">
        <f ca="1">+VLOOKUP(B30,Outputs!T:U,2,FALSE)</f>
        <v>-9.7370454192869937E-3</v>
      </c>
      <c r="L30" s="409" t="str">
        <f>IF($A30=1,VLOOKUP($B30,Outputs!$B:$F,3,FALSE),"")</f>
        <v/>
      </c>
      <c r="M30" s="409">
        <f ca="1">IF($A30=0,VLOOKUP($B30,Outputs!$B:$F,3,FALSE),"")</f>
        <v>35.146618672432567</v>
      </c>
      <c r="N30" s="409" t="str">
        <f>IF($A30=1,VLOOKUP($B30,Outputs!$H:$L,3,FALSE),"")</f>
        <v/>
      </c>
      <c r="O30" s="409">
        <f ca="1">IF($A30=0,VLOOKUP($B30,Outputs!$H:$L,3,FALSE),"")</f>
        <v>35.146618672432567</v>
      </c>
      <c r="P30" s="409" t="str">
        <f>IF($A30=1,VLOOKUP($B30,Outputs!$N:$R,3,FALSE),"")</f>
        <v/>
      </c>
      <c r="Q30" s="409">
        <f ca="1">IF($A30=0,VLOOKUP($B30,Outputs!$N:$R,3,FALSE),"")</f>
        <v>34.282524928943339</v>
      </c>
    </row>
    <row r="31" spans="1:17">
      <c r="A31" s="232">
        <f>IF(VLOOKUP(B31,TOCA_current!$B$2:$AG$137,32,FALSE)=0,0,1)</f>
        <v>0</v>
      </c>
      <c r="B31" t="s">
        <v>129</v>
      </c>
      <c r="C31" s="409" t="str">
        <f>IF(A31=1,VLOOKUP($B31,Outputs!$B:$F,2,FALSE),"")</f>
        <v/>
      </c>
      <c r="D31" s="409">
        <f ca="1">IF(A31=0,VLOOKUP($B31,Outputs!$B:$F,2,FALSE),"")</f>
        <v>-2.2710784652432123E-2</v>
      </c>
      <c r="E31" s="62"/>
      <c r="F31" s="62" t="str">
        <f>IF(A31=1,VLOOKUP($B31,Outputs!$H:$L,2,FALSE),"")</f>
        <v/>
      </c>
      <c r="G31" s="62">
        <f ca="1">IF(A31=0,VLOOKUP($B31,Outputs!$H:$L,2,FALSE),"")</f>
        <v>-2.2710784652438448E-2</v>
      </c>
      <c r="H31" s="409"/>
      <c r="I31" s="409"/>
      <c r="J31" s="410">
        <f ca="1">VLOOKUP($B31,Outputs!$N:$R,2,FALSE)</f>
        <v>-2.9202233301566637E-2</v>
      </c>
      <c r="K31" s="410">
        <f ca="1">+VLOOKUP(B31,Outputs!T:U,2,FALSE)</f>
        <v>-3.5192106138480783E-2</v>
      </c>
      <c r="L31" s="409" t="str">
        <f>IF($A31=1,VLOOKUP($B31,Outputs!$B:$F,3,FALSE),"")</f>
        <v/>
      </c>
      <c r="M31" s="409">
        <f ca="1">IF($A31=0,VLOOKUP($B31,Outputs!$B:$F,3,FALSE),"")</f>
        <v>33.021571976587907</v>
      </c>
      <c r="N31" s="409" t="str">
        <f>IF($A31=1,VLOOKUP($B31,Outputs!$H:$L,3,FALSE),"")</f>
        <v/>
      </c>
      <c r="O31" s="409">
        <f ca="1">IF($A31=0,VLOOKUP($B31,Outputs!$H:$L,3,FALSE),"")</f>
        <v>33.021571976587907</v>
      </c>
      <c r="P31" s="409" t="str">
        <f>IF($A31=1,VLOOKUP($B31,Outputs!$N:$R,3,FALSE),"")</f>
        <v/>
      </c>
      <c r="Q31" s="409">
        <f ca="1">IF($A31=0,VLOOKUP($B31,Outputs!$N:$R,3,FALSE),"")</f>
        <v>31.995711794710754</v>
      </c>
    </row>
    <row r="32" spans="1:17">
      <c r="A32" s="232">
        <f>IF(VLOOKUP(B32,TOCA_current!$B$2:$AG$137,32,FALSE)=0,0,1)</f>
        <v>0</v>
      </c>
      <c r="B32" t="s">
        <v>20</v>
      </c>
      <c r="C32" s="409" t="str">
        <f>IF(A32=1,VLOOKUP($B32,Outputs!$B:$F,2,FALSE),"")</f>
        <v/>
      </c>
      <c r="D32" s="409">
        <f ca="1">IF(A32=0,VLOOKUP($B32,Outputs!$B:$F,2,FALSE),"")</f>
        <v>3.7186625929801154E-2</v>
      </c>
      <c r="E32" s="62"/>
      <c r="F32" s="62" t="str">
        <f>IF(A32=1,VLOOKUP($B32,Outputs!$H:$L,2,FALSE),"")</f>
        <v/>
      </c>
      <c r="G32" s="62">
        <f ca="1">IF(A32=0,VLOOKUP($B32,Outputs!$H:$L,2,FALSE),"")</f>
        <v>3.7186625929798607E-2</v>
      </c>
      <c r="H32" s="409"/>
      <c r="I32" s="409"/>
      <c r="J32" s="410">
        <f ca="1">VLOOKUP($B32,Outputs!$N:$R,2,FALSE)</f>
        <v>-2.5357413361640487E-2</v>
      </c>
      <c r="K32" s="410">
        <f ca="1">+VLOOKUP(B32,Outputs!T:U,2,FALSE)</f>
        <v>4.4662866064799411E-2</v>
      </c>
      <c r="L32" s="409" t="str">
        <f>IF($A32=1,VLOOKUP($B32,Outputs!$B:$F,3,FALSE),"")</f>
        <v/>
      </c>
      <c r="M32" s="409">
        <f ca="1">IF($A32=0,VLOOKUP($B32,Outputs!$B:$F,3,FALSE),"")</f>
        <v>40.146471585960334</v>
      </c>
      <c r="N32" s="409" t="str">
        <f>IF($A32=1,VLOOKUP($B32,Outputs!$H:$L,3,FALSE),"")</f>
        <v/>
      </c>
      <c r="O32" s="409">
        <f ca="1">IF($A32=0,VLOOKUP($B32,Outputs!$H:$L,3,FALSE),"")</f>
        <v>40.146471585960334</v>
      </c>
      <c r="P32" s="409" t="str">
        <f>IF($A32=1,VLOOKUP($B32,Outputs!$N:$R,3,FALSE),"")</f>
        <v/>
      </c>
      <c r="Q32" s="409">
        <f ca="1">IF($A32=0,VLOOKUP($B32,Outputs!$N:$R,3,FALSE),"")</f>
        <v>34.937419614820143</v>
      </c>
    </row>
    <row r="33" spans="1:17" s="232" customFormat="1">
      <c r="A33" s="232">
        <f>IF(VLOOKUP(B33,TOCA_current!$B$2:$AG$137,32,FALSE)=0,0,1)</f>
        <v>0</v>
      </c>
      <c r="B33" s="232" t="s">
        <v>70</v>
      </c>
      <c r="C33" s="409" t="str">
        <f>IF(A33=1,VLOOKUP($B33,Outputs!$B:$F,2,FALSE),"")</f>
        <v/>
      </c>
      <c r="D33" s="409">
        <f ca="1">IF(A33=0,VLOOKUP($B33,Outputs!$B:$F,2,FALSE),"")</f>
        <v>-5.3962364267850157E-3</v>
      </c>
      <c r="E33" s="62"/>
      <c r="F33" s="62" t="str">
        <f>IF(A33=1,VLOOKUP($B33,Outputs!$H:$L,2,FALSE),"")</f>
        <v/>
      </c>
      <c r="G33" s="62">
        <f ca="1">IF(A33=0,VLOOKUP($B33,Outputs!$H:$L,2,FALSE),"")</f>
        <v>-5.3962364267870202E-3</v>
      </c>
      <c r="H33" s="409"/>
      <c r="I33" s="409"/>
      <c r="J33" s="410">
        <f ca="1">VLOOKUP($B33,Outputs!$N:$R,2,FALSE)</f>
        <v>-2.8180246631747955E-2</v>
      </c>
      <c r="K33" s="410" t="str">
        <f ca="1">+VLOOKUP(B33,Outputs!T:U,2,FALSE)</f>
        <v/>
      </c>
      <c r="L33" s="409" t="str">
        <f>IF($A33=1,VLOOKUP($B33,Outputs!$B:$F,3,FALSE),"")</f>
        <v/>
      </c>
      <c r="M33" s="409">
        <f ca="1">IF($A33=0,VLOOKUP($B33,Outputs!$B:$F,3,FALSE),"")</f>
        <v>38.965291334220822</v>
      </c>
      <c r="N33" s="409" t="str">
        <f>IF($A33=1,VLOOKUP($B33,Outputs!$H:$L,3,FALSE),"")</f>
        <v/>
      </c>
      <c r="O33" s="409">
        <f ca="1">IF($A33=0,VLOOKUP($B33,Outputs!$H:$L,3,FALSE),"")</f>
        <v>38.965291334220822</v>
      </c>
      <c r="P33" s="409" t="str">
        <f>IF($A33=1,VLOOKUP($B33,Outputs!$N:$R,3,FALSE),"")</f>
        <v/>
      </c>
      <c r="Q33" s="409">
        <f ca="1">IF($A33=0,VLOOKUP($B33,Outputs!$N:$R,3,FALSE),"")</f>
        <v>36.752455925565833</v>
      </c>
    </row>
    <row r="34" spans="1:17">
      <c r="A34" s="232">
        <f>IF(VLOOKUP(B34,TOCA_current!$B$2:$AG$137,32,FALSE)=0,0,1)</f>
        <v>0</v>
      </c>
      <c r="B34" t="s">
        <v>63</v>
      </c>
      <c r="C34" s="409" t="str">
        <f>IF(A34=1,VLOOKUP($B34,Outputs!$B:$F,2,FALSE),"")</f>
        <v/>
      </c>
      <c r="D34" s="409">
        <f ca="1">IF(A34=0,VLOOKUP($B34,Outputs!$B:$F,2,FALSE),"")</f>
        <v>-4.6790016472088919E-3</v>
      </c>
      <c r="E34" s="62"/>
      <c r="F34" s="62" t="str">
        <f>IF(A34=1,VLOOKUP($B34,Outputs!$H:$L,2,FALSE),"")</f>
        <v/>
      </c>
      <c r="G34" s="62">
        <f ca="1">IF(A34=0,VLOOKUP($B34,Outputs!$H:$L,2,FALSE),"")</f>
        <v>-4.6790016472095276E-3</v>
      </c>
      <c r="H34" s="409"/>
      <c r="I34" s="409"/>
      <c r="J34" s="410">
        <f ca="1">VLOOKUP($B34,Outputs!$N:$R,2,FALSE)</f>
        <v>-2.1471334345676579E-2</v>
      </c>
      <c r="K34" s="410">
        <f ca="1">+VLOOKUP(B34,Outputs!T:U,2,FALSE)</f>
        <v>-6.8997709528670903E-3</v>
      </c>
      <c r="L34" s="409" t="str">
        <f>IF($A34=1,VLOOKUP($B34,Outputs!$B:$F,3,FALSE),"")</f>
        <v/>
      </c>
      <c r="M34" s="409">
        <f ca="1">IF($A34=0,VLOOKUP($B34,Outputs!$B:$F,3,FALSE),"")</f>
        <v>36.886714585386009</v>
      </c>
      <c r="N34" s="409" t="str">
        <f>IF($A34=1,VLOOKUP($B34,Outputs!$H:$L,3,FALSE),"")</f>
        <v/>
      </c>
      <c r="O34" s="409">
        <f ca="1">IF($A34=0,VLOOKUP($B34,Outputs!$H:$L,3,FALSE),"")</f>
        <v>36.886714585386009</v>
      </c>
      <c r="P34" s="409" t="str">
        <f>IF($A34=1,VLOOKUP($B34,Outputs!$N:$R,3,FALSE),"")</f>
        <v/>
      </c>
      <c r="Q34" s="409">
        <f ca="1">IF($A34=0,VLOOKUP($B34,Outputs!$N:$R,3,FALSE),"")</f>
        <v>36.057656215363181</v>
      </c>
    </row>
    <row r="35" spans="1:17">
      <c r="A35" s="232">
        <f>IF(VLOOKUP(B35,TOCA_current!$B$2:$AG$137,32,FALSE)=0,0,1)</f>
        <v>0</v>
      </c>
      <c r="B35" t="s">
        <v>92</v>
      </c>
      <c r="C35" s="409" t="str">
        <f>IF(A35=1,VLOOKUP($B35,Outputs!$B:$F,2,FALSE),"")</f>
        <v/>
      </c>
      <c r="D35" s="409">
        <f ca="1">IF(A35=0,VLOOKUP($B35,Outputs!$B:$F,2,FALSE),"")</f>
        <v>2.5663435303691532E-2</v>
      </c>
      <c r="E35" s="62"/>
      <c r="F35" s="62" t="str">
        <f>IF(A35=1,VLOOKUP($B35,Outputs!$H:$L,2,FALSE),"")</f>
        <v/>
      </c>
      <c r="G35" s="62">
        <f ca="1">IF(A35=0,VLOOKUP($B35,Outputs!$H:$L,2,FALSE),"")</f>
        <v>2.5663435303699016E-2</v>
      </c>
      <c r="H35" s="409"/>
      <c r="I35" s="409"/>
      <c r="J35" s="410">
        <f ca="1">VLOOKUP($B35,Outputs!$N:$R,2,FALSE)</f>
        <v>-1.1707511643406237E-2</v>
      </c>
      <c r="K35" s="410">
        <f ca="1">+VLOOKUP(B35,Outputs!T:U,2,FALSE)</f>
        <v>3.898804735565653E-2</v>
      </c>
      <c r="L35" s="409" t="str">
        <f>IF($A35=1,VLOOKUP($B35,Outputs!$B:$F,3,FALSE),"")</f>
        <v/>
      </c>
      <c r="M35" s="409">
        <f ca="1">IF($A35=0,VLOOKUP($B35,Outputs!$B:$F,3,FALSE),"")</f>
        <v>33.419713791832287</v>
      </c>
      <c r="N35" s="409" t="str">
        <f>IF($A35=1,VLOOKUP($B35,Outputs!$H:$L,3,FALSE),"")</f>
        <v/>
      </c>
      <c r="O35" s="409">
        <f ca="1">IF($A35=0,VLOOKUP($B35,Outputs!$H:$L,3,FALSE),"")</f>
        <v>33.419713791832287</v>
      </c>
      <c r="P35" s="409" t="str">
        <f>IF($A35=1,VLOOKUP($B35,Outputs!$N:$R,3,FALSE),"")</f>
        <v/>
      </c>
      <c r="Q35" s="409">
        <f ca="1">IF($A35=0,VLOOKUP($B35,Outputs!$N:$R,3,FALSE),"")</f>
        <v>31.941940369358985</v>
      </c>
    </row>
    <row r="36" spans="1:17">
      <c r="A36" s="232">
        <f>IF(VLOOKUP(B36,TOCA_current!$B$2:$AG$137,32,FALSE)=0,0,1)</f>
        <v>0</v>
      </c>
      <c r="B36" t="s">
        <v>74</v>
      </c>
      <c r="C36" s="409" t="str">
        <f>IF(A36=1,VLOOKUP($B36,Outputs!$B:$F,2,FALSE),"")</f>
        <v/>
      </c>
      <c r="D36" s="409">
        <f ca="1">IF(A36=0,VLOOKUP($B36,Outputs!$B:$F,2,FALSE),"")</f>
        <v>-6.0020853384687572E-3</v>
      </c>
      <c r="E36" s="62"/>
      <c r="F36" s="62" t="str">
        <f>IF(A36=1,VLOOKUP($B36,Outputs!$H:$L,2,FALSE),"")</f>
        <v/>
      </c>
      <c r="G36" s="62">
        <f ca="1">IF(A36=0,VLOOKUP($B36,Outputs!$H:$L,2,FALSE),"")</f>
        <v>-6.002085338470518E-3</v>
      </c>
      <c r="H36" s="409"/>
      <c r="I36" s="409"/>
      <c r="J36" s="410">
        <f ca="1">VLOOKUP($B36,Outputs!$N:$R,2,FALSE)</f>
        <v>-2.549940147714868E-2</v>
      </c>
      <c r="K36" s="410">
        <f ca="1">+VLOOKUP(B36,Outputs!T:U,2,FALSE)</f>
        <v>-1.3330237473079931E-2</v>
      </c>
      <c r="L36" s="409" t="str">
        <f>IF($A36=1,VLOOKUP($B36,Outputs!$B:$F,3,FALSE),"")</f>
        <v/>
      </c>
      <c r="M36" s="409">
        <f ca="1">IF($A36=0,VLOOKUP($B36,Outputs!$B:$F,3,FALSE),"")</f>
        <v>34.120766694305551</v>
      </c>
      <c r="N36" s="409" t="str">
        <f>IF($A36=1,VLOOKUP($B36,Outputs!$H:$L,3,FALSE),"")</f>
        <v/>
      </c>
      <c r="O36" s="409">
        <f ca="1">IF($A36=0,VLOOKUP($B36,Outputs!$H:$L,3,FALSE),"")</f>
        <v>34.120766694305551</v>
      </c>
      <c r="P36" s="409" t="str">
        <f>IF($A36=1,VLOOKUP($B36,Outputs!$N:$R,3,FALSE),"")</f>
        <v/>
      </c>
      <c r="Q36" s="409">
        <f ca="1">IF($A36=0,VLOOKUP($B36,Outputs!$N:$R,3,FALSE),"")</f>
        <v>32.53331152617654</v>
      </c>
    </row>
    <row r="37" spans="1:17">
      <c r="A37" s="232">
        <f>IF(VLOOKUP(B37,TOCA_current!$B$2:$AG$137,32,FALSE)=0,0,1)</f>
        <v>0</v>
      </c>
      <c r="B37" t="s">
        <v>138</v>
      </c>
      <c r="C37" s="409" t="str">
        <f>IF(A37=1,VLOOKUP($B37,Outputs!$B:$F,2,FALSE),"")</f>
        <v/>
      </c>
      <c r="D37" s="409">
        <f ca="1">IF(A37=0,VLOOKUP($B37,Outputs!$B:$F,2,FALSE),"")</f>
        <v>4.045552236345464E-3</v>
      </c>
      <c r="E37" s="62"/>
      <c r="F37" s="62" t="str">
        <f>IF(A37=1,VLOOKUP($B37,Outputs!$H:$L,2,FALSE),"")</f>
        <v/>
      </c>
      <c r="G37" s="62">
        <f ca="1">IF(A37=0,VLOOKUP($B37,Outputs!$H:$L,2,FALSE),"")</f>
        <v>4.0455522363388782E-3</v>
      </c>
      <c r="H37" s="409"/>
      <c r="I37" s="409"/>
      <c r="J37" s="410">
        <f ca="1">VLOOKUP($B37,Outputs!$N:$R,2,FALSE)</f>
        <v>-2.841911304091449E-2</v>
      </c>
      <c r="K37" s="410">
        <f ca="1">+VLOOKUP(B37,Outputs!T:U,2,FALSE)</f>
        <v>1.5417099450652394E-2</v>
      </c>
      <c r="L37" s="409" t="str">
        <f>IF($A37=1,VLOOKUP($B37,Outputs!$B:$F,3,FALSE),"")</f>
        <v/>
      </c>
      <c r="M37" s="409">
        <f ca="1">IF($A37=0,VLOOKUP($B37,Outputs!$B:$F,3,FALSE),"")</f>
        <v>35.826104013626043</v>
      </c>
      <c r="N37" s="409" t="str">
        <f>IF($A37=1,VLOOKUP($B37,Outputs!$H:$L,3,FALSE),"")</f>
        <v/>
      </c>
      <c r="O37" s="409">
        <f ca="1">IF($A37=0,VLOOKUP($B37,Outputs!$H:$L,3,FALSE),"")</f>
        <v>35.826104013626043</v>
      </c>
      <c r="P37" s="409" t="str">
        <f>IF($A37=1,VLOOKUP($B37,Outputs!$N:$R,3,FALSE),"")</f>
        <v/>
      </c>
      <c r="Q37" s="409">
        <f ca="1">IF($A37=0,VLOOKUP($B37,Outputs!$N:$R,3,FALSE),"")</f>
        <v>34.038482546427581</v>
      </c>
    </row>
    <row r="38" spans="1:17">
      <c r="A38" s="232">
        <f>IF(VLOOKUP(B38,TOCA_current!$B$2:$AG$137,32,FALSE)=0,0,1)</f>
        <v>0</v>
      </c>
      <c r="B38" t="s">
        <v>113</v>
      </c>
      <c r="C38" s="409" t="str">
        <f>IF(A38=1,VLOOKUP($B38,Outputs!$B:$F,2,FALSE),"")</f>
        <v/>
      </c>
      <c r="D38" s="409">
        <f ca="1">IF(A38=0,VLOOKUP($B38,Outputs!$B:$F,2,FALSE),"")</f>
        <v>9.248618786114127E-3</v>
      </c>
      <c r="E38" s="62"/>
      <c r="F38" s="62" t="str">
        <f>IF(A38=1,VLOOKUP($B38,Outputs!$H:$L,2,FALSE),"")</f>
        <v/>
      </c>
      <c r="G38" s="62">
        <f ca="1">IF(A38=0,VLOOKUP($B38,Outputs!$H:$L,2,FALSE),"")</f>
        <v>9.2486187861178341E-3</v>
      </c>
      <c r="H38" s="409"/>
      <c r="I38" s="409"/>
      <c r="J38" s="410">
        <f ca="1">VLOOKUP($B38,Outputs!$N:$R,2,FALSE)</f>
        <v>-2.8930311631172819E-2</v>
      </c>
      <c r="K38" s="410">
        <f ca="1">+VLOOKUP(B38,Outputs!T:U,2,FALSE)</f>
        <v>2.1724542665204627E-3</v>
      </c>
      <c r="L38" s="409" t="str">
        <f>IF($A38=1,VLOOKUP($B38,Outputs!$B:$F,3,FALSE),"")</f>
        <v/>
      </c>
      <c r="M38" s="409">
        <f ca="1">IF($A38=0,VLOOKUP($B38,Outputs!$B:$F,3,FALSE),"")</f>
        <v>29.191269744672471</v>
      </c>
      <c r="N38" s="409" t="str">
        <f>IF($A38=1,VLOOKUP($B38,Outputs!$H:$L,3,FALSE),"")</f>
        <v/>
      </c>
      <c r="O38" s="409">
        <f ca="1">IF($A38=0,VLOOKUP($B38,Outputs!$H:$L,3,FALSE),"")</f>
        <v>29.191269744672471</v>
      </c>
      <c r="P38" s="409" t="str">
        <f>IF($A38=1,VLOOKUP($B38,Outputs!$N:$R,3,FALSE),"")</f>
        <v/>
      </c>
      <c r="Q38" s="409">
        <f ca="1">IF($A38=0,VLOOKUP($B38,Outputs!$N:$R,3,FALSE),"")</f>
        <v>29.281403540493372</v>
      </c>
    </row>
    <row r="39" spans="1:17">
      <c r="A39" s="232">
        <f>IF(VLOOKUP(B39,TOCA_current!$B$2:$AG$137,32,FALSE)=0,0,1)</f>
        <v>0</v>
      </c>
      <c r="B39" t="s">
        <v>33</v>
      </c>
      <c r="C39" s="409" t="str">
        <f>IF(A39=1,VLOOKUP($B39,Outputs!$B:$F,2,FALSE),"")</f>
        <v/>
      </c>
      <c r="D39" s="409">
        <f ca="1">IF(A39=0,VLOOKUP($B39,Outputs!$B:$F,2,FALSE),"")</f>
        <v>-7.0764685034405087E-3</v>
      </c>
      <c r="E39" s="62"/>
      <c r="F39" s="62" t="str">
        <f>IF(A39=1,VLOOKUP($B39,Outputs!$H:$L,2,FALSE),"")</f>
        <v/>
      </c>
      <c r="G39" s="62">
        <f ca="1">IF(A39=0,VLOOKUP($B39,Outputs!$H:$L,2,FALSE),"")</f>
        <v>-7.0764685034462533E-3</v>
      </c>
      <c r="H39" s="409"/>
      <c r="I39" s="409"/>
      <c r="J39" s="410">
        <f ca="1">VLOOKUP($B39,Outputs!$N:$R,2,FALSE)</f>
        <v>-1.8321719860019479E-2</v>
      </c>
      <c r="K39" s="410">
        <f ca="1">+VLOOKUP(B39,Outputs!T:U,2,FALSE)</f>
        <v>-7.8796599663040201E-3</v>
      </c>
      <c r="L39" s="409" t="str">
        <f>IF($A39=1,VLOOKUP($B39,Outputs!$B:$F,3,FALSE),"")</f>
        <v/>
      </c>
      <c r="M39" s="409">
        <f ca="1">IF($A39=0,VLOOKUP($B39,Outputs!$B:$F,3,FALSE),"")</f>
        <v>36.242163214347507</v>
      </c>
      <c r="N39" s="409" t="str">
        <f>IF($A39=1,VLOOKUP($B39,Outputs!$H:$L,3,FALSE),"")</f>
        <v/>
      </c>
      <c r="O39" s="409">
        <f ca="1">IF($A39=0,VLOOKUP($B39,Outputs!$H:$L,3,FALSE),"")</f>
        <v>36.242163214347507</v>
      </c>
      <c r="P39" s="409" t="str">
        <f>IF($A39=1,VLOOKUP($B39,Outputs!$N:$R,3,FALSE),"")</f>
        <v/>
      </c>
      <c r="Q39" s="409">
        <f ca="1">IF($A39=0,VLOOKUP($B39,Outputs!$N:$R,3,FALSE),"")</f>
        <v>35.181123112773726</v>
      </c>
    </row>
    <row r="40" spans="1:17">
      <c r="A40" s="232">
        <f>IF(VLOOKUP(B40,TOCA_current!$B$2:$AG$137,32,FALSE)=0,0,1)</f>
        <v>0</v>
      </c>
      <c r="B40" t="s">
        <v>18</v>
      </c>
      <c r="C40" s="409" t="str">
        <f>IF(A40=1,VLOOKUP($B40,Outputs!$B:$F,2,FALSE),"")</f>
        <v/>
      </c>
      <c r="D40" s="409">
        <f ca="1">IF(A40=0,VLOOKUP($B40,Outputs!$B:$F,2,FALSE),"")</f>
        <v>-1.994844143320549E-2</v>
      </c>
      <c r="E40" s="62"/>
      <c r="F40" s="62" t="str">
        <f>IF(A40=1,VLOOKUP($B40,Outputs!$H:$L,2,FALSE),"")</f>
        <v/>
      </c>
      <c r="G40" s="62">
        <f ca="1">IF(A40=0,VLOOKUP($B40,Outputs!$H:$L,2,FALSE),"")</f>
        <v>-1.9948441433207648E-2</v>
      </c>
      <c r="H40" s="409"/>
      <c r="I40" s="409"/>
      <c r="J40" s="410">
        <f ca="1">VLOOKUP($B40,Outputs!$N:$R,2,FALSE)</f>
        <v>-2.729082659326958E-2</v>
      </c>
      <c r="K40" s="410">
        <f ca="1">+VLOOKUP(B40,Outputs!T:U,2,FALSE)</f>
        <v>-2.4070273020181276E-2</v>
      </c>
      <c r="L40" s="409" t="str">
        <f>IF($A40=1,VLOOKUP($B40,Outputs!$B:$F,3,FALSE),"")</f>
        <v/>
      </c>
      <c r="M40" s="409">
        <f ca="1">IF($A40=0,VLOOKUP($B40,Outputs!$B:$F,3,FALSE),"")</f>
        <v>35.378507125198212</v>
      </c>
      <c r="N40" s="409" t="str">
        <f>IF($A40=1,VLOOKUP($B40,Outputs!$H:$L,3,FALSE),"")</f>
        <v/>
      </c>
      <c r="O40" s="409">
        <f ca="1">IF($A40=0,VLOOKUP($B40,Outputs!$H:$L,3,FALSE),"")</f>
        <v>35.378507125198212</v>
      </c>
      <c r="P40" s="409" t="str">
        <f>IF($A40=1,VLOOKUP($B40,Outputs!$N:$R,3,FALSE),"")</f>
        <v/>
      </c>
      <c r="Q40" s="409">
        <f ca="1">IF($A40=0,VLOOKUP($B40,Outputs!$N:$R,3,FALSE),"")</f>
        <v>34.607597865528376</v>
      </c>
    </row>
    <row r="41" spans="1:17">
      <c r="A41" s="232">
        <f>IF(VLOOKUP(B41,TOCA_current!$B$2:$AG$137,32,FALSE)=0,0,1)</f>
        <v>0</v>
      </c>
      <c r="B41" t="s">
        <v>36</v>
      </c>
      <c r="C41" s="409" t="str">
        <f>IF(A41=1,VLOOKUP($B41,Outputs!$B:$F,2,FALSE),"")</f>
        <v/>
      </c>
      <c r="D41" s="409">
        <f ca="1">IF(A41=0,VLOOKUP($B41,Outputs!$B:$F,2,FALSE),"")</f>
        <v>-6.5924106592136194E-3</v>
      </c>
      <c r="E41" s="62"/>
      <c r="F41" s="62" t="str">
        <f>IF(A41=1,VLOOKUP($B41,Outputs!$H:$L,2,FALSE),"")</f>
        <v/>
      </c>
      <c r="G41" s="62">
        <f ca="1">IF(A41=0,VLOOKUP($B41,Outputs!$H:$L,2,FALSE),"")</f>
        <v>-6.5924106592074585E-3</v>
      </c>
      <c r="H41" s="409"/>
      <c r="I41" s="409"/>
      <c r="J41" s="410">
        <f ca="1">VLOOKUP($B41,Outputs!$N:$R,2,FALSE)</f>
        <v>-2.3511112359691805E-2</v>
      </c>
      <c r="K41" s="410">
        <f ca="1">+VLOOKUP(B41,Outputs!T:U,2,FALSE)</f>
        <v>-1.0626780120822743E-2</v>
      </c>
      <c r="L41" s="409" t="str">
        <f>IF($A41=1,VLOOKUP($B41,Outputs!$B:$F,3,FALSE),"")</f>
        <v/>
      </c>
      <c r="M41" s="409">
        <f ca="1">IF($A41=0,VLOOKUP($B41,Outputs!$B:$F,3,FALSE),"")</f>
        <v>36.471617434710907</v>
      </c>
      <c r="N41" s="409" t="str">
        <f>IF($A41=1,VLOOKUP($B41,Outputs!$H:$L,3,FALSE),"")</f>
        <v/>
      </c>
      <c r="O41" s="409">
        <f ca="1">IF($A41=0,VLOOKUP($B41,Outputs!$H:$L,3,FALSE),"")</f>
        <v>36.471617434710907</v>
      </c>
      <c r="P41" s="409" t="str">
        <f>IF($A41=1,VLOOKUP($B41,Outputs!$N:$R,3,FALSE),"")</f>
        <v/>
      </c>
      <c r="Q41" s="409">
        <f ca="1">IF($A41=0,VLOOKUP($B41,Outputs!$N:$R,3,FALSE),"")</f>
        <v>35.273224974634857</v>
      </c>
    </row>
    <row r="42" spans="1:17">
      <c r="A42" s="232">
        <f>IF(VLOOKUP(B42,TOCA_current!$B$2:$AG$137,32,FALSE)=0,0,1)</f>
        <v>0</v>
      </c>
      <c r="B42" t="s">
        <v>19</v>
      </c>
      <c r="C42" s="409" t="str">
        <f>IF(A42=1,VLOOKUP($B42,Outputs!$B:$F,2,FALSE),"")</f>
        <v/>
      </c>
      <c r="D42" s="409">
        <f ca="1">IF(A42=0,VLOOKUP($B42,Outputs!$B:$F,2,FALSE),"")</f>
        <v>-1.2086716759726637E-2</v>
      </c>
      <c r="E42" s="62"/>
      <c r="F42" s="62" t="str">
        <f>IF(A42=1,VLOOKUP($B42,Outputs!$H:$L,2,FALSE),"")</f>
        <v/>
      </c>
      <c r="G42" s="62">
        <f ca="1">IF(A42=0,VLOOKUP($B42,Outputs!$H:$L,2,FALSE),"")</f>
        <v>-1.2086716759728024E-2</v>
      </c>
      <c r="H42" s="409"/>
      <c r="I42" s="409"/>
      <c r="J42" s="410">
        <f ca="1">VLOOKUP($B42,Outputs!$N:$R,2,FALSE)</f>
        <v>-2.4426997669903559E-2</v>
      </c>
      <c r="K42" s="410">
        <f ca="1">+VLOOKUP(B42,Outputs!T:U,2,FALSE)</f>
        <v>-2.7939406992443794E-2</v>
      </c>
      <c r="L42" s="409" t="str">
        <f>IF($A42=1,VLOOKUP($B42,Outputs!$B:$F,3,FALSE),"")</f>
        <v/>
      </c>
      <c r="M42" s="409">
        <f ca="1">IF($A42=0,VLOOKUP($B42,Outputs!$B:$F,3,FALSE),"")</f>
        <v>35.630107639571108</v>
      </c>
      <c r="N42" s="409" t="str">
        <f>IF($A42=1,VLOOKUP($B42,Outputs!$H:$L,3,FALSE),"")</f>
        <v/>
      </c>
      <c r="O42" s="409">
        <f ca="1">IF($A42=0,VLOOKUP($B42,Outputs!$H:$L,3,FALSE),"")</f>
        <v>35.630107639571108</v>
      </c>
      <c r="P42" s="409" t="str">
        <f>IF($A42=1,VLOOKUP($B42,Outputs!$N:$R,3,FALSE),"")</f>
        <v/>
      </c>
      <c r="Q42" s="409">
        <f ca="1">IF($A42=0,VLOOKUP($B42,Outputs!$N:$R,3,FALSE),"")</f>
        <v>34.747324241383339</v>
      </c>
    </row>
    <row r="43" spans="1:17">
      <c r="A43" s="232">
        <f>IF(VLOOKUP(B43,TOCA_current!$B$2:$AG$137,32,FALSE)=0,0,1)</f>
        <v>0</v>
      </c>
      <c r="B43" t="s">
        <v>86</v>
      </c>
      <c r="C43" s="409" t="str">
        <f>IF(A43=1,VLOOKUP($B43,Outputs!$B:$F,2,FALSE),"")</f>
        <v/>
      </c>
      <c r="D43" s="409">
        <f ca="1">IF(A43=0,VLOOKUP($B43,Outputs!$B:$F,2,FALSE),"")</f>
        <v>4.5174850817703019E-2</v>
      </c>
      <c r="E43" s="62"/>
      <c r="F43" s="62" t="str">
        <f>IF(A43=1,VLOOKUP($B43,Outputs!$H:$L,2,FALSE),"")</f>
        <v/>
      </c>
      <c r="G43" s="62">
        <f ca="1">IF(A43=0,VLOOKUP($B43,Outputs!$H:$L,2,FALSE),"")</f>
        <v>4.5174850817704566E-2</v>
      </c>
      <c r="H43" s="409"/>
      <c r="I43" s="409"/>
      <c r="J43" s="410">
        <f ca="1">VLOOKUP($B43,Outputs!$N:$R,2,FALSE)</f>
        <v>3.4563906588515325E-2</v>
      </c>
      <c r="K43" s="410">
        <f ca="1">+VLOOKUP(B43,Outputs!T:U,2,FALSE)</f>
        <v>3.7785679910750325E-2</v>
      </c>
      <c r="L43" s="409" t="str">
        <f>IF($A43=1,VLOOKUP($B43,Outputs!$B:$F,3,FALSE),"")</f>
        <v/>
      </c>
      <c r="M43" s="409">
        <f ca="1">IF($A43=0,VLOOKUP($B43,Outputs!$B:$F,3,FALSE),"")</f>
        <v>37.70636259978135</v>
      </c>
      <c r="N43" s="409" t="str">
        <f>IF($A43=1,VLOOKUP($B43,Outputs!$H:$L,3,FALSE),"")</f>
        <v/>
      </c>
      <c r="O43" s="409">
        <f ca="1">IF($A43=0,VLOOKUP($B43,Outputs!$H:$L,3,FALSE),"")</f>
        <v>37.70636259978135</v>
      </c>
      <c r="P43" s="409" t="str">
        <f>IF($A43=1,VLOOKUP($B43,Outputs!$N:$R,3,FALSE),"")</f>
        <v/>
      </c>
      <c r="Q43" s="409">
        <f ca="1">IF($A43=0,VLOOKUP($B43,Outputs!$N:$R,3,FALSE),"")</f>
        <v>36.413152498453314</v>
      </c>
    </row>
    <row r="44" spans="1:17">
      <c r="A44" s="232">
        <f>IF(VLOOKUP(B44,TOCA_current!$B$2:$AG$137,32,FALSE)=0,0,1)</f>
        <v>0</v>
      </c>
      <c r="B44" t="s">
        <v>66</v>
      </c>
      <c r="C44" s="409" t="str">
        <f>IF(A44=1,VLOOKUP($B44,Outputs!$B:$F,2,FALSE),"")</f>
        <v/>
      </c>
      <c r="D44" s="409">
        <f ca="1">IF(A44=0,VLOOKUP($B44,Outputs!$B:$F,2,FALSE),"")</f>
        <v>-4.5215097512243665E-3</v>
      </c>
      <c r="E44" s="62"/>
      <c r="F44" s="62" t="str">
        <f>IF(A44=1,VLOOKUP($B44,Outputs!$H:$L,2,FALSE),"")</f>
        <v/>
      </c>
      <c r="G44" s="62">
        <f ca="1">IF(A44=0,VLOOKUP($B44,Outputs!$H:$L,2,FALSE),"")</f>
        <v>-4.5215097512202734E-3</v>
      </c>
      <c r="H44" s="409"/>
      <c r="I44" s="409"/>
      <c r="J44" s="410">
        <f ca="1">VLOOKUP($B44,Outputs!$N:$R,2,FALSE)</f>
        <v>-1.9380444103267364E-2</v>
      </c>
      <c r="K44" s="410">
        <f ca="1">+VLOOKUP(B44,Outputs!T:U,2,FALSE)</f>
        <v>-2.0193848251045532E-3</v>
      </c>
      <c r="L44" s="409" t="str">
        <f>IF($A44=1,VLOOKUP($B44,Outputs!$B:$F,3,FALSE),"")</f>
        <v/>
      </c>
      <c r="M44" s="409">
        <f ca="1">IF($A44=0,VLOOKUP($B44,Outputs!$B:$F,3,FALSE),"")</f>
        <v>32.932439008209641</v>
      </c>
      <c r="N44" s="409" t="str">
        <f>IF($A44=1,VLOOKUP($B44,Outputs!$H:$L,3,FALSE),"")</f>
        <v/>
      </c>
      <c r="O44" s="409">
        <f ca="1">IF($A44=0,VLOOKUP($B44,Outputs!$H:$L,3,FALSE),"")</f>
        <v>32.932439008209641</v>
      </c>
      <c r="P44" s="409" t="str">
        <f>IF($A44=1,VLOOKUP($B44,Outputs!$N:$R,3,FALSE),"")</f>
        <v/>
      </c>
      <c r="Q44" s="409">
        <f ca="1">IF($A44=0,VLOOKUP($B44,Outputs!$N:$R,3,FALSE),"")</f>
        <v>31.824534232863872</v>
      </c>
    </row>
    <row r="45" spans="1:17">
      <c r="A45" s="232">
        <f>IF(VLOOKUP(B45,TOCA_current!$B$2:$AG$137,32,FALSE)=0,0,1)</f>
        <v>0</v>
      </c>
      <c r="B45" t="s">
        <v>40</v>
      </c>
      <c r="C45" s="409" t="str">
        <f>IF(A45=1,VLOOKUP($B45,Outputs!$B:$F,2,FALSE),"")</f>
        <v/>
      </c>
      <c r="D45" s="409">
        <f ca="1">IF(A45=0,VLOOKUP($B45,Outputs!$B:$F,2,FALSE),"")</f>
        <v>-6.4217139420927882E-3</v>
      </c>
      <c r="E45" s="62"/>
      <c r="F45" s="62" t="str">
        <f>IF(A45=1,VLOOKUP($B45,Outputs!$H:$L,2,FALSE),"")</f>
        <v/>
      </c>
      <c r="G45" s="62">
        <f ca="1">IF(A45=0,VLOOKUP($B45,Outputs!$H:$L,2,FALSE),"")</f>
        <v>-6.4217139420882302E-3</v>
      </c>
      <c r="H45" s="409"/>
      <c r="I45" s="409"/>
      <c r="J45" s="410">
        <f ca="1">VLOOKUP($B45,Outputs!$N:$R,2,FALSE)</f>
        <v>-2.3047159875616324E-2</v>
      </c>
      <c r="K45" s="410">
        <f ca="1">+VLOOKUP(B45,Outputs!T:U,2,FALSE)</f>
        <v>-3.7306277370125374E-2</v>
      </c>
      <c r="L45" s="409" t="str">
        <f>IF($A45=1,VLOOKUP($B45,Outputs!$B:$F,3,FALSE),"")</f>
        <v/>
      </c>
      <c r="M45" s="409">
        <f ca="1">IF($A45=0,VLOOKUP($B45,Outputs!$B:$F,3,FALSE),"")</f>
        <v>35.462094239915459</v>
      </c>
      <c r="N45" s="409" t="str">
        <f>IF($A45=1,VLOOKUP($B45,Outputs!$H:$L,3,FALSE),"")</f>
        <v/>
      </c>
      <c r="O45" s="409">
        <f ca="1">IF($A45=0,VLOOKUP($B45,Outputs!$H:$L,3,FALSE),"")</f>
        <v>35.462094239915459</v>
      </c>
      <c r="P45" s="409" t="str">
        <f>IF($A45=1,VLOOKUP($B45,Outputs!$N:$R,3,FALSE),"")</f>
        <v/>
      </c>
      <c r="Q45" s="409">
        <f ca="1">IF($A45=0,VLOOKUP($B45,Outputs!$N:$R,3,FALSE),"")</f>
        <v>34.331842800697096</v>
      </c>
    </row>
    <row r="46" spans="1:17">
      <c r="A46" s="232">
        <f>IF(VLOOKUP(B46,TOCA_current!$B$2:$AG$137,32,FALSE)=0,0,1)</f>
        <v>0</v>
      </c>
      <c r="B46" t="s">
        <v>84</v>
      </c>
      <c r="C46" s="409" t="str">
        <f>IF(A46=1,VLOOKUP($B46,Outputs!$B:$F,2,FALSE),"")</f>
        <v/>
      </c>
      <c r="D46" s="409">
        <f ca="1">IF(A46=0,VLOOKUP($B46,Outputs!$B:$F,2,FALSE),"")</f>
        <v>2.4607505878225255E-2</v>
      </c>
      <c r="E46" s="62"/>
      <c r="F46" s="62" t="str">
        <f>IF(A46=1,VLOOKUP($B46,Outputs!$H:$L,2,FALSE),"")</f>
        <v/>
      </c>
      <c r="G46" s="62">
        <f ca="1">IF(A46=0,VLOOKUP($B46,Outputs!$H:$L,2,FALSE),"")</f>
        <v>2.4607505878224505E-2</v>
      </c>
      <c r="H46" s="409"/>
      <c r="I46" s="409"/>
      <c r="J46" s="410">
        <f ca="1">VLOOKUP($B46,Outputs!$N:$R,2,FALSE)</f>
        <v>-3.991712165808952E-2</v>
      </c>
      <c r="K46" s="410">
        <f ca="1">+VLOOKUP(B46,Outputs!T:U,2,FALSE)</f>
        <v>4.2004195489081519E-2</v>
      </c>
      <c r="L46" s="409" t="str">
        <f>IF($A46=1,VLOOKUP($B46,Outputs!$B:$F,3,FALSE),"")</f>
        <v/>
      </c>
      <c r="M46" s="409">
        <f ca="1">IF($A46=0,VLOOKUP($B46,Outputs!$B:$F,3,FALSE),"")</f>
        <v>28.131971899667594</v>
      </c>
      <c r="N46" s="409" t="str">
        <f>IF($A46=1,VLOOKUP($B46,Outputs!$H:$L,3,FALSE),"")</f>
        <v/>
      </c>
      <c r="O46" s="409">
        <f ca="1">IF($A46=0,VLOOKUP($B46,Outputs!$H:$L,3,FALSE),"")</f>
        <v>28.131971899667594</v>
      </c>
      <c r="P46" s="409" t="str">
        <f>IF($A46=1,VLOOKUP($B46,Outputs!$N:$R,3,FALSE),"")</f>
        <v/>
      </c>
      <c r="Q46" s="409">
        <f ca="1">IF($A46=0,VLOOKUP($B46,Outputs!$N:$R,3,FALSE),"")</f>
        <v>27.642062158094976</v>
      </c>
    </row>
    <row r="47" spans="1:17">
      <c r="A47" s="232">
        <f>IF(VLOOKUP(B47,TOCA_current!$B$2:$AG$137,32,FALSE)=0,0,1)</f>
        <v>0</v>
      </c>
      <c r="B47" t="s">
        <v>77</v>
      </c>
      <c r="C47" s="409" t="str">
        <f>IF(A47=1,VLOOKUP($B47,Outputs!$B:$F,2,FALSE),"")</f>
        <v/>
      </c>
      <c r="D47" s="409">
        <f ca="1">IF(A47=0,VLOOKUP($B47,Outputs!$B:$F,2,FALSE),"")</f>
        <v>-2.0895547179649943E-3</v>
      </c>
      <c r="E47" s="62"/>
      <c r="F47" s="62" t="str">
        <f>IF(A47=1,VLOOKUP($B47,Outputs!$H:$L,2,FALSE),"")</f>
        <v/>
      </c>
      <c r="G47" s="62">
        <f ca="1">IF(A47=0,VLOOKUP($B47,Outputs!$H:$L,2,FALSE),"")</f>
        <v>-2.0895547179647579E-3</v>
      </c>
      <c r="H47" s="409"/>
      <c r="I47" s="409"/>
      <c r="J47" s="410">
        <f ca="1">VLOOKUP($B47,Outputs!$N:$R,2,FALSE)</f>
        <v>-2.370493614550942E-2</v>
      </c>
      <c r="K47" s="410">
        <f ca="1">+VLOOKUP(B47,Outputs!T:U,2,FALSE)</f>
        <v>-3.2587362603862968E-2</v>
      </c>
      <c r="L47" s="409" t="str">
        <f>IF($A47=1,VLOOKUP($B47,Outputs!$B:$F,3,FALSE),"")</f>
        <v/>
      </c>
      <c r="M47" s="409">
        <f ca="1">IF($A47=0,VLOOKUP($B47,Outputs!$B:$F,3,FALSE),"")</f>
        <v>35.566157616475536</v>
      </c>
      <c r="N47" s="409" t="str">
        <f>IF($A47=1,VLOOKUP($B47,Outputs!$H:$L,3,FALSE),"")</f>
        <v/>
      </c>
      <c r="O47" s="409">
        <f ca="1">IF($A47=0,VLOOKUP($B47,Outputs!$H:$L,3,FALSE),"")</f>
        <v>35.566157616475536</v>
      </c>
      <c r="P47" s="409" t="str">
        <f>IF($A47=1,VLOOKUP($B47,Outputs!$N:$R,3,FALSE),"")</f>
        <v/>
      </c>
      <c r="Q47" s="409">
        <f ca="1">IF($A47=0,VLOOKUP($B47,Outputs!$N:$R,3,FALSE),"")</f>
        <v>33.932784218983706</v>
      </c>
    </row>
    <row r="48" spans="1:17">
      <c r="A48" s="232">
        <f>IF(VLOOKUP(B48,TOCA_current!$B$2:$AG$137,32,FALSE)=0,0,1)</f>
        <v>0</v>
      </c>
      <c r="B48" t="s">
        <v>95</v>
      </c>
      <c r="C48" s="409" t="str">
        <f>IF(A48=1,VLOOKUP($B48,Outputs!$B:$F,2,FALSE),"")</f>
        <v/>
      </c>
      <c r="D48" s="409">
        <f ca="1">IF(A48=0,VLOOKUP($B48,Outputs!$B:$F,2,FALSE),"")</f>
        <v>-2.1630656178474563E-2</v>
      </c>
      <c r="E48" s="62"/>
      <c r="F48" s="62" t="str">
        <f>IF(A48=1,VLOOKUP($B48,Outputs!$H:$L,2,FALSE),"")</f>
        <v/>
      </c>
      <c r="G48" s="62">
        <f ca="1">IF(A48=0,VLOOKUP($B48,Outputs!$H:$L,2,FALSE),"")</f>
        <v>-2.1630656178482154E-2</v>
      </c>
      <c r="H48" s="409"/>
      <c r="I48" s="409"/>
      <c r="J48" s="410">
        <f ca="1">VLOOKUP($B48,Outputs!$N:$R,2,FALSE)</f>
        <v>-2.9287751272976247E-2</v>
      </c>
      <c r="K48" s="410">
        <f ca="1">+VLOOKUP(B48,Outputs!T:U,2,FALSE)</f>
        <v>-1.6058730225399276E-2</v>
      </c>
      <c r="L48" s="409" t="str">
        <f>IF($A48=1,VLOOKUP($B48,Outputs!$B:$F,3,FALSE),"")</f>
        <v/>
      </c>
      <c r="M48" s="409">
        <f ca="1">IF($A48=0,VLOOKUP($B48,Outputs!$B:$F,3,FALSE),"")</f>
        <v>35.057026747774344</v>
      </c>
      <c r="N48" s="409" t="str">
        <f>IF($A48=1,VLOOKUP($B48,Outputs!$H:$L,3,FALSE),"")</f>
        <v/>
      </c>
      <c r="O48" s="409">
        <f ca="1">IF($A48=0,VLOOKUP($B48,Outputs!$H:$L,3,FALSE),"")</f>
        <v>35.057026747774344</v>
      </c>
      <c r="P48" s="409" t="str">
        <f>IF($A48=1,VLOOKUP($B48,Outputs!$N:$R,3,FALSE),"")</f>
        <v/>
      </c>
      <c r="Q48" s="409">
        <f ca="1">IF($A48=0,VLOOKUP($B48,Outputs!$N:$R,3,FALSE),"")</f>
        <v>33.948137607469739</v>
      </c>
    </row>
    <row r="49" spans="1:17">
      <c r="A49" s="232">
        <f>IF(VLOOKUP(B49,TOCA_current!$B$2:$AG$137,32,FALSE)=0,0,1)</f>
        <v>0</v>
      </c>
      <c r="B49" t="s">
        <v>34</v>
      </c>
      <c r="C49" s="409" t="str">
        <f>IF(A49=1,VLOOKUP($B49,Outputs!$B:$F,2,FALSE),"")</f>
        <v/>
      </c>
      <c r="D49" s="409">
        <f ca="1">IF(A49=0,VLOOKUP($B49,Outputs!$B:$F,2,FALSE),"")</f>
        <v>1.3584631247787754E-2</v>
      </c>
      <c r="E49" s="62"/>
      <c r="F49" s="62" t="str">
        <f>IF(A49=1,VLOOKUP($B49,Outputs!$H:$L,2,FALSE),"")</f>
        <v/>
      </c>
      <c r="G49" s="62">
        <f ca="1">IF(A49=0,VLOOKUP($B49,Outputs!$H:$L,2,FALSE),"")</f>
        <v>1.3584631247788087E-2</v>
      </c>
      <c r="H49" s="409"/>
      <c r="I49" s="409"/>
      <c r="J49" s="410">
        <f ca="1">VLOOKUP($B49,Outputs!$N:$R,2,FALSE)</f>
        <v>-2.2756516542468651E-2</v>
      </c>
      <c r="K49" s="410">
        <f ca="1">+VLOOKUP(B49,Outputs!T:U,2,FALSE)</f>
        <v>1.4588905850849709E-2</v>
      </c>
      <c r="L49" s="409" t="str">
        <f>IF($A49=1,VLOOKUP($B49,Outputs!$B:$F,3,FALSE),"")</f>
        <v/>
      </c>
      <c r="M49" s="409">
        <f ca="1">IF($A49=0,VLOOKUP($B49,Outputs!$B:$F,3,FALSE),"")</f>
        <v>37.60296351703974</v>
      </c>
      <c r="N49" s="409" t="str">
        <f>IF($A49=1,VLOOKUP($B49,Outputs!$H:$L,3,FALSE),"")</f>
        <v/>
      </c>
      <c r="O49" s="409">
        <f ca="1">IF($A49=0,VLOOKUP($B49,Outputs!$H:$L,3,FALSE),"")</f>
        <v>37.60296351703974</v>
      </c>
      <c r="P49" s="409" t="str">
        <f>IF($A49=1,VLOOKUP($B49,Outputs!$N:$R,3,FALSE),"")</f>
        <v/>
      </c>
      <c r="Q49" s="409">
        <f ca="1">IF($A49=0,VLOOKUP($B49,Outputs!$N:$R,3,FALSE),"")</f>
        <v>35.171943597901702</v>
      </c>
    </row>
    <row r="50" spans="1:17">
      <c r="A50" s="232">
        <f>IF(VLOOKUP(B50,TOCA_current!$B$2:$AG$137,32,FALSE)=0,0,1)</f>
        <v>0</v>
      </c>
      <c r="B50" t="s">
        <v>117</v>
      </c>
      <c r="C50" s="409" t="str">
        <f>IF(A50=1,VLOOKUP($B50,Outputs!$B:$F,2,FALSE),"")</f>
        <v/>
      </c>
      <c r="D50" s="409">
        <f ca="1">IF(A50=0,VLOOKUP($B50,Outputs!$B:$F,2,FALSE),"")</f>
        <v>-5.9389220983193458E-3</v>
      </c>
      <c r="E50" s="62"/>
      <c r="F50" s="62" t="str">
        <f>IF(A50=1,VLOOKUP($B50,Outputs!$H:$L,2,FALSE),"")</f>
        <v/>
      </c>
      <c r="G50" s="62">
        <f ca="1">IF(A50=0,VLOOKUP($B50,Outputs!$H:$L,2,FALSE),"")</f>
        <v>-5.9389220983164957E-3</v>
      </c>
      <c r="H50" s="409"/>
      <c r="I50" s="409"/>
      <c r="J50" s="410">
        <f ca="1">VLOOKUP($B50,Outputs!$N:$R,2,FALSE)</f>
        <v>-2.1026801559020519E-2</v>
      </c>
      <c r="K50" s="410">
        <f ca="1">+VLOOKUP(B50,Outputs!T:U,2,FALSE)</f>
        <v>-6.6126215216911755E-3</v>
      </c>
      <c r="L50" s="409" t="str">
        <f>IF($A50=1,VLOOKUP($B50,Outputs!$B:$F,3,FALSE),"")</f>
        <v/>
      </c>
      <c r="M50" s="409">
        <f ca="1">IF($A50=0,VLOOKUP($B50,Outputs!$B:$F,3,FALSE),"")</f>
        <v>34.821064103731885</v>
      </c>
      <c r="N50" s="409" t="str">
        <f>IF($A50=1,VLOOKUP($B50,Outputs!$H:$L,3,FALSE),"")</f>
        <v/>
      </c>
      <c r="O50" s="409">
        <f ca="1">IF($A50=0,VLOOKUP($B50,Outputs!$H:$L,3,FALSE),"")</f>
        <v>34.821064103731885</v>
      </c>
      <c r="P50" s="409" t="str">
        <f>IF($A50=1,VLOOKUP($B50,Outputs!$N:$R,3,FALSE),"")</f>
        <v/>
      </c>
      <c r="Q50" s="409">
        <f ca="1">IF($A50=0,VLOOKUP($B50,Outputs!$N:$R,3,FALSE),"")</f>
        <v>33.700446929312207</v>
      </c>
    </row>
    <row r="51" spans="1:17">
      <c r="A51" s="232">
        <f>IF(VLOOKUP(B51,TOCA_current!$B$2:$AG$137,32,FALSE)=0,0,1)</f>
        <v>0</v>
      </c>
      <c r="B51" t="s">
        <v>48</v>
      </c>
      <c r="C51" s="409" t="str">
        <f>IF(A51=1,VLOOKUP($B51,Outputs!$B:$F,2,FALSE),"")</f>
        <v/>
      </c>
      <c r="D51" s="409">
        <f ca="1">IF(A51=0,VLOOKUP($B51,Outputs!$B:$F,2,FALSE),"")</f>
        <v>-2.5506108232615399E-2</v>
      </c>
      <c r="E51" s="62"/>
      <c r="F51" s="62" t="str">
        <f>IF(A51=1,VLOOKUP($B51,Outputs!$H:$L,2,FALSE),"")</f>
        <v/>
      </c>
      <c r="G51" s="62">
        <f ca="1">IF(A51=0,VLOOKUP($B51,Outputs!$H:$L,2,FALSE),"")</f>
        <v>-2.5506108232611839E-2</v>
      </c>
      <c r="H51" s="409"/>
      <c r="I51" s="409"/>
      <c r="J51" s="410">
        <f ca="1">VLOOKUP($B51,Outputs!$N:$R,2,FALSE)</f>
        <v>-3.2899333171270292E-2</v>
      </c>
      <c r="K51" s="410">
        <f ca="1">+VLOOKUP(B51,Outputs!T:U,2,FALSE)</f>
        <v>-5.7799098384360925E-2</v>
      </c>
      <c r="L51" s="409" t="str">
        <f>IF($A51=1,VLOOKUP($B51,Outputs!$B:$F,3,FALSE),"")</f>
        <v/>
      </c>
      <c r="M51" s="409">
        <f ca="1">IF($A51=0,VLOOKUP($B51,Outputs!$B:$F,3,FALSE),"")</f>
        <v>31.218101617414593</v>
      </c>
      <c r="N51" s="409" t="str">
        <f>IF($A51=1,VLOOKUP($B51,Outputs!$H:$L,3,FALSE),"")</f>
        <v/>
      </c>
      <c r="O51" s="409">
        <f ca="1">IF($A51=0,VLOOKUP($B51,Outputs!$H:$L,3,FALSE),"")</f>
        <v>31.218101617414593</v>
      </c>
      <c r="P51" s="409" t="str">
        <f>IF($A51=1,VLOOKUP($B51,Outputs!$N:$R,3,FALSE),"")</f>
        <v/>
      </c>
      <c r="Q51" s="409">
        <f ca="1">IF($A51=0,VLOOKUP($B51,Outputs!$N:$R,3,FALSE),"")</f>
        <v>31.693294567181578</v>
      </c>
    </row>
    <row r="52" spans="1:17">
      <c r="A52" s="232">
        <f>IF(VLOOKUP(B52,TOCA_current!$B$2:$AG$137,32,FALSE)=0,0,1)</f>
        <v>0</v>
      </c>
      <c r="B52" t="s">
        <v>109</v>
      </c>
      <c r="C52" s="409" t="str">
        <f>IF(A52=1,VLOOKUP($B52,Outputs!$B:$F,2,FALSE),"")</f>
        <v/>
      </c>
      <c r="D52" s="409">
        <f ca="1">IF(A52=0,VLOOKUP($B52,Outputs!$B:$F,2,FALSE),"")</f>
        <v>-1.7639892922831586E-2</v>
      </c>
      <c r="E52" s="62"/>
      <c r="F52" s="62" t="str">
        <f>IF(A52=1,VLOOKUP($B52,Outputs!$H:$L,2,FALSE),"")</f>
        <v/>
      </c>
      <c r="G52" s="62">
        <f ca="1">IF(A52=0,VLOOKUP($B52,Outputs!$H:$L,2,FALSE),"")</f>
        <v>-1.7639892922830157E-2</v>
      </c>
      <c r="H52" s="409"/>
      <c r="I52" s="409"/>
      <c r="J52" s="410">
        <f ca="1">VLOOKUP($B52,Outputs!$N:$R,2,FALSE)</f>
        <v>-2.7740603439910274E-2</v>
      </c>
      <c r="K52" s="410">
        <f ca="1">+VLOOKUP(B52,Outputs!T:U,2,FALSE)</f>
        <v>-1.7657443201347989E-2</v>
      </c>
      <c r="L52" s="409" t="str">
        <f>IF($A52=1,VLOOKUP($B52,Outputs!$B:$F,3,FALSE),"")</f>
        <v/>
      </c>
      <c r="M52" s="409">
        <f ca="1">IF($A52=0,VLOOKUP($B52,Outputs!$B:$F,3,FALSE),"")</f>
        <v>29.768642547058086</v>
      </c>
      <c r="N52" s="409" t="str">
        <f>IF($A52=1,VLOOKUP($B52,Outputs!$H:$L,3,FALSE),"")</f>
        <v/>
      </c>
      <c r="O52" s="409">
        <f ca="1">IF($A52=0,VLOOKUP($B52,Outputs!$H:$L,3,FALSE),"")</f>
        <v>29.768642547058086</v>
      </c>
      <c r="P52" s="409" t="str">
        <f>IF($A52=1,VLOOKUP($B52,Outputs!$N:$R,3,FALSE),"")</f>
        <v/>
      </c>
      <c r="Q52" s="409">
        <f ca="1">IF($A52=0,VLOOKUP($B52,Outputs!$N:$R,3,FALSE),"")</f>
        <v>29.620976522151125</v>
      </c>
    </row>
    <row r="53" spans="1:17">
      <c r="A53" s="232">
        <f>IF(VLOOKUP(B53,TOCA_current!$B$2:$AG$137,32,FALSE)=0,0,1)</f>
        <v>0</v>
      </c>
      <c r="B53" t="s">
        <v>136</v>
      </c>
      <c r="C53" s="409" t="str">
        <f>IF(A53=1,VLOOKUP($B53,Outputs!$B:$F,2,FALSE),"")</f>
        <v/>
      </c>
      <c r="D53" s="409">
        <f ca="1">IF(A53=0,VLOOKUP($B53,Outputs!$B:$F,2,FALSE),"")</f>
        <v>9.8824879651941751E-3</v>
      </c>
      <c r="E53" s="62"/>
      <c r="F53" s="62" t="str">
        <f>IF(A53=1,VLOOKUP($B53,Outputs!$H:$L,2,FALSE),"")</f>
        <v/>
      </c>
      <c r="G53" s="62">
        <f ca="1">IF(A53=0,VLOOKUP($B53,Outputs!$H:$L,2,FALSE),"")</f>
        <v>9.8824879651933564E-3</v>
      </c>
      <c r="H53" s="409"/>
      <c r="I53" s="409"/>
      <c r="J53" s="410">
        <f ca="1">VLOOKUP($B53,Outputs!$N:$R,2,FALSE)</f>
        <v>-2.2381339690726972E-2</v>
      </c>
      <c r="K53" s="410">
        <f ca="1">+VLOOKUP(B53,Outputs!T:U,2,FALSE)</f>
        <v>8.4844239809531707E-3</v>
      </c>
      <c r="L53" s="409" t="str">
        <f>IF($A53=1,VLOOKUP($B53,Outputs!$B:$F,3,FALSE),"")</f>
        <v/>
      </c>
      <c r="M53" s="409">
        <f ca="1">IF($A53=0,VLOOKUP($B53,Outputs!$B:$F,3,FALSE),"")</f>
        <v>36.68192819952089</v>
      </c>
      <c r="N53" s="409" t="str">
        <f>IF($A53=1,VLOOKUP($B53,Outputs!$H:$L,3,FALSE),"")</f>
        <v/>
      </c>
      <c r="O53" s="409">
        <f ca="1">IF($A53=0,VLOOKUP($B53,Outputs!$H:$L,3,FALSE),"")</f>
        <v>36.68192819952089</v>
      </c>
      <c r="P53" s="409" t="str">
        <f>IF($A53=1,VLOOKUP($B53,Outputs!$N:$R,3,FALSE),"")</f>
        <v/>
      </c>
      <c r="Q53" s="409">
        <f ca="1">IF($A53=0,VLOOKUP($B53,Outputs!$N:$R,3,FALSE),"")</f>
        <v>35.045571184989299</v>
      </c>
    </row>
    <row r="54" spans="1:17">
      <c r="A54" s="232">
        <f>IF(VLOOKUP(B54,TOCA_current!$B$2:$AG$137,32,FALSE)=0,0,1)</f>
        <v>0</v>
      </c>
      <c r="B54" t="s">
        <v>130</v>
      </c>
      <c r="C54" s="409" t="str">
        <f>IF(A54=1,VLOOKUP($B54,Outputs!$B:$F,2,FALSE),"")</f>
        <v/>
      </c>
      <c r="D54" s="409">
        <f ca="1">IF(A54=0,VLOOKUP($B54,Outputs!$B:$F,2,FALSE),"")</f>
        <v>-6.4677467419764077E-4</v>
      </c>
      <c r="E54" s="62"/>
      <c r="F54" s="62" t="str">
        <f>IF(A54=1,VLOOKUP($B54,Outputs!$H:$L,2,FALSE),"")</f>
        <v/>
      </c>
      <c r="G54" s="62">
        <f ca="1">IF(A54=0,VLOOKUP($B54,Outputs!$H:$L,2,FALSE),"")</f>
        <v>-6.4677467419847073E-4</v>
      </c>
      <c r="H54" s="409"/>
      <c r="I54" s="409"/>
      <c r="J54" s="410">
        <f ca="1">VLOOKUP($B54,Outputs!$N:$R,2,FALSE)</f>
        <v>-2.4060840575103139E-2</v>
      </c>
      <c r="K54" s="410">
        <f ca="1">+VLOOKUP(B54,Outputs!T:U,2,FALSE)</f>
        <v>2.858873298073128E-2</v>
      </c>
      <c r="L54" s="409" t="str">
        <f>IF($A54=1,VLOOKUP($B54,Outputs!$B:$F,3,FALSE),"")</f>
        <v/>
      </c>
      <c r="M54" s="409">
        <f ca="1">IF($A54=0,VLOOKUP($B54,Outputs!$B:$F,3,FALSE),"")</f>
        <v>33.702346177186051</v>
      </c>
      <c r="N54" s="409" t="str">
        <f>IF($A54=1,VLOOKUP($B54,Outputs!$H:$L,3,FALSE),"")</f>
        <v/>
      </c>
      <c r="O54" s="409">
        <f ca="1">IF($A54=0,VLOOKUP($B54,Outputs!$H:$L,3,FALSE),"")</f>
        <v>33.702346177186051</v>
      </c>
      <c r="P54" s="409" t="str">
        <f>IF($A54=1,VLOOKUP($B54,Outputs!$N:$R,3,FALSE),"")</f>
        <v/>
      </c>
      <c r="Q54" s="409">
        <f ca="1">IF($A54=0,VLOOKUP($B54,Outputs!$N:$R,3,FALSE),"")</f>
        <v>32.686752748808225</v>
      </c>
    </row>
    <row r="55" spans="1:17">
      <c r="A55" s="232">
        <f>IF(VLOOKUP(B55,TOCA_current!$B$2:$AG$137,32,FALSE)=0,0,1)</f>
        <v>0</v>
      </c>
      <c r="B55" t="s">
        <v>73</v>
      </c>
      <c r="C55" s="409" t="str">
        <f>IF(A55=1,VLOOKUP($B55,Outputs!$B:$F,2,FALSE),"")</f>
        <v/>
      </c>
      <c r="D55" s="409">
        <f ca="1">IF(A55=0,VLOOKUP($B55,Outputs!$B:$F,2,FALSE),"")</f>
        <v>8.8188546249660903E-3</v>
      </c>
      <c r="E55" s="62"/>
      <c r="F55" s="62" t="str">
        <f>IF(A55=1,VLOOKUP($B55,Outputs!$H:$L,2,FALSE),"")</f>
        <v/>
      </c>
      <c r="G55" s="62">
        <f ca="1">IF(A55=0,VLOOKUP($B55,Outputs!$H:$L,2,FALSE),"")</f>
        <v>8.8188546249670288E-3</v>
      </c>
      <c r="H55" s="409"/>
      <c r="I55" s="409"/>
      <c r="J55" s="410">
        <f ca="1">VLOOKUP($B55,Outputs!$N:$R,2,FALSE)</f>
        <v>-2.6693099532919672E-2</v>
      </c>
      <c r="K55" s="410">
        <f ca="1">+VLOOKUP(B55,Outputs!T:U,2,FALSE)</f>
        <v>9.0725085413041473E-3</v>
      </c>
      <c r="L55" s="409" t="str">
        <f>IF($A55=1,VLOOKUP($B55,Outputs!$B:$F,3,FALSE),"")</f>
        <v/>
      </c>
      <c r="M55" s="409">
        <f ca="1">IF($A55=0,VLOOKUP($B55,Outputs!$B:$F,3,FALSE),"")</f>
        <v>37.145627359910733</v>
      </c>
      <c r="N55" s="409" t="str">
        <f>IF($A55=1,VLOOKUP($B55,Outputs!$H:$L,3,FALSE),"")</f>
        <v/>
      </c>
      <c r="O55" s="409">
        <f ca="1">IF($A55=0,VLOOKUP($B55,Outputs!$H:$L,3,FALSE),"")</f>
        <v>37.145627359910733</v>
      </c>
      <c r="P55" s="409" t="str">
        <f>IF($A55=1,VLOOKUP($B55,Outputs!$N:$R,3,FALSE),"")</f>
        <v/>
      </c>
      <c r="Q55" s="409">
        <f ca="1">IF($A55=0,VLOOKUP($B55,Outputs!$N:$R,3,FALSE),"")</f>
        <v>34.797581972780534</v>
      </c>
    </row>
    <row r="56" spans="1:17">
      <c r="A56" s="232">
        <f>IF(VLOOKUP(B56,TOCA_current!$B$2:$AG$137,32,FALSE)=0,0,1)</f>
        <v>0</v>
      </c>
      <c r="B56" t="s">
        <v>101</v>
      </c>
      <c r="C56" s="409" t="str">
        <f>IF(A56=1,VLOOKUP($B56,Outputs!$B:$F,2,FALSE),"")</f>
        <v/>
      </c>
      <c r="D56" s="409">
        <f ca="1">IF(A56=0,VLOOKUP($B56,Outputs!$B:$F,2,FALSE),"")</f>
        <v>-1.1328230266534761E-2</v>
      </c>
      <c r="E56" s="62"/>
      <c r="F56" s="62" t="str">
        <f>IF(A56=1,VLOOKUP($B56,Outputs!$H:$L,2,FALSE),"")</f>
        <v/>
      </c>
      <c r="G56" s="62">
        <f ca="1">IF(A56=0,VLOOKUP($B56,Outputs!$H:$L,2,FALSE),"")</f>
        <v>-1.1328230266540281E-2</v>
      </c>
      <c r="H56" s="409"/>
      <c r="I56" s="409"/>
      <c r="J56" s="410">
        <f ca="1">VLOOKUP($B56,Outputs!$N:$R,2,FALSE)</f>
        <v>-2.0719074186492516E-2</v>
      </c>
      <c r="K56" s="410">
        <f ca="1">+VLOOKUP(B56,Outputs!T:U,2,FALSE)</f>
        <v>-9.3134297336388006E-3</v>
      </c>
      <c r="L56" s="409" t="str">
        <f>IF($A56=1,VLOOKUP($B56,Outputs!$B:$F,3,FALSE),"")</f>
        <v/>
      </c>
      <c r="M56" s="409">
        <f ca="1">IF($A56=0,VLOOKUP($B56,Outputs!$B:$F,3,FALSE),"")</f>
        <v>35.777009057374208</v>
      </c>
      <c r="N56" s="409" t="str">
        <f>IF($A56=1,VLOOKUP($B56,Outputs!$H:$L,3,FALSE),"")</f>
        <v/>
      </c>
      <c r="O56" s="409">
        <f ca="1">IF($A56=0,VLOOKUP($B56,Outputs!$H:$L,3,FALSE),"")</f>
        <v>35.777009057374208</v>
      </c>
      <c r="P56" s="409" t="str">
        <f>IF($A56=1,VLOOKUP($B56,Outputs!$N:$R,3,FALSE),"")</f>
        <v/>
      </c>
      <c r="Q56" s="409">
        <f ca="1">IF($A56=0,VLOOKUP($B56,Outputs!$N:$R,3,FALSE),"")</f>
        <v>34.835751453816414</v>
      </c>
    </row>
    <row r="57" spans="1:17">
      <c r="A57" s="232">
        <f>IF(VLOOKUP(B57,TOCA_current!$B$2:$AG$137,32,FALSE)=0,0,1)</f>
        <v>0</v>
      </c>
      <c r="B57" t="s">
        <v>21</v>
      </c>
      <c r="C57" s="409" t="str">
        <f>IF(A57=1,VLOOKUP($B57,Outputs!$B:$F,2,FALSE),"")</f>
        <v/>
      </c>
      <c r="D57" s="409">
        <f ca="1">IF(A57=0,VLOOKUP($B57,Outputs!$B:$F,2,FALSE),"")</f>
        <v>8.8224352334161907E-4</v>
      </c>
      <c r="E57" s="62"/>
      <c r="F57" s="62" t="str">
        <f>IF(A57=1,VLOOKUP($B57,Outputs!$H:$L,2,FALSE),"")</f>
        <v/>
      </c>
      <c r="G57" s="62">
        <f ca="1">IF(A57=0,VLOOKUP($B57,Outputs!$H:$L,2,FALSE),"")</f>
        <v>8.8224352334341277E-4</v>
      </c>
      <c r="H57" s="409"/>
      <c r="I57" s="409"/>
      <c r="J57" s="410">
        <f ca="1">VLOOKUP($B57,Outputs!$N:$R,2,FALSE)</f>
        <v>-2.4628757956962514E-2</v>
      </c>
      <c r="K57" s="410">
        <f ca="1">+VLOOKUP(B57,Outputs!T:U,2,FALSE)</f>
        <v>3.0052234823723323E-2</v>
      </c>
      <c r="L57" s="409" t="str">
        <f>IF($A57=1,VLOOKUP($B57,Outputs!$B:$F,3,FALSE),"")</f>
        <v/>
      </c>
      <c r="M57" s="409">
        <f ca="1">IF($A57=0,VLOOKUP($B57,Outputs!$B:$F,3,FALSE),"")</f>
        <v>36.89069859276848</v>
      </c>
      <c r="N57" s="409" t="str">
        <f>IF($A57=1,VLOOKUP($B57,Outputs!$H:$L,3,FALSE),"")</f>
        <v/>
      </c>
      <c r="O57" s="409">
        <f ca="1">IF($A57=0,VLOOKUP($B57,Outputs!$H:$L,3,FALSE),"")</f>
        <v>36.89069859276848</v>
      </c>
      <c r="P57" s="409" t="str">
        <f>IF($A57=1,VLOOKUP($B57,Outputs!$N:$R,3,FALSE),"")</f>
        <v/>
      </c>
      <c r="Q57" s="409">
        <f ca="1">IF($A57=0,VLOOKUP($B57,Outputs!$N:$R,3,FALSE),"")</f>
        <v>35.33358570132723</v>
      </c>
    </row>
    <row r="58" spans="1:17">
      <c r="A58" s="232">
        <f>IF(VLOOKUP(B58,TOCA_current!$B$2:$AG$137,32,FALSE)=0,0,1)</f>
        <v>0</v>
      </c>
      <c r="B58" t="s">
        <v>111</v>
      </c>
      <c r="C58" s="409" t="str">
        <f>IF(A58=1,VLOOKUP($B58,Outputs!$B:$F,2,FALSE),"")</f>
        <v/>
      </c>
      <c r="D58" s="409">
        <f ca="1">IF(A58=0,VLOOKUP($B58,Outputs!$B:$F,2,FALSE),"")</f>
        <v>-1.4310235292502017E-2</v>
      </c>
      <c r="E58" s="62"/>
      <c r="F58" s="62" t="str">
        <f>IF(A58=1,VLOOKUP($B58,Outputs!$H:$L,2,FALSE),"")</f>
        <v/>
      </c>
      <c r="G58" s="62">
        <f ca="1">IF(A58=0,VLOOKUP($B58,Outputs!$H:$L,2,FALSE),"")</f>
        <v>-1.43102352925044E-2</v>
      </c>
      <c r="H58" s="409"/>
      <c r="I58" s="409"/>
      <c r="J58" s="410">
        <f ca="1">VLOOKUP($B58,Outputs!$N:$R,2,FALSE)</f>
        <v>-2.699188897841593E-2</v>
      </c>
      <c r="K58" s="410">
        <f ca="1">+VLOOKUP(B58,Outputs!T:U,2,FALSE)</f>
        <v>2.435234737916403E-3</v>
      </c>
      <c r="L58" s="409" t="str">
        <f>IF($A58=1,VLOOKUP($B58,Outputs!$B:$F,3,FALSE),"")</f>
        <v/>
      </c>
      <c r="M58" s="409">
        <f ca="1">IF($A58=0,VLOOKUP($B58,Outputs!$B:$F,3,FALSE),"")</f>
        <v>34.519868461700867</v>
      </c>
      <c r="N58" s="409" t="str">
        <f>IF($A58=1,VLOOKUP($B58,Outputs!$H:$L,3,FALSE),"")</f>
        <v/>
      </c>
      <c r="O58" s="409">
        <f ca="1">IF($A58=0,VLOOKUP($B58,Outputs!$H:$L,3,FALSE),"")</f>
        <v>34.519868461700867</v>
      </c>
      <c r="P58" s="409" t="str">
        <f>IF($A58=1,VLOOKUP($B58,Outputs!$N:$R,3,FALSE),"")</f>
        <v/>
      </c>
      <c r="Q58" s="409">
        <f ca="1">IF($A58=0,VLOOKUP($B58,Outputs!$N:$R,3,FALSE),"")</f>
        <v>33.428314116042337</v>
      </c>
    </row>
    <row r="59" spans="1:17">
      <c r="A59" s="232">
        <f>IF(VLOOKUP(B59,TOCA_current!$B$2:$AG$137,32,FALSE)=0,0,1)</f>
        <v>0</v>
      </c>
      <c r="B59" t="s">
        <v>24</v>
      </c>
      <c r="C59" s="409" t="str">
        <f>IF(A59=1,VLOOKUP($B59,Outputs!$B:$F,2,FALSE),"")</f>
        <v/>
      </c>
      <c r="D59" s="409">
        <f ca="1">IF(A59=0,VLOOKUP($B59,Outputs!$B:$F,2,FALSE),"")</f>
        <v>-1.2000527104065847E-2</v>
      </c>
      <c r="E59" s="62"/>
      <c r="F59" s="62" t="str">
        <f>IF(A59=1,VLOOKUP($B59,Outputs!$H:$L,2,FALSE),"")</f>
        <v/>
      </c>
      <c r="G59" s="62">
        <f ca="1">IF(A59=0,VLOOKUP($B59,Outputs!$H:$L,2,FALSE),"")</f>
        <v>-1.2000527104068195E-2</v>
      </c>
      <c r="H59" s="409"/>
      <c r="I59" s="409"/>
      <c r="J59" s="410">
        <f ca="1">VLOOKUP($B59,Outputs!$N:$R,2,FALSE)</f>
        <v>-2.7733774307839732E-2</v>
      </c>
      <c r="K59" s="410" t="str">
        <f ca="1">+VLOOKUP(B59,Outputs!T:U,2,FALSE)</f>
        <v/>
      </c>
      <c r="L59" s="409" t="str">
        <f>IF($A59=1,VLOOKUP($B59,Outputs!$B:$F,3,FALSE),"")</f>
        <v/>
      </c>
      <c r="M59" s="409">
        <f ca="1">IF($A59=0,VLOOKUP($B59,Outputs!$B:$F,3,FALSE),"")</f>
        <v>37.94302451293138</v>
      </c>
      <c r="N59" s="409" t="str">
        <f>IF($A59=1,VLOOKUP($B59,Outputs!$H:$L,3,FALSE),"")</f>
        <v/>
      </c>
      <c r="O59" s="409">
        <f ca="1">IF($A59=0,VLOOKUP($B59,Outputs!$H:$L,3,FALSE),"")</f>
        <v>37.94302451293138</v>
      </c>
      <c r="P59" s="409" t="str">
        <f>IF($A59=1,VLOOKUP($B59,Outputs!$N:$R,3,FALSE),"")</f>
        <v/>
      </c>
      <c r="Q59" s="409">
        <f ca="1">IF($A59=0,VLOOKUP($B59,Outputs!$N:$R,3,FALSE),"")</f>
        <v>36.856024141744413</v>
      </c>
    </row>
    <row r="60" spans="1:17">
      <c r="A60" s="232">
        <f>IF(VLOOKUP(B60,TOCA_current!$B$2:$AG$137,32,FALSE)=0,0,1)</f>
        <v>0</v>
      </c>
      <c r="B60" t="s">
        <v>115</v>
      </c>
      <c r="C60" s="409" t="str">
        <f>IF(A60=1,VLOOKUP($B60,Outputs!$B:$F,2,FALSE),"")</f>
        <v/>
      </c>
      <c r="D60" s="409">
        <f ca="1">IF(A60=0,VLOOKUP($B60,Outputs!$B:$F,2,FALSE),"")</f>
        <v>3.3955600460315066E-2</v>
      </c>
      <c r="E60" s="62"/>
      <c r="F60" s="62" t="str">
        <f>IF(A60=1,VLOOKUP($B60,Outputs!$H:$L,2,FALSE),"")</f>
        <v/>
      </c>
      <c r="G60" s="62">
        <f ca="1">IF(A60=0,VLOOKUP($B60,Outputs!$H:$L,2,FALSE),"")</f>
        <v>3.3955600460308669E-2</v>
      </c>
      <c r="H60" s="409"/>
      <c r="I60" s="409"/>
      <c r="J60" s="410">
        <f ca="1">VLOOKUP($B60,Outputs!$N:$R,2,FALSE)</f>
        <v>-2.8860692271050672E-2</v>
      </c>
      <c r="K60" s="410">
        <f ca="1">+VLOOKUP(B60,Outputs!T:U,2,FALSE)</f>
        <v>3.5529242454665599E-2</v>
      </c>
      <c r="L60" s="409" t="str">
        <f>IF($A60=1,VLOOKUP($B60,Outputs!$B:$F,3,FALSE),"")</f>
        <v/>
      </c>
      <c r="M60" s="409">
        <f ca="1">IF($A60=0,VLOOKUP($B60,Outputs!$B:$F,3,FALSE),"")</f>
        <v>30.108854597399535</v>
      </c>
      <c r="N60" s="409" t="str">
        <f>IF($A60=1,VLOOKUP($B60,Outputs!$H:$L,3,FALSE),"")</f>
        <v/>
      </c>
      <c r="O60" s="409">
        <f ca="1">IF($A60=0,VLOOKUP($B60,Outputs!$H:$L,3,FALSE),"")</f>
        <v>30.108854597399535</v>
      </c>
      <c r="P60" s="409" t="str">
        <f>IF($A60=1,VLOOKUP($B60,Outputs!$N:$R,3,FALSE),"")</f>
        <v/>
      </c>
      <c r="Q60" s="409">
        <f ca="1">IF($A60=0,VLOOKUP($B60,Outputs!$N:$R,3,FALSE),"")</f>
        <v>28.882380075535007</v>
      </c>
    </row>
    <row r="61" spans="1:17">
      <c r="A61" s="232">
        <f>IF(VLOOKUP(B61,TOCA_current!$B$2:$AG$137,32,FALSE)=0,0,1)</f>
        <v>0</v>
      </c>
      <c r="B61" t="s">
        <v>137</v>
      </c>
      <c r="C61" s="409" t="str">
        <f>IF(A61=1,VLOOKUP($B61,Outputs!$B:$F,2,FALSE),"")</f>
        <v/>
      </c>
      <c r="D61" s="409">
        <f ca="1">IF(A61=0,VLOOKUP($B61,Outputs!$B:$F,2,FALSE),"")</f>
        <v>-1.2141218096341935E-2</v>
      </c>
      <c r="E61" s="62"/>
      <c r="F61" s="62" t="str">
        <f>IF(A61=1,VLOOKUP($B61,Outputs!$H:$L,2,FALSE),"")</f>
        <v/>
      </c>
      <c r="G61" s="62">
        <f ca="1">IF(A61=0,VLOOKUP($B61,Outputs!$H:$L,2,FALSE),"")</f>
        <v>-1.2141218096343076E-2</v>
      </c>
      <c r="H61" s="409"/>
      <c r="I61" s="409"/>
      <c r="J61" s="410">
        <f ca="1">VLOOKUP($B61,Outputs!$N:$R,2,FALSE)</f>
        <v>-2.4079782925671932E-2</v>
      </c>
      <c r="K61" s="410">
        <f ca="1">+VLOOKUP(B61,Outputs!T:U,2,FALSE)</f>
        <v>-3.411902272433287E-2</v>
      </c>
      <c r="L61" s="409" t="str">
        <f>IF($A61=1,VLOOKUP($B61,Outputs!$B:$F,3,FALSE),"")</f>
        <v/>
      </c>
      <c r="M61" s="409">
        <f ca="1">IF($A61=0,VLOOKUP($B61,Outputs!$B:$F,3,FALSE),"")</f>
        <v>34.826944377820382</v>
      </c>
      <c r="N61" s="409" t="str">
        <f>IF($A61=1,VLOOKUP($B61,Outputs!$H:$L,3,FALSE),"")</f>
        <v/>
      </c>
      <c r="O61" s="409">
        <f ca="1">IF($A61=0,VLOOKUP($B61,Outputs!$H:$L,3,FALSE),"")</f>
        <v>34.826944377820382</v>
      </c>
      <c r="P61" s="409" t="str">
        <f>IF($A61=1,VLOOKUP($B61,Outputs!$N:$R,3,FALSE),"")</f>
        <v/>
      </c>
      <c r="Q61" s="409">
        <f ca="1">IF($A61=0,VLOOKUP($B61,Outputs!$N:$R,3,FALSE),"")</f>
        <v>34.653814775487668</v>
      </c>
    </row>
    <row r="62" spans="1:17">
      <c r="A62" s="232">
        <f>IF(VLOOKUP(B62,TOCA_current!$B$2:$AG$137,32,FALSE)=0,0,1)</f>
        <v>0</v>
      </c>
      <c r="B62" t="s">
        <v>69</v>
      </c>
      <c r="C62" s="409" t="str">
        <f>IF(A62=1,VLOOKUP($B62,Outputs!$B:$F,2,FALSE),"")</f>
        <v/>
      </c>
      <c r="D62" s="409">
        <f ca="1">IF(A62=0,VLOOKUP($B62,Outputs!$B:$F,2,FALSE),"")</f>
        <v>-1.083246962094685E-2</v>
      </c>
      <c r="E62" s="62"/>
      <c r="F62" s="62" t="str">
        <f>IF(A62=1,VLOOKUP($B62,Outputs!$H:$L,2,FALSE),"")</f>
        <v/>
      </c>
      <c r="G62" s="62">
        <f ca="1">IF(A62=0,VLOOKUP($B62,Outputs!$H:$L,2,FALSE),"")</f>
        <v>-1.0832469620949409E-2</v>
      </c>
      <c r="H62" s="409"/>
      <c r="I62" s="409"/>
      <c r="J62" s="410">
        <f ca="1">VLOOKUP($B62,Outputs!$N:$R,2,FALSE)</f>
        <v>-2.243882639309247E-2</v>
      </c>
      <c r="K62" s="410">
        <f ca="1">+VLOOKUP(B62,Outputs!T:U,2,FALSE)</f>
        <v>-1.6971909953345188E-2</v>
      </c>
      <c r="L62" s="409" t="str">
        <f>IF($A62=1,VLOOKUP($B62,Outputs!$B:$F,3,FALSE),"")</f>
        <v/>
      </c>
      <c r="M62" s="409">
        <f ca="1">IF($A62=0,VLOOKUP($B62,Outputs!$B:$F,3,FALSE),"")</f>
        <v>33.285101506513151</v>
      </c>
      <c r="N62" s="409" t="str">
        <f>IF($A62=1,VLOOKUP($B62,Outputs!$H:$L,3,FALSE),"")</f>
        <v/>
      </c>
      <c r="O62" s="409">
        <f ca="1">IF($A62=0,VLOOKUP($B62,Outputs!$H:$L,3,FALSE),"")</f>
        <v>33.285101506513151</v>
      </c>
      <c r="P62" s="409" t="str">
        <f>IF($A62=1,VLOOKUP($B62,Outputs!$N:$R,3,FALSE),"")</f>
        <v/>
      </c>
      <c r="Q62" s="409">
        <f ca="1">IF($A62=0,VLOOKUP($B62,Outputs!$N:$R,3,FALSE),"")</f>
        <v>32.606841701249294</v>
      </c>
    </row>
    <row r="63" spans="1:17">
      <c r="A63" s="232">
        <f>IF(VLOOKUP(B63,TOCA_current!$B$2:$AG$137,32,FALSE)=0,0,1)</f>
        <v>0</v>
      </c>
      <c r="B63" t="s">
        <v>135</v>
      </c>
      <c r="C63" s="409" t="str">
        <f>IF(A63=1,VLOOKUP($B63,Outputs!$B:$F,2,FALSE),"")</f>
        <v/>
      </c>
      <c r="D63" s="409">
        <f ca="1">IF(A63=0,VLOOKUP($B63,Outputs!$B:$F,2,FALSE),"")</f>
        <v>2.1329632801396908E-2</v>
      </c>
      <c r="E63" s="62"/>
      <c r="F63" s="62" t="str">
        <f>IF(A63=1,VLOOKUP($B63,Outputs!$H:$L,2,FALSE),"")</f>
        <v/>
      </c>
      <c r="G63" s="62">
        <f ca="1">IF(A63=0,VLOOKUP($B63,Outputs!$H:$L,2,FALSE),"")</f>
        <v>2.1329632801397165E-2</v>
      </c>
      <c r="H63" s="409"/>
      <c r="I63" s="409"/>
      <c r="J63" s="410">
        <f ca="1">VLOOKUP($B63,Outputs!$N:$R,2,FALSE)</f>
        <v>-2.4464281690088449E-2</v>
      </c>
      <c r="K63" s="410">
        <f ca="1">+VLOOKUP(B63,Outputs!T:U,2,FALSE)</f>
        <v>-1.2623367677733199E-4</v>
      </c>
      <c r="L63" s="409" t="str">
        <f>IF($A63=1,VLOOKUP($B63,Outputs!$B:$F,3,FALSE),"")</f>
        <v/>
      </c>
      <c r="M63" s="409">
        <f ca="1">IF($A63=0,VLOOKUP($B63,Outputs!$B:$F,3,FALSE),"")</f>
        <v>32.720586829639714</v>
      </c>
      <c r="N63" s="409" t="str">
        <f>IF($A63=1,VLOOKUP($B63,Outputs!$H:$L,3,FALSE),"")</f>
        <v/>
      </c>
      <c r="O63" s="409">
        <f ca="1">IF($A63=0,VLOOKUP($B63,Outputs!$H:$L,3,FALSE),"")</f>
        <v>32.720586829639714</v>
      </c>
      <c r="P63" s="409" t="str">
        <f>IF($A63=1,VLOOKUP($B63,Outputs!$N:$R,3,FALSE),"")</f>
        <v/>
      </c>
      <c r="Q63" s="409">
        <f ca="1">IF($A63=0,VLOOKUP($B63,Outputs!$N:$R,3,FALSE),"")</f>
        <v>31.775978872248672</v>
      </c>
    </row>
    <row r="64" spans="1:17">
      <c r="A64" s="232">
        <f>IF(VLOOKUP(B64,TOCA_current!$B$2:$AG$137,32,FALSE)=0,0,1)</f>
        <v>0</v>
      </c>
      <c r="B64" t="s">
        <v>128</v>
      </c>
      <c r="C64" s="409" t="str">
        <f>IF(A64=1,VLOOKUP($B64,Outputs!$B:$F,2,FALSE),"")</f>
        <v/>
      </c>
      <c r="D64" s="409">
        <f ca="1">IF(A64=0,VLOOKUP($B64,Outputs!$B:$F,2,FALSE),"")</f>
        <v>-1.899536438175958E-3</v>
      </c>
      <c r="E64" s="62"/>
      <c r="F64" s="62" t="str">
        <f>IF(A64=1,VLOOKUP($B64,Outputs!$H:$L,2,FALSE),"")</f>
        <v/>
      </c>
      <c r="G64" s="62">
        <f ca="1">IF(A64=0,VLOOKUP($B64,Outputs!$H:$L,2,FALSE),"")</f>
        <v>-1.8995364381766487E-3</v>
      </c>
      <c r="H64" s="409"/>
      <c r="I64" s="409"/>
      <c r="J64" s="410">
        <f ca="1">VLOOKUP($B64,Outputs!$N:$R,2,FALSE)</f>
        <v>-3.3953468793846447E-2</v>
      </c>
      <c r="K64" s="410">
        <f ca="1">+VLOOKUP(B64,Outputs!T:U,2,FALSE)</f>
        <v>-1.6556452094726559E-2</v>
      </c>
      <c r="L64" s="409" t="str">
        <f>IF($A64=1,VLOOKUP($B64,Outputs!$B:$F,3,FALSE),"")</f>
        <v/>
      </c>
      <c r="M64" s="409">
        <f ca="1">IF($A64=0,VLOOKUP($B64,Outputs!$B:$F,3,FALSE),"")</f>
        <v>29.479654338367865</v>
      </c>
      <c r="N64" s="409" t="str">
        <f>IF($A64=1,VLOOKUP($B64,Outputs!$H:$L,3,FALSE),"")</f>
        <v/>
      </c>
      <c r="O64" s="409">
        <f ca="1">IF($A64=0,VLOOKUP($B64,Outputs!$H:$L,3,FALSE),"")</f>
        <v>29.479654338367865</v>
      </c>
      <c r="P64" s="409" t="str">
        <f>IF($A64=1,VLOOKUP($B64,Outputs!$N:$R,3,FALSE),"")</f>
        <v/>
      </c>
      <c r="Q64" s="409">
        <f ca="1">IF($A64=0,VLOOKUP($B64,Outputs!$N:$R,3,FALSE),"")</f>
        <v>28.904064004785322</v>
      </c>
    </row>
    <row r="65" spans="1:17">
      <c r="A65" s="232">
        <f>IF(VLOOKUP(B65,TOCA_current!$B$2:$AG$137,32,FALSE)=0,0,1)</f>
        <v>0</v>
      </c>
      <c r="B65" t="s">
        <v>125</v>
      </c>
      <c r="C65" s="409" t="str">
        <f>IF(A65=1,VLOOKUP($B65,Outputs!$B:$F,2,FALSE),"")</f>
        <v/>
      </c>
      <c r="D65" s="409">
        <f ca="1">IF(A65=0,VLOOKUP($B65,Outputs!$B:$F,2,FALSE),"")</f>
        <v>-2.2213092096364597E-2</v>
      </c>
      <c r="E65" s="62"/>
      <c r="F65" s="62" t="str">
        <f>IF(A65=1,VLOOKUP($B65,Outputs!$H:$L,2,FALSE),"")</f>
        <v/>
      </c>
      <c r="G65" s="62">
        <f ca="1">IF(A65=0,VLOOKUP($B65,Outputs!$H:$L,2,FALSE),"")</f>
        <v>-2.2213092096358321E-2</v>
      </c>
      <c r="H65" s="409"/>
      <c r="I65" s="409"/>
      <c r="J65" s="410">
        <f ca="1">VLOOKUP($B65,Outputs!$N:$R,2,FALSE)</f>
        <v>-2.75056531325098E-2</v>
      </c>
      <c r="K65" s="410">
        <f ca="1">+VLOOKUP(B65,Outputs!T:U,2,FALSE)</f>
        <v>6.4423149395509416E-3</v>
      </c>
      <c r="L65" s="409" t="str">
        <f>IF($A65=1,VLOOKUP($B65,Outputs!$B:$F,3,FALSE),"")</f>
        <v/>
      </c>
      <c r="M65" s="409">
        <f ca="1">IF($A65=0,VLOOKUP($B65,Outputs!$B:$F,3,FALSE),"")</f>
        <v>37.304425608421518</v>
      </c>
      <c r="N65" s="409" t="str">
        <f>IF($A65=1,VLOOKUP($B65,Outputs!$H:$L,3,FALSE),"")</f>
        <v/>
      </c>
      <c r="O65" s="409">
        <f ca="1">IF($A65=0,VLOOKUP($B65,Outputs!$H:$L,3,FALSE),"")</f>
        <v>37.304425608421518</v>
      </c>
      <c r="P65" s="409" t="str">
        <f>IF($A65=1,VLOOKUP($B65,Outputs!$N:$R,3,FALSE),"")</f>
        <v/>
      </c>
      <c r="Q65" s="409">
        <f ca="1">IF($A65=0,VLOOKUP($B65,Outputs!$N:$R,3,FALSE),"")</f>
        <v>37.001695570756262</v>
      </c>
    </row>
    <row r="66" spans="1:17">
      <c r="A66" s="232">
        <f>IF(VLOOKUP(B66,TOCA_current!$B$2:$AG$137,32,FALSE)=0,0,1)</f>
        <v>0</v>
      </c>
      <c r="B66" t="s">
        <v>17</v>
      </c>
      <c r="C66" s="409" t="str">
        <f>IF(A66=1,VLOOKUP($B66,Outputs!$B:$F,2,FALSE),"")</f>
        <v/>
      </c>
      <c r="D66" s="409">
        <f ca="1">IF(A66=0,VLOOKUP($B66,Outputs!$B:$F,2,FALSE),"")</f>
        <v>6.3751155341273923E-3</v>
      </c>
      <c r="E66" s="62"/>
      <c r="F66" s="62" t="str">
        <f>IF(A66=1,VLOOKUP($B66,Outputs!$H:$L,2,FALSE),"")</f>
        <v/>
      </c>
      <c r="G66" s="62">
        <f ca="1">IF(A66=0,VLOOKUP($B66,Outputs!$H:$L,2,FALSE),"")</f>
        <v>6.375115534127904E-3</v>
      </c>
      <c r="H66" s="409"/>
      <c r="I66" s="409"/>
      <c r="J66" s="410">
        <f ca="1">VLOOKUP($B66,Outputs!$N:$R,2,FALSE)</f>
        <v>-2.500436627190614E-2</v>
      </c>
      <c r="K66" s="410">
        <f ca="1">+VLOOKUP(B66,Outputs!T:U,2,FALSE)</f>
        <v>-2.203240895221259E-2</v>
      </c>
      <c r="L66" s="409" t="str">
        <f>IF($A66=1,VLOOKUP($B66,Outputs!$B:$F,3,FALSE),"")</f>
        <v/>
      </c>
      <c r="M66" s="409">
        <f ca="1">IF($A66=0,VLOOKUP($B66,Outputs!$B:$F,3,FALSE),"")</f>
        <v>35.521317651818784</v>
      </c>
      <c r="N66" s="409" t="str">
        <f>IF($A66=1,VLOOKUP($B66,Outputs!$H:$L,3,FALSE),"")</f>
        <v/>
      </c>
      <c r="O66" s="409">
        <f ca="1">IF($A66=0,VLOOKUP($B66,Outputs!$H:$L,3,FALSE),"")</f>
        <v>35.521317651818784</v>
      </c>
      <c r="P66" s="409" t="str">
        <f>IF($A66=1,VLOOKUP($B66,Outputs!$N:$R,3,FALSE),"")</f>
        <v/>
      </c>
      <c r="Q66" s="409">
        <f ca="1">IF($A66=0,VLOOKUP($B66,Outputs!$N:$R,3,FALSE),"")</f>
        <v>33.781049443729025</v>
      </c>
    </row>
    <row r="67" spans="1:17">
      <c r="A67" s="232">
        <f>IF(VLOOKUP(B67,TOCA_current!$B$2:$AG$137,32,FALSE)=0,0,1)</f>
        <v>0</v>
      </c>
      <c r="B67" t="s">
        <v>13</v>
      </c>
      <c r="C67" s="409" t="str">
        <f>IF(A67=1,VLOOKUP($B67,Outputs!$B:$F,2,FALSE),"")</f>
        <v/>
      </c>
      <c r="D67" s="409">
        <f ca="1">IF(A67=0,VLOOKUP($B67,Outputs!$B:$F,2,FALSE),"")</f>
        <v>1.7972770678653517E-3</v>
      </c>
      <c r="E67" s="62"/>
      <c r="F67" s="62" t="str">
        <f>IF(A67=1,VLOOKUP($B67,Outputs!$H:$L,2,FALSE),"")</f>
        <v/>
      </c>
      <c r="G67" s="62">
        <f ca="1">IF(A67=0,VLOOKUP($B67,Outputs!$H:$L,2,FALSE),"")</f>
        <v>1.7972770678558892E-3</v>
      </c>
      <c r="H67" s="409"/>
      <c r="I67" s="409"/>
      <c r="J67" s="410">
        <f ca="1">VLOOKUP($B67,Outputs!$N:$R,2,FALSE)</f>
        <v>-2.3543129080161769E-2</v>
      </c>
      <c r="K67" s="410">
        <f ca="1">+VLOOKUP(B67,Outputs!T:U,2,FALSE)</f>
        <v>-7.0195526582575996E-3</v>
      </c>
      <c r="L67" s="409" t="str">
        <f>IF($A67=1,VLOOKUP($B67,Outputs!$B:$F,3,FALSE),"")</f>
        <v/>
      </c>
      <c r="M67" s="409">
        <f ca="1">IF($A67=0,VLOOKUP($B67,Outputs!$B:$F,3,FALSE),"")</f>
        <v>36.211238009780168</v>
      </c>
      <c r="N67" s="409" t="str">
        <f>IF($A67=1,VLOOKUP($B67,Outputs!$H:$L,3,FALSE),"")</f>
        <v/>
      </c>
      <c r="O67" s="409">
        <f ca="1">IF($A67=0,VLOOKUP($B67,Outputs!$H:$L,3,FALSE),"")</f>
        <v>36.211238009780168</v>
      </c>
      <c r="P67" s="409" t="str">
        <f>IF($A67=1,VLOOKUP($B67,Outputs!$N:$R,3,FALSE),"")</f>
        <v/>
      </c>
      <c r="Q67" s="409">
        <f ca="1">IF($A67=0,VLOOKUP($B67,Outputs!$N:$R,3,FALSE),"")</f>
        <v>34.751540470121846</v>
      </c>
    </row>
    <row r="68" spans="1:17">
      <c r="A68" s="232">
        <f>IF(VLOOKUP(B68,TOCA_current!$B$2:$AG$137,32,FALSE)=0,0,1)</f>
        <v>0</v>
      </c>
      <c r="B68" t="s">
        <v>72</v>
      </c>
      <c r="C68" s="409" t="str">
        <f>IF(A68=1,VLOOKUP($B68,Outputs!$B:$F,2,FALSE),"")</f>
        <v/>
      </c>
      <c r="D68" s="409">
        <f ca="1">IF(A68=0,VLOOKUP($B68,Outputs!$B:$F,2,FALSE),"")</f>
        <v>3.4916537218300944E-2</v>
      </c>
      <c r="E68" s="62"/>
      <c r="F68" s="62" t="str">
        <f>IF(A68=1,VLOOKUP($B68,Outputs!$H:$L,2,FALSE),"")</f>
        <v/>
      </c>
      <c r="G68" s="62">
        <f ca="1">IF(A68=0,VLOOKUP($B68,Outputs!$H:$L,2,FALSE),"")</f>
        <v>3.4916537218306842E-2</v>
      </c>
      <c r="H68" s="409"/>
      <c r="I68" s="409"/>
      <c r="J68" s="410">
        <f ca="1">VLOOKUP($B68,Outputs!$N:$R,2,FALSE)</f>
        <v>-3.1752337984837738E-2</v>
      </c>
      <c r="K68" s="410">
        <f ca="1">+VLOOKUP(B68,Outputs!T:U,2,FALSE)</f>
        <v>1.2227972096302109E-2</v>
      </c>
      <c r="L68" s="409" t="str">
        <f>IF($A68=1,VLOOKUP($B68,Outputs!$B:$F,3,FALSE),"")</f>
        <v/>
      </c>
      <c r="M68" s="409">
        <f ca="1">IF($A68=0,VLOOKUP($B68,Outputs!$B:$F,3,FALSE),"")</f>
        <v>25.79242102044126</v>
      </c>
      <c r="N68" s="409" t="str">
        <f>IF($A68=1,VLOOKUP($B68,Outputs!$H:$L,3,FALSE),"")</f>
        <v/>
      </c>
      <c r="O68" s="409">
        <f ca="1">IF($A68=0,VLOOKUP($B68,Outputs!$H:$L,3,FALSE),"")</f>
        <v>25.79242102044126</v>
      </c>
      <c r="P68" s="409" t="str">
        <f>IF($A68=1,VLOOKUP($B68,Outputs!$N:$R,3,FALSE),"")</f>
        <v/>
      </c>
      <c r="Q68" s="409">
        <f ca="1">IF($A68=0,VLOOKUP($B68,Outputs!$N:$R,3,FALSE),"")</f>
        <v>26.215899922997803</v>
      </c>
    </row>
    <row r="69" spans="1:17">
      <c r="A69" s="232">
        <f>IF(VLOOKUP(B69,TOCA_current!$B$2:$AG$137,32,FALSE)=0,0,1)</f>
        <v>0</v>
      </c>
      <c r="B69" t="s">
        <v>28</v>
      </c>
      <c r="C69" s="409" t="str">
        <f>IF(A69=1,VLOOKUP($B69,Outputs!$B:$F,2,FALSE),"")</f>
        <v/>
      </c>
      <c r="D69" s="409">
        <f ca="1">IF(A69=0,VLOOKUP($B69,Outputs!$B:$F,2,FALSE),"")</f>
        <v>-5.12964971900673E-3</v>
      </c>
      <c r="E69" s="62"/>
      <c r="F69" s="62" t="str">
        <f>IF(A69=1,VLOOKUP($B69,Outputs!$H:$L,2,FALSE),"")</f>
        <v/>
      </c>
      <c r="G69" s="62">
        <f ca="1">IF(A69=0,VLOOKUP($B69,Outputs!$H:$L,2,FALSE),"")</f>
        <v>-5.1296497190052312E-3</v>
      </c>
      <c r="H69" s="409"/>
      <c r="I69" s="409"/>
      <c r="J69" s="410">
        <f ca="1">VLOOKUP($B69,Outputs!$N:$R,2,FALSE)</f>
        <v>-2.3223066222655724E-2</v>
      </c>
      <c r="K69" s="410">
        <f ca="1">+VLOOKUP(B69,Outputs!T:U,2,FALSE)</f>
        <v>-2.7830731166208711E-2</v>
      </c>
      <c r="L69" s="409" t="str">
        <f>IF($A69=1,VLOOKUP($B69,Outputs!$B:$F,3,FALSE),"")</f>
        <v/>
      </c>
      <c r="M69" s="409">
        <f ca="1">IF($A69=0,VLOOKUP($B69,Outputs!$B:$F,3,FALSE),"")</f>
        <v>35.620414462469377</v>
      </c>
      <c r="N69" s="409" t="str">
        <f>IF($A69=1,VLOOKUP($B69,Outputs!$H:$L,3,FALSE),"")</f>
        <v/>
      </c>
      <c r="O69" s="409">
        <f ca="1">IF($A69=0,VLOOKUP($B69,Outputs!$H:$L,3,FALSE),"")</f>
        <v>35.620414462469377</v>
      </c>
      <c r="P69" s="409" t="str">
        <f>IF($A69=1,VLOOKUP($B69,Outputs!$N:$R,3,FALSE),"")</f>
        <v/>
      </c>
      <c r="Q69" s="409">
        <f ca="1">IF($A69=0,VLOOKUP($B69,Outputs!$N:$R,3,FALSE),"")</f>
        <v>34.412826445380944</v>
      </c>
    </row>
    <row r="70" spans="1:17">
      <c r="A70" s="232">
        <f>IF(VLOOKUP(B70,TOCA_current!$B$2:$AG$137,32,FALSE)=0,0,1)</f>
        <v>0</v>
      </c>
      <c r="B70" t="s">
        <v>23</v>
      </c>
      <c r="C70" s="409" t="str">
        <f>IF(A70=1,VLOOKUP($B70,Outputs!$B:$F,2,FALSE),"")</f>
        <v/>
      </c>
      <c r="D70" s="409">
        <f ca="1">IF(A70=0,VLOOKUP($B70,Outputs!$B:$F,2,FALSE),"")</f>
        <v>-1.6449468158858227E-2</v>
      </c>
      <c r="E70" s="62"/>
      <c r="F70" s="62" t="str">
        <f>IF(A70=1,VLOOKUP($B70,Outputs!$H:$L,2,FALSE),"")</f>
        <v/>
      </c>
      <c r="G70" s="62">
        <f ca="1">IF(A70=0,VLOOKUP($B70,Outputs!$H:$L,2,FALSE),"")</f>
        <v>-1.6449468158858119E-2</v>
      </c>
      <c r="H70" s="409"/>
      <c r="I70" s="409"/>
      <c r="J70" s="410">
        <f ca="1">VLOOKUP($B70,Outputs!$N:$R,2,FALSE)</f>
        <v>-2.4995844789557041E-2</v>
      </c>
      <c r="K70" s="410">
        <f ca="1">+VLOOKUP(B70,Outputs!T:U,2,FALSE)</f>
        <v>7.6644390600197898E-3</v>
      </c>
      <c r="L70" s="409" t="str">
        <f>IF($A70=1,VLOOKUP($B70,Outputs!$B:$F,3,FALSE),"")</f>
        <v/>
      </c>
      <c r="M70" s="409">
        <f ca="1">IF($A70=0,VLOOKUP($B70,Outputs!$B:$F,3,FALSE),"")</f>
        <v>36.151351628958665</v>
      </c>
      <c r="N70" s="409" t="str">
        <f>IF($A70=1,VLOOKUP($B70,Outputs!$H:$L,3,FALSE),"")</f>
        <v/>
      </c>
      <c r="O70" s="409">
        <f ca="1">IF($A70=0,VLOOKUP($B70,Outputs!$H:$L,3,FALSE),"")</f>
        <v>36.151351628958665</v>
      </c>
      <c r="P70" s="409" t="str">
        <f>IF($A70=1,VLOOKUP($B70,Outputs!$N:$R,3,FALSE),"")</f>
        <v/>
      </c>
      <c r="Q70" s="409">
        <f ca="1">IF($A70=0,VLOOKUP($B70,Outputs!$N:$R,3,FALSE),"")</f>
        <v>34.792107031043898</v>
      </c>
    </row>
    <row r="71" spans="1:17">
      <c r="A71" s="232">
        <f>IF(VLOOKUP(B71,TOCA_current!$B$2:$AG$137,32,FALSE)=0,0,1)</f>
        <v>0</v>
      </c>
      <c r="B71" t="s">
        <v>102</v>
      </c>
      <c r="C71" s="409" t="str">
        <f>IF(A71=1,VLOOKUP($B71,Outputs!$B:$F,2,FALSE),"")</f>
        <v/>
      </c>
      <c r="D71" s="409">
        <f ca="1">IF(A71=0,VLOOKUP($B71,Outputs!$B:$F,2,FALSE),"")</f>
        <v>3.2498030618613345E-2</v>
      </c>
      <c r="E71" s="62"/>
      <c r="F71" s="62" t="str">
        <f>IF(A71=1,VLOOKUP($B71,Outputs!$H:$L,2,FALSE),"")</f>
        <v/>
      </c>
      <c r="G71" s="62">
        <f ca="1">IF(A71=0,VLOOKUP($B71,Outputs!$H:$L,2,FALSE),"")</f>
        <v>3.2498030618611125E-2</v>
      </c>
      <c r="H71" s="409"/>
      <c r="I71" s="409"/>
      <c r="J71" s="410">
        <f ca="1">VLOOKUP($B71,Outputs!$N:$R,2,FALSE)</f>
        <v>-2.45900489798048E-2</v>
      </c>
      <c r="K71" s="410" t="str">
        <f ca="1">+VLOOKUP(B71,Outputs!T:U,2,FALSE)</f>
        <v/>
      </c>
      <c r="L71" s="409" t="str">
        <f>IF($A71=1,VLOOKUP($B71,Outputs!$B:$F,3,FALSE),"")</f>
        <v/>
      </c>
      <c r="M71" s="409">
        <f ca="1">IF($A71=0,VLOOKUP($B71,Outputs!$B:$F,3,FALSE),"")</f>
        <v>38.109907203162606</v>
      </c>
      <c r="N71" s="409" t="str">
        <f>IF($A71=1,VLOOKUP($B71,Outputs!$H:$L,3,FALSE),"")</f>
        <v/>
      </c>
      <c r="O71" s="409">
        <f ca="1">IF($A71=0,VLOOKUP($B71,Outputs!$H:$L,3,FALSE),"")</f>
        <v>38.109907203162606</v>
      </c>
      <c r="P71" s="409" t="str">
        <f>IF($A71=1,VLOOKUP($B71,Outputs!$N:$R,3,FALSE),"")</f>
        <v/>
      </c>
      <c r="Q71" s="409">
        <f ca="1">IF($A71=0,VLOOKUP($B71,Outputs!$N:$R,3,FALSE),"")</f>
        <v>33.094703824253109</v>
      </c>
    </row>
    <row r="72" spans="1:17">
      <c r="A72" s="232">
        <f>IF(VLOOKUP(B72,TOCA_current!$B$2:$AG$137,32,FALSE)=0,0,1)</f>
        <v>0</v>
      </c>
      <c r="B72" t="s">
        <v>91</v>
      </c>
      <c r="C72" s="409" t="str">
        <f>IF(A72=1,VLOOKUP($B72,Outputs!$B:$F,2,FALSE),"")</f>
        <v/>
      </c>
      <c r="D72" s="409">
        <f ca="1">IF(A72=0,VLOOKUP($B72,Outputs!$B:$F,2,FALSE),"")</f>
        <v>-9.3081076591661413E-3</v>
      </c>
      <c r="E72" s="62"/>
      <c r="F72" s="62" t="str">
        <f>IF(A72=1,VLOOKUP($B72,Outputs!$H:$L,2,FALSE),"")</f>
        <v/>
      </c>
      <c r="G72" s="62">
        <f ca="1">IF(A72=0,VLOOKUP($B72,Outputs!$H:$L,2,FALSE),"")</f>
        <v>-9.3081076591579014E-3</v>
      </c>
      <c r="H72" s="409"/>
      <c r="I72" s="409"/>
      <c r="J72" s="410">
        <f ca="1">VLOOKUP($B72,Outputs!$N:$R,2,FALSE)</f>
        <v>-2.66581232040747E-2</v>
      </c>
      <c r="K72" s="410">
        <f ca="1">+VLOOKUP(B72,Outputs!T:U,2,FALSE)</f>
        <v>-4.8053947194093283E-4</v>
      </c>
      <c r="L72" s="409" t="str">
        <f>IF($A72=1,VLOOKUP($B72,Outputs!$B:$F,3,FALSE),"")</f>
        <v/>
      </c>
      <c r="M72" s="409">
        <f ca="1">IF($A72=0,VLOOKUP($B72,Outputs!$B:$F,3,FALSE),"")</f>
        <v>37.18809078475666</v>
      </c>
      <c r="N72" s="409" t="str">
        <f>IF($A72=1,VLOOKUP($B72,Outputs!$H:$L,3,FALSE),"")</f>
        <v/>
      </c>
      <c r="O72" s="409">
        <f ca="1">IF($A72=0,VLOOKUP($B72,Outputs!$H:$L,3,FALSE),"")</f>
        <v>37.18809078475666</v>
      </c>
      <c r="P72" s="409" t="str">
        <f>IF($A72=1,VLOOKUP($B72,Outputs!$N:$R,3,FALSE),"")</f>
        <v/>
      </c>
      <c r="Q72" s="409">
        <f ca="1">IF($A72=0,VLOOKUP($B72,Outputs!$N:$R,3,FALSE),"")</f>
        <v>35.898055451731096</v>
      </c>
    </row>
    <row r="73" spans="1:17">
      <c r="A73" s="232">
        <f>IF(VLOOKUP(B73,TOCA_current!$B$2:$AG$137,32,FALSE)=0,0,1)</f>
        <v>0</v>
      </c>
      <c r="B73" t="s">
        <v>133</v>
      </c>
      <c r="C73" s="409" t="str">
        <f>IF(A73=1,VLOOKUP($B73,Outputs!$B:$F,2,FALSE),"")</f>
        <v/>
      </c>
      <c r="D73" s="409">
        <f ca="1">IF(A73=0,VLOOKUP($B73,Outputs!$B:$F,2,FALSE),"")</f>
        <v>-3.2374269719433572E-2</v>
      </c>
      <c r="E73" s="62"/>
      <c r="F73" s="62" t="str">
        <f>IF(A73=1,VLOOKUP($B73,Outputs!$H:$L,2,FALSE),"")</f>
        <v/>
      </c>
      <c r="G73" s="62">
        <f ca="1">IF(A73=0,VLOOKUP($B73,Outputs!$H:$L,2,FALSE),"")</f>
        <v>-3.2374269719435224E-2</v>
      </c>
      <c r="H73" s="409"/>
      <c r="I73" s="409"/>
      <c r="J73" s="410">
        <f ca="1">VLOOKUP($B73,Outputs!$N:$R,2,FALSE)</f>
        <v>-2.5332000378345008E-2</v>
      </c>
      <c r="K73" s="410">
        <f ca="1">+VLOOKUP(B73,Outputs!T:U,2,FALSE)</f>
        <v>-4.2717372851079016E-2</v>
      </c>
      <c r="L73" s="409" t="str">
        <f>IF($A73=1,VLOOKUP($B73,Outputs!$B:$F,3,FALSE),"")</f>
        <v/>
      </c>
      <c r="M73" s="409">
        <f ca="1">IF($A73=0,VLOOKUP($B73,Outputs!$B:$F,3,FALSE),"")</f>
        <v>34.439947662104402</v>
      </c>
      <c r="N73" s="409" t="str">
        <f>IF($A73=1,VLOOKUP($B73,Outputs!$H:$L,3,FALSE),"")</f>
        <v/>
      </c>
      <c r="O73" s="409">
        <f ca="1">IF($A73=0,VLOOKUP($B73,Outputs!$H:$L,3,FALSE),"")</f>
        <v>34.439947662104402</v>
      </c>
      <c r="P73" s="409" t="str">
        <f>IF($A73=1,VLOOKUP($B73,Outputs!$N:$R,3,FALSE),"")</f>
        <v/>
      </c>
      <c r="Q73" s="409">
        <f ca="1">IF($A73=0,VLOOKUP($B73,Outputs!$N:$R,3,FALSE),"")</f>
        <v>34.715666130354904</v>
      </c>
    </row>
    <row r="74" spans="1:17">
      <c r="A74" s="232">
        <f>IF(VLOOKUP(B74,TOCA_current!$B$2:$AG$137,32,FALSE)=0,0,1)</f>
        <v>0</v>
      </c>
      <c r="B74" t="s">
        <v>29</v>
      </c>
      <c r="C74" s="409" t="str">
        <f>IF(A74=1,VLOOKUP($B74,Outputs!$B:$F,2,FALSE),"")</f>
        <v/>
      </c>
      <c r="D74" s="409">
        <f ca="1">IF(A74=0,VLOOKUP($B74,Outputs!$B:$F,2,FALSE),"")</f>
        <v>-4.4840506629243316E-3</v>
      </c>
      <c r="E74" s="62"/>
      <c r="F74" s="62" t="str">
        <f>IF(A74=1,VLOOKUP($B74,Outputs!$H:$L,2,FALSE),"")</f>
        <v/>
      </c>
      <c r="G74" s="62">
        <f ca="1">IF(A74=0,VLOOKUP($B74,Outputs!$H:$L,2,FALSE),"")</f>
        <v>-4.4840506629214112E-3</v>
      </c>
      <c r="H74" s="409"/>
      <c r="I74" s="409"/>
      <c r="J74" s="410">
        <f ca="1">VLOOKUP($B74,Outputs!$N:$R,2,FALSE)</f>
        <v>-2.3779087687751662E-2</v>
      </c>
      <c r="K74" s="410">
        <f ca="1">+VLOOKUP(B74,Outputs!T:U,2,FALSE)</f>
        <v>-1.4340783003360169E-2</v>
      </c>
      <c r="L74" s="409" t="str">
        <f>IF($A74=1,VLOOKUP($B74,Outputs!$B:$F,3,FALSE),"")</f>
        <v/>
      </c>
      <c r="M74" s="409">
        <f ca="1">IF($A74=0,VLOOKUP($B74,Outputs!$B:$F,3,FALSE),"")</f>
        <v>36.206735772270669</v>
      </c>
      <c r="N74" s="409" t="str">
        <f>IF($A74=1,VLOOKUP($B74,Outputs!$H:$L,3,FALSE),"")</f>
        <v/>
      </c>
      <c r="O74" s="409">
        <f ca="1">IF($A74=0,VLOOKUP($B74,Outputs!$H:$L,3,FALSE),"")</f>
        <v>36.206735772270669</v>
      </c>
      <c r="P74" s="409" t="str">
        <f>IF($A74=1,VLOOKUP($B74,Outputs!$N:$R,3,FALSE),"")</f>
        <v/>
      </c>
      <c r="Q74" s="409">
        <f ca="1">IF($A74=0,VLOOKUP($B74,Outputs!$N:$R,3,FALSE),"")</f>
        <v>34.893661371903519</v>
      </c>
    </row>
    <row r="75" spans="1:17">
      <c r="A75" s="232">
        <f>IF(VLOOKUP(B75,TOCA_current!$B$2:$AG$137,32,FALSE)=0,0,1)</f>
        <v>0</v>
      </c>
      <c r="B75" t="s">
        <v>90</v>
      </c>
      <c r="C75" s="409" t="str">
        <f>IF(A75=1,VLOOKUP($B75,Outputs!$B:$F,2,FALSE),"")</f>
        <v/>
      </c>
      <c r="D75" s="409">
        <f ca="1">IF(A75=0,VLOOKUP($B75,Outputs!$B:$F,2,FALSE),"")</f>
        <v>-1.5643233793541749E-2</v>
      </c>
      <c r="E75" s="62"/>
      <c r="F75" s="62" t="str">
        <f>IF(A75=1,VLOOKUP($B75,Outputs!$H:$L,2,FALSE),"")</f>
        <v/>
      </c>
      <c r="G75" s="62">
        <f ca="1">IF(A75=0,VLOOKUP($B75,Outputs!$H:$L,2,FALSE),"")</f>
        <v>-1.5643233793546527E-2</v>
      </c>
      <c r="H75" s="409"/>
      <c r="I75" s="409"/>
      <c r="J75" s="410">
        <f ca="1">VLOOKUP($B75,Outputs!$N:$R,2,FALSE)</f>
        <v>-3.4094496486713206E-2</v>
      </c>
      <c r="K75" s="410">
        <f ca="1">+VLOOKUP(B75,Outputs!T:U,2,FALSE)</f>
        <v>4.1728200869630694E-3</v>
      </c>
      <c r="L75" s="409" t="str">
        <f>IF($A75=1,VLOOKUP($B75,Outputs!$B:$F,3,FALSE),"")</f>
        <v/>
      </c>
      <c r="M75" s="409">
        <f ca="1">IF($A75=0,VLOOKUP($B75,Outputs!$B:$F,3,FALSE),"")</f>
        <v>34.069454375326579</v>
      </c>
      <c r="N75" s="409" t="str">
        <f>IF($A75=1,VLOOKUP($B75,Outputs!$H:$L,3,FALSE),"")</f>
        <v/>
      </c>
      <c r="O75" s="409">
        <f ca="1">IF($A75=0,VLOOKUP($B75,Outputs!$H:$L,3,FALSE),"")</f>
        <v>34.069454375326579</v>
      </c>
      <c r="P75" s="409" t="str">
        <f>IF($A75=1,VLOOKUP($B75,Outputs!$N:$R,3,FALSE),"")</f>
        <v/>
      </c>
      <c r="Q75" s="409">
        <f ca="1">IF($A75=0,VLOOKUP($B75,Outputs!$N:$R,3,FALSE),"")</f>
        <v>32.760773536923757</v>
      </c>
    </row>
    <row r="76" spans="1:17">
      <c r="A76" s="232">
        <f>IF(VLOOKUP(B76,TOCA_current!$B$2:$AG$137,32,FALSE)=0,0,1)</f>
        <v>0</v>
      </c>
      <c r="B76" t="s">
        <v>127</v>
      </c>
      <c r="C76" s="409" t="str">
        <f>IF(A76=1,VLOOKUP($B76,Outputs!$B:$F,2,FALSE),"")</f>
        <v/>
      </c>
      <c r="D76" s="409">
        <f ca="1">IF(A76=0,VLOOKUP($B76,Outputs!$B:$F,2,FALSE),"")</f>
        <v>1.6990915742418351E-3</v>
      </c>
      <c r="E76" s="62"/>
      <c r="F76" s="62" t="str">
        <f>IF(A76=1,VLOOKUP($B76,Outputs!$H:$L,2,FALSE),"")</f>
        <v/>
      </c>
      <c r="G76" s="62">
        <f ca="1">IF(A76=0,VLOOKUP($B76,Outputs!$H:$L,2,FALSE),"")</f>
        <v>1.699091574236187E-3</v>
      </c>
      <c r="H76" s="409"/>
      <c r="I76" s="409"/>
      <c r="J76" s="410">
        <f ca="1">VLOOKUP($B76,Outputs!$N:$R,2,FALSE)</f>
        <v>-2.1063912881077253E-2</v>
      </c>
      <c r="K76" s="410">
        <f ca="1">+VLOOKUP(B76,Outputs!T:U,2,FALSE)</f>
        <v>-2.8727547519445951E-3</v>
      </c>
      <c r="L76" s="409" t="str">
        <f>IF($A76=1,VLOOKUP($B76,Outputs!$B:$F,3,FALSE),"")</f>
        <v/>
      </c>
      <c r="M76" s="409">
        <f ca="1">IF($A76=0,VLOOKUP($B76,Outputs!$B:$F,3,FALSE),"")</f>
        <v>37.270419879323832</v>
      </c>
      <c r="N76" s="409" t="str">
        <f>IF($A76=1,VLOOKUP($B76,Outputs!$H:$L,3,FALSE),"")</f>
        <v/>
      </c>
      <c r="O76" s="409">
        <f ca="1">IF($A76=0,VLOOKUP($B76,Outputs!$H:$L,3,FALSE),"")</f>
        <v>37.270419879323832</v>
      </c>
      <c r="P76" s="409" t="str">
        <f>IF($A76=1,VLOOKUP($B76,Outputs!$N:$R,3,FALSE),"")</f>
        <v/>
      </c>
      <c r="Q76" s="409">
        <f ca="1">IF($A76=0,VLOOKUP($B76,Outputs!$N:$R,3,FALSE),"")</f>
        <v>35.753850873236082</v>
      </c>
    </row>
    <row r="77" spans="1:17">
      <c r="A77" s="232">
        <f>IF(VLOOKUP(B77,TOCA_current!$B$2:$AG$137,32,FALSE)=0,0,1)</f>
        <v>0</v>
      </c>
      <c r="B77" t="s">
        <v>104</v>
      </c>
      <c r="C77" s="409" t="str">
        <f>IF(A77=1,VLOOKUP($B77,Outputs!$B:$F,2,FALSE),"")</f>
        <v/>
      </c>
      <c r="D77" s="409">
        <f ca="1">IF(A77=0,VLOOKUP($B77,Outputs!$B:$F,2,FALSE),"")</f>
        <v>-1.3305881268875899E-2</v>
      </c>
      <c r="E77" s="62"/>
      <c r="F77" s="62" t="str">
        <f>IF(A77=1,VLOOKUP($B77,Outputs!$H:$L,2,FALSE),"")</f>
        <v/>
      </c>
      <c r="G77" s="62">
        <f ca="1">IF(A77=0,VLOOKUP($B77,Outputs!$H:$L,2,FALSE),"")</f>
        <v>-1.3305881268875226E-2</v>
      </c>
      <c r="H77" s="409"/>
      <c r="I77" s="409"/>
      <c r="J77" s="410">
        <f ca="1">VLOOKUP($B77,Outputs!$N:$R,2,FALSE)</f>
        <v>-2.3189482644705346E-2</v>
      </c>
      <c r="K77" s="410">
        <f ca="1">+VLOOKUP(B77,Outputs!T:U,2,FALSE)</f>
        <v>-3.8519026667836131E-2</v>
      </c>
      <c r="L77" s="409" t="str">
        <f>IF($A77=1,VLOOKUP($B77,Outputs!$B:$F,3,FALSE),"")</f>
        <v/>
      </c>
      <c r="M77" s="409">
        <f ca="1">IF($A77=0,VLOOKUP($B77,Outputs!$B:$F,3,FALSE),"")</f>
        <v>34.724511353938411</v>
      </c>
      <c r="N77" s="409" t="str">
        <f>IF($A77=1,VLOOKUP($B77,Outputs!$H:$L,3,FALSE),"")</f>
        <v/>
      </c>
      <c r="O77" s="409">
        <f ca="1">IF($A77=0,VLOOKUP($B77,Outputs!$H:$L,3,FALSE),"")</f>
        <v>34.724511353938411</v>
      </c>
      <c r="P77" s="409" t="str">
        <f>IF($A77=1,VLOOKUP($B77,Outputs!$N:$R,3,FALSE),"")</f>
        <v/>
      </c>
      <c r="Q77" s="409">
        <f ca="1">IF($A77=0,VLOOKUP($B77,Outputs!$N:$R,3,FALSE),"")</f>
        <v>34.474836357455857</v>
      </c>
    </row>
    <row r="78" spans="1:17">
      <c r="A78" s="232">
        <f>IF(VLOOKUP(B78,TOCA_current!$B$2:$AG$137,32,FALSE)=0,0,1)</f>
        <v>0</v>
      </c>
      <c r="B78" t="s">
        <v>122</v>
      </c>
      <c r="C78" s="409" t="str">
        <f>IF(A78=1,VLOOKUP($B78,Outputs!$B:$F,2,FALSE),"")</f>
        <v/>
      </c>
      <c r="D78" s="409">
        <f ca="1">IF(A78=0,VLOOKUP($B78,Outputs!$B:$F,2,FALSE),"")</f>
        <v>-1.2990062259403847E-2</v>
      </c>
      <c r="E78" s="62"/>
      <c r="F78" s="62" t="str">
        <f>IF(A78=1,VLOOKUP($B78,Outputs!$H:$L,2,FALSE),"")</f>
        <v/>
      </c>
      <c r="G78" s="62">
        <f ca="1">IF(A78=0,VLOOKUP($B78,Outputs!$H:$L,2,FALSE),"")</f>
        <v>-1.299006225940524E-2</v>
      </c>
      <c r="H78" s="409"/>
      <c r="I78" s="409"/>
      <c r="J78" s="410">
        <f ca="1">VLOOKUP($B78,Outputs!$N:$R,2,FALSE)</f>
        <v>-3.0087642631830638E-2</v>
      </c>
      <c r="K78" s="410">
        <f ca="1">+VLOOKUP(B78,Outputs!T:U,2,FALSE)</f>
        <v>2.2437386313296503E-3</v>
      </c>
      <c r="L78" s="409" t="str">
        <f>IF($A78=1,VLOOKUP($B78,Outputs!$B:$F,3,FALSE),"")</f>
        <v/>
      </c>
      <c r="M78" s="409">
        <f ca="1">IF($A78=0,VLOOKUP($B78,Outputs!$B:$F,3,FALSE),"")</f>
        <v>31.886133616576121</v>
      </c>
      <c r="N78" s="409" t="str">
        <f>IF($A78=1,VLOOKUP($B78,Outputs!$H:$L,3,FALSE),"")</f>
        <v/>
      </c>
      <c r="O78" s="409">
        <f ca="1">IF($A78=0,VLOOKUP($B78,Outputs!$H:$L,3,FALSE),"")</f>
        <v>31.886133616576121</v>
      </c>
      <c r="P78" s="409" t="str">
        <f>IF($A78=1,VLOOKUP($B78,Outputs!$N:$R,3,FALSE),"")</f>
        <v/>
      </c>
      <c r="Q78" s="409">
        <f ca="1">IF($A78=0,VLOOKUP($B78,Outputs!$N:$R,3,FALSE),"")</f>
        <v>31.878209365404704</v>
      </c>
    </row>
    <row r="79" spans="1:17">
      <c r="A79" s="232">
        <f>IF(VLOOKUP(B79,TOCA_current!$B$2:$AG$137,32,FALSE)=0,0,1)</f>
        <v>0</v>
      </c>
      <c r="B79" t="s">
        <v>126</v>
      </c>
      <c r="C79" s="409" t="str">
        <f>IF(A79=1,VLOOKUP($B79,Outputs!$B:$F,2,FALSE),"")</f>
        <v/>
      </c>
      <c r="D79" s="409">
        <f ca="1">IF(A79=0,VLOOKUP($B79,Outputs!$B:$F,2,FALSE),"")</f>
        <v>-2.4975999758785082E-2</v>
      </c>
      <c r="E79" s="62"/>
      <c r="F79" s="62" t="str">
        <f>IF(A79=1,VLOOKUP($B79,Outputs!$H:$L,2,FALSE),"")</f>
        <v/>
      </c>
      <c r="G79" s="62">
        <f ca="1">IF(A79=0,VLOOKUP($B79,Outputs!$H:$L,2,FALSE),"")</f>
        <v>-2.4975999758787105E-2</v>
      </c>
      <c r="H79" s="409"/>
      <c r="I79" s="409"/>
      <c r="J79" s="410">
        <f ca="1">VLOOKUP($B79,Outputs!$N:$R,2,FALSE)</f>
        <v>-6.9777524159501697E-2</v>
      </c>
      <c r="K79" s="410">
        <f ca="1">+VLOOKUP(B79,Outputs!T:U,2,FALSE)</f>
        <v>-8.1616127409670391E-2</v>
      </c>
      <c r="L79" s="409" t="str">
        <f>IF($A79=1,VLOOKUP($B79,Outputs!$B:$F,3,FALSE),"")</f>
        <v/>
      </c>
      <c r="M79" s="409">
        <f ca="1">IF($A79=0,VLOOKUP($B79,Outputs!$B:$F,3,FALSE),"")</f>
        <v>35.516177855382175</v>
      </c>
      <c r="N79" s="409" t="str">
        <f>IF($A79=1,VLOOKUP($B79,Outputs!$H:$L,3,FALSE),"")</f>
        <v/>
      </c>
      <c r="O79" s="409">
        <f ca="1">IF($A79=0,VLOOKUP($B79,Outputs!$H:$L,3,FALSE),"")</f>
        <v>35.516177855382175</v>
      </c>
      <c r="P79" s="409" t="str">
        <f>IF($A79=1,VLOOKUP($B79,Outputs!$N:$R,3,FALSE),"")</f>
        <v/>
      </c>
      <c r="Q79" s="409">
        <f ca="1">IF($A79=0,VLOOKUP($B79,Outputs!$N:$R,3,FALSE),"")</f>
        <v>34.96199121195329</v>
      </c>
    </row>
    <row r="80" spans="1:17">
      <c r="A80" s="232">
        <f>IF(VLOOKUP(B80,TOCA_current!$B$2:$AG$137,32,FALSE)=0,0,1)</f>
        <v>0</v>
      </c>
      <c r="B80" t="s">
        <v>38</v>
      </c>
      <c r="C80" s="409" t="str">
        <f>IF(A80=1,VLOOKUP($B80,Outputs!$B:$F,2,FALSE),"")</f>
        <v/>
      </c>
      <c r="D80" s="409">
        <f ca="1">IF(A80=0,VLOOKUP($B80,Outputs!$B:$F,2,FALSE),"")</f>
        <v>-1.7673231789848046E-2</v>
      </c>
      <c r="E80" s="62"/>
      <c r="F80" s="62" t="str">
        <f>IF(A80=1,VLOOKUP($B80,Outputs!$H:$L,2,FALSE),"")</f>
        <v/>
      </c>
      <c r="G80" s="62">
        <f ca="1">IF(A80=0,VLOOKUP($B80,Outputs!$H:$L,2,FALSE),"")</f>
        <v>-1.7673231789849551E-2</v>
      </c>
      <c r="H80" s="409"/>
      <c r="I80" s="409"/>
      <c r="J80" s="410">
        <f ca="1">VLOOKUP($B80,Outputs!$N:$R,2,FALSE)</f>
        <v>-2.5933132990517697E-2</v>
      </c>
      <c r="K80" s="410">
        <f ca="1">+VLOOKUP(B80,Outputs!T:U,2,FALSE)</f>
        <v>-2.0892638264068286E-2</v>
      </c>
      <c r="L80" s="409" t="str">
        <f>IF($A80=1,VLOOKUP($B80,Outputs!$B:$F,3,FALSE),"")</f>
        <v/>
      </c>
      <c r="M80" s="409">
        <f ca="1">IF($A80=0,VLOOKUP($B80,Outputs!$B:$F,3,FALSE),"")</f>
        <v>33.588799529002777</v>
      </c>
      <c r="N80" s="409" t="str">
        <f>IF($A80=1,VLOOKUP($B80,Outputs!$H:$L,3,FALSE),"")</f>
        <v/>
      </c>
      <c r="O80" s="409">
        <f ca="1">IF($A80=0,VLOOKUP($B80,Outputs!$H:$L,3,FALSE),"")</f>
        <v>33.588799529002777</v>
      </c>
      <c r="P80" s="409" t="str">
        <f>IF($A80=1,VLOOKUP($B80,Outputs!$N:$R,3,FALSE),"")</f>
        <v/>
      </c>
      <c r="Q80" s="409">
        <f ca="1">IF($A80=0,VLOOKUP($B80,Outputs!$N:$R,3,FALSE),"")</f>
        <v>33.155343814526987</v>
      </c>
    </row>
    <row r="81" spans="1:17">
      <c r="A81" s="232">
        <f>IF(VLOOKUP(B81,TOCA_current!$B$2:$AG$137,32,FALSE)=0,0,1)</f>
        <v>0</v>
      </c>
      <c r="B81" t="s">
        <v>80</v>
      </c>
      <c r="C81" s="409" t="str">
        <f>IF(A81=1,VLOOKUP($B81,Outputs!$B:$F,2,FALSE),"")</f>
        <v/>
      </c>
      <c r="D81" s="409">
        <f ca="1">IF(A81=0,VLOOKUP($B81,Outputs!$B:$F,2,FALSE),"")</f>
        <v>-6.9670305141516535E-3</v>
      </c>
      <c r="E81" s="62"/>
      <c r="F81" s="62" t="str">
        <f>IF(A81=1,VLOOKUP($B81,Outputs!$H:$L,2,FALSE),"")</f>
        <v/>
      </c>
      <c r="G81" s="62">
        <f ca="1">IF(A81=0,VLOOKUP($B81,Outputs!$H:$L,2,FALSE),"")</f>
        <v>-6.9670305141558047E-3</v>
      </c>
      <c r="H81" s="409"/>
      <c r="I81" s="409"/>
      <c r="J81" s="410">
        <f ca="1">VLOOKUP($B81,Outputs!$N:$R,2,FALSE)</f>
        <v>-2.2182364895645731E-2</v>
      </c>
      <c r="K81" s="410">
        <f ca="1">+VLOOKUP(B81,Outputs!T:U,2,FALSE)</f>
        <v>-6.2260062891522638E-3</v>
      </c>
      <c r="L81" s="409" t="str">
        <f>IF($A81=1,VLOOKUP($B81,Outputs!$B:$F,3,FALSE),"")</f>
        <v/>
      </c>
      <c r="M81" s="409">
        <f ca="1">IF($A81=0,VLOOKUP($B81,Outputs!$B:$F,3,FALSE),"")</f>
        <v>36.075349902869341</v>
      </c>
      <c r="N81" s="409" t="str">
        <f>IF($A81=1,VLOOKUP($B81,Outputs!$H:$L,3,FALSE),"")</f>
        <v/>
      </c>
      <c r="O81" s="409">
        <f ca="1">IF($A81=0,VLOOKUP($B81,Outputs!$H:$L,3,FALSE),"")</f>
        <v>36.075349902869341</v>
      </c>
      <c r="P81" s="409" t="str">
        <f>IF($A81=1,VLOOKUP($B81,Outputs!$N:$R,3,FALSE),"")</f>
        <v/>
      </c>
      <c r="Q81" s="409">
        <f ca="1">IF($A81=0,VLOOKUP($B81,Outputs!$N:$R,3,FALSE),"")</f>
        <v>34.974322810221473</v>
      </c>
    </row>
    <row r="82" spans="1:17">
      <c r="A82" s="232">
        <f>IF(VLOOKUP(B82,TOCA_current!$B$2:$AG$137,32,FALSE)=0,0,1)</f>
        <v>0</v>
      </c>
      <c r="B82" t="s">
        <v>59</v>
      </c>
      <c r="C82" s="409" t="str">
        <f>IF(A82=1,VLOOKUP($B82,Outputs!$B:$F,2,FALSE),"")</f>
        <v/>
      </c>
      <c r="D82" s="409">
        <f ca="1">IF(A82=0,VLOOKUP($B82,Outputs!$B:$F,2,FALSE),"")</f>
        <v>-1.1881611633183301E-2</v>
      </c>
      <c r="E82" s="62"/>
      <c r="F82" s="62" t="str">
        <f>IF(A82=1,VLOOKUP($B82,Outputs!$H:$L,2,FALSE),"")</f>
        <v/>
      </c>
      <c r="G82" s="62">
        <f ca="1">IF(A82=0,VLOOKUP($B82,Outputs!$H:$L,2,FALSE),"")</f>
        <v>-1.1881611633181089E-2</v>
      </c>
      <c r="H82" s="409"/>
      <c r="I82" s="409"/>
      <c r="J82" s="410">
        <f ca="1">VLOOKUP($B82,Outputs!$N:$R,2,FALSE)</f>
        <v>-2.3153383170428758E-2</v>
      </c>
      <c r="K82" s="410">
        <f ca="1">+VLOOKUP(B82,Outputs!T:U,2,FALSE)</f>
        <v>-3.496748913089931E-6</v>
      </c>
      <c r="L82" s="409" t="str">
        <f>IF($A82=1,VLOOKUP($B82,Outputs!$B:$F,3,FALSE),"")</f>
        <v/>
      </c>
      <c r="M82" s="409">
        <f ca="1">IF($A82=0,VLOOKUP($B82,Outputs!$B:$F,3,FALSE),"")</f>
        <v>36.770133661039196</v>
      </c>
      <c r="N82" s="409" t="str">
        <f>IF($A82=1,VLOOKUP($B82,Outputs!$H:$L,3,FALSE),"")</f>
        <v/>
      </c>
      <c r="O82" s="409">
        <f ca="1">IF($A82=0,VLOOKUP($B82,Outputs!$H:$L,3,FALSE),"")</f>
        <v>36.770133661039196</v>
      </c>
      <c r="P82" s="409" t="str">
        <f>IF($A82=1,VLOOKUP($B82,Outputs!$N:$R,3,FALSE),"")</f>
        <v/>
      </c>
      <c r="Q82" s="409">
        <f ca="1">IF($A82=0,VLOOKUP($B82,Outputs!$N:$R,3,FALSE),"")</f>
        <v>35.520908711259366</v>
      </c>
    </row>
    <row r="83" spans="1:17">
      <c r="A83" s="232">
        <f>IF(VLOOKUP(B83,TOCA_current!$B$2:$AG$137,32,FALSE)=0,0,1)</f>
        <v>0</v>
      </c>
      <c r="B83" t="s">
        <v>100</v>
      </c>
      <c r="C83" s="409" t="str">
        <f>IF(A83=1,VLOOKUP($B83,Outputs!$B:$F,2,FALSE),"")</f>
        <v/>
      </c>
      <c r="D83" s="409">
        <f ca="1">IF(A83=0,VLOOKUP($B83,Outputs!$B:$F,2,FALSE),"")</f>
        <v>-2.550638181100549E-2</v>
      </c>
      <c r="E83" s="62"/>
      <c r="F83" s="62" t="str">
        <f>IF(A83=1,VLOOKUP($B83,Outputs!$H:$L,2,FALSE),"")</f>
        <v/>
      </c>
      <c r="G83" s="62">
        <f ca="1">IF(A83=0,VLOOKUP($B83,Outputs!$H:$L,2,FALSE),"")</f>
        <v>-2.5506381811002943E-2</v>
      </c>
      <c r="H83" s="409"/>
      <c r="I83" s="409"/>
      <c r="J83" s="410">
        <f ca="1">VLOOKUP($B83,Outputs!$N:$R,2,FALSE)</f>
        <v>-2.9096527949915151E-2</v>
      </c>
      <c r="K83" s="410">
        <f ca="1">+VLOOKUP(B83,Outputs!T:U,2,FALSE)</f>
        <v>5.3944948378706226E-2</v>
      </c>
      <c r="L83" s="409" t="str">
        <f>IF($A83=1,VLOOKUP($B83,Outputs!$B:$F,3,FALSE),"")</f>
        <v/>
      </c>
      <c r="M83" s="409">
        <f ca="1">IF($A83=0,VLOOKUP($B83,Outputs!$B:$F,3,FALSE),"")</f>
        <v>36.154273152013218</v>
      </c>
      <c r="N83" s="409" t="str">
        <f>IF($A83=1,VLOOKUP($B83,Outputs!$H:$L,3,FALSE),"")</f>
        <v/>
      </c>
      <c r="O83" s="409">
        <f ca="1">IF($A83=0,VLOOKUP($B83,Outputs!$H:$L,3,FALSE),"")</f>
        <v>36.154273152013218</v>
      </c>
      <c r="P83" s="409" t="str">
        <f>IF($A83=1,VLOOKUP($B83,Outputs!$N:$R,3,FALSE),"")</f>
        <v/>
      </c>
      <c r="Q83" s="409">
        <f ca="1">IF($A83=0,VLOOKUP($B83,Outputs!$N:$R,3,FALSE),"")</f>
        <v>35.276607128189568</v>
      </c>
    </row>
    <row r="84" spans="1:17">
      <c r="A84" s="232">
        <f>IF(VLOOKUP(B84,TOCA_current!$B$2:$AG$137,32,FALSE)=0,0,1)</f>
        <v>0</v>
      </c>
      <c r="B84" t="s">
        <v>78</v>
      </c>
      <c r="C84" s="409" t="str">
        <f>IF(A84=1,VLOOKUP($B84,Outputs!$B:$F,2,FALSE),"")</f>
        <v/>
      </c>
      <c r="D84" s="409">
        <f ca="1">IF(A84=0,VLOOKUP($B84,Outputs!$B:$F,2,FALSE),"")</f>
        <v>-7.7940425936068149E-3</v>
      </c>
      <c r="E84" s="62"/>
      <c r="F84" s="62" t="str">
        <f>IF(A84=1,VLOOKUP($B84,Outputs!$H:$L,2,FALSE),"")</f>
        <v/>
      </c>
      <c r="G84" s="62">
        <f ca="1">IF(A84=0,VLOOKUP($B84,Outputs!$H:$L,2,FALSE),"")</f>
        <v>-7.7940425936081038E-3</v>
      </c>
      <c r="H84" s="409"/>
      <c r="I84" s="409"/>
      <c r="J84" s="410">
        <f ca="1">VLOOKUP($B84,Outputs!$N:$R,2,FALSE)</f>
        <v>-4.5640890098940033E-2</v>
      </c>
      <c r="K84" s="410">
        <f ca="1">+VLOOKUP(B84,Outputs!T:U,2,FALSE)</f>
        <v>1.8253260449212938E-2</v>
      </c>
      <c r="L84" s="409" t="str">
        <f>IF($A84=1,VLOOKUP($B84,Outputs!$B:$F,3,FALSE),"")</f>
        <v/>
      </c>
      <c r="M84" s="409">
        <f ca="1">IF($A84=0,VLOOKUP($B84,Outputs!$B:$F,3,FALSE),"")</f>
        <v>31.755314447525461</v>
      </c>
      <c r="N84" s="409" t="str">
        <f>IF($A84=1,VLOOKUP($B84,Outputs!$H:$L,3,FALSE),"")</f>
        <v/>
      </c>
      <c r="O84" s="409">
        <f ca="1">IF($A84=0,VLOOKUP($B84,Outputs!$H:$L,3,FALSE),"")</f>
        <v>31.755314447525461</v>
      </c>
      <c r="P84" s="409" t="str">
        <f>IF($A84=1,VLOOKUP($B84,Outputs!$N:$R,3,FALSE),"")</f>
        <v/>
      </c>
      <c r="Q84" s="409">
        <f ca="1">IF($A84=0,VLOOKUP($B84,Outputs!$N:$R,3,FALSE),"")</f>
        <v>29.833566512286158</v>
      </c>
    </row>
    <row r="85" spans="1:17">
      <c r="A85" s="232">
        <f>IF(VLOOKUP(B85,TOCA_current!$B$2:$AG$137,32,FALSE)=0,0,1)</f>
        <v>0</v>
      </c>
      <c r="B85" t="s">
        <v>51</v>
      </c>
      <c r="C85" s="409" t="str">
        <f>IF(A85=1,VLOOKUP($B85,Outputs!$B:$F,2,FALSE),"")</f>
        <v/>
      </c>
      <c r="D85" s="409">
        <f ca="1">IF(A85=0,VLOOKUP($B85,Outputs!$B:$F,2,FALSE),"")</f>
        <v>1.2955970233490511E-2</v>
      </c>
      <c r="E85" s="62"/>
      <c r="F85" s="62" t="str">
        <f>IF(A85=1,VLOOKUP($B85,Outputs!$H:$L,2,FALSE),"")</f>
        <v/>
      </c>
      <c r="G85" s="62">
        <f ca="1">IF(A85=0,VLOOKUP($B85,Outputs!$H:$L,2,FALSE),"")</f>
        <v>1.2955970233482142E-2</v>
      </c>
      <c r="H85" s="409"/>
      <c r="I85" s="409"/>
      <c r="J85" s="410">
        <f ca="1">VLOOKUP($B85,Outputs!$N:$R,2,FALSE)</f>
        <v>-2.626699800036086E-2</v>
      </c>
      <c r="K85" s="410">
        <f ca="1">+VLOOKUP(B85,Outputs!T:U,2,FALSE)</f>
        <v>1.5376539752613327E-2</v>
      </c>
      <c r="L85" s="409" t="str">
        <f>IF($A85=1,VLOOKUP($B85,Outputs!$B:$F,3,FALSE),"")</f>
        <v/>
      </c>
      <c r="M85" s="409">
        <f ca="1">IF($A85=0,VLOOKUP($B85,Outputs!$B:$F,3,FALSE),"")</f>
        <v>26.332535113418015</v>
      </c>
      <c r="N85" s="409" t="str">
        <f>IF($A85=1,VLOOKUP($B85,Outputs!$H:$L,3,FALSE),"")</f>
        <v/>
      </c>
      <c r="O85" s="409">
        <f ca="1">IF($A85=0,VLOOKUP($B85,Outputs!$H:$L,3,FALSE),"")</f>
        <v>26.332535113418015</v>
      </c>
      <c r="P85" s="409" t="str">
        <f>IF($A85=1,VLOOKUP($B85,Outputs!$N:$R,3,FALSE),"")</f>
        <v/>
      </c>
      <c r="Q85" s="409">
        <f ca="1">IF($A85=0,VLOOKUP($B85,Outputs!$N:$R,3,FALSE),"")</f>
        <v>26.485537745773257</v>
      </c>
    </row>
    <row r="86" spans="1:17">
      <c r="A86" s="232">
        <f>IF(VLOOKUP(B86,TOCA_current!$B$2:$AG$137,32,FALSE)=0,0,1)</f>
        <v>0</v>
      </c>
      <c r="B86" t="s">
        <v>89</v>
      </c>
      <c r="C86" s="409" t="str">
        <f>IF(A86=1,VLOOKUP($B86,Outputs!$B:$F,2,FALSE),"")</f>
        <v/>
      </c>
      <c r="D86" s="409">
        <f ca="1">IF(A86=0,VLOOKUP($B86,Outputs!$B:$F,2,FALSE),"")</f>
        <v>5.4723000563543026E-3</v>
      </c>
      <c r="E86" s="62"/>
      <c r="F86" s="62" t="str">
        <f>IF(A86=1,VLOOKUP($B86,Outputs!$H:$L,2,FALSE),"")</f>
        <v/>
      </c>
      <c r="G86" s="62">
        <f ca="1">IF(A86=0,VLOOKUP($B86,Outputs!$H:$L,2,FALSE),"")</f>
        <v>5.4723000563538793E-3</v>
      </c>
      <c r="H86" s="409"/>
      <c r="I86" s="409"/>
      <c r="J86" s="410">
        <f ca="1">VLOOKUP($B86,Outputs!$N:$R,2,FALSE)</f>
        <v>-2.5332509700109238E-2</v>
      </c>
      <c r="K86" s="410">
        <f ca="1">+VLOOKUP(B86,Outputs!T:U,2,FALSE)</f>
        <v>4.5594591223414582E-3</v>
      </c>
      <c r="L86" s="409" t="str">
        <f>IF($A86=1,VLOOKUP($B86,Outputs!$B:$F,3,FALSE),"")</f>
        <v/>
      </c>
      <c r="M86" s="409">
        <f ca="1">IF($A86=0,VLOOKUP($B86,Outputs!$B:$F,3,FALSE),"")</f>
        <v>35.335356918824949</v>
      </c>
      <c r="N86" s="409" t="str">
        <f>IF($A86=1,VLOOKUP($B86,Outputs!$H:$L,3,FALSE),"")</f>
        <v/>
      </c>
      <c r="O86" s="409">
        <f ca="1">IF($A86=0,VLOOKUP($B86,Outputs!$H:$L,3,FALSE),"")</f>
        <v>35.335356918824949</v>
      </c>
      <c r="P86" s="409" t="str">
        <f>IF($A86=1,VLOOKUP($B86,Outputs!$N:$R,3,FALSE),"")</f>
        <v/>
      </c>
      <c r="Q86" s="409">
        <f ca="1">IF($A86=0,VLOOKUP($B86,Outputs!$N:$R,3,FALSE),"")</f>
        <v>32.88971096848789</v>
      </c>
    </row>
    <row r="87" spans="1:17">
      <c r="A87" s="232">
        <f>IF(VLOOKUP(B87,TOCA_current!$B$2:$AG$137,32,FALSE)=0,0,1)</f>
        <v>0</v>
      </c>
      <c r="B87" t="s">
        <v>108</v>
      </c>
      <c r="C87" s="409" t="str">
        <f>IF(A87=1,VLOOKUP($B87,Outputs!$B:$F,2,FALSE),"")</f>
        <v/>
      </c>
      <c r="D87" s="409">
        <f ca="1">IF(A87=0,VLOOKUP($B87,Outputs!$B:$F,2,FALSE),"")</f>
        <v>3.3686307035693396E-3</v>
      </c>
      <c r="E87" s="62"/>
      <c r="F87" s="62" t="str">
        <f>IF(A87=1,VLOOKUP($B87,Outputs!$H:$L,2,FALSE),"")</f>
        <v/>
      </c>
      <c r="G87" s="62">
        <f ca="1">IF(A87=0,VLOOKUP($B87,Outputs!$H:$L,2,FALSE),"")</f>
        <v>3.3686307035711402E-3</v>
      </c>
      <c r="H87" s="409"/>
      <c r="I87" s="409"/>
      <c r="J87" s="410">
        <f ca="1">VLOOKUP($B87,Outputs!$N:$R,2,FALSE)</f>
        <v>-2.1478564354637436E-2</v>
      </c>
      <c r="K87" s="410">
        <f ca="1">+VLOOKUP(B87,Outputs!T:U,2,FALSE)</f>
        <v>6.4658063985272296E-3</v>
      </c>
      <c r="L87" s="409" t="str">
        <f>IF($A87=1,VLOOKUP($B87,Outputs!$B:$F,3,FALSE),"")</f>
        <v/>
      </c>
      <c r="M87" s="409">
        <f ca="1">IF($A87=0,VLOOKUP($B87,Outputs!$B:$F,3,FALSE),"")</f>
        <v>37.011478017435863</v>
      </c>
      <c r="N87" s="409" t="str">
        <f>IF($A87=1,VLOOKUP($B87,Outputs!$H:$L,3,FALSE),"")</f>
        <v/>
      </c>
      <c r="O87" s="409">
        <f ca="1">IF($A87=0,VLOOKUP($B87,Outputs!$H:$L,3,FALSE),"")</f>
        <v>37.011478017435863</v>
      </c>
      <c r="P87" s="409" t="str">
        <f>IF($A87=1,VLOOKUP($B87,Outputs!$N:$R,3,FALSE),"")</f>
        <v/>
      </c>
      <c r="Q87" s="409">
        <f ca="1">IF($A87=0,VLOOKUP($B87,Outputs!$N:$R,3,FALSE),"")</f>
        <v>35.526092614591143</v>
      </c>
    </row>
    <row r="88" spans="1:17">
      <c r="A88" s="232">
        <f>IF(VLOOKUP(B88,TOCA_current!$B$2:$AG$137,32,FALSE)=0,0,1)</f>
        <v>0</v>
      </c>
      <c r="B88" t="s">
        <v>139</v>
      </c>
      <c r="C88" s="409" t="str">
        <f>IF(A88=1,VLOOKUP($B88,Outputs!$B:$F,2,FALSE),"")</f>
        <v/>
      </c>
      <c r="D88" s="409">
        <f ca="1">IF(A88=0,VLOOKUP($B88,Outputs!$B:$F,2,FALSE),"")</f>
        <v>-2.0113958889073327E-2</v>
      </c>
      <c r="E88" s="62"/>
      <c r="F88" s="62" t="str">
        <f>IF(A88=1,VLOOKUP($B88,Outputs!$H:$L,2,FALSE),"")</f>
        <v/>
      </c>
      <c r="G88" s="62">
        <f ca="1">IF(A88=0,VLOOKUP($B88,Outputs!$H:$L,2,FALSE),"")</f>
        <v>-2.0113958889076022E-2</v>
      </c>
      <c r="H88" s="409"/>
      <c r="I88" s="409"/>
      <c r="J88" s="410">
        <f ca="1">VLOOKUP($B88,Outputs!$N:$R,2,FALSE)</f>
        <v>-2.629337518998159E-2</v>
      </c>
      <c r="K88" s="410">
        <f ca="1">+VLOOKUP(B88,Outputs!T:U,2,FALSE)</f>
        <v>-1.8972421313087962E-2</v>
      </c>
      <c r="L88" s="409" t="str">
        <f>IF($A88=1,VLOOKUP($B88,Outputs!$B:$F,3,FALSE),"")</f>
        <v/>
      </c>
      <c r="M88" s="409">
        <f ca="1">IF($A88=0,VLOOKUP($B88,Outputs!$B:$F,3,FALSE),"")</f>
        <v>35.649637997823525</v>
      </c>
      <c r="N88" s="409" t="str">
        <f>IF($A88=1,VLOOKUP($B88,Outputs!$H:$L,3,FALSE),"")</f>
        <v/>
      </c>
      <c r="O88" s="409">
        <f ca="1">IF($A88=0,VLOOKUP($B88,Outputs!$H:$L,3,FALSE),"")</f>
        <v>35.649637997823525</v>
      </c>
      <c r="P88" s="409" t="str">
        <f>IF($A88=1,VLOOKUP($B88,Outputs!$N:$R,3,FALSE),"")</f>
        <v/>
      </c>
      <c r="Q88" s="409">
        <f ca="1">IF($A88=0,VLOOKUP($B88,Outputs!$N:$R,3,FALSE),"")</f>
        <v>34.779191354811566</v>
      </c>
    </row>
    <row r="89" spans="1:17">
      <c r="A89" s="232">
        <f>IF(VLOOKUP(B89,TOCA_current!$B$2:$AG$137,32,FALSE)=0,0,1)</f>
        <v>0</v>
      </c>
      <c r="B89" t="s">
        <v>97</v>
      </c>
      <c r="C89" s="409" t="str">
        <f>IF(A89=1,VLOOKUP($B89,Outputs!$B:$F,2,FALSE),"")</f>
        <v/>
      </c>
      <c r="D89" s="409">
        <f ca="1">IF(A89=0,VLOOKUP($B89,Outputs!$B:$F,2,FALSE),"")</f>
        <v>5.6214283553006799E-3</v>
      </c>
      <c r="E89" s="62"/>
      <c r="F89" s="62" t="str">
        <f>IF(A89=1,VLOOKUP($B89,Outputs!$H:$L,2,FALSE),"")</f>
        <v/>
      </c>
      <c r="G89" s="62">
        <f ca="1">IF(A89=0,VLOOKUP($B89,Outputs!$H:$L,2,FALSE),"")</f>
        <v>5.6214283552992756E-3</v>
      </c>
      <c r="H89" s="409"/>
      <c r="I89" s="409"/>
      <c r="J89" s="410">
        <f ca="1">VLOOKUP($B89,Outputs!$N:$R,2,FALSE)</f>
        <v>-2.6262226546035997E-2</v>
      </c>
      <c r="K89" s="410">
        <f ca="1">+VLOOKUP(B89,Outputs!T:U,2,FALSE)</f>
        <v>5.6214283552942224E-3</v>
      </c>
      <c r="L89" s="409" t="str">
        <f>IF($A89=1,VLOOKUP($B89,Outputs!$B:$F,3,FALSE),"")</f>
        <v/>
      </c>
      <c r="M89" s="409">
        <f ca="1">IF($A89=0,VLOOKUP($B89,Outputs!$B:$F,3,FALSE),"")</f>
        <v>33.806875353979301</v>
      </c>
      <c r="N89" s="409" t="str">
        <f>IF($A89=1,VLOOKUP($B89,Outputs!$H:$L,3,FALSE),"")</f>
        <v/>
      </c>
      <c r="O89" s="409">
        <f ca="1">IF($A89=0,VLOOKUP($B89,Outputs!$H:$L,3,FALSE),"")</f>
        <v>33.806875353979301</v>
      </c>
      <c r="P89" s="409" t="str">
        <f>IF($A89=1,VLOOKUP($B89,Outputs!$N:$R,3,FALSE),"")</f>
        <v/>
      </c>
      <c r="Q89" s="409">
        <f ca="1">IF($A89=0,VLOOKUP($B89,Outputs!$N:$R,3,FALSE),"")</f>
        <v>31.505072670870398</v>
      </c>
    </row>
    <row r="90" spans="1:17">
      <c r="A90" s="232">
        <f>IF(VLOOKUP(B90,TOCA_current!$B$2:$AG$137,32,FALSE)=0,0,1)</f>
        <v>0</v>
      </c>
      <c r="B90" t="s">
        <v>88</v>
      </c>
      <c r="C90" s="409" t="str">
        <f>IF(A90=1,VLOOKUP($B90,Outputs!$B:$F,2,FALSE),"")</f>
        <v/>
      </c>
      <c r="D90" s="409">
        <f ca="1">IF(A90=0,VLOOKUP($B90,Outputs!$B:$F,2,FALSE),"")</f>
        <v>-3.219314068846852E-2</v>
      </c>
      <c r="E90" s="62"/>
      <c r="F90" s="62" t="str">
        <f>IF(A90=1,VLOOKUP($B90,Outputs!$H:$L,2,FALSE),"")</f>
        <v/>
      </c>
      <c r="G90" s="62">
        <f ca="1">IF(A90=0,VLOOKUP($B90,Outputs!$H:$L,2,FALSE),"")</f>
        <v>-3.2193140688476875E-2</v>
      </c>
      <c r="H90" s="409"/>
      <c r="I90" s="409"/>
      <c r="J90" s="410">
        <f ca="1">VLOOKUP($B90,Outputs!$N:$R,2,FALSE)</f>
        <v>-4.2396361482904085E-2</v>
      </c>
      <c r="K90" s="410">
        <f ca="1">+VLOOKUP(B90,Outputs!T:U,2,FALSE)</f>
        <v>-4.0065891683978783E-2</v>
      </c>
      <c r="L90" s="409" t="str">
        <f>IF($A90=1,VLOOKUP($B90,Outputs!$B:$F,3,FALSE),"")</f>
        <v/>
      </c>
      <c r="M90" s="409">
        <f ca="1">IF($A90=0,VLOOKUP($B90,Outputs!$B:$F,3,FALSE),"")</f>
        <v>32.317139673549072</v>
      </c>
      <c r="N90" s="409" t="str">
        <f>IF($A90=1,VLOOKUP($B90,Outputs!$H:$L,3,FALSE),"")</f>
        <v/>
      </c>
      <c r="O90" s="409">
        <f ca="1">IF($A90=0,VLOOKUP($B90,Outputs!$H:$L,3,FALSE),"")</f>
        <v>32.317139673549072</v>
      </c>
      <c r="P90" s="409" t="str">
        <f>IF($A90=1,VLOOKUP($B90,Outputs!$N:$R,3,FALSE),"")</f>
        <v/>
      </c>
      <c r="Q90" s="409">
        <f ca="1">IF($A90=0,VLOOKUP($B90,Outputs!$N:$R,3,FALSE),"")</f>
        <v>31.609150429033445</v>
      </c>
    </row>
    <row r="91" spans="1:17" s="71" customFormat="1">
      <c r="A91" s="232">
        <f>IF(VLOOKUP(B91,TOCA_current!$B$2:$AG$137,32,FALSE)=0,0,1)</f>
        <v>1</v>
      </c>
      <c r="B91" s="71" t="s">
        <v>60</v>
      </c>
      <c r="C91" s="409">
        <f ca="1">IF(A91=1,VLOOKUP($B91,Outputs!$B:$F,2,FALSE),"")</f>
        <v>-1.0087597204826167E-2</v>
      </c>
      <c r="D91" s="409" t="str">
        <f>IF(A91=0,VLOOKUP($B91,Outputs!$B:$F,2,FALSE),"")</f>
        <v/>
      </c>
      <c r="E91" s="62"/>
      <c r="F91" s="62">
        <f ca="1">IF(A91=1,VLOOKUP($B91,Outputs!$H:$L,2,FALSE),"")</f>
        <v>-1.0613265541155546E-2</v>
      </c>
      <c r="G91" s="62" t="str">
        <f>IF(A91=0,VLOOKUP($B91,Outputs!$H:$L,2,FALSE),"")</f>
        <v/>
      </c>
      <c r="H91" s="409"/>
      <c r="I91" s="409"/>
      <c r="J91" s="410">
        <f ca="1">VLOOKUP($B91,Outputs!$N:$R,2,FALSE)</f>
        <v>-2.2742751666343156E-2</v>
      </c>
      <c r="K91" s="410">
        <f ca="1">+VLOOKUP(B91,Outputs!T:U,2,FALSE)</f>
        <v>-1.8584594043830616E-2</v>
      </c>
      <c r="L91" s="409">
        <f ca="1">IF($A91=1,VLOOKUP($B91,Outputs!$B:$F,3,FALSE),"")</f>
        <v>34.828491298890725</v>
      </c>
      <c r="M91" s="409" t="str">
        <f>IF($A91=0,VLOOKUP($B91,Outputs!$B:$F,3,FALSE),"")</f>
        <v/>
      </c>
      <c r="N91" s="409">
        <f ca="1">IF($A91=1,VLOOKUP($B91,Outputs!$H:$L,3,FALSE),"")</f>
        <v>31.515101177899179</v>
      </c>
      <c r="O91" s="409" t="str">
        <f>IF($A91=0,VLOOKUP($B91,Outputs!$H:$L,3,FALSE),"")</f>
        <v/>
      </c>
      <c r="P91" s="409">
        <f ca="1">IF($A91=1,VLOOKUP($B91,Outputs!$N:$R,3,FALSE),"")</f>
        <v>30.797681698985791</v>
      </c>
      <c r="Q91" s="409" t="str">
        <f>IF($A91=0,VLOOKUP($B91,Outputs!$N:$R,3,FALSE),"")</f>
        <v/>
      </c>
    </row>
    <row r="92" spans="1:17">
      <c r="A92" s="232">
        <f>IF(VLOOKUP(B92,TOCA_current!$B$2:$AG$137,32,FALSE)=0,0,1)</f>
        <v>0</v>
      </c>
      <c r="B92" t="s">
        <v>79</v>
      </c>
      <c r="C92" s="409" t="str">
        <f>IF(A92=1,VLOOKUP($B92,Outputs!$B:$F,2,FALSE),"")</f>
        <v/>
      </c>
      <c r="D92" s="409">
        <f ca="1">IF(A92=0,VLOOKUP($B92,Outputs!$B:$F,2,FALSE),"")</f>
        <v>-5.2280111665443386E-5</v>
      </c>
      <c r="E92" s="62"/>
      <c r="F92" s="62" t="str">
        <f>IF(A92=1,VLOOKUP($B92,Outputs!$H:$L,2,FALSE),"")</f>
        <v/>
      </c>
      <c r="G92" s="62">
        <f ca="1">IF(A92=0,VLOOKUP($B92,Outputs!$H:$L,2,FALSE),"")</f>
        <v>-5.2280111660948453E-5</v>
      </c>
      <c r="H92" s="409"/>
      <c r="I92" s="409"/>
      <c r="J92" s="410">
        <f ca="1">VLOOKUP($B92,Outputs!$N:$R,2,FALSE)</f>
        <v>-2.5825663477527801E-2</v>
      </c>
      <c r="K92" s="410">
        <f ca="1">+VLOOKUP(B92,Outputs!T:U,2,FALSE)</f>
        <v>0.10868201828079105</v>
      </c>
      <c r="L92" s="409" t="str">
        <f>IF($A92=1,VLOOKUP($B92,Outputs!$B:$F,3,FALSE),"")</f>
        <v/>
      </c>
      <c r="M92" s="409">
        <f ca="1">IF($A92=0,VLOOKUP($B92,Outputs!$B:$F,3,FALSE),"")</f>
        <v>39.046014616935182</v>
      </c>
      <c r="N92" s="409" t="str">
        <f>IF($A92=1,VLOOKUP($B92,Outputs!$H:$L,3,FALSE),"")</f>
        <v/>
      </c>
      <c r="O92" s="409">
        <f ca="1">IF($A92=0,VLOOKUP($B92,Outputs!$H:$L,3,FALSE),"")</f>
        <v>39.046014616935182</v>
      </c>
      <c r="P92" s="409" t="str">
        <f>IF($A92=1,VLOOKUP($B92,Outputs!$N:$R,3,FALSE),"")</f>
        <v/>
      </c>
      <c r="Q92" s="409">
        <f ca="1">IF($A92=0,VLOOKUP($B92,Outputs!$N:$R,3,FALSE),"")</f>
        <v>37.220724552674021</v>
      </c>
    </row>
    <row r="93" spans="1:17">
      <c r="A93" s="232">
        <f>IF(VLOOKUP(B93,TOCA_current!$B$2:$AG$137,32,FALSE)=0,0,1)</f>
        <v>0</v>
      </c>
      <c r="B93" t="s">
        <v>50</v>
      </c>
      <c r="C93" s="409" t="str">
        <f>IF(A93=1,VLOOKUP($B93,Outputs!$B:$F,2,FALSE),"")</f>
        <v/>
      </c>
      <c r="D93" s="409">
        <f ca="1">IF(A93=0,VLOOKUP($B93,Outputs!$B:$F,2,FALSE),"")</f>
        <v>-9.033342449295283E-3</v>
      </c>
      <c r="E93" s="62"/>
      <c r="F93" s="62" t="str">
        <f>IF(A93=1,VLOOKUP($B93,Outputs!$H:$L,2,FALSE),"")</f>
        <v/>
      </c>
      <c r="G93" s="62">
        <f ca="1">IF(A93=0,VLOOKUP($B93,Outputs!$H:$L,2,FALSE),"")</f>
        <v>-9.0333424493000882E-3</v>
      </c>
      <c r="H93" s="409"/>
      <c r="I93" s="409"/>
      <c r="J93" s="410">
        <f ca="1">VLOOKUP($B93,Outputs!$N:$R,2,FALSE)</f>
        <v>-2.580925860175292E-2</v>
      </c>
      <c r="K93" s="410">
        <f ca="1">+VLOOKUP(B93,Outputs!T:U,2,FALSE)</f>
        <v>-5.507297999376215E-3</v>
      </c>
      <c r="L93" s="409" t="str">
        <f>IF($A93=1,VLOOKUP($B93,Outputs!$B:$F,3,FALSE),"")</f>
        <v/>
      </c>
      <c r="M93" s="409">
        <f ca="1">IF($A93=0,VLOOKUP($B93,Outputs!$B:$F,3,FALSE),"")</f>
        <v>35.858940454466143</v>
      </c>
      <c r="N93" s="409" t="str">
        <f>IF($A93=1,VLOOKUP($B93,Outputs!$H:$L,3,FALSE),"")</f>
        <v/>
      </c>
      <c r="O93" s="409">
        <f ca="1">IF($A93=0,VLOOKUP($B93,Outputs!$H:$L,3,FALSE),"")</f>
        <v>35.858940454466143</v>
      </c>
      <c r="P93" s="409" t="str">
        <f>IF($A93=1,VLOOKUP($B93,Outputs!$N:$R,3,FALSE),"")</f>
        <v/>
      </c>
      <c r="Q93" s="409">
        <f ca="1">IF($A93=0,VLOOKUP($B93,Outputs!$N:$R,3,FALSE),"")</f>
        <v>34.913451580262297</v>
      </c>
    </row>
    <row r="94" spans="1:17">
      <c r="A94" s="232">
        <f>IF(VLOOKUP(B94,TOCA_current!$B$2:$AG$137,32,FALSE)=0,0,1)</f>
        <v>0</v>
      </c>
      <c r="B94" t="s">
        <v>118</v>
      </c>
      <c r="C94" s="409" t="str">
        <f>IF(A94=1,VLOOKUP($B94,Outputs!$B:$F,2,FALSE),"")</f>
        <v/>
      </c>
      <c r="D94" s="409">
        <f ca="1">IF(A94=0,VLOOKUP($B94,Outputs!$B:$F,2,FALSE),"")</f>
        <v>-2.0686718416074439E-2</v>
      </c>
      <c r="E94" s="62"/>
      <c r="F94" s="62" t="str">
        <f>IF(A94=1,VLOOKUP($B94,Outputs!$H:$L,2,FALSE),"")</f>
        <v/>
      </c>
      <c r="G94" s="62">
        <f ca="1">IF(A94=0,VLOOKUP($B94,Outputs!$H:$L,2,FALSE),"")</f>
        <v>-2.0686718416068464E-2</v>
      </c>
      <c r="H94" s="409"/>
      <c r="I94" s="409"/>
      <c r="J94" s="410">
        <f ca="1">VLOOKUP($B94,Outputs!$N:$R,2,FALSE)</f>
        <v>-2.7835217704928285E-2</v>
      </c>
      <c r="K94" s="410">
        <f ca="1">+VLOOKUP(B94,Outputs!T:U,2,FALSE)</f>
        <v>-2.0780677156462035E-2</v>
      </c>
      <c r="L94" s="409" t="str">
        <f>IF($A94=1,VLOOKUP($B94,Outputs!$B:$F,3,FALSE),"")</f>
        <v/>
      </c>
      <c r="M94" s="409">
        <f ca="1">IF($A94=0,VLOOKUP($B94,Outputs!$B:$F,3,FALSE),"")</f>
        <v>34.82235352307687</v>
      </c>
      <c r="N94" s="409" t="str">
        <f>IF($A94=1,VLOOKUP($B94,Outputs!$H:$L,3,FALSE),"")</f>
        <v/>
      </c>
      <c r="O94" s="409">
        <f ca="1">IF($A94=0,VLOOKUP($B94,Outputs!$H:$L,3,FALSE),"")</f>
        <v>34.82235352307687</v>
      </c>
      <c r="P94" s="409" t="str">
        <f>IF($A94=1,VLOOKUP($B94,Outputs!$N:$R,3,FALSE),"")</f>
        <v/>
      </c>
      <c r="Q94" s="409">
        <f ca="1">IF($A94=0,VLOOKUP($B94,Outputs!$N:$R,3,FALSE),"")</f>
        <v>34.103099351141573</v>
      </c>
    </row>
    <row r="95" spans="1:17">
      <c r="A95" s="232">
        <f>IF(VLOOKUP(B95,TOCA_current!$B$2:$AG$137,32,FALSE)=0,0,1)</f>
        <v>0</v>
      </c>
      <c r="B95" t="s">
        <v>10</v>
      </c>
      <c r="C95" s="409" t="str">
        <f>IF(A95=1,VLOOKUP($B95,Outputs!$B:$F,2,FALSE),"")</f>
        <v/>
      </c>
      <c r="D95" s="409">
        <f ca="1">IF(A95=0,VLOOKUP($B95,Outputs!$B:$F,2,FALSE),"")</f>
        <v>3.4379595876461388E-3</v>
      </c>
      <c r="E95" s="62"/>
      <c r="F95" s="62" t="str">
        <f>IF(A95=1,VLOOKUP($B95,Outputs!$H:$L,2,FALSE),"")</f>
        <v/>
      </c>
      <c r="G95" s="62">
        <f ca="1">IF(A95=0,VLOOKUP($B95,Outputs!$H:$L,2,FALSE),"")</f>
        <v>3.4379595876436642E-3</v>
      </c>
      <c r="H95" s="409"/>
      <c r="I95" s="409"/>
      <c r="J95" s="410">
        <f ca="1">VLOOKUP($B95,Outputs!$N:$R,2,FALSE)</f>
        <v>-1.7821388950539439E-2</v>
      </c>
      <c r="K95" s="410">
        <f ca="1">+VLOOKUP(B95,Outputs!T:U,2,FALSE)</f>
        <v>8.7136381405550356E-3</v>
      </c>
      <c r="L95" s="409" t="str">
        <f>IF($A95=1,VLOOKUP($B95,Outputs!$B:$F,3,FALSE),"")</f>
        <v/>
      </c>
      <c r="M95" s="409">
        <f ca="1">IF($A95=0,VLOOKUP($B95,Outputs!$B:$F,3,FALSE),"")</f>
        <v>31.622231969445231</v>
      </c>
      <c r="N95" s="409" t="str">
        <f>IF($A95=1,VLOOKUP($B95,Outputs!$H:$L,3,FALSE),"")</f>
        <v/>
      </c>
      <c r="O95" s="409">
        <f ca="1">IF($A95=0,VLOOKUP($B95,Outputs!$H:$L,3,FALSE),"")</f>
        <v>31.622231969445231</v>
      </c>
      <c r="P95" s="409" t="str">
        <f>IF($A95=1,VLOOKUP($B95,Outputs!$N:$R,3,FALSE),"")</f>
        <v/>
      </c>
      <c r="Q95" s="409">
        <f ca="1">IF($A95=0,VLOOKUP($B95,Outputs!$N:$R,3,FALSE),"")</f>
        <v>31.010047325280443</v>
      </c>
    </row>
    <row r="96" spans="1:17">
      <c r="A96" s="232">
        <f>IF(VLOOKUP(B96,TOCA_current!$B$2:$AG$137,32,FALSE)=0,0,1)</f>
        <v>0</v>
      </c>
      <c r="B96" t="s">
        <v>11</v>
      </c>
      <c r="C96" s="409" t="str">
        <f>IF(A96=1,VLOOKUP($B96,Outputs!$B:$F,2,FALSE),"")</f>
        <v/>
      </c>
      <c r="D96" s="409">
        <f ca="1">IF(A96=0,VLOOKUP($B96,Outputs!$B:$F,2,FALSE),"")</f>
        <v>3.1933337822408554E-3</v>
      </c>
      <c r="E96" s="62"/>
      <c r="F96" s="62" t="str">
        <f>IF(A96=1,VLOOKUP($B96,Outputs!$H:$L,2,FALSE),"")</f>
        <v/>
      </c>
      <c r="G96" s="62">
        <f ca="1">IF(A96=0,VLOOKUP($B96,Outputs!$H:$L,2,FALSE),"")</f>
        <v>3.1933337822398675E-3</v>
      </c>
      <c r="H96" s="409"/>
      <c r="I96" s="409"/>
      <c r="J96" s="410">
        <f ca="1">VLOOKUP($B96,Outputs!$N:$R,2,FALSE)</f>
        <v>-2.6878994697683661E-2</v>
      </c>
      <c r="K96" s="410">
        <f ca="1">+VLOOKUP(B96,Outputs!T:U,2,FALSE)</f>
        <v>1.8685877896349457E-3</v>
      </c>
      <c r="L96" s="409" t="str">
        <f>IF($A96=1,VLOOKUP($B96,Outputs!$B:$F,3,FALSE),"")</f>
        <v/>
      </c>
      <c r="M96" s="409">
        <f ca="1">IF($A96=0,VLOOKUP($B96,Outputs!$B:$F,3,FALSE),"")</f>
        <v>27.5796085756384</v>
      </c>
      <c r="N96" s="409" t="str">
        <f>IF($A96=1,VLOOKUP($B96,Outputs!$H:$L,3,FALSE),"")</f>
        <v/>
      </c>
      <c r="O96" s="409">
        <f ca="1">IF($A96=0,VLOOKUP($B96,Outputs!$H:$L,3,FALSE),"")</f>
        <v>27.5796085756384</v>
      </c>
      <c r="P96" s="409" t="str">
        <f>IF($A96=1,VLOOKUP($B96,Outputs!$N:$R,3,FALSE),"")</f>
        <v/>
      </c>
      <c r="Q96" s="409">
        <f ca="1">IF($A96=0,VLOOKUP($B96,Outputs!$N:$R,3,FALSE),"")</f>
        <v>28.236363461020407</v>
      </c>
    </row>
    <row r="97" spans="1:17">
      <c r="A97" s="232">
        <f>IF(VLOOKUP(B97,TOCA_current!$B$2:$AG$137,32,FALSE)=0,0,1)</f>
        <v>1</v>
      </c>
      <c r="B97" t="s">
        <v>75</v>
      </c>
      <c r="C97" s="409">
        <f ca="1">IF(A97=1,VLOOKUP($B97,Outputs!$B:$F,2,FALSE),"")</f>
        <v>-1.208259795731809E-2</v>
      </c>
      <c r="D97" s="409" t="str">
        <f>IF(A97=0,VLOOKUP($B97,Outputs!$B:$F,2,FALSE),"")</f>
        <v/>
      </c>
      <c r="E97" s="62"/>
      <c r="F97" s="62">
        <f ca="1">IF(A97=1,VLOOKUP($B97,Outputs!$H:$L,2,FALSE),"")</f>
        <v>-1.2170746463460572E-2</v>
      </c>
      <c r="G97" s="62" t="str">
        <f>IF(A97=0,VLOOKUP($B97,Outputs!$H:$L,2,FALSE),"")</f>
        <v/>
      </c>
      <c r="H97" s="409"/>
      <c r="I97" s="409"/>
      <c r="J97" s="410">
        <f ca="1">VLOOKUP($B97,Outputs!$N:$R,2,FALSE)</f>
        <v>-2.4590048980713819E-2</v>
      </c>
      <c r="K97" s="410">
        <f ca="1">+VLOOKUP(B97,Outputs!T:U,2,FALSE)</f>
        <v>-1.2172624036793089E-2</v>
      </c>
      <c r="L97" s="409">
        <f ca="1">IF($A97=1,VLOOKUP($B97,Outputs!$B:$F,3,FALSE),"")</f>
        <v>36.807020935563209</v>
      </c>
      <c r="M97" s="409" t="str">
        <f>IF($A97=0,VLOOKUP($B97,Outputs!$B:$F,3,FALSE),"")</f>
        <v/>
      </c>
      <c r="N97" s="409">
        <f ca="1">IF($A97=1,VLOOKUP($B97,Outputs!$H:$L,3,FALSE),"")</f>
        <v>33.629484876000419</v>
      </c>
      <c r="O97" s="409" t="str">
        <f>IF($A97=0,VLOOKUP($B97,Outputs!$H:$L,3,FALSE),"")</f>
        <v/>
      </c>
      <c r="P97" s="409">
        <f ca="1">IF($A97=1,VLOOKUP($B97,Outputs!$N:$R,3,FALSE),"")</f>
        <v>33.094703824253116</v>
      </c>
      <c r="Q97" s="409" t="str">
        <f>IF($A97=0,VLOOKUP($B97,Outputs!$N:$R,3,FALSE),"")</f>
        <v/>
      </c>
    </row>
    <row r="98" spans="1:17">
      <c r="A98" s="232">
        <f>IF(VLOOKUP(B98,TOCA_current!$B$2:$AG$137,32,FALSE)=0,0,1)</f>
        <v>0</v>
      </c>
      <c r="B98" t="s">
        <v>94</v>
      </c>
      <c r="C98" s="409" t="str">
        <f>IF(A98=1,VLOOKUP($B98,Outputs!$B:$F,2,FALSE),"")</f>
        <v/>
      </c>
      <c r="D98" s="409">
        <f ca="1">IF(A98=0,VLOOKUP($B98,Outputs!$B:$F,2,FALSE),"")</f>
        <v>-5.1018554138425546E-3</v>
      </c>
      <c r="E98" s="62"/>
      <c r="F98" s="62" t="str">
        <f>IF(A98=1,VLOOKUP($B98,Outputs!$H:$L,2,FALSE),"")</f>
        <v/>
      </c>
      <c r="G98" s="62">
        <f ca="1">IF(A98=0,VLOOKUP($B98,Outputs!$H:$L,2,FALSE),"")</f>
        <v>-5.1018554138385014E-3</v>
      </c>
      <c r="H98" s="409"/>
      <c r="I98" s="409"/>
      <c r="J98" s="410">
        <f ca="1">VLOOKUP($B98,Outputs!$N:$R,2,FALSE)</f>
        <v>-2.4590048982500549E-2</v>
      </c>
      <c r="K98" s="410">
        <f ca="1">+VLOOKUP(B98,Outputs!T:U,2,FALSE)</f>
        <v>2.8207924080525526E-3</v>
      </c>
      <c r="L98" s="409" t="str">
        <f>IF($A98=1,VLOOKUP($B98,Outputs!$B:$F,3,FALSE),"")</f>
        <v/>
      </c>
      <c r="M98" s="409">
        <f ca="1">IF($A98=0,VLOOKUP($B98,Outputs!$B:$F,3,FALSE),"")</f>
        <v>34.176268726866923</v>
      </c>
      <c r="N98" s="409" t="str">
        <f>IF($A98=1,VLOOKUP($B98,Outputs!$H:$L,3,FALSE),"")</f>
        <v/>
      </c>
      <c r="O98" s="409">
        <f ca="1">IF($A98=0,VLOOKUP($B98,Outputs!$H:$L,3,FALSE),"")</f>
        <v>34.176268726866923</v>
      </c>
      <c r="P98" s="409" t="str">
        <f>IF($A98=1,VLOOKUP($B98,Outputs!$N:$R,3,FALSE),"")</f>
        <v/>
      </c>
      <c r="Q98" s="409">
        <f ca="1">IF($A98=0,VLOOKUP($B98,Outputs!$N:$R,3,FALSE),"")</f>
        <v>33.094703824253131</v>
      </c>
    </row>
    <row r="99" spans="1:17">
      <c r="A99" s="232">
        <f>IF(VLOOKUP(B99,TOCA_current!$B$2:$AG$137,32,FALSE)=0,0,1)</f>
        <v>0</v>
      </c>
      <c r="B99" t="s">
        <v>103</v>
      </c>
      <c r="C99" s="409" t="str">
        <f>IF(A99=1,VLOOKUP($B99,Outputs!$B:$F,2,FALSE),"")</f>
        <v/>
      </c>
      <c r="D99" s="409">
        <f ca="1">IF(A99=0,VLOOKUP($B99,Outputs!$B:$F,2,FALSE),"")</f>
        <v>-6.5661746820898674E-3</v>
      </c>
      <c r="E99" s="62"/>
      <c r="F99" s="62" t="str">
        <f>IF(A99=1,VLOOKUP($B99,Outputs!$H:$L,2,FALSE),"")</f>
        <v/>
      </c>
      <c r="G99" s="62">
        <f ca="1">IF(A99=0,VLOOKUP($B99,Outputs!$H:$L,2,FALSE),"")</f>
        <v>-6.5661746820897156E-3</v>
      </c>
      <c r="H99" s="409"/>
      <c r="I99" s="409"/>
      <c r="J99" s="410">
        <f ca="1">VLOOKUP($B99,Outputs!$N:$R,2,FALSE)</f>
        <v>-2.2332916263142023E-2</v>
      </c>
      <c r="K99" s="410">
        <f ca="1">+VLOOKUP(B99,Outputs!T:U,2,FALSE)</f>
        <v>1.3067221343641133E-3</v>
      </c>
      <c r="L99" s="409" t="str">
        <f>IF($A99=1,VLOOKUP($B99,Outputs!$B:$F,3,FALSE),"")</f>
        <v/>
      </c>
      <c r="M99" s="409">
        <f ca="1">IF($A99=0,VLOOKUP($B99,Outputs!$B:$F,3,FALSE),"")</f>
        <v>36.998518783835415</v>
      </c>
      <c r="N99" s="409" t="str">
        <f>IF($A99=1,VLOOKUP($B99,Outputs!$H:$L,3,FALSE),"")</f>
        <v/>
      </c>
      <c r="O99" s="409">
        <f ca="1">IF($A99=0,VLOOKUP($B99,Outputs!$H:$L,3,FALSE),"")</f>
        <v>36.998518783835415</v>
      </c>
      <c r="P99" s="409" t="str">
        <f>IF($A99=1,VLOOKUP($B99,Outputs!$N:$R,3,FALSE),"")</f>
        <v/>
      </c>
      <c r="Q99" s="409">
        <f ca="1">IF($A99=0,VLOOKUP($B99,Outputs!$N:$R,3,FALSE),"")</f>
        <v>35.67181240491356</v>
      </c>
    </row>
    <row r="100" spans="1:17">
      <c r="A100" s="232">
        <f>IF(VLOOKUP(B100,TOCA_current!$B$2:$AG$137,32,FALSE)=0,0,1)</f>
        <v>0</v>
      </c>
      <c r="B100" t="s">
        <v>44</v>
      </c>
      <c r="C100" s="409" t="str">
        <f>IF(A100=1,VLOOKUP($B100,Outputs!$B:$F,2,FALSE),"")</f>
        <v/>
      </c>
      <c r="D100" s="409">
        <f ca="1">IF(A100=0,VLOOKUP($B100,Outputs!$B:$F,2,FALSE),"")</f>
        <v>-1.8371301711159329E-2</v>
      </c>
      <c r="E100" s="62"/>
      <c r="F100" s="62" t="str">
        <f>IF(A100=1,VLOOKUP($B100,Outputs!$H:$L,2,FALSE),"")</f>
        <v/>
      </c>
      <c r="G100" s="62">
        <f ca="1">IF(A100=0,VLOOKUP($B100,Outputs!$H:$L,2,FALSE),"")</f>
        <v>-1.8371301711168714E-2</v>
      </c>
      <c r="H100" s="409"/>
      <c r="I100" s="409"/>
      <c r="J100" s="410">
        <f ca="1">VLOOKUP($B100,Outputs!$N:$R,2,FALSE)</f>
        <v>-2.5218386757870626E-2</v>
      </c>
      <c r="K100" s="410">
        <f ca="1">+VLOOKUP(B100,Outputs!T:U,2,FALSE)</f>
        <v>-1.3400266927921844E-2</v>
      </c>
      <c r="L100" s="409" t="str">
        <f>IF($A100=1,VLOOKUP($B100,Outputs!$B:$F,3,FALSE),"")</f>
        <v/>
      </c>
      <c r="M100" s="409">
        <f ca="1">IF($A100=0,VLOOKUP($B100,Outputs!$B:$F,3,FALSE),"")</f>
        <v>34.613398000854552</v>
      </c>
      <c r="N100" s="409" t="str">
        <f>IF($A100=1,VLOOKUP($B100,Outputs!$H:$L,3,FALSE),"")</f>
        <v/>
      </c>
      <c r="O100" s="409">
        <f ca="1">IF($A100=0,VLOOKUP($B100,Outputs!$H:$L,3,FALSE),"")</f>
        <v>34.613398000854552</v>
      </c>
      <c r="P100" s="409" t="str">
        <f>IF($A100=1,VLOOKUP($B100,Outputs!$N:$R,3,FALSE),"")</f>
        <v/>
      </c>
      <c r="Q100" s="409">
        <f ca="1">IF($A100=0,VLOOKUP($B100,Outputs!$N:$R,3,FALSE),"")</f>
        <v>33.60044714936398</v>
      </c>
    </row>
    <row r="101" spans="1:17">
      <c r="A101" s="232">
        <f>IF(VLOOKUP(B101,TOCA_current!$B$2:$AG$137,32,FALSE)=0,0,1)</f>
        <v>0</v>
      </c>
      <c r="B101" t="s">
        <v>99</v>
      </c>
      <c r="C101" s="409" t="str">
        <f>IF(A101=1,VLOOKUP($B101,Outputs!$B:$F,2,FALSE),"")</f>
        <v/>
      </c>
      <c r="D101" s="409">
        <f ca="1">IF(A101=0,VLOOKUP($B101,Outputs!$B:$F,2,FALSE),"")</f>
        <v>-7.8722650940143413E-3</v>
      </c>
      <c r="E101" s="62"/>
      <c r="F101" s="62" t="str">
        <f>IF(A101=1,VLOOKUP($B101,Outputs!$H:$L,2,FALSE),"")</f>
        <v/>
      </c>
      <c r="G101" s="62">
        <f ca="1">IF(A101=0,VLOOKUP($B101,Outputs!$H:$L,2,FALSE),"")</f>
        <v>-7.8722650940116646E-3</v>
      </c>
      <c r="H101" s="409"/>
      <c r="I101" s="409"/>
      <c r="J101" s="410">
        <f ca="1">VLOOKUP($B101,Outputs!$N:$R,2,FALSE)</f>
        <v>-2.0738946013228676E-2</v>
      </c>
      <c r="K101" s="410">
        <f ca="1">+VLOOKUP(B101,Outputs!T:U,2,FALSE)</f>
        <v>-7.7996860366095211E-3</v>
      </c>
      <c r="L101" s="409" t="str">
        <f>IF($A101=1,VLOOKUP($B101,Outputs!$B:$F,3,FALSE),"")</f>
        <v/>
      </c>
      <c r="M101" s="409">
        <f ca="1">IF($A101=0,VLOOKUP($B101,Outputs!$B:$F,3,FALSE),"")</f>
        <v>33.889205394709229</v>
      </c>
      <c r="N101" s="409" t="str">
        <f>IF($A101=1,VLOOKUP($B101,Outputs!$H:$L,3,FALSE),"")</f>
        <v/>
      </c>
      <c r="O101" s="409">
        <f ca="1">IF($A101=0,VLOOKUP($B101,Outputs!$H:$L,3,FALSE),"")</f>
        <v>33.889205394709229</v>
      </c>
      <c r="P101" s="409" t="str">
        <f>IF($A101=1,VLOOKUP($B101,Outputs!$N:$R,3,FALSE),"")</f>
        <v/>
      </c>
      <c r="Q101" s="409">
        <f ca="1">IF($A101=0,VLOOKUP($B101,Outputs!$N:$R,3,FALSE),"")</f>
        <v>33.004691405121648</v>
      </c>
    </row>
    <row r="102" spans="1:17">
      <c r="A102" s="232">
        <f>IF(VLOOKUP(B102,TOCA_current!$B$2:$AG$137,32,FALSE)=0,0,1)</f>
        <v>0</v>
      </c>
      <c r="B102" t="s">
        <v>87</v>
      </c>
      <c r="C102" s="409" t="str">
        <f>IF(A102=1,VLOOKUP($B102,Outputs!$B:$F,2,FALSE),"")</f>
        <v/>
      </c>
      <c r="D102" s="409">
        <f ca="1">IF(A102=0,VLOOKUP($B102,Outputs!$B:$F,2,FALSE),"")</f>
        <v>3.7988956686779846E-2</v>
      </c>
      <c r="E102" s="62"/>
      <c r="F102" s="62" t="str">
        <f>IF(A102=1,VLOOKUP($B102,Outputs!$H:$L,2,FALSE),"")</f>
        <v/>
      </c>
      <c r="G102" s="62">
        <f ca="1">IF(A102=0,VLOOKUP($B102,Outputs!$H:$L,2,FALSE),"")</f>
        <v>3.7988956686781761E-2</v>
      </c>
      <c r="H102" s="409"/>
      <c r="I102" s="409"/>
      <c r="J102" s="410">
        <f ca="1">VLOOKUP($B102,Outputs!$N:$R,2,FALSE)</f>
        <v>2.8508164148162336E-2</v>
      </c>
      <c r="K102" s="410">
        <f ca="1">+VLOOKUP(B102,Outputs!T:U,2,FALSE)</f>
        <v>3.7796137917592176E-2</v>
      </c>
      <c r="L102" s="409" t="str">
        <f>IF($A102=1,VLOOKUP($B102,Outputs!$B:$F,3,FALSE),"")</f>
        <v/>
      </c>
      <c r="M102" s="409">
        <f ca="1">IF($A102=0,VLOOKUP($B102,Outputs!$B:$F,3,FALSE),"")</f>
        <v>36.04628902459654</v>
      </c>
      <c r="N102" s="409" t="str">
        <f>IF($A102=1,VLOOKUP($B102,Outputs!$H:$L,3,FALSE),"")</f>
        <v/>
      </c>
      <c r="O102" s="409">
        <f ca="1">IF($A102=0,VLOOKUP($B102,Outputs!$H:$L,3,FALSE),"")</f>
        <v>36.04628902459654</v>
      </c>
      <c r="P102" s="409" t="str">
        <f>IF($A102=1,VLOOKUP($B102,Outputs!$N:$R,3,FALSE),"")</f>
        <v/>
      </c>
      <c r="Q102" s="409">
        <f ca="1">IF($A102=0,VLOOKUP($B102,Outputs!$N:$R,3,FALSE),"")</f>
        <v>34.991398602545104</v>
      </c>
    </row>
    <row r="103" spans="1:17">
      <c r="A103" s="232">
        <f>IF(VLOOKUP(B103,TOCA_current!$B$2:$AG$137,32,FALSE)=0,0,1)</f>
        <v>0</v>
      </c>
      <c r="B103" t="s">
        <v>85</v>
      </c>
      <c r="C103" s="409" t="str">
        <f>IF(A103=1,VLOOKUP($B103,Outputs!$B:$F,2,FALSE),"")</f>
        <v/>
      </c>
      <c r="D103" s="409">
        <f ca="1">IF(A103=0,VLOOKUP($B103,Outputs!$B:$F,2,FALSE),"")</f>
        <v>-1.4546395759956582E-2</v>
      </c>
      <c r="E103" s="62"/>
      <c r="F103" s="62" t="str">
        <f>IF(A103=1,VLOOKUP($B103,Outputs!$H:$L,2,FALSE),"")</f>
        <v/>
      </c>
      <c r="G103" s="62">
        <f ca="1">IF(A103=0,VLOOKUP($B103,Outputs!$H:$L,2,FALSE),"")</f>
        <v>-1.4546395759960043E-2</v>
      </c>
      <c r="H103" s="409"/>
      <c r="I103" s="409"/>
      <c r="J103" s="410">
        <f ca="1">VLOOKUP($B103,Outputs!$N:$R,2,FALSE)</f>
        <v>-2.624078660945656E-2</v>
      </c>
      <c r="K103" s="410">
        <f ca="1">+VLOOKUP(B103,Outputs!T:U,2,FALSE)</f>
        <v>-9.5695849084160844E-3</v>
      </c>
      <c r="L103" s="409" t="str">
        <f>IF($A103=1,VLOOKUP($B103,Outputs!$B:$F,3,FALSE),"")</f>
        <v/>
      </c>
      <c r="M103" s="409">
        <f ca="1">IF($A103=0,VLOOKUP($B103,Outputs!$B:$F,3,FALSE),"")</f>
        <v>34.83929732068124</v>
      </c>
      <c r="N103" s="409" t="str">
        <f>IF($A103=1,VLOOKUP($B103,Outputs!$H:$L,3,FALSE),"")</f>
        <v/>
      </c>
      <c r="O103" s="409">
        <f ca="1">IF($A103=0,VLOOKUP($B103,Outputs!$H:$L,3,FALSE),"")</f>
        <v>34.83929732068124</v>
      </c>
      <c r="P103" s="409" t="str">
        <f>IF($A103=1,VLOOKUP($B103,Outputs!$N:$R,3,FALSE),"")</f>
        <v/>
      </c>
      <c r="Q103" s="409">
        <f ca="1">IF($A103=0,VLOOKUP($B103,Outputs!$N:$R,3,FALSE),"")</f>
        <v>33.258440621166891</v>
      </c>
    </row>
    <row r="104" spans="1:17">
      <c r="A104" s="232">
        <f>IF(VLOOKUP(B104,TOCA_current!$B$2:$AG$137,32,FALSE)=0,0,1)</f>
        <v>0</v>
      </c>
      <c r="B104" t="s">
        <v>32</v>
      </c>
      <c r="C104" s="409" t="str">
        <f>IF(A104=1,VLOOKUP($B104,Outputs!$B:$F,2,FALSE),"")</f>
        <v/>
      </c>
      <c r="D104" s="409">
        <f ca="1">IF(A104=0,VLOOKUP($B104,Outputs!$B:$F,2,FALSE),"")</f>
        <v>-7.8843246660192032E-3</v>
      </c>
      <c r="E104" s="62"/>
      <c r="F104" s="62" t="str">
        <f>IF(A104=1,VLOOKUP($B104,Outputs!$H:$L,2,FALSE),"")</f>
        <v/>
      </c>
      <c r="G104" s="62">
        <f ca="1">IF(A104=0,VLOOKUP($B104,Outputs!$H:$L,2,FALSE),"")</f>
        <v>-7.8843246660244594E-3</v>
      </c>
      <c r="H104" s="409"/>
      <c r="I104" s="409"/>
      <c r="J104" s="410">
        <f ca="1">VLOOKUP($B104,Outputs!$N:$R,2,FALSE)</f>
        <v>-2.5082408903881616E-2</v>
      </c>
      <c r="K104" s="410">
        <f ca="1">+VLOOKUP(B104,Outputs!T:U,2,FALSE)</f>
        <v>-7.8969297345551359E-3</v>
      </c>
      <c r="L104" s="409" t="str">
        <f>IF($A104=1,VLOOKUP($B104,Outputs!$B:$F,3,FALSE),"")</f>
        <v/>
      </c>
      <c r="M104" s="409">
        <f ca="1">IF($A104=0,VLOOKUP($B104,Outputs!$B:$F,3,FALSE),"")</f>
        <v>37.313450199241338</v>
      </c>
      <c r="N104" s="409" t="str">
        <f>IF($A104=1,VLOOKUP($B104,Outputs!$H:$L,3,FALSE),"")</f>
        <v/>
      </c>
      <c r="O104" s="409">
        <f ca="1">IF($A104=0,VLOOKUP($B104,Outputs!$H:$L,3,FALSE),"")</f>
        <v>37.313450199241338</v>
      </c>
      <c r="P104" s="409" t="str">
        <f>IF($A104=1,VLOOKUP($B104,Outputs!$N:$R,3,FALSE),"")</f>
        <v/>
      </c>
      <c r="Q104" s="409">
        <f ca="1">IF($A104=0,VLOOKUP($B104,Outputs!$N:$R,3,FALSE),"")</f>
        <v>36.384453599375853</v>
      </c>
    </row>
    <row r="105" spans="1:17">
      <c r="A105" s="232">
        <f>IF(VLOOKUP(B105,TOCA_current!$B$2:$AG$137,32,FALSE)=0,0,1)</f>
        <v>1</v>
      </c>
      <c r="B105" t="s">
        <v>46</v>
      </c>
      <c r="C105" s="409">
        <f ca="1">IF(A105=1,VLOOKUP($B105,Outputs!$B:$F,2,FALSE),"")</f>
        <v>-9.3390641119000303E-3</v>
      </c>
      <c r="D105" s="409" t="str">
        <f>IF(A105=0,VLOOKUP($B105,Outputs!$B:$F,2,FALSE),"")</f>
        <v/>
      </c>
      <c r="E105" s="62"/>
      <c r="F105" s="62">
        <f ca="1">IF(A105=1,VLOOKUP($B105,Outputs!$H:$L,2,FALSE),"")</f>
        <v>-1.9579953272227259E-2</v>
      </c>
      <c r="G105" s="62" t="str">
        <f>IF(A105=0,VLOOKUP($B105,Outputs!$H:$L,2,FALSE),"")</f>
        <v/>
      </c>
      <c r="H105" s="409"/>
      <c r="I105" s="409"/>
      <c r="J105" s="410">
        <f ca="1">VLOOKUP($B105,Outputs!$N:$R,2,FALSE)</f>
        <v>-2.4590048986033907E-2</v>
      </c>
      <c r="K105" s="410">
        <f ca="1">+VLOOKUP(B105,Outputs!T:U,2,FALSE)</f>
        <v>-1.9494619049270412E-2</v>
      </c>
      <c r="L105" s="409">
        <f ca="1">IF($A105=1,VLOOKUP($B105,Outputs!$B:$F,3,FALSE),"")</f>
        <v>37.426881125191301</v>
      </c>
      <c r="M105" s="409" t="str">
        <f>IF($A105=0,VLOOKUP($B105,Outputs!$B:$F,3,FALSE),"")</f>
        <v/>
      </c>
      <c r="N105" s="409">
        <f ca="1">IF($A105=1,VLOOKUP($B105,Outputs!$H:$L,3,FALSE),"")</f>
        <v>33.154658046714339</v>
      </c>
      <c r="O105" s="409" t="str">
        <f>IF($A105=0,VLOOKUP($B105,Outputs!$H:$L,3,FALSE),"")</f>
        <v/>
      </c>
      <c r="P105" s="409">
        <f ca="1">IF($A105=1,VLOOKUP($B105,Outputs!$N:$R,3,FALSE),"")</f>
        <v>33.094703824253124</v>
      </c>
      <c r="Q105" s="409" t="str">
        <f>IF($A105=0,VLOOKUP($B105,Outputs!$N:$R,3,FALSE),"")</f>
        <v/>
      </c>
    </row>
    <row r="106" spans="1:17">
      <c r="A106" s="232">
        <f>IF(VLOOKUP(B106,TOCA_current!$B$2:$AG$137,32,FALSE)=0,0,1)</f>
        <v>0</v>
      </c>
      <c r="B106" t="s">
        <v>131</v>
      </c>
      <c r="C106" s="409" t="str">
        <f>IF(A106=1,VLOOKUP($B106,Outputs!$B:$F,2,FALSE),"")</f>
        <v/>
      </c>
      <c r="D106" s="409">
        <f ca="1">IF(A106=0,VLOOKUP($B106,Outputs!$B:$F,2,FALSE),"")</f>
        <v>-1.4898332458804127E-2</v>
      </c>
      <c r="E106" s="62"/>
      <c r="F106" s="62" t="str">
        <f>IF(A106=1,VLOOKUP($B106,Outputs!$H:$L,2,FALSE),"")</f>
        <v/>
      </c>
      <c r="G106" s="62">
        <f ca="1">IF(A106=0,VLOOKUP($B106,Outputs!$H:$L,2,FALSE),"")</f>
        <v>-1.4898332458805065E-2</v>
      </c>
      <c r="H106" s="409"/>
      <c r="I106" s="409"/>
      <c r="J106" s="410">
        <f ca="1">VLOOKUP($B106,Outputs!$N:$R,2,FALSE)</f>
        <v>-1.3947824452733598E-2</v>
      </c>
      <c r="K106" s="410">
        <f ca="1">+VLOOKUP(B106,Outputs!T:U,2,FALSE)</f>
        <v>-1.970332659476981E-2</v>
      </c>
      <c r="L106" s="409" t="str">
        <f>IF($A106=1,VLOOKUP($B106,Outputs!$B:$F,3,FALSE),"")</f>
        <v/>
      </c>
      <c r="M106" s="409">
        <f ca="1">IF($A106=0,VLOOKUP($B106,Outputs!$B:$F,3,FALSE),"")</f>
        <v>31.707875087516804</v>
      </c>
      <c r="N106" s="409" t="str">
        <f>IF($A106=1,VLOOKUP($B106,Outputs!$H:$L,3,FALSE),"")</f>
        <v/>
      </c>
      <c r="O106" s="409">
        <f ca="1">IF($A106=0,VLOOKUP($B106,Outputs!$H:$L,3,FALSE),"")</f>
        <v>31.707875087516804</v>
      </c>
      <c r="P106" s="409" t="str">
        <f>IF($A106=1,VLOOKUP($B106,Outputs!$N:$R,3,FALSE),"")</f>
        <v/>
      </c>
      <c r="Q106" s="409">
        <f ca="1">IF($A106=0,VLOOKUP($B106,Outputs!$N:$R,3,FALSE),"")</f>
        <v>31.793546995844448</v>
      </c>
    </row>
    <row r="107" spans="1:17">
      <c r="A107" s="232">
        <f>IF(VLOOKUP(B107,TOCA_current!$B$2:$AG$137,32,FALSE)=0,0,1)</f>
        <v>0</v>
      </c>
      <c r="B107" t="s">
        <v>114</v>
      </c>
      <c r="C107" s="409" t="str">
        <f>IF(A107=1,VLOOKUP($B107,Outputs!$B:$F,2,FALSE),"")</f>
        <v/>
      </c>
      <c r="D107" s="409">
        <f ca="1">IF(A107=0,VLOOKUP($B107,Outputs!$B:$F,2,FALSE),"")</f>
        <v>-6.4980987138309057E-3</v>
      </c>
      <c r="E107" s="62"/>
      <c r="F107" s="62" t="str">
        <f>IF(A107=1,VLOOKUP($B107,Outputs!$H:$L,2,FALSE),"")</f>
        <v/>
      </c>
      <c r="G107" s="62">
        <f ca="1">IF(A107=0,VLOOKUP($B107,Outputs!$H:$L,2,FALSE),"")</f>
        <v>-6.4980987138317384E-3</v>
      </c>
      <c r="H107" s="409"/>
      <c r="I107" s="409"/>
      <c r="J107" s="410">
        <f ca="1">VLOOKUP($B107,Outputs!$N:$R,2,FALSE)</f>
        <v>-2.43248911088975E-2</v>
      </c>
      <c r="K107" s="410">
        <f ca="1">+VLOOKUP(B107,Outputs!T:U,2,FALSE)</f>
        <v>-3.2416182200726285E-3</v>
      </c>
      <c r="L107" s="409" t="str">
        <f>IF($A107=1,VLOOKUP($B107,Outputs!$B:$F,3,FALSE),"")</f>
        <v/>
      </c>
      <c r="M107" s="409">
        <f ca="1">IF($A107=0,VLOOKUP($B107,Outputs!$B:$F,3,FALSE),"")</f>
        <v>35.391682511967964</v>
      </c>
      <c r="N107" s="409" t="str">
        <f>IF($A107=1,VLOOKUP($B107,Outputs!$H:$L,3,FALSE),"")</f>
        <v/>
      </c>
      <c r="O107" s="409">
        <f ca="1">IF($A107=0,VLOOKUP($B107,Outputs!$H:$L,3,FALSE),"")</f>
        <v>35.391682511967964</v>
      </c>
      <c r="P107" s="409" t="str">
        <f>IF($A107=1,VLOOKUP($B107,Outputs!$N:$R,3,FALSE),"")</f>
        <v/>
      </c>
      <c r="Q107" s="409">
        <f ca="1">IF($A107=0,VLOOKUP($B107,Outputs!$N:$R,3,FALSE),"")</f>
        <v>34.289095118057013</v>
      </c>
    </row>
    <row r="108" spans="1:17">
      <c r="A108" s="232">
        <f>IF(VLOOKUP(B108,TOCA_current!$B$2:$AG$137,32,FALSE)=0,0,1)</f>
        <v>0</v>
      </c>
      <c r="B108" t="s">
        <v>39</v>
      </c>
      <c r="C108" s="409" t="str">
        <f>IF(A108=1,VLOOKUP($B108,Outputs!$B:$F,2,FALSE),"")</f>
        <v/>
      </c>
      <c r="D108" s="409">
        <f ca="1">IF(A108=0,VLOOKUP($B108,Outputs!$B:$F,2,FALSE),"")</f>
        <v>4.3748553905585789E-3</v>
      </c>
      <c r="E108" s="62"/>
      <c r="F108" s="62" t="str">
        <f>IF(A108=1,VLOOKUP($B108,Outputs!$H:$L,2,FALSE),"")</f>
        <v/>
      </c>
      <c r="G108" s="62">
        <f ca="1">IF(A108=0,VLOOKUP($B108,Outputs!$H:$L,2,FALSE),"")</f>
        <v>4.3748553905531432E-3</v>
      </c>
      <c r="H108" s="409"/>
      <c r="I108" s="409"/>
      <c r="J108" s="410">
        <f ca="1">VLOOKUP($B108,Outputs!$N:$R,2,FALSE)</f>
        <v>-2.4669134857168921E-2</v>
      </c>
      <c r="K108" s="410">
        <f ca="1">+VLOOKUP(B108,Outputs!T:U,2,FALSE)</f>
        <v>2.8762311198125001E-3</v>
      </c>
      <c r="L108" s="409" t="str">
        <f>IF($A108=1,VLOOKUP($B108,Outputs!$B:$F,3,FALSE),"")</f>
        <v/>
      </c>
      <c r="M108" s="409">
        <f ca="1">IF($A108=0,VLOOKUP($B108,Outputs!$B:$F,3,FALSE),"")</f>
        <v>36.439888775859025</v>
      </c>
      <c r="N108" s="409" t="str">
        <f>IF($A108=1,VLOOKUP($B108,Outputs!$H:$L,3,FALSE),"")</f>
        <v/>
      </c>
      <c r="O108" s="409">
        <f ca="1">IF($A108=0,VLOOKUP($B108,Outputs!$H:$L,3,FALSE),"")</f>
        <v>36.439888775859025</v>
      </c>
      <c r="P108" s="409" t="str">
        <f>IF($A108=1,VLOOKUP($B108,Outputs!$N:$R,3,FALSE),"")</f>
        <v/>
      </c>
      <c r="Q108" s="409">
        <f ca="1">IF($A108=0,VLOOKUP($B108,Outputs!$N:$R,3,FALSE),"")</f>
        <v>34.945913012958208</v>
      </c>
    </row>
    <row r="109" spans="1:17">
      <c r="A109" s="232">
        <f>IF(VLOOKUP(B109,TOCA_current!$B$2:$AG$137,32,FALSE)=0,0,1)</f>
        <v>0</v>
      </c>
      <c r="B109" t="s">
        <v>76</v>
      </c>
      <c r="C109" s="409" t="str">
        <f>IF(A109=1,VLOOKUP($B109,Outputs!$B:$F,2,FALSE),"")</f>
        <v/>
      </c>
      <c r="D109" s="409">
        <f ca="1">IF(A109=0,VLOOKUP($B109,Outputs!$B:$F,2,FALSE),"")</f>
        <v>-1.0529069170863747E-2</v>
      </c>
      <c r="E109" s="62"/>
      <c r="F109" s="62" t="str">
        <f>IF(A109=1,VLOOKUP($B109,Outputs!$H:$L,2,FALSE),"")</f>
        <v/>
      </c>
      <c r="G109" s="62">
        <f ca="1">IF(A109=0,VLOOKUP($B109,Outputs!$H:$L,2,FALSE),"")</f>
        <v>-1.0529069170865504E-2</v>
      </c>
      <c r="H109" s="409"/>
      <c r="I109" s="409"/>
      <c r="J109" s="410">
        <f ca="1">VLOOKUP($B109,Outputs!$N:$R,2,FALSE)</f>
        <v>-3.1721794330483818E-2</v>
      </c>
      <c r="K109" s="410">
        <f ca="1">+VLOOKUP(B109,Outputs!T:U,2,FALSE)</f>
        <v>-4.8055772966232979E-2</v>
      </c>
      <c r="L109" s="409" t="str">
        <f>IF($A109=1,VLOOKUP($B109,Outputs!$B:$F,3,FALSE),"")</f>
        <v/>
      </c>
      <c r="M109" s="409">
        <f ca="1">IF($A109=0,VLOOKUP($B109,Outputs!$B:$F,3,FALSE),"")</f>
        <v>33.451751826339148</v>
      </c>
      <c r="N109" s="409" t="str">
        <f>IF($A109=1,VLOOKUP($B109,Outputs!$H:$L,3,FALSE),"")</f>
        <v/>
      </c>
      <c r="O109" s="409">
        <f ca="1">IF($A109=0,VLOOKUP($B109,Outputs!$H:$L,3,FALSE),"")</f>
        <v>33.451751826339148</v>
      </c>
      <c r="P109" s="409" t="str">
        <f>IF($A109=1,VLOOKUP($B109,Outputs!$N:$R,3,FALSE),"")</f>
        <v/>
      </c>
      <c r="Q109" s="409">
        <f ca="1">IF($A109=0,VLOOKUP($B109,Outputs!$N:$R,3,FALSE),"")</f>
        <v>32.161187878322195</v>
      </c>
    </row>
    <row r="110" spans="1:17">
      <c r="A110" s="232">
        <f>IF(VLOOKUP(B110,TOCA_current!$B$2:$AG$137,32,FALSE)=0,0,1)</f>
        <v>0</v>
      </c>
      <c r="B110" t="s">
        <v>121</v>
      </c>
      <c r="C110" s="409" t="str">
        <f>IF(A110=1,VLOOKUP($B110,Outputs!$B:$F,2,FALSE),"")</f>
        <v/>
      </c>
      <c r="D110" s="409">
        <f ca="1">IF(A110=0,VLOOKUP($B110,Outputs!$B:$F,2,FALSE),"")</f>
        <v>5.0525817335117504E-2</v>
      </c>
      <c r="E110" s="62"/>
      <c r="F110" s="62" t="str">
        <f>IF(A110=1,VLOOKUP($B110,Outputs!$H:$L,2,FALSE),"")</f>
        <v/>
      </c>
      <c r="G110" s="62">
        <f ca="1">IF(A110=0,VLOOKUP($B110,Outputs!$H:$L,2,FALSE),"")</f>
        <v>5.0525817335114728E-2</v>
      </c>
      <c r="H110" s="409"/>
      <c r="I110" s="409"/>
      <c r="J110" s="410">
        <f ca="1">VLOOKUP($B110,Outputs!$N:$R,2,FALSE)</f>
        <v>-1.1635588238100798E-2</v>
      </c>
      <c r="K110" s="410" t="str">
        <f ca="1">+VLOOKUP(B110,Outputs!T:U,2,FALSE)</f>
        <v/>
      </c>
      <c r="L110" s="409" t="str">
        <f>IF($A110=1,VLOOKUP($B110,Outputs!$B:$F,3,FALSE),"")</f>
        <v/>
      </c>
      <c r="M110" s="409">
        <f ca="1">IF($A110=0,VLOOKUP($B110,Outputs!$B:$F,3,FALSE),"")</f>
        <v>29.189094840072123</v>
      </c>
      <c r="N110" s="409" t="str">
        <f>IF($A110=1,VLOOKUP($B110,Outputs!$H:$L,3,FALSE),"")</f>
        <v/>
      </c>
      <c r="O110" s="409">
        <f ca="1">IF($A110=0,VLOOKUP($B110,Outputs!$H:$L,3,FALSE),"")</f>
        <v>29.189094840072123</v>
      </c>
      <c r="P110" s="409" t="str">
        <f>IF($A110=1,VLOOKUP($B110,Outputs!$N:$R,3,FALSE),"")</f>
        <v/>
      </c>
      <c r="Q110" s="409">
        <f ca="1">IF($A110=0,VLOOKUP($B110,Outputs!$N:$R,3,FALSE),"")</f>
        <v>27.839754254865088</v>
      </c>
    </row>
    <row r="111" spans="1:17">
      <c r="A111" s="232">
        <f>IF(VLOOKUP(B111,TOCA_current!$B$2:$AG$137,32,FALSE)=0,0,1)</f>
        <v>1</v>
      </c>
      <c r="B111" t="s">
        <v>82</v>
      </c>
      <c r="C111" s="409">
        <f ca="1">IF(A111=1,VLOOKUP($B111,Outputs!$B:$F,2,FALSE),"")</f>
        <v>-1.4079261542578329E-2</v>
      </c>
      <c r="D111" s="409" t="str">
        <f>IF(A111=0,VLOOKUP($B111,Outputs!$B:$F,2,FALSE),"")</f>
        <v/>
      </c>
      <c r="E111" s="62"/>
      <c r="F111" s="62">
        <f ca="1">IF(A111=1,VLOOKUP($B111,Outputs!$H:$L,2,FALSE),"")</f>
        <v>-2.0954119527620319E-2</v>
      </c>
      <c r="G111" s="62" t="str">
        <f>IF(A111=0,VLOOKUP($B111,Outputs!$H:$L,2,FALSE),"")</f>
        <v/>
      </c>
      <c r="H111" s="409"/>
      <c r="I111" s="409"/>
      <c r="J111" s="410">
        <f ca="1">VLOOKUP($B111,Outputs!$N:$R,2,FALSE)</f>
        <v>-2.3164544027355977E-2</v>
      </c>
      <c r="K111" s="410">
        <f ca="1">+VLOOKUP(B111,Outputs!T:U,2,FALSE)</f>
        <v>-1.8997016003977407E-2</v>
      </c>
      <c r="L111" s="409">
        <f ca="1">IF($A111=1,VLOOKUP($B111,Outputs!$B:$F,3,FALSE),"")</f>
        <v>35.607199100728913</v>
      </c>
      <c r="M111" s="409" t="str">
        <f>IF($A111=0,VLOOKUP($B111,Outputs!$B:$F,3,FALSE),"")</f>
        <v/>
      </c>
      <c r="N111" s="409">
        <f ca="1">IF($A111=1,VLOOKUP($B111,Outputs!$H:$L,3,FALSE),"")</f>
        <v>31.55594753193288</v>
      </c>
      <c r="O111" s="409" t="str">
        <f>IF($A111=0,VLOOKUP($B111,Outputs!$H:$L,3,FALSE),"")</f>
        <v/>
      </c>
      <c r="P111" s="409">
        <f ca="1">IF($A111=1,VLOOKUP($B111,Outputs!$N:$R,3,FALSE),"")</f>
        <v>31.292944417350348</v>
      </c>
      <c r="Q111" s="409" t="str">
        <f>IF($A111=0,VLOOKUP($B111,Outputs!$N:$R,3,FALSE),"")</f>
        <v/>
      </c>
    </row>
    <row r="112" spans="1:17">
      <c r="A112" s="232">
        <f>IF(VLOOKUP(B112,TOCA_current!$B$2:$AG$137,32,FALSE)=0,0,1)</f>
        <v>1</v>
      </c>
      <c r="B112" t="s">
        <v>68</v>
      </c>
      <c r="C112" s="409">
        <f ca="1">IF(A112=1,VLOOKUP($B112,Outputs!$B:$F,2,FALSE),"")</f>
        <v>-4.9985988463307224E-3</v>
      </c>
      <c r="D112" s="409" t="str">
        <f>IF(A112=0,VLOOKUP($B112,Outputs!$B:$F,2,FALSE),"")</f>
        <v/>
      </c>
      <c r="E112" s="62"/>
      <c r="F112" s="62">
        <f ca="1">IF(A112=1,VLOOKUP($B112,Outputs!$H:$L,2,FALSE),"")</f>
        <v>2.926202342446972E-3</v>
      </c>
      <c r="G112" s="62" t="str">
        <f>IF(A112=0,VLOOKUP($B112,Outputs!$H:$L,2,FALSE),"")</f>
        <v/>
      </c>
      <c r="H112" s="409"/>
      <c r="I112" s="409"/>
      <c r="J112" s="410">
        <f ca="1">VLOOKUP($B112,Outputs!$N:$R,2,FALSE)</f>
        <v>-2.6715285308534412E-2</v>
      </c>
      <c r="K112" s="410">
        <f ca="1">+VLOOKUP(B112,Outputs!T:U,2,FALSE)</f>
        <v>2.9262023424425632E-3</v>
      </c>
      <c r="L112" s="409">
        <f ca="1">IF($A112=1,VLOOKUP($B112,Outputs!$B:$F,3,FALSE),"")</f>
        <v>35.705117503178109</v>
      </c>
      <c r="M112" s="409" t="str">
        <f>IF($A112=0,VLOOKUP($B112,Outputs!$B:$F,3,FALSE),"")</f>
        <v/>
      </c>
      <c r="N112" s="409">
        <f ca="1">IF($A112=1,VLOOKUP($B112,Outputs!$H:$L,3,FALSE),"")</f>
        <v>31.782461346417673</v>
      </c>
      <c r="O112" s="409" t="str">
        <f>IF($A112=0,VLOOKUP($B112,Outputs!$H:$L,3,FALSE),"")</f>
        <v/>
      </c>
      <c r="P112" s="409">
        <f ca="1">IF($A112=1,VLOOKUP($B112,Outputs!$N:$R,3,FALSE),"")</f>
        <v>31.100057630911426</v>
      </c>
      <c r="Q112" s="409" t="str">
        <f>IF($A112=0,VLOOKUP($B112,Outputs!$N:$R,3,FALSE),"")</f>
        <v/>
      </c>
    </row>
    <row r="113" spans="1:17">
      <c r="A113" s="232">
        <f>IF(VLOOKUP(B113,TOCA_current!$B$2:$AG$137,32,FALSE)=0,0,1)</f>
        <v>0</v>
      </c>
      <c r="B113" t="s">
        <v>71</v>
      </c>
      <c r="C113" s="409" t="str">
        <f>IF(A113=1,VLOOKUP($B113,Outputs!$B:$F,2,FALSE),"")</f>
        <v/>
      </c>
      <c r="D113" s="409">
        <f ca="1">IF(A113=0,VLOOKUP($B113,Outputs!$B:$F,2,FALSE),"")</f>
        <v>-1.9270112604991275E-2</v>
      </c>
      <c r="E113" s="62"/>
      <c r="F113" s="62" t="str">
        <f>IF(A113=1,VLOOKUP($B113,Outputs!$H:$L,2,FALSE),"")</f>
        <v/>
      </c>
      <c r="G113" s="62">
        <f ca="1">IF(A113=0,VLOOKUP($B113,Outputs!$H:$L,2,FALSE),"")</f>
        <v>-1.9270112604988756E-2</v>
      </c>
      <c r="H113" s="409"/>
      <c r="I113" s="409"/>
      <c r="J113" s="410">
        <f ca="1">VLOOKUP($B113,Outputs!$N:$R,2,FALSE)</f>
        <v>-2.1898563026615046E-2</v>
      </c>
      <c r="K113" s="410">
        <f ca="1">+VLOOKUP(B113,Outputs!T:U,2,FALSE)</f>
        <v>2.3274703315000478E-2</v>
      </c>
      <c r="L113" s="409" t="str">
        <f>IF($A113=1,VLOOKUP($B113,Outputs!$B:$F,3,FALSE),"")</f>
        <v/>
      </c>
      <c r="M113" s="409">
        <f ca="1">IF($A113=0,VLOOKUP($B113,Outputs!$B:$F,3,FALSE),"")</f>
        <v>34.868115965389528</v>
      </c>
      <c r="N113" s="409" t="str">
        <f>IF($A113=1,VLOOKUP($B113,Outputs!$H:$L,3,FALSE),"")</f>
        <v/>
      </c>
      <c r="O113" s="409">
        <f ca="1">IF($A113=0,VLOOKUP($B113,Outputs!$H:$L,3,FALSE),"")</f>
        <v>34.868115965389528</v>
      </c>
      <c r="P113" s="409" t="str">
        <f>IF($A113=1,VLOOKUP($B113,Outputs!$N:$R,3,FALSE),"")</f>
        <v/>
      </c>
      <c r="Q113" s="409">
        <f ca="1">IF($A113=0,VLOOKUP($B113,Outputs!$N:$R,3,FALSE),"")</f>
        <v>34.41171061233235</v>
      </c>
    </row>
    <row r="114" spans="1:17">
      <c r="A114" s="232">
        <f>IF(VLOOKUP(B114,TOCA_current!$B$2:$AG$137,32,FALSE)=0,0,1)</f>
        <v>0</v>
      </c>
      <c r="B114" t="s">
        <v>15</v>
      </c>
      <c r="C114" s="409" t="str">
        <f>IF(A114=1,VLOOKUP($B114,Outputs!$B:$F,2,FALSE),"")</f>
        <v/>
      </c>
      <c r="D114" s="409">
        <f ca="1">IF(A114=0,VLOOKUP($B114,Outputs!$B:$F,2,FALSE),"")</f>
        <v>-1.9192562946681799E-2</v>
      </c>
      <c r="E114" s="62"/>
      <c r="F114" s="62" t="str">
        <f>IF(A114=1,VLOOKUP($B114,Outputs!$H:$L,2,FALSE),"")</f>
        <v/>
      </c>
      <c r="G114" s="62">
        <f ca="1">IF(A114=0,VLOOKUP($B114,Outputs!$H:$L,2,FALSE),"")</f>
        <v>-1.9192562946683846E-2</v>
      </c>
      <c r="H114" s="409"/>
      <c r="I114" s="409"/>
      <c r="J114" s="410">
        <f ca="1">VLOOKUP($B114,Outputs!$N:$R,2,FALSE)</f>
        <v>-2.6711583932671097E-2</v>
      </c>
      <c r="K114" s="410">
        <f ca="1">+VLOOKUP(B114,Outputs!T:U,2,FALSE)</f>
        <v>-2.0273841793536751E-2</v>
      </c>
      <c r="L114" s="409" t="str">
        <f>IF($A114=1,VLOOKUP($B114,Outputs!$B:$F,3,FALSE),"")</f>
        <v/>
      </c>
      <c r="M114" s="409">
        <f ca="1">IF($A114=0,VLOOKUP($B114,Outputs!$B:$F,3,FALSE),"")</f>
        <v>34.458873143100831</v>
      </c>
      <c r="N114" s="409" t="str">
        <f>IF($A114=1,VLOOKUP($B114,Outputs!$H:$L,3,FALSE),"")</f>
        <v/>
      </c>
      <c r="O114" s="409">
        <f ca="1">IF($A114=0,VLOOKUP($B114,Outputs!$H:$L,3,FALSE),"")</f>
        <v>34.458873143100831</v>
      </c>
      <c r="P114" s="409" t="str">
        <f>IF($A114=1,VLOOKUP($B114,Outputs!$N:$R,3,FALSE),"")</f>
        <v/>
      </c>
      <c r="Q114" s="409">
        <f ca="1">IF($A114=0,VLOOKUP($B114,Outputs!$N:$R,3,FALSE),"")</f>
        <v>33.898870042424171</v>
      </c>
    </row>
    <row r="115" spans="1:17">
      <c r="A115" s="232">
        <f>IF(VLOOKUP(B115,TOCA_current!$B$2:$AG$137,32,FALSE)=0,0,1)</f>
        <v>0</v>
      </c>
      <c r="B115" t="s">
        <v>9</v>
      </c>
      <c r="C115" s="409" t="str">
        <f>IF(A115=1,VLOOKUP($B115,Outputs!$B:$F,2,FALSE),"")</f>
        <v/>
      </c>
      <c r="D115" s="409">
        <f ca="1">IF(A115=0,VLOOKUP($B115,Outputs!$B:$F,2,FALSE),"")</f>
        <v>-9.5813993963851617E-3</v>
      </c>
      <c r="E115" s="62"/>
      <c r="F115" s="62" t="str">
        <f>IF(A115=1,VLOOKUP($B115,Outputs!$H:$L,2,FALSE),"")</f>
        <v/>
      </c>
      <c r="G115" s="62">
        <f ca="1">IF(A115=0,VLOOKUP($B115,Outputs!$H:$L,2,FALSE),"")</f>
        <v>-9.5813993963878505E-3</v>
      </c>
      <c r="H115" s="409"/>
      <c r="I115" s="409"/>
      <c r="J115" s="410">
        <f ca="1">VLOOKUP($B115,Outputs!$N:$R,2,FALSE)</f>
        <v>-2.7912180259352423E-2</v>
      </c>
      <c r="K115" s="410">
        <f ca="1">+VLOOKUP(B115,Outputs!T:U,2,FALSE)</f>
        <v>0.13317663387980549</v>
      </c>
      <c r="L115" s="409" t="str">
        <f>IF($A115=1,VLOOKUP($B115,Outputs!$B:$F,3,FALSE),"")</f>
        <v/>
      </c>
      <c r="M115" s="409">
        <f ca="1">IF($A115=0,VLOOKUP($B115,Outputs!$B:$F,3,FALSE),"")</f>
        <v>33.393397875617829</v>
      </c>
      <c r="N115" s="409" t="str">
        <f>IF($A115=1,VLOOKUP($B115,Outputs!$H:$L,3,FALSE),"")</f>
        <v/>
      </c>
      <c r="O115" s="409">
        <f ca="1">IF($A115=0,VLOOKUP($B115,Outputs!$H:$L,3,FALSE),"")</f>
        <v>33.393397875617829</v>
      </c>
      <c r="P115" s="409" t="str">
        <f>IF($A115=1,VLOOKUP($B115,Outputs!$N:$R,3,FALSE),"")</f>
        <v/>
      </c>
      <c r="Q115" s="409">
        <f ca="1">IF($A115=0,VLOOKUP($B115,Outputs!$N:$R,3,FALSE),"")</f>
        <v>32.968036964588933</v>
      </c>
    </row>
    <row r="116" spans="1:17">
      <c r="A116" s="232">
        <f>IF(VLOOKUP(B116,TOCA_current!$B$2:$AG$137,32,FALSE)=0,0,1)</f>
        <v>1</v>
      </c>
      <c r="B116" t="s">
        <v>62</v>
      </c>
      <c r="C116" s="409">
        <f ca="1">IF(A116=1,VLOOKUP($B116,Outputs!$B:$F,2,FALSE),"")</f>
        <v>-5.0356833011803957E-3</v>
      </c>
      <c r="D116" s="409" t="str">
        <f>IF(A116=0,VLOOKUP($B116,Outputs!$B:$F,2,FALSE),"")</f>
        <v/>
      </c>
      <c r="E116" s="62"/>
      <c r="F116" s="62">
        <f ca="1">IF(A116=1,VLOOKUP($B116,Outputs!$H:$L,2,FALSE),"")</f>
        <v>-6.0276442904302046E-3</v>
      </c>
      <c r="G116" s="62" t="str">
        <f>IF(A116=0,VLOOKUP($B116,Outputs!$H:$L,2,FALSE),"")</f>
        <v/>
      </c>
      <c r="H116" s="409"/>
      <c r="I116" s="409"/>
      <c r="J116" s="410">
        <f ca="1">VLOOKUP($B116,Outputs!$N:$R,2,FALSE)</f>
        <v>-2.4590048978782999E-2</v>
      </c>
      <c r="K116" s="410">
        <f ca="1">+VLOOKUP(B116,Outputs!T:U,2,FALSE)</f>
        <v>-5.9737085696826009E-3</v>
      </c>
      <c r="L116" s="409">
        <f ca="1">IF($A116=1,VLOOKUP($B116,Outputs!$B:$F,3,FALSE),"")</f>
        <v>37.387910569338523</v>
      </c>
      <c r="M116" s="409" t="str">
        <f>IF($A116=0,VLOOKUP($B116,Outputs!$B:$F,3,FALSE),"")</f>
        <v/>
      </c>
      <c r="N116" s="409">
        <f ca="1">IF($A116=1,VLOOKUP($B116,Outputs!$H:$L,3,FALSE),"")</f>
        <v>34.014361633726182</v>
      </c>
      <c r="O116" s="409" t="str">
        <f>IF($A116=0,VLOOKUP($B116,Outputs!$H:$L,3,FALSE),"")</f>
        <v/>
      </c>
      <c r="P116" s="409">
        <f ca="1">IF($A116=1,VLOOKUP($B116,Outputs!$N:$R,3,FALSE),"")</f>
        <v>33.094703824253124</v>
      </c>
      <c r="Q116" s="409" t="str">
        <f>IF($A116=0,VLOOKUP($B116,Outputs!$N:$R,3,FALSE),"")</f>
        <v/>
      </c>
    </row>
    <row r="117" spans="1:17">
      <c r="A117" s="232">
        <f>IF(VLOOKUP(B117,TOCA_current!$B$2:$AG$137,32,FALSE)=0,0,1)</f>
        <v>1</v>
      </c>
      <c r="B117" t="s">
        <v>45</v>
      </c>
      <c r="C117" s="409">
        <f ca="1">IF(A117=1,VLOOKUP($B117,Outputs!$B:$F,2,FALSE),"")</f>
        <v>-1.512259086370967E-2</v>
      </c>
      <c r="D117" s="409" t="str">
        <f>IF(A117=0,VLOOKUP($B117,Outputs!$B:$F,2,FALSE),"")</f>
        <v/>
      </c>
      <c r="E117" s="62"/>
      <c r="F117" s="62">
        <f ca="1">IF(A117=1,VLOOKUP($B117,Outputs!$H:$L,2,FALSE),"")</f>
        <v>-1.8605996157240418E-2</v>
      </c>
      <c r="G117" s="62" t="str">
        <f>IF(A117=0,VLOOKUP($B117,Outputs!$H:$L,2,FALSE),"")</f>
        <v/>
      </c>
      <c r="H117" s="409"/>
      <c r="I117" s="409"/>
      <c r="J117" s="410">
        <f ca="1">VLOOKUP($B117,Outputs!$N:$R,2,FALSE)</f>
        <v>-2.4590048984939748E-2</v>
      </c>
      <c r="K117" s="410">
        <f ca="1">+VLOOKUP(B117,Outputs!T:U,2,FALSE)</f>
        <v>-1.8605996157247895E-2</v>
      </c>
      <c r="L117" s="409">
        <f ca="1">IF($A117=1,VLOOKUP($B117,Outputs!$B:$F,3,FALSE),"")</f>
        <v>36.699924018349549</v>
      </c>
      <c r="M117" s="409" t="str">
        <f>IF($A117=0,VLOOKUP($B117,Outputs!$B:$F,3,FALSE),"")</f>
        <v/>
      </c>
      <c r="N117" s="409">
        <f ca="1">IF($A117=1,VLOOKUP($B117,Outputs!$H:$L,3,FALSE),"")</f>
        <v>33.465181252502241</v>
      </c>
      <c r="O117" s="409" t="str">
        <f>IF($A117=0,VLOOKUP($B117,Outputs!$H:$L,3,FALSE),"")</f>
        <v/>
      </c>
      <c r="P117" s="409">
        <f ca="1">IF($A117=1,VLOOKUP($B117,Outputs!$N:$R,3,FALSE),"")</f>
        <v>33.094703824253116</v>
      </c>
      <c r="Q117" s="409" t="str">
        <f>IF($A117=0,VLOOKUP($B117,Outputs!$N:$R,3,FALSE),"")</f>
        <v/>
      </c>
    </row>
    <row r="118" spans="1:17">
      <c r="A118" s="232">
        <f>IF(VLOOKUP(B118,TOCA_current!$B$2:$AG$137,32,FALSE)=0,0,1)</f>
        <v>1</v>
      </c>
      <c r="B118" t="s">
        <v>116</v>
      </c>
      <c r="C118" s="409">
        <f ca="1">IF(A118=1,VLOOKUP($B118,Outputs!$B:$F,2,FALSE),"")</f>
        <v>-1.1447558551140546E-2</v>
      </c>
      <c r="D118" s="409" t="str">
        <f>IF(A118=0,VLOOKUP($B118,Outputs!$B:$F,2,FALSE),"")</f>
        <v/>
      </c>
      <c r="E118" s="62"/>
      <c r="F118" s="62">
        <f ca="1">IF(A118=1,VLOOKUP($B118,Outputs!$H:$L,2,FALSE),"")</f>
        <v>-2.278731552316474E-2</v>
      </c>
      <c r="G118" s="62" t="str">
        <f>IF(A118=0,VLOOKUP($B118,Outputs!$H:$L,2,FALSE),"")</f>
        <v/>
      </c>
      <c r="H118" s="409"/>
      <c r="I118" s="409"/>
      <c r="J118" s="410">
        <f ca="1">VLOOKUP($B118,Outputs!$N:$R,2,FALSE)</f>
        <v>-2.4590048983316019E-2</v>
      </c>
      <c r="K118" s="410">
        <f ca="1">+VLOOKUP(B118,Outputs!T:U,2,FALSE)</f>
        <v>-2.2825883720315576E-2</v>
      </c>
      <c r="L118" s="409">
        <f ca="1">IF($A118=1,VLOOKUP($B118,Outputs!$B:$F,3,FALSE),"")</f>
        <v>37.170353263093297</v>
      </c>
      <c r="M118" s="409" t="str">
        <f>IF($A118=0,VLOOKUP($B118,Outputs!$B:$F,3,FALSE),"")</f>
        <v/>
      </c>
      <c r="N118" s="409">
        <f ca="1">IF($A118=1,VLOOKUP($B118,Outputs!$H:$L,3,FALSE),"")</f>
        <v>33.26834204211395</v>
      </c>
      <c r="O118" s="409" t="str">
        <f>IF($A118=0,VLOOKUP($B118,Outputs!$H:$L,3,FALSE),"")</f>
        <v/>
      </c>
      <c r="P118" s="409">
        <f ca="1">IF($A118=1,VLOOKUP($B118,Outputs!$N:$R,3,FALSE),"")</f>
        <v>33.094703824253131</v>
      </c>
      <c r="Q118" s="409" t="str">
        <f>IF($A118=0,VLOOKUP($B118,Outputs!$N:$R,3,FALSE),"")</f>
        <v/>
      </c>
    </row>
    <row r="119" spans="1:17">
      <c r="A119" s="232">
        <f>IF(VLOOKUP(B119,TOCA_current!$B$2:$AG$137,32,FALSE)=0,0,1)</f>
        <v>1</v>
      </c>
      <c r="B119" t="s">
        <v>55</v>
      </c>
      <c r="C119" s="409">
        <f ca="1">IF(A119=1,VLOOKUP($B119,Outputs!$B:$F,2,FALSE),"")</f>
        <v>-1.211127676575976E-2</v>
      </c>
      <c r="D119" s="409" t="str">
        <f>IF(A119=0,VLOOKUP($B119,Outputs!$B:$F,2,FALSE),"")</f>
        <v/>
      </c>
      <c r="E119" s="62"/>
      <c r="F119" s="62">
        <f ca="1">IF(A119=1,VLOOKUP($B119,Outputs!$H:$L,2,FALSE),"")</f>
        <v>-1.9270453298219286E-2</v>
      </c>
      <c r="G119" s="62" t="str">
        <f>IF(A119=0,VLOOKUP($B119,Outputs!$H:$L,2,FALSE),"")</f>
        <v/>
      </c>
      <c r="H119" s="409"/>
      <c r="I119" s="409"/>
      <c r="J119" s="410">
        <f ca="1">VLOOKUP($B119,Outputs!$N:$R,2,FALSE)</f>
        <v>-2.459004898138091E-2</v>
      </c>
      <c r="K119" s="410">
        <f ca="1">+VLOOKUP(B119,Outputs!T:U,2,FALSE)</f>
        <v>-1.8959906350247802E-2</v>
      </c>
      <c r="L119" s="409">
        <f ca="1">IF($A119=1,VLOOKUP($B119,Outputs!$B:$F,3,FALSE),"")</f>
        <v>36.833494161229872</v>
      </c>
      <c r="M119" s="409" t="str">
        <f>IF($A119=0,VLOOKUP($B119,Outputs!$B:$F,3,FALSE),"")</f>
        <v/>
      </c>
      <c r="N119" s="409">
        <f ca="1">IF($A119=1,VLOOKUP($B119,Outputs!$H:$L,3,FALSE),"")</f>
        <v>33.104202666856928</v>
      </c>
      <c r="O119" s="409" t="str">
        <f>IF($A119=0,VLOOKUP($B119,Outputs!$H:$L,3,FALSE),"")</f>
        <v/>
      </c>
      <c r="P119" s="409">
        <f ca="1">IF($A119=1,VLOOKUP($B119,Outputs!$N:$R,3,FALSE),"")</f>
        <v>33.094703824253124</v>
      </c>
      <c r="Q119" s="409" t="str">
        <f>IF($A119=0,VLOOKUP($B119,Outputs!$N:$R,3,FALSE),"")</f>
        <v/>
      </c>
    </row>
    <row r="120" spans="1:17">
      <c r="A120" s="232">
        <f>IF(VLOOKUP(B120,TOCA_current!$B$2:$AG$137,32,FALSE)=0,0,1)</f>
        <v>0</v>
      </c>
      <c r="B120" t="s">
        <v>110</v>
      </c>
      <c r="C120" s="409" t="str">
        <f>IF(A120=1,VLOOKUP($B120,Outputs!$B:$F,2,FALSE),"")</f>
        <v/>
      </c>
      <c r="D120" s="409">
        <f ca="1">IF(A120=0,VLOOKUP($B120,Outputs!$B:$F,2,FALSE),"")</f>
        <v>2.9086796760128816E-2</v>
      </c>
      <c r="E120" s="62"/>
      <c r="F120" s="62" t="str">
        <f>IF(A120=1,VLOOKUP($B120,Outputs!$H:$L,2,FALSE),"")</f>
        <v/>
      </c>
      <c r="G120" s="62">
        <f ca="1">IF(A120=0,VLOOKUP($B120,Outputs!$H:$L,2,FALSE),"")</f>
        <v>2.9086796760131223E-2</v>
      </c>
      <c r="H120" s="409"/>
      <c r="I120" s="409"/>
      <c r="J120" s="410">
        <f ca="1">VLOOKUP($B120,Outputs!$N:$R,2,FALSE)</f>
        <v>-2.4590048979550468E-2</v>
      </c>
      <c r="K120" s="410">
        <f ca="1">+VLOOKUP(B120,Outputs!T:U,2,FALSE)</f>
        <v>2.9086705206834873E-2</v>
      </c>
      <c r="L120" s="409" t="str">
        <f>IF($A120=1,VLOOKUP($B120,Outputs!$B:$F,3,FALSE),"")</f>
        <v/>
      </c>
      <c r="M120" s="409">
        <f ca="1">IF($A120=0,VLOOKUP($B120,Outputs!$B:$F,3,FALSE),"")</f>
        <v>37.399676217435363</v>
      </c>
      <c r="N120" s="409" t="str">
        <f>IF($A120=1,VLOOKUP($B120,Outputs!$H:$L,3,FALSE),"")</f>
        <v/>
      </c>
      <c r="O120" s="409">
        <f ca="1">IF($A120=0,VLOOKUP($B120,Outputs!$H:$L,3,FALSE),"")</f>
        <v>37.399676217435363</v>
      </c>
      <c r="P120" s="409" t="str">
        <f>IF($A120=1,VLOOKUP($B120,Outputs!$N:$R,3,FALSE),"")</f>
        <v/>
      </c>
      <c r="Q120" s="409">
        <f ca="1">IF($A120=0,VLOOKUP($B120,Outputs!$N:$R,3,FALSE),"")</f>
        <v>33.094703824253116</v>
      </c>
    </row>
    <row r="121" spans="1:17">
      <c r="A121" s="232">
        <f>IF(VLOOKUP(B121,TOCA_current!$B$2:$AG$137,32,FALSE)=0,0,1)</f>
        <v>0</v>
      </c>
      <c r="B121" t="s">
        <v>140</v>
      </c>
      <c r="C121" s="409" t="str">
        <f>IF(A121=1,VLOOKUP($B121,Outputs!$B:$F,2,FALSE),"")</f>
        <v/>
      </c>
      <c r="D121" s="409">
        <f ca="1">IF(A121=0,VLOOKUP($B121,Outputs!$B:$F,2,FALSE),"")</f>
        <v>-5.8444175994815384E-3</v>
      </c>
      <c r="E121" s="62"/>
      <c r="F121" s="62" t="str">
        <f>IF(A121=1,VLOOKUP($B121,Outputs!$H:$L,2,FALSE),"")</f>
        <v/>
      </c>
      <c r="G121" s="62">
        <f ca="1">IF(A121=0,VLOOKUP($B121,Outputs!$H:$L,2,FALSE),"")</f>
        <v>-5.8444175994853825E-3</v>
      </c>
      <c r="H121" s="409"/>
      <c r="I121" s="409"/>
      <c r="J121" s="410">
        <f ca="1">VLOOKUP($B121,Outputs!$N:$R,2,FALSE)</f>
        <v>-2.5138087065043325E-2</v>
      </c>
      <c r="K121" s="410">
        <f ca="1">+VLOOKUP(B121,Outputs!T:U,2,FALSE)</f>
        <v>3.1694310477800025E-2</v>
      </c>
      <c r="L121" s="409" t="str">
        <f>IF($A121=1,VLOOKUP($B121,Outputs!$B:$F,3,FALSE),"")</f>
        <v/>
      </c>
      <c r="M121" s="409">
        <f ca="1">IF($A121=0,VLOOKUP($B121,Outputs!$B:$F,3,FALSE),"")</f>
        <v>34.268802686734865</v>
      </c>
      <c r="N121" s="409" t="str">
        <f>IF($A121=1,VLOOKUP($B121,Outputs!$H:$L,3,FALSE),"")</f>
        <v/>
      </c>
      <c r="O121" s="409">
        <f ca="1">IF($A121=0,VLOOKUP($B121,Outputs!$H:$L,3,FALSE),"")</f>
        <v>34.268802686734865</v>
      </c>
      <c r="P121" s="409" t="str">
        <f>IF($A121=1,VLOOKUP($B121,Outputs!$N:$R,3,FALSE),"")</f>
        <v/>
      </c>
      <c r="Q121" s="409">
        <f ca="1">IF($A121=0,VLOOKUP($B121,Outputs!$N:$R,3,FALSE),"")</f>
        <v>33.100760410140964</v>
      </c>
    </row>
    <row r="122" spans="1:17">
      <c r="A122" s="232">
        <f>IF(VLOOKUP(B122,TOCA_current!$B$2:$AG$137,32,FALSE)=0,0,1)</f>
        <v>1</v>
      </c>
      <c r="B122" t="s">
        <v>112</v>
      </c>
      <c r="C122" s="409">
        <f ca="1">IF(A122=1,VLOOKUP($B122,Outputs!$B:$F,2,FALSE),"")</f>
        <v>-1.0752591260343031E-2</v>
      </c>
      <c r="D122" s="409" t="str">
        <f>IF(A122=0,VLOOKUP($B122,Outputs!$B:$F,2,FALSE),"")</f>
        <v/>
      </c>
      <c r="E122" s="62"/>
      <c r="F122" s="62">
        <f ca="1">IF(A122=1,VLOOKUP($B122,Outputs!$H:$L,2,FALSE),"")</f>
        <v>-1.9142995110553451E-2</v>
      </c>
      <c r="G122" s="62" t="str">
        <f>IF(A122=0,VLOOKUP($B122,Outputs!$H:$L,2,FALSE),"")</f>
        <v/>
      </c>
      <c r="H122" s="409"/>
      <c r="I122" s="409"/>
      <c r="J122" s="410">
        <f ca="1">VLOOKUP($B122,Outputs!$N:$R,2,FALSE)</f>
        <v>-2.4590048982294485E-2</v>
      </c>
      <c r="K122" s="410">
        <f ca="1">+VLOOKUP(B122,Outputs!T:U,2,FALSE)</f>
        <v>-1.9124791667782803E-2</v>
      </c>
      <c r="L122" s="409">
        <f ca="1">IF($A122=1,VLOOKUP($B122,Outputs!$B:$F,3,FALSE),"")</f>
        <v>36.920275014476992</v>
      </c>
      <c r="M122" s="409" t="str">
        <f>IF($A122=0,VLOOKUP($B122,Outputs!$B:$F,3,FALSE),"")</f>
        <v/>
      </c>
      <c r="N122" s="409">
        <f ca="1">IF($A122=1,VLOOKUP($B122,Outputs!$H:$L,3,FALSE),"")</f>
        <v>33.432417076093301</v>
      </c>
      <c r="O122" s="409" t="str">
        <f>IF($A122=0,VLOOKUP($B122,Outputs!$H:$L,3,FALSE),"")</f>
        <v/>
      </c>
      <c r="P122" s="409">
        <f ca="1">IF($A122=1,VLOOKUP($B122,Outputs!$N:$R,3,FALSE),"")</f>
        <v>33.094703824253116</v>
      </c>
      <c r="Q122" s="409" t="str">
        <f>IF($A122=0,VLOOKUP($B122,Outputs!$N:$R,3,FALSE),"")</f>
        <v/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C9E3EE5AD4A641B9C17E31E4B0539D" ma:contentTypeVersion="0" ma:contentTypeDescription="Create a new document." ma:contentTypeScope="" ma:versionID="47946026ab3801aecea62651e9f54ed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C3E135C-A2B8-4FD7-9DCF-E8C9A355B532}"/>
</file>

<file path=customXml/itemProps2.xml><?xml version="1.0" encoding="utf-8"?>
<ds:datastoreItem xmlns:ds="http://schemas.openxmlformats.org/officeDocument/2006/customXml" ds:itemID="{0B598469-8FED-4640-B12D-CD4E86A93BC3}"/>
</file>

<file path=customXml/itemProps3.xml><?xml version="1.0" encoding="utf-8"?>
<ds:datastoreItem xmlns:ds="http://schemas.openxmlformats.org/officeDocument/2006/customXml" ds:itemID="{77FE692A-FD7D-4948-83BE-793E808AA9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18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23" baseType="lpstr">
      <vt:lpstr>Init</vt:lpstr>
      <vt:lpstr>TOCA_previous</vt:lpstr>
      <vt:lpstr>TOCA_current</vt:lpstr>
      <vt:lpstr>LS_previous</vt:lpstr>
      <vt:lpstr>LS_current</vt:lpstr>
      <vt:lpstr>Demand_previous</vt:lpstr>
      <vt:lpstr>Demand_current</vt:lpstr>
      <vt:lpstr>Rates_previous</vt:lpstr>
      <vt:lpstr>Rates_current</vt:lpstr>
      <vt:lpstr>IRD</vt:lpstr>
      <vt:lpstr>RT1SC</vt:lpstr>
      <vt:lpstr>LS_Demand_Rates_Restatement</vt:lpstr>
      <vt:lpstr>Staging Table</vt:lpstr>
      <vt:lpstr>Charges_Including Slice and LS</vt:lpstr>
      <vt:lpstr>Charges_NonSlice</vt:lpstr>
      <vt:lpstr>Charges_NonSlice &amp; Excl LS</vt:lpstr>
      <vt:lpstr>Outputs</vt:lpstr>
      <vt:lpstr>Restatement</vt:lpstr>
      <vt:lpstr>Non-Slice Chart</vt:lpstr>
      <vt:lpstr>Non-Slice - Ordered Chart</vt:lpstr>
      <vt:lpstr>CurrentYear</vt:lpstr>
      <vt:lpstr>Rates_current!Print_Area</vt:lpstr>
      <vt:lpstr>YesNo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Peter Stiffler - PSR6</dc:creator>
  <cp:lastModifiedBy>Traetow,Emily G (BPA) - PSR-6</cp:lastModifiedBy>
  <cp:lastPrinted>2019-07-09T17:43:52Z</cp:lastPrinted>
  <dcterms:created xsi:type="dcterms:W3CDTF">2013-06-26T17:49:16Z</dcterms:created>
  <dcterms:modified xsi:type="dcterms:W3CDTF">2022-12-01T22:26:52Z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0x01010053C9E3EE5AD4A641B9C17E31E4B0539D</vt:lpwstr>
  </property>
  <property fmtid="{D5CDD505-2E9C-101B-9397-08002B2CF9AE}" pid="3" name="Order">
    <vt:r8>4600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TemplateUrl">
    <vt:lpwstr/>
  </property>
</Properties>
</file>